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Admin\Desktop\Sample\"/>
    </mc:Choice>
  </mc:AlternateContent>
  <xr:revisionPtr revIDLastSave="0" documentId="13_ncr:1_{E05D260B-A2A2-491F-927D-1AAD86066513}" xr6:coauthVersionLast="47" xr6:coauthVersionMax="47" xr10:uidLastSave="{00000000-0000-0000-0000-000000000000}"/>
  <bookViews>
    <workbookView xWindow="-120" yWindow="-120" windowWidth="20730" windowHeight="11040" tabRatio="783" firstSheet="13" activeTab="26" xr2:uid="{00000000-000D-0000-FFFF-FFFF00000000}"/>
  </bookViews>
  <sheets>
    <sheet name="Computation" sheetId="33" r:id="rId1"/>
    <sheet name="BS" sheetId="3" r:id="rId2"/>
    <sheet name="P&amp;L" sheetId="4" r:id="rId3"/>
    <sheet name="CFS" sheetId="22" r:id="rId4"/>
    <sheet name="Note 1" sheetId="6" r:id="rId5"/>
    <sheet name="Note 2 - 8" sheetId="7" r:id="rId6"/>
    <sheet name="Note 9" sheetId="8" r:id="rId7"/>
    <sheet name="Sheet1" sheetId="48" state="hidden" r:id="rId8"/>
    <sheet name="Note 10-15" sheetId="9" r:id="rId9"/>
    <sheet name="Note 16-23" sheetId="10" r:id="rId10"/>
    <sheet name="Note 24-30" sheetId="11" r:id="rId11"/>
    <sheet name="Sechdules" sheetId="18" r:id="rId12"/>
    <sheet name="IT dep 24-25" sheetId="40" r:id="rId13"/>
    <sheet name="FA Register FY 24-25" sheetId="50" r:id="rId14"/>
    <sheet name="Creditor's ageing" sheetId="52" r:id="rId15"/>
    <sheet name="Debtor's ageing" sheetId="51" r:id="rId16"/>
    <sheet name="FA Register Companies Act" sheetId="39" state="hidden" r:id="rId17"/>
    <sheet name="TB 24-25" sheetId="49" r:id="rId18"/>
    <sheet name="Deferred Tax" sheetId="44" r:id="rId19"/>
    <sheet name="Key financial ratios" sheetId="19" r:id="rId20"/>
    <sheet name="Trial Balance CB" sheetId="42" state="hidden" r:id="rId21"/>
    <sheet name="Creditors" sheetId="36" state="hidden" r:id="rId22"/>
    <sheet name="MAT" sheetId="34" r:id="rId23"/>
    <sheet name="Tally Balance Sheet" sheetId="29" state="hidden" r:id="rId24"/>
    <sheet name="Workings" sheetId="31" state="hidden" r:id="rId25"/>
    <sheet name="GST" sheetId="32" state="hidden" r:id="rId26"/>
    <sheet name="New Building" sheetId="47" r:id="rId27"/>
    <sheet name="GST INPUT" sheetId="46" state="hidden" r:id="rId28"/>
    <sheet name="Tally P &amp; L Old" sheetId="28" state="hidden" r:id="rId29"/>
    <sheet name="TB 23-24Old" sheetId="24" state="hidden" r:id="rId30"/>
    <sheet name="FA Summary" sheetId="27" state="hidden" r:id="rId31"/>
    <sheet name="TB closing Bal Old" sheetId="30" state="hidden" r:id="rId32"/>
    <sheet name="Trial Balance" sheetId="41" state="hidden" r:id="rId33"/>
    <sheet name="age wise Debtors 31-03-23" sheetId="21" state="hidden" r:id="rId34"/>
    <sheet name="Creditors MSME Classification" sheetId="20" state="hidden" r:id="rId35"/>
    <sheet name="TB_BS 2021-22" sheetId="16" state="hidden" r:id="rId36"/>
    <sheet name="TB_PL 2021-22" sheetId="17" state="hidden" r:id="rId37"/>
  </sheets>
  <definedNames>
    <definedName name="\A" localSheetId="18">#REF!</definedName>
    <definedName name="\A" localSheetId="16">#REF!</definedName>
    <definedName name="\A" localSheetId="13">#REF!</definedName>
    <definedName name="\A" localSheetId="12">#REF!</definedName>
    <definedName name="\A">#REF!</definedName>
    <definedName name="\B" localSheetId="16">#REF!</definedName>
    <definedName name="\B" localSheetId="13">#REF!</definedName>
    <definedName name="\B" localSheetId="12">#REF!</definedName>
    <definedName name="\B">#REF!</definedName>
    <definedName name="\C" localSheetId="16">#REF!</definedName>
    <definedName name="\C" localSheetId="13">#REF!</definedName>
    <definedName name="\C" localSheetId="12">#REF!</definedName>
    <definedName name="\C">#REF!</definedName>
    <definedName name="\D">#REF!</definedName>
    <definedName name="\E">#REF!</definedName>
    <definedName name="\F">#REF!</definedName>
    <definedName name="\r">#N/A</definedName>
    <definedName name="\s" localSheetId="18">#REF!</definedName>
    <definedName name="\s" localSheetId="16">#REF!</definedName>
    <definedName name="\s" localSheetId="13">#REF!</definedName>
    <definedName name="\s" localSheetId="12">#REF!</definedName>
    <definedName name="\s">#REF!</definedName>
    <definedName name="\Z" localSheetId="16">#REF!</definedName>
    <definedName name="\Z" localSheetId="13">#REF!</definedName>
    <definedName name="\Z" localSheetId="12">#REF!</definedName>
    <definedName name="\Z">#REF!</definedName>
    <definedName name="_____D91994" localSheetId="16">#REF!</definedName>
    <definedName name="_____D91994" localSheetId="13">#REF!</definedName>
    <definedName name="_____D91994" localSheetId="12">#REF!</definedName>
    <definedName name="_____D91994">#REF!</definedName>
    <definedName name="_____pl9" localSheetId="18">#REF!</definedName>
    <definedName name="_____pl9">#REF!</definedName>
    <definedName name="____col10" localSheetId="18">#REF!</definedName>
    <definedName name="____col10">#REF!</definedName>
    <definedName name="____col11">#REF!</definedName>
    <definedName name="____col12">#REF!</definedName>
    <definedName name="____col13">#REF!</definedName>
    <definedName name="____col2">#REF!</definedName>
    <definedName name="____col3">#REF!</definedName>
    <definedName name="____col4">#REF!</definedName>
    <definedName name="____col5">#REF!</definedName>
    <definedName name="____col6">#REF!</definedName>
    <definedName name="____col7">#REF!</definedName>
    <definedName name="____col9">#REF!</definedName>
    <definedName name="____MAR9091">#REF!</definedName>
    <definedName name="___col1">#REF!</definedName>
    <definedName name="___col8">#REF!</definedName>
    <definedName name="___D91994">#REF!</definedName>
    <definedName name="___INDEX_SHEET___ASAP_Utilities" localSheetId="3">#REF!</definedName>
    <definedName name="___INDEX_SHEET___ASAP_Utilities">#REF!</definedName>
    <definedName name="___new1" hidden="1">#REF!</definedName>
    <definedName name="___pl9" localSheetId="18">#REF!</definedName>
    <definedName name="___pl9">#REF!</definedName>
    <definedName name="__1111" localSheetId="18" hidden="1">#REF!</definedName>
    <definedName name="__1111" hidden="1">#REF!</definedName>
    <definedName name="__123Graph_A" localSheetId="18" hidden="1">#REF!</definedName>
    <definedName name="__123Graph_A" hidden="1">#REF!</definedName>
    <definedName name="__123Graph_ACOMPARAT" localSheetId="18" hidden="1">#REF!</definedName>
    <definedName name="__123Graph_ACOMPARAT" hidden="1">#REF!</definedName>
    <definedName name="__123Graph_ACOMPARATACUM" localSheetId="18" hidden="1">#REF!</definedName>
    <definedName name="__123Graph_ACOMPARATACUM" hidden="1">#REF!</definedName>
    <definedName name="__123Graph_AOUTPUT" localSheetId="18" hidden="1">#REF!</definedName>
    <definedName name="__123Graph_AOUTPUT" hidden="1">#REF!</definedName>
    <definedName name="__123Graph_APRINCIPAL" localSheetId="18" hidden="1">#REF!</definedName>
    <definedName name="__123Graph_APRINCIPAL" hidden="1">#REF!</definedName>
    <definedName name="__123Graph_AVENTAS" localSheetId="18" hidden="1">#REF!</definedName>
    <definedName name="__123Graph_AVENTAS" hidden="1">#REF!</definedName>
    <definedName name="__123Graph_B" localSheetId="18" hidden="1">#REF!</definedName>
    <definedName name="__123Graph_B" hidden="1">#REF!</definedName>
    <definedName name="__123Graph_BCOMPARAT" localSheetId="18" hidden="1">#REF!</definedName>
    <definedName name="__123Graph_BCOMPARAT" hidden="1">#REF!</definedName>
    <definedName name="__123Graph_BCOMPARATACUM" localSheetId="18" hidden="1">#REF!</definedName>
    <definedName name="__123Graph_BCOMPARATACUM" hidden="1">#REF!</definedName>
    <definedName name="__123Graph_BCURRENT" localSheetId="18" hidden="1">#REF!</definedName>
    <definedName name="__123Graph_BCURRENT" hidden="1">#REF!</definedName>
    <definedName name="__123Graph_BPRINCIPAL" localSheetId="18" hidden="1">#REF!</definedName>
    <definedName name="__123Graph_BPRINCIPAL" hidden="1">#REF!</definedName>
    <definedName name="__123Graph_BVENTAS" localSheetId="18" hidden="1">#REF!</definedName>
    <definedName name="__123Graph_BVENTAS" hidden="1">#REF!</definedName>
    <definedName name="__123Graph_CCURRENT" localSheetId="18" hidden="1">#REF!</definedName>
    <definedName name="__123Graph_CCURRENT" hidden="1">#REF!</definedName>
    <definedName name="__123Graph_D" localSheetId="18" hidden="1">#REF!</definedName>
    <definedName name="__123Graph_D" hidden="1">#REF!</definedName>
    <definedName name="__123Graph_DCURRENT" localSheetId="18" hidden="1">#REF!</definedName>
    <definedName name="__123Graph_DCURRENT" hidden="1">#REF!</definedName>
    <definedName name="__123Graph_DOUTPUT" localSheetId="18" hidden="1">#REF!</definedName>
    <definedName name="__123Graph_DOUTPUT" hidden="1">#REF!</definedName>
    <definedName name="__123Graph_E" localSheetId="18" hidden="1">#REF!</definedName>
    <definedName name="__123Graph_E" hidden="1">#REF!</definedName>
    <definedName name="__123Graph_ECURRENT" localSheetId="18" hidden="1">#REF!</definedName>
    <definedName name="__123Graph_ECURRENT" hidden="1">#REF!</definedName>
    <definedName name="__123Graph_EOUTPUT" localSheetId="18" hidden="1">#REF!</definedName>
    <definedName name="__123Graph_EOUTPUT" hidden="1">#REF!</definedName>
    <definedName name="__123Graph_LBL_ACOMPARAT" localSheetId="18" hidden="1">#REF!</definedName>
    <definedName name="__123Graph_LBL_ACOMPARAT" hidden="1">#REF!</definedName>
    <definedName name="__123Graph_LBL_ACOMPARATACUM" localSheetId="18" hidden="1">#REF!</definedName>
    <definedName name="__123Graph_LBL_ACOMPARATACUM" hidden="1">#REF!</definedName>
    <definedName name="__123Graph_LBL_AOUTPUT" localSheetId="18" hidden="1">#REF!</definedName>
    <definedName name="__123Graph_LBL_AOUTPUT" hidden="1">#REF!</definedName>
    <definedName name="__123Graph_LBL_APRINCIPAL" localSheetId="18" hidden="1">#REF!</definedName>
    <definedName name="__123Graph_LBL_APRINCIPAL" hidden="1">#REF!</definedName>
    <definedName name="__123Graph_LBL_AVENTAS" localSheetId="18" hidden="1">#REF!</definedName>
    <definedName name="__123Graph_LBL_AVENTAS" hidden="1">#REF!</definedName>
    <definedName name="__123Graph_LBL_BCOMPARAT" localSheetId="18" hidden="1">#REF!</definedName>
    <definedName name="__123Graph_LBL_BCOMPARAT" hidden="1">#REF!</definedName>
    <definedName name="__123Graph_LBL_BCOMPARATACUM" localSheetId="18" hidden="1">#REF!</definedName>
    <definedName name="__123Graph_LBL_BCOMPARATACUM" hidden="1">#REF!</definedName>
    <definedName name="__123Graph_LBL_BPRINCIPAL" localSheetId="18" hidden="1">#REF!</definedName>
    <definedName name="__123Graph_LBL_BPRINCIPAL" hidden="1">#REF!</definedName>
    <definedName name="__123Graph_LBL_BVENTAS" localSheetId="18" hidden="1">#REF!</definedName>
    <definedName name="__123Graph_LBL_BVENTAS" hidden="1">#REF!</definedName>
    <definedName name="__123Graph_LBL_DOUTPUT" localSheetId="18" hidden="1">#REF!</definedName>
    <definedName name="__123Graph_LBL_DOUTPUT" hidden="1">#REF!</definedName>
    <definedName name="__123Graph_X" localSheetId="18" hidden="1">#REF!</definedName>
    <definedName name="__123Graph_X" hidden="1">#REF!</definedName>
    <definedName name="__123Graph_XCOMPARAT" localSheetId="18" hidden="1">#REF!</definedName>
    <definedName name="__123Graph_XCOMPARAT" hidden="1">#REF!</definedName>
    <definedName name="__123Graph_XCOMPARATACUM" localSheetId="18" hidden="1">#REF!</definedName>
    <definedName name="__123Graph_XCOMPARATACUM" hidden="1">#REF!</definedName>
    <definedName name="__123Graph_XOUTPUT" localSheetId="18" hidden="1">#REF!</definedName>
    <definedName name="__123Graph_XOUTPUT" hidden="1">#REF!</definedName>
    <definedName name="__123Graph_XPRINCIPAL" localSheetId="18" hidden="1">#REF!</definedName>
    <definedName name="__123Graph_XPRINCIPAL" hidden="1">#REF!</definedName>
    <definedName name="__123Graph_XVENTAS" localSheetId="18" hidden="1">#REF!</definedName>
    <definedName name="__123Graph_XVENTAS" hidden="1">#REF!</definedName>
    <definedName name="__ACK1" localSheetId="18">#REF!</definedName>
    <definedName name="__ACK1">#REF!</definedName>
    <definedName name="__ACK2">#REF!</definedName>
    <definedName name="__bb1">#REF!</definedName>
    <definedName name="__IntlFixup" hidden="1">TRUE</definedName>
    <definedName name="__lia1" localSheetId="18">#REF!</definedName>
    <definedName name="__lia1" localSheetId="16">#REF!</definedName>
    <definedName name="__lia1" localSheetId="13">#REF!</definedName>
    <definedName name="__lia1" localSheetId="12">#REF!</definedName>
    <definedName name="__lia1">#REF!</definedName>
    <definedName name="__new1" localSheetId="16" hidden="1">#REF!</definedName>
    <definedName name="__new1" localSheetId="13" hidden="1">#REF!</definedName>
    <definedName name="__new1" localSheetId="12" hidden="1">#REF!</definedName>
    <definedName name="__new1" hidden="1">#REF!</definedName>
    <definedName name="__PG1" localSheetId="16">#REF!</definedName>
    <definedName name="__PG1" localSheetId="13">#REF!</definedName>
    <definedName name="__PG1" localSheetId="12">#REF!</definedName>
    <definedName name="__PG1">#REF!</definedName>
    <definedName name="__PG10">#REF!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rdd1">#REF!</definedName>
    <definedName name="__s3" localSheetId="14" hidden="1">{#N/A,#N/A,TRUE,"CONTENTS";#N/A,#N/A,TRUE,"M2";#N/A,#N/A,TRUE,"M2a";#N/A,#N/A,TRUE,"M2b";#N/A,#N/A,TRUE,"M3";#N/A,#N/A,TRUE,"M3a";#N/A,#N/A,TRUE,"M4-P";#N/A,#N/A,TRUE,"M5";#N/A,#N/A,TRUE,"M6";#N/A,#N/A,TRUE,"M7";#N/A,#N/A,TRUE,"M8";#N/A,#N/A,TRUE,"M9";#N/A,#N/A,TRUE,"M10";#N/A,#N/A,TRUE,"M11";#N/A,#N/A,TRUE,"M13";#N/A,#N/A,TRUE,"M14";#N/A,#N/A,TRUE,"M15";#N/A,#N/A,TRUE,"K1"}</definedName>
    <definedName name="__s3" localSheetId="15" hidden="1">{#N/A,#N/A,TRUE,"CONTENTS";#N/A,#N/A,TRUE,"M2";#N/A,#N/A,TRUE,"M2a";#N/A,#N/A,TRUE,"M2b";#N/A,#N/A,TRUE,"M3";#N/A,#N/A,TRUE,"M3a";#N/A,#N/A,TRUE,"M4-P";#N/A,#N/A,TRUE,"M5";#N/A,#N/A,TRUE,"M6";#N/A,#N/A,TRUE,"M7";#N/A,#N/A,TRUE,"M8";#N/A,#N/A,TRUE,"M9";#N/A,#N/A,TRUE,"M10";#N/A,#N/A,TRUE,"M11";#N/A,#N/A,TRUE,"M13";#N/A,#N/A,TRUE,"M14";#N/A,#N/A,TRUE,"M15";#N/A,#N/A,TRUE,"K1"}</definedName>
    <definedName name="__s3" localSheetId="18" hidden="1">{#N/A,#N/A,TRUE,"CONTENTS";#N/A,#N/A,TRUE,"M2";#N/A,#N/A,TRUE,"M2a";#N/A,#N/A,TRUE,"M2b";#N/A,#N/A,TRUE,"M3";#N/A,#N/A,TRUE,"M3a";#N/A,#N/A,TRUE,"M4-P";#N/A,#N/A,TRUE,"M5";#N/A,#N/A,TRUE,"M6";#N/A,#N/A,TRUE,"M7";#N/A,#N/A,TRUE,"M8";#N/A,#N/A,TRUE,"M9";#N/A,#N/A,TRUE,"M10";#N/A,#N/A,TRUE,"M11";#N/A,#N/A,TRUE,"M13";#N/A,#N/A,TRUE,"M14";#N/A,#N/A,TRUE,"M15";#N/A,#N/A,TRUE,"K1"}</definedName>
    <definedName name="__s3" localSheetId="16" hidden="1">{#N/A,#N/A,TRUE,"CONTENTS";#N/A,#N/A,TRUE,"M2";#N/A,#N/A,TRUE,"M2a";#N/A,#N/A,TRUE,"M2b";#N/A,#N/A,TRUE,"M3";#N/A,#N/A,TRUE,"M3a";#N/A,#N/A,TRUE,"M4-P";#N/A,#N/A,TRUE,"M5";#N/A,#N/A,TRUE,"M6";#N/A,#N/A,TRUE,"M7";#N/A,#N/A,TRUE,"M8";#N/A,#N/A,TRUE,"M9";#N/A,#N/A,TRUE,"M10";#N/A,#N/A,TRUE,"M11";#N/A,#N/A,TRUE,"M13";#N/A,#N/A,TRUE,"M14";#N/A,#N/A,TRUE,"M15";#N/A,#N/A,TRUE,"K1"}</definedName>
    <definedName name="__s3" localSheetId="13" hidden="1">{#N/A,#N/A,TRUE,"CONTENTS";#N/A,#N/A,TRUE,"M2";#N/A,#N/A,TRUE,"M2a";#N/A,#N/A,TRUE,"M2b";#N/A,#N/A,TRUE,"M3";#N/A,#N/A,TRUE,"M3a";#N/A,#N/A,TRUE,"M4-P";#N/A,#N/A,TRUE,"M5";#N/A,#N/A,TRUE,"M6";#N/A,#N/A,TRUE,"M7";#N/A,#N/A,TRUE,"M8";#N/A,#N/A,TRUE,"M9";#N/A,#N/A,TRUE,"M10";#N/A,#N/A,TRUE,"M11";#N/A,#N/A,TRUE,"M13";#N/A,#N/A,TRUE,"M14";#N/A,#N/A,TRUE,"M15";#N/A,#N/A,TRUE,"K1"}</definedName>
    <definedName name="__s3" localSheetId="12" hidden="1">{#N/A,#N/A,TRUE,"CONTENTS";#N/A,#N/A,TRUE,"M2";#N/A,#N/A,TRUE,"M2a";#N/A,#N/A,TRUE,"M2b";#N/A,#N/A,TRUE,"M3";#N/A,#N/A,TRUE,"M3a";#N/A,#N/A,TRUE,"M4-P";#N/A,#N/A,TRUE,"M5";#N/A,#N/A,TRUE,"M6";#N/A,#N/A,TRUE,"M7";#N/A,#N/A,TRUE,"M8";#N/A,#N/A,TRUE,"M9";#N/A,#N/A,TRUE,"M10";#N/A,#N/A,TRUE,"M11";#N/A,#N/A,TRUE,"M13";#N/A,#N/A,TRUE,"M14";#N/A,#N/A,TRUE,"M15";#N/A,#N/A,TRUE,"K1"}</definedName>
    <definedName name="__s3" hidden="1">{#N/A,#N/A,TRUE,"CONTENTS";#N/A,#N/A,TRUE,"M2";#N/A,#N/A,TRUE,"M2a";#N/A,#N/A,TRUE,"M2b";#N/A,#N/A,TRUE,"M3";#N/A,#N/A,TRUE,"M3a";#N/A,#N/A,TRUE,"M4-P";#N/A,#N/A,TRUE,"M5";#N/A,#N/A,TRUE,"M6";#N/A,#N/A,TRUE,"M7";#N/A,#N/A,TRUE,"M8";#N/A,#N/A,TRUE,"M9";#N/A,#N/A,TRUE,"M10";#N/A,#N/A,TRUE,"M11";#N/A,#N/A,TRUE,"M13";#N/A,#N/A,TRUE,"M14";#N/A,#N/A,TRUE,"M15";#N/A,#N/A,TRUE,"K1"}</definedName>
    <definedName name="_03_04" localSheetId="18">#REF!</definedName>
    <definedName name="_03_04" localSheetId="16">#REF!</definedName>
    <definedName name="_03_04" localSheetId="13">#REF!</definedName>
    <definedName name="_03_04" localSheetId="12">#REF!</definedName>
    <definedName name="_03_04">#REF!</definedName>
    <definedName name="_03_05" localSheetId="16">#REF!</definedName>
    <definedName name="_03_05" localSheetId="13">#REF!</definedName>
    <definedName name="_03_05" localSheetId="12">#REF!</definedName>
    <definedName name="_03_05">#REF!</definedName>
    <definedName name="_03_06" localSheetId="16">#REF!</definedName>
    <definedName name="_03_06" localSheetId="13">#REF!</definedName>
    <definedName name="_03_06" localSheetId="12">#REF!</definedName>
    <definedName name="_03_06">#REF!</definedName>
    <definedName name="_03_07">#REF!</definedName>
    <definedName name="_03_08">#REF!</definedName>
    <definedName name="_03_09">#REF!</definedName>
    <definedName name="_1_100000" localSheetId="18">#REF!</definedName>
    <definedName name="_1_100000">#REF!</definedName>
    <definedName name="_123" localSheetId="18" hidden="1">#REF!</definedName>
    <definedName name="_123" hidden="1">#REF!</definedName>
    <definedName name="_2" localSheetId="18" hidden="1">#REF!</definedName>
    <definedName name="_2" hidden="1">#REF!</definedName>
    <definedName name="_380_KVA_Genset" localSheetId="18">#REF!</definedName>
    <definedName name="_380_KVA_Genset">#REF!</definedName>
    <definedName name="_380_KVA_GensetI" localSheetId="18">#REF!</definedName>
    <definedName name="_380_KVA_GensetI">#REF!</definedName>
    <definedName name="_380KVA_Gen_Sets_3" localSheetId="18">#REF!</definedName>
    <definedName name="_380KVA_Gen_Sets_3">#REF!</definedName>
    <definedName name="_500_Kva_Generator_3" localSheetId="18">#REF!</definedName>
    <definedName name="_500_Kva_Generator_3">#REF!</definedName>
    <definedName name="_500_Kva_Generator_3_400Kva_3_Pannel_Boar_2" localSheetId="18">#REF!</definedName>
    <definedName name="_500_Kva_Generator_3_400Kva_3_Pannel_Boar_2">#REF!</definedName>
    <definedName name="_500KVA_Gen_Sets" localSheetId="18">#REF!</definedName>
    <definedName name="_500KVA_Gen_Sets">#REF!</definedName>
    <definedName name="_ACK1" localSheetId="18">#REF!</definedName>
    <definedName name="_ACK1">#REF!</definedName>
    <definedName name="_ACK2">#REF!</definedName>
    <definedName name="_AD1" localSheetId="14" hidden="1">{#N/A,#N/A,FALSE,"Cash Flows";#N/A,#N/A,FALSE,"Fixed Assets";#N/A,#N/A,FALSE,"Balance Sheet";#N/A,#N/A,FALSE,"P &amp; L"}</definedName>
    <definedName name="_AD1" localSheetId="15" hidden="1">{#N/A,#N/A,FALSE,"Cash Flows";#N/A,#N/A,FALSE,"Fixed Assets";#N/A,#N/A,FALSE,"Balance Sheet";#N/A,#N/A,FALSE,"P &amp; L"}</definedName>
    <definedName name="_AD1" localSheetId="18" hidden="1">{#N/A,#N/A,FALSE,"Cash Flows";#N/A,#N/A,FALSE,"Fixed Assets";#N/A,#N/A,FALSE,"Balance Sheet";#N/A,#N/A,FALSE,"P &amp; L"}</definedName>
    <definedName name="_AD1" localSheetId="16" hidden="1">{#N/A,#N/A,FALSE,"Cash Flows";#N/A,#N/A,FALSE,"Fixed Assets";#N/A,#N/A,FALSE,"Balance Sheet";#N/A,#N/A,FALSE,"P &amp; L"}</definedName>
    <definedName name="_AD1" localSheetId="13" hidden="1">{#N/A,#N/A,FALSE,"Cash Flows";#N/A,#N/A,FALSE,"Fixed Assets";#N/A,#N/A,FALSE,"Balance Sheet";#N/A,#N/A,FALSE,"P &amp; L"}</definedName>
    <definedName name="_AD1" localSheetId="12" hidden="1">{#N/A,#N/A,FALSE,"Cash Flows";#N/A,#N/A,FALSE,"Fixed Assets";#N/A,#N/A,FALSE,"Balance Sheet";#N/A,#N/A,FALSE,"P &amp; L"}</definedName>
    <definedName name="_AD1" hidden="1">{#N/A,#N/A,FALSE,"Cash Flows";#N/A,#N/A,FALSE,"Fixed Assets";#N/A,#N/A,FALSE,"Balance Sheet";#N/A,#N/A,FALSE,"P &amp; L"}</definedName>
    <definedName name="_AD2" localSheetId="14" hidden="1">{#N/A,#N/A,FALSE,"Cash Flows";#N/A,#N/A,FALSE,"Fixed Assets";#N/A,#N/A,FALSE,"Balance Sheet";#N/A,#N/A,FALSE,"P &amp; L"}</definedName>
    <definedName name="_AD2" localSheetId="15" hidden="1">{#N/A,#N/A,FALSE,"Cash Flows";#N/A,#N/A,FALSE,"Fixed Assets";#N/A,#N/A,FALSE,"Balance Sheet";#N/A,#N/A,FALSE,"P &amp; L"}</definedName>
    <definedName name="_AD2" localSheetId="18" hidden="1">{#N/A,#N/A,FALSE,"Cash Flows";#N/A,#N/A,FALSE,"Fixed Assets";#N/A,#N/A,FALSE,"Balance Sheet";#N/A,#N/A,FALSE,"P &amp; L"}</definedName>
    <definedName name="_AD2" localSheetId="16" hidden="1">{#N/A,#N/A,FALSE,"Cash Flows";#N/A,#N/A,FALSE,"Fixed Assets";#N/A,#N/A,FALSE,"Balance Sheet";#N/A,#N/A,FALSE,"P &amp; L"}</definedName>
    <definedName name="_AD2" localSheetId="13" hidden="1">{#N/A,#N/A,FALSE,"Cash Flows";#N/A,#N/A,FALSE,"Fixed Assets";#N/A,#N/A,FALSE,"Balance Sheet";#N/A,#N/A,FALSE,"P &amp; L"}</definedName>
    <definedName name="_AD2" localSheetId="12" hidden="1">{#N/A,#N/A,FALSE,"Cash Flows";#N/A,#N/A,FALSE,"Fixed Assets";#N/A,#N/A,FALSE,"Balance Sheet";#N/A,#N/A,FALSE,"P &amp; L"}</definedName>
    <definedName name="_AD2" hidden="1">{#N/A,#N/A,FALSE,"Cash Flows";#N/A,#N/A,FALSE,"Fixed Assets";#N/A,#N/A,FALSE,"Balance Sheet";#N/A,#N/A,FALSE,"P &amp; L"}</definedName>
    <definedName name="_AD3" localSheetId="14" hidden="1">{#N/A,#N/A,FALSE,"Cash Flows";#N/A,#N/A,FALSE,"Fixed Assets";#N/A,#N/A,FALSE,"Balance Sheet";#N/A,#N/A,FALSE,"P &amp; L"}</definedName>
    <definedName name="_AD3" localSheetId="15" hidden="1">{#N/A,#N/A,FALSE,"Cash Flows";#N/A,#N/A,FALSE,"Fixed Assets";#N/A,#N/A,FALSE,"Balance Sheet";#N/A,#N/A,FALSE,"P &amp; L"}</definedName>
    <definedName name="_AD3" localSheetId="18" hidden="1">{#N/A,#N/A,FALSE,"Cash Flows";#N/A,#N/A,FALSE,"Fixed Assets";#N/A,#N/A,FALSE,"Balance Sheet";#N/A,#N/A,FALSE,"P &amp; L"}</definedName>
    <definedName name="_AD3" localSheetId="16" hidden="1">{#N/A,#N/A,FALSE,"Cash Flows";#N/A,#N/A,FALSE,"Fixed Assets";#N/A,#N/A,FALSE,"Balance Sheet";#N/A,#N/A,FALSE,"P &amp; L"}</definedName>
    <definedName name="_AD3" localSheetId="13" hidden="1">{#N/A,#N/A,FALSE,"Cash Flows";#N/A,#N/A,FALSE,"Fixed Assets";#N/A,#N/A,FALSE,"Balance Sheet";#N/A,#N/A,FALSE,"P &amp; L"}</definedName>
    <definedName name="_AD3" localSheetId="12" hidden="1">{#N/A,#N/A,FALSE,"Cash Flows";#N/A,#N/A,FALSE,"Fixed Assets";#N/A,#N/A,FALSE,"Balance Sheet";#N/A,#N/A,FALSE,"P &amp; L"}</definedName>
    <definedName name="_AD3" hidden="1">{#N/A,#N/A,FALSE,"Cash Flows";#N/A,#N/A,FALSE,"Fixed Assets";#N/A,#N/A,FALSE,"Balance Sheet";#N/A,#N/A,FALSE,"P &amp; L"}</definedName>
    <definedName name="_AD5" localSheetId="14" hidden="1">{#N/A,#N/A,FALSE,"Cash Flows";#N/A,#N/A,FALSE,"Fixed Assets";#N/A,#N/A,FALSE,"Balance Sheet";#N/A,#N/A,FALSE,"P &amp; L"}</definedName>
    <definedName name="_AD5" localSheetId="15" hidden="1">{#N/A,#N/A,FALSE,"Cash Flows";#N/A,#N/A,FALSE,"Fixed Assets";#N/A,#N/A,FALSE,"Balance Sheet";#N/A,#N/A,FALSE,"P &amp; L"}</definedName>
    <definedName name="_AD5" localSheetId="18" hidden="1">{#N/A,#N/A,FALSE,"Cash Flows";#N/A,#N/A,FALSE,"Fixed Assets";#N/A,#N/A,FALSE,"Balance Sheet";#N/A,#N/A,FALSE,"P &amp; L"}</definedName>
    <definedName name="_AD5" localSheetId="16" hidden="1">{#N/A,#N/A,FALSE,"Cash Flows";#N/A,#N/A,FALSE,"Fixed Assets";#N/A,#N/A,FALSE,"Balance Sheet";#N/A,#N/A,FALSE,"P &amp; L"}</definedName>
    <definedName name="_AD5" localSheetId="13" hidden="1">{#N/A,#N/A,FALSE,"Cash Flows";#N/A,#N/A,FALSE,"Fixed Assets";#N/A,#N/A,FALSE,"Balance Sheet";#N/A,#N/A,FALSE,"P &amp; L"}</definedName>
    <definedName name="_AD5" localSheetId="12" hidden="1">{#N/A,#N/A,FALSE,"Cash Flows";#N/A,#N/A,FALSE,"Fixed Assets";#N/A,#N/A,FALSE,"Balance Sheet";#N/A,#N/A,FALSE,"P &amp; L"}</definedName>
    <definedName name="_AD5" hidden="1">{#N/A,#N/A,FALSE,"Cash Flows";#N/A,#N/A,FALSE,"Fixed Assets";#N/A,#N/A,FALSE,"Balance Sheet";#N/A,#N/A,FALSE,"P &amp; L"}</definedName>
    <definedName name="_AD8" localSheetId="14" hidden="1">{#N/A,#N/A,FALSE,"Cash Flows";#N/A,#N/A,FALSE,"Fixed Assets";#N/A,#N/A,FALSE,"Balance Sheet";#N/A,#N/A,FALSE,"P &amp; L"}</definedName>
    <definedName name="_AD8" localSheetId="15" hidden="1">{#N/A,#N/A,FALSE,"Cash Flows";#N/A,#N/A,FALSE,"Fixed Assets";#N/A,#N/A,FALSE,"Balance Sheet";#N/A,#N/A,FALSE,"P &amp; L"}</definedName>
    <definedName name="_AD8" localSheetId="18" hidden="1">{#N/A,#N/A,FALSE,"Cash Flows";#N/A,#N/A,FALSE,"Fixed Assets";#N/A,#N/A,FALSE,"Balance Sheet";#N/A,#N/A,FALSE,"P &amp; L"}</definedName>
    <definedName name="_AD8" localSheetId="16" hidden="1">{#N/A,#N/A,FALSE,"Cash Flows";#N/A,#N/A,FALSE,"Fixed Assets";#N/A,#N/A,FALSE,"Balance Sheet";#N/A,#N/A,FALSE,"P &amp; L"}</definedName>
    <definedName name="_AD8" localSheetId="13" hidden="1">{#N/A,#N/A,FALSE,"Cash Flows";#N/A,#N/A,FALSE,"Fixed Assets";#N/A,#N/A,FALSE,"Balance Sheet";#N/A,#N/A,FALSE,"P &amp; L"}</definedName>
    <definedName name="_AD8" localSheetId="12" hidden="1">{#N/A,#N/A,FALSE,"Cash Flows";#N/A,#N/A,FALSE,"Fixed Assets";#N/A,#N/A,FALSE,"Balance Sheet";#N/A,#N/A,FALSE,"P &amp; L"}</definedName>
    <definedName name="_AD8" hidden="1">{#N/A,#N/A,FALSE,"Cash Flows";#N/A,#N/A,FALSE,"Fixed Assets";#N/A,#N/A,FALSE,"Balance Sheet";#N/A,#N/A,FALSE,"P &amp; L"}</definedName>
    <definedName name="_ann2" localSheetId="18">#REF!</definedName>
    <definedName name="_ann2" localSheetId="16">#REF!</definedName>
    <definedName name="_ann2" localSheetId="13">#REF!</definedName>
    <definedName name="_ann2" localSheetId="12">#REF!</definedName>
    <definedName name="_ann2">#REF!</definedName>
    <definedName name="_ann3" localSheetId="16">#REF!</definedName>
    <definedName name="_ann3" localSheetId="13">#REF!</definedName>
    <definedName name="_ann3" localSheetId="12">#REF!</definedName>
    <definedName name="_ann3">#REF!</definedName>
    <definedName name="_bb1" localSheetId="16">#REF!</definedName>
    <definedName name="_bb1" localSheetId="13">#REF!</definedName>
    <definedName name="_bb1" localSheetId="12">#REF!</definedName>
    <definedName name="_bb1">#REF!</definedName>
    <definedName name="_col1">#REF!</definedName>
    <definedName name="_col10">#REF!</definedName>
    <definedName name="_col11">#REF!</definedName>
    <definedName name="_col12">#REF!</definedName>
    <definedName name="_col13">#REF!</definedName>
    <definedName name="_col2">#REF!</definedName>
    <definedName name="_col3">#REF!</definedName>
    <definedName name="_col4">#REF!</definedName>
    <definedName name="_col5">#REF!</definedName>
    <definedName name="_col6">#REF!</definedName>
    <definedName name="_col7">#REF!</definedName>
    <definedName name="_col8">#REF!</definedName>
    <definedName name="_col9">#REF!</definedName>
    <definedName name="_D91994">#REF!</definedName>
    <definedName name="_DAT1">#REF!</definedName>
    <definedName name="_DAT10">#REF!</definedName>
    <definedName name="_DAT11">#REF!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#REF!</definedName>
    <definedName name="_Dist_Values" hidden="1">#REF!</definedName>
    <definedName name="_DIV98" localSheetId="18">#REF!</definedName>
    <definedName name="_DIV98">#REF!</definedName>
    <definedName name="_FEb05" localSheetId="14" hidden="1">{#N/A,#N/A,TRUE,"Summary";#N/A,#N/A,TRUE,"Balance Sheet";#N/A,#N/A,TRUE,"P &amp; L";#N/A,#N/A,TRUE,"Fixed Assets";#N/A,#N/A,TRUE,"Cash Flows"}</definedName>
    <definedName name="_FEb05" localSheetId="15" hidden="1">{#N/A,#N/A,TRUE,"Summary";#N/A,#N/A,TRUE,"Balance Sheet";#N/A,#N/A,TRUE,"P &amp; L";#N/A,#N/A,TRUE,"Fixed Assets";#N/A,#N/A,TRUE,"Cash Flows"}</definedName>
    <definedName name="_FEb05" localSheetId="18" hidden="1">{#N/A,#N/A,TRUE,"Summary";#N/A,#N/A,TRUE,"Balance Sheet";#N/A,#N/A,TRUE,"P &amp; L";#N/A,#N/A,TRUE,"Fixed Assets";#N/A,#N/A,TRUE,"Cash Flows"}</definedName>
    <definedName name="_FEb05" localSheetId="16" hidden="1">{#N/A,#N/A,TRUE,"Summary";#N/A,#N/A,TRUE,"Balance Sheet";#N/A,#N/A,TRUE,"P &amp; L";#N/A,#N/A,TRUE,"Fixed Assets";#N/A,#N/A,TRUE,"Cash Flows"}</definedName>
    <definedName name="_FEb05" localSheetId="13" hidden="1">{#N/A,#N/A,TRUE,"Summary";#N/A,#N/A,TRUE,"Balance Sheet";#N/A,#N/A,TRUE,"P &amp; L";#N/A,#N/A,TRUE,"Fixed Assets";#N/A,#N/A,TRUE,"Cash Flows"}</definedName>
    <definedName name="_FEb05" localSheetId="12" hidden="1">{#N/A,#N/A,TRUE,"Summary";#N/A,#N/A,TRUE,"Balance Sheet";#N/A,#N/A,TRUE,"P &amp; L";#N/A,#N/A,TRUE,"Fixed Assets";#N/A,#N/A,TRUE,"Cash Flows"}</definedName>
    <definedName name="_FEb05" hidden="1">{#N/A,#N/A,TRUE,"Summary";#N/A,#N/A,TRUE,"Balance Sheet";#N/A,#N/A,TRUE,"P &amp; L";#N/A,#N/A,TRUE,"Fixed Assets";#N/A,#N/A,TRUE,"Cash Flows"}</definedName>
    <definedName name="_Fill" localSheetId="18" hidden="1">#REF!</definedName>
    <definedName name="_Fill" localSheetId="16" hidden="1">#REF!</definedName>
    <definedName name="_Fill" localSheetId="13" hidden="1">#REF!</definedName>
    <definedName name="_Fill" localSheetId="12" hidden="1">#REF!</definedName>
    <definedName name="_Fill" hidden="1">#REF!</definedName>
    <definedName name="_xlnm._FilterDatabase" localSheetId="21" hidden="1">Creditors!$A$2:$F$64</definedName>
    <definedName name="_xlnm._FilterDatabase" localSheetId="14" hidden="1">'Creditor''s ageing'!$H$4:$I$105</definedName>
    <definedName name="_xlnm._FilterDatabase" localSheetId="34" hidden="1">'Creditors MSME Classification'!$A$2:$E$92</definedName>
    <definedName name="_xlnm._FilterDatabase" localSheetId="18" hidden="1">#REF!</definedName>
    <definedName name="_xlnm._FilterDatabase" localSheetId="16" hidden="1">'FA Register Companies Act'!$A$4:$AU$4</definedName>
    <definedName name="_xlnm._FilterDatabase" localSheetId="13" hidden="1">'FA Register FY 24-25'!$A$4:$AU$4</definedName>
    <definedName name="_xlnm._FilterDatabase" localSheetId="12" hidden="1">#REF!</definedName>
    <definedName name="_xlnm._FilterDatabase" localSheetId="4" hidden="1">'Note 1'!$B$6:$C$42</definedName>
    <definedName name="_xlnm._FilterDatabase" localSheetId="2" hidden="1">'P&amp;L'!#REF!</definedName>
    <definedName name="_xlnm._FilterDatabase" hidden="1">#REF!</definedName>
    <definedName name="_Key1" localSheetId="16" hidden="1">#REF!</definedName>
    <definedName name="_Key1" localSheetId="13" hidden="1">#REF!</definedName>
    <definedName name="_Key1" localSheetId="12" hidden="1">#REF!</definedName>
    <definedName name="_Key1" hidden="1">#REF!</definedName>
    <definedName name="_Key2" localSheetId="16" hidden="1">#REF!</definedName>
    <definedName name="_Key2" localSheetId="13" hidden="1">#REF!</definedName>
    <definedName name="_Key2" localSheetId="12" hidden="1">#REF!</definedName>
    <definedName name="_Key2" hidden="1">#REF!</definedName>
    <definedName name="_lia1">#REF!</definedName>
    <definedName name="_MAR9091" localSheetId="18">#REF!</definedName>
    <definedName name="_MAR9091">#REF!</definedName>
    <definedName name="_new1" localSheetId="18" hidden="1">#REF!</definedName>
    <definedName name="_new1" hidden="1">#REF!</definedName>
    <definedName name="_Order1" hidden="1">255</definedName>
    <definedName name="_Order2" hidden="1">255</definedName>
    <definedName name="_P1" localSheetId="18">#REF!</definedName>
    <definedName name="_P1" localSheetId="16">#REF!</definedName>
    <definedName name="_P1" localSheetId="13">#REF!</definedName>
    <definedName name="_P1" localSheetId="12">#REF!</definedName>
    <definedName name="_P1">#REF!</definedName>
    <definedName name="_Parse_In" localSheetId="16" hidden="1">#REF!</definedName>
    <definedName name="_Parse_In" localSheetId="13" hidden="1">#REF!</definedName>
    <definedName name="_Parse_In" localSheetId="12" hidden="1">#REF!</definedName>
    <definedName name="_Parse_In" hidden="1">#REF!</definedName>
    <definedName name="_Parse_Out" localSheetId="16" hidden="1">#REF!</definedName>
    <definedName name="_Parse_Out" localSheetId="13" hidden="1">#REF!</definedName>
    <definedName name="_Parse_Out" localSheetId="12" hidden="1">#REF!</definedName>
    <definedName name="_Parse_Out" hidden="1">#REF!</definedName>
    <definedName name="_pcSlicerSheet_Slicer1" hidden="1">#REF!</definedName>
    <definedName name="_pcSlicerSheet1_Slicer1" hidden="1">#REF!</definedName>
    <definedName name="_PG1">#REF!</definedName>
    <definedName name="_PG10">#REF!</definedName>
    <definedName name="_PG2">#REF!</definedName>
    <definedName name="_PG3">#REF!</definedName>
    <definedName name="_PG4">#REF!</definedName>
    <definedName name="_PG5">#REF!</definedName>
    <definedName name="_PG6">#REF!</definedName>
    <definedName name="_PG7">#REF!</definedName>
    <definedName name="_PG8">#REF!</definedName>
    <definedName name="_PG9">#REF!</definedName>
    <definedName name="_PGE1">#REF!</definedName>
    <definedName name="_PGE10">#REF!</definedName>
    <definedName name="_PGE2">#REF!</definedName>
    <definedName name="_PGE3">#REF!</definedName>
    <definedName name="_PGE4">#REF!</definedName>
    <definedName name="_PGE5">#REF!</definedName>
    <definedName name="_PGE6">#REF!</definedName>
    <definedName name="_PGE7">#REF!</definedName>
    <definedName name="_PGE8">#REF!</definedName>
    <definedName name="_PGE9">#REF!</definedName>
    <definedName name="_pl1">#REF!</definedName>
    <definedName name="_pl9" localSheetId="18">#REF!</definedName>
    <definedName name="_pl9">#REF!</definedName>
    <definedName name="_PPE2004" localSheetId="18">#REF!</definedName>
    <definedName name="_PPE2004">#REF!</definedName>
    <definedName name="_PPE2005">#REF!</definedName>
    <definedName name="_PPE2006">#REF!</definedName>
    <definedName name="_PPE2007">#REF!</definedName>
    <definedName name="_PPE2008">#REF!</definedName>
    <definedName name="_PPE2009">#REF!</definedName>
    <definedName name="_rdd1">#REF!</definedName>
    <definedName name="_Regression_Int" hidden="1">1</definedName>
    <definedName name="_s3" localSheetId="14" hidden="1">{#N/A,#N/A,TRUE,"CONTENTS";#N/A,#N/A,TRUE,"M2";#N/A,#N/A,TRUE,"M2a";#N/A,#N/A,TRUE,"M2b";#N/A,#N/A,TRUE,"M3";#N/A,#N/A,TRUE,"M3a";#N/A,#N/A,TRUE,"M4-P";#N/A,#N/A,TRUE,"M5";#N/A,#N/A,TRUE,"M6";#N/A,#N/A,TRUE,"M7";#N/A,#N/A,TRUE,"M8";#N/A,#N/A,TRUE,"M9";#N/A,#N/A,TRUE,"M10";#N/A,#N/A,TRUE,"M11";#N/A,#N/A,TRUE,"M13";#N/A,#N/A,TRUE,"M14";#N/A,#N/A,TRUE,"M15";#N/A,#N/A,TRUE,"K1"}</definedName>
    <definedName name="_s3" localSheetId="15" hidden="1">{#N/A,#N/A,TRUE,"CONTENTS";#N/A,#N/A,TRUE,"M2";#N/A,#N/A,TRUE,"M2a";#N/A,#N/A,TRUE,"M2b";#N/A,#N/A,TRUE,"M3";#N/A,#N/A,TRUE,"M3a";#N/A,#N/A,TRUE,"M4-P";#N/A,#N/A,TRUE,"M5";#N/A,#N/A,TRUE,"M6";#N/A,#N/A,TRUE,"M7";#N/A,#N/A,TRUE,"M8";#N/A,#N/A,TRUE,"M9";#N/A,#N/A,TRUE,"M10";#N/A,#N/A,TRUE,"M11";#N/A,#N/A,TRUE,"M13";#N/A,#N/A,TRUE,"M14";#N/A,#N/A,TRUE,"M15";#N/A,#N/A,TRUE,"K1"}</definedName>
    <definedName name="_s3" localSheetId="18" hidden="1">{#N/A,#N/A,TRUE,"CONTENTS";#N/A,#N/A,TRUE,"M2";#N/A,#N/A,TRUE,"M2a";#N/A,#N/A,TRUE,"M2b";#N/A,#N/A,TRUE,"M3";#N/A,#N/A,TRUE,"M3a";#N/A,#N/A,TRUE,"M4-P";#N/A,#N/A,TRUE,"M5";#N/A,#N/A,TRUE,"M6";#N/A,#N/A,TRUE,"M7";#N/A,#N/A,TRUE,"M8";#N/A,#N/A,TRUE,"M9";#N/A,#N/A,TRUE,"M10";#N/A,#N/A,TRUE,"M11";#N/A,#N/A,TRUE,"M13";#N/A,#N/A,TRUE,"M14";#N/A,#N/A,TRUE,"M15";#N/A,#N/A,TRUE,"K1"}</definedName>
    <definedName name="_s3" localSheetId="16" hidden="1">{#N/A,#N/A,TRUE,"CONTENTS";#N/A,#N/A,TRUE,"M2";#N/A,#N/A,TRUE,"M2a";#N/A,#N/A,TRUE,"M2b";#N/A,#N/A,TRUE,"M3";#N/A,#N/A,TRUE,"M3a";#N/A,#N/A,TRUE,"M4-P";#N/A,#N/A,TRUE,"M5";#N/A,#N/A,TRUE,"M6";#N/A,#N/A,TRUE,"M7";#N/A,#N/A,TRUE,"M8";#N/A,#N/A,TRUE,"M9";#N/A,#N/A,TRUE,"M10";#N/A,#N/A,TRUE,"M11";#N/A,#N/A,TRUE,"M13";#N/A,#N/A,TRUE,"M14";#N/A,#N/A,TRUE,"M15";#N/A,#N/A,TRUE,"K1"}</definedName>
    <definedName name="_s3" localSheetId="13" hidden="1">{#N/A,#N/A,TRUE,"CONTENTS";#N/A,#N/A,TRUE,"M2";#N/A,#N/A,TRUE,"M2a";#N/A,#N/A,TRUE,"M2b";#N/A,#N/A,TRUE,"M3";#N/A,#N/A,TRUE,"M3a";#N/A,#N/A,TRUE,"M4-P";#N/A,#N/A,TRUE,"M5";#N/A,#N/A,TRUE,"M6";#N/A,#N/A,TRUE,"M7";#N/A,#N/A,TRUE,"M8";#N/A,#N/A,TRUE,"M9";#N/A,#N/A,TRUE,"M10";#N/A,#N/A,TRUE,"M11";#N/A,#N/A,TRUE,"M13";#N/A,#N/A,TRUE,"M14";#N/A,#N/A,TRUE,"M15";#N/A,#N/A,TRUE,"K1"}</definedName>
    <definedName name="_s3" localSheetId="12" hidden="1">{#N/A,#N/A,TRUE,"CONTENTS";#N/A,#N/A,TRUE,"M2";#N/A,#N/A,TRUE,"M2a";#N/A,#N/A,TRUE,"M2b";#N/A,#N/A,TRUE,"M3";#N/A,#N/A,TRUE,"M3a";#N/A,#N/A,TRUE,"M4-P";#N/A,#N/A,TRUE,"M5";#N/A,#N/A,TRUE,"M6";#N/A,#N/A,TRUE,"M7";#N/A,#N/A,TRUE,"M8";#N/A,#N/A,TRUE,"M9";#N/A,#N/A,TRUE,"M10";#N/A,#N/A,TRUE,"M11";#N/A,#N/A,TRUE,"M13";#N/A,#N/A,TRUE,"M14";#N/A,#N/A,TRUE,"M15";#N/A,#N/A,TRUE,"K1"}</definedName>
    <definedName name="_s3" hidden="1">{#N/A,#N/A,TRUE,"CONTENTS";#N/A,#N/A,TRUE,"M2";#N/A,#N/A,TRUE,"M2a";#N/A,#N/A,TRUE,"M2b";#N/A,#N/A,TRUE,"M3";#N/A,#N/A,TRUE,"M3a";#N/A,#N/A,TRUE,"M4-P";#N/A,#N/A,TRUE,"M5";#N/A,#N/A,TRUE,"M6";#N/A,#N/A,TRUE,"M7";#N/A,#N/A,TRUE,"M8";#N/A,#N/A,TRUE,"M9";#N/A,#N/A,TRUE,"M10";#N/A,#N/A,TRUE,"M11";#N/A,#N/A,TRUE,"M13";#N/A,#N/A,TRUE,"M14";#N/A,#N/A,TRUE,"M15";#N/A,#N/A,TRUE,"K1"}</definedName>
    <definedName name="_sch1" localSheetId="18">#REF!</definedName>
    <definedName name="_sch1" localSheetId="16">#REF!</definedName>
    <definedName name="_sch1" localSheetId="13">#REF!</definedName>
    <definedName name="_sch1" localSheetId="12">#REF!</definedName>
    <definedName name="_sch1">#REF!</definedName>
    <definedName name="_SCH11" localSheetId="18">#REF!</definedName>
    <definedName name="_SCH11" localSheetId="16">#REF!</definedName>
    <definedName name="_SCH11" localSheetId="13">#REF!</definedName>
    <definedName name="_SCH11" localSheetId="12">#REF!</definedName>
    <definedName name="_SCH11">#REF!</definedName>
    <definedName name="_SCH19" localSheetId="18">#REF!</definedName>
    <definedName name="_SCH19" localSheetId="16">#REF!</definedName>
    <definedName name="_SCH19" localSheetId="13">#REF!</definedName>
    <definedName name="_SCH19" localSheetId="12">#REF!</definedName>
    <definedName name="_SCH19">#REF!</definedName>
    <definedName name="_sga" localSheetId="18" hidden="1">#REF!</definedName>
    <definedName name="_sga" hidden="1">#REF!</definedName>
    <definedName name="_SGA2004">#REF!</definedName>
    <definedName name="_SGA2005">#REF!</definedName>
    <definedName name="_SGA2006">#REF!</definedName>
    <definedName name="_SGA2007">#REF!</definedName>
    <definedName name="_SGA2008">#REF!</definedName>
    <definedName name="_SGA2009">#REF!</definedName>
    <definedName name="_Sort" hidden="1">#REF!</definedName>
    <definedName name="_SSK1" localSheetId="14" hidden="1">{#N/A,#N/A,FALSE,"COMP"}</definedName>
    <definedName name="_SSK1" localSheetId="15" hidden="1">{#N/A,#N/A,FALSE,"COMP"}</definedName>
    <definedName name="_SSK1" localSheetId="18" hidden="1">{#N/A,#N/A,FALSE,"COMP"}</definedName>
    <definedName name="_SSK1" localSheetId="16" hidden="1">{#N/A,#N/A,FALSE,"COMP"}</definedName>
    <definedName name="_SSK1" localSheetId="13" hidden="1">{#N/A,#N/A,FALSE,"COMP"}</definedName>
    <definedName name="_SSK1" localSheetId="12" hidden="1">{#N/A,#N/A,FALSE,"COMP"}</definedName>
    <definedName name="_SSK1" hidden="1">{#N/A,#N/A,FALSE,"COMP"}</definedName>
    <definedName name="_Table1_In1" localSheetId="18" hidden="1">#REF!</definedName>
    <definedName name="_Table1_In1" localSheetId="16" hidden="1">#REF!</definedName>
    <definedName name="_Table1_In1" localSheetId="13" hidden="1">#REF!</definedName>
    <definedName name="_Table1_In1" localSheetId="12" hidden="1">#REF!</definedName>
    <definedName name="_Table1_In1" hidden="1">#REF!</definedName>
    <definedName name="_Table1_Out" localSheetId="16" hidden="1">#REF!</definedName>
    <definedName name="_Table1_Out" localSheetId="13" hidden="1">#REF!</definedName>
    <definedName name="_Table1_Out" localSheetId="12" hidden="1">#REF!</definedName>
    <definedName name="_Table1_Out" hidden="1">#REF!</definedName>
    <definedName name="_tamas" localSheetId="18" hidden="1">#REF!</definedName>
    <definedName name="_tamas" localSheetId="16" hidden="1">#REF!</definedName>
    <definedName name="_tamas" localSheetId="13" hidden="1">#REF!</definedName>
    <definedName name="_tamas" localSheetId="12" hidden="1">#REF!</definedName>
    <definedName name="_tamas" hidden="1">#REF!</definedName>
    <definedName name="_WB2" localSheetId="14" hidden="1">{#N/A,#N/A,FALSE,"Cash Flows";#N/A,#N/A,FALSE,"Fixed Assets";#N/A,#N/A,FALSE,"Balance Sheet";#N/A,#N/A,FALSE,"P &amp; L"}</definedName>
    <definedName name="_WB2" localSheetId="15" hidden="1">{#N/A,#N/A,FALSE,"Cash Flows";#N/A,#N/A,FALSE,"Fixed Assets";#N/A,#N/A,FALSE,"Balance Sheet";#N/A,#N/A,FALSE,"P &amp; L"}</definedName>
    <definedName name="_WB2" localSheetId="18" hidden="1">{#N/A,#N/A,FALSE,"Cash Flows";#N/A,#N/A,FALSE,"Fixed Assets";#N/A,#N/A,FALSE,"Balance Sheet";#N/A,#N/A,FALSE,"P &amp; L"}</definedName>
    <definedName name="_WB2" localSheetId="16" hidden="1">{#N/A,#N/A,FALSE,"Cash Flows";#N/A,#N/A,FALSE,"Fixed Assets";#N/A,#N/A,FALSE,"Balance Sheet";#N/A,#N/A,FALSE,"P &amp; L"}</definedName>
    <definedName name="_WB2" localSheetId="13" hidden="1">{#N/A,#N/A,FALSE,"Cash Flows";#N/A,#N/A,FALSE,"Fixed Assets";#N/A,#N/A,FALSE,"Balance Sheet";#N/A,#N/A,FALSE,"P &amp; L"}</definedName>
    <definedName name="_WB2" localSheetId="12" hidden="1">{#N/A,#N/A,FALSE,"Cash Flows";#N/A,#N/A,FALSE,"Fixed Assets";#N/A,#N/A,FALSE,"Balance Sheet";#N/A,#N/A,FALSE,"P &amp; L"}</definedName>
    <definedName name="_WB2" hidden="1">{#N/A,#N/A,FALSE,"Cash Flows";#N/A,#N/A,FALSE,"Fixed Assets";#N/A,#N/A,FALSE,"Balance Sheet";#N/A,#N/A,FALSE,"P &amp; L"}</definedName>
    <definedName name="A" localSheetId="18">#REF!</definedName>
    <definedName name="A" localSheetId="16">#REF!</definedName>
    <definedName name="A" localSheetId="13">#REF!</definedName>
    <definedName name="A" localSheetId="12">#REF!</definedName>
    <definedName name="A">#REF!</definedName>
    <definedName name="a0" localSheetId="16">#REF!</definedName>
    <definedName name="a0" localSheetId="13">#REF!</definedName>
    <definedName name="a0" localSheetId="12">#REF!</definedName>
    <definedName name="a0">#REF!</definedName>
    <definedName name="aa" localSheetId="14" hidden="1">{#N/A,#N/A,FALSE,"Cash Flows";#N/A,#N/A,FALSE,"Fixed Assets";#N/A,#N/A,FALSE,"Balance Sheet";#N/A,#N/A,FALSE,"P &amp; L"}</definedName>
    <definedName name="aa" localSheetId="15" hidden="1">{#N/A,#N/A,FALSE,"Cash Flows";#N/A,#N/A,FALSE,"Fixed Assets";#N/A,#N/A,FALSE,"Balance Sheet";#N/A,#N/A,FALSE,"P &amp; L"}</definedName>
    <definedName name="aa" localSheetId="18" hidden="1">{#N/A,#N/A,FALSE,"Cash Flows";#N/A,#N/A,FALSE,"Fixed Assets";#N/A,#N/A,FALSE,"Balance Sheet";#N/A,#N/A,FALSE,"P &amp; L"}</definedName>
    <definedName name="aa" localSheetId="16" hidden="1">{#N/A,#N/A,FALSE,"Cash Flows";#N/A,#N/A,FALSE,"Fixed Assets";#N/A,#N/A,FALSE,"Balance Sheet";#N/A,#N/A,FALSE,"P &amp; L"}</definedName>
    <definedName name="aa" localSheetId="13" hidden="1">{#N/A,#N/A,FALSE,"Cash Flows";#N/A,#N/A,FALSE,"Fixed Assets";#N/A,#N/A,FALSE,"Balance Sheet";#N/A,#N/A,FALSE,"P &amp; L"}</definedName>
    <definedName name="aa" localSheetId="12" hidden="1">{#N/A,#N/A,FALSE,"Cash Flows";#N/A,#N/A,FALSE,"Fixed Assets";#N/A,#N/A,FALSE,"Balance Sheet";#N/A,#N/A,FALSE,"P &amp; L"}</definedName>
    <definedName name="aa" hidden="1">{#N/A,#N/A,FALSE,"Cash Flows";#N/A,#N/A,FALSE,"Fixed Assets";#N/A,#N/A,FALSE,"Balance Sheet";#N/A,#N/A,FALSE,"P &amp; L"}</definedName>
    <definedName name="aaa" localSheetId="14" hidden="1">{#N/A,#N/A,FALSE,"Cash Flows";#N/A,#N/A,FALSE,"Fixed Assets";#N/A,#N/A,FALSE,"Balance Sheet";#N/A,#N/A,FALSE,"P &amp; L"}</definedName>
    <definedName name="aaa" localSheetId="15" hidden="1">{#N/A,#N/A,FALSE,"Cash Flows";#N/A,#N/A,FALSE,"Fixed Assets";#N/A,#N/A,FALSE,"Balance Sheet";#N/A,#N/A,FALSE,"P &amp; L"}</definedName>
    <definedName name="aaa" localSheetId="18" hidden="1">{#N/A,#N/A,FALSE,"Cash Flows";#N/A,#N/A,FALSE,"Fixed Assets";#N/A,#N/A,FALSE,"Balance Sheet";#N/A,#N/A,FALSE,"P &amp; L"}</definedName>
    <definedName name="aaa" localSheetId="16" hidden="1">{#N/A,#N/A,FALSE,"Cash Flows";#N/A,#N/A,FALSE,"Fixed Assets";#N/A,#N/A,FALSE,"Balance Sheet";#N/A,#N/A,FALSE,"P &amp; L"}</definedName>
    <definedName name="aaa" localSheetId="13" hidden="1">{#N/A,#N/A,FALSE,"Cash Flows";#N/A,#N/A,FALSE,"Fixed Assets";#N/A,#N/A,FALSE,"Balance Sheet";#N/A,#N/A,FALSE,"P &amp; L"}</definedName>
    <definedName name="aaa" localSheetId="12" hidden="1">{#N/A,#N/A,FALSE,"Cash Flows";#N/A,#N/A,FALSE,"Fixed Assets";#N/A,#N/A,FALSE,"Balance Sheet";#N/A,#N/A,FALSE,"P &amp; L"}</definedName>
    <definedName name="aaa" hidden="1">{#N/A,#N/A,FALSE,"Cash Flows";#N/A,#N/A,FALSE,"Fixed Assets";#N/A,#N/A,FALSE,"Balance Sheet";#N/A,#N/A,FALSE,"P &amp; L"}</definedName>
    <definedName name="aaaa" localSheetId="18">#REF!</definedName>
    <definedName name="aaaa" localSheetId="16">#REF!</definedName>
    <definedName name="aaaa" localSheetId="13">#REF!</definedName>
    <definedName name="aaaa" localSheetId="12">#REF!</definedName>
    <definedName name="aaaa">#REF!</definedName>
    <definedName name="aaaaaa" localSheetId="16">#REF!</definedName>
    <definedName name="aaaaaa" localSheetId="13">#REF!</definedName>
    <definedName name="aaaaaa" localSheetId="12">#REF!</definedName>
    <definedName name="aaaaaa">#REF!</definedName>
    <definedName name="aaud" localSheetId="16">#REF!</definedName>
    <definedName name="aaud" localSheetId="13">#REF!</definedName>
    <definedName name="aaud" localSheetId="12">#REF!</definedName>
    <definedName name="aaud">#REF!</definedName>
    <definedName name="ab" localSheetId="18">#REF!</definedName>
    <definedName name="ab">#REF!</definedName>
    <definedName name="ABC" localSheetId="18">#REF!</definedName>
    <definedName name="ABC">#REF!</definedName>
    <definedName name="abcd">#REF!</definedName>
    <definedName name="abdc">#N/A</definedName>
    <definedName name="ABRMENU">#N/A</definedName>
    <definedName name="AccessDatabase" hidden="1">"D:\Planning &amp; QS\Planning\Progress Reports\Daily Progress Report\Physical Progress.mdb"</definedName>
    <definedName name="AccPay2004" localSheetId="18">#REF!</definedName>
    <definedName name="AccPay2004" localSheetId="16">#REF!</definedName>
    <definedName name="AccPay2004" localSheetId="13">#REF!</definedName>
    <definedName name="AccPay2004" localSheetId="12">#REF!</definedName>
    <definedName name="AccPay2004">#REF!</definedName>
    <definedName name="AccPay2005" localSheetId="16">#REF!</definedName>
    <definedName name="AccPay2005" localSheetId="13">#REF!</definedName>
    <definedName name="AccPay2005" localSheetId="12">#REF!</definedName>
    <definedName name="AccPay2005">#REF!</definedName>
    <definedName name="AccPay2006" localSheetId="16">#REF!</definedName>
    <definedName name="AccPay2006" localSheetId="13">#REF!</definedName>
    <definedName name="AccPay2006" localSheetId="12">#REF!</definedName>
    <definedName name="AccPay2006">#REF!</definedName>
    <definedName name="AccPay2007">#REF!</definedName>
    <definedName name="AccPay2008">#REF!</definedName>
    <definedName name="AccPay2009">#REF!</definedName>
    <definedName name="AccRec2004">#REF!</definedName>
    <definedName name="AccRec2005">#REF!</definedName>
    <definedName name="AccRec2006">#REF!</definedName>
    <definedName name="AccRec2007">#REF!</definedName>
    <definedName name="AccRec2008">#REF!</definedName>
    <definedName name="AccRec2009">#REF!</definedName>
    <definedName name="ACCRUALS" localSheetId="18">#REF!</definedName>
    <definedName name="ACCRUALS">#REF!</definedName>
    <definedName name="ACK" localSheetId="18">#REF!</definedName>
    <definedName name="ACK">#REF!</definedName>
    <definedName name="ackcheck">#REF!</definedName>
    <definedName name="AD" localSheetId="14" hidden="1">{#N/A,#N/A,FALSE,"Cash Flows";#N/A,#N/A,FALSE,"Fixed Assets";#N/A,#N/A,FALSE,"Balance Sheet";#N/A,#N/A,FALSE,"P &amp; L"}</definedName>
    <definedName name="AD" localSheetId="15" hidden="1">{#N/A,#N/A,FALSE,"Cash Flows";#N/A,#N/A,FALSE,"Fixed Assets";#N/A,#N/A,FALSE,"Balance Sheet";#N/A,#N/A,FALSE,"P &amp; L"}</definedName>
    <definedName name="AD" localSheetId="18" hidden="1">{#N/A,#N/A,FALSE,"Cash Flows";#N/A,#N/A,FALSE,"Fixed Assets";#N/A,#N/A,FALSE,"Balance Sheet";#N/A,#N/A,FALSE,"P &amp; L"}</definedName>
    <definedName name="AD" localSheetId="16" hidden="1">{#N/A,#N/A,FALSE,"Cash Flows";#N/A,#N/A,FALSE,"Fixed Assets";#N/A,#N/A,FALSE,"Balance Sheet";#N/A,#N/A,FALSE,"P &amp; L"}</definedName>
    <definedName name="AD" localSheetId="13" hidden="1">{#N/A,#N/A,FALSE,"Cash Flows";#N/A,#N/A,FALSE,"Fixed Assets";#N/A,#N/A,FALSE,"Balance Sheet";#N/A,#N/A,FALSE,"P &amp; L"}</definedName>
    <definedName name="AD" localSheetId="12" hidden="1">{#N/A,#N/A,FALSE,"Cash Flows";#N/A,#N/A,FALSE,"Fixed Assets";#N/A,#N/A,FALSE,"Balance Sheet";#N/A,#N/A,FALSE,"P &amp; L"}</definedName>
    <definedName name="AD" hidden="1">{#N/A,#N/A,FALSE,"Cash Flows";#N/A,#N/A,FALSE,"Fixed Assets";#N/A,#N/A,FALSE,"Balance Sheet";#N/A,#N/A,FALSE,"P &amp; L"}</definedName>
    <definedName name="ADD" localSheetId="18">#REF!</definedName>
    <definedName name="ADD" localSheetId="13">#REF!</definedName>
    <definedName name="ADD">#REF!</definedName>
    <definedName name="AddInFound" localSheetId="3">#REF!</definedName>
    <definedName name="AddInFound" localSheetId="18">#REF!</definedName>
    <definedName name="AddInFound" localSheetId="16">#REF!</definedName>
    <definedName name="AddInFound" localSheetId="13">#REF!</definedName>
    <definedName name="AddInFound" localSheetId="12">#REF!</definedName>
    <definedName name="AddInFound">#REF!</definedName>
    <definedName name="additions" localSheetId="14" hidden="1">{#N/A,#N/A,FALSE,"COMP"}</definedName>
    <definedName name="additions" localSheetId="15" hidden="1">{#N/A,#N/A,FALSE,"COMP"}</definedName>
    <definedName name="additions" localSheetId="18" hidden="1">{#N/A,#N/A,FALSE,"COMP"}</definedName>
    <definedName name="additions" localSheetId="16" hidden="1">{#N/A,#N/A,FALSE,"COMP"}</definedName>
    <definedName name="additions" localSheetId="13" hidden="1">{#N/A,#N/A,FALSE,"COMP"}</definedName>
    <definedName name="additions" localSheetId="12" hidden="1">{#N/A,#N/A,FALSE,"COMP"}</definedName>
    <definedName name="additions" hidden="1">{#N/A,#N/A,FALSE,"COMP"}</definedName>
    <definedName name="Address" localSheetId="18">#REF!</definedName>
    <definedName name="Address" localSheetId="13">#REF!</definedName>
    <definedName name="Address">#REF!</definedName>
    <definedName name="ADJ_BS" localSheetId="18">#REF!</definedName>
    <definedName name="ADJ_BS" localSheetId="16">#REF!</definedName>
    <definedName name="ADJ_BS" localSheetId="13">#REF!</definedName>
    <definedName name="ADJ_BS" localSheetId="12">#REF!</definedName>
    <definedName name="ADJ_BS">#REF!</definedName>
    <definedName name="ADJ_PL" localSheetId="16">#REF!</definedName>
    <definedName name="ADJ_PL" localSheetId="13">#REF!</definedName>
    <definedName name="ADJ_PL" localSheetId="12">#REF!</definedName>
    <definedName name="ADJ_PL">#REF!</definedName>
    <definedName name="ADMIN_EXP" localSheetId="3">#REF!</definedName>
    <definedName name="ADMIN_EXP">#REF!</definedName>
    <definedName name="advances">#REF!</definedName>
    <definedName name="advancetax">#REF!</definedName>
    <definedName name="af" localSheetId="18" hidden="1">#REF!</definedName>
    <definedName name="af" hidden="1">#REF!</definedName>
    <definedName name="agno" localSheetId="18">#REF!</definedName>
    <definedName name="agno">#REF!</definedName>
    <definedName name="AHSKASK" localSheetId="14" hidden="1">{#N/A,#N/A,FALSE,"COMP"}</definedName>
    <definedName name="AHSKASK" localSheetId="15" hidden="1">{#N/A,#N/A,FALSE,"COMP"}</definedName>
    <definedName name="AHSKASK" localSheetId="18" hidden="1">{#N/A,#N/A,FALSE,"COMP"}</definedName>
    <definedName name="AHSKASK" localSheetId="16" hidden="1">{#N/A,#N/A,FALSE,"COMP"}</definedName>
    <definedName name="AHSKASK" localSheetId="13" hidden="1">{#N/A,#N/A,FALSE,"COMP"}</definedName>
    <definedName name="AHSKASK" localSheetId="12" hidden="1">{#N/A,#N/A,FALSE,"COMP"}</definedName>
    <definedName name="AHSKASK" hidden="1">{#N/A,#N/A,FALSE,"COMP"}</definedName>
    <definedName name="Air_Conditioners" localSheetId="18">#REF!</definedName>
    <definedName name="Air_Conditioners" localSheetId="16">#REF!</definedName>
    <definedName name="Air_Conditioners" localSheetId="13">#REF!</definedName>
    <definedName name="Air_Conditioners" localSheetId="12">#REF!</definedName>
    <definedName name="Air_Conditioners">#REF!</definedName>
    <definedName name="AKASH" localSheetId="16">#REF!</definedName>
    <definedName name="AKASH" localSheetId="13">#REF!</definedName>
    <definedName name="AKASH" localSheetId="12">#REF!</definedName>
    <definedName name="AKASH">#REF!</definedName>
    <definedName name="AL_2516_2" localSheetId="18">#REF!</definedName>
    <definedName name="AL_2516_2" localSheetId="16">#REF!</definedName>
    <definedName name="AL_2516_2" localSheetId="13">#REF!</definedName>
    <definedName name="AL_2516_2" localSheetId="12">#REF!</definedName>
    <definedName name="AL_2516_2">#REF!</definedName>
    <definedName name="AL_Taurus" localSheetId="18">#REF!</definedName>
    <definedName name="AL_Taurus">#REF!</definedName>
    <definedName name="AL_Taurus_1612" localSheetId="18">#REF!</definedName>
    <definedName name="AL_Taurus_1612">#REF!</definedName>
    <definedName name="AL_Taurus_5" localSheetId="18">#REF!</definedName>
    <definedName name="AL_Taurus_5">#REF!</definedName>
    <definedName name="All_data" localSheetId="18">#REF!</definedName>
    <definedName name="All_data">#REF!</definedName>
    <definedName name="alp" localSheetId="18">#REF!</definedName>
    <definedName name="alp">#REF!</definedName>
    <definedName name="altogether">#N/A</definedName>
    <definedName name="AN" localSheetId="18">#REF!</definedName>
    <definedName name="AN" localSheetId="13">#REF!</definedName>
    <definedName name="AN">#REF!</definedName>
    <definedName name="AN_0" localSheetId="18">#REF!</definedName>
    <definedName name="AN_0" localSheetId="16">#REF!</definedName>
    <definedName name="AN_0" localSheetId="13">#REF!</definedName>
    <definedName name="AN_0" localSheetId="12">#REF!</definedName>
    <definedName name="AN_0">#REF!</definedName>
    <definedName name="AN_1" localSheetId="18">#REF!</definedName>
    <definedName name="AN_1" localSheetId="16">#REF!</definedName>
    <definedName name="AN_1" localSheetId="13">#REF!</definedName>
    <definedName name="AN_1" localSheetId="12">#REF!</definedName>
    <definedName name="AN_1">#REF!</definedName>
    <definedName name="AN_2" localSheetId="18">#REF!</definedName>
    <definedName name="AN_2">#REF!</definedName>
    <definedName name="AN_3" localSheetId="18">#REF!</definedName>
    <definedName name="AN_3">#REF!</definedName>
    <definedName name="AN_4" localSheetId="18">#REF!</definedName>
    <definedName name="AN_4">#REF!</definedName>
    <definedName name="AN_5" localSheetId="18">#REF!</definedName>
    <definedName name="AN_5">#REF!</definedName>
    <definedName name="anil" localSheetId="18">#REF!</definedName>
    <definedName name="anil">#REF!</definedName>
    <definedName name="ann">#REF!</definedName>
    <definedName name="ANN26C" localSheetId="18">#REF!</definedName>
    <definedName name="ANN26C">#REF!</definedName>
    <definedName name="ANN26J" localSheetId="18">#REF!</definedName>
    <definedName name="ANN26J">#REF!</definedName>
    <definedName name="ann2AA" localSheetId="18">#REF!</definedName>
    <definedName name="ann2AA">#REF!</definedName>
    <definedName name="ann3AA" localSheetId="18">#REF!</definedName>
    <definedName name="ann3AA">#REF!</definedName>
    <definedName name="ANNEXURE_1" localSheetId="18">#REF!</definedName>
    <definedName name="ANNEXURE_1">#REF!</definedName>
    <definedName name="ANNEXURE_2">#REF!</definedName>
    <definedName name="ANNEXURE_3">#REF!</definedName>
    <definedName name="ANNEXURE_4">#REF!</definedName>
    <definedName name="Annexure1">#REF!</definedName>
    <definedName name="Annexure2">#REF!</definedName>
    <definedName name="annexure6revised" localSheetId="1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localSheetId="1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localSheetId="18"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localSheetId="1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localSheetId="1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localSheetId="12"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6revised"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AnnexurePART1" localSheetId="18">#REF!</definedName>
    <definedName name="AnnexurePART1" localSheetId="16">#REF!</definedName>
    <definedName name="AnnexurePART1" localSheetId="13">#REF!</definedName>
    <definedName name="AnnexurePART1" localSheetId="12">#REF!</definedName>
    <definedName name="AnnexurePART1">#REF!</definedName>
    <definedName name="ap" localSheetId="16">#REF!</definedName>
    <definedName name="ap" localSheetId="13">#REF!</definedName>
    <definedName name="ap" localSheetId="12">#REF!</definedName>
    <definedName name="ap">#REF!</definedName>
    <definedName name="Apollo_paver" localSheetId="18">#REF!</definedName>
    <definedName name="Apollo_paver" localSheetId="16">#REF!</definedName>
    <definedName name="Apollo_paver" localSheetId="13">#REF!</definedName>
    <definedName name="Apollo_paver" localSheetId="12">#REF!</definedName>
    <definedName name="Apollo_paver">#REF!</definedName>
    <definedName name="ARAP_Aging" localSheetId="18">#REF!</definedName>
    <definedName name="ARAP_Aging">#REF!</definedName>
    <definedName name="area1">#REF!</definedName>
    <definedName name="area1M" localSheetId="18">#REF!</definedName>
    <definedName name="area1M">#REF!</definedName>
    <definedName name="area1Y" localSheetId="18">#REF!</definedName>
    <definedName name="area1Y">#REF!</definedName>
    <definedName name="area2" localSheetId="18">#REF!</definedName>
    <definedName name="area2">#REF!</definedName>
    <definedName name="area2M" localSheetId="18">#REF!</definedName>
    <definedName name="area2M">#REF!</definedName>
    <definedName name="area2Y" localSheetId="18">#REF!</definedName>
    <definedName name="area2Y">#REF!</definedName>
    <definedName name="area3" localSheetId="18">#REF!</definedName>
    <definedName name="area3">#REF!</definedName>
    <definedName name="area3M" localSheetId="18">#REF!</definedName>
    <definedName name="area3M">#REF!</definedName>
    <definedName name="area3Y" localSheetId="18">#REF!</definedName>
    <definedName name="area3Y">#REF!</definedName>
    <definedName name="area4" localSheetId="18">#REF!</definedName>
    <definedName name="area4">#REF!</definedName>
    <definedName name="area4M" localSheetId="18">#REF!</definedName>
    <definedName name="area4M">#REF!</definedName>
    <definedName name="area4Y" localSheetId="18">#REF!</definedName>
    <definedName name="area4Y">#REF!</definedName>
    <definedName name="as" localSheetId="14" hidden="1">{#N/A,#N/A,FALSE,"COMP"}</definedName>
    <definedName name="as" localSheetId="15" hidden="1">{#N/A,#N/A,FALSE,"COMP"}</definedName>
    <definedName name="as" localSheetId="18" hidden="1">{#N/A,#N/A,FALSE,"COMP"}</definedName>
    <definedName name="as" localSheetId="16" hidden="1">{#N/A,#N/A,FALSE,"COMP"}</definedName>
    <definedName name="as" localSheetId="13" hidden="1">{#N/A,#N/A,FALSE,"COMP"}</definedName>
    <definedName name="as" localSheetId="12" hidden="1">{#N/A,#N/A,FALSE,"COMP"}</definedName>
    <definedName name="as" hidden="1">{#N/A,#N/A,FALSE,"COMP"}</definedName>
    <definedName name="AS2DocOpenMode" hidden="1">"AS2DocumentEdit"</definedName>
    <definedName name="AS2ReportLS" hidden="1">1</definedName>
    <definedName name="AS2SyncStepLS" hidden="1">0</definedName>
    <definedName name="AS2TickmarkLS" hidden="1">#REF!</definedName>
    <definedName name="AS2VersionLS" hidden="1">300</definedName>
    <definedName name="asd" localSheetId="14" hidden="1">{#N/A,#N/A,FALSE,"Cash Flows";#N/A,#N/A,FALSE,"Fixed Assets";#N/A,#N/A,FALSE,"Balance Sheet";#N/A,#N/A,FALSE,"P &amp; L"}</definedName>
    <definedName name="asd" localSheetId="15" hidden="1">{#N/A,#N/A,FALSE,"Cash Flows";#N/A,#N/A,FALSE,"Fixed Assets";#N/A,#N/A,FALSE,"Balance Sheet";#N/A,#N/A,FALSE,"P &amp; L"}</definedName>
    <definedName name="asd" localSheetId="18" hidden="1">{#N/A,#N/A,FALSE,"Cash Flows";#N/A,#N/A,FALSE,"Fixed Assets";#N/A,#N/A,FALSE,"Balance Sheet";#N/A,#N/A,FALSE,"P &amp; L"}</definedName>
    <definedName name="asd" localSheetId="16" hidden="1">{#N/A,#N/A,FALSE,"Cash Flows";#N/A,#N/A,FALSE,"Fixed Assets";#N/A,#N/A,FALSE,"Balance Sheet";#N/A,#N/A,FALSE,"P &amp; L"}</definedName>
    <definedName name="asd" localSheetId="13" hidden="1">{#N/A,#N/A,FALSE,"Cash Flows";#N/A,#N/A,FALSE,"Fixed Assets";#N/A,#N/A,FALSE,"Balance Sheet";#N/A,#N/A,FALSE,"P &amp; L"}</definedName>
    <definedName name="asd" localSheetId="12" hidden="1">{#N/A,#N/A,FALSE,"Cash Flows";#N/A,#N/A,FALSE,"Fixed Assets";#N/A,#N/A,FALSE,"Balance Sheet";#N/A,#N/A,FALSE,"P &amp; L"}</definedName>
    <definedName name="asd" hidden="1">{#N/A,#N/A,FALSE,"Cash Flows";#N/A,#N/A,FALSE,"Fixed Assets";#N/A,#N/A,FALSE,"Balance Sheet";#N/A,#N/A,FALSE,"P &amp; L"}</definedName>
    <definedName name="asda" localSheetId="14" hidden="1">{#N/A,#N/A,FALSE,"Cash Flows";#N/A,#N/A,FALSE,"Fixed Assets";#N/A,#N/A,FALSE,"Balance Sheet";#N/A,#N/A,FALSE,"P &amp; L"}</definedName>
    <definedName name="asda" localSheetId="15" hidden="1">{#N/A,#N/A,FALSE,"Cash Flows";#N/A,#N/A,FALSE,"Fixed Assets";#N/A,#N/A,FALSE,"Balance Sheet";#N/A,#N/A,FALSE,"P &amp; L"}</definedName>
    <definedName name="asda" localSheetId="18" hidden="1">{#N/A,#N/A,FALSE,"Cash Flows";#N/A,#N/A,FALSE,"Fixed Assets";#N/A,#N/A,FALSE,"Balance Sheet";#N/A,#N/A,FALSE,"P &amp; L"}</definedName>
    <definedName name="asda" localSheetId="16" hidden="1">{#N/A,#N/A,FALSE,"Cash Flows";#N/A,#N/A,FALSE,"Fixed Assets";#N/A,#N/A,FALSE,"Balance Sheet";#N/A,#N/A,FALSE,"P &amp; L"}</definedName>
    <definedName name="asda" localSheetId="13" hidden="1">{#N/A,#N/A,FALSE,"Cash Flows";#N/A,#N/A,FALSE,"Fixed Assets";#N/A,#N/A,FALSE,"Balance Sheet";#N/A,#N/A,FALSE,"P &amp; L"}</definedName>
    <definedName name="asda" localSheetId="12" hidden="1">{#N/A,#N/A,FALSE,"Cash Flows";#N/A,#N/A,FALSE,"Fixed Assets";#N/A,#N/A,FALSE,"Balance Sheet";#N/A,#N/A,FALSE,"P &amp; L"}</definedName>
    <definedName name="asda" hidden="1">{#N/A,#N/A,FALSE,"Cash Flows";#N/A,#N/A,FALSE,"Fixed Assets";#N/A,#N/A,FALSE,"Balance Sheet";#N/A,#N/A,FALSE,"P &amp; L"}</definedName>
    <definedName name="asda1" localSheetId="14" hidden="1">{#N/A,#N/A,FALSE,"Cash Flows";#N/A,#N/A,FALSE,"Fixed Assets";#N/A,#N/A,FALSE,"Balance Sheet";#N/A,#N/A,FALSE,"P &amp; L"}</definedName>
    <definedName name="asda1" localSheetId="15" hidden="1">{#N/A,#N/A,FALSE,"Cash Flows";#N/A,#N/A,FALSE,"Fixed Assets";#N/A,#N/A,FALSE,"Balance Sheet";#N/A,#N/A,FALSE,"P &amp; L"}</definedName>
    <definedName name="asda1" localSheetId="18" hidden="1">{#N/A,#N/A,FALSE,"Cash Flows";#N/A,#N/A,FALSE,"Fixed Assets";#N/A,#N/A,FALSE,"Balance Sheet";#N/A,#N/A,FALSE,"P &amp; L"}</definedName>
    <definedName name="asda1" localSheetId="16" hidden="1">{#N/A,#N/A,FALSE,"Cash Flows";#N/A,#N/A,FALSE,"Fixed Assets";#N/A,#N/A,FALSE,"Balance Sheet";#N/A,#N/A,FALSE,"P &amp; L"}</definedName>
    <definedName name="asda1" localSheetId="13" hidden="1">{#N/A,#N/A,FALSE,"Cash Flows";#N/A,#N/A,FALSE,"Fixed Assets";#N/A,#N/A,FALSE,"Balance Sheet";#N/A,#N/A,FALSE,"P &amp; L"}</definedName>
    <definedName name="asda1" localSheetId="12" hidden="1">{#N/A,#N/A,FALSE,"Cash Flows";#N/A,#N/A,FALSE,"Fixed Assets";#N/A,#N/A,FALSE,"Balance Sheet";#N/A,#N/A,FALSE,"P &amp; L"}</definedName>
    <definedName name="asda1" hidden="1">{#N/A,#N/A,FALSE,"Cash Flows";#N/A,#N/A,FALSE,"Fixed Assets";#N/A,#N/A,FALSE,"Balance Sheet";#N/A,#N/A,FALSE,"P &amp; L"}</definedName>
    <definedName name="asda10" localSheetId="14" hidden="1">{#N/A,#N/A,FALSE,"Cash Flows";#N/A,#N/A,FALSE,"Fixed Assets";#N/A,#N/A,FALSE,"Balance Sheet";#N/A,#N/A,FALSE,"P &amp; L"}</definedName>
    <definedName name="asda10" localSheetId="15" hidden="1">{#N/A,#N/A,FALSE,"Cash Flows";#N/A,#N/A,FALSE,"Fixed Assets";#N/A,#N/A,FALSE,"Balance Sheet";#N/A,#N/A,FALSE,"P &amp; L"}</definedName>
    <definedName name="asda10" localSheetId="18" hidden="1">{#N/A,#N/A,FALSE,"Cash Flows";#N/A,#N/A,FALSE,"Fixed Assets";#N/A,#N/A,FALSE,"Balance Sheet";#N/A,#N/A,FALSE,"P &amp; L"}</definedName>
    <definedName name="asda10" localSheetId="16" hidden="1">{#N/A,#N/A,FALSE,"Cash Flows";#N/A,#N/A,FALSE,"Fixed Assets";#N/A,#N/A,FALSE,"Balance Sheet";#N/A,#N/A,FALSE,"P &amp; L"}</definedName>
    <definedName name="asda10" localSheetId="13" hidden="1">{#N/A,#N/A,FALSE,"Cash Flows";#N/A,#N/A,FALSE,"Fixed Assets";#N/A,#N/A,FALSE,"Balance Sheet";#N/A,#N/A,FALSE,"P &amp; L"}</definedName>
    <definedName name="asda10" localSheetId="12" hidden="1">{#N/A,#N/A,FALSE,"Cash Flows";#N/A,#N/A,FALSE,"Fixed Assets";#N/A,#N/A,FALSE,"Balance Sheet";#N/A,#N/A,FALSE,"P &amp; L"}</definedName>
    <definedName name="asda10" hidden="1">{#N/A,#N/A,FALSE,"Cash Flows";#N/A,#N/A,FALSE,"Fixed Assets";#N/A,#N/A,FALSE,"Balance Sheet";#N/A,#N/A,FALSE,"P &amp; L"}</definedName>
    <definedName name="asda11" localSheetId="14" hidden="1">{#N/A,#N/A,FALSE,"Cash Flows";#N/A,#N/A,FALSE,"Fixed Assets";#N/A,#N/A,FALSE,"Balance Sheet";#N/A,#N/A,FALSE,"P &amp; L"}</definedName>
    <definedName name="asda11" localSheetId="15" hidden="1">{#N/A,#N/A,FALSE,"Cash Flows";#N/A,#N/A,FALSE,"Fixed Assets";#N/A,#N/A,FALSE,"Balance Sheet";#N/A,#N/A,FALSE,"P &amp; L"}</definedName>
    <definedName name="asda11" localSheetId="18" hidden="1">{#N/A,#N/A,FALSE,"Cash Flows";#N/A,#N/A,FALSE,"Fixed Assets";#N/A,#N/A,FALSE,"Balance Sheet";#N/A,#N/A,FALSE,"P &amp; L"}</definedName>
    <definedName name="asda11" localSheetId="16" hidden="1">{#N/A,#N/A,FALSE,"Cash Flows";#N/A,#N/A,FALSE,"Fixed Assets";#N/A,#N/A,FALSE,"Balance Sheet";#N/A,#N/A,FALSE,"P &amp; L"}</definedName>
    <definedName name="asda11" localSheetId="13" hidden="1">{#N/A,#N/A,FALSE,"Cash Flows";#N/A,#N/A,FALSE,"Fixed Assets";#N/A,#N/A,FALSE,"Balance Sheet";#N/A,#N/A,FALSE,"P &amp; L"}</definedName>
    <definedName name="asda11" localSheetId="12" hidden="1">{#N/A,#N/A,FALSE,"Cash Flows";#N/A,#N/A,FALSE,"Fixed Assets";#N/A,#N/A,FALSE,"Balance Sheet";#N/A,#N/A,FALSE,"P &amp; L"}</definedName>
    <definedName name="asda11" hidden="1">{#N/A,#N/A,FALSE,"Cash Flows";#N/A,#N/A,FALSE,"Fixed Assets";#N/A,#N/A,FALSE,"Balance Sheet";#N/A,#N/A,FALSE,"P &amp; L"}</definedName>
    <definedName name="asda12" localSheetId="14" hidden="1">{#N/A,#N/A,FALSE,"Cash Flows";#N/A,#N/A,FALSE,"Fixed Assets";#N/A,#N/A,FALSE,"Balance Sheet";#N/A,#N/A,FALSE,"P &amp; L"}</definedName>
    <definedName name="asda12" localSheetId="15" hidden="1">{#N/A,#N/A,FALSE,"Cash Flows";#N/A,#N/A,FALSE,"Fixed Assets";#N/A,#N/A,FALSE,"Balance Sheet";#N/A,#N/A,FALSE,"P &amp; L"}</definedName>
    <definedName name="asda12" localSheetId="18" hidden="1">{#N/A,#N/A,FALSE,"Cash Flows";#N/A,#N/A,FALSE,"Fixed Assets";#N/A,#N/A,FALSE,"Balance Sheet";#N/A,#N/A,FALSE,"P &amp; L"}</definedName>
    <definedName name="asda12" localSheetId="16" hidden="1">{#N/A,#N/A,FALSE,"Cash Flows";#N/A,#N/A,FALSE,"Fixed Assets";#N/A,#N/A,FALSE,"Balance Sheet";#N/A,#N/A,FALSE,"P &amp; L"}</definedName>
    <definedName name="asda12" localSheetId="13" hidden="1">{#N/A,#N/A,FALSE,"Cash Flows";#N/A,#N/A,FALSE,"Fixed Assets";#N/A,#N/A,FALSE,"Balance Sheet";#N/A,#N/A,FALSE,"P &amp; L"}</definedName>
    <definedName name="asda12" localSheetId="12" hidden="1">{#N/A,#N/A,FALSE,"Cash Flows";#N/A,#N/A,FALSE,"Fixed Assets";#N/A,#N/A,FALSE,"Balance Sheet";#N/A,#N/A,FALSE,"P &amp; L"}</definedName>
    <definedName name="asda12" hidden="1">{#N/A,#N/A,FALSE,"Cash Flows";#N/A,#N/A,FALSE,"Fixed Assets";#N/A,#N/A,FALSE,"Balance Sheet";#N/A,#N/A,FALSE,"P &amp; L"}</definedName>
    <definedName name="asda2" localSheetId="14" hidden="1">{#N/A,#N/A,FALSE,"Cash Flows";#N/A,#N/A,FALSE,"Fixed Assets";#N/A,#N/A,FALSE,"Balance Sheet";#N/A,#N/A,FALSE,"P &amp; L"}</definedName>
    <definedName name="asda2" localSheetId="15" hidden="1">{#N/A,#N/A,FALSE,"Cash Flows";#N/A,#N/A,FALSE,"Fixed Assets";#N/A,#N/A,FALSE,"Balance Sheet";#N/A,#N/A,FALSE,"P &amp; L"}</definedName>
    <definedName name="asda2" localSheetId="18" hidden="1">{#N/A,#N/A,FALSE,"Cash Flows";#N/A,#N/A,FALSE,"Fixed Assets";#N/A,#N/A,FALSE,"Balance Sheet";#N/A,#N/A,FALSE,"P &amp; L"}</definedName>
    <definedName name="asda2" localSheetId="16" hidden="1">{#N/A,#N/A,FALSE,"Cash Flows";#N/A,#N/A,FALSE,"Fixed Assets";#N/A,#N/A,FALSE,"Balance Sheet";#N/A,#N/A,FALSE,"P &amp; L"}</definedName>
    <definedName name="asda2" localSheetId="13" hidden="1">{#N/A,#N/A,FALSE,"Cash Flows";#N/A,#N/A,FALSE,"Fixed Assets";#N/A,#N/A,FALSE,"Balance Sheet";#N/A,#N/A,FALSE,"P &amp; L"}</definedName>
    <definedName name="asda2" localSheetId="12" hidden="1">{#N/A,#N/A,FALSE,"Cash Flows";#N/A,#N/A,FALSE,"Fixed Assets";#N/A,#N/A,FALSE,"Balance Sheet";#N/A,#N/A,FALSE,"P &amp; L"}</definedName>
    <definedName name="asda2" hidden="1">{#N/A,#N/A,FALSE,"Cash Flows";#N/A,#N/A,FALSE,"Fixed Assets";#N/A,#N/A,FALSE,"Balance Sheet";#N/A,#N/A,FALSE,"P &amp; L"}</definedName>
    <definedName name="asda21" localSheetId="14" hidden="1">{#N/A,#N/A,FALSE,"Cash Flows";#N/A,#N/A,FALSE,"Fixed Assets";#N/A,#N/A,FALSE,"Balance Sheet";#N/A,#N/A,FALSE,"P &amp; L"}</definedName>
    <definedName name="asda21" localSheetId="15" hidden="1">{#N/A,#N/A,FALSE,"Cash Flows";#N/A,#N/A,FALSE,"Fixed Assets";#N/A,#N/A,FALSE,"Balance Sheet";#N/A,#N/A,FALSE,"P &amp; L"}</definedName>
    <definedName name="asda21" localSheetId="18" hidden="1">{#N/A,#N/A,FALSE,"Cash Flows";#N/A,#N/A,FALSE,"Fixed Assets";#N/A,#N/A,FALSE,"Balance Sheet";#N/A,#N/A,FALSE,"P &amp; L"}</definedName>
    <definedName name="asda21" localSheetId="16" hidden="1">{#N/A,#N/A,FALSE,"Cash Flows";#N/A,#N/A,FALSE,"Fixed Assets";#N/A,#N/A,FALSE,"Balance Sheet";#N/A,#N/A,FALSE,"P &amp; L"}</definedName>
    <definedName name="asda21" localSheetId="13" hidden="1">{#N/A,#N/A,FALSE,"Cash Flows";#N/A,#N/A,FALSE,"Fixed Assets";#N/A,#N/A,FALSE,"Balance Sheet";#N/A,#N/A,FALSE,"P &amp; L"}</definedName>
    <definedName name="asda21" localSheetId="12" hidden="1">{#N/A,#N/A,FALSE,"Cash Flows";#N/A,#N/A,FALSE,"Fixed Assets";#N/A,#N/A,FALSE,"Balance Sheet";#N/A,#N/A,FALSE,"P &amp; L"}</definedName>
    <definedName name="asda21" hidden="1">{#N/A,#N/A,FALSE,"Cash Flows";#N/A,#N/A,FALSE,"Fixed Assets";#N/A,#N/A,FALSE,"Balance Sheet";#N/A,#N/A,FALSE,"P &amp; L"}</definedName>
    <definedName name="asda22" localSheetId="14" hidden="1">{#N/A,#N/A,FALSE,"Cash Flows";#N/A,#N/A,FALSE,"Fixed Assets";#N/A,#N/A,FALSE,"Balance Sheet";#N/A,#N/A,FALSE,"P &amp; L"}</definedName>
    <definedName name="asda22" localSheetId="15" hidden="1">{#N/A,#N/A,FALSE,"Cash Flows";#N/A,#N/A,FALSE,"Fixed Assets";#N/A,#N/A,FALSE,"Balance Sheet";#N/A,#N/A,FALSE,"P &amp; L"}</definedName>
    <definedName name="asda22" localSheetId="18" hidden="1">{#N/A,#N/A,FALSE,"Cash Flows";#N/A,#N/A,FALSE,"Fixed Assets";#N/A,#N/A,FALSE,"Balance Sheet";#N/A,#N/A,FALSE,"P &amp; L"}</definedName>
    <definedName name="asda22" localSheetId="16" hidden="1">{#N/A,#N/A,FALSE,"Cash Flows";#N/A,#N/A,FALSE,"Fixed Assets";#N/A,#N/A,FALSE,"Balance Sheet";#N/A,#N/A,FALSE,"P &amp; L"}</definedName>
    <definedName name="asda22" localSheetId="13" hidden="1">{#N/A,#N/A,FALSE,"Cash Flows";#N/A,#N/A,FALSE,"Fixed Assets";#N/A,#N/A,FALSE,"Balance Sheet";#N/A,#N/A,FALSE,"P &amp; L"}</definedName>
    <definedName name="asda22" localSheetId="12" hidden="1">{#N/A,#N/A,FALSE,"Cash Flows";#N/A,#N/A,FALSE,"Fixed Assets";#N/A,#N/A,FALSE,"Balance Sheet";#N/A,#N/A,FALSE,"P &amp; L"}</definedName>
    <definedName name="asda22" hidden="1">{#N/A,#N/A,FALSE,"Cash Flows";#N/A,#N/A,FALSE,"Fixed Assets";#N/A,#N/A,FALSE,"Balance Sheet";#N/A,#N/A,FALSE,"P &amp; L"}</definedName>
    <definedName name="asda24" localSheetId="14" hidden="1">{#N/A,#N/A,FALSE,"Cash Flows";#N/A,#N/A,FALSE,"Fixed Assets";#N/A,#N/A,FALSE,"Balance Sheet";#N/A,#N/A,FALSE,"P &amp; L"}</definedName>
    <definedName name="asda24" localSheetId="15" hidden="1">{#N/A,#N/A,FALSE,"Cash Flows";#N/A,#N/A,FALSE,"Fixed Assets";#N/A,#N/A,FALSE,"Balance Sheet";#N/A,#N/A,FALSE,"P &amp; L"}</definedName>
    <definedName name="asda24" localSheetId="18" hidden="1">{#N/A,#N/A,FALSE,"Cash Flows";#N/A,#N/A,FALSE,"Fixed Assets";#N/A,#N/A,FALSE,"Balance Sheet";#N/A,#N/A,FALSE,"P &amp; L"}</definedName>
    <definedName name="asda24" localSheetId="16" hidden="1">{#N/A,#N/A,FALSE,"Cash Flows";#N/A,#N/A,FALSE,"Fixed Assets";#N/A,#N/A,FALSE,"Balance Sheet";#N/A,#N/A,FALSE,"P &amp; L"}</definedName>
    <definedName name="asda24" localSheetId="13" hidden="1">{#N/A,#N/A,FALSE,"Cash Flows";#N/A,#N/A,FALSE,"Fixed Assets";#N/A,#N/A,FALSE,"Balance Sheet";#N/A,#N/A,FALSE,"P &amp; L"}</definedName>
    <definedName name="asda24" localSheetId="12" hidden="1">{#N/A,#N/A,FALSE,"Cash Flows";#N/A,#N/A,FALSE,"Fixed Assets";#N/A,#N/A,FALSE,"Balance Sheet";#N/A,#N/A,FALSE,"P &amp; L"}</definedName>
    <definedName name="asda24" hidden="1">{#N/A,#N/A,FALSE,"Cash Flows";#N/A,#N/A,FALSE,"Fixed Assets";#N/A,#N/A,FALSE,"Balance Sheet";#N/A,#N/A,FALSE,"P &amp; L"}</definedName>
    <definedName name="asda8" localSheetId="14" hidden="1">{#N/A,#N/A,FALSE,"Cash Flows";#N/A,#N/A,FALSE,"Fixed Assets";#N/A,#N/A,FALSE,"Balance Sheet";#N/A,#N/A,FALSE,"P &amp; L"}</definedName>
    <definedName name="asda8" localSheetId="15" hidden="1">{#N/A,#N/A,FALSE,"Cash Flows";#N/A,#N/A,FALSE,"Fixed Assets";#N/A,#N/A,FALSE,"Balance Sheet";#N/A,#N/A,FALSE,"P &amp; L"}</definedName>
    <definedName name="asda8" localSheetId="18" hidden="1">{#N/A,#N/A,FALSE,"Cash Flows";#N/A,#N/A,FALSE,"Fixed Assets";#N/A,#N/A,FALSE,"Balance Sheet";#N/A,#N/A,FALSE,"P &amp; L"}</definedName>
    <definedName name="asda8" localSheetId="16" hidden="1">{#N/A,#N/A,FALSE,"Cash Flows";#N/A,#N/A,FALSE,"Fixed Assets";#N/A,#N/A,FALSE,"Balance Sheet";#N/A,#N/A,FALSE,"P &amp; L"}</definedName>
    <definedName name="asda8" localSheetId="13" hidden="1">{#N/A,#N/A,FALSE,"Cash Flows";#N/A,#N/A,FALSE,"Fixed Assets";#N/A,#N/A,FALSE,"Balance Sheet";#N/A,#N/A,FALSE,"P &amp; L"}</definedName>
    <definedName name="asda8" localSheetId="12" hidden="1">{#N/A,#N/A,FALSE,"Cash Flows";#N/A,#N/A,FALSE,"Fixed Assets";#N/A,#N/A,FALSE,"Balance Sheet";#N/A,#N/A,FALSE,"P &amp; L"}</definedName>
    <definedName name="asda8" hidden="1">{#N/A,#N/A,FALSE,"Cash Flows";#N/A,#N/A,FALSE,"Fixed Assets";#N/A,#N/A,FALSE,"Balance Sheet";#N/A,#N/A,FALSE,"P &amp; L"}</definedName>
    <definedName name="ASDAD" localSheetId="14" hidden="1">{"P1",#N/A,TRUE,"P1";"P2",#N/A,TRUE,"P2"}</definedName>
    <definedName name="ASDAD" localSheetId="15" hidden="1">{"P1",#N/A,TRUE,"P1";"P2",#N/A,TRUE,"P2"}</definedName>
    <definedName name="ASDAD" localSheetId="18" hidden="1">{"P1",#N/A,TRUE,"P1";"P2",#N/A,TRUE,"P2"}</definedName>
    <definedName name="ASDAD" localSheetId="16" hidden="1">{"P1",#N/A,TRUE,"P1";"P2",#N/A,TRUE,"P2"}</definedName>
    <definedName name="ASDAD" localSheetId="13" hidden="1">{"P1",#N/A,TRUE,"P1";"P2",#N/A,TRUE,"P2"}</definedName>
    <definedName name="ASDAD" localSheetId="12" hidden="1">{"P1",#N/A,TRUE,"P1";"P2",#N/A,TRUE,"P2"}</definedName>
    <definedName name="ASDAD" hidden="1">{"P1",#N/A,TRUE,"P1";"P2",#N/A,TRUE,"P2"}</definedName>
    <definedName name="asdasdasd" localSheetId="14" hidden="1">{#N/A,#N/A,FALSE,"COMP"}</definedName>
    <definedName name="asdasdasd" localSheetId="15" hidden="1">{#N/A,#N/A,FALSE,"COMP"}</definedName>
    <definedName name="asdasdasd" localSheetId="18" hidden="1">{#N/A,#N/A,FALSE,"COMP"}</definedName>
    <definedName name="asdasdasd" localSheetId="16" hidden="1">{#N/A,#N/A,FALSE,"COMP"}</definedName>
    <definedName name="asdasdasd" localSheetId="13" hidden="1">{#N/A,#N/A,FALSE,"COMP"}</definedName>
    <definedName name="asdasdasd" localSheetId="12" hidden="1">{#N/A,#N/A,FALSE,"COMP"}</definedName>
    <definedName name="asdasdasd" hidden="1">{#N/A,#N/A,FALSE,"COMP"}</definedName>
    <definedName name="ASET" localSheetId="18">#REF!</definedName>
    <definedName name="ASET" localSheetId="13">#REF!</definedName>
    <definedName name="ASET">#REF!</definedName>
    <definedName name="asfsdf" localSheetId="14" hidden="1">{#N/A,#N/A,FALSE,"COMP"}</definedName>
    <definedName name="asfsdf" localSheetId="15" hidden="1">{#N/A,#N/A,FALSE,"COMP"}</definedName>
    <definedName name="asfsdf" localSheetId="18" hidden="1">{#N/A,#N/A,FALSE,"COMP"}</definedName>
    <definedName name="asfsdf" localSheetId="16" hidden="1">{#N/A,#N/A,FALSE,"COMP"}</definedName>
    <definedName name="asfsdf" localSheetId="13" hidden="1">{#N/A,#N/A,FALSE,"COMP"}</definedName>
    <definedName name="asfsdf" localSheetId="12" hidden="1">{#N/A,#N/A,FALSE,"COMP"}</definedName>
    <definedName name="asfsdf" hidden="1">{#N/A,#N/A,FALSE,"COMP"}</definedName>
    <definedName name="ASIA_PLASTIC_in_KUSD" localSheetId="18">#REF!</definedName>
    <definedName name="ASIA_PLASTIC_in_KUSD" localSheetId="16">#REF!</definedName>
    <definedName name="ASIA_PLASTIC_in_KUSD" localSheetId="13">#REF!</definedName>
    <definedName name="ASIA_PLASTIC_in_KUSD" localSheetId="12">#REF!</definedName>
    <definedName name="ASIA_PLASTIC_in_KUSD">#REF!</definedName>
    <definedName name="AsiaGRP" localSheetId="18">#REF!</definedName>
    <definedName name="AsiaGRP" localSheetId="16">#REF!</definedName>
    <definedName name="AsiaGRP" localSheetId="13">#REF!</definedName>
    <definedName name="AsiaGRP" localSheetId="12">#REF!</definedName>
    <definedName name="AsiaGRP">#REF!</definedName>
    <definedName name="ass" localSheetId="14" hidden="1">{#N/A,#N/A,FALSE,"COMP"}</definedName>
    <definedName name="ass" localSheetId="15" hidden="1">{#N/A,#N/A,FALSE,"COMP"}</definedName>
    <definedName name="ass" localSheetId="18" hidden="1">{#N/A,#N/A,FALSE,"COMP"}</definedName>
    <definedName name="ass" localSheetId="16" hidden="1">{#N/A,#N/A,FALSE,"COMP"}</definedName>
    <definedName name="ass" localSheetId="13" hidden="1">{#N/A,#N/A,FALSE,"COMP"}</definedName>
    <definedName name="ass" localSheetId="12" hidden="1">{#N/A,#N/A,FALSE,"COMP"}</definedName>
    <definedName name="ass" hidden="1">{#N/A,#N/A,FALSE,"COMP"}</definedName>
    <definedName name="ass_cc" localSheetId="18">#REF!</definedName>
    <definedName name="ass_cc" localSheetId="13">#REF!</definedName>
    <definedName name="ass_cc">#REF!</definedName>
    <definedName name="ASS_POFT" localSheetId="18">#REF!</definedName>
    <definedName name="ASS_POFT" localSheetId="16">#REF!</definedName>
    <definedName name="ASS_POFT" localSheetId="13">#REF!</definedName>
    <definedName name="ASS_POFT" localSheetId="12">#REF!</definedName>
    <definedName name="ASS_POFT">#REF!</definedName>
    <definedName name="asset" localSheetId="16">#REF!</definedName>
    <definedName name="asset" localSheetId="13">#REF!</definedName>
    <definedName name="asset" localSheetId="12">#REF!</definedName>
    <definedName name="asset">#REF!</definedName>
    <definedName name="asset1">#REF!</definedName>
    <definedName name="assets">#REF!</definedName>
    <definedName name="ASSMPT">#REF!</definedName>
    <definedName name="AsstYr" localSheetId="18">#REF!</definedName>
    <definedName name="AsstYr">#REF!</definedName>
    <definedName name="at" localSheetId="18">#REF!</definedName>
    <definedName name="at">#REF!</definedName>
    <definedName name="Atlas_Copco_Compressor" localSheetId="18">#REF!</definedName>
    <definedName name="Atlas_Copco_Compressor">#REF!</definedName>
    <definedName name="AUD" localSheetId="18">#REF!</definedName>
    <definedName name="AUD">#REF!</definedName>
    <definedName name="auud">#REF!</definedName>
    <definedName name="axedoc">#REF!</definedName>
    <definedName name="AZ" localSheetId="18">#REF!</definedName>
    <definedName name="AZ">#REF!</definedName>
    <definedName name="b" localSheetId="18">#REF!</definedName>
    <definedName name="b">#REF!</definedName>
    <definedName name="back_4A" localSheetId="18">#REF!</definedName>
    <definedName name="back_4A">#REF!</definedName>
    <definedName name="back_5A" localSheetId="18">#REF!</definedName>
    <definedName name="back_5A">#REF!</definedName>
    <definedName name="Back_5B" localSheetId="18">#REF!</definedName>
    <definedName name="Back_5B">#REF!</definedName>
    <definedName name="back_8A" localSheetId="18">#REF!</definedName>
    <definedName name="back_8A">#REF!</definedName>
    <definedName name="back_8B" localSheetId="18">#REF!</definedName>
    <definedName name="back_8B">#REF!</definedName>
    <definedName name="back_8C" localSheetId="18">#REF!</definedName>
    <definedName name="back_8C">#REF!</definedName>
    <definedName name="back_9A" localSheetId="18">#REF!</definedName>
    <definedName name="back_9A">#REF!</definedName>
    <definedName name="back_9B" localSheetId="18">#REF!</definedName>
    <definedName name="back_9B">#REF!</definedName>
    <definedName name="back_9C" localSheetId="18">#REF!</definedName>
    <definedName name="back_9C">#REF!</definedName>
    <definedName name="back_9D" localSheetId="18">#REF!</definedName>
    <definedName name="back_9D">#REF!</definedName>
    <definedName name="back_9E" localSheetId="18">#REF!</definedName>
    <definedName name="back_9E">#REF!</definedName>
    <definedName name="back_9F" localSheetId="18">#REF!</definedName>
    <definedName name="back_9F">#REF!</definedName>
    <definedName name="back_9G" localSheetId="18">#REF!</definedName>
    <definedName name="back_9G">#REF!</definedName>
    <definedName name="back_9H" localSheetId="18">#REF!</definedName>
    <definedName name="back_9H">#REF!</definedName>
    <definedName name="back_9I" localSheetId="18">#REF!</definedName>
    <definedName name="back_9I">#REF!</definedName>
    <definedName name="back_9J" localSheetId="18">#REF!</definedName>
    <definedName name="back_9J">#REF!</definedName>
    <definedName name="back_9K" localSheetId="18">#REF!</definedName>
    <definedName name="back_9K">#REF!</definedName>
    <definedName name="back_9L" localSheetId="18">#REF!</definedName>
    <definedName name="back_9L">#REF!</definedName>
    <definedName name="back_9M" localSheetId="18">#REF!</definedName>
    <definedName name="back_9M">#REF!</definedName>
    <definedName name="back_TDS_working" localSheetId="18">#REF!</definedName>
    <definedName name="back_TDS_working">#REF!</definedName>
    <definedName name="Bal" localSheetId="18">#REF!</definedName>
    <definedName name="Bal">#REF!</definedName>
    <definedName name="balancesheet2" localSheetId="18">#REF!</definedName>
    <definedName name="balancesheet2">#REF!</definedName>
    <definedName name="BalSheet" localSheetId="18">#REF!</definedName>
    <definedName name="BalSheet">#REF!</definedName>
    <definedName name="Bank_rec" localSheetId="18">#REF!</definedName>
    <definedName name="Bank_rec">#REF!</definedName>
    <definedName name="Bank2004" localSheetId="18">#REF!</definedName>
    <definedName name="Bank2004">#REF!</definedName>
    <definedName name="Bank2005">#REF!</definedName>
    <definedName name="Bank2006">#REF!</definedName>
    <definedName name="Bank2007">#REF!</definedName>
    <definedName name="Bank2008">#REF!</definedName>
    <definedName name="Bank2009">#REF!</definedName>
    <definedName name="Barnac_8100" localSheetId="18">#REF!</definedName>
    <definedName name="Barnac_8100">#REF!</definedName>
    <definedName name="BaseData_1" localSheetId="14" hidden="1">{#N/A,#N/A,FALSE,"Cash Flows";#N/A,#N/A,FALSE,"Fixed Assets";#N/A,#N/A,FALSE,"Balance Sheet";#N/A,#N/A,FALSE,"P &amp; L"}</definedName>
    <definedName name="BaseData_1" localSheetId="15" hidden="1">{#N/A,#N/A,FALSE,"Cash Flows";#N/A,#N/A,FALSE,"Fixed Assets";#N/A,#N/A,FALSE,"Balance Sheet";#N/A,#N/A,FALSE,"P &amp; L"}</definedName>
    <definedName name="BaseData_1" localSheetId="18" hidden="1">{#N/A,#N/A,FALSE,"Cash Flows";#N/A,#N/A,FALSE,"Fixed Assets";#N/A,#N/A,FALSE,"Balance Sheet";#N/A,#N/A,FALSE,"P &amp; L"}</definedName>
    <definedName name="BaseData_1" localSheetId="16" hidden="1">{#N/A,#N/A,FALSE,"Cash Flows";#N/A,#N/A,FALSE,"Fixed Assets";#N/A,#N/A,FALSE,"Balance Sheet";#N/A,#N/A,FALSE,"P &amp; L"}</definedName>
    <definedName name="BaseData_1" localSheetId="13" hidden="1">{#N/A,#N/A,FALSE,"Cash Flows";#N/A,#N/A,FALSE,"Fixed Assets";#N/A,#N/A,FALSE,"Balance Sheet";#N/A,#N/A,FALSE,"P &amp; L"}</definedName>
    <definedName name="BaseData_1" localSheetId="12" hidden="1">{#N/A,#N/A,FALSE,"Cash Flows";#N/A,#N/A,FALSE,"Fixed Assets";#N/A,#N/A,FALSE,"Balance Sheet";#N/A,#N/A,FALSE,"P &amp; L"}</definedName>
    <definedName name="BaseData_1" hidden="1">{#N/A,#N/A,FALSE,"Cash Flows";#N/A,#N/A,FALSE,"Fixed Assets";#N/A,#N/A,FALSE,"Balance Sheet";#N/A,#N/A,FALSE,"P &amp; L"}</definedName>
    <definedName name="basedata_2" localSheetId="14" hidden="1">{#N/A,#N/A,FALSE,"Cash Flows";#N/A,#N/A,FALSE,"Fixed Assets";#N/A,#N/A,FALSE,"Balance Sheet";#N/A,#N/A,FALSE,"P &amp; L"}</definedName>
    <definedName name="basedata_2" localSheetId="15" hidden="1">{#N/A,#N/A,FALSE,"Cash Flows";#N/A,#N/A,FALSE,"Fixed Assets";#N/A,#N/A,FALSE,"Balance Sheet";#N/A,#N/A,FALSE,"P &amp; L"}</definedName>
    <definedName name="basedata_2" localSheetId="18" hidden="1">{#N/A,#N/A,FALSE,"Cash Flows";#N/A,#N/A,FALSE,"Fixed Assets";#N/A,#N/A,FALSE,"Balance Sheet";#N/A,#N/A,FALSE,"P &amp; L"}</definedName>
    <definedName name="basedata_2" localSheetId="16" hidden="1">{#N/A,#N/A,FALSE,"Cash Flows";#N/A,#N/A,FALSE,"Fixed Assets";#N/A,#N/A,FALSE,"Balance Sheet";#N/A,#N/A,FALSE,"P &amp; L"}</definedName>
    <definedName name="basedata_2" localSheetId="13" hidden="1">{#N/A,#N/A,FALSE,"Cash Flows";#N/A,#N/A,FALSE,"Fixed Assets";#N/A,#N/A,FALSE,"Balance Sheet";#N/A,#N/A,FALSE,"P &amp; L"}</definedName>
    <definedName name="basedata_2" localSheetId="12" hidden="1">{#N/A,#N/A,FALSE,"Cash Flows";#N/A,#N/A,FALSE,"Fixed Assets";#N/A,#N/A,FALSE,"Balance Sheet";#N/A,#N/A,FALSE,"P &amp; L"}</definedName>
    <definedName name="basedata_2" hidden="1">{#N/A,#N/A,FALSE,"Cash Flows";#N/A,#N/A,FALSE,"Fixed Assets";#N/A,#N/A,FALSE,"Balance Sheet";#N/A,#N/A,FALSE,"P &amp; L"}</definedName>
    <definedName name="BaseData_7" localSheetId="14" hidden="1">{#N/A,#N/A,FALSE,"Cash Flows";#N/A,#N/A,FALSE,"Fixed Assets";#N/A,#N/A,FALSE,"Balance Sheet";#N/A,#N/A,FALSE,"P &amp; L"}</definedName>
    <definedName name="BaseData_7" localSheetId="15" hidden="1">{#N/A,#N/A,FALSE,"Cash Flows";#N/A,#N/A,FALSE,"Fixed Assets";#N/A,#N/A,FALSE,"Balance Sheet";#N/A,#N/A,FALSE,"P &amp; L"}</definedName>
    <definedName name="BaseData_7" localSheetId="18" hidden="1">{#N/A,#N/A,FALSE,"Cash Flows";#N/A,#N/A,FALSE,"Fixed Assets";#N/A,#N/A,FALSE,"Balance Sheet";#N/A,#N/A,FALSE,"P &amp; L"}</definedName>
    <definedName name="BaseData_7" localSheetId="16" hidden="1">{#N/A,#N/A,FALSE,"Cash Flows";#N/A,#N/A,FALSE,"Fixed Assets";#N/A,#N/A,FALSE,"Balance Sheet";#N/A,#N/A,FALSE,"P &amp; L"}</definedName>
    <definedName name="BaseData_7" localSheetId="13" hidden="1">{#N/A,#N/A,FALSE,"Cash Flows";#N/A,#N/A,FALSE,"Fixed Assets";#N/A,#N/A,FALSE,"Balance Sheet";#N/A,#N/A,FALSE,"P &amp; L"}</definedName>
    <definedName name="BaseData_7" localSheetId="12" hidden="1">{#N/A,#N/A,FALSE,"Cash Flows";#N/A,#N/A,FALSE,"Fixed Assets";#N/A,#N/A,FALSE,"Balance Sheet";#N/A,#N/A,FALSE,"P &amp; L"}</definedName>
    <definedName name="BaseData_7" hidden="1">{#N/A,#N/A,FALSE,"Cash Flows";#N/A,#N/A,FALSE,"Fixed Assets";#N/A,#N/A,FALSE,"Balance Sheet";#N/A,#N/A,FALSE,"P &amp; L"}</definedName>
    <definedName name="Batching_Plant" localSheetId="18">#REF!</definedName>
    <definedName name="Batching_Plant" localSheetId="13">#REF!</definedName>
    <definedName name="Batching_Plant">#REF!</definedName>
    <definedName name="BB" localSheetId="14" hidden="1">{#N/A,#N/A,FALSE,"FINAL"}</definedName>
    <definedName name="BB" localSheetId="15" hidden="1">{#N/A,#N/A,FALSE,"FINAL"}</definedName>
    <definedName name="BB" localSheetId="18" hidden="1">{#N/A,#N/A,FALSE,"FINAL"}</definedName>
    <definedName name="BB" localSheetId="16" hidden="1">{#N/A,#N/A,FALSE,"FINAL"}</definedName>
    <definedName name="BB" localSheetId="13" hidden="1">{#N/A,#N/A,FALSE,"FINAL"}</definedName>
    <definedName name="BB" localSheetId="12" hidden="1">{#N/A,#N/A,FALSE,"FINAL"}</definedName>
    <definedName name="BB" hidden="1">{#N/A,#N/A,FALSE,"FINAL"}</definedName>
    <definedName name="bbb" localSheetId="18">#REF!</definedName>
    <definedName name="bbb" localSheetId="16">#REF!</definedName>
    <definedName name="bbb" localSheetId="13">#REF!</definedName>
    <definedName name="bbb" localSheetId="12">#REF!</definedName>
    <definedName name="bbb">#REF!</definedName>
    <definedName name="bbbb" localSheetId="16">#REF!</definedName>
    <definedName name="bbbb" localSheetId="13">#REF!</definedName>
    <definedName name="bbbb" localSheetId="12">#REF!</definedName>
    <definedName name="bbbb">#REF!</definedName>
    <definedName name="bcbcbcbcb" localSheetId="18" hidden="1">#REF!</definedName>
    <definedName name="bcbcbcbcb" localSheetId="16" hidden="1">#REF!</definedName>
    <definedName name="bcbcbcbcb" localSheetId="13" hidden="1">#REF!</definedName>
    <definedName name="bcbcbcbcb" localSheetId="12" hidden="1">#REF!</definedName>
    <definedName name="bcbcbcbcb" hidden="1">#REF!</definedName>
    <definedName name="BCHART" localSheetId="18" hidden="1">#REF!</definedName>
    <definedName name="BCHART" hidden="1">#REF!</definedName>
    <definedName name="Benz" localSheetId="18">#REF!</definedName>
    <definedName name="Benz">#REF!</definedName>
    <definedName name="Benz_I" localSheetId="18">#REF!</definedName>
    <definedName name="Benz_I">#REF!</definedName>
    <definedName name="BEP" localSheetId="18">#REF!</definedName>
    <definedName name="BEP">#REF!</definedName>
    <definedName name="bf" localSheetId="18">#REF!</definedName>
    <definedName name="bf">#REF!</definedName>
    <definedName name="BG_Del" hidden="1">15</definedName>
    <definedName name="BG_Ins" hidden="1">4</definedName>
    <definedName name="BG_Mod" hidden="1">6</definedName>
    <definedName name="bha" localSheetId="14" hidden="1">{#N/A,#N/A,TRUE,"Summary";#N/A,#N/A,TRUE,"Balance Sheet";#N/A,#N/A,TRUE,"P &amp; L";#N/A,#N/A,TRUE,"Fixed Assets";#N/A,#N/A,TRUE,"Cash Flows"}</definedName>
    <definedName name="bha" localSheetId="15" hidden="1">{#N/A,#N/A,TRUE,"Summary";#N/A,#N/A,TRUE,"Balance Sheet";#N/A,#N/A,TRUE,"P &amp; L";#N/A,#N/A,TRUE,"Fixed Assets";#N/A,#N/A,TRUE,"Cash Flows"}</definedName>
    <definedName name="bha" localSheetId="18" hidden="1">{#N/A,#N/A,TRUE,"Summary";#N/A,#N/A,TRUE,"Balance Sheet";#N/A,#N/A,TRUE,"P &amp; L";#N/A,#N/A,TRUE,"Fixed Assets";#N/A,#N/A,TRUE,"Cash Flows"}</definedName>
    <definedName name="bha" localSheetId="16" hidden="1">{#N/A,#N/A,TRUE,"Summary";#N/A,#N/A,TRUE,"Balance Sheet";#N/A,#N/A,TRUE,"P &amp; L";#N/A,#N/A,TRUE,"Fixed Assets";#N/A,#N/A,TRUE,"Cash Flows"}</definedName>
    <definedName name="bha" localSheetId="13" hidden="1">{#N/A,#N/A,TRUE,"Summary";#N/A,#N/A,TRUE,"Balance Sheet";#N/A,#N/A,TRUE,"P &amp; L";#N/A,#N/A,TRUE,"Fixed Assets";#N/A,#N/A,TRUE,"Cash Flows"}</definedName>
    <definedName name="bha" localSheetId="12" hidden="1">{#N/A,#N/A,TRUE,"Summary";#N/A,#N/A,TRUE,"Balance Sheet";#N/A,#N/A,TRUE,"P &amp; L";#N/A,#N/A,TRUE,"Fixed Assets";#N/A,#N/A,TRUE,"Cash Flows"}</definedName>
    <definedName name="bha" hidden="1">{#N/A,#N/A,TRUE,"Summary";#N/A,#N/A,TRUE,"Balance Sheet";#N/A,#N/A,TRUE,"P &amp; L";#N/A,#N/A,TRUE,"Fixed Assets";#N/A,#N/A,TRUE,"Cash Flows"}</definedName>
    <definedName name="bhavesh" localSheetId="14" hidden="1">{#N/A,#N/A,FALSE,"Cash Flows";#N/A,#N/A,FALSE,"Fixed Assets";#N/A,#N/A,FALSE,"Balance Sheet";#N/A,#N/A,FALSE,"P &amp; L"}</definedName>
    <definedName name="bhavesh" localSheetId="15" hidden="1">{#N/A,#N/A,FALSE,"Cash Flows";#N/A,#N/A,FALSE,"Fixed Assets";#N/A,#N/A,FALSE,"Balance Sheet";#N/A,#N/A,FALSE,"P &amp; L"}</definedName>
    <definedName name="bhavesh" localSheetId="18" hidden="1">{#N/A,#N/A,FALSE,"Cash Flows";#N/A,#N/A,FALSE,"Fixed Assets";#N/A,#N/A,FALSE,"Balance Sheet";#N/A,#N/A,FALSE,"P &amp; L"}</definedName>
    <definedName name="bhavesh" localSheetId="16" hidden="1">{#N/A,#N/A,FALSE,"Cash Flows";#N/A,#N/A,FALSE,"Fixed Assets";#N/A,#N/A,FALSE,"Balance Sheet";#N/A,#N/A,FALSE,"P &amp; L"}</definedName>
    <definedName name="bhavesh" localSheetId="13" hidden="1">{#N/A,#N/A,FALSE,"Cash Flows";#N/A,#N/A,FALSE,"Fixed Assets";#N/A,#N/A,FALSE,"Balance Sheet";#N/A,#N/A,FALSE,"P &amp; L"}</definedName>
    <definedName name="bhavesh" localSheetId="12" hidden="1">{#N/A,#N/A,FALSE,"Cash Flows";#N/A,#N/A,FALSE,"Fixed Assets";#N/A,#N/A,FALSE,"Balance Sheet";#N/A,#N/A,FALSE,"P &amp; L"}</definedName>
    <definedName name="bhavesh" hidden="1">{#N/A,#N/A,FALSE,"Cash Flows";#N/A,#N/A,FALSE,"Fixed Assets";#N/A,#N/A,FALSE,"Balance Sheet";#N/A,#N/A,FALSE,"P &amp; L"}</definedName>
    <definedName name="bhaveshm" localSheetId="14" hidden="1">{#N/A,#N/A,FALSE,"Cash Flows";#N/A,#N/A,FALSE,"Fixed Assets";#N/A,#N/A,FALSE,"Balance Sheet";#N/A,#N/A,FALSE,"P &amp; L"}</definedName>
    <definedName name="bhaveshm" localSheetId="15" hidden="1">{#N/A,#N/A,FALSE,"Cash Flows";#N/A,#N/A,FALSE,"Fixed Assets";#N/A,#N/A,FALSE,"Balance Sheet";#N/A,#N/A,FALSE,"P &amp; L"}</definedName>
    <definedName name="bhaveshm" localSheetId="18" hidden="1">{#N/A,#N/A,FALSE,"Cash Flows";#N/A,#N/A,FALSE,"Fixed Assets";#N/A,#N/A,FALSE,"Balance Sheet";#N/A,#N/A,FALSE,"P &amp; L"}</definedName>
    <definedName name="bhaveshm" localSheetId="16" hidden="1">{#N/A,#N/A,FALSE,"Cash Flows";#N/A,#N/A,FALSE,"Fixed Assets";#N/A,#N/A,FALSE,"Balance Sheet";#N/A,#N/A,FALSE,"P &amp; L"}</definedName>
    <definedName name="bhaveshm" localSheetId="13" hidden="1">{#N/A,#N/A,FALSE,"Cash Flows";#N/A,#N/A,FALSE,"Fixed Assets";#N/A,#N/A,FALSE,"Balance Sheet";#N/A,#N/A,FALSE,"P &amp; L"}</definedName>
    <definedName name="bhaveshm" localSheetId="12" hidden="1">{#N/A,#N/A,FALSE,"Cash Flows";#N/A,#N/A,FALSE,"Fixed Assets";#N/A,#N/A,FALSE,"Balance Sheet";#N/A,#N/A,FALSE,"P &amp; L"}</definedName>
    <definedName name="bhaveshm" hidden="1">{#N/A,#N/A,FALSE,"Cash Flows";#N/A,#N/A,FALSE,"Fixed Assets";#N/A,#N/A,FALSE,"Balance Sheet";#N/A,#N/A,FALSE,"P &amp; L"}</definedName>
    <definedName name="Bitelli_Paver" localSheetId="18">#REF!</definedName>
    <definedName name="Bitelli_Paver" localSheetId="13">#REF!</definedName>
    <definedName name="Bitelli_Paver">#REF!</definedName>
    <definedName name="BLR80IA">#N/A</definedName>
    <definedName name="BNGF" localSheetId="14" hidden="1">{#N/A,#N/A,FALSE,"FINAL"}</definedName>
    <definedName name="BNGF" localSheetId="15" hidden="1">{#N/A,#N/A,FALSE,"FINAL"}</definedName>
    <definedName name="BNGF" localSheetId="18" hidden="1">{#N/A,#N/A,FALSE,"FINAL"}</definedName>
    <definedName name="BNGF" localSheetId="16" hidden="1">{#N/A,#N/A,FALSE,"FINAL"}</definedName>
    <definedName name="BNGF" localSheetId="13" hidden="1">{#N/A,#N/A,FALSE,"FINAL"}</definedName>
    <definedName name="BNGF" localSheetId="12" hidden="1">{#N/A,#N/A,FALSE,"FINAL"}</definedName>
    <definedName name="BNGF" hidden="1">{#N/A,#N/A,FALSE,"FINAL"}</definedName>
    <definedName name="Book" localSheetId="18">#REF!</definedName>
    <definedName name="Book" localSheetId="16">#REF!</definedName>
    <definedName name="Book" localSheetId="13">#REF!</definedName>
    <definedName name="Book" localSheetId="12">#REF!</definedName>
    <definedName name="Book">#REF!</definedName>
    <definedName name="bookdepr" localSheetId="16">#REF!</definedName>
    <definedName name="bookdepr" localSheetId="13">#REF!</definedName>
    <definedName name="bookdepr" localSheetId="12">#REF!</definedName>
    <definedName name="bookdepr">#REF!</definedName>
    <definedName name="brk" localSheetId="16">#REF!</definedName>
    <definedName name="brk" localSheetId="13">#REF!</definedName>
    <definedName name="brk" localSheetId="12">#REF!</definedName>
    <definedName name="brk">#REF!</definedName>
    <definedName name="BS" localSheetId="3">#REF!</definedName>
    <definedName name="BS">#REF!</definedName>
    <definedName name="BSDateSF" localSheetId="18">#REF!</definedName>
    <definedName name="BSDateSF">#REF!</definedName>
    <definedName name="BSGROUP" localSheetId="18">#REF!</definedName>
    <definedName name="BSGROUP">#REF!</definedName>
    <definedName name="bsht" localSheetId="14" hidden="1">{#N/A,#N/A,FALSE,"FINAL"}</definedName>
    <definedName name="bsht" localSheetId="15" hidden="1">{#N/A,#N/A,FALSE,"FINAL"}</definedName>
    <definedName name="bsht" localSheetId="18" hidden="1">{#N/A,#N/A,FALSE,"FINAL"}</definedName>
    <definedName name="bsht" localSheetId="16" hidden="1">{#N/A,#N/A,FALSE,"FINAL"}</definedName>
    <definedName name="bsht" localSheetId="13" hidden="1">{#N/A,#N/A,FALSE,"FINAL"}</definedName>
    <definedName name="bsht" localSheetId="12" hidden="1">{#N/A,#N/A,FALSE,"FINAL"}</definedName>
    <definedName name="bsht" hidden="1">{#N/A,#N/A,FALSE,"FINAL"}</definedName>
    <definedName name="bsI" localSheetId="18">#REF!</definedName>
    <definedName name="bsI" localSheetId="16">#REF!</definedName>
    <definedName name="bsI" localSheetId="13">#REF!</definedName>
    <definedName name="bsI" localSheetId="12">#REF!</definedName>
    <definedName name="bsI">#REF!</definedName>
    <definedName name="bsii" localSheetId="16">#REF!</definedName>
    <definedName name="bsii" localSheetId="13">#REF!</definedName>
    <definedName name="bsii" localSheetId="12">#REF!</definedName>
    <definedName name="bsii">#REF!</definedName>
    <definedName name="bssch" localSheetId="16">#REF!</definedName>
    <definedName name="bssch" localSheetId="13">#REF!</definedName>
    <definedName name="bssch" localSheetId="12">#REF!</definedName>
    <definedName name="bssch">#REF!</definedName>
    <definedName name="buffer">#REF!</definedName>
    <definedName name="BUFFF16A" localSheetId="18">#REF!</definedName>
    <definedName name="BUFFF16A">#REF!</definedName>
    <definedName name="BUFFF26C" localSheetId="18">#REF!</definedName>
    <definedName name="BUFFF26C">#REF!</definedName>
    <definedName name="BUFFF26J" localSheetId="18">#REF!</definedName>
    <definedName name="BUFFF26J">#REF!</definedName>
    <definedName name="BUFFF27" localSheetId="18">#REF!</definedName>
    <definedName name="BUFFF27">#REF!</definedName>
    <definedName name="BUILDING" localSheetId="18">#REF!</definedName>
    <definedName name="BUILDING">#REF!</definedName>
    <definedName name="BuiltIn_Print_Area___0">#REF!</definedName>
    <definedName name="Button_2">"Physical_Progress_Daily_Financial_List"</definedName>
    <definedName name="C_" localSheetId="18">#REF!</definedName>
    <definedName name="C_" localSheetId="16">#REF!</definedName>
    <definedName name="C_" localSheetId="13">#REF!</definedName>
    <definedName name="C_" localSheetId="12">#REF!</definedName>
    <definedName name="C_">#REF!</definedName>
    <definedName name="CA" localSheetId="16">#REF!</definedName>
    <definedName name="CA" localSheetId="13">#REF!</definedName>
    <definedName name="CA" localSheetId="12">#REF!</definedName>
    <definedName name="CA">#REF!</definedName>
    <definedName name="Calculation" localSheetId="18">#REF!</definedName>
    <definedName name="Calculation" localSheetId="16">#REF!</definedName>
    <definedName name="Calculation" localSheetId="13">#REF!</definedName>
    <definedName name="Calculation" localSheetId="12">#REF!</definedName>
    <definedName name="Calculation">#REF!</definedName>
    <definedName name="cap\loan" localSheetId="18">#REF!</definedName>
    <definedName name="cap\loan">#REF!</definedName>
    <definedName name="capgains">#REF!</definedName>
    <definedName name="CAPITAL">#REF!</definedName>
    <definedName name="CapitalGains_exempt_PrintArea" localSheetId="18">#REF!</definedName>
    <definedName name="CapitalGains_exempt_PrintArea">#REF!</definedName>
    <definedName name="CapitalGains_taxable_PrintArea" localSheetId="18">#REF!</definedName>
    <definedName name="CapitalGains_taxable_PrintArea">#REF!</definedName>
    <definedName name="CaratPL_1" localSheetId="18">#REF!</definedName>
    <definedName name="CaratPL_1">#REF!</definedName>
    <definedName name="CaratPL_2">#REF!</definedName>
    <definedName name="carryforw">#REF!</definedName>
    <definedName name="CASH">#REF!</definedName>
    <definedName name="Cash2004">#REF!</definedName>
    <definedName name="Cash2005">#REF!</definedName>
    <definedName name="Cash2006">#REF!</definedName>
    <definedName name="Cash2007">#REF!</definedName>
    <definedName name="Cash2008">#REF!</definedName>
    <definedName name="Cash2009">#REF!</definedName>
    <definedName name="Cat_Dumper" localSheetId="18">#REF!</definedName>
    <definedName name="Cat_Dumper">#REF!</definedName>
    <definedName name="CAT_Dumper2" localSheetId="18">#REF!</definedName>
    <definedName name="CAT_Dumper2">#REF!</definedName>
    <definedName name="Cat_Dumpers" localSheetId="18">#REF!</definedName>
    <definedName name="Cat_Dumpers">#REF!</definedName>
    <definedName name="Cat_Dumpers_1" localSheetId="18">#REF!</definedName>
    <definedName name="Cat_Dumpers_1">#REF!</definedName>
    <definedName name="categ" localSheetId="18">#REF!</definedName>
    <definedName name="categ">#REF!</definedName>
    <definedName name="ccc" localSheetId="14" hidden="1">{#N/A,#N/A,TRUE,"Summary";#N/A,#N/A,TRUE,"Balance Sheet";#N/A,#N/A,TRUE,"P &amp; L";#N/A,#N/A,TRUE,"Fixed Assets";#N/A,#N/A,TRUE,"Cash Flows"}</definedName>
    <definedName name="ccc" localSheetId="15" hidden="1">{#N/A,#N/A,TRUE,"Summary";#N/A,#N/A,TRUE,"Balance Sheet";#N/A,#N/A,TRUE,"P &amp; L";#N/A,#N/A,TRUE,"Fixed Assets";#N/A,#N/A,TRUE,"Cash Flows"}</definedName>
    <definedName name="ccc" localSheetId="18" hidden="1">{#N/A,#N/A,TRUE,"Summary";#N/A,#N/A,TRUE,"Balance Sheet";#N/A,#N/A,TRUE,"P &amp; L";#N/A,#N/A,TRUE,"Fixed Assets";#N/A,#N/A,TRUE,"Cash Flows"}</definedName>
    <definedName name="ccc" localSheetId="16" hidden="1">{#N/A,#N/A,TRUE,"Summary";#N/A,#N/A,TRUE,"Balance Sheet";#N/A,#N/A,TRUE,"P &amp; L";#N/A,#N/A,TRUE,"Fixed Assets";#N/A,#N/A,TRUE,"Cash Flows"}</definedName>
    <definedName name="ccc" localSheetId="13" hidden="1">{#N/A,#N/A,TRUE,"Summary";#N/A,#N/A,TRUE,"Balance Sheet";#N/A,#N/A,TRUE,"P &amp; L";#N/A,#N/A,TRUE,"Fixed Assets";#N/A,#N/A,TRUE,"Cash Flows"}</definedName>
    <definedName name="ccc" localSheetId="12" hidden="1">{#N/A,#N/A,TRUE,"Summary";#N/A,#N/A,TRUE,"Balance Sheet";#N/A,#N/A,TRUE,"P &amp; L";#N/A,#N/A,TRUE,"Fixed Assets";#N/A,#N/A,TRUE,"Cash Flows"}</definedName>
    <definedName name="ccc" hidden="1">{#N/A,#N/A,TRUE,"Summary";#N/A,#N/A,TRUE,"Balance Sheet";#N/A,#N/A,TRUE,"P &amp; L";#N/A,#N/A,TRUE,"Fixed Assets";#N/A,#N/A,TRUE,"Cash Flows"}</definedName>
    <definedName name="cchart" localSheetId="18" hidden="1">#REF!</definedName>
    <definedName name="cchart" localSheetId="16" hidden="1">#REF!</definedName>
    <definedName name="cchart" localSheetId="13" hidden="1">#REF!</definedName>
    <definedName name="cchart" localSheetId="12" hidden="1">#REF!</definedName>
    <definedName name="cchart" hidden="1">#REF!</definedName>
    <definedName name="cf" localSheetId="18">#REF!</definedName>
    <definedName name="cf" localSheetId="16">#REF!</definedName>
    <definedName name="cf" localSheetId="13">#REF!</definedName>
    <definedName name="cf" localSheetId="12">#REF!</definedName>
    <definedName name="cf">#REF!</definedName>
    <definedName name="CGHM" localSheetId="14" hidden="1">{#N/A,#N/A,FALSE,"FINAL"}</definedName>
    <definedName name="CGHM" localSheetId="15" hidden="1">{#N/A,#N/A,FALSE,"FINAL"}</definedName>
    <definedName name="CGHM" localSheetId="18" hidden="1">{#N/A,#N/A,FALSE,"FINAL"}</definedName>
    <definedName name="CGHM" localSheetId="16" hidden="1">{#N/A,#N/A,FALSE,"FINAL"}</definedName>
    <definedName name="CGHM" localSheetId="13" hidden="1">{#N/A,#N/A,FALSE,"FINAL"}</definedName>
    <definedName name="CGHM" localSheetId="12" hidden="1">{#N/A,#N/A,FALSE,"FINAL"}</definedName>
    <definedName name="CGHM" hidden="1">{#N/A,#N/A,FALSE,"FINAL"}</definedName>
    <definedName name="CHA" localSheetId="18">#REF!</definedName>
    <definedName name="CHA" localSheetId="16">#REF!</definedName>
    <definedName name="CHA" localSheetId="13">#REF!</definedName>
    <definedName name="CHA" localSheetId="12">#REF!</definedName>
    <definedName name="CHA">#REF!</definedName>
    <definedName name="CHANGE" localSheetId="16">#REF!</definedName>
    <definedName name="CHANGE" localSheetId="13">#REF!</definedName>
    <definedName name="CHANGE" localSheetId="12">#REF!</definedName>
    <definedName name="CHANGE">#REF!</definedName>
    <definedName name="CheckForm" localSheetId="18">#REF!</definedName>
    <definedName name="CheckForm" localSheetId="16">#REF!</definedName>
    <definedName name="CheckForm" localSheetId="13">#REF!</definedName>
    <definedName name="CheckForm" localSheetId="12">#REF!</definedName>
    <definedName name="CheckForm">#REF!</definedName>
    <definedName name="CheckGainLoss" localSheetId="18">#REF!</definedName>
    <definedName name="CheckGainLoss">#REF!</definedName>
    <definedName name="CHINA_1" localSheetId="18">#REF!</definedName>
    <definedName name="CHINA_1">#REF!</definedName>
    <definedName name="CHINA_2">#REF!</definedName>
    <definedName name="CHINA_3">#REF!</definedName>
    <definedName name="CHINA_4">#REF!</definedName>
    <definedName name="CHINA_5">#REF!</definedName>
    <definedName name="CHINA_6">#REF!</definedName>
    <definedName name="CHINA_PLASTIC_in_KUSD">#REF!</definedName>
    <definedName name="chl_candy">#REF!</definedName>
    <definedName name="chl_gum">#REF!</definedName>
    <definedName name="ci" localSheetId="16">#REF!</definedName>
    <definedName name="ci" localSheetId="13">#REF!</definedName>
    <definedName name="ci">#REF!</definedName>
    <definedName name="City" localSheetId="18">#REF!</definedName>
    <definedName name="City">#REF!</definedName>
    <definedName name="CL" localSheetId="18">#REF!</definedName>
    <definedName name="CL">#REF!</definedName>
    <definedName name="cl_debt" localSheetId="18">#REF!</definedName>
    <definedName name="cl_debt">#REF!</definedName>
    <definedName name="Cl_Stock" localSheetId="18">#REF!</definedName>
    <definedName name="Cl_Stock">#REF!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M">#REF!</definedName>
    <definedName name="CMCM" localSheetId="14" hidden="1">{#N/A,#N/A,FALSE,"FINAL"}</definedName>
    <definedName name="CMCM" localSheetId="15" hidden="1">{#N/A,#N/A,FALSE,"FINAL"}</definedName>
    <definedName name="CMCM" localSheetId="18" hidden="1">{#N/A,#N/A,FALSE,"FINAL"}</definedName>
    <definedName name="CMCM" localSheetId="16" hidden="1">{#N/A,#N/A,FALSE,"FINAL"}</definedName>
    <definedName name="CMCM" localSheetId="13" hidden="1">{#N/A,#N/A,FALSE,"FINAL"}</definedName>
    <definedName name="CMCM" localSheetId="12" hidden="1">{#N/A,#N/A,FALSE,"FINAL"}</definedName>
    <definedName name="CMCM" hidden="1">{#N/A,#N/A,FALSE,"FINAL"}</definedName>
    <definedName name="CN" localSheetId="18">#REF!</definedName>
    <definedName name="CN" localSheetId="13">#REF!</definedName>
    <definedName name="CN">#REF!</definedName>
    <definedName name="cnny" localSheetId="18">#REF!</definedName>
    <definedName name="cnny" localSheetId="16">#REF!</definedName>
    <definedName name="cnny" localSheetId="13">#REF!</definedName>
    <definedName name="cnny" localSheetId="12">#REF!</definedName>
    <definedName name="cnny">#REF!</definedName>
    <definedName name="CNY" localSheetId="16">#REF!</definedName>
    <definedName name="CNY" localSheetId="13">#REF!</definedName>
    <definedName name="CNY" localSheetId="12">#REF!</definedName>
    <definedName name="CNY">#REF!</definedName>
    <definedName name="cnyy">#REF!</definedName>
    <definedName name="COA" localSheetId="18">#REF!</definedName>
    <definedName name="COA">#REF!</definedName>
    <definedName name="CoAdd" localSheetId="18">#REF!</definedName>
    <definedName name="CoAdd">#REF!</definedName>
    <definedName name="Code" localSheetId="18" hidden="1">#REF!</definedName>
    <definedName name="Code" hidden="1">#REF!</definedName>
    <definedName name="codestds" localSheetId="18">#REF!</definedName>
    <definedName name="codestds">#REF!</definedName>
    <definedName name="ColumnAttributes1" localSheetId="18">#REF!</definedName>
    <definedName name="ColumnAttributes1">#REF!</definedName>
    <definedName name="ColumnHeadings1">#REF!</definedName>
    <definedName name="com">#REF!</definedName>
    <definedName name="COMP">#REF!</definedName>
    <definedName name="comp1">#REF!</definedName>
    <definedName name="comp2">#REF!</definedName>
    <definedName name="Company" localSheetId="18">#REF!</definedName>
    <definedName name="Company">#REF!</definedName>
    <definedName name="CompanyCode" localSheetId="18">#REF!</definedName>
    <definedName name="CompanyCode">#REF!</definedName>
    <definedName name="COMPLIANCE" localSheetId="18">#REF!</definedName>
    <definedName name="COMPLIANCE">#REF!</definedName>
    <definedName name="COMPUTATION" localSheetId="18">#REF!</definedName>
    <definedName name="COMPUTATION">#REF!</definedName>
    <definedName name="Computation_of_interest_under_section_12B" localSheetId="18">#REF!</definedName>
    <definedName name="Computation_of_interest_under_section_12B">#REF!</definedName>
    <definedName name="COMPUTATION_OF_INTEREST_UNDER_SECTION_234_C" localSheetId="18">#REF!</definedName>
    <definedName name="COMPUTATION_OF_INTEREST_UNDER_SECTION_234_C">#REF!</definedName>
    <definedName name="Computers">#REF!</definedName>
    <definedName name="Computers_and_accessories">#REF!</definedName>
    <definedName name="CoName" localSheetId="18">#REF!</definedName>
    <definedName name="CoName">#REF!</definedName>
    <definedName name="Concrete_Chassis" localSheetId="18">#REF!</definedName>
    <definedName name="Concrete_Chassis">#REF!</definedName>
    <definedName name="Concrete_Mix_Chasis" localSheetId="18">#REF!</definedName>
    <definedName name="Concrete_Mix_Chasis">#REF!</definedName>
    <definedName name="Concrete_Mix_Chasis_I" localSheetId="18">#REF!</definedName>
    <definedName name="Concrete_Mix_Chasis_I">#REF!</definedName>
    <definedName name="CONE" localSheetId="18">#REF!</definedName>
    <definedName name="CONE">#REF!</definedName>
    <definedName name="conso">#REF!</definedName>
    <definedName name="Consolidated" localSheetId="14" hidden="1">{"P1",#N/A,TRUE,"P1";"P2",#N/A,TRUE,"P2"}</definedName>
    <definedName name="Consolidated" localSheetId="15" hidden="1">{"P1",#N/A,TRUE,"P1";"P2",#N/A,TRUE,"P2"}</definedName>
    <definedName name="Consolidated" localSheetId="18" hidden="1">{"P1",#N/A,TRUE,"P1";"P2",#N/A,TRUE,"P2"}</definedName>
    <definedName name="Consolidated" localSheetId="16" hidden="1">{"P1",#N/A,TRUE,"P1";"P2",#N/A,TRUE,"P2"}</definedName>
    <definedName name="Consolidated" localSheetId="13" hidden="1">{"P1",#N/A,TRUE,"P1";"P2",#N/A,TRUE,"P2"}</definedName>
    <definedName name="Consolidated" localSheetId="12" hidden="1">{"P1",#N/A,TRUE,"P1";"P2",#N/A,TRUE,"P2"}</definedName>
    <definedName name="Consolidated" hidden="1">{"P1",#N/A,TRUE,"P1";"P2",#N/A,TRUE,"P2"}</definedName>
    <definedName name="ConSrc" localSheetId="18">#REF!</definedName>
    <definedName name="ConSrc" localSheetId="16">#REF!</definedName>
    <definedName name="ConSrc" localSheetId="13">#REF!</definedName>
    <definedName name="ConSrc" localSheetId="12">#REF!</definedName>
    <definedName name="ConSrc">#REF!</definedName>
    <definedName name="CONT" localSheetId="16">#REF!</definedName>
    <definedName name="CONT" localSheetId="13">#REF!</definedName>
    <definedName name="CONT" localSheetId="12">#REF!</definedName>
    <definedName name="CONT">#REF!</definedName>
    <definedName name="ContDesc" localSheetId="16">#REF!</definedName>
    <definedName name="ContDesc" localSheetId="13">#REF!</definedName>
    <definedName name="ContDesc" localSheetId="12">#REF!</definedName>
    <definedName name="ContDesc">#REF!</definedName>
    <definedName name="contractor">#REF!</definedName>
    <definedName name="ContratCutCopy">#REF!</definedName>
    <definedName name="ContratsListe">#REF!</definedName>
    <definedName name="ContratsListeExist">#REF!</definedName>
    <definedName name="COSP2004">#REF!</definedName>
    <definedName name="COSP2005">#REF!</definedName>
    <definedName name="COSP2006">#REF!</definedName>
    <definedName name="COSP2007">#REF!</definedName>
    <definedName name="COSP2008">#REF!</definedName>
    <definedName name="COSP2009">#REF!</definedName>
    <definedName name="COST">#REF!</definedName>
    <definedName name="cost_calcn">#REF!</definedName>
    <definedName name="CoStatus" localSheetId="18">#REF!</definedName>
    <definedName name="CoStatus">#REF!</definedName>
    <definedName name="Country" localSheetId="18">#REF!</definedName>
    <definedName name="Country">#REF!</definedName>
    <definedName name="COVER" localSheetId="18">#REF!</definedName>
    <definedName name="COVER">#REF!</definedName>
    <definedName name="crawler_drill" localSheetId="18">#REF!</definedName>
    <definedName name="crawler_drill">#REF!</definedName>
    <definedName name="_xlnm.Criteria" localSheetId="18">#REF!</definedName>
    <definedName name="_xlnm.Criteria">#REF!</definedName>
    <definedName name="Crsher_B6100" localSheetId="18">#REF!</definedName>
    <definedName name="Crsher_B6100">#REF!</definedName>
    <definedName name="csDesignMode">1</definedName>
    <definedName name="CSPL" localSheetId="18">#REF!</definedName>
    <definedName name="CSPL" localSheetId="13">#REF!</definedName>
    <definedName name="CSPL">#REF!</definedName>
    <definedName name="CurrentYear" localSheetId="18">#REF!</definedName>
    <definedName name="CurrentYear" localSheetId="16">#REF!</definedName>
    <definedName name="CurrentYear" localSheetId="13">#REF!</definedName>
    <definedName name="CurrentYear" localSheetId="12">#REF!</definedName>
    <definedName name="CurrentYear">#REF!</definedName>
    <definedName name="cv" localSheetId="18">#REF!</definedName>
    <definedName name="cv" localSheetId="13">#REF!</definedName>
    <definedName name="cv" localSheetId="12">#REF!</definedName>
    <definedName name="cv">#REF!</definedName>
    <definedName name="cxz" localSheetId="18">#REF!</definedName>
    <definedName name="cxz">#REF!</definedName>
    <definedName name="d" localSheetId="14" hidden="1">{#N/A,#N/A,FALSE,"Cash Flows";#N/A,#N/A,FALSE,"Fixed Assets";#N/A,#N/A,FALSE,"Balance Sheet";#N/A,#N/A,FALSE,"P &amp; L"}</definedName>
    <definedName name="d" localSheetId="15" hidden="1">{#N/A,#N/A,FALSE,"Cash Flows";#N/A,#N/A,FALSE,"Fixed Assets";#N/A,#N/A,FALSE,"Balance Sheet";#N/A,#N/A,FALSE,"P &amp; L"}</definedName>
    <definedName name="d" localSheetId="18" hidden="1">{#N/A,#N/A,FALSE,"Cash Flows";#N/A,#N/A,FALSE,"Fixed Assets";#N/A,#N/A,FALSE,"Balance Sheet";#N/A,#N/A,FALSE,"P &amp; L"}</definedName>
    <definedName name="d" localSheetId="16" hidden="1">{#N/A,#N/A,FALSE,"Cash Flows";#N/A,#N/A,FALSE,"Fixed Assets";#N/A,#N/A,FALSE,"Balance Sheet";#N/A,#N/A,FALSE,"P &amp; L"}</definedName>
    <definedName name="d" localSheetId="13" hidden="1">{#N/A,#N/A,FALSE,"Cash Flows";#N/A,#N/A,FALSE,"Fixed Assets";#N/A,#N/A,FALSE,"Balance Sheet";#N/A,#N/A,FALSE,"P &amp; L"}</definedName>
    <definedName name="d" localSheetId="12" hidden="1">{#N/A,#N/A,FALSE,"Cash Flows";#N/A,#N/A,FALSE,"Fixed Assets";#N/A,#N/A,FALSE,"Balance Sheet";#N/A,#N/A,FALSE,"P &amp; L"}</definedName>
    <definedName name="d" hidden="1">{#N/A,#N/A,FALSE,"Cash Flows";#N/A,#N/A,FALSE,"Fixed Assets";#N/A,#N/A,FALSE,"Balance Sheet";#N/A,#N/A,FALSE,"P &amp; L"}</definedName>
    <definedName name="D.K._PRADHAN_31607" localSheetId="18">#REF!</definedName>
    <definedName name="D.K._PRADHAN_31607" localSheetId="16">#REF!</definedName>
    <definedName name="D.K._PRADHAN_31607" localSheetId="13">#REF!</definedName>
    <definedName name="D.K._PRADHAN_31607" localSheetId="12">#REF!</definedName>
    <definedName name="D.K._PRADHAN_31607">#REF!</definedName>
    <definedName name="data" localSheetId="18">#REF!</definedName>
    <definedName name="data" localSheetId="16">#REF!</definedName>
    <definedName name="data" localSheetId="13">#REF!</definedName>
    <definedName name="data" localSheetId="12">#REF!</definedName>
    <definedName name="data">#REF!</definedName>
    <definedName name="data_bus" localSheetId="18">#REF!</definedName>
    <definedName name="data_bus" localSheetId="16">#REF!</definedName>
    <definedName name="data_bus" localSheetId="13">#REF!</definedName>
    <definedName name="data_bus" localSheetId="12">#REF!</definedName>
    <definedName name="data_bus">#REF!</definedName>
    <definedName name="_xlnm.Data_Form" localSheetId="3">CFS!_xlnm.Data_Form</definedName>
    <definedName name="_xlnm.Data_Form" localSheetId="18">#N/A</definedName>
    <definedName name="_xlnm.Data_Form" localSheetId="16">#N/A</definedName>
    <definedName name="_xlnm.Data_Form" localSheetId="13">#N/A</definedName>
    <definedName name="_xlnm.Data_Form" localSheetId="12">#N/A</definedName>
    <definedName name="_xlnm.Data_Form" localSheetId="4">'Note 1'!_xlnm.Data_Form</definedName>
    <definedName name="_xlnm.Data_Form" localSheetId="10">'Note 24-30'!_xlnm.Data_Form</definedName>
    <definedName name="_xlnm.Data_Form" localSheetId="6">'Note 9'!_xlnm.Data_Form</definedName>
    <definedName name="_xlnm.Data_Form">#REF!</definedName>
    <definedName name="data_le" localSheetId="18">#REF!</definedName>
    <definedName name="data_le" localSheetId="13">#REF!</definedName>
    <definedName name="data_le" localSheetId="12">#REF!</definedName>
    <definedName name="data_le">#REF!</definedName>
    <definedName name="data1" localSheetId="18" hidden="1">#REF!</definedName>
    <definedName name="data1" localSheetId="13" hidden="1">#REF!</definedName>
    <definedName name="data1" localSheetId="12" hidden="1">#REF!</definedName>
    <definedName name="data1" hidden="1">#REF!</definedName>
    <definedName name="data2" localSheetId="18" hidden="1">#REF!</definedName>
    <definedName name="data2" localSheetId="13" hidden="1">#REF!</definedName>
    <definedName name="data2" localSheetId="12" hidden="1">#REF!</definedName>
    <definedName name="data2" hidden="1">#REF!</definedName>
    <definedName name="data3" localSheetId="18" hidden="1">#REF!</definedName>
    <definedName name="data3" hidden="1">#REF!</definedName>
    <definedName name="_xlnm.Database" localSheetId="18">#REF!</definedName>
    <definedName name="_xlnm.Database" localSheetId="16">#REF!</definedName>
    <definedName name="_xlnm.Database" localSheetId="13">#REF!</definedName>
    <definedName name="_xlnm.Database">#REF!</definedName>
    <definedName name="Date" localSheetId="18">#REF!</definedName>
    <definedName name="Date">#REF!</definedName>
    <definedName name="Date1" localSheetId="18">#REF!</definedName>
    <definedName name="Date1">#REF!</definedName>
    <definedName name="DaysoftheWeek" localSheetId="18">#REF!</definedName>
    <definedName name="DaysoftheWeek">#REF!</definedName>
    <definedName name="dd" localSheetId="18">#REF!</definedName>
    <definedName name="dd">#REF!</definedName>
    <definedName name="dddd">#REF!</definedName>
    <definedName name="DDK" localSheetId="18">#REF!</definedName>
    <definedName name="DDK">#REF!</definedName>
    <definedName name="debt_repay" localSheetId="18">#REF!</definedName>
    <definedName name="debt_repay">#REF!</definedName>
    <definedName name="debtrepay" localSheetId="18">#REF!</definedName>
    <definedName name="debtrepay">#REF!</definedName>
    <definedName name="debtsch">#REF!</definedName>
    <definedName name="deferf" localSheetId="18" hidden="1">#REF!</definedName>
    <definedName name="deferf" hidden="1">#REF!</definedName>
    <definedName name="DEMAND_LOANS" localSheetId="18">#REF!</definedName>
    <definedName name="DEMAND_LOANS">#REF!</definedName>
    <definedName name="DEP">#REF!</definedName>
    <definedName name="depn">#REF!</definedName>
    <definedName name="DEPN_ATTACHMENT">#REF!</definedName>
    <definedName name="depn1">#REF!</definedName>
    <definedName name="depr" localSheetId="18">#REF!</definedName>
    <definedName name="depr">#REF!</definedName>
    <definedName name="Depreciation" localSheetId="18">#REF!</definedName>
    <definedName name="Depreciation">#REF!</definedName>
    <definedName name="Depreciation2139">#REF!</definedName>
    <definedName name="DEPRI" localSheetId="18" hidden="1">#REF!</definedName>
    <definedName name="DEPRI" hidden="1">#REF!</definedName>
    <definedName name="DEPRT" localSheetId="18">#REF!</definedName>
    <definedName name="DEPRT">#REF!</definedName>
    <definedName name="Dept" localSheetId="18">#REF!</definedName>
    <definedName name="Dept">#REF!</definedName>
    <definedName name="DESC" localSheetId="18">#REF!</definedName>
    <definedName name="DESC">#REF!</definedName>
    <definedName name="det">#REF!</definedName>
    <definedName name="DFLT" localSheetId="14">ME ExRate</definedName>
    <definedName name="DFLT" localSheetId="15">ME ExRate</definedName>
    <definedName name="DFLT" localSheetId="18">ME ExRate</definedName>
    <definedName name="DFLT" localSheetId="16">ME ExRate</definedName>
    <definedName name="DFLT" localSheetId="13">ME ExRate</definedName>
    <definedName name="DFLT" localSheetId="12">ME ExRate</definedName>
    <definedName name="DFLT">ME ExRate</definedName>
    <definedName name="DG_Set" localSheetId="18">#REF!</definedName>
    <definedName name="DG_Set" localSheetId="16">#REF!</definedName>
    <definedName name="DG_Set" localSheetId="13">#REF!</definedName>
    <definedName name="DG_Set" localSheetId="12">#REF!</definedName>
    <definedName name="DG_Set">#REF!</definedName>
    <definedName name="DG_Sets___6Nos" localSheetId="18">#REF!</definedName>
    <definedName name="DG_Sets___6Nos" localSheetId="16">#REF!</definedName>
    <definedName name="DG_Sets___6Nos" localSheetId="13">#REF!</definedName>
    <definedName name="DG_Sets___6Nos" localSheetId="12">#REF!</definedName>
    <definedName name="DG_Sets___6Nos">#REF!</definedName>
    <definedName name="DG_sets_1_No" localSheetId="18">#REF!</definedName>
    <definedName name="DG_sets_1_No" localSheetId="16">#REF!</definedName>
    <definedName name="DG_sets_1_No" localSheetId="13">#REF!</definedName>
    <definedName name="DG_sets_1_No" localSheetId="12">#REF!</definedName>
    <definedName name="DG_sets_1_No">#REF!</definedName>
    <definedName name="DG_sets_5_Nos" localSheetId="18">#REF!</definedName>
    <definedName name="DG_sets_5_Nos">#REF!</definedName>
    <definedName name="dir" localSheetId="14" hidden="1">{#N/A,#N/A,FALSE,"COMP"}</definedName>
    <definedName name="dir" localSheetId="15" hidden="1">{#N/A,#N/A,FALSE,"COMP"}</definedName>
    <definedName name="dir" localSheetId="18" hidden="1">{#N/A,#N/A,FALSE,"COMP"}</definedName>
    <definedName name="dir" localSheetId="16" hidden="1">{#N/A,#N/A,FALSE,"COMP"}</definedName>
    <definedName name="dir" localSheetId="13" hidden="1">{#N/A,#N/A,FALSE,"COMP"}</definedName>
    <definedName name="dir" localSheetId="12" hidden="1">{#N/A,#N/A,FALSE,"COMP"}</definedName>
    <definedName name="dir" hidden="1">{#N/A,#N/A,FALSE,"COMP"}</definedName>
    <definedName name="Discount" localSheetId="18">#REF!</definedName>
    <definedName name="Discount" localSheetId="16">#REF!</definedName>
    <definedName name="Discount" localSheetId="13">#REF!</definedName>
    <definedName name="Discount" localSheetId="12">#REF!</definedName>
    <definedName name="Discount">#REF!</definedName>
    <definedName name="display_area_2" localSheetId="18" hidden="1">#REF!</definedName>
    <definedName name="display_area_2" localSheetId="16" hidden="1">#REF!</definedName>
    <definedName name="display_area_2" localSheetId="13" hidden="1">#REF!</definedName>
    <definedName name="display_area_2" localSheetId="12" hidden="1">#REF!</definedName>
    <definedName name="display_area_2" hidden="1">#REF!</definedName>
    <definedName name="div" localSheetId="18">#REF!</definedName>
    <definedName name="div" localSheetId="16">#REF!</definedName>
    <definedName name="div" localSheetId="13">#REF!</definedName>
    <definedName name="div" localSheetId="12">#REF!</definedName>
    <definedName name="div">#REF!</definedName>
    <definedName name="DME_Dirty" hidden="1">"False"</definedName>
    <definedName name="DME_LocalFile" hidden="1">"True"</definedName>
    <definedName name="DMI_Plant" localSheetId="18">#REF!</definedName>
    <definedName name="DMI_Plant" localSheetId="16">#REF!</definedName>
    <definedName name="DMI_Plant" localSheetId="13">#REF!</definedName>
    <definedName name="DMI_Plant" localSheetId="12">#REF!</definedName>
    <definedName name="DMI_Plant">#REF!</definedName>
    <definedName name="DMM_Plant" localSheetId="18">#REF!</definedName>
    <definedName name="DMM_Plant" localSheetId="16">#REF!</definedName>
    <definedName name="DMM_Plant" localSheetId="13">#REF!</definedName>
    <definedName name="DMM_Plant" localSheetId="12">#REF!</definedName>
    <definedName name="DMM_Plant">#REF!</definedName>
    <definedName name="DPC" localSheetId="3">#REF!</definedName>
    <definedName name="DPC" localSheetId="18">#REF!</definedName>
    <definedName name="DPC" localSheetId="16">#REF!</definedName>
    <definedName name="DPC" localSheetId="13">#REF!</definedName>
    <definedName name="DPC" localSheetId="12">#REF!</definedName>
    <definedName name="DPC">#REF!</definedName>
    <definedName name="dqdqedr" localSheetId="14" hidden="1">{"SchK1",#N/A,FALSE,"Schedules";"SchK2",#N/A,FALSE,"Schedules"}</definedName>
    <definedName name="dqdqedr" localSheetId="15" hidden="1">{"SchK1",#N/A,FALSE,"Schedules";"SchK2",#N/A,FALSE,"Schedules"}</definedName>
    <definedName name="dqdqedr" localSheetId="18" hidden="1">{"SchK1",#N/A,FALSE,"Schedules";"SchK2",#N/A,FALSE,"Schedules"}</definedName>
    <definedName name="dqdqedr" localSheetId="16" hidden="1">{"SchK1",#N/A,FALSE,"Schedules";"SchK2",#N/A,FALSE,"Schedules"}</definedName>
    <definedName name="dqdqedr" localSheetId="13" hidden="1">{"SchK1",#N/A,FALSE,"Schedules";"SchK2",#N/A,FALSE,"Schedules"}</definedName>
    <definedName name="dqdqedr" localSheetId="12" hidden="1">{"SchK1",#N/A,FALSE,"Schedules";"SchK2",#N/A,FALSE,"Schedules"}</definedName>
    <definedName name="dqdqedr" hidden="1">{"SchK1",#N/A,FALSE,"Schedules";"SchK2",#N/A,FALSE,"Schedules"}</definedName>
    <definedName name="DR.BISHNU_PADA_DAS" localSheetId="18">#REF!</definedName>
    <definedName name="DR.BISHNU_PADA_DAS" localSheetId="16">#REF!</definedName>
    <definedName name="DR.BISHNU_PADA_DAS" localSheetId="13">#REF!</definedName>
    <definedName name="DR.BISHNU_PADA_DAS" localSheetId="12">#REF!</definedName>
    <definedName name="DR.BISHNU_PADA_DAS">#REF!</definedName>
    <definedName name="DragandDrop" localSheetId="3">#REF!</definedName>
    <definedName name="DragandDrop" localSheetId="18">#REF!</definedName>
    <definedName name="DragandDrop" localSheetId="16">#REF!</definedName>
    <definedName name="DragandDrop" localSheetId="13">#REF!</definedName>
    <definedName name="DragandDrop" localSheetId="12">#REF!</definedName>
    <definedName name="DragandDrop">#REF!</definedName>
    <definedName name="DSCR" localSheetId="18">#REF!</definedName>
    <definedName name="DSCR" localSheetId="16">#REF!</definedName>
    <definedName name="DSCR" localSheetId="13">#REF!</definedName>
    <definedName name="DSCR" localSheetId="12">#REF!</definedName>
    <definedName name="DSCR">#REF!</definedName>
    <definedName name="dscsd" localSheetId="18" hidden="1">#REF!</definedName>
    <definedName name="dscsd" hidden="1">#REF!</definedName>
    <definedName name="edli">#REF!</definedName>
    <definedName name="eee" localSheetId="18">#REF!</definedName>
    <definedName name="eee">#REF!</definedName>
    <definedName name="EEEE" localSheetId="14" hidden="1">{#N/A,#N/A,TRUE,"Summary";#N/A,#N/A,TRUE,"Balance Sheet";#N/A,#N/A,TRUE,"P &amp; L";#N/A,#N/A,TRUE,"Fixed Assets";#N/A,#N/A,TRUE,"Cash Flows"}</definedName>
    <definedName name="EEEE" localSheetId="15" hidden="1">{#N/A,#N/A,TRUE,"Summary";#N/A,#N/A,TRUE,"Balance Sheet";#N/A,#N/A,TRUE,"P &amp; L";#N/A,#N/A,TRUE,"Fixed Assets";#N/A,#N/A,TRUE,"Cash Flows"}</definedName>
    <definedName name="EEEE" localSheetId="18" hidden="1">{#N/A,#N/A,TRUE,"Summary";#N/A,#N/A,TRUE,"Balance Sheet";#N/A,#N/A,TRUE,"P &amp; L";#N/A,#N/A,TRUE,"Fixed Assets";#N/A,#N/A,TRUE,"Cash Flows"}</definedName>
    <definedName name="EEEE" localSheetId="16" hidden="1">{#N/A,#N/A,TRUE,"Summary";#N/A,#N/A,TRUE,"Balance Sheet";#N/A,#N/A,TRUE,"P &amp; L";#N/A,#N/A,TRUE,"Fixed Assets";#N/A,#N/A,TRUE,"Cash Flows"}</definedName>
    <definedName name="EEEE" localSheetId="13" hidden="1">{#N/A,#N/A,TRUE,"Summary";#N/A,#N/A,TRUE,"Balance Sheet";#N/A,#N/A,TRUE,"P &amp; L";#N/A,#N/A,TRUE,"Fixed Assets";#N/A,#N/A,TRUE,"Cash Flows"}</definedName>
    <definedName name="EEEE" localSheetId="12" hidden="1">{#N/A,#N/A,TRUE,"Summary";#N/A,#N/A,TRUE,"Balance Sheet";#N/A,#N/A,TRUE,"P &amp; L";#N/A,#N/A,TRUE,"Fixed Assets";#N/A,#N/A,TRUE,"Cash Flows"}</definedName>
    <definedName name="EEEE" hidden="1">{#N/A,#N/A,TRUE,"Summary";#N/A,#N/A,TRUE,"Balance Sheet";#N/A,#N/A,TRUE,"P &amp; L";#N/A,#N/A,TRUE,"Fixed Assets";#N/A,#N/A,TRUE,"Cash Flows"}</definedName>
    <definedName name="effr" localSheetId="18" hidden="1">#REF!</definedName>
    <definedName name="effr" localSheetId="16" hidden="1">#REF!</definedName>
    <definedName name="effr" localSheetId="13" hidden="1">#REF!</definedName>
    <definedName name="effr" localSheetId="12" hidden="1">#REF!</definedName>
    <definedName name="effr" hidden="1">#REF!</definedName>
    <definedName name="EIOEIOI" localSheetId="14" hidden="1">{#N/A,#N/A,FALSE,"Cash Flows";#N/A,#N/A,FALSE,"Fixed Assets";#N/A,#N/A,FALSE,"Balance Sheet";#N/A,#N/A,FALSE,"P &amp; L"}</definedName>
    <definedName name="EIOEIOI" localSheetId="15" hidden="1">{#N/A,#N/A,FALSE,"Cash Flows";#N/A,#N/A,FALSE,"Fixed Assets";#N/A,#N/A,FALSE,"Balance Sheet";#N/A,#N/A,FALSE,"P &amp; L"}</definedName>
    <definedName name="EIOEIOI" localSheetId="18" hidden="1">{#N/A,#N/A,FALSE,"Cash Flows";#N/A,#N/A,FALSE,"Fixed Assets";#N/A,#N/A,FALSE,"Balance Sheet";#N/A,#N/A,FALSE,"P &amp; L"}</definedName>
    <definedName name="EIOEIOI" localSheetId="16" hidden="1">{#N/A,#N/A,FALSE,"Cash Flows";#N/A,#N/A,FALSE,"Fixed Assets";#N/A,#N/A,FALSE,"Balance Sheet";#N/A,#N/A,FALSE,"P &amp; L"}</definedName>
    <definedName name="EIOEIOI" localSheetId="13" hidden="1">{#N/A,#N/A,FALSE,"Cash Flows";#N/A,#N/A,FALSE,"Fixed Assets";#N/A,#N/A,FALSE,"Balance Sheet";#N/A,#N/A,FALSE,"P &amp; L"}</definedName>
    <definedName name="EIOEIOI" localSheetId="12" hidden="1">{#N/A,#N/A,FALSE,"Cash Flows";#N/A,#N/A,FALSE,"Fixed Assets";#N/A,#N/A,FALSE,"Balance Sheet";#N/A,#N/A,FALSE,"P &amp; L"}</definedName>
    <definedName name="EIOEIOI" hidden="1">{#N/A,#N/A,FALSE,"Cash Flows";#N/A,#N/A,FALSE,"Fixed Assets";#N/A,#N/A,FALSE,"Balance Sheet";#N/A,#N/A,FALSE,"P &amp; L"}</definedName>
    <definedName name="Electric__Equipment" localSheetId="18">#REF!</definedName>
    <definedName name="Electric__Equipment" localSheetId="16">#REF!</definedName>
    <definedName name="Electric__Equipment" localSheetId="13">#REF!</definedName>
    <definedName name="Electric__Equipment" localSheetId="12">#REF!</definedName>
    <definedName name="Electric__Equipment">#REF!</definedName>
    <definedName name="Electricity" localSheetId="1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mail" localSheetId="18">#REF!</definedName>
    <definedName name="Email" localSheetId="13">#REF!</definedName>
    <definedName name="Email">#REF!</definedName>
    <definedName name="emi" localSheetId="3">#REF!</definedName>
    <definedName name="emi" localSheetId="18">#REF!</definedName>
    <definedName name="emi" localSheetId="16">#REF!</definedName>
    <definedName name="emi" localSheetId="13">#REF!</definedName>
    <definedName name="emi" localSheetId="12">#REF!</definedName>
    <definedName name="emi">#REF!</definedName>
    <definedName name="EMP_BENFIT_EXP" localSheetId="16">#REF!</definedName>
    <definedName name="EMP_BENFIT_EXP" localSheetId="13">#REF!</definedName>
    <definedName name="EMP_BENFIT_EXP" localSheetId="12">#REF!</definedName>
    <definedName name="EMP_BENFIT_EXP">#REF!</definedName>
    <definedName name="ENTIER">#REF!</definedName>
    <definedName name="Eqpt" localSheetId="18">#REF!</definedName>
    <definedName name="Eqpt">#REF!</definedName>
    <definedName name="Eqpt_Price" localSheetId="18">#REF!</definedName>
    <definedName name="Eqpt_Price">#REF!</definedName>
    <definedName name="Eqpt_Qty" localSheetId="18">#REF!</definedName>
    <definedName name="Eqpt_Qty">#REF!</definedName>
    <definedName name="Escorts_Crane" localSheetId="18">#REF!</definedName>
    <definedName name="Escorts_Crane">#REF!</definedName>
    <definedName name="Escorts_Loader_1" localSheetId="18">#REF!</definedName>
    <definedName name="Escorts_Loader_1">#REF!</definedName>
    <definedName name="Escorts_Loader_2" localSheetId="18">#REF!</definedName>
    <definedName name="Escorts_Loader_2">#REF!</definedName>
    <definedName name="est" localSheetId="18">#REF!</definedName>
    <definedName name="est">#REF!</definedName>
    <definedName name="etc" hidden="1">#REF!</definedName>
    <definedName name="EWWF" localSheetId="14" hidden="1">{#N/A,#N/A,FALSE,"FINAL"}</definedName>
    <definedName name="EWWF" localSheetId="15" hidden="1">{#N/A,#N/A,FALSE,"FINAL"}</definedName>
    <definedName name="EWWF" localSheetId="18" hidden="1">{#N/A,#N/A,FALSE,"FINAL"}</definedName>
    <definedName name="EWWF" localSheetId="16" hidden="1">{#N/A,#N/A,FALSE,"FINAL"}</definedName>
    <definedName name="EWWF" localSheetId="13" hidden="1">{#N/A,#N/A,FALSE,"FINAL"}</definedName>
    <definedName name="EWWF" localSheetId="12" hidden="1">{#N/A,#N/A,FALSE,"FINAL"}</definedName>
    <definedName name="EWWF" hidden="1">{#N/A,#N/A,FALSE,"FINAL"}</definedName>
    <definedName name="EX_350" localSheetId="18">#REF!</definedName>
    <definedName name="EX_350" localSheetId="13">#REF!</definedName>
    <definedName name="EX_350">#REF!</definedName>
    <definedName name="EX_350_I" localSheetId="18">#REF!</definedName>
    <definedName name="EX_350_I" localSheetId="13">#REF!</definedName>
    <definedName name="EX_350_I">#REF!</definedName>
    <definedName name="Excel_BuiltIn__FilterDatabase_9" localSheetId="18">#REF!</definedName>
    <definedName name="Excel_BuiltIn__FilterDatabase_9" localSheetId="16">#REF!</definedName>
    <definedName name="Excel_BuiltIn__FilterDatabase_9" localSheetId="13">#REF!</definedName>
    <definedName name="Excel_BuiltIn__FilterDatabase_9" localSheetId="12">#REF!</definedName>
    <definedName name="Excel_BuiltIn__FilterDatabase_9">#REF!</definedName>
    <definedName name="Excel_BuiltIn_Print_Area_8">#REF!</definedName>
    <definedName name="exhibit1">#REF!</definedName>
    <definedName name="exp">#REF!</definedName>
    <definedName name="_xlnm.Extract">#REF!</definedName>
    <definedName name="F26C" localSheetId="18">#REF!</definedName>
    <definedName name="F26C">#REF!</definedName>
    <definedName name="F26C.12" localSheetId="18">#REF!</definedName>
    <definedName name="F26C.12">#REF!</definedName>
    <definedName name="F26C.6a" localSheetId="18">#REF!</definedName>
    <definedName name="F26C.6a">#REF!</definedName>
    <definedName name="F26C.6b" localSheetId="18">#REF!</definedName>
    <definedName name="F26C.6b">#REF!</definedName>
    <definedName name="F26J" localSheetId="18">#REF!</definedName>
    <definedName name="F26J">#REF!</definedName>
    <definedName name="F26J.12" localSheetId="18">#REF!</definedName>
    <definedName name="F26J.12">#REF!</definedName>
    <definedName name="F26J.6a" localSheetId="18">#REF!</definedName>
    <definedName name="F26J.6a">#REF!</definedName>
    <definedName name="F26J.6b" localSheetId="18">#REF!</definedName>
    <definedName name="F26J.6b">#REF!</definedName>
    <definedName name="F26K.6a" localSheetId="18">#REF!</definedName>
    <definedName name="F26K.6a">#REF!</definedName>
    <definedName name="F26K.6b" localSheetId="18">#REF!</definedName>
    <definedName name="F26K.6b">#REF!</definedName>
    <definedName name="F27N" localSheetId="18">#REF!</definedName>
    <definedName name="F27N">#REF!</definedName>
    <definedName name="FA" localSheetId="18" hidden="1">{"P1",#N/A,TRUE,"P1";"P2",#N/A,TRUE,"P2"}</definedName>
    <definedName name="FA" localSheetId="16" hidden="1">{"P1",#N/A,TRUE,"P1";"P2",#N/A,TRUE,"P2"}</definedName>
    <definedName name="FA" localSheetId="13" hidden="1">{"P1",#N/A,TRUE,"P1";"P2",#N/A,TRUE,"P2"}</definedName>
    <definedName name="FA" localSheetId="12" hidden="1">{"P1",#N/A,TRUE,"P1";"P2",#N/A,TRUE,"P2"}</definedName>
    <definedName name="FA">#REF!</definedName>
    <definedName name="FAC_CLASS" localSheetId="18">#REF!</definedName>
    <definedName name="FAC_CLASS" localSheetId="13">#REF!</definedName>
    <definedName name="FAC_CLASS" localSheetId="12">#REF!</definedName>
    <definedName name="FAC_CLASS">#REF!</definedName>
    <definedName name="fadf" localSheetId="18">#REF!</definedName>
    <definedName name="fadf" localSheetId="13">#REF!</definedName>
    <definedName name="fadf" localSheetId="12">#REF!</definedName>
    <definedName name="fadf">#REF!</definedName>
    <definedName name="Fax" localSheetId="18">#REF!</definedName>
    <definedName name="Fax" localSheetId="13">#REF!</definedName>
    <definedName name="Fax" localSheetId="12">#REF!</definedName>
    <definedName name="Fax">#REF!</definedName>
    <definedName name="fbt" localSheetId="18">#REF!</definedName>
    <definedName name="fbt">#REF!</definedName>
    <definedName name="FCMapping">#REF!</definedName>
    <definedName name="FCode" localSheetId="18" hidden="1">#REF!</definedName>
    <definedName name="FCode" hidden="1">#REF!</definedName>
    <definedName name="FD" localSheetId="18">#REF!</definedName>
    <definedName name="FD">#REF!</definedName>
    <definedName name="fdf" localSheetId="18" hidden="1">#REF!</definedName>
    <definedName name="fdf" hidden="1">#REF!</definedName>
    <definedName name="fdfwegerger" localSheetId="14" hidden="1">{#N/A,#N/A,FALSE,"Cash Flows";#N/A,#N/A,FALSE,"Fixed Assets";#N/A,#N/A,FALSE,"Balance Sheet";#N/A,#N/A,FALSE,"P &amp; L"}</definedName>
    <definedName name="fdfwegerger" localSheetId="15" hidden="1">{#N/A,#N/A,FALSE,"Cash Flows";#N/A,#N/A,FALSE,"Fixed Assets";#N/A,#N/A,FALSE,"Balance Sheet";#N/A,#N/A,FALSE,"P &amp; L"}</definedName>
    <definedName name="fdfwegerger" localSheetId="18" hidden="1">{#N/A,#N/A,FALSE,"Cash Flows";#N/A,#N/A,FALSE,"Fixed Assets";#N/A,#N/A,FALSE,"Balance Sheet";#N/A,#N/A,FALSE,"P &amp; L"}</definedName>
    <definedName name="fdfwegerger" localSheetId="16" hidden="1">{#N/A,#N/A,FALSE,"Cash Flows";#N/A,#N/A,FALSE,"Fixed Assets";#N/A,#N/A,FALSE,"Balance Sheet";#N/A,#N/A,FALSE,"P &amp; L"}</definedName>
    <definedName name="fdfwegerger" localSheetId="13" hidden="1">{#N/A,#N/A,FALSE,"Cash Flows";#N/A,#N/A,FALSE,"Fixed Assets";#N/A,#N/A,FALSE,"Balance Sheet";#N/A,#N/A,FALSE,"P &amp; L"}</definedName>
    <definedName name="fdfwegerger" localSheetId="12" hidden="1">{#N/A,#N/A,FALSE,"Cash Flows";#N/A,#N/A,FALSE,"Fixed Assets";#N/A,#N/A,FALSE,"Balance Sheet";#N/A,#N/A,FALSE,"P &amp; L"}</definedName>
    <definedName name="fdfwegerger" hidden="1">{#N/A,#N/A,FALSE,"Cash Flows";#N/A,#N/A,FALSE,"Fixed Assets";#N/A,#N/A,FALSE,"Balance Sheet";#N/A,#N/A,FALSE,"P &amp; L"}</definedName>
    <definedName name="Feeders" localSheetId="18">#REF!</definedName>
    <definedName name="Feeders" localSheetId="16">#REF!</definedName>
    <definedName name="Feeders" localSheetId="13">#REF!</definedName>
    <definedName name="Feeders" localSheetId="12">#REF!</definedName>
    <definedName name="Feeders">#REF!</definedName>
    <definedName name="FileDirectory" localSheetId="18">#REF!</definedName>
    <definedName name="FileDirectory" localSheetId="16">#REF!</definedName>
    <definedName name="FileDirectory" localSheetId="13">#REF!</definedName>
    <definedName name="FileDirectory" localSheetId="12">#REF!</definedName>
    <definedName name="FileDirectory">#REF!</definedName>
    <definedName name="FileID" localSheetId="18">#REF!</definedName>
    <definedName name="FileID" localSheetId="16">#REF!</definedName>
    <definedName name="FileID" localSheetId="13">#REF!</definedName>
    <definedName name="FileID" localSheetId="12">#REF!</definedName>
    <definedName name="FileID">#REF!</definedName>
    <definedName name="FixIndex1_1" localSheetId="18">#REF!</definedName>
    <definedName name="FixIndex1_1">#REF!</definedName>
    <definedName name="FixIndex1_2">#REF!</definedName>
    <definedName name="FixIndex13_1">#REF!</definedName>
    <definedName name="FixIndex13_2">#REF!</definedName>
    <definedName name="FixIndex14_1">#REF!</definedName>
    <definedName name="FixIndex15_1">#REF!</definedName>
    <definedName name="FixIndex16_1">#REF!</definedName>
    <definedName name="FixIndex17_1">#REF!</definedName>
    <definedName name="FixIndex17_2">#REF!</definedName>
    <definedName name="FixIndex17_3">#REF!</definedName>
    <definedName name="FixIndex18_1">#REF!</definedName>
    <definedName name="FixIndex18_2">#REF!</definedName>
    <definedName name="FixIndex18_3">#REF!</definedName>
    <definedName name="FixIndex19_1">#REF!</definedName>
    <definedName name="FixIndex19_2">#REF!</definedName>
    <definedName name="FixIndex19_3">#REF!</definedName>
    <definedName name="FixIndex2_1">#REF!</definedName>
    <definedName name="FixIndex20_1">#REF!</definedName>
    <definedName name="FixIndex24_1">#REF!</definedName>
    <definedName name="FixIndex24_2">#REF!</definedName>
    <definedName name="FixIndex3_1">#REF!</definedName>
    <definedName name="FixIndex4_1">#REF!</definedName>
    <definedName name="FixIndex5_1">#REF!</definedName>
    <definedName name="FixIndex6_1">#REF!</definedName>
    <definedName name="FixIndex6_2">#REF!</definedName>
    <definedName name="FixIndex9_1">#REF!</definedName>
    <definedName name="FJK" localSheetId="14" hidden="1">{#N/A,#N/A,FALSE,"FINAL"}</definedName>
    <definedName name="FJK" localSheetId="15" hidden="1">{#N/A,#N/A,FALSE,"FINAL"}</definedName>
    <definedName name="FJK" localSheetId="18" hidden="1">{#N/A,#N/A,FALSE,"FINAL"}</definedName>
    <definedName name="FJK" localSheetId="16" hidden="1">{#N/A,#N/A,FALSE,"FINAL"}</definedName>
    <definedName name="FJK" localSheetId="13" hidden="1">{#N/A,#N/A,FALSE,"FINAL"}</definedName>
    <definedName name="FJK" localSheetId="12" hidden="1">{#N/A,#N/A,FALSE,"FINAL"}</definedName>
    <definedName name="FJK" hidden="1">{#N/A,#N/A,FALSE,"FINAL"}</definedName>
    <definedName name="for" localSheetId="18">#REF!</definedName>
    <definedName name="for" localSheetId="16">#REF!</definedName>
    <definedName name="for" localSheetId="13">#REF!</definedName>
    <definedName name="for" localSheetId="12">#REF!</definedName>
    <definedName name="for">#REF!</definedName>
    <definedName name="Ford_Mondeo" localSheetId="18">#REF!</definedName>
    <definedName name="Ford_Mondeo" localSheetId="16">#REF!</definedName>
    <definedName name="Ford_Mondeo" localSheetId="13">#REF!</definedName>
    <definedName name="Ford_Mondeo" localSheetId="12">#REF!</definedName>
    <definedName name="Ford_Mondeo">#REF!</definedName>
    <definedName name="forex" localSheetId="18">#REF!</definedName>
    <definedName name="forex" localSheetId="16">#REF!</definedName>
    <definedName name="forex" localSheetId="13">#REF!</definedName>
    <definedName name="forex" localSheetId="12">#REF!</definedName>
    <definedName name="forex">#REF!</definedName>
    <definedName name="fORM" localSheetId="14" hidden="1">{#N/A,#N/A,FALSE,"COMP"}</definedName>
    <definedName name="fORM" localSheetId="15" hidden="1">{#N/A,#N/A,FALSE,"COMP"}</definedName>
    <definedName name="fORM" localSheetId="18" hidden="1">{#N/A,#N/A,FALSE,"COMP"}</definedName>
    <definedName name="fORM" localSheetId="16" hidden="1">{#N/A,#N/A,FALSE,"COMP"}</definedName>
    <definedName name="fORM" localSheetId="13" hidden="1">{#N/A,#N/A,FALSE,"COMP"}</definedName>
    <definedName name="fORM" localSheetId="12" hidden="1">{#N/A,#N/A,FALSE,"COMP"}</definedName>
    <definedName name="fORM" hidden="1">{#N/A,#N/A,FALSE,"COMP"}</definedName>
    <definedName name="fsdf" localSheetId="18" hidden="1">#REF!</definedName>
    <definedName name="fsdf" localSheetId="16" hidden="1">#REF!</definedName>
    <definedName name="fsdf" localSheetId="13" hidden="1">#REF!</definedName>
    <definedName name="fsdf" localSheetId="12" hidden="1">#REF!</definedName>
    <definedName name="fsdf" hidden="1">#REF!</definedName>
    <definedName name="FUNDFLOW" localSheetId="16">#REF!</definedName>
    <definedName name="FUNDFLOW" localSheetId="13">#REF!</definedName>
    <definedName name="FUNDFLOW" localSheetId="12">#REF!</definedName>
    <definedName name="FUNDFLOW">#REF!</definedName>
    <definedName name="Furniture___Fixtures" localSheetId="16">#REF!</definedName>
    <definedName name="Furniture___Fixtures" localSheetId="13">#REF!</definedName>
    <definedName name="Furniture___Fixtures" localSheetId="12">#REF!</definedName>
    <definedName name="Furniture___Fixtures">#REF!</definedName>
    <definedName name="g" localSheetId="14" hidden="1">{#N/A,#N/A,FALSE,"FINAL"}</definedName>
    <definedName name="g" localSheetId="15" hidden="1">{#N/A,#N/A,FALSE,"FINAL"}</definedName>
    <definedName name="g" localSheetId="18" hidden="1">{#N/A,#N/A,FALSE,"FINAL"}</definedName>
    <definedName name="g" localSheetId="16" hidden="1">{#N/A,#N/A,FALSE,"FINAL"}</definedName>
    <definedName name="g" localSheetId="13" hidden="1">{#N/A,#N/A,FALSE,"FINAL"}</definedName>
    <definedName name="g" localSheetId="12" hidden="1">{#N/A,#N/A,FALSE,"FINAL"}</definedName>
    <definedName name="g" hidden="1">{#N/A,#N/A,FALSE,"FINAL"}</definedName>
    <definedName name="g_total" localSheetId="18">#REF!</definedName>
    <definedName name="g_total" localSheetId="16">#REF!</definedName>
    <definedName name="g_total" localSheetId="13">#REF!</definedName>
    <definedName name="g_total" localSheetId="12">#REF!</definedName>
    <definedName name="g_total">#REF!</definedName>
    <definedName name="gb" localSheetId="16">#REF!</definedName>
    <definedName name="gb" localSheetId="13">#REF!</definedName>
    <definedName name="gb" localSheetId="12">#REF!</definedName>
    <definedName name="gb">#REF!</definedName>
    <definedName name="GBDBDB">#N/A</definedName>
    <definedName name="GDF" localSheetId="14" hidden="1">{#N/A,#N/A,FALSE,"COMP"}</definedName>
    <definedName name="GDF" localSheetId="15" hidden="1">{#N/A,#N/A,FALSE,"COMP"}</definedName>
    <definedName name="GDF" localSheetId="18" hidden="1">{#N/A,#N/A,FALSE,"COMP"}</definedName>
    <definedName name="GDF" localSheetId="16" hidden="1">{#N/A,#N/A,FALSE,"COMP"}</definedName>
    <definedName name="GDF" localSheetId="13" hidden="1">{#N/A,#N/A,FALSE,"COMP"}</definedName>
    <definedName name="GDF" localSheetId="12" hidden="1">{#N/A,#N/A,FALSE,"COMP"}</definedName>
    <definedName name="GDF" hidden="1">{#N/A,#N/A,FALSE,"COMP"}</definedName>
    <definedName name="GDFA" localSheetId="14" hidden="1">{#N/A,#N/A,FALSE,"COMP"}</definedName>
    <definedName name="GDFA" localSheetId="15" hidden="1">{#N/A,#N/A,FALSE,"COMP"}</definedName>
    <definedName name="GDFA" localSheetId="18" hidden="1">{#N/A,#N/A,FALSE,"COMP"}</definedName>
    <definedName name="GDFA" localSheetId="16" hidden="1">{#N/A,#N/A,FALSE,"COMP"}</definedName>
    <definedName name="GDFA" localSheetId="13" hidden="1">{#N/A,#N/A,FALSE,"COMP"}</definedName>
    <definedName name="GDFA" localSheetId="12" hidden="1">{#N/A,#N/A,FALSE,"COMP"}</definedName>
    <definedName name="GDFA" hidden="1">{#N/A,#N/A,FALSE,"COMP"}</definedName>
    <definedName name="ge" localSheetId="18">#REF!</definedName>
    <definedName name="ge" localSheetId="16">#REF!</definedName>
    <definedName name="ge" localSheetId="13">#REF!</definedName>
    <definedName name="ge" localSheetId="12">#REF!</definedName>
    <definedName name="ge">#REF!</definedName>
    <definedName name="Get_36120CR" localSheetId="16">#REF!</definedName>
    <definedName name="Get_36120CR" localSheetId="13">#REF!</definedName>
    <definedName name="Get_36120CR" localSheetId="12">#REF!</definedName>
    <definedName name="Get_36120CR">#REF!</definedName>
    <definedName name="Get_36120NL" localSheetId="16">#REF!</definedName>
    <definedName name="Get_36120NL" localSheetId="13">#REF!</definedName>
    <definedName name="Get_36120NL" localSheetId="12">#REF!</definedName>
    <definedName name="Get_36120NL">#REF!</definedName>
    <definedName name="Get_36150CON">#REF!</definedName>
    <definedName name="Get_36150FIG">#REF!</definedName>
    <definedName name="Get_36170CON">#REF!</definedName>
    <definedName name="Get_36170FRC">#REF!</definedName>
    <definedName name="Get_36170FRS">#REF!</definedName>
    <definedName name="Get_36170PER">#REF!</definedName>
    <definedName name="Get_36170PVC">#REF!</definedName>
    <definedName name="Get_36170SW">#REF!</definedName>
    <definedName name="Get_ATM_TMC">#REF!</definedName>
    <definedName name="Get_ROUTER">#REF!</definedName>
    <definedName name="giy" localSheetId="18">#REF!</definedName>
    <definedName name="giy">#REF!</definedName>
    <definedName name="gjygj" localSheetId="14" hidden="1">{#N/A,#N/A,FALSE,"COMP"}</definedName>
    <definedName name="gjygj" localSheetId="15" hidden="1">{#N/A,#N/A,FALSE,"COMP"}</definedName>
    <definedName name="gjygj" localSheetId="18" hidden="1">{#N/A,#N/A,FALSE,"COMP"}</definedName>
    <definedName name="gjygj" localSheetId="16" hidden="1">{#N/A,#N/A,FALSE,"COMP"}</definedName>
    <definedName name="gjygj" localSheetId="13" hidden="1">{#N/A,#N/A,FALSE,"COMP"}</definedName>
    <definedName name="gjygj" localSheetId="12" hidden="1">{#N/A,#N/A,FALSE,"COMP"}</definedName>
    <definedName name="gjygj" hidden="1">{#N/A,#N/A,FALSE,"COMP"}</definedName>
    <definedName name="golia" localSheetId="18">#REF!</definedName>
    <definedName name="golia" localSheetId="16">#REF!</definedName>
    <definedName name="golia" localSheetId="13">#REF!</definedName>
    <definedName name="golia" localSheetId="12">#REF!</definedName>
    <definedName name="golia">#REF!</definedName>
    <definedName name="gp" localSheetId="16">#REF!</definedName>
    <definedName name="gp" localSheetId="13">#REF!</definedName>
    <definedName name="gp" localSheetId="12">#REF!</definedName>
    <definedName name="gp">#REF!</definedName>
    <definedName name="Gross_Margin___Rs_M" localSheetId="16">#REF!</definedName>
    <definedName name="Gross_Margin___Rs_M" localSheetId="13">#REF!</definedName>
    <definedName name="Gross_Margin___Rs_M" localSheetId="12">#REF!</definedName>
    <definedName name="Gross_Margin___Rs_M">#REF!</definedName>
    <definedName name="grossmarginline">#REF!</definedName>
    <definedName name="Gsoh">#REF!</definedName>
    <definedName name="gsoh1">#REF!</definedName>
    <definedName name="H" hidden="1">#REF!</definedName>
    <definedName name="H_3000_Crusher" localSheetId="18">#REF!</definedName>
    <definedName name="H_3000_Crusher">#REF!</definedName>
    <definedName name="hdr2WorksheetNames" localSheetId="18">#REF!</definedName>
    <definedName name="hdr2WorksheetNames">#REF!</definedName>
    <definedName name="HdrText" localSheetId="18">#REF!</definedName>
    <definedName name="HdrText">#REF!</definedName>
    <definedName name="hdrWorksheetNames" localSheetId="18">#REF!</definedName>
    <definedName name="hdrWorksheetNames">#REF!</definedName>
    <definedName name="Header" localSheetId="18">#REF!</definedName>
    <definedName name="Header">#REF!</definedName>
    <definedName name="hesd" localSheetId="14" hidden="1">{#N/A,#N/A,FALSE,"COMP"}</definedName>
    <definedName name="hesd" localSheetId="15" hidden="1">{#N/A,#N/A,FALSE,"COMP"}</definedName>
    <definedName name="hesd" localSheetId="18" hidden="1">{#N/A,#N/A,FALSE,"COMP"}</definedName>
    <definedName name="hesd" localSheetId="16" hidden="1">{#N/A,#N/A,FALSE,"COMP"}</definedName>
    <definedName name="hesd" localSheetId="13" hidden="1">{#N/A,#N/A,FALSE,"COMP"}</definedName>
    <definedName name="hesd" localSheetId="12" hidden="1">{#N/A,#N/A,FALSE,"COMP"}</definedName>
    <definedName name="hesd" hidden="1">{#N/A,#N/A,FALSE,"COMP"}</definedName>
    <definedName name="HiddenRows" localSheetId="18" hidden="1">#REF!</definedName>
    <definedName name="HiddenRows" localSheetId="13" hidden="1">#REF!</definedName>
    <definedName name="HiddenRows" hidden="1">#REF!</definedName>
    <definedName name="hjhka" localSheetId="14" hidden="1">{#N/A,#N/A,TRUE,"CONTENTS";#N/A,#N/A,TRUE,"M2";#N/A,#N/A,TRUE,"M2a";#N/A,#N/A,TRUE,"M2b";#N/A,#N/A,TRUE,"M3";#N/A,#N/A,TRUE,"M3a";#N/A,#N/A,TRUE,"M4-P";#N/A,#N/A,TRUE,"M5";#N/A,#N/A,TRUE,"M6";#N/A,#N/A,TRUE,"M7";#N/A,#N/A,TRUE,"M8";#N/A,#N/A,TRUE,"M9";#N/A,#N/A,TRUE,"M10";#N/A,#N/A,TRUE,"M11";#N/A,#N/A,TRUE,"M13";#N/A,#N/A,TRUE,"M14";#N/A,#N/A,TRUE,"M15";#N/A,#N/A,TRUE,"K1"}</definedName>
    <definedName name="hjhka" localSheetId="15" hidden="1">{#N/A,#N/A,TRUE,"CONTENTS";#N/A,#N/A,TRUE,"M2";#N/A,#N/A,TRUE,"M2a";#N/A,#N/A,TRUE,"M2b";#N/A,#N/A,TRUE,"M3";#N/A,#N/A,TRUE,"M3a";#N/A,#N/A,TRUE,"M4-P";#N/A,#N/A,TRUE,"M5";#N/A,#N/A,TRUE,"M6";#N/A,#N/A,TRUE,"M7";#N/A,#N/A,TRUE,"M8";#N/A,#N/A,TRUE,"M9";#N/A,#N/A,TRUE,"M10";#N/A,#N/A,TRUE,"M11";#N/A,#N/A,TRUE,"M13";#N/A,#N/A,TRUE,"M14";#N/A,#N/A,TRUE,"M15";#N/A,#N/A,TRUE,"K1"}</definedName>
    <definedName name="hjhka" localSheetId="18" hidden="1">{#N/A,#N/A,TRUE,"CONTENTS";#N/A,#N/A,TRUE,"M2";#N/A,#N/A,TRUE,"M2a";#N/A,#N/A,TRUE,"M2b";#N/A,#N/A,TRUE,"M3";#N/A,#N/A,TRUE,"M3a";#N/A,#N/A,TRUE,"M4-P";#N/A,#N/A,TRUE,"M5";#N/A,#N/A,TRUE,"M6";#N/A,#N/A,TRUE,"M7";#N/A,#N/A,TRUE,"M8";#N/A,#N/A,TRUE,"M9";#N/A,#N/A,TRUE,"M10";#N/A,#N/A,TRUE,"M11";#N/A,#N/A,TRUE,"M13";#N/A,#N/A,TRUE,"M14";#N/A,#N/A,TRUE,"M15";#N/A,#N/A,TRUE,"K1"}</definedName>
    <definedName name="hjhka" localSheetId="16" hidden="1">{#N/A,#N/A,TRUE,"CONTENTS";#N/A,#N/A,TRUE,"M2";#N/A,#N/A,TRUE,"M2a";#N/A,#N/A,TRUE,"M2b";#N/A,#N/A,TRUE,"M3";#N/A,#N/A,TRUE,"M3a";#N/A,#N/A,TRUE,"M4-P";#N/A,#N/A,TRUE,"M5";#N/A,#N/A,TRUE,"M6";#N/A,#N/A,TRUE,"M7";#N/A,#N/A,TRUE,"M8";#N/A,#N/A,TRUE,"M9";#N/A,#N/A,TRUE,"M10";#N/A,#N/A,TRUE,"M11";#N/A,#N/A,TRUE,"M13";#N/A,#N/A,TRUE,"M14";#N/A,#N/A,TRUE,"M15";#N/A,#N/A,TRUE,"K1"}</definedName>
    <definedName name="hjhka" localSheetId="13" hidden="1">{#N/A,#N/A,TRUE,"CONTENTS";#N/A,#N/A,TRUE,"M2";#N/A,#N/A,TRUE,"M2a";#N/A,#N/A,TRUE,"M2b";#N/A,#N/A,TRUE,"M3";#N/A,#N/A,TRUE,"M3a";#N/A,#N/A,TRUE,"M4-P";#N/A,#N/A,TRUE,"M5";#N/A,#N/A,TRUE,"M6";#N/A,#N/A,TRUE,"M7";#N/A,#N/A,TRUE,"M8";#N/A,#N/A,TRUE,"M9";#N/A,#N/A,TRUE,"M10";#N/A,#N/A,TRUE,"M11";#N/A,#N/A,TRUE,"M13";#N/A,#N/A,TRUE,"M14";#N/A,#N/A,TRUE,"M15";#N/A,#N/A,TRUE,"K1"}</definedName>
    <definedName name="hjhka" localSheetId="12" hidden="1">{#N/A,#N/A,TRUE,"CONTENTS";#N/A,#N/A,TRUE,"M2";#N/A,#N/A,TRUE,"M2a";#N/A,#N/A,TRUE,"M2b";#N/A,#N/A,TRUE,"M3";#N/A,#N/A,TRUE,"M3a";#N/A,#N/A,TRUE,"M4-P";#N/A,#N/A,TRUE,"M5";#N/A,#N/A,TRUE,"M6";#N/A,#N/A,TRUE,"M7";#N/A,#N/A,TRUE,"M8";#N/A,#N/A,TRUE,"M9";#N/A,#N/A,TRUE,"M10";#N/A,#N/A,TRUE,"M11";#N/A,#N/A,TRUE,"M13";#N/A,#N/A,TRUE,"M14";#N/A,#N/A,TRUE,"M15";#N/A,#N/A,TRUE,"K1"}</definedName>
    <definedName name="hjhka" hidden="1">{#N/A,#N/A,TRUE,"CONTENTS";#N/A,#N/A,TRUE,"M2";#N/A,#N/A,TRUE,"M2a";#N/A,#N/A,TRUE,"M2b";#N/A,#N/A,TRUE,"M3";#N/A,#N/A,TRUE,"M3a";#N/A,#N/A,TRUE,"M4-P";#N/A,#N/A,TRUE,"M5";#N/A,#N/A,TRUE,"M6";#N/A,#N/A,TRUE,"M7";#N/A,#N/A,TRUE,"M8";#N/A,#N/A,TRUE,"M9";#N/A,#N/A,TRUE,"M10";#N/A,#N/A,TRUE,"M11";#N/A,#N/A,TRUE,"M13";#N/A,#N/A,TRUE,"M14";#N/A,#N/A,TRUE,"M15";#N/A,#N/A,TRUE,"K1"}</definedName>
    <definedName name="HKD" localSheetId="18">#REF!</definedName>
    <definedName name="HKD" localSheetId="16">#REF!</definedName>
    <definedName name="HKD" localSheetId="13">#REF!</definedName>
    <definedName name="HKD" localSheetId="12">#REF!</definedName>
    <definedName name="HKD">#REF!</definedName>
    <definedName name="HLREC" localSheetId="16">#REF!</definedName>
    <definedName name="HLREC" localSheetId="13">#REF!</definedName>
    <definedName name="HLREC" localSheetId="12">#REF!</definedName>
    <definedName name="HLREC">#REF!</definedName>
    <definedName name="home" localSheetId="16">#REF!</definedName>
    <definedName name="home" localSheetId="13">#REF!</definedName>
    <definedName name="home" localSheetId="12">#REF!</definedName>
    <definedName name="home">#REF!</definedName>
    <definedName name="homePlate" localSheetId="18">#REF!</definedName>
    <definedName name="homePlate">#REF!</definedName>
    <definedName name="HP_NOTES" localSheetId="18">#REF!</definedName>
    <definedName name="HP_NOTES">#REF!</definedName>
    <definedName name="HTML_CodePage" hidden="1">1252</definedName>
    <definedName name="HTML_Control" localSheetId="14" hidden="1">{"'Sheet1'!$A$5:$E$42"}</definedName>
    <definedName name="HTML_Control" localSheetId="15" hidden="1">{"'Sheet1'!$A$5:$E$42"}</definedName>
    <definedName name="HTML_Control" localSheetId="18" hidden="1">{"'Sheet1'!$A$5:$E$42"}</definedName>
    <definedName name="HTML_Control" localSheetId="16" hidden="1">{"'Sheet1'!$A$5:$E$42"}</definedName>
    <definedName name="HTML_Control" localSheetId="13" hidden="1">{"'Sheet1'!$A$5:$E$42"}</definedName>
    <definedName name="HTML_Control" localSheetId="12" hidden="1">{"'Sheet1'!$A$5:$E$42"}</definedName>
    <definedName name="HTML_Control" hidden="1">{"'Sheet1'!$A$5:$E$42"}</definedName>
    <definedName name="HTML_Description" hidden="1">""</definedName>
    <definedName name="HTML_Email" hidden="1">"modak.b@indorama-ind.com"</definedName>
    <definedName name="HTML_Header" hidden="1">"Class-wise Depreciation Rates"</definedName>
    <definedName name="HTML_LastUpdate" hidden="1">"12/3/99"</definedName>
    <definedName name="HTML_LineAfter" hidden="1">TRUE</definedName>
    <definedName name="HTML_LineBefore" hidden="1">TRUE</definedName>
    <definedName name="HTML_Name" hidden="1">"Chandrakant Modak"</definedName>
    <definedName name="HTML_OBDlg2" hidden="1">TRUE</definedName>
    <definedName name="HTML_OBDlg4" hidden="1">TRUE</definedName>
    <definedName name="HTML_OS" hidden="1">0</definedName>
    <definedName name="HTML_PathFile" hidden="1">"C:\My Documents\AssetMatrix.html"</definedName>
    <definedName name="HTML_Title" hidden="1">"Assets Matrix"</definedName>
    <definedName name="hui">#N/A</definedName>
    <definedName name="HUNDRED" localSheetId="18">#REF!</definedName>
    <definedName name="HUNDRED" localSheetId="13">#REF!</definedName>
    <definedName name="HUNDRED">#REF!</definedName>
    <definedName name="I234B" localSheetId="18">#REF!</definedName>
    <definedName name="I234B" localSheetId="16">#REF!</definedName>
    <definedName name="I234B" localSheetId="13">#REF!</definedName>
    <definedName name="I234B" localSheetId="12">#REF!</definedName>
    <definedName name="I234B">#REF!</definedName>
    <definedName name="I234C" localSheetId="16">#REF!</definedName>
    <definedName name="I234C" localSheetId="13">#REF!</definedName>
    <definedName name="I234C" localSheetId="12">#REF!</definedName>
    <definedName name="I234C">#REF!</definedName>
    <definedName name="IDD_90" localSheetId="18">#REF!</definedName>
    <definedName name="IDD_90">#REF!</definedName>
    <definedName name="IJIUI" localSheetId="14" hidden="1">{#N/A,#N/A,TRUE,"Summary";#N/A,#N/A,TRUE,"Balance Sheet";#N/A,#N/A,TRUE,"P &amp; L";#N/A,#N/A,TRUE,"Fixed Assets";#N/A,#N/A,TRUE,"Cash Flows"}</definedName>
    <definedName name="IJIUI" localSheetId="15" hidden="1">{#N/A,#N/A,TRUE,"Summary";#N/A,#N/A,TRUE,"Balance Sheet";#N/A,#N/A,TRUE,"P &amp; L";#N/A,#N/A,TRUE,"Fixed Assets";#N/A,#N/A,TRUE,"Cash Flows"}</definedName>
    <definedName name="IJIUI" localSheetId="18" hidden="1">{#N/A,#N/A,TRUE,"Summary";#N/A,#N/A,TRUE,"Balance Sheet";#N/A,#N/A,TRUE,"P &amp; L";#N/A,#N/A,TRUE,"Fixed Assets";#N/A,#N/A,TRUE,"Cash Flows"}</definedName>
    <definedName name="IJIUI" localSheetId="16" hidden="1">{#N/A,#N/A,TRUE,"Summary";#N/A,#N/A,TRUE,"Balance Sheet";#N/A,#N/A,TRUE,"P &amp; L";#N/A,#N/A,TRUE,"Fixed Assets";#N/A,#N/A,TRUE,"Cash Flows"}</definedName>
    <definedName name="IJIUI" localSheetId="13" hidden="1">{#N/A,#N/A,TRUE,"Summary";#N/A,#N/A,TRUE,"Balance Sheet";#N/A,#N/A,TRUE,"P &amp; L";#N/A,#N/A,TRUE,"Fixed Assets";#N/A,#N/A,TRUE,"Cash Flows"}</definedName>
    <definedName name="IJIUI" localSheetId="12" hidden="1">{#N/A,#N/A,TRUE,"Summary";#N/A,#N/A,TRUE,"Balance Sheet";#N/A,#N/A,TRUE,"P &amp; L";#N/A,#N/A,TRUE,"Fixed Assets";#N/A,#N/A,TRUE,"Cash Flows"}</definedName>
    <definedName name="IJIUI" hidden="1">{#N/A,#N/A,TRUE,"Summary";#N/A,#N/A,TRUE,"Balance Sheet";#N/A,#N/A,TRUE,"P &amp; L";#N/A,#N/A,TRUE,"Fixed Assets";#N/A,#N/A,TRUE,"Cash Flows"}</definedName>
    <definedName name="ijoi" localSheetId="18" hidden="1">#REF!</definedName>
    <definedName name="ijoi" localSheetId="16" hidden="1">#REF!</definedName>
    <definedName name="ijoi" localSheetId="13" hidden="1">#REF!</definedName>
    <definedName name="ijoi" localSheetId="12" hidden="1">#REF!</definedName>
    <definedName name="ijoi" hidden="1">#REF!</definedName>
    <definedName name="ImpFNames" localSheetId="18">#REF!</definedName>
    <definedName name="ImpFNames" localSheetId="16">#REF!</definedName>
    <definedName name="ImpFNames" localSheetId="13">#REF!</definedName>
    <definedName name="ImpFNames" localSheetId="12">#REF!</definedName>
    <definedName name="ImpFNames">#REF!</definedName>
    <definedName name="In_Desc" localSheetId="18">#REF!</definedName>
    <definedName name="In_Desc" localSheetId="16">#REF!</definedName>
    <definedName name="In_Desc" localSheetId="13">#REF!</definedName>
    <definedName name="In_Desc" localSheetId="12">#REF!</definedName>
    <definedName name="In_Desc">#REF!</definedName>
    <definedName name="In_Maint" localSheetId="18">#REF!</definedName>
    <definedName name="In_Maint">#REF!</definedName>
    <definedName name="In_Maint_Price" localSheetId="18">#REF!</definedName>
    <definedName name="In_Maint_Price">#REF!</definedName>
    <definedName name="In_Maint_Qty" localSheetId="18">#REF!</definedName>
    <definedName name="In_Maint_Qty">#REF!</definedName>
    <definedName name="INDIA_PLASTIC_in_KUSD" localSheetId="18">#REF!</definedName>
    <definedName name="INDIA_PLASTIC_in_KUSD">#REF!</definedName>
    <definedName name="INDICAT">#REF!</definedName>
    <definedName name="Inflation" localSheetId="18">#REF!</definedName>
    <definedName name="Inflation">#REF!</definedName>
    <definedName name="input1_1" localSheetId="18">#REF!</definedName>
    <definedName name="input1_1">#REF!</definedName>
    <definedName name="input10_1">#REF!</definedName>
    <definedName name="input13_1">#REF!</definedName>
    <definedName name="input14_1">#REF!</definedName>
    <definedName name="input15_1">#REF!</definedName>
    <definedName name="input16_1">#REF!</definedName>
    <definedName name="input17_1">#REF!</definedName>
    <definedName name="input18_1">#REF!</definedName>
    <definedName name="input19_1">#REF!</definedName>
    <definedName name="input2_1">#REF!</definedName>
    <definedName name="input20_1">#REF!</definedName>
    <definedName name="input22_1">#REF!</definedName>
    <definedName name="input23_1">#REF!</definedName>
    <definedName name="input24_1">#REF!</definedName>
    <definedName name="input25_1" localSheetId="18">#REF!</definedName>
    <definedName name="input25_1">#REF!</definedName>
    <definedName name="input5_1" localSheetId="18">#REF!</definedName>
    <definedName name="input5_1">#REF!</definedName>
    <definedName name="input6_1">#REF!</definedName>
    <definedName name="input9_1">#REF!</definedName>
    <definedName name="INR" localSheetId="18">#REF!</definedName>
    <definedName name="INR">#REF!</definedName>
    <definedName name="Install" localSheetId="18">#REF!</definedName>
    <definedName name="Install">#REF!</definedName>
    <definedName name="Install_Qty" localSheetId="18">#REF!</definedName>
    <definedName name="Install_Qty">#REF!</definedName>
    <definedName name="INT_EXI" localSheetId="18">#REF!</definedName>
    <definedName name="INT_EXI">#REF!</definedName>
    <definedName name="INT_FUN">#REF!</definedName>
    <definedName name="INT_PRO">#REF!</definedName>
    <definedName name="INT_WCTL">#REF!</definedName>
    <definedName name="int234B">#REF!</definedName>
    <definedName name="int234C">#REF!</definedName>
    <definedName name="INT234C1">#REF!</definedName>
    <definedName name="INT234C2">#REF!</definedName>
    <definedName name="interest" localSheetId="18">#REF!</definedName>
    <definedName name="interest">#REF!</definedName>
    <definedName name="interest_tax" localSheetId="18">#REF!</definedName>
    <definedName name="interest_tax">#REF!</definedName>
    <definedName name="Interest2004" localSheetId="18">#REF!</definedName>
    <definedName name="Interest2004">#REF!</definedName>
    <definedName name="Interest2005">#REF!</definedName>
    <definedName name="Interest2006">#REF!</definedName>
    <definedName name="Interest2007">#REF!</definedName>
    <definedName name="Interest2008">#REF!</definedName>
    <definedName name="Interest2009">#REF!</definedName>
    <definedName name="intsch">#REF!</definedName>
    <definedName name="INTT_EXP">#REF!</definedName>
    <definedName name="INV">#REF!</definedName>
    <definedName name="INVESTMENTS" localSheetId="18">#REF!</definedName>
    <definedName name="INVESTMENTS">#REF!</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40070.5420486111</definedName>
    <definedName name="IQ_NTM" hidden="1">6000</definedName>
    <definedName name="IQ_OPENED55" hidden="1">1</definedName>
    <definedName name="IQ_TODAY" hidden="1">0</definedName>
    <definedName name="IQ_WEEK" hidden="1">50000</definedName>
    <definedName name="IQ_YTD" hidden="1">3000</definedName>
    <definedName name="IR_Compactor" localSheetId="18">#REF!</definedName>
    <definedName name="IR_Compactor" localSheetId="13">#REF!</definedName>
    <definedName name="IR_Compactor">#REF!</definedName>
    <definedName name="IR_IDD_90_2" localSheetId="18">#REF!</definedName>
    <definedName name="IR_IDD_90_2" localSheetId="16">#REF!</definedName>
    <definedName name="IR_IDD_90_2" localSheetId="13">#REF!</definedName>
    <definedName name="IR_IDD_90_2" localSheetId="12">#REF!</definedName>
    <definedName name="IR_IDD_90_2">#REF!</definedName>
    <definedName name="IR_IDD_90_Compactor" localSheetId="18">#REF!</definedName>
    <definedName name="IR_IDD_90_Compactor" localSheetId="16">#REF!</definedName>
    <definedName name="IR_IDD_90_Compactor" localSheetId="13">#REF!</definedName>
    <definedName name="IR_IDD_90_Compactor" localSheetId="12">#REF!</definedName>
    <definedName name="IR_IDD_90_Compactor">#REF!</definedName>
    <definedName name="IR_ISD_100_2" localSheetId="18">#REF!</definedName>
    <definedName name="IR_ISD_100_2">#REF!</definedName>
    <definedName name="IRR" localSheetId="18">#REF!</definedName>
    <definedName name="IRR">#REF!</definedName>
    <definedName name="IUIU" localSheetId="14" hidden="1">{#N/A,#N/A,TRUE,"Summary";#N/A,#N/A,TRUE,"Balance Sheet";#N/A,#N/A,TRUE,"P &amp; L";#N/A,#N/A,TRUE,"Fixed Assets";#N/A,#N/A,TRUE,"Cash Flows"}</definedName>
    <definedName name="IUIU" localSheetId="15" hidden="1">{#N/A,#N/A,TRUE,"Summary";#N/A,#N/A,TRUE,"Balance Sheet";#N/A,#N/A,TRUE,"P &amp; L";#N/A,#N/A,TRUE,"Fixed Assets";#N/A,#N/A,TRUE,"Cash Flows"}</definedName>
    <definedName name="IUIU" localSheetId="18" hidden="1">{#N/A,#N/A,TRUE,"Summary";#N/A,#N/A,TRUE,"Balance Sheet";#N/A,#N/A,TRUE,"P &amp; L";#N/A,#N/A,TRUE,"Fixed Assets";#N/A,#N/A,TRUE,"Cash Flows"}</definedName>
    <definedName name="IUIU" localSheetId="16" hidden="1">{#N/A,#N/A,TRUE,"Summary";#N/A,#N/A,TRUE,"Balance Sheet";#N/A,#N/A,TRUE,"P &amp; L";#N/A,#N/A,TRUE,"Fixed Assets";#N/A,#N/A,TRUE,"Cash Flows"}</definedName>
    <definedName name="IUIU" localSheetId="13" hidden="1">{#N/A,#N/A,TRUE,"Summary";#N/A,#N/A,TRUE,"Balance Sheet";#N/A,#N/A,TRUE,"P &amp; L";#N/A,#N/A,TRUE,"Fixed Assets";#N/A,#N/A,TRUE,"Cash Flows"}</definedName>
    <definedName name="IUIU" localSheetId="12" hidden="1">{#N/A,#N/A,TRUE,"Summary";#N/A,#N/A,TRUE,"Balance Sheet";#N/A,#N/A,TRUE,"P &amp; L";#N/A,#N/A,TRUE,"Fixed Assets";#N/A,#N/A,TRUE,"Cash Flows"}</definedName>
    <definedName name="IUIU" hidden="1">{#N/A,#N/A,TRUE,"Summary";#N/A,#N/A,TRUE,"Balance Sheet";#N/A,#N/A,TRUE,"P &amp; L";#N/A,#N/A,TRUE,"Fixed Assets";#N/A,#N/A,TRUE,"Cash Flows"}</definedName>
    <definedName name="J" localSheetId="14" hidden="1">{#N/A,#N/A,FALSE,"COMP"}</definedName>
    <definedName name="J" localSheetId="15" hidden="1">{#N/A,#N/A,FALSE,"COMP"}</definedName>
    <definedName name="J" localSheetId="18" hidden="1">{#N/A,#N/A,FALSE,"COMP"}</definedName>
    <definedName name="J" localSheetId="16" hidden="1">{#N/A,#N/A,FALSE,"COMP"}</definedName>
    <definedName name="J" localSheetId="13" hidden="1">{#N/A,#N/A,FALSE,"COMP"}</definedName>
    <definedName name="J" localSheetId="12" hidden="1">{#N/A,#N/A,FALSE,"COMP"}</definedName>
    <definedName name="J" hidden="1">{#N/A,#N/A,FALSE,"COMP"}</definedName>
    <definedName name="Jaw_Crusher_6240" localSheetId="18">#REF!</definedName>
    <definedName name="Jaw_Crusher_6240" localSheetId="16">#REF!</definedName>
    <definedName name="Jaw_Crusher_6240" localSheetId="13">#REF!</definedName>
    <definedName name="Jaw_Crusher_6240" localSheetId="12">#REF!</definedName>
    <definedName name="Jaw_Crusher_6240">#REF!</definedName>
    <definedName name="Jaw_Crusher_8013" localSheetId="18">#REF!</definedName>
    <definedName name="Jaw_Crusher_8013" localSheetId="16">#REF!</definedName>
    <definedName name="Jaw_Crusher_8013" localSheetId="13">#REF!</definedName>
    <definedName name="Jaw_Crusher_8013" localSheetId="12">#REF!</definedName>
    <definedName name="Jaw_Crusher_8013">#REF!</definedName>
    <definedName name="jhfg" localSheetId="14" hidden="1">{#N/A,#N/A,FALSE,"COMP"}</definedName>
    <definedName name="jhfg" localSheetId="15" hidden="1">{#N/A,#N/A,FALSE,"COMP"}</definedName>
    <definedName name="jhfg" localSheetId="18" hidden="1">{#N/A,#N/A,FALSE,"COMP"}</definedName>
    <definedName name="jhfg" localSheetId="16" hidden="1">{#N/A,#N/A,FALSE,"COMP"}</definedName>
    <definedName name="jhfg" localSheetId="13" hidden="1">{#N/A,#N/A,FALSE,"COMP"}</definedName>
    <definedName name="jhfg" localSheetId="12" hidden="1">{#N/A,#N/A,FALSE,"COMP"}</definedName>
    <definedName name="jhfg" hidden="1">{#N/A,#N/A,FALSE,"COMP"}</definedName>
    <definedName name="jim"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jim"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jim"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jim"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jim"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jim"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jim" hidden="1">{#N/A,#N/A,TRUE,"CONTENTS";#N/A,#N/A,TRUE,"M2";#N/A,#N/A,TRUE,"M2a";#N/A,#N/A,TRUE,"M2b";#N/A,#N/A,TRUE,"M3";#N/A,#N/A,TRUE,"M3a";#N/A,#N/A,TRUE,"M4-H";#N/A,#N/A,TRUE,"M4-P";#N/A,#N/A,TRUE,"M4a";#N/A,#N/A,TRUE,"M4b";#N/A,#N/A,TRUE,"M4c";#N/A,#N/A,TRUE,"M5";#N/A,#N/A,TRUE,"M6";#N/A,#N/A,TRUE,"M7";#N/A,#N/A,TRUE,"M8";#N/A,#N/A,TRUE,"M9";#N/A,#N/A,TRUE,"M10";#N/A,#N/A,TRUE,"M11";#N/A,#N/A,TRUE,"M13";#N/A,#N/A,TRUE,"M14";#N/A,#N/A,TRUE,"M15";#N/A,#N/A,TRUE,"K1"}</definedName>
    <definedName name="JM_1312_Crusher" localSheetId="18">#REF!</definedName>
    <definedName name="JM_1312_Crusher" localSheetId="16">#REF!</definedName>
    <definedName name="JM_1312_Crusher" localSheetId="13">#REF!</definedName>
    <definedName name="JM_1312_Crusher" localSheetId="12">#REF!</definedName>
    <definedName name="JM_1312_Crusher">#REF!</definedName>
    <definedName name="jmgkdjgkdfjgkf" localSheetId="14" hidden="1">{#N/A,#N/A,FALSE,"Cash Flows";#N/A,#N/A,FALSE,"Fixed Assets";#N/A,#N/A,FALSE,"Balance Sheet";#N/A,#N/A,FALSE,"P &amp; L"}</definedName>
    <definedName name="jmgkdjgkdfjgkf" localSheetId="15" hidden="1">{#N/A,#N/A,FALSE,"Cash Flows";#N/A,#N/A,FALSE,"Fixed Assets";#N/A,#N/A,FALSE,"Balance Sheet";#N/A,#N/A,FALSE,"P &amp; L"}</definedName>
    <definedName name="jmgkdjgkdfjgkf" localSheetId="18" hidden="1">{#N/A,#N/A,FALSE,"Cash Flows";#N/A,#N/A,FALSE,"Fixed Assets";#N/A,#N/A,FALSE,"Balance Sheet";#N/A,#N/A,FALSE,"P &amp; L"}</definedName>
    <definedName name="jmgkdjgkdfjgkf" localSheetId="16" hidden="1">{#N/A,#N/A,FALSE,"Cash Flows";#N/A,#N/A,FALSE,"Fixed Assets";#N/A,#N/A,FALSE,"Balance Sheet";#N/A,#N/A,FALSE,"P &amp; L"}</definedName>
    <definedName name="jmgkdjgkdfjgkf" localSheetId="13" hidden="1">{#N/A,#N/A,FALSE,"Cash Flows";#N/A,#N/A,FALSE,"Fixed Assets";#N/A,#N/A,FALSE,"Balance Sheet";#N/A,#N/A,FALSE,"P &amp; L"}</definedName>
    <definedName name="jmgkdjgkdfjgkf" localSheetId="12" hidden="1">{#N/A,#N/A,FALSE,"Cash Flows";#N/A,#N/A,FALSE,"Fixed Assets";#N/A,#N/A,FALSE,"Balance Sheet";#N/A,#N/A,FALSE,"P &amp; L"}</definedName>
    <definedName name="jmgkdjgkdfjgkf" hidden="1">{#N/A,#N/A,FALSE,"Cash Flows";#N/A,#N/A,FALSE,"Fixed Assets";#N/A,#N/A,FALSE,"Balance Sheet";#N/A,#N/A,FALSE,"P &amp; L"}</definedName>
    <definedName name="JNTCMB" localSheetId="18">#REF!</definedName>
    <definedName name="JNTCMB" localSheetId="16">#REF!</definedName>
    <definedName name="JNTCMB" localSheetId="13">#REF!</definedName>
    <definedName name="JNTCMB" localSheetId="12">#REF!</definedName>
    <definedName name="JNTCMB">#REF!</definedName>
    <definedName name="JNTCYOS2" localSheetId="16">#REF!</definedName>
    <definedName name="JNTCYOS2" localSheetId="13">#REF!</definedName>
    <definedName name="JNTCYOS2" localSheetId="12">#REF!</definedName>
    <definedName name="JNTCYOS2">#REF!</definedName>
    <definedName name="JNTEXP" localSheetId="16">#REF!</definedName>
    <definedName name="JNTEXP" localSheetId="13">#REF!</definedName>
    <definedName name="JNTEXP" localSheetId="12">#REF!</definedName>
    <definedName name="JNTEXP">#REF!</definedName>
    <definedName name="Jobtypes" localSheetId="18">#REF!</definedName>
    <definedName name="Jobtypes">#REF!</definedName>
    <definedName name="JPY" localSheetId="18">#REF!</definedName>
    <definedName name="JPY">#REF!</definedName>
    <definedName name="k" localSheetId="18">#REF!</definedName>
    <definedName name="k">#REF!</definedName>
    <definedName name="Kerber" localSheetId="18">#REF!</definedName>
    <definedName name="Kerber">#REF!</definedName>
    <definedName name="kjk" localSheetId="18" hidden="1">#REF!</definedName>
    <definedName name="kjk" hidden="1">#REF!</definedName>
    <definedName name="kk">#REF!</definedName>
    <definedName name="kkkkk" localSheetId="18">#REF!</definedName>
    <definedName name="kkkkk">#REF!</definedName>
    <definedName name="komal">#REF!</definedName>
    <definedName name="KOREA_PLASTIC_in_KUSD">#REF!</definedName>
    <definedName name="KRW">#REF!</definedName>
    <definedName name="ks" localSheetId="14" hidden="1">{#N/A,#N/A,FALSE,"COMP"}</definedName>
    <definedName name="ks" localSheetId="15" hidden="1">{#N/A,#N/A,FALSE,"COMP"}</definedName>
    <definedName name="ks" localSheetId="18" hidden="1">{#N/A,#N/A,FALSE,"COMP"}</definedName>
    <definedName name="ks" localSheetId="16" hidden="1">{#N/A,#N/A,FALSE,"COMP"}</definedName>
    <definedName name="ks" localSheetId="13" hidden="1">{#N/A,#N/A,FALSE,"COMP"}</definedName>
    <definedName name="ks" localSheetId="12" hidden="1">{#N/A,#N/A,FALSE,"COMP"}</definedName>
    <definedName name="ks" hidden="1">{#N/A,#N/A,FALSE,"COMP"}</definedName>
    <definedName name="KUULSD" localSheetId="14" hidden="1">{#N/A,#N/A,FALSE,"COMP"}</definedName>
    <definedName name="KUULSD" localSheetId="15" hidden="1">{#N/A,#N/A,FALSE,"COMP"}</definedName>
    <definedName name="KUULSD" localSheetId="18" hidden="1">{#N/A,#N/A,FALSE,"COMP"}</definedName>
    <definedName name="KUULSD" localSheetId="16" hidden="1">{#N/A,#N/A,FALSE,"COMP"}</definedName>
    <definedName name="KUULSD" localSheetId="13" hidden="1">{#N/A,#N/A,FALSE,"COMP"}</definedName>
    <definedName name="KUULSD" localSheetId="12" hidden="1">{#N/A,#N/A,FALSE,"COMP"}</definedName>
    <definedName name="KUULSD" hidden="1">{#N/A,#N/A,FALSE,"COMP"}</definedName>
    <definedName name="L" hidden="1">#REF!</definedName>
    <definedName name="L___T_72_CK" localSheetId="18">#REF!</definedName>
    <definedName name="L___T_72_CK" localSheetId="16">#REF!</definedName>
    <definedName name="L___T_72_CK" localSheetId="13">#REF!</definedName>
    <definedName name="L___T_72_CK" localSheetId="12">#REF!</definedName>
    <definedName name="L___T_72_CK">#REF!</definedName>
    <definedName name="L_A" localSheetId="18">#REF!</definedName>
    <definedName name="L_A" localSheetId="16">#REF!</definedName>
    <definedName name="L_A" localSheetId="13">#REF!</definedName>
    <definedName name="L_A" localSheetId="12">#REF!</definedName>
    <definedName name="L_A">#REF!</definedName>
    <definedName name="L_T_Compactors_4" localSheetId="18">#REF!</definedName>
    <definedName name="L_T_Compactors_4">#REF!</definedName>
    <definedName name="L_T_Dozer" localSheetId="18">#REF!</definedName>
    <definedName name="L_T_Dozer">#REF!</definedName>
    <definedName name="L_T_Dozer_I" localSheetId="18">#REF!</definedName>
    <definedName name="L_T_Dozer_I">#REF!</definedName>
    <definedName name="L_T_Excavator_PC200" localSheetId="18">#REF!</definedName>
    <definedName name="L_T_Excavator_PC200">#REF!</definedName>
    <definedName name="L_T_Grader" localSheetId="18">#REF!</definedName>
    <definedName name="L_T_Grader">#REF!</definedName>
    <definedName name="L_T_Grader_I" localSheetId="18">#REF!</definedName>
    <definedName name="L_T_Grader_I">#REF!</definedName>
    <definedName name="L_T_PC_200" localSheetId="18">#REF!</definedName>
    <definedName name="L_T_PC_200">#REF!</definedName>
    <definedName name="L_Tpc200" localSheetId="18">#REF!</definedName>
    <definedName name="L_Tpc200">#REF!</definedName>
    <definedName name="LAC" localSheetId="18">#REF!</definedName>
    <definedName name="LAC">#REF!</definedName>
    <definedName name="lacs" localSheetId="18">#REF!</definedName>
    <definedName name="lacs">#REF!</definedName>
    <definedName name="Lancer_Car" localSheetId="18">#REF!</definedName>
    <definedName name="Lancer_Car">#REF!</definedName>
    <definedName name="LAND" localSheetId="18">#REF!</definedName>
    <definedName name="LAND">#REF!</definedName>
    <definedName name="last" localSheetId="18">#REF!</definedName>
    <definedName name="last">#REF!</definedName>
    <definedName name="LCell" localSheetId="18">#REF!</definedName>
    <definedName name="LCell">#REF!</definedName>
    <definedName name="le_data" localSheetId="18">#REF!</definedName>
    <definedName name="le_data">#REF!</definedName>
    <definedName name="lease">#N/A</definedName>
    <definedName name="LesContrWB" localSheetId="18">#REF!</definedName>
    <definedName name="LesContrWB" localSheetId="16">#REF!</definedName>
    <definedName name="LesContrWB" localSheetId="13">#REF!</definedName>
    <definedName name="LesContrWB" localSheetId="12">#REF!</definedName>
    <definedName name="LesContrWB">#REF!</definedName>
    <definedName name="LesContrWB2" localSheetId="16">#REF!</definedName>
    <definedName name="LesContrWB2" localSheetId="13">#REF!</definedName>
    <definedName name="LesContrWB2" localSheetId="12">#REF!</definedName>
    <definedName name="LesContrWB2">#REF!</definedName>
    <definedName name="letab" localSheetId="18">#REF!</definedName>
    <definedName name="letab" localSheetId="16">#REF!</definedName>
    <definedName name="letab" localSheetId="13">#REF!</definedName>
    <definedName name="letab" localSheetId="12">#REF!</definedName>
    <definedName name="letab">#REF!</definedName>
    <definedName name="liab" localSheetId="18">#REF!</definedName>
    <definedName name="liab">#REF!</definedName>
    <definedName name="liab\inc\intt">#REF!</definedName>
    <definedName name="Liab1">#REF!</definedName>
    <definedName name="LIABL" localSheetId="18">#REF!</definedName>
    <definedName name="LIABL">#REF!</definedName>
    <definedName name="List_Total" localSheetId="18">#REF!</definedName>
    <definedName name="List_Total">#REF!</definedName>
    <definedName name="LKJL" localSheetId="14" hidden="1">{#N/A,#N/A,FALSE,"FINAL"}</definedName>
    <definedName name="LKJL" localSheetId="15" hidden="1">{#N/A,#N/A,FALSE,"FINAL"}</definedName>
    <definedName name="LKJL" localSheetId="18" hidden="1">{#N/A,#N/A,FALSE,"FINAL"}</definedName>
    <definedName name="LKJL" localSheetId="16" hidden="1">{#N/A,#N/A,FALSE,"FINAL"}</definedName>
    <definedName name="LKJL" localSheetId="13" hidden="1">{#N/A,#N/A,FALSE,"FINAL"}</definedName>
    <definedName name="LKJL" localSheetId="12" hidden="1">{#N/A,#N/A,FALSE,"FINAL"}</definedName>
    <definedName name="LKJL" hidden="1">{#N/A,#N/A,FALSE,"FINAL"}</definedName>
    <definedName name="LMC_CLASS1" localSheetId="18">#REF!</definedName>
    <definedName name="LMC_CLASS1" localSheetId="13">#REF!</definedName>
    <definedName name="LMC_CLASS1">#REF!</definedName>
    <definedName name="LMC_CLASS2" localSheetId="18">#REF!</definedName>
    <definedName name="LMC_CLASS2" localSheetId="13">#REF!</definedName>
    <definedName name="LMC_CLASS2">#REF!</definedName>
    <definedName name="loan" localSheetId="18">#REF!</definedName>
    <definedName name="loan" localSheetId="16">#REF!</definedName>
    <definedName name="loan" localSheetId="13">#REF!</definedName>
    <definedName name="loan" localSheetId="12">#REF!</definedName>
    <definedName name="loan">#REF!</definedName>
    <definedName name="LoanAdv2004">#REF!</definedName>
    <definedName name="LoanAdv2005">#REF!</definedName>
    <definedName name="LoanAdv2006">#REF!</definedName>
    <definedName name="LoanAdv2007">#REF!</definedName>
    <definedName name="LoanAdv2008">#REF!</definedName>
    <definedName name="LoanAdv2009">#REF!</definedName>
    <definedName name="LocationCode" localSheetId="18">#REF!</definedName>
    <definedName name="LocationCode">#REF!</definedName>
    <definedName name="LOCMapping" localSheetId="18">#REF!</definedName>
    <definedName name="LOCMapping">#REF!</definedName>
    <definedName name="lookup_range" localSheetId="18">#REF!</definedName>
    <definedName name="lookup_range">#REF!</definedName>
    <definedName name="LOSSES" localSheetId="18">#REF!</definedName>
    <definedName name="LOSSES">#REF!</definedName>
    <definedName name="m" localSheetId="14" hidden="1">{#N/A,#N/A,FALSE,"COMP"}</definedName>
    <definedName name="m" localSheetId="15" hidden="1">{#N/A,#N/A,FALSE,"COMP"}</definedName>
    <definedName name="m" localSheetId="18" hidden="1">{#N/A,#N/A,FALSE,"COMP"}</definedName>
    <definedName name="m" localSheetId="16" hidden="1">{#N/A,#N/A,FALSE,"COMP"}</definedName>
    <definedName name="m" localSheetId="13" hidden="1">{#N/A,#N/A,FALSE,"COMP"}</definedName>
    <definedName name="m" localSheetId="12" hidden="1">{#N/A,#N/A,FALSE,"COMP"}</definedName>
    <definedName name="m" hidden="1">{#N/A,#N/A,FALSE,"COMP"}</definedName>
    <definedName name="macro"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macro" hidden="1">{#N/A,#N/A,TRUE,"CONTENTS";#N/A,#N/A,TRUE,"M2";#N/A,#N/A,TRUE,"M2a";#N/A,#N/A,TRUE,"M2b";#N/A,#N/A,TRUE,"M3";#N/A,#N/A,TRUE,"M3a";#N/A,#N/A,TRUE,"M4-H";#N/A,#N/A,TRUE,"M4-P";#N/A,#N/A,TRUE,"M4a";#N/A,#N/A,TRUE,"M4b";#N/A,#N/A,TRUE,"M4c";#N/A,#N/A,TRUE,"M5";#N/A,#N/A,TRUE,"M6";#N/A,#N/A,TRUE,"M7";#N/A,#N/A,TRUE,"M8";#N/A,#N/A,TRUE,"M9";#N/A,#N/A,TRUE,"M10";#N/A,#N/A,TRUE,"M11";#N/A,#N/A,TRUE,"M13";#N/A,#N/A,TRUE,"M14";#N/A,#N/A,TRUE,"M15";#N/A,#N/A,TRUE,"K1"}</definedName>
    <definedName name="main_comp" localSheetId="18">#REF!</definedName>
    <definedName name="main_comp" localSheetId="16">#REF!</definedName>
    <definedName name="main_comp" localSheetId="13">#REF!</definedName>
    <definedName name="main_comp" localSheetId="12">#REF!</definedName>
    <definedName name="main_comp">#REF!</definedName>
    <definedName name="MAINCOMP" localSheetId="16">#REF!</definedName>
    <definedName name="MAINCOMP" localSheetId="13">#REF!</definedName>
    <definedName name="MAINCOMP" localSheetId="12">#REF!</definedName>
    <definedName name="MAINCOMP">#REF!</definedName>
    <definedName name="Maint" localSheetId="18">#REF!</definedName>
    <definedName name="Maint" localSheetId="16">#REF!</definedName>
    <definedName name="Maint" localSheetId="13">#REF!</definedName>
    <definedName name="Maint" localSheetId="12">#REF!</definedName>
    <definedName name="Maint">#REF!</definedName>
    <definedName name="Maint_Price" localSheetId="18">#REF!</definedName>
    <definedName name="Maint_Price">#REF!</definedName>
    <definedName name="Maint_Qty" localSheetId="18">#REF!</definedName>
    <definedName name="Maint_Qty">#REF!</definedName>
    <definedName name="MANU_EXP" localSheetId="18">#REF!</definedName>
    <definedName name="MANU_EXP">#REF!</definedName>
    <definedName name="Mar.04">#REF!</definedName>
    <definedName name="March" localSheetId="14" hidden="1">{#N/A,#N/A,FALSE,"Cash Flows";#N/A,#N/A,FALSE,"Fixed Assets";#N/A,#N/A,FALSE,"Balance Sheet";#N/A,#N/A,FALSE,"P &amp; L"}</definedName>
    <definedName name="March" localSheetId="15" hidden="1">{#N/A,#N/A,FALSE,"Cash Flows";#N/A,#N/A,FALSE,"Fixed Assets";#N/A,#N/A,FALSE,"Balance Sheet";#N/A,#N/A,FALSE,"P &amp; L"}</definedName>
    <definedName name="March" localSheetId="18" hidden="1">{#N/A,#N/A,FALSE,"Cash Flows";#N/A,#N/A,FALSE,"Fixed Assets";#N/A,#N/A,FALSE,"Balance Sheet";#N/A,#N/A,FALSE,"P &amp; L"}</definedName>
    <definedName name="March" localSheetId="16" hidden="1">{#N/A,#N/A,FALSE,"Cash Flows";#N/A,#N/A,FALSE,"Fixed Assets";#N/A,#N/A,FALSE,"Balance Sheet";#N/A,#N/A,FALSE,"P &amp; L"}</definedName>
    <definedName name="March" localSheetId="13" hidden="1">{#N/A,#N/A,FALSE,"Cash Flows";#N/A,#N/A,FALSE,"Fixed Assets";#N/A,#N/A,FALSE,"Balance Sheet";#N/A,#N/A,FALSE,"P &amp; L"}</definedName>
    <definedName name="March" localSheetId="12" hidden="1">{#N/A,#N/A,FALSE,"Cash Flows";#N/A,#N/A,FALSE,"Fixed Assets";#N/A,#N/A,FALSE,"Balance Sheet";#N/A,#N/A,FALSE,"P &amp; L"}</definedName>
    <definedName name="March" hidden="1">{#N/A,#N/A,FALSE,"Cash Flows";#N/A,#N/A,FALSE,"Fixed Assets";#N/A,#N/A,FALSE,"Balance Sheet";#N/A,#N/A,FALSE,"P &amp; L"}</definedName>
    <definedName name="MAT" localSheetId="18">#REF!</definedName>
    <definedName name="MAT" localSheetId="16">#REF!</definedName>
    <definedName name="MAT" localSheetId="13">#REF!</definedName>
    <definedName name="MAT" localSheetId="12">#REF!</definedName>
    <definedName name="MAT">#REF!</definedName>
    <definedName name="Mat.Liab.1" localSheetId="16">#REF!</definedName>
    <definedName name="Mat.Liab.1" localSheetId="13">#REF!</definedName>
    <definedName name="Mat.Liab.1" localSheetId="12">#REF!</definedName>
    <definedName name="Mat.Liab.1">#REF!</definedName>
    <definedName name="mat_credit">#N/A</definedName>
    <definedName name="matchperiod" localSheetId="18">#REF!</definedName>
    <definedName name="matchperiod" localSheetId="16">#REF!</definedName>
    <definedName name="matchperiod" localSheetId="13">#REF!</definedName>
    <definedName name="matchperiod" localSheetId="12">#REF!</definedName>
    <definedName name="matchperiod">#REF!</definedName>
    <definedName name="matchrow" localSheetId="18">#REF!</definedName>
    <definedName name="matchrow" localSheetId="13">#REF!</definedName>
    <definedName name="matchrow" localSheetId="12">#REF!</definedName>
    <definedName name="matchrow">#REF!</definedName>
    <definedName name="MDEVISES" localSheetId="18">#REF!,#REF!,#REF!</definedName>
    <definedName name="MDEVISES" localSheetId="16">#REF!,#REF!,#REF!</definedName>
    <definedName name="MDEVISES" localSheetId="13">#REF!,#REF!,#REF!</definedName>
    <definedName name="MDEVISES" localSheetId="12">#REF!,#REF!,#REF!</definedName>
    <definedName name="MDEVISES">#REF!,#REF!,#REF!</definedName>
    <definedName name="mdfne" localSheetId="18" hidden="1">#REF!</definedName>
    <definedName name="mdfne" localSheetId="16" hidden="1">#REF!</definedName>
    <definedName name="mdfne" localSheetId="13" hidden="1">#REF!</definedName>
    <definedName name="mdfne" localSheetId="12" hidden="1">#REF!</definedName>
    <definedName name="mdfne" hidden="1">#REF!</definedName>
    <definedName name="MEANS" localSheetId="18">#REF!</definedName>
    <definedName name="MEANS" localSheetId="16">#REF!</definedName>
    <definedName name="MEANS" localSheetId="13">#REF!</definedName>
    <definedName name="MEANS" localSheetId="12">#REF!</definedName>
    <definedName name="MEANS">#REF!</definedName>
    <definedName name="MethodAcc" localSheetId="18">#REF!</definedName>
    <definedName name="MethodAcc" localSheetId="16">#REF!</definedName>
    <definedName name="MethodAcc" localSheetId="13">#REF!</definedName>
    <definedName name="MethodAcc" localSheetId="12">#REF!</definedName>
    <definedName name="MethodAcc">#REF!</definedName>
    <definedName name="mf" localSheetId="14" hidden="1">{#N/A,#N/A,FALSE,"COMP"}</definedName>
    <definedName name="mf" localSheetId="15" hidden="1">{#N/A,#N/A,FALSE,"COMP"}</definedName>
    <definedName name="mf" localSheetId="18" hidden="1">{#N/A,#N/A,FALSE,"COMP"}</definedName>
    <definedName name="mf" localSheetId="16" hidden="1">{#N/A,#N/A,FALSE,"COMP"}</definedName>
    <definedName name="mf" localSheetId="13" hidden="1">{#N/A,#N/A,FALSE,"COMP"}</definedName>
    <definedName name="mf" localSheetId="12" hidden="1">{#N/A,#N/A,FALSE,"COMP"}</definedName>
    <definedName name="mf" hidden="1">{#N/A,#N/A,FALSE,"COMP"}</definedName>
    <definedName name="mfi" localSheetId="18">#REF!</definedName>
    <definedName name="mfi" localSheetId="16">#REF!</definedName>
    <definedName name="mfi" localSheetId="13">#REF!</definedName>
    <definedName name="mfi" localSheetId="12">#REF!</definedName>
    <definedName name="mfi">#REF!</definedName>
    <definedName name="MFRF" localSheetId="18">#REF!,#REF!,#REF!,#REF!,#REF!</definedName>
    <definedName name="MFRF" localSheetId="16">#REF!,#REF!,#REF!,#REF!,#REF!</definedName>
    <definedName name="MFRF" localSheetId="13">#REF!,#REF!,#REF!,#REF!,#REF!</definedName>
    <definedName name="MFRF" localSheetId="12">#REF!,#REF!,#REF!,#REF!,#REF!</definedName>
    <definedName name="MFRF">#REF!,#REF!,#REF!,#REF!,#REF!</definedName>
    <definedName name="mg_data" localSheetId="18">#REF!</definedName>
    <definedName name="mg_data" localSheetId="16">#REF!</definedName>
    <definedName name="mg_data" localSheetId="13">#REF!</definedName>
    <definedName name="mg_data" localSheetId="12">#REF!</definedName>
    <definedName name="mg_data">#REF!</definedName>
    <definedName name="mim" localSheetId="18">#REF!</definedName>
    <definedName name="mim" localSheetId="16">#REF!</definedName>
    <definedName name="mim" localSheetId="13">#REF!</definedName>
    <definedName name="mim" localSheetId="12">#REF!</definedName>
    <definedName name="mim">#REF!</definedName>
    <definedName name="MIS" localSheetId="16">#REF!</definedName>
    <definedName name="MIS" localSheetId="13">#REF!</definedName>
    <definedName name="MIS" localSheetId="12">#REF!</definedName>
    <definedName name="MIS">#REF!</definedName>
    <definedName name="MISC_EXP">#REF!</definedName>
    <definedName name="MOVEMENT" localSheetId="14" hidden="1">{#N/A,#N/A,FALSE,"COMP"}</definedName>
    <definedName name="MOVEMENT" localSheetId="15" hidden="1">{#N/A,#N/A,FALSE,"COMP"}</definedName>
    <definedName name="MOVEMENT" localSheetId="18" hidden="1">{#N/A,#N/A,FALSE,"COMP"}</definedName>
    <definedName name="MOVEMENT" localSheetId="16" hidden="1">{#N/A,#N/A,FALSE,"COMP"}</definedName>
    <definedName name="MOVEMENT" localSheetId="13" hidden="1">{#N/A,#N/A,FALSE,"COMP"}</definedName>
    <definedName name="MOVEMENT" localSheetId="12" hidden="1">{#N/A,#N/A,FALSE,"COMP"}</definedName>
    <definedName name="MOVEMENT" hidden="1">{#N/A,#N/A,FALSE,"COMP"}</definedName>
    <definedName name="msa" localSheetId="18">#REF!</definedName>
    <definedName name="msa" localSheetId="16">#REF!</definedName>
    <definedName name="msa" localSheetId="13">#REF!</definedName>
    <definedName name="msa" localSheetId="12">#REF!</definedName>
    <definedName name="msa">#REF!</definedName>
    <definedName name="MStVal" localSheetId="18">#REF!</definedName>
    <definedName name="MStVal" localSheetId="16">#REF!</definedName>
    <definedName name="MStVal" localSheetId="13">#REF!</definedName>
    <definedName name="MStVal" localSheetId="12">#REF!</definedName>
    <definedName name="MStVal">#REF!</definedName>
    <definedName name="MUMBAI_HC" localSheetId="18">#REF!</definedName>
    <definedName name="MUMBAI_HC" localSheetId="16">#REF!</definedName>
    <definedName name="MUMBAI_HC" localSheetId="13">#REF!</definedName>
    <definedName name="MUMBAI_HC" localSheetId="12">#REF!</definedName>
    <definedName name="MUMBAI_HC">#REF!</definedName>
    <definedName name="n" localSheetId="18">#REF!</definedName>
    <definedName name="n">#REF!</definedName>
    <definedName name="Name" localSheetId="18">#REF!</definedName>
    <definedName name="Name">#REF!</definedName>
    <definedName name="NatureBusiness" localSheetId="18">#REF!</definedName>
    <definedName name="NatureBusiness">#REF!</definedName>
    <definedName name="nav_BASED_EXP" localSheetId="18">#REF!</definedName>
    <definedName name="nav_BASED_EXP">#REF!</definedName>
    <definedName name="NEA_Sep_2003_Recon_List" localSheetId="18">#REF!</definedName>
    <definedName name="NEA_Sep_2003_Recon_List">#REF!</definedName>
    <definedName name="NEW" localSheetId="14" hidden="1">{"letter",#N/A,FALSE,"Letter";"amort",#N/A,FALSE,"Amort"}</definedName>
    <definedName name="NEW" localSheetId="15" hidden="1">{"letter",#N/A,FALSE,"Letter";"amort",#N/A,FALSE,"Amort"}</definedName>
    <definedName name="NEW" localSheetId="18" hidden="1">{"letter",#N/A,FALSE,"Letter";"amort",#N/A,FALSE,"Amort"}</definedName>
    <definedName name="NEW" localSheetId="16" hidden="1">{"letter",#N/A,FALSE,"Letter";"amort",#N/A,FALSE,"Amort"}</definedName>
    <definedName name="NEW" localSheetId="13" hidden="1">{"letter",#N/A,FALSE,"Letter";"amort",#N/A,FALSE,"Amort"}</definedName>
    <definedName name="NEW" localSheetId="12" hidden="1">{"letter",#N/A,FALSE,"Letter";"amort",#N/A,FALSE,"Amort"}</definedName>
    <definedName name="NEW" hidden="1">{"letter",#N/A,FALSE,"Letter";"amort",#N/A,FALSE,"Amort"}</definedName>
    <definedName name="newa" localSheetId="18">#REF!</definedName>
    <definedName name="newa" localSheetId="16">#REF!</definedName>
    <definedName name="newa" localSheetId="13">#REF!</definedName>
    <definedName name="newa" localSheetId="12">#REF!</definedName>
    <definedName name="newa">#REF!</definedName>
    <definedName name="newack2" localSheetId="16">#REF!</definedName>
    <definedName name="newack2" localSheetId="13">#REF!</definedName>
    <definedName name="newack2" localSheetId="12">#REF!</definedName>
    <definedName name="newack2">#REF!</definedName>
    <definedName name="Newone" localSheetId="14" hidden="1">{#N/A,#N/A,FALSE,"COMP"}</definedName>
    <definedName name="Newone" localSheetId="15" hidden="1">{#N/A,#N/A,FALSE,"COMP"}</definedName>
    <definedName name="Newone" localSheetId="18" hidden="1">{#N/A,#N/A,FALSE,"COMP"}</definedName>
    <definedName name="Newone" localSheetId="16" hidden="1">{#N/A,#N/A,FALSE,"COMP"}</definedName>
    <definedName name="Newone" localSheetId="13" hidden="1">{#N/A,#N/A,FALSE,"COMP"}</definedName>
    <definedName name="Newone" localSheetId="12" hidden="1">{#N/A,#N/A,FALSE,"COMP"}</definedName>
    <definedName name="Newone" hidden="1">{#N/A,#N/A,FALSE,"COMP"}</definedName>
    <definedName name="noe" localSheetId="14" hidden="1">{"Summ1",#N/A,FALSE,"Summary"}</definedName>
    <definedName name="noe" localSheetId="15" hidden="1">{"Summ1",#N/A,FALSE,"Summary"}</definedName>
    <definedName name="noe" localSheetId="18" hidden="1">{"Summ1",#N/A,FALSE,"Summary"}</definedName>
    <definedName name="noe" localSheetId="16" hidden="1">{"Summ1",#N/A,FALSE,"Summary"}</definedName>
    <definedName name="noe" localSheetId="13" hidden="1">{"Summ1",#N/A,FALSE,"Summary"}</definedName>
    <definedName name="noe" localSheetId="12" hidden="1">{"Summ1",#N/A,FALSE,"Summary"}</definedName>
    <definedName name="noe" hidden="1">{"Summ1",#N/A,FALSE,"Summary"}</definedName>
    <definedName name="NONINTEREST_REVENU" localSheetId="18">#REF!</definedName>
    <definedName name="NONINTEREST_REVENU" localSheetId="16">#REF!</definedName>
    <definedName name="NONINTEREST_REVENU" localSheetId="13">#REF!</definedName>
    <definedName name="NONINTEREST_REVENU" localSheetId="12">#REF!</definedName>
    <definedName name="NONINTEREST_REVENU">#REF!</definedName>
    <definedName name="Note" localSheetId="18">#REF!</definedName>
    <definedName name="Note" localSheetId="16">#REF!</definedName>
    <definedName name="Note" localSheetId="13">#REF!</definedName>
    <definedName name="Note" localSheetId="12">#REF!</definedName>
    <definedName name="Note">#REF!</definedName>
    <definedName name="NOTE_1" localSheetId="16">#REF!</definedName>
    <definedName name="NOTE_1" localSheetId="13">#REF!</definedName>
    <definedName name="NOTE_1" localSheetId="12">#REF!</definedName>
    <definedName name="NOTE_1">#REF!</definedName>
    <definedName name="note_1_2">#REF!</definedName>
    <definedName name="note_1to7">#REF!</definedName>
    <definedName name="NOTE_2">#REF!</definedName>
    <definedName name="NOTE_234c">#REF!</definedName>
    <definedName name="NOTE_3">#REF!</definedName>
    <definedName name="NOTE_4">#REF!</definedName>
    <definedName name="NOTE_4_5">#REF!</definedName>
    <definedName name="NOTE_8">#REF!</definedName>
    <definedName name="NOTE1">#REF!</definedName>
    <definedName name="NOTE1_2">#REF!</definedName>
    <definedName name="NOTE2">#REF!</definedName>
    <definedName name="NOTE3">#REF!</definedName>
    <definedName name="notes">#REF!</definedName>
    <definedName name="Notes_Page1">#REF!</definedName>
    <definedName name="Notes_Page2">#REF!</definedName>
    <definedName name="Notes2">#REF!</definedName>
    <definedName name="notesforcomp">#REF!</definedName>
    <definedName name="NotestoBS">#REF!</definedName>
    <definedName name="np" localSheetId="18">#REF!</definedName>
    <definedName name="np">#REF!</definedName>
    <definedName name="NRI_MKT1" localSheetId="18">#REF!</definedName>
    <definedName name="NRI_MKT1">#REF!</definedName>
    <definedName name="numéro">#REF!</definedName>
    <definedName name="NvsAnswerCol">"[Drill1]Voucher!$A$6:$A$22"</definedName>
    <definedName name="NvsASD">"V2010-12-31"</definedName>
    <definedName name="NvsAutoDrillOk">"VN"</definedName>
    <definedName name="NvsElapsedTime">0.0000347222230629995</definedName>
    <definedName name="NvsEndTime">40552.7366666667</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"V1990-01-01"</definedName>
    <definedName name="NvsPanelSetid">"VPLYCM"</definedName>
    <definedName name="NvsParentRef">"[DR_1431691_Bal_Sht_Compare_Detail.xls]ACTBUS!$J$18"</definedName>
    <definedName name="NvsReqBU">"VTHAOP"</definedName>
    <definedName name="NvsReqBUOnly">"VY"</definedName>
    <definedName name="NvsTransLed">"VN"</definedName>
    <definedName name="NvsTreeASD">"V2010-12-31"</definedName>
    <definedName name="NvsValTbl.ACCOUNT">"GL_ACCOUNT_TBL"</definedName>
    <definedName name="NvsValTbl.BUSINESS_UNIT">"BUS_UNIT_TBL_GL"</definedName>
    <definedName name="NvsValTbl.CURRENCY_CD">"CURRENCY_CD_TBL"</definedName>
    <definedName name="NvsValTbl.DEPTID">"DEPARTMENT_TBL"</definedName>
    <definedName name="NvsValTbl.PRODUCT">"PRODUCT_TBL"</definedName>
    <definedName name="NvsValTbl.PROJECT_ID">"PROJECT_ID_VW"</definedName>
    <definedName name="NvsValTbl.SCENARIO">"BD_SCENARIO_TBL"</definedName>
    <definedName name="NvsValTbl.ZE_DIVISION">"ZE_DIVISION_TBL"</definedName>
    <definedName name="o" localSheetId="1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B" localSheetId="18">#REF!</definedName>
    <definedName name="OB" localSheetId="16">#REF!</definedName>
    <definedName name="OB" localSheetId="13">#REF!</definedName>
    <definedName name="OB" localSheetId="12">#REF!</definedName>
    <definedName name="OB">#REF!</definedName>
    <definedName name="ofaname" localSheetId="18">#REF!</definedName>
    <definedName name="ofaname" localSheetId="16">#REF!</definedName>
    <definedName name="ofaname" localSheetId="13">#REF!</definedName>
    <definedName name="ofaname" localSheetId="12">#REF!</definedName>
    <definedName name="ofaname">#REF!</definedName>
    <definedName name="Office_Equipment" localSheetId="18">#REF!</definedName>
    <definedName name="Office_Equipment" localSheetId="16">#REF!</definedName>
    <definedName name="Office_Equipment" localSheetId="13">#REF!</definedName>
    <definedName name="Office_Equipment" localSheetId="12">#REF!</definedName>
    <definedName name="Office_Equipment">#REF!</definedName>
    <definedName name="ok" localSheetId="14" hidden="1">{#N/A,#N/A,FALSE,"COMP"}</definedName>
    <definedName name="ok" localSheetId="15" hidden="1">{#N/A,#N/A,FALSE,"COMP"}</definedName>
    <definedName name="ok" localSheetId="18" hidden="1">{#N/A,#N/A,FALSE,"COMP"}</definedName>
    <definedName name="ok" localSheetId="16" hidden="1">{#N/A,#N/A,FALSE,"COMP"}</definedName>
    <definedName name="ok" localSheetId="13" hidden="1">{#N/A,#N/A,FALSE,"COMP"}</definedName>
    <definedName name="ok" localSheetId="12" hidden="1">{#N/A,#N/A,FALSE,"COMP"}</definedName>
    <definedName name="ok" hidden="1">{#N/A,#N/A,FALSE,"COMP"}</definedName>
    <definedName name="old_serial" localSheetId="18">#REF!</definedName>
    <definedName name="old_serial" localSheetId="13">#REF!</definedName>
    <definedName name="old_serial">#REF!</definedName>
    <definedName name="OLTOTAL" localSheetId="18">#REF!</definedName>
    <definedName name="OLTOTAL" localSheetId="16">#REF!</definedName>
    <definedName name="OLTOTAL" localSheetId="13">#REF!</definedName>
    <definedName name="OLTOTAL" localSheetId="12">#REF!</definedName>
    <definedName name="OLTOTAL">#REF!</definedName>
    <definedName name="Opel_Astra" localSheetId="18">#REF!</definedName>
    <definedName name="Opel_Astra" localSheetId="16">#REF!</definedName>
    <definedName name="Opel_Astra" localSheetId="13">#REF!</definedName>
    <definedName name="Opel_Astra" localSheetId="12">#REF!</definedName>
    <definedName name="Opel_Astra">#REF!</definedName>
    <definedName name="operations" localSheetId="18">#REF!</definedName>
    <definedName name="operations">#REF!</definedName>
    <definedName name="opexp">#REF!</definedName>
    <definedName name="OrderTable" localSheetId="18" hidden="1">#REF!</definedName>
    <definedName name="OrderTable" hidden="1">#REF!</definedName>
    <definedName name="OTH_INC" localSheetId="18">#REF!</definedName>
    <definedName name="OTH_INC">#REF!</definedName>
    <definedName name="others">#REF!</definedName>
    <definedName name="OU_CLASS">#REF!</definedName>
    <definedName name="OutPut" localSheetId="18">#REF!</definedName>
    <definedName name="OutPut">#REF!</definedName>
    <definedName name="Ovh" localSheetId="14" hidden="1">{#N/A,#N/A,FALSE,"Cash Flows";#N/A,#N/A,FALSE,"Fixed Assets";#N/A,#N/A,FALSE,"Balance Sheet";#N/A,#N/A,FALSE,"P &amp; L"}</definedName>
    <definedName name="Ovh" localSheetId="15" hidden="1">{#N/A,#N/A,FALSE,"Cash Flows";#N/A,#N/A,FALSE,"Fixed Assets";#N/A,#N/A,FALSE,"Balance Sheet";#N/A,#N/A,FALSE,"P &amp; L"}</definedName>
    <definedName name="Ovh" localSheetId="18" hidden="1">{#N/A,#N/A,FALSE,"Cash Flows";#N/A,#N/A,FALSE,"Fixed Assets";#N/A,#N/A,FALSE,"Balance Sheet";#N/A,#N/A,FALSE,"P &amp; L"}</definedName>
    <definedName name="Ovh" localSheetId="16" hidden="1">{#N/A,#N/A,FALSE,"Cash Flows";#N/A,#N/A,FALSE,"Fixed Assets";#N/A,#N/A,FALSE,"Balance Sheet";#N/A,#N/A,FALSE,"P &amp; L"}</definedName>
    <definedName name="Ovh" localSheetId="13" hidden="1">{#N/A,#N/A,FALSE,"Cash Flows";#N/A,#N/A,FALSE,"Fixed Assets";#N/A,#N/A,FALSE,"Balance Sheet";#N/A,#N/A,FALSE,"P &amp; L"}</definedName>
    <definedName name="Ovh" localSheetId="12" hidden="1">{#N/A,#N/A,FALSE,"Cash Flows";#N/A,#N/A,FALSE,"Fixed Assets";#N/A,#N/A,FALSE,"Balance Sheet";#N/A,#N/A,FALSE,"P &amp; L"}</definedName>
    <definedName name="Ovh" hidden="1">{#N/A,#N/A,FALSE,"Cash Flows";#N/A,#N/A,FALSE,"Fixed Assets";#N/A,#N/A,FALSE,"Balance Sheet";#N/A,#N/A,FALSE,"P &amp; L"}</definedName>
    <definedName name="P" localSheetId="18">#REF!</definedName>
    <definedName name="P" localSheetId="16">#REF!</definedName>
    <definedName name="P" localSheetId="13">#REF!</definedName>
    <definedName name="P" localSheetId="12">#REF!</definedName>
    <definedName name="P">#REF!</definedName>
    <definedName name="P___L___Statement" localSheetId="16">#REF!</definedName>
    <definedName name="P___L___Statement" localSheetId="13">#REF!</definedName>
    <definedName name="P___L___Statement" localSheetId="12">#REF!</definedName>
    <definedName name="P___L___Statement">#REF!</definedName>
    <definedName name="P___M" localSheetId="16">#REF!</definedName>
    <definedName name="P___M" localSheetId="13">#REF!</definedName>
    <definedName name="P___M" localSheetId="12">#REF!</definedName>
    <definedName name="P___M">#REF!</definedName>
    <definedName name="P_A" localSheetId="18">#REF!</definedName>
    <definedName name="P_A">#REF!</definedName>
    <definedName name="P_L" localSheetId="18">#REF!</definedName>
    <definedName name="P_L">#REF!</definedName>
    <definedName name="P_Lhalwel" localSheetId="18">#REF!</definedName>
    <definedName name="P_Lhalwel">#REF!</definedName>
    <definedName name="PAGE">#N/A</definedName>
    <definedName name="PAGE_1" localSheetId="18">#REF!</definedName>
    <definedName name="PAGE_1" localSheetId="16">#REF!</definedName>
    <definedName name="PAGE_1" localSheetId="13">#REF!</definedName>
    <definedName name="PAGE_1" localSheetId="12">#REF!</definedName>
    <definedName name="PAGE_1">#REF!</definedName>
    <definedName name="PAGE_10" localSheetId="16">#REF!</definedName>
    <definedName name="PAGE_10" localSheetId="13">#REF!</definedName>
    <definedName name="PAGE_10" localSheetId="12">#REF!</definedName>
    <definedName name="PAGE_10">#REF!</definedName>
    <definedName name="PAGE_2" localSheetId="16">#REF!</definedName>
    <definedName name="PAGE_2" localSheetId="13">#REF!</definedName>
    <definedName name="PAGE_2" localSheetId="12">#REF!</definedName>
    <definedName name="PAGE_2">#REF!</definedName>
    <definedName name="PAGE_3">#REF!</definedName>
    <definedName name="PAGE_4" localSheetId="18">#REF!</definedName>
    <definedName name="PAGE_4">#REF!</definedName>
    <definedName name="PAGE_5" localSheetId="18">#REF!</definedName>
    <definedName name="PAGE_5">#REF!</definedName>
    <definedName name="PAGE_6">#REF!</definedName>
    <definedName name="PAGE_7">#REF!</definedName>
    <definedName name="PAGE_8">#REF!</definedName>
    <definedName name="PAGE_9">#REF!</definedName>
    <definedName name="page1">#REF!</definedName>
    <definedName name="PAGE10">#REF!</definedName>
    <definedName name="page2">#REF!</definedName>
    <definedName name="page3">#REF!</definedName>
    <definedName name="page4">#REF!</definedName>
    <definedName name="PAGE8">#REF!</definedName>
    <definedName name="pagu6.xls" localSheetId="18">#REF!</definedName>
    <definedName name="pagu6.xls">#REF!</definedName>
    <definedName name="PAN" localSheetId="18">#REF!</definedName>
    <definedName name="PAN">#REF!</definedName>
    <definedName name="pankaj" localSheetId="18">#REF!</definedName>
    <definedName name="pankaj">#REF!</definedName>
    <definedName name="PartDesignation" localSheetId="18">#REF!</definedName>
    <definedName name="PartDesignation">#REF!</definedName>
    <definedName name="PasteHereCN" localSheetId="18">#REF!</definedName>
    <definedName name="PasteHereCN">#REF!</definedName>
    <definedName name="Paver">#REF!</definedName>
    <definedName name="payee" localSheetId="18">#REF!</definedName>
    <definedName name="payee">#REF!</definedName>
    <definedName name="period" localSheetId="18">#REF!</definedName>
    <definedName name="period">#REF!</definedName>
    <definedName name="pesetas" localSheetId="18" hidden="1">#REF!</definedName>
    <definedName name="pesetas" hidden="1">#REF!</definedName>
    <definedName name="PF" localSheetId="18">#REF!</definedName>
    <definedName name="PF">#REF!</definedName>
    <definedName name="PG10.123">#REF!</definedName>
    <definedName name="Phone" localSheetId="18">#REF!</definedName>
    <definedName name="Phone">#REF!</definedName>
    <definedName name="Physical_Progress_Daily_Financial_List" localSheetId="18">#REF!</definedName>
    <definedName name="Physical_Progress_Daily_Financial_List">#REF!</definedName>
    <definedName name="pil" localSheetId="18">#REF!</definedName>
    <definedName name="pil">#REF!</definedName>
    <definedName name="PL">#REF!</definedName>
    <definedName name="PL_CF" localSheetId="18">#REF!</definedName>
    <definedName name="PL_CF">#REF!</definedName>
    <definedName name="PLAN_CLASS" localSheetId="18">#REF!</definedName>
    <definedName name="PLAN_CLASS">#REF!</definedName>
    <definedName name="plcf" localSheetId="18">#REF!</definedName>
    <definedName name="plcf">#REF!</definedName>
    <definedName name="PLMENU">#N/A</definedName>
    <definedName name="PM" localSheetId="18">#REF!</definedName>
    <definedName name="PM" localSheetId="16">#REF!</definedName>
    <definedName name="PM" localSheetId="13">#REF!</definedName>
    <definedName name="PM" localSheetId="12">#REF!</definedName>
    <definedName name="PM">#REF!</definedName>
    <definedName name="POP" localSheetId="16">#REF!</definedName>
    <definedName name="POP" localSheetId="13">#REF!</definedName>
    <definedName name="POP" localSheetId="12">#REF!</definedName>
    <definedName name="POP">#REF!</definedName>
    <definedName name="PopupIndex13_1" localSheetId="16">#REF!</definedName>
    <definedName name="PopupIndex13_1" localSheetId="13">#REF!</definedName>
    <definedName name="PopupIndex13_1" localSheetId="12">#REF!</definedName>
    <definedName name="PopupIndex13_1">#REF!</definedName>
    <definedName name="PopupIndex14_1">#REF!</definedName>
    <definedName name="PopupIndex15_1">#REF!</definedName>
    <definedName name="PopupIndex16_1">#REF!</definedName>
    <definedName name="PostDate" localSheetId="18">#REF!</definedName>
    <definedName name="PostDate">#REF!</definedName>
    <definedName name="PP" localSheetId="18">#REF!</definedName>
    <definedName name="PP">#REF!</definedName>
    <definedName name="Prime_Mover" localSheetId="18">#REF!</definedName>
    <definedName name="Prime_Mover">#REF!</definedName>
    <definedName name="PRINT" localSheetId="18">#REF!</definedName>
    <definedName name="PRINT">#REF!</definedName>
    <definedName name="_xlnm.Print_Area" localSheetId="1">BS!$A$1:$D$53</definedName>
    <definedName name="_xlnm.Print_Area" localSheetId="3">CFS!$A$1:$F$61</definedName>
    <definedName name="_xlnm.Print_Area" localSheetId="18">'Deferred Tax'!$B$1:$D$16</definedName>
    <definedName name="_xlnm.Print_Area" localSheetId="16">#REF!</definedName>
    <definedName name="_xlnm.Print_Area" localSheetId="13">#REF!</definedName>
    <definedName name="_xlnm.Print_Area" localSheetId="12">#REF!</definedName>
    <definedName name="_xlnm.Print_Area" localSheetId="4">'Note 1'!$A$1:$C$56</definedName>
    <definedName name="_xlnm.Print_Area" localSheetId="8">'Note 10-15'!$A$1:$G$67</definedName>
    <definedName name="_xlnm.Print_Area" localSheetId="9">'Note 16-23'!$A$1:$C$113</definedName>
    <definedName name="_xlnm.Print_Area" localSheetId="5">'Note 2 - 8'!$A$1:$F$121</definedName>
    <definedName name="_xlnm.Print_Area" localSheetId="10">'Note 24-30'!$A$1:$H$65</definedName>
    <definedName name="_xlnm.Print_Area" localSheetId="6">'Note 9'!$A$1:$L$29</definedName>
    <definedName name="_xlnm.Print_Area" localSheetId="2">'P&amp;L'!$A$1:$D$48</definedName>
    <definedName name="_xlnm.Print_Area">#REF!</definedName>
    <definedName name="Print_Area_MI" localSheetId="18">#REF!</definedName>
    <definedName name="Print_Area_MI" localSheetId="16">#REF!</definedName>
    <definedName name="Print_Area_MI" localSheetId="13">#REF!</definedName>
    <definedName name="Print_Area_MI" localSheetId="12">#REF!</definedName>
    <definedName name="Print_Area_MI">#REF!</definedName>
    <definedName name="Print_Area_MI_1" localSheetId="16">#REF!</definedName>
    <definedName name="Print_Area_MI_1" localSheetId="13">#REF!</definedName>
    <definedName name="Print_Area_MI_1" localSheetId="12">#REF!</definedName>
    <definedName name="Print_Area_MI_1">#REF!</definedName>
    <definedName name="_xlnm.Print_Titles" localSheetId="4">'Note 1'!$1:$5</definedName>
    <definedName name="_xlnm.Print_Titles" localSheetId="8">'Note 10-15'!$1:$4</definedName>
    <definedName name="_xlnm.Print_Titles" localSheetId="9">'Note 16-23'!$1:$4</definedName>
    <definedName name="_xlnm.Print_Titles" localSheetId="5">'Note 2 - 8'!$1:$4</definedName>
    <definedName name="_xlnm.Print_Titles" localSheetId="10">'Note 24-30'!$1:$2</definedName>
    <definedName name="Print_Titles_MI" localSheetId="18">#REF!</definedName>
    <definedName name="Print_Titles_MI" localSheetId="16">#REF!</definedName>
    <definedName name="Print_Titles_MI" localSheetId="13">#REF!</definedName>
    <definedName name="Print_Titles_MI" localSheetId="12">#REF!</definedName>
    <definedName name="Print_Titles_MI">#REF!</definedName>
    <definedName name="ProdForm" localSheetId="18" hidden="1">#REF!</definedName>
    <definedName name="ProdForm" localSheetId="12" hidden="1">#REF!</definedName>
    <definedName name="ProdForm" hidden="1">#REF!</definedName>
    <definedName name="Product" localSheetId="18" hidden="1">#REF!</definedName>
    <definedName name="Product" hidden="1">#REF!</definedName>
    <definedName name="professional" localSheetId="18">#REF!</definedName>
    <definedName name="professional">#REF!</definedName>
    <definedName name="Profit\Loss">#REF!</definedName>
    <definedName name="Profit___loss_account">#REF!</definedName>
    <definedName name="proj">#N/A</definedName>
    <definedName name="Prov_Liab_Exp." localSheetId="18">#REF!</definedName>
    <definedName name="Prov_Liab_Exp." localSheetId="16">#REF!</definedName>
    <definedName name="Prov_Liab_Exp." localSheetId="13">#REF!</definedName>
    <definedName name="Prov_Liab_Exp." localSheetId="12">#REF!</definedName>
    <definedName name="Prov_Liab_Exp.">#REF!</definedName>
    <definedName name="Prov_liab_Mate" localSheetId="16">#REF!</definedName>
    <definedName name="Prov_liab_Mate" localSheetId="13">#REF!</definedName>
    <definedName name="Prov_liab_Mate" localSheetId="12">#REF!</definedName>
    <definedName name="Prov_liab_Mate">#REF!</definedName>
    <definedName name="Prov_liab_STock_Exp" localSheetId="16">#REF!</definedName>
    <definedName name="Prov_liab_STock_Exp" localSheetId="13">#REF!</definedName>
    <definedName name="Prov_liab_STock_Exp" localSheetId="12">#REF!</definedName>
    <definedName name="Prov_liab_STock_Exp">#REF!</definedName>
    <definedName name="prtWorksheetNames" localSheetId="3">#REF!</definedName>
    <definedName name="prtWorksheetNames" localSheetId="18">#REF!</definedName>
    <definedName name="prtWorksheetNames" localSheetId="16">#REF!</definedName>
    <definedName name="prtWorksheetNames" localSheetId="13">#REF!</definedName>
    <definedName name="prtWorksheetNames">#REF!</definedName>
    <definedName name="ptas" localSheetId="18" hidden="1">#REF!</definedName>
    <definedName name="ptas" hidden="1">#REF!</definedName>
    <definedName name="PuzolonaCrusherr" localSheetId="18">#REF!</definedName>
    <definedName name="PuzolonaCrusherr">#REF!</definedName>
    <definedName name="Puzzolona_Crusher" localSheetId="18">#REF!</definedName>
    <definedName name="Puzzolona_Crusher">#REF!</definedName>
    <definedName name="Puzzolona_Crushers" localSheetId="18">#REF!</definedName>
    <definedName name="Puzzolona_Crushers">#REF!</definedName>
    <definedName name="PuzzolonaCrusherr" localSheetId="18">#REF!</definedName>
    <definedName name="PuzzolonaCrusherr">#REF!</definedName>
    <definedName name="q" localSheetId="18">#REF!</definedName>
    <definedName name="q">#REF!</definedName>
    <definedName name="qewqeqwerq" localSheetId="14" hidden="1">{#N/A,#N/A,FALSE,"Cash Flows";#N/A,#N/A,FALSE,"Fixed Assets";#N/A,#N/A,FALSE,"Balance Sheet";#N/A,#N/A,FALSE,"P &amp; L"}</definedName>
    <definedName name="qewqeqwerq" localSheetId="15" hidden="1">{#N/A,#N/A,FALSE,"Cash Flows";#N/A,#N/A,FALSE,"Fixed Assets";#N/A,#N/A,FALSE,"Balance Sheet";#N/A,#N/A,FALSE,"P &amp; L"}</definedName>
    <definedName name="qewqeqwerq" localSheetId="18" hidden="1">{#N/A,#N/A,FALSE,"Cash Flows";#N/A,#N/A,FALSE,"Fixed Assets";#N/A,#N/A,FALSE,"Balance Sheet";#N/A,#N/A,FALSE,"P &amp; L"}</definedName>
    <definedName name="qewqeqwerq" localSheetId="16" hidden="1">{#N/A,#N/A,FALSE,"Cash Flows";#N/A,#N/A,FALSE,"Fixed Assets";#N/A,#N/A,FALSE,"Balance Sheet";#N/A,#N/A,FALSE,"P &amp; L"}</definedName>
    <definedName name="qewqeqwerq" localSheetId="13" hidden="1">{#N/A,#N/A,FALSE,"Cash Flows";#N/A,#N/A,FALSE,"Fixed Assets";#N/A,#N/A,FALSE,"Balance Sheet";#N/A,#N/A,FALSE,"P &amp; L"}</definedName>
    <definedName name="qewqeqwerq" localSheetId="12" hidden="1">{#N/A,#N/A,FALSE,"Cash Flows";#N/A,#N/A,FALSE,"Fixed Assets";#N/A,#N/A,FALSE,"Balance Sheet";#N/A,#N/A,FALSE,"P &amp; L"}</definedName>
    <definedName name="qewqeqwerq" hidden="1">{#N/A,#N/A,FALSE,"Cash Flows";#N/A,#N/A,FALSE,"Fixed Assets";#N/A,#N/A,FALSE,"Balance Sheet";#N/A,#N/A,FALSE,"P &amp; L"}</definedName>
    <definedName name="QMPL" localSheetId="14" hidden="1">{#N/A,#N/A,FALSE,"COMP"}</definedName>
    <definedName name="QMPL" localSheetId="15" hidden="1">{#N/A,#N/A,FALSE,"COMP"}</definedName>
    <definedName name="QMPL" localSheetId="18" hidden="1">{#N/A,#N/A,FALSE,"COMP"}</definedName>
    <definedName name="QMPL" localSheetId="16" hidden="1">{#N/A,#N/A,FALSE,"COMP"}</definedName>
    <definedName name="QMPL" localSheetId="13" hidden="1">{#N/A,#N/A,FALSE,"COMP"}</definedName>
    <definedName name="QMPL" localSheetId="12" hidden="1">{#N/A,#N/A,FALSE,"COMP"}</definedName>
    <definedName name="QMPL" hidden="1">{#N/A,#N/A,FALSE,"COMP"}</definedName>
    <definedName name="QMPL0809" localSheetId="14" hidden="1">{#N/A,#N/A,FALSE,"COMP"}</definedName>
    <definedName name="QMPL0809" localSheetId="15" hidden="1">{#N/A,#N/A,FALSE,"COMP"}</definedName>
    <definedName name="QMPL0809" localSheetId="18" hidden="1">{#N/A,#N/A,FALSE,"COMP"}</definedName>
    <definedName name="QMPL0809" localSheetId="16" hidden="1">{#N/A,#N/A,FALSE,"COMP"}</definedName>
    <definedName name="QMPL0809" localSheetId="13" hidden="1">{#N/A,#N/A,FALSE,"COMP"}</definedName>
    <definedName name="QMPL0809" localSheetId="12" hidden="1">{#N/A,#N/A,FALSE,"COMP"}</definedName>
    <definedName name="QMPL0809" hidden="1">{#N/A,#N/A,FALSE,"COMP"}</definedName>
    <definedName name="qq" localSheetId="18">#REF!</definedName>
    <definedName name="qq" localSheetId="16">#REF!</definedName>
    <definedName name="qq" localSheetId="13">#REF!</definedName>
    <definedName name="qq" localSheetId="12">#REF!</definedName>
    <definedName name="qq">#REF!</definedName>
    <definedName name="Quote_No" localSheetId="18">#REF!</definedName>
    <definedName name="Quote_No" localSheetId="16">#REF!</definedName>
    <definedName name="Quote_No" localSheetId="13">#REF!</definedName>
    <definedName name="Quote_No" localSheetId="12">#REF!</definedName>
    <definedName name="Quote_No">#REF!</definedName>
    <definedName name="RawData" localSheetId="18">#REF!</definedName>
    <definedName name="RawData" localSheetId="16">#REF!</definedName>
    <definedName name="RawData" localSheetId="13">#REF!</definedName>
    <definedName name="RawData" localSheetId="12">#REF!</definedName>
    <definedName name="RawData">#REF!</definedName>
    <definedName name="RCArea" localSheetId="18" hidden="1">#REF!</definedName>
    <definedName name="RCArea" hidden="1">#REF!</definedName>
    <definedName name="RDD" localSheetId="18">#REF!</definedName>
    <definedName name="RDD">#REF!</definedName>
    <definedName name="Realisations_salevalue">#REF!</definedName>
    <definedName name="rec" localSheetId="18">#REF!</definedName>
    <definedName name="rec">#REF!</definedName>
    <definedName name="REF" localSheetId="14" hidden="1">{#N/A,#N/A,FALSE,"COMP"}</definedName>
    <definedName name="REF" localSheetId="15" hidden="1">{#N/A,#N/A,FALSE,"COMP"}</definedName>
    <definedName name="REF" localSheetId="18" hidden="1">{#N/A,#N/A,FALSE,"COMP"}</definedName>
    <definedName name="REF" localSheetId="16" hidden="1">{#N/A,#N/A,FALSE,"COMP"}</definedName>
    <definedName name="REF" localSheetId="13" hidden="1">{#N/A,#N/A,FALSE,"COMP"}</definedName>
    <definedName name="REF" localSheetId="12" hidden="1">{#N/A,#N/A,FALSE,"COMP"}</definedName>
    <definedName name="REF" hidden="1">{#N/A,#N/A,FALSE,"COMP"}</definedName>
    <definedName name="refer11_1" localSheetId="18">#REF!</definedName>
    <definedName name="refer11_1" localSheetId="16">#REF!</definedName>
    <definedName name="refer11_1" localSheetId="13">#REF!</definedName>
    <definedName name="refer11_1" localSheetId="12">#REF!</definedName>
    <definedName name="refer11_1">#REF!</definedName>
    <definedName name="refer12_1" localSheetId="16">#REF!</definedName>
    <definedName name="refer12_1" localSheetId="13">#REF!</definedName>
    <definedName name="refer12_1" localSheetId="12">#REF!</definedName>
    <definedName name="refer12_1">#REF!</definedName>
    <definedName name="refer21_1" localSheetId="16">#REF!</definedName>
    <definedName name="refer21_1" localSheetId="13">#REF!</definedName>
    <definedName name="refer21_1" localSheetId="12">#REF!</definedName>
    <definedName name="refer21_1">#REF!</definedName>
    <definedName name="refer3_1">#REF!</definedName>
    <definedName name="refer4_1">#REF!</definedName>
    <definedName name="refer7_1">#REF!</definedName>
    <definedName name="refer8_1">#REF!</definedName>
    <definedName name="Refund" localSheetId="18">#REF!</definedName>
    <definedName name="Refund">#REF!</definedName>
    <definedName name="rental" localSheetId="18">#REF!</definedName>
    <definedName name="rental">#REF!</definedName>
    <definedName name="REP_FRIDAY" localSheetId="18">#REF!</definedName>
    <definedName name="REP_FRIDAY">#REF!</definedName>
    <definedName name="ReportTitle1" localSheetId="18">#REF!</definedName>
    <definedName name="ReportTitle1">#REF!</definedName>
    <definedName name="RES">#REF!</definedName>
    <definedName name="RESERVE" localSheetId="3">#REF!</definedName>
    <definedName name="RESERVE">#REF!</definedName>
    <definedName name="Revenue_2005_2006">#REF!</definedName>
    <definedName name="Revenue2004">#REF!</definedName>
    <definedName name="Revenue2005">#REF!</definedName>
    <definedName name="Revenue2006">#REF!</definedName>
    <definedName name="Revenue2007">#REF!</definedName>
    <definedName name="Revenue2008">#REF!</definedName>
    <definedName name="Revenue2009">#REF!</definedName>
    <definedName name="revmanfin">#REF!</definedName>
    <definedName name="RMB" localSheetId="18">#REF!</definedName>
    <definedName name="RMB">#REF!</definedName>
    <definedName name="RowCount" localSheetId="18">#REF!</definedName>
    <definedName name="RowCount">#REF!</definedName>
    <definedName name="RowDetails1" localSheetId="18">#REF!</definedName>
    <definedName name="RowDetails1">#REF!</definedName>
    <definedName name="rr">#REF!</definedName>
    <definedName name="RSV" localSheetId="18">#REF!</definedName>
    <definedName name="RSV">#REF!</definedName>
    <definedName name="S_3000_Crusher" localSheetId="18">#REF!</definedName>
    <definedName name="S_3000_Crusher">#REF!</definedName>
    <definedName name="S3a" localSheetId="14" hidden="1">{#N/A,#N/A,TRUE,"CONTENTS";#N/A,#N/A,TRUE,"M2";#N/A,#N/A,TRUE,"M2a";#N/A,#N/A,TRUE,"M2b";#N/A,#N/A,TRUE,"M3";#N/A,#N/A,TRUE,"M3a";#N/A,#N/A,TRUE,"M4-P";#N/A,#N/A,TRUE,"M5";#N/A,#N/A,TRUE,"M6";#N/A,#N/A,TRUE,"M7";#N/A,#N/A,TRUE,"M8";#N/A,#N/A,TRUE,"M9";#N/A,#N/A,TRUE,"M10";#N/A,#N/A,TRUE,"M11";#N/A,#N/A,TRUE,"M13";#N/A,#N/A,TRUE,"M14";#N/A,#N/A,TRUE,"M15";#N/A,#N/A,TRUE,"K1"}</definedName>
    <definedName name="S3a" localSheetId="15" hidden="1">{#N/A,#N/A,TRUE,"CONTENTS";#N/A,#N/A,TRUE,"M2";#N/A,#N/A,TRUE,"M2a";#N/A,#N/A,TRUE,"M2b";#N/A,#N/A,TRUE,"M3";#N/A,#N/A,TRUE,"M3a";#N/A,#N/A,TRUE,"M4-P";#N/A,#N/A,TRUE,"M5";#N/A,#N/A,TRUE,"M6";#N/A,#N/A,TRUE,"M7";#N/A,#N/A,TRUE,"M8";#N/A,#N/A,TRUE,"M9";#N/A,#N/A,TRUE,"M10";#N/A,#N/A,TRUE,"M11";#N/A,#N/A,TRUE,"M13";#N/A,#N/A,TRUE,"M14";#N/A,#N/A,TRUE,"M15";#N/A,#N/A,TRUE,"K1"}</definedName>
    <definedName name="S3a" localSheetId="18" hidden="1">{#N/A,#N/A,TRUE,"CONTENTS";#N/A,#N/A,TRUE,"M2";#N/A,#N/A,TRUE,"M2a";#N/A,#N/A,TRUE,"M2b";#N/A,#N/A,TRUE,"M3";#N/A,#N/A,TRUE,"M3a";#N/A,#N/A,TRUE,"M4-P";#N/A,#N/A,TRUE,"M5";#N/A,#N/A,TRUE,"M6";#N/A,#N/A,TRUE,"M7";#N/A,#N/A,TRUE,"M8";#N/A,#N/A,TRUE,"M9";#N/A,#N/A,TRUE,"M10";#N/A,#N/A,TRUE,"M11";#N/A,#N/A,TRUE,"M13";#N/A,#N/A,TRUE,"M14";#N/A,#N/A,TRUE,"M15";#N/A,#N/A,TRUE,"K1"}</definedName>
    <definedName name="S3a" localSheetId="16" hidden="1">{#N/A,#N/A,TRUE,"CONTENTS";#N/A,#N/A,TRUE,"M2";#N/A,#N/A,TRUE,"M2a";#N/A,#N/A,TRUE,"M2b";#N/A,#N/A,TRUE,"M3";#N/A,#N/A,TRUE,"M3a";#N/A,#N/A,TRUE,"M4-P";#N/A,#N/A,TRUE,"M5";#N/A,#N/A,TRUE,"M6";#N/A,#N/A,TRUE,"M7";#N/A,#N/A,TRUE,"M8";#N/A,#N/A,TRUE,"M9";#N/A,#N/A,TRUE,"M10";#N/A,#N/A,TRUE,"M11";#N/A,#N/A,TRUE,"M13";#N/A,#N/A,TRUE,"M14";#N/A,#N/A,TRUE,"M15";#N/A,#N/A,TRUE,"K1"}</definedName>
    <definedName name="S3a" localSheetId="13" hidden="1">{#N/A,#N/A,TRUE,"CONTENTS";#N/A,#N/A,TRUE,"M2";#N/A,#N/A,TRUE,"M2a";#N/A,#N/A,TRUE,"M2b";#N/A,#N/A,TRUE,"M3";#N/A,#N/A,TRUE,"M3a";#N/A,#N/A,TRUE,"M4-P";#N/A,#N/A,TRUE,"M5";#N/A,#N/A,TRUE,"M6";#N/A,#N/A,TRUE,"M7";#N/A,#N/A,TRUE,"M8";#N/A,#N/A,TRUE,"M9";#N/A,#N/A,TRUE,"M10";#N/A,#N/A,TRUE,"M11";#N/A,#N/A,TRUE,"M13";#N/A,#N/A,TRUE,"M14";#N/A,#N/A,TRUE,"M15";#N/A,#N/A,TRUE,"K1"}</definedName>
    <definedName name="S3a" localSheetId="12" hidden="1">{#N/A,#N/A,TRUE,"CONTENTS";#N/A,#N/A,TRUE,"M2";#N/A,#N/A,TRUE,"M2a";#N/A,#N/A,TRUE,"M2b";#N/A,#N/A,TRUE,"M3";#N/A,#N/A,TRUE,"M3a";#N/A,#N/A,TRUE,"M4-P";#N/A,#N/A,TRUE,"M5";#N/A,#N/A,TRUE,"M6";#N/A,#N/A,TRUE,"M7";#N/A,#N/A,TRUE,"M8";#N/A,#N/A,TRUE,"M9";#N/A,#N/A,TRUE,"M10";#N/A,#N/A,TRUE,"M11";#N/A,#N/A,TRUE,"M13";#N/A,#N/A,TRUE,"M14";#N/A,#N/A,TRUE,"M15";#N/A,#N/A,TRUE,"K1"}</definedName>
    <definedName name="S3a" hidden="1">{#N/A,#N/A,TRUE,"CONTENTS";#N/A,#N/A,TRUE,"M2";#N/A,#N/A,TRUE,"M2a";#N/A,#N/A,TRUE,"M2b";#N/A,#N/A,TRUE,"M3";#N/A,#N/A,TRUE,"M3a";#N/A,#N/A,TRUE,"M4-P";#N/A,#N/A,TRUE,"M5";#N/A,#N/A,TRUE,"M6";#N/A,#N/A,TRUE,"M7";#N/A,#N/A,TRUE,"M8";#N/A,#N/A,TRUE,"M9";#N/A,#N/A,TRUE,"M10";#N/A,#N/A,TRUE,"M11";#N/A,#N/A,TRUE,"M13";#N/A,#N/A,TRUE,"M14";#N/A,#N/A,TRUE,"M15";#N/A,#N/A,TRUE,"K1"}</definedName>
    <definedName name="Sal" localSheetId="18">#REF!</definedName>
    <definedName name="Sal" localSheetId="16">#REF!</definedName>
    <definedName name="Sal" localSheetId="13">#REF!</definedName>
    <definedName name="Sal" localSheetId="12">#REF!</definedName>
    <definedName name="Sal">#REF!</definedName>
    <definedName name="salaries" localSheetId="16">#REF!</definedName>
    <definedName name="salaries" localSheetId="13">#REF!</definedName>
    <definedName name="salaries" localSheetId="12">#REF!</definedName>
    <definedName name="salaries">#REF!</definedName>
    <definedName name="SALES" localSheetId="16">#REF!</definedName>
    <definedName name="SALES" localSheetId="13">#REF!</definedName>
    <definedName name="SALES" localSheetId="12">#REF!</definedName>
    <definedName name="SALES">#REF!</definedName>
    <definedName name="Sand_Classifier" localSheetId="18">#REF!</definedName>
    <definedName name="Sand_Classifier">#REF!</definedName>
    <definedName name="Sanjay" localSheetId="18">#REF!</definedName>
    <definedName name="Sanjay">#REF!</definedName>
    <definedName name="SAPBEXrevision" hidden="1">0</definedName>
    <definedName name="SAPBEXsysID" hidden="1">"BWP"</definedName>
    <definedName name="SAPBEXwbID" hidden="1">"4D1VRVRRV2PZX2PJNWZWPYJGL"</definedName>
    <definedName name="SCA">#N/A</definedName>
    <definedName name="SCA_Category" localSheetId="18">#REF!</definedName>
    <definedName name="SCA_Category" localSheetId="16">#REF!</definedName>
    <definedName name="SCA_Category" localSheetId="13">#REF!</definedName>
    <definedName name="SCA_Category" localSheetId="12">#REF!</definedName>
    <definedName name="SCA_Category">#REF!</definedName>
    <definedName name="SCH__2" localSheetId="16">#REF!</definedName>
    <definedName name="SCH__2" localSheetId="13">#REF!</definedName>
    <definedName name="SCH__2" localSheetId="12">#REF!</definedName>
    <definedName name="SCH__2">#REF!</definedName>
    <definedName name="SCH_11" localSheetId="16">#REF!</definedName>
    <definedName name="SCH_11" localSheetId="13">#REF!</definedName>
    <definedName name="SCH_11" localSheetId="12">#REF!</definedName>
    <definedName name="SCH_11">#REF!</definedName>
    <definedName name="SCH1_5">#REF!</definedName>
    <definedName name="SCH6_10">#REF!</definedName>
    <definedName name="Schdule1" localSheetId="14" hidden="1">{#N/A,#N/A,FALSE,"COMP"}</definedName>
    <definedName name="Schdule1" localSheetId="15" hidden="1">{#N/A,#N/A,FALSE,"COMP"}</definedName>
    <definedName name="Schdule1" localSheetId="18" hidden="1">{#N/A,#N/A,FALSE,"COMP"}</definedName>
    <definedName name="Schdule1" localSheetId="16" hidden="1">{#N/A,#N/A,FALSE,"COMP"}</definedName>
    <definedName name="Schdule1" localSheetId="13" hidden="1">{#N/A,#N/A,FALSE,"COMP"}</definedName>
    <definedName name="Schdule1" localSheetId="12" hidden="1">{#N/A,#N/A,FALSE,"COMP"}</definedName>
    <definedName name="Schdule1" hidden="1">{#N/A,#N/A,FALSE,"COMP"}</definedName>
    <definedName name="Schdule12_15" localSheetId="18">#REF!</definedName>
    <definedName name="Schdule12_15" localSheetId="16">#REF!</definedName>
    <definedName name="Schdule12_15" localSheetId="13">#REF!</definedName>
    <definedName name="Schdule12_15" localSheetId="12">#REF!</definedName>
    <definedName name="Schdule12_15">#REF!</definedName>
    <definedName name="schedule" localSheetId="14" hidden="1">{#N/A,#N/A,FALSE,"COMP"}</definedName>
    <definedName name="schedule" localSheetId="15" hidden="1">{#N/A,#N/A,FALSE,"COMP"}</definedName>
    <definedName name="schedule" localSheetId="18" hidden="1">{#N/A,#N/A,FALSE,"COMP"}</definedName>
    <definedName name="schedule" localSheetId="16" hidden="1">{#N/A,#N/A,FALSE,"COMP"}</definedName>
    <definedName name="schedule" localSheetId="13" hidden="1">{#N/A,#N/A,FALSE,"COMP"}</definedName>
    <definedName name="schedule" localSheetId="12" hidden="1">{#N/A,#N/A,FALSE,"COMP"}</definedName>
    <definedName name="schedule" hidden="1">{#N/A,#N/A,FALSE,"COMP"}</definedName>
    <definedName name="Schedule___2__Reserves___Surplus" localSheetId="18">#REF!</definedName>
    <definedName name="Schedule___2__Reserves___Surplus" localSheetId="16">#REF!</definedName>
    <definedName name="Schedule___2__Reserves___Surplus" localSheetId="13">#REF!</definedName>
    <definedName name="Schedule___2__Reserves___Surplus" localSheetId="12">#REF!</definedName>
    <definedName name="Schedule___2__Reserves___Surplus">#REF!</definedName>
    <definedName name="Schedule___7_Other_Income" localSheetId="18">#REF!</definedName>
    <definedName name="Schedule___7_Other_Income" localSheetId="16">#REF!</definedName>
    <definedName name="Schedule___7_Other_Income" localSheetId="13">#REF!</definedName>
    <definedName name="Schedule___7_Other_Income" localSheetId="12">#REF!</definedName>
    <definedName name="Schedule___7_Other_Income">#REF!</definedName>
    <definedName name="Schedule___8_Payments_and_benefits_to_staff" localSheetId="18">#REF!</definedName>
    <definedName name="Schedule___8_Payments_and_benefits_to_staff" localSheetId="16">#REF!</definedName>
    <definedName name="Schedule___8_Payments_and_benefits_to_staff" localSheetId="13">#REF!</definedName>
    <definedName name="Schedule___8_Payments_and_benefits_to_staff" localSheetId="12">#REF!</definedName>
    <definedName name="Schedule___8_Payments_and_benefits_to_staff">#REF!</definedName>
    <definedName name="Schedule___9_Administration_and_other_expenses" localSheetId="18">#REF!</definedName>
    <definedName name="Schedule___9_Administration_and_other_expenses">#REF!</definedName>
    <definedName name="Schedule_5_to_8" localSheetId="18">#REF!</definedName>
    <definedName name="Schedule_5_to_8">#REF!</definedName>
    <definedName name="SDASD" localSheetId="18">#REF!</definedName>
    <definedName name="SDASD">#REF!</definedName>
    <definedName name="SDF" localSheetId="14" hidden="1">{#N/A,#N/A,FALSE,"FINAL"}</definedName>
    <definedName name="SDF" localSheetId="15" hidden="1">{#N/A,#N/A,FALSE,"FINAL"}</definedName>
    <definedName name="SDF" localSheetId="18" hidden="1">{#N/A,#N/A,FALSE,"FINAL"}</definedName>
    <definedName name="SDF" localSheetId="16" hidden="1">{#N/A,#N/A,FALSE,"FINAL"}</definedName>
    <definedName name="SDF" localSheetId="13" hidden="1">{#N/A,#N/A,FALSE,"FINAL"}</definedName>
    <definedName name="SDF" localSheetId="12" hidden="1">{#N/A,#N/A,FALSE,"FINAL"}</definedName>
    <definedName name="SDF" hidden="1">{#N/A,#N/A,FALSE,"FINAL"}</definedName>
    <definedName name="SEC_LOAN" localSheetId="3">#REF!</definedName>
    <definedName name="SEC_LOAN" localSheetId="18">#REF!</definedName>
    <definedName name="SEC_LOAN" localSheetId="16">#REF!</definedName>
    <definedName name="SEC_LOAN" localSheetId="13">#REF!</definedName>
    <definedName name="SEC_LOAN" localSheetId="12">#REF!</definedName>
    <definedName name="SEC_LOAN">#REF!</definedName>
    <definedName name="Setter_Plant" localSheetId="16">#REF!</definedName>
    <definedName name="Setter_Plant" localSheetId="13">#REF!</definedName>
    <definedName name="Setter_Plant" localSheetId="12">#REF!</definedName>
    <definedName name="Setter_Plant">#REF!</definedName>
    <definedName name="SGD" localSheetId="16">#REF!</definedName>
    <definedName name="SGD" localSheetId="13">#REF!</definedName>
    <definedName name="SGD" localSheetId="12">#REF!</definedName>
    <definedName name="SGD">#REF!</definedName>
    <definedName name="SHARED_FORMULA_1">#N/A</definedName>
    <definedName name="SHARED_FORMULA_3">#N/A</definedName>
    <definedName name="SHARED_FORMULA_5">#N/A</definedName>
    <definedName name="SHARED_FORMULA_7">#N/A</definedName>
    <definedName name="SHARED_FORMULA_9">#N/A</definedName>
    <definedName name="sheet2" localSheetId="18">#REF!</definedName>
    <definedName name="sheet2" localSheetId="16">#REF!</definedName>
    <definedName name="sheet2" localSheetId="13">#REF!</definedName>
    <definedName name="sheet2" localSheetId="12">#REF!</definedName>
    <definedName name="sheet2">#REF!</definedName>
    <definedName name="SHEET4" localSheetId="16">#REF!</definedName>
    <definedName name="SHEET4" localSheetId="13">#REF!</definedName>
    <definedName name="SHEET4" localSheetId="12">#REF!</definedName>
    <definedName name="SHEET4">#REF!</definedName>
    <definedName name="SKJ" localSheetId="18">#REF!</definedName>
    <definedName name="SKJ" localSheetId="16">#REF!</definedName>
    <definedName name="SKJ" localSheetId="13">#REF!</definedName>
    <definedName name="SKJ" localSheetId="12">#REF!</definedName>
    <definedName name="SKJ">#REF!</definedName>
    <definedName name="so" localSheetId="18">#REF!</definedName>
    <definedName name="so">#REF!</definedName>
    <definedName name="SpecialPrice" localSheetId="18" hidden="1">#REF!</definedName>
    <definedName name="SpecialPrice" hidden="1">#REF!</definedName>
    <definedName name="sridhar" localSheetId="18">#REF!</definedName>
    <definedName name="sridhar">#REF!</definedName>
    <definedName name="SSK" localSheetId="14" hidden="1">{#N/A,#N/A,FALSE,"COMP"}</definedName>
    <definedName name="SSK" localSheetId="15" hidden="1">{#N/A,#N/A,FALSE,"COMP"}</definedName>
    <definedName name="SSK" localSheetId="18" hidden="1">{#N/A,#N/A,FALSE,"COMP"}</definedName>
    <definedName name="SSK" localSheetId="16" hidden="1">{#N/A,#N/A,FALSE,"COMP"}</definedName>
    <definedName name="SSK" localSheetId="13" hidden="1">{#N/A,#N/A,FALSE,"COMP"}</definedName>
    <definedName name="SSK" localSheetId="12" hidden="1">{#N/A,#N/A,FALSE,"COMP"}</definedName>
    <definedName name="SSK" hidden="1">{#N/A,#N/A,FALSE,"COMP"}</definedName>
    <definedName name="SSS" localSheetId="14" hidden="1">{#N/A,#N/A,FALSE,"Cash Flows";#N/A,#N/A,FALSE,"Fixed Assets";#N/A,#N/A,FALSE,"Balance Sheet";#N/A,#N/A,FALSE,"P &amp; L"}</definedName>
    <definedName name="SSS" localSheetId="15" hidden="1">{#N/A,#N/A,FALSE,"Cash Flows";#N/A,#N/A,FALSE,"Fixed Assets";#N/A,#N/A,FALSE,"Balance Sheet";#N/A,#N/A,FALSE,"P &amp; L"}</definedName>
    <definedName name="SSS" localSheetId="18" hidden="1">{#N/A,#N/A,FALSE,"Cash Flows";#N/A,#N/A,FALSE,"Fixed Assets";#N/A,#N/A,FALSE,"Balance Sheet";#N/A,#N/A,FALSE,"P &amp; L"}</definedName>
    <definedName name="SSS" localSheetId="16" hidden="1">{#N/A,#N/A,FALSE,"Cash Flows";#N/A,#N/A,FALSE,"Fixed Assets";#N/A,#N/A,FALSE,"Balance Sheet";#N/A,#N/A,FALSE,"P &amp; L"}</definedName>
    <definedName name="SSS" localSheetId="13" hidden="1">{#N/A,#N/A,FALSE,"Cash Flows";#N/A,#N/A,FALSE,"Fixed Assets";#N/A,#N/A,FALSE,"Balance Sheet";#N/A,#N/A,FALSE,"P &amp; L"}</definedName>
    <definedName name="SSS" localSheetId="12" hidden="1">{#N/A,#N/A,FALSE,"Cash Flows";#N/A,#N/A,FALSE,"Fixed Assets";#N/A,#N/A,FALSE,"Balance Sheet";#N/A,#N/A,FALSE,"P &amp; L"}</definedName>
    <definedName name="SSS" hidden="1">{#N/A,#N/A,FALSE,"Cash Flows";#N/A,#N/A,FALSE,"Fixed Assets";#N/A,#N/A,FALSE,"Balance Sheet";#N/A,#N/A,FALSE,"P &amp; L"}</definedName>
    <definedName name="SSSSB" localSheetId="14" hidden="1">{#N/A,#N/A,TRUE,"Summary";#N/A,#N/A,TRUE,"Balance Sheet";#N/A,#N/A,TRUE,"P &amp; L";#N/A,#N/A,TRUE,"Fixed Assets";#N/A,#N/A,TRUE,"Cash Flows"}</definedName>
    <definedName name="SSSSB" localSheetId="15" hidden="1">{#N/A,#N/A,TRUE,"Summary";#N/A,#N/A,TRUE,"Balance Sheet";#N/A,#N/A,TRUE,"P &amp; L";#N/A,#N/A,TRUE,"Fixed Assets";#N/A,#N/A,TRUE,"Cash Flows"}</definedName>
    <definedName name="SSSSB" localSheetId="18" hidden="1">{#N/A,#N/A,TRUE,"Summary";#N/A,#N/A,TRUE,"Balance Sheet";#N/A,#N/A,TRUE,"P &amp; L";#N/A,#N/A,TRUE,"Fixed Assets";#N/A,#N/A,TRUE,"Cash Flows"}</definedName>
    <definedName name="SSSSB" localSheetId="16" hidden="1">{#N/A,#N/A,TRUE,"Summary";#N/A,#N/A,TRUE,"Balance Sheet";#N/A,#N/A,TRUE,"P &amp; L";#N/A,#N/A,TRUE,"Fixed Assets";#N/A,#N/A,TRUE,"Cash Flows"}</definedName>
    <definedName name="SSSSB" localSheetId="13" hidden="1">{#N/A,#N/A,TRUE,"Summary";#N/A,#N/A,TRUE,"Balance Sheet";#N/A,#N/A,TRUE,"P &amp; L";#N/A,#N/A,TRUE,"Fixed Assets";#N/A,#N/A,TRUE,"Cash Flows"}</definedName>
    <definedName name="SSSSB" localSheetId="12" hidden="1">{#N/A,#N/A,TRUE,"Summary";#N/A,#N/A,TRUE,"Balance Sheet";#N/A,#N/A,TRUE,"P &amp; L";#N/A,#N/A,TRUE,"Fixed Assets";#N/A,#N/A,TRUE,"Cash Flows"}</definedName>
    <definedName name="SSSSB" hidden="1">{#N/A,#N/A,TRUE,"Summary";#N/A,#N/A,TRUE,"Balance Sheet";#N/A,#N/A,TRUE,"P &amp; L";#N/A,#N/A,TRUE,"Fixed Assets";#N/A,#N/A,TRUE,"Cash Flows"}</definedName>
    <definedName name="SSSSSB" localSheetId="14" hidden="1">{#N/A,#N/A,FALSE,"Cash Flows";#N/A,#N/A,FALSE,"Fixed Assets";#N/A,#N/A,FALSE,"Balance Sheet";#N/A,#N/A,FALSE,"P &amp; L"}</definedName>
    <definedName name="SSSSSB" localSheetId="15" hidden="1">{#N/A,#N/A,FALSE,"Cash Flows";#N/A,#N/A,FALSE,"Fixed Assets";#N/A,#N/A,FALSE,"Balance Sheet";#N/A,#N/A,FALSE,"P &amp; L"}</definedName>
    <definedName name="SSSSSB" localSheetId="18" hidden="1">{#N/A,#N/A,FALSE,"Cash Flows";#N/A,#N/A,FALSE,"Fixed Assets";#N/A,#N/A,FALSE,"Balance Sheet";#N/A,#N/A,FALSE,"P &amp; L"}</definedName>
    <definedName name="SSSSSB" localSheetId="16" hidden="1">{#N/A,#N/A,FALSE,"Cash Flows";#N/A,#N/A,FALSE,"Fixed Assets";#N/A,#N/A,FALSE,"Balance Sheet";#N/A,#N/A,FALSE,"P &amp; L"}</definedName>
    <definedName name="SSSSSB" localSheetId="13" hidden="1">{#N/A,#N/A,FALSE,"Cash Flows";#N/A,#N/A,FALSE,"Fixed Assets";#N/A,#N/A,FALSE,"Balance Sheet";#N/A,#N/A,FALSE,"P &amp; L"}</definedName>
    <definedName name="SSSSSB" localSheetId="12" hidden="1">{#N/A,#N/A,FALSE,"Cash Flows";#N/A,#N/A,FALSE,"Fixed Assets";#N/A,#N/A,FALSE,"Balance Sheet";#N/A,#N/A,FALSE,"P &amp; L"}</definedName>
    <definedName name="SSSSSB" hidden="1">{#N/A,#N/A,FALSE,"Cash Flows";#N/A,#N/A,FALSE,"Fixed Assets";#N/A,#N/A,FALSE,"Balance Sheet";#N/A,#N/A,FALSE,"P &amp; L"}</definedName>
    <definedName name="State" localSheetId="18">#REF!</definedName>
    <definedName name="State" localSheetId="13">#REF!</definedName>
    <definedName name="State">#REF!</definedName>
    <definedName name="STATUS_REPORT" localSheetId="18">#REF!</definedName>
    <definedName name="STATUS_REPORT" localSheetId="13">#REF!</definedName>
    <definedName name="STATUS_REPORT">#REF!</definedName>
    <definedName name="Stetter_Plant_1" localSheetId="18">#REF!</definedName>
    <definedName name="Stetter_Plant_1" localSheetId="16">#REF!</definedName>
    <definedName name="Stetter_Plant_1" localSheetId="13">#REF!</definedName>
    <definedName name="Stetter_Plant_1" localSheetId="12">#REF!</definedName>
    <definedName name="Stetter_Plant_1">#REF!</definedName>
    <definedName name="Stetter_Plant_2" localSheetId="18">#REF!</definedName>
    <definedName name="Stetter_Plant_2">#REF!</definedName>
    <definedName name="Stocks" localSheetId="18">#REF!</definedName>
    <definedName name="Stocks">#REF!</definedName>
    <definedName name="Sub_Schedule_4A">#REF!</definedName>
    <definedName name="Sub_Schedule_5A">#REF!</definedName>
    <definedName name="Sub_Schedule_5B">#REF!</definedName>
    <definedName name="Sub_Schedule_8A">#REF!</definedName>
    <definedName name="Sub_Schedule_8B">#REF!</definedName>
    <definedName name="Sub_Schedule_8C">#REF!</definedName>
    <definedName name="Sub_schedule_9A">#REF!</definedName>
    <definedName name="Sub_schedule_9B">#REF!</definedName>
    <definedName name="Sub_Schedule_9C">#REF!</definedName>
    <definedName name="Sub_schedule_9D">#REF!</definedName>
    <definedName name="Sub_schedule_9E">#REF!</definedName>
    <definedName name="Sub_schedule_9F">#REF!</definedName>
    <definedName name="Sub_schedule_9G">#REF!</definedName>
    <definedName name="Sub_schedule_9H">#REF!</definedName>
    <definedName name="Sub_schedule_9I">#REF!</definedName>
    <definedName name="Sub_Schedule_9J">#REF!</definedName>
    <definedName name="Sub_Schedule_9K">#REF!</definedName>
    <definedName name="Sub_Schedule_9L">#REF!</definedName>
    <definedName name="Sub_Schedule_9M">#REF!</definedName>
    <definedName name="sumana">#REF!</definedName>
    <definedName name="SupDat.DG" localSheetId="18">#REF!</definedName>
    <definedName name="SupDat.DG">#REF!</definedName>
    <definedName name="SupDat.SDU" localSheetId="18">#REF!</definedName>
    <definedName name="SupDat.SDU">#REF!</definedName>
    <definedName name="SUPPORT" localSheetId="18">#REF!</definedName>
    <definedName name="SUPPORT">#REF!</definedName>
    <definedName name="Svedala_H_3000" localSheetId="18">#REF!</definedName>
    <definedName name="Svedala_H_3000">#REF!</definedName>
    <definedName name="Svedala_JM_1312" localSheetId="18">#REF!</definedName>
    <definedName name="Svedala_JM_1312">#REF!</definedName>
    <definedName name="TAFName" localSheetId="18">#REF!</definedName>
    <definedName name="TAFName">#REF!</definedName>
    <definedName name="tamas" localSheetId="18" hidden="1">#REF!</definedName>
    <definedName name="tamas" hidden="1">#REF!</definedName>
    <definedName name="TAMNo" localSheetId="18">#REF!</definedName>
    <definedName name="TAMNo">#REF!</definedName>
    <definedName name="TAName" localSheetId="18">#REF!</definedName>
    <definedName name="TAName">#REF!</definedName>
    <definedName name="Tandum_Roller" localSheetId="18">#REF!</definedName>
    <definedName name="Tandum_Roller">#REF!</definedName>
    <definedName name="TAPlace" localSheetId="18">#REF!</definedName>
    <definedName name="TAPlace">#REF!</definedName>
    <definedName name="Tata_HitachiEx_350" localSheetId="18">#REF!</definedName>
    <definedName name="Tata_HitachiEx_350">#REF!</definedName>
    <definedName name="Taurus_Tippers_10" localSheetId="18">#REF!</definedName>
    <definedName name="Taurus_Tippers_10">#REF!</definedName>
    <definedName name="Taurus_Tippers10" localSheetId="18">#REF!</definedName>
    <definedName name="Taurus_Tippers10">#REF!</definedName>
    <definedName name="Tax" localSheetId="18">#REF!</definedName>
    <definedName name="Tax">#REF!</definedName>
    <definedName name="TAX_COMP" localSheetId="18">#REF!</definedName>
    <definedName name="TAX_COMP">#REF!</definedName>
    <definedName name="tax1M" localSheetId="18">#REF!</definedName>
    <definedName name="tax1M">#REF!</definedName>
    <definedName name="tax1Y" localSheetId="18">#REF!</definedName>
    <definedName name="tax1Y">#REF!</definedName>
    <definedName name="tax2M" localSheetId="18">#REF!</definedName>
    <definedName name="tax2M">#REF!</definedName>
    <definedName name="tax2Y" localSheetId="18">#REF!</definedName>
    <definedName name="tax2Y">#REF!</definedName>
    <definedName name="tax3M" localSheetId="18">#REF!</definedName>
    <definedName name="tax3M">#REF!</definedName>
    <definedName name="tax3Y" localSheetId="18">#REF!</definedName>
    <definedName name="tax3Y">#REF!</definedName>
    <definedName name="tax4M" localSheetId="18">#REF!</definedName>
    <definedName name="tax4M">#REF!</definedName>
    <definedName name="tax4Y" localSheetId="18">#REF!</definedName>
    <definedName name="tax4Y">#REF!</definedName>
    <definedName name="TaxAudAdd" localSheetId="18">#REF!</definedName>
    <definedName name="TaxAudAdd">#REF!</definedName>
    <definedName name="TaxAuditDate" localSheetId="18">#REF!</definedName>
    <definedName name="TaxAuditDate">#REF!</definedName>
    <definedName name="TAXCOMP" localSheetId="18">#REF!</definedName>
    <definedName name="TAXCOMP">#REF!</definedName>
    <definedName name="Taxes2004">#REF!</definedName>
    <definedName name="Taxes2005">#REF!</definedName>
    <definedName name="Taxes2006">#REF!</definedName>
    <definedName name="Taxes2007">#REF!</definedName>
    <definedName name="Taxes2008">#REF!</definedName>
    <definedName name="Taxes2009">#REF!</definedName>
    <definedName name="TaxExpense04">#REF!</definedName>
    <definedName name="TaxExpense05">#REF!</definedName>
    <definedName name="TaxExpense06">#REF!</definedName>
    <definedName name="TaxExpense07">#REF!</definedName>
    <definedName name="TaxExpense08">#REF!</definedName>
    <definedName name="TaxExpense09">#REF!</definedName>
    <definedName name="taxliab">#REF!</definedName>
    <definedName name="tb">#REF!</definedName>
    <definedName name="TB_LOCAL" localSheetId="18">#REF!</definedName>
    <definedName name="TB_LOCAL">#REF!</definedName>
    <definedName name="TB_USD" localSheetId="18">#REF!</definedName>
    <definedName name="TB_USD">#REF!</definedName>
    <definedName name="tbbbbbbbbbbbbbbb" localSheetId="14"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localSheetId="15"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localSheetId="18"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localSheetId="16"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localSheetId="13"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localSheetId="12"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bbbbbbbbbbbbbb"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bl_ProdInfo" localSheetId="18" hidden="1">#REF!</definedName>
    <definedName name="tbl_ProdInfo" localSheetId="16" hidden="1">#REF!</definedName>
    <definedName name="tbl_ProdInfo" localSheetId="13" hidden="1">#REF!</definedName>
    <definedName name="tbl_ProdInfo" localSheetId="12" hidden="1">#REF!</definedName>
    <definedName name="tbl_ProdInfo" hidden="1">#REF!</definedName>
    <definedName name="TDM" localSheetId="18">#REF!</definedName>
    <definedName name="TDM" localSheetId="16">#REF!</definedName>
    <definedName name="TDM" localSheetId="13">#REF!</definedName>
    <definedName name="TDM" localSheetId="12">#REF!</definedName>
    <definedName name="TDM">#REF!</definedName>
    <definedName name="TDS_Workings" localSheetId="16">#REF!</definedName>
    <definedName name="TDS_Workings" localSheetId="13">#REF!</definedName>
    <definedName name="TDS_Workings" localSheetId="12">#REF!</definedName>
    <definedName name="TDS_Workings">#REF!</definedName>
    <definedName name="TDSCERTICATES">#REF!</definedName>
    <definedName name="TEMP" localSheetId="18">#REF!</definedName>
    <definedName name="TEMP">#REF!</definedName>
    <definedName name="TEMP1" localSheetId="18">#REF!</definedName>
    <definedName name="TEMP1">#REF!</definedName>
    <definedName name="TEN" localSheetId="18">#REF!</definedName>
    <definedName name="TEN">#REF!</definedName>
    <definedName name="TEST0" localSheetId="18">#REF!</definedName>
    <definedName name="TEST0">#REF!</definedName>
    <definedName name="TESTHKEY">#REF!</definedName>
    <definedName name="TESTKEYS">#REF!</definedName>
    <definedName name="TESTVKEY">#REF!</definedName>
    <definedName name="TextRefCopyRangeCount" hidden="1">7</definedName>
    <definedName name="THAI_PLASTIC_in_KUSD" localSheetId="18">#REF!</definedName>
    <definedName name="THAI_PLASTIC_in_KUSD" localSheetId="16">#REF!</definedName>
    <definedName name="THAI_PLASTIC_in_KUSD" localSheetId="13">#REF!</definedName>
    <definedName name="THAI_PLASTIC_in_KUSD" localSheetId="12">#REF!</definedName>
    <definedName name="THAI_PLASTIC_in_KUSD">#REF!</definedName>
    <definedName name="THB" localSheetId="16">#REF!</definedName>
    <definedName name="THB" localSheetId="13">#REF!</definedName>
    <definedName name="THB" localSheetId="12">#REF!</definedName>
    <definedName name="THB">#REF!</definedName>
    <definedName name="THIS_FILE" localSheetId="18">#REF!</definedName>
    <definedName name="THIS_FILE" localSheetId="16">#REF!</definedName>
    <definedName name="THIS_FILE" localSheetId="13">#REF!</definedName>
    <definedName name="THIS_FILE" localSheetId="12">#REF!</definedName>
    <definedName name="THIS_FILE">#REF!</definedName>
    <definedName name="THOUSAND" localSheetId="18">#REF!</definedName>
    <definedName name="THOUSAND">#REF!</definedName>
    <definedName name="Tipper_9" localSheetId="18">#REF!</definedName>
    <definedName name="Tipper_9">#REF!</definedName>
    <definedName name="TOTAL" localSheetId="18">#REF!</definedName>
    <definedName name="TOTAL">#REF!</definedName>
    <definedName name="TOTASS" localSheetId="18">#REF!</definedName>
    <definedName name="TOTASS">#REF!</definedName>
    <definedName name="Toyota_Camry" localSheetId="18">#REF!</definedName>
    <definedName name="Toyota_Camry">#REF!</definedName>
    <definedName name="TRIAL" localSheetId="18">#REF!</definedName>
    <definedName name="TRIAL">#REF!</definedName>
    <definedName name="Tru">#REF!</definedName>
    <definedName name="TWL" localSheetId="18">#REF!</definedName>
    <definedName name="TWL">#REF!</definedName>
    <definedName name="TWL_Wheel_Loader" localSheetId="18">#REF!</definedName>
    <definedName name="TWL_Wheel_Loader">#REF!</definedName>
    <definedName name="TXT" localSheetId="18">#REF!</definedName>
    <definedName name="TXT">#REF!</definedName>
    <definedName name="U30a57">#REF!</definedName>
    <definedName name="UEIUIUE" localSheetId="14" hidden="1">{#N/A,#N/A,TRUE,"Summary";#N/A,#N/A,TRUE,"Balance Sheet";#N/A,#N/A,TRUE,"P &amp; L";#N/A,#N/A,TRUE,"Fixed Assets";#N/A,#N/A,TRUE,"Cash Flows"}</definedName>
    <definedName name="UEIUIUE" localSheetId="15" hidden="1">{#N/A,#N/A,TRUE,"Summary";#N/A,#N/A,TRUE,"Balance Sheet";#N/A,#N/A,TRUE,"P &amp; L";#N/A,#N/A,TRUE,"Fixed Assets";#N/A,#N/A,TRUE,"Cash Flows"}</definedName>
    <definedName name="UEIUIUE" localSheetId="18" hidden="1">{#N/A,#N/A,TRUE,"Summary";#N/A,#N/A,TRUE,"Balance Sheet";#N/A,#N/A,TRUE,"P &amp; L";#N/A,#N/A,TRUE,"Fixed Assets";#N/A,#N/A,TRUE,"Cash Flows"}</definedName>
    <definedName name="UEIUIUE" localSheetId="16" hidden="1">{#N/A,#N/A,TRUE,"Summary";#N/A,#N/A,TRUE,"Balance Sheet";#N/A,#N/A,TRUE,"P &amp; L";#N/A,#N/A,TRUE,"Fixed Assets";#N/A,#N/A,TRUE,"Cash Flows"}</definedName>
    <definedName name="UEIUIUE" localSheetId="13" hidden="1">{#N/A,#N/A,TRUE,"Summary";#N/A,#N/A,TRUE,"Balance Sheet";#N/A,#N/A,TRUE,"P &amp; L";#N/A,#N/A,TRUE,"Fixed Assets";#N/A,#N/A,TRUE,"Cash Flows"}</definedName>
    <definedName name="UEIUIUE" localSheetId="12" hidden="1">{#N/A,#N/A,TRUE,"Summary";#N/A,#N/A,TRUE,"Balance Sheet";#N/A,#N/A,TRUE,"P &amp; L";#N/A,#N/A,TRUE,"Fixed Assets";#N/A,#N/A,TRUE,"Cash Flows"}</definedName>
    <definedName name="UEIUIUE" hidden="1">{#N/A,#N/A,TRUE,"Summary";#N/A,#N/A,TRUE,"Balance Sheet";#N/A,#N/A,TRUE,"P &amp; L";#N/A,#N/A,TRUE,"Fixed Assets";#N/A,#N/A,TRUE,"Cash Flows"}</definedName>
    <definedName name="UNSEC_LOAN" localSheetId="18">#REF!</definedName>
    <definedName name="UNSEC_LOAN" localSheetId="16">#REF!</definedName>
    <definedName name="UNSEC_LOAN" localSheetId="13">#REF!</definedName>
    <definedName name="UNSEC_LOAN" localSheetId="12">#REF!</definedName>
    <definedName name="UNSEC_LOAN">#REF!</definedName>
    <definedName name="UPS_System" localSheetId="16">#REF!</definedName>
    <definedName name="UPS_System" localSheetId="13">#REF!</definedName>
    <definedName name="UPS_System" localSheetId="12">#REF!</definedName>
    <definedName name="UPS_System">#REF!</definedName>
    <definedName name="USD.A" localSheetId="16">#REF!</definedName>
    <definedName name="USD.A" localSheetId="13">#REF!</definedName>
    <definedName name="USD.A" localSheetId="12">#REF!</definedName>
    <definedName name="USD.A">#REF!</definedName>
    <definedName name="USD.E">#REF!</definedName>
    <definedName name="USD_B">#REF!</definedName>
    <definedName name="USD_BOOK" localSheetId="18">#REF!</definedName>
    <definedName name="USD_BOOK">#REF!</definedName>
    <definedName name="usd_fedai" localSheetId="18">#REF!</definedName>
    <definedName name="usd_fedai">#REF!</definedName>
    <definedName name="UserFirstName" localSheetId="18">#REF!</definedName>
    <definedName name="UserFirstName">#REF!</definedName>
    <definedName name="UserName" localSheetId="18">#REF!</definedName>
    <definedName name="UserName">#REF!</definedName>
    <definedName name="UUIIE" localSheetId="14" hidden="1">{#N/A,#N/A,FALSE,"Cash Flows";#N/A,#N/A,FALSE,"Fixed Assets";#N/A,#N/A,FALSE,"Balance Sheet";#N/A,#N/A,FALSE,"P &amp; L"}</definedName>
    <definedName name="UUIIE" localSheetId="15" hidden="1">{#N/A,#N/A,FALSE,"Cash Flows";#N/A,#N/A,FALSE,"Fixed Assets";#N/A,#N/A,FALSE,"Balance Sheet";#N/A,#N/A,FALSE,"P &amp; L"}</definedName>
    <definedName name="UUIIE" localSheetId="18" hidden="1">{#N/A,#N/A,FALSE,"Cash Flows";#N/A,#N/A,FALSE,"Fixed Assets";#N/A,#N/A,FALSE,"Balance Sheet";#N/A,#N/A,FALSE,"P &amp; L"}</definedName>
    <definedName name="UUIIE" localSheetId="16" hidden="1">{#N/A,#N/A,FALSE,"Cash Flows";#N/A,#N/A,FALSE,"Fixed Assets";#N/A,#N/A,FALSE,"Balance Sheet";#N/A,#N/A,FALSE,"P &amp; L"}</definedName>
    <definedName name="UUIIE" localSheetId="13" hidden="1">{#N/A,#N/A,FALSE,"Cash Flows";#N/A,#N/A,FALSE,"Fixed Assets";#N/A,#N/A,FALSE,"Balance Sheet";#N/A,#N/A,FALSE,"P &amp; L"}</definedName>
    <definedName name="UUIIE" localSheetId="12" hidden="1">{#N/A,#N/A,FALSE,"Cash Flows";#N/A,#N/A,FALSE,"Fixed Assets";#N/A,#N/A,FALSE,"Balance Sheet";#N/A,#N/A,FALSE,"P &amp; L"}</definedName>
    <definedName name="UUIIE" hidden="1">{#N/A,#N/A,FALSE,"Cash Flows";#N/A,#N/A,FALSE,"Fixed Assets";#N/A,#N/A,FALSE,"Balance Sheet";#N/A,#N/A,FALSE,"P &amp; L"}</definedName>
    <definedName name="var" localSheetId="14" hidden="1">{#N/A,#N/A,FALSE,"FINAL"}</definedName>
    <definedName name="var" localSheetId="15" hidden="1">{#N/A,#N/A,FALSE,"FINAL"}</definedName>
    <definedName name="var" localSheetId="18" hidden="1">{#N/A,#N/A,FALSE,"FINAL"}</definedName>
    <definedName name="var" localSheetId="16" hidden="1">{#N/A,#N/A,FALSE,"FINAL"}</definedName>
    <definedName name="var" localSheetId="13" hidden="1">{#N/A,#N/A,FALSE,"FINAL"}</definedName>
    <definedName name="var" localSheetId="12" hidden="1">{#N/A,#N/A,FALSE,"FINAL"}</definedName>
    <definedName name="var" hidden="1">{#N/A,#N/A,FALSE,"FINAL"}</definedName>
    <definedName name="vara" localSheetId="14" hidden="1">{#N/A,#N/A,FALSE,"FINAL"}</definedName>
    <definedName name="vara" localSheetId="15" hidden="1">{#N/A,#N/A,FALSE,"FINAL"}</definedName>
    <definedName name="vara" localSheetId="18" hidden="1">{#N/A,#N/A,FALSE,"FINAL"}</definedName>
    <definedName name="vara" localSheetId="16" hidden="1">{#N/A,#N/A,FALSE,"FINAL"}</definedName>
    <definedName name="vara" localSheetId="13" hidden="1">{#N/A,#N/A,FALSE,"FINAL"}</definedName>
    <definedName name="vara" localSheetId="12" hidden="1">{#N/A,#N/A,FALSE,"FINAL"}</definedName>
    <definedName name="vara" hidden="1">{#N/A,#N/A,FALSE,"FINAL"}</definedName>
    <definedName name="Version" localSheetId="18">#REF!</definedName>
    <definedName name="Version" localSheetId="16">#REF!</definedName>
    <definedName name="Version" localSheetId="13">#REF!</definedName>
    <definedName name="Version" localSheetId="12">#REF!</definedName>
    <definedName name="Version">#REF!</definedName>
    <definedName name="vga" localSheetId="14" hidden="1">{#N/A,#N/A,TRUE,"Summary";#N/A,#N/A,TRUE,"Balance Sheet";#N/A,#N/A,TRUE,"P &amp; L";#N/A,#N/A,TRUE,"Fixed Assets";#N/A,#N/A,TRUE,"Cash Flows"}</definedName>
    <definedName name="vga" localSheetId="15" hidden="1">{#N/A,#N/A,TRUE,"Summary";#N/A,#N/A,TRUE,"Balance Sheet";#N/A,#N/A,TRUE,"P &amp; L";#N/A,#N/A,TRUE,"Fixed Assets";#N/A,#N/A,TRUE,"Cash Flows"}</definedName>
    <definedName name="vga" localSheetId="18" hidden="1">{#N/A,#N/A,TRUE,"Summary";#N/A,#N/A,TRUE,"Balance Sheet";#N/A,#N/A,TRUE,"P &amp; L";#N/A,#N/A,TRUE,"Fixed Assets";#N/A,#N/A,TRUE,"Cash Flows"}</definedName>
    <definedName name="vga" localSheetId="16" hidden="1">{#N/A,#N/A,TRUE,"Summary";#N/A,#N/A,TRUE,"Balance Sheet";#N/A,#N/A,TRUE,"P &amp; L";#N/A,#N/A,TRUE,"Fixed Assets";#N/A,#N/A,TRUE,"Cash Flows"}</definedName>
    <definedName name="vga" localSheetId="13" hidden="1">{#N/A,#N/A,TRUE,"Summary";#N/A,#N/A,TRUE,"Balance Sheet";#N/A,#N/A,TRUE,"P &amp; L";#N/A,#N/A,TRUE,"Fixed Assets";#N/A,#N/A,TRUE,"Cash Flows"}</definedName>
    <definedName name="vga" localSheetId="12" hidden="1">{#N/A,#N/A,TRUE,"Summary";#N/A,#N/A,TRUE,"Balance Sheet";#N/A,#N/A,TRUE,"P &amp; L";#N/A,#N/A,TRUE,"Fixed Assets";#N/A,#N/A,TRUE,"Cash Flows"}</definedName>
    <definedName name="vga" hidden="1">{#N/A,#N/A,TRUE,"Summary";#N/A,#N/A,TRUE,"Balance Sheet";#N/A,#N/A,TRUE,"P &amp; L";#N/A,#N/A,TRUE,"Fixed Assets";#N/A,#N/A,TRUE,"Cash Flows"}</definedName>
    <definedName name="Vogele_Paver" localSheetId="18">#REF!</definedName>
    <definedName name="Vogele_Paver" localSheetId="16">#REF!</definedName>
    <definedName name="Vogele_Paver" localSheetId="13">#REF!</definedName>
    <definedName name="Vogele_Paver" localSheetId="12">#REF!</definedName>
    <definedName name="Vogele_Paver">#REF!</definedName>
    <definedName name="Volvo" localSheetId="18">#REF!</definedName>
    <definedName name="Volvo" localSheetId="16">#REF!</definedName>
    <definedName name="Volvo" localSheetId="13">#REF!</definedName>
    <definedName name="Volvo" localSheetId="12">#REF!</definedName>
    <definedName name="Volvo">#REF!</definedName>
    <definedName name="w" localSheetId="1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localSheetId="1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localSheetId="1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localSheetId="1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localSheetId="1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localSheetId="1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B" localSheetId="14" hidden="1">{#N/A,#N/A,TRUE,"Summary";#N/A,#N/A,TRUE,"Balance Sheet";#N/A,#N/A,TRUE,"P &amp; L";#N/A,#N/A,TRUE,"Fixed Assets";#N/A,#N/A,TRUE,"Cash Flows"}</definedName>
    <definedName name="WB" localSheetId="15" hidden="1">{#N/A,#N/A,TRUE,"Summary";#N/A,#N/A,TRUE,"Balance Sheet";#N/A,#N/A,TRUE,"P &amp; L";#N/A,#N/A,TRUE,"Fixed Assets";#N/A,#N/A,TRUE,"Cash Flows"}</definedName>
    <definedName name="WB" localSheetId="18" hidden="1">{#N/A,#N/A,TRUE,"Summary";#N/A,#N/A,TRUE,"Balance Sheet";#N/A,#N/A,TRUE,"P &amp; L";#N/A,#N/A,TRUE,"Fixed Assets";#N/A,#N/A,TRUE,"Cash Flows"}</definedName>
    <definedName name="WB" localSheetId="16" hidden="1">{#N/A,#N/A,TRUE,"Summary";#N/A,#N/A,TRUE,"Balance Sheet";#N/A,#N/A,TRUE,"P &amp; L";#N/A,#N/A,TRUE,"Fixed Assets";#N/A,#N/A,TRUE,"Cash Flows"}</definedName>
    <definedName name="WB" localSheetId="13" hidden="1">{#N/A,#N/A,TRUE,"Summary";#N/A,#N/A,TRUE,"Balance Sheet";#N/A,#N/A,TRUE,"P &amp; L";#N/A,#N/A,TRUE,"Fixed Assets";#N/A,#N/A,TRUE,"Cash Flows"}</definedName>
    <definedName name="WB" localSheetId="12" hidden="1">{#N/A,#N/A,TRUE,"Summary";#N/A,#N/A,TRUE,"Balance Sheet";#N/A,#N/A,TRUE,"P &amp; L";#N/A,#N/A,TRUE,"Fixed Assets";#N/A,#N/A,TRUE,"Cash Flows"}</definedName>
    <definedName name="WB" hidden="1">{#N/A,#N/A,TRUE,"Summary";#N/A,#N/A,TRUE,"Balance Sheet";#N/A,#N/A,TRUE,"P &amp; L";#N/A,#N/A,TRUE,"Fixed Assets";#N/A,#N/A,TRUE,"Cash Flows"}</definedName>
    <definedName name="WBB" localSheetId="14" hidden="1">{#N/A,#N/A,TRUE,"Summary";#N/A,#N/A,TRUE,"Balance Sheet";#N/A,#N/A,TRUE,"P &amp; L";#N/A,#N/A,TRUE,"Fixed Assets";#N/A,#N/A,TRUE,"Cash Flows"}</definedName>
    <definedName name="WBB" localSheetId="15" hidden="1">{#N/A,#N/A,TRUE,"Summary";#N/A,#N/A,TRUE,"Balance Sheet";#N/A,#N/A,TRUE,"P &amp; L";#N/A,#N/A,TRUE,"Fixed Assets";#N/A,#N/A,TRUE,"Cash Flows"}</definedName>
    <definedName name="WBB" localSheetId="18" hidden="1">{#N/A,#N/A,TRUE,"Summary";#N/A,#N/A,TRUE,"Balance Sheet";#N/A,#N/A,TRUE,"P &amp; L";#N/A,#N/A,TRUE,"Fixed Assets";#N/A,#N/A,TRUE,"Cash Flows"}</definedName>
    <definedName name="WBB" localSheetId="16" hidden="1">{#N/A,#N/A,TRUE,"Summary";#N/A,#N/A,TRUE,"Balance Sheet";#N/A,#N/A,TRUE,"P &amp; L";#N/A,#N/A,TRUE,"Fixed Assets";#N/A,#N/A,TRUE,"Cash Flows"}</definedName>
    <definedName name="WBB" localSheetId="13" hidden="1">{#N/A,#N/A,TRUE,"Summary";#N/A,#N/A,TRUE,"Balance Sheet";#N/A,#N/A,TRUE,"P &amp; L";#N/A,#N/A,TRUE,"Fixed Assets";#N/A,#N/A,TRUE,"Cash Flows"}</definedName>
    <definedName name="WBB" localSheetId="12" hidden="1">{#N/A,#N/A,TRUE,"Summary";#N/A,#N/A,TRUE,"Balance Sheet";#N/A,#N/A,TRUE,"P &amp; L";#N/A,#N/A,TRUE,"Fixed Assets";#N/A,#N/A,TRUE,"Cash Flows"}</definedName>
    <definedName name="WBB" hidden="1">{#N/A,#N/A,TRUE,"Summary";#N/A,#N/A,TRUE,"Balance Sheet";#N/A,#N/A,TRUE,"P &amp; L";#N/A,#N/A,TRUE,"Fixed Assets";#N/A,#N/A,TRUE,"Cash Flows"}</definedName>
    <definedName name="WBBB" localSheetId="14" hidden="1">{#N/A,#N/A,FALSE,"Cash Flows";#N/A,#N/A,FALSE,"Fixed Assets";#N/A,#N/A,FALSE,"Balance Sheet";#N/A,#N/A,FALSE,"P &amp; L"}</definedName>
    <definedName name="WBBB" localSheetId="15" hidden="1">{#N/A,#N/A,FALSE,"Cash Flows";#N/A,#N/A,FALSE,"Fixed Assets";#N/A,#N/A,FALSE,"Balance Sheet";#N/A,#N/A,FALSE,"P &amp; L"}</definedName>
    <definedName name="WBBB" localSheetId="18" hidden="1">{#N/A,#N/A,FALSE,"Cash Flows";#N/A,#N/A,FALSE,"Fixed Assets";#N/A,#N/A,FALSE,"Balance Sheet";#N/A,#N/A,FALSE,"P &amp; L"}</definedName>
    <definedName name="WBBB" localSheetId="16" hidden="1">{#N/A,#N/A,FALSE,"Cash Flows";#N/A,#N/A,FALSE,"Fixed Assets";#N/A,#N/A,FALSE,"Balance Sheet";#N/A,#N/A,FALSE,"P &amp; L"}</definedName>
    <definedName name="WBBB" localSheetId="13" hidden="1">{#N/A,#N/A,FALSE,"Cash Flows";#N/A,#N/A,FALSE,"Fixed Assets";#N/A,#N/A,FALSE,"Balance Sheet";#N/A,#N/A,FALSE,"P &amp; L"}</definedName>
    <definedName name="WBBB" localSheetId="12" hidden="1">{#N/A,#N/A,FALSE,"Cash Flows";#N/A,#N/A,FALSE,"Fixed Assets";#N/A,#N/A,FALSE,"Balance Sheet";#N/A,#N/A,FALSE,"P &amp; L"}</definedName>
    <definedName name="WBBB" hidden="1">{#N/A,#N/A,FALSE,"Cash Flows";#N/A,#N/A,FALSE,"Fixed Assets";#N/A,#N/A,FALSE,"Balance Sheet";#N/A,#N/A,FALSE,"P &amp; L"}</definedName>
    <definedName name="WBBBBB" localSheetId="14" hidden="1">{#N/A,#N/A,TRUE,"Summary";#N/A,#N/A,TRUE,"Balance Sheet";#N/A,#N/A,TRUE,"P &amp; L";#N/A,#N/A,TRUE,"Fixed Assets";#N/A,#N/A,TRUE,"Cash Flows"}</definedName>
    <definedName name="WBBBBB" localSheetId="15" hidden="1">{#N/A,#N/A,TRUE,"Summary";#N/A,#N/A,TRUE,"Balance Sheet";#N/A,#N/A,TRUE,"P &amp; L";#N/A,#N/A,TRUE,"Fixed Assets";#N/A,#N/A,TRUE,"Cash Flows"}</definedName>
    <definedName name="WBBBBB" localSheetId="18" hidden="1">{#N/A,#N/A,TRUE,"Summary";#N/A,#N/A,TRUE,"Balance Sheet";#N/A,#N/A,TRUE,"P &amp; L";#N/A,#N/A,TRUE,"Fixed Assets";#N/A,#N/A,TRUE,"Cash Flows"}</definedName>
    <definedName name="WBBBBB" localSheetId="16" hidden="1">{#N/A,#N/A,TRUE,"Summary";#N/A,#N/A,TRUE,"Balance Sheet";#N/A,#N/A,TRUE,"P &amp; L";#N/A,#N/A,TRUE,"Fixed Assets";#N/A,#N/A,TRUE,"Cash Flows"}</definedName>
    <definedName name="WBBBBB" localSheetId="13" hidden="1">{#N/A,#N/A,TRUE,"Summary";#N/A,#N/A,TRUE,"Balance Sheet";#N/A,#N/A,TRUE,"P &amp; L";#N/A,#N/A,TRUE,"Fixed Assets";#N/A,#N/A,TRUE,"Cash Flows"}</definedName>
    <definedName name="WBBBBB" localSheetId="12" hidden="1">{#N/A,#N/A,TRUE,"Summary";#N/A,#N/A,TRUE,"Balance Sheet";#N/A,#N/A,TRUE,"P &amp; L";#N/A,#N/A,TRUE,"Fixed Assets";#N/A,#N/A,TRUE,"Cash Flows"}</definedName>
    <definedName name="WBBBBB" hidden="1">{#N/A,#N/A,TRUE,"Summary";#N/A,#N/A,TRUE,"Balance Sheet";#N/A,#N/A,TRUE,"P &amp; L";#N/A,#N/A,TRUE,"Fixed Assets";#N/A,#N/A,TRUE,"Cash Flows"}</definedName>
    <definedName name="WBBBBBB" localSheetId="14" hidden="1">{#N/A,#N/A,FALSE,"Cash Flows";#N/A,#N/A,FALSE,"Fixed Assets";#N/A,#N/A,FALSE,"Balance Sheet";#N/A,#N/A,FALSE,"P &amp; L"}</definedName>
    <definedName name="WBBBBBB" localSheetId="15" hidden="1">{#N/A,#N/A,FALSE,"Cash Flows";#N/A,#N/A,FALSE,"Fixed Assets";#N/A,#N/A,FALSE,"Balance Sheet";#N/A,#N/A,FALSE,"P &amp; L"}</definedName>
    <definedName name="WBBBBBB" localSheetId="18" hidden="1">{#N/A,#N/A,FALSE,"Cash Flows";#N/A,#N/A,FALSE,"Fixed Assets";#N/A,#N/A,FALSE,"Balance Sheet";#N/A,#N/A,FALSE,"P &amp; L"}</definedName>
    <definedName name="WBBBBBB" localSheetId="16" hidden="1">{#N/A,#N/A,FALSE,"Cash Flows";#N/A,#N/A,FALSE,"Fixed Assets";#N/A,#N/A,FALSE,"Balance Sheet";#N/A,#N/A,FALSE,"P &amp; L"}</definedName>
    <definedName name="WBBBBBB" localSheetId="13" hidden="1">{#N/A,#N/A,FALSE,"Cash Flows";#N/A,#N/A,FALSE,"Fixed Assets";#N/A,#N/A,FALSE,"Balance Sheet";#N/A,#N/A,FALSE,"P &amp; L"}</definedName>
    <definedName name="WBBBBBB" localSheetId="12" hidden="1">{#N/A,#N/A,FALSE,"Cash Flows";#N/A,#N/A,FALSE,"Fixed Assets";#N/A,#N/A,FALSE,"Balance Sheet";#N/A,#N/A,FALSE,"P &amp; L"}</definedName>
    <definedName name="WBBBBBB" hidden="1">{#N/A,#N/A,FALSE,"Cash Flows";#N/A,#N/A,FALSE,"Fixed Assets";#N/A,#N/A,FALSE,"Balance Sheet";#N/A,#N/A,FALSE,"P &amp; L"}</definedName>
    <definedName name="WBBBBBBB" localSheetId="14" hidden="1">{#N/A,#N/A,TRUE,"Summary";#N/A,#N/A,TRUE,"Balance Sheet";#N/A,#N/A,TRUE,"P &amp; L";#N/A,#N/A,TRUE,"Fixed Assets";#N/A,#N/A,TRUE,"Cash Flows"}</definedName>
    <definedName name="WBBBBBBB" localSheetId="15" hidden="1">{#N/A,#N/A,TRUE,"Summary";#N/A,#N/A,TRUE,"Balance Sheet";#N/A,#N/A,TRUE,"P &amp; L";#N/A,#N/A,TRUE,"Fixed Assets";#N/A,#N/A,TRUE,"Cash Flows"}</definedName>
    <definedName name="WBBBBBBB" localSheetId="18" hidden="1">{#N/A,#N/A,TRUE,"Summary";#N/A,#N/A,TRUE,"Balance Sheet";#N/A,#N/A,TRUE,"P &amp; L";#N/A,#N/A,TRUE,"Fixed Assets";#N/A,#N/A,TRUE,"Cash Flows"}</definedName>
    <definedName name="WBBBBBBB" localSheetId="16" hidden="1">{#N/A,#N/A,TRUE,"Summary";#N/A,#N/A,TRUE,"Balance Sheet";#N/A,#N/A,TRUE,"P &amp; L";#N/A,#N/A,TRUE,"Fixed Assets";#N/A,#N/A,TRUE,"Cash Flows"}</definedName>
    <definedName name="WBBBBBBB" localSheetId="13" hidden="1">{#N/A,#N/A,TRUE,"Summary";#N/A,#N/A,TRUE,"Balance Sheet";#N/A,#N/A,TRUE,"P &amp; L";#N/A,#N/A,TRUE,"Fixed Assets";#N/A,#N/A,TRUE,"Cash Flows"}</definedName>
    <definedName name="WBBBBBBB" localSheetId="12" hidden="1">{#N/A,#N/A,TRUE,"Summary";#N/A,#N/A,TRUE,"Balance Sheet";#N/A,#N/A,TRUE,"P &amp; L";#N/A,#N/A,TRUE,"Fixed Assets";#N/A,#N/A,TRUE,"Cash Flows"}</definedName>
    <definedName name="WBBBBBBB" hidden="1">{#N/A,#N/A,TRUE,"Summary";#N/A,#N/A,TRUE,"Balance Sheet";#N/A,#N/A,TRUE,"P &amp; L";#N/A,#N/A,TRUE,"Fixed Assets";#N/A,#N/A,TRUE,"Cash Flows"}</definedName>
    <definedName name="WBBBBCCC" localSheetId="14" hidden="1">{#N/A,#N/A,FALSE,"Cash Flows";#N/A,#N/A,FALSE,"Fixed Assets";#N/A,#N/A,FALSE,"Balance Sheet";#N/A,#N/A,FALSE,"P &amp; L"}</definedName>
    <definedName name="WBBBBCCC" localSheetId="15" hidden="1">{#N/A,#N/A,FALSE,"Cash Flows";#N/A,#N/A,FALSE,"Fixed Assets";#N/A,#N/A,FALSE,"Balance Sheet";#N/A,#N/A,FALSE,"P &amp; L"}</definedName>
    <definedName name="WBBBBCCC" localSheetId="18" hidden="1">{#N/A,#N/A,FALSE,"Cash Flows";#N/A,#N/A,FALSE,"Fixed Assets";#N/A,#N/A,FALSE,"Balance Sheet";#N/A,#N/A,FALSE,"P &amp; L"}</definedName>
    <definedName name="WBBBBCCC" localSheetId="16" hidden="1">{#N/A,#N/A,FALSE,"Cash Flows";#N/A,#N/A,FALSE,"Fixed Assets";#N/A,#N/A,FALSE,"Balance Sheet";#N/A,#N/A,FALSE,"P &amp; L"}</definedName>
    <definedName name="WBBBBCCC" localSheetId="13" hidden="1">{#N/A,#N/A,FALSE,"Cash Flows";#N/A,#N/A,FALSE,"Fixed Assets";#N/A,#N/A,FALSE,"Balance Sheet";#N/A,#N/A,FALSE,"P &amp; L"}</definedName>
    <definedName name="WBBBBCCC" localSheetId="12" hidden="1">{#N/A,#N/A,FALSE,"Cash Flows";#N/A,#N/A,FALSE,"Fixed Assets";#N/A,#N/A,FALSE,"Balance Sheet";#N/A,#N/A,FALSE,"P &amp; L"}</definedName>
    <definedName name="WBBBBCCC" hidden="1">{#N/A,#N/A,FALSE,"Cash Flows";#N/A,#N/A,FALSE,"Fixed Assets";#N/A,#N/A,FALSE,"Balance Sheet";#N/A,#N/A,FALSE,"P &amp; L"}</definedName>
    <definedName name="WC" localSheetId="18">#REF!</definedName>
    <definedName name="WC" localSheetId="16">#REF!</definedName>
    <definedName name="WC" localSheetId="13">#REF!</definedName>
    <definedName name="WC" localSheetId="12">#REF!</definedName>
    <definedName name="WC">#REF!</definedName>
    <definedName name="WDV" localSheetId="18">#REF!</definedName>
    <definedName name="WDV" localSheetId="16">#REF!</definedName>
    <definedName name="WDV" localSheetId="13">#REF!</definedName>
    <definedName name="WDV" localSheetId="12">#REF!</definedName>
    <definedName name="WDV">#REF!</definedName>
    <definedName name="wealth_tax" localSheetId="18">#REF!</definedName>
    <definedName name="wealth_tax" localSheetId="16">#REF!</definedName>
    <definedName name="wealth_tax" localSheetId="13">#REF!</definedName>
    <definedName name="wealth_tax" localSheetId="12">#REF!</definedName>
    <definedName name="wealth_tax">#REF!</definedName>
    <definedName name="WETFGW" localSheetId="14" hidden="1">{#N/A,#N/A,FALSE,"FINAL"}</definedName>
    <definedName name="WETFGW" localSheetId="15" hidden="1">{#N/A,#N/A,FALSE,"FINAL"}</definedName>
    <definedName name="WETFGW" localSheetId="18" hidden="1">{#N/A,#N/A,FALSE,"FINAL"}</definedName>
    <definedName name="WETFGW" localSheetId="16" hidden="1">{#N/A,#N/A,FALSE,"FINAL"}</definedName>
    <definedName name="WETFGW" localSheetId="13" hidden="1">{#N/A,#N/A,FALSE,"FINAL"}</definedName>
    <definedName name="WETFGW" localSheetId="12" hidden="1">{#N/A,#N/A,FALSE,"FINAL"}</definedName>
    <definedName name="WETFGW" hidden="1">{#N/A,#N/A,FALSE,"FINAL"}</definedName>
    <definedName name="WORDS" localSheetId="18">#REF!</definedName>
    <definedName name="WORDS" localSheetId="13">#REF!</definedName>
    <definedName name="WORDS">#REF!</definedName>
    <definedName name="working" localSheetId="14" hidden="1">{#N/A,#N/A,FALSE,"COMP"}</definedName>
    <definedName name="working" localSheetId="15" hidden="1">{#N/A,#N/A,FALSE,"COMP"}</definedName>
    <definedName name="working" localSheetId="18" hidden="1">{#N/A,#N/A,FALSE,"COMP"}</definedName>
    <definedName name="working" localSheetId="16" hidden="1">{#N/A,#N/A,FALSE,"COMP"}</definedName>
    <definedName name="working" localSheetId="13" hidden="1">{#N/A,#N/A,FALSE,"COMP"}</definedName>
    <definedName name="working" localSheetId="12" hidden="1">{#N/A,#N/A,FALSE,"COMP"}</definedName>
    <definedName name="working" hidden="1">{#N/A,#N/A,FALSE,"COMP"}</definedName>
    <definedName name="worksheet" localSheetId="14" hidden="1">{#N/A,#N/A,FALSE,"COMP"}</definedName>
    <definedName name="worksheet" localSheetId="15" hidden="1">{#N/A,#N/A,FALSE,"COMP"}</definedName>
    <definedName name="worksheet" localSheetId="18" hidden="1">{#N/A,#N/A,FALSE,"COMP"}</definedName>
    <definedName name="worksheet" localSheetId="16" hidden="1">{#N/A,#N/A,FALSE,"COMP"}</definedName>
    <definedName name="worksheet" localSheetId="13" hidden="1">{#N/A,#N/A,FALSE,"COMP"}</definedName>
    <definedName name="worksheet" localSheetId="12" hidden="1">{#N/A,#N/A,FALSE,"COMP"}</definedName>
    <definedName name="worksheet" hidden="1">{#N/A,#N/A,FALSE,"COMP"}</definedName>
    <definedName name="WorksheetNames" localSheetId="18">#REF!</definedName>
    <definedName name="WorksheetNames" localSheetId="16">#REF!</definedName>
    <definedName name="WorksheetNames" localSheetId="13">#REF!</definedName>
    <definedName name="WorksheetNames" localSheetId="12">#REF!</definedName>
    <definedName name="WorksheetNames">#REF!</definedName>
    <definedName name="wr" localSheetId="14" hidden="1">{#N/A,#N/A,FALSE,"COMP"}</definedName>
    <definedName name="wr" localSheetId="15" hidden="1">{#N/A,#N/A,FALSE,"COMP"}</definedName>
    <definedName name="wr" localSheetId="18" hidden="1">{#N/A,#N/A,FALSE,"COMP"}</definedName>
    <definedName name="wr" localSheetId="16" hidden="1">{#N/A,#N/A,FALSE,"COMP"}</definedName>
    <definedName name="wr" localSheetId="13" hidden="1">{#N/A,#N/A,FALSE,"COMP"}</definedName>
    <definedName name="wr" localSheetId="12" hidden="1">{#N/A,#N/A,FALSE,"COMP"}</definedName>
    <definedName name="wr" hidden="1">{#N/A,#N/A,FALSE,"COMP"}</definedName>
    <definedName name="wre"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wre"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wre"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wre"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wre"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wre"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wre" hidden="1">{#N/A,#N/A,TRUE,"CONTENTS";#N/A,#N/A,TRUE,"M2";#N/A,#N/A,TRUE,"M2a";#N/A,#N/A,TRUE,"M2b";#N/A,#N/A,TRUE,"M3";#N/A,#N/A,TRUE,"M3a";#N/A,#N/A,TRUE,"M4-H";#N/A,#N/A,TRUE,"M4-P";#N/A,#N/A,TRUE,"M4a";#N/A,#N/A,TRUE,"M4b";#N/A,#N/A,TRUE,"M4c";#N/A,#N/A,TRUE,"M5";#N/A,#N/A,TRUE,"M6";#N/A,#N/A,TRUE,"M7";#N/A,#N/A,TRUE,"M8";#N/A,#N/A,TRUE,"M9";#N/A,#N/A,TRUE,"M10";#N/A,#N/A,TRUE,"M11";#N/A,#N/A,TRUE,"M13";#N/A,#N/A,TRUE,"M14";#N/A,#N/A,TRUE,"M15";#N/A,#N/A,TRUE,"K1"}</definedName>
    <definedName name="WRI" localSheetId="14" hidden="1">{#N/A,#N/A,FALSE,"COMP"}</definedName>
    <definedName name="WRI" localSheetId="15" hidden="1">{#N/A,#N/A,FALSE,"COMP"}</definedName>
    <definedName name="WRI" localSheetId="18" hidden="1">{#N/A,#N/A,FALSE,"COMP"}</definedName>
    <definedName name="WRI" localSheetId="16" hidden="1">{#N/A,#N/A,FALSE,"COMP"}</definedName>
    <definedName name="WRI" localSheetId="13" hidden="1">{#N/A,#N/A,FALSE,"COMP"}</definedName>
    <definedName name="WRI" localSheetId="12" hidden="1">{#N/A,#N/A,FALSE,"COMP"}</definedName>
    <definedName name="WRI" hidden="1">{#N/A,#N/A,FALSE,"COMP"}</definedName>
    <definedName name="wrm" localSheetId="14" hidden="1">{"SchL1",#N/A,FALSE,"Schedules";"SchL2",#N/A,FALSE,"Schedules"}</definedName>
    <definedName name="wrm" localSheetId="15" hidden="1">{"SchL1",#N/A,FALSE,"Schedules";"SchL2",#N/A,FALSE,"Schedules"}</definedName>
    <definedName name="wrm" localSheetId="18" hidden="1">{"SchL1",#N/A,FALSE,"Schedules";"SchL2",#N/A,FALSE,"Schedules"}</definedName>
    <definedName name="wrm" localSheetId="16" hidden="1">{"SchL1",#N/A,FALSE,"Schedules";"SchL2",#N/A,FALSE,"Schedules"}</definedName>
    <definedName name="wrm" localSheetId="13" hidden="1">{"SchL1",#N/A,FALSE,"Schedules";"SchL2",#N/A,FALSE,"Schedules"}</definedName>
    <definedName name="wrm" localSheetId="12" hidden="1">{"SchL1",#N/A,FALSE,"Schedules";"SchL2",#N/A,FALSE,"Schedules"}</definedName>
    <definedName name="wrm" hidden="1">{"SchL1",#N/A,FALSE,"Schedules";"SchL2",#N/A,FALSE,"Schedules"}</definedName>
    <definedName name="wrn.Aging._.and._.Trend._.Analysis." localSheetId="14"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B." localSheetId="14" hidden="1">{"P1",#N/A,TRUE,"P1";"P2",#N/A,TRUE,"P2"}</definedName>
    <definedName name="wrn.BB." localSheetId="15" hidden="1">{"P1",#N/A,TRUE,"P1";"P2",#N/A,TRUE,"P2"}</definedName>
    <definedName name="wrn.BB." localSheetId="18" hidden="1">{"P1",#N/A,TRUE,"P1";"P2",#N/A,TRUE,"P2"}</definedName>
    <definedName name="wrn.BB." localSheetId="16" hidden="1">{"P1",#N/A,TRUE,"P1";"P2",#N/A,TRUE,"P2"}</definedName>
    <definedName name="wrn.BB." localSheetId="13" hidden="1">{"P1",#N/A,TRUE,"P1";"P2",#N/A,TRUE,"P2"}</definedName>
    <definedName name="wrn.BB." localSheetId="12" hidden="1">{"P1",#N/A,TRUE,"P1";"P2",#N/A,TRUE,"P2"}</definedName>
    <definedName name="wrn.BB." hidden="1">{"P1",#N/A,TRUE,"P1";"P2",#N/A,TRUE,"P2"}</definedName>
    <definedName name="wrn.brief" localSheetId="14" hidden="1">{#N/A,#N/A,TRUE,"Summary";#N/A,#N/A,TRUE,"Balance Sheet";#N/A,#N/A,TRUE,"P &amp; L";#N/A,#N/A,TRUE,"Fixed Assets";#N/A,#N/A,TRUE,"Cash Flows"}</definedName>
    <definedName name="wrn.brief" localSheetId="15" hidden="1">{#N/A,#N/A,TRUE,"Summary";#N/A,#N/A,TRUE,"Balance Sheet";#N/A,#N/A,TRUE,"P &amp; L";#N/A,#N/A,TRUE,"Fixed Assets";#N/A,#N/A,TRUE,"Cash Flows"}</definedName>
    <definedName name="wrn.brief" localSheetId="18" hidden="1">{#N/A,#N/A,TRUE,"Summary";#N/A,#N/A,TRUE,"Balance Sheet";#N/A,#N/A,TRUE,"P &amp; L";#N/A,#N/A,TRUE,"Fixed Assets";#N/A,#N/A,TRUE,"Cash Flows"}</definedName>
    <definedName name="wrn.brief" localSheetId="16" hidden="1">{#N/A,#N/A,TRUE,"Summary";#N/A,#N/A,TRUE,"Balance Sheet";#N/A,#N/A,TRUE,"P &amp; L";#N/A,#N/A,TRUE,"Fixed Assets";#N/A,#N/A,TRUE,"Cash Flows"}</definedName>
    <definedName name="wrn.brief" localSheetId="13" hidden="1">{#N/A,#N/A,TRUE,"Summary";#N/A,#N/A,TRUE,"Balance Sheet";#N/A,#N/A,TRUE,"P &amp; L";#N/A,#N/A,TRUE,"Fixed Assets";#N/A,#N/A,TRUE,"Cash Flows"}</definedName>
    <definedName name="wrn.brief" localSheetId="12" hidden="1">{#N/A,#N/A,TRUE,"Summary";#N/A,#N/A,TRUE,"Balance Sheet";#N/A,#N/A,TRUE,"P &amp; L";#N/A,#N/A,TRUE,"Fixed Assets";#N/A,#N/A,TRUE,"Cash Flows"}</definedName>
    <definedName name="wrn.brief" hidden="1">{#N/A,#N/A,TRUE,"Summary";#N/A,#N/A,TRUE,"Balance Sheet";#N/A,#N/A,TRUE,"P &amp; L";#N/A,#N/A,TRUE,"Fixed Assets";#N/A,#N/A,TRUE,"Cash Flows"}</definedName>
    <definedName name="wrn.Brief." localSheetId="14" hidden="1">{#N/A,#N/A,TRUE,"Summary";#N/A,#N/A,TRUE,"Balance Sheet";#N/A,#N/A,TRUE,"P &amp; L";#N/A,#N/A,TRUE,"Fixed Assets";#N/A,#N/A,TRUE,"Cash Flows"}</definedName>
    <definedName name="wrn.Brief." localSheetId="15" hidden="1">{#N/A,#N/A,TRUE,"Summary";#N/A,#N/A,TRUE,"Balance Sheet";#N/A,#N/A,TRUE,"P &amp; L";#N/A,#N/A,TRUE,"Fixed Assets";#N/A,#N/A,TRUE,"Cash Flows"}</definedName>
    <definedName name="wrn.Brief." localSheetId="18" hidden="1">{#N/A,#N/A,TRUE,"Summary";#N/A,#N/A,TRUE,"Balance Sheet";#N/A,#N/A,TRUE,"P &amp; L";#N/A,#N/A,TRUE,"Fixed Assets";#N/A,#N/A,TRUE,"Cash Flows"}</definedName>
    <definedName name="wrn.Brief." localSheetId="16" hidden="1">{#N/A,#N/A,TRUE,"Summary";#N/A,#N/A,TRUE,"Balance Sheet";#N/A,#N/A,TRUE,"P &amp; L";#N/A,#N/A,TRUE,"Fixed Assets";#N/A,#N/A,TRUE,"Cash Flows"}</definedName>
    <definedName name="wrn.Brief." localSheetId="13" hidden="1">{#N/A,#N/A,TRUE,"Summary";#N/A,#N/A,TRUE,"Balance Sheet";#N/A,#N/A,TRUE,"P &amp; L";#N/A,#N/A,TRUE,"Fixed Assets";#N/A,#N/A,TRUE,"Cash Flows"}</definedName>
    <definedName name="wrn.Brief." localSheetId="12" hidden="1">{#N/A,#N/A,TRUE,"Summary";#N/A,#N/A,TRUE,"Balance Sheet";#N/A,#N/A,TRUE,"P &amp; L";#N/A,#N/A,TRUE,"Fixed Assets";#N/A,#N/A,TRUE,"Cash Flows"}</definedName>
    <definedName name="wrn.Brief." hidden="1">{#N/A,#N/A,TRUE,"Summary";#N/A,#N/A,TRUE,"Balance Sheet";#N/A,#N/A,TRUE,"P &amp; L";#N/A,#N/A,TRUE,"Fixed Assets";#N/A,#N/A,TRUE,"Cash Flows"}</definedName>
    <definedName name="wrn.ela" localSheetId="14" hidden="1">{#N/A,#N/A,FALSE,"Cash Flows";#N/A,#N/A,FALSE,"Fixed Assets";#N/A,#N/A,FALSE,"Balance Sheet";#N/A,#N/A,FALSE,"P &amp; L"}</definedName>
    <definedName name="wrn.ela" localSheetId="15" hidden="1">{#N/A,#N/A,FALSE,"Cash Flows";#N/A,#N/A,FALSE,"Fixed Assets";#N/A,#N/A,FALSE,"Balance Sheet";#N/A,#N/A,FALSE,"P &amp; L"}</definedName>
    <definedName name="wrn.ela" localSheetId="18" hidden="1">{#N/A,#N/A,FALSE,"Cash Flows";#N/A,#N/A,FALSE,"Fixed Assets";#N/A,#N/A,FALSE,"Balance Sheet";#N/A,#N/A,FALSE,"P &amp; L"}</definedName>
    <definedName name="wrn.ela" localSheetId="16" hidden="1">{#N/A,#N/A,FALSE,"Cash Flows";#N/A,#N/A,FALSE,"Fixed Assets";#N/A,#N/A,FALSE,"Balance Sheet";#N/A,#N/A,FALSE,"P &amp; L"}</definedName>
    <definedName name="wrn.ela" localSheetId="13" hidden="1">{#N/A,#N/A,FALSE,"Cash Flows";#N/A,#N/A,FALSE,"Fixed Assets";#N/A,#N/A,FALSE,"Balance Sheet";#N/A,#N/A,FALSE,"P &amp; L"}</definedName>
    <definedName name="wrn.ela" localSheetId="12" hidden="1">{#N/A,#N/A,FALSE,"Cash Flows";#N/A,#N/A,FALSE,"Fixed Assets";#N/A,#N/A,FALSE,"Balance Sheet";#N/A,#N/A,FALSE,"P &amp; L"}</definedName>
    <definedName name="wrn.ela" hidden="1">{#N/A,#N/A,FALSE,"Cash Flows";#N/A,#N/A,FALSE,"Fixed Assets";#N/A,#N/A,FALSE,"Balance Sheet";#N/A,#N/A,FALSE,"P &amp; L"}</definedName>
    <definedName name="wrn.elaborate" localSheetId="14" hidden="1">{#N/A,#N/A,FALSE,"Cash Flows";#N/A,#N/A,FALSE,"Fixed Assets";#N/A,#N/A,FALSE,"Balance Sheet";#N/A,#N/A,FALSE,"P &amp; L"}</definedName>
    <definedName name="wrn.elaborate" localSheetId="15" hidden="1">{#N/A,#N/A,FALSE,"Cash Flows";#N/A,#N/A,FALSE,"Fixed Assets";#N/A,#N/A,FALSE,"Balance Sheet";#N/A,#N/A,FALSE,"P &amp; L"}</definedName>
    <definedName name="wrn.elaborate" localSheetId="18" hidden="1">{#N/A,#N/A,FALSE,"Cash Flows";#N/A,#N/A,FALSE,"Fixed Assets";#N/A,#N/A,FALSE,"Balance Sheet";#N/A,#N/A,FALSE,"P &amp; L"}</definedName>
    <definedName name="wrn.elaborate" localSheetId="16" hidden="1">{#N/A,#N/A,FALSE,"Cash Flows";#N/A,#N/A,FALSE,"Fixed Assets";#N/A,#N/A,FALSE,"Balance Sheet";#N/A,#N/A,FALSE,"P &amp; L"}</definedName>
    <definedName name="wrn.elaborate" localSheetId="13" hidden="1">{#N/A,#N/A,FALSE,"Cash Flows";#N/A,#N/A,FALSE,"Fixed Assets";#N/A,#N/A,FALSE,"Balance Sheet";#N/A,#N/A,FALSE,"P &amp; L"}</definedName>
    <definedName name="wrn.elaborate" localSheetId="12" hidden="1">{#N/A,#N/A,FALSE,"Cash Flows";#N/A,#N/A,FALSE,"Fixed Assets";#N/A,#N/A,FALSE,"Balance Sheet";#N/A,#N/A,FALSE,"P &amp; L"}</definedName>
    <definedName name="wrn.elaborate" hidden="1">{#N/A,#N/A,FALSE,"Cash Flows";#N/A,#N/A,FALSE,"Fixed Assets";#N/A,#N/A,FALSE,"Balance Sheet";#N/A,#N/A,FALSE,"P &amp; L"}</definedName>
    <definedName name="wrn.Elaborate." localSheetId="14" hidden="1">{#N/A,#N/A,FALSE,"Cash Flows";#N/A,#N/A,FALSE,"Fixed Assets";#N/A,#N/A,FALSE,"Balance Sheet";#N/A,#N/A,FALSE,"P &amp; L"}</definedName>
    <definedName name="wrn.Elaborate." localSheetId="15" hidden="1">{#N/A,#N/A,FALSE,"Cash Flows";#N/A,#N/A,FALSE,"Fixed Assets";#N/A,#N/A,FALSE,"Balance Sheet";#N/A,#N/A,FALSE,"P &amp; L"}</definedName>
    <definedName name="wrn.Elaborate." localSheetId="18" hidden="1">{#N/A,#N/A,FALSE,"Cash Flows";#N/A,#N/A,FALSE,"Fixed Assets";#N/A,#N/A,FALSE,"Balance Sheet";#N/A,#N/A,FALSE,"P &amp; L"}</definedName>
    <definedName name="wrn.Elaborate." localSheetId="16" hidden="1">{#N/A,#N/A,FALSE,"Cash Flows";#N/A,#N/A,FALSE,"Fixed Assets";#N/A,#N/A,FALSE,"Balance Sheet";#N/A,#N/A,FALSE,"P &amp; L"}</definedName>
    <definedName name="wrn.Elaborate." localSheetId="13" hidden="1">{#N/A,#N/A,FALSE,"Cash Flows";#N/A,#N/A,FALSE,"Fixed Assets";#N/A,#N/A,FALSE,"Balance Sheet";#N/A,#N/A,FALSE,"P &amp; L"}</definedName>
    <definedName name="wrn.Elaborate." localSheetId="12" hidden="1">{#N/A,#N/A,FALSE,"Cash Flows";#N/A,#N/A,FALSE,"Fixed Assets";#N/A,#N/A,FALSE,"Balance Sheet";#N/A,#N/A,FALSE,"P &amp; L"}</definedName>
    <definedName name="wrn.Elaborate." hidden="1">{#N/A,#N/A,FALSE,"Cash Flows";#N/A,#N/A,FALSE,"Fixed Assets";#N/A,#N/A,FALSE,"Balance Sheet";#N/A,#N/A,FALSE,"P &amp; L"}</definedName>
    <definedName name="wrn.fc." localSheetId="14" hidden="1">{"letter",#N/A,FALSE,"Letter";"amort",#N/A,FALSE,"Amort"}</definedName>
    <definedName name="wrn.fc." localSheetId="15" hidden="1">{"letter",#N/A,FALSE,"Letter";"amort",#N/A,FALSE,"Amort"}</definedName>
    <definedName name="wrn.fc." localSheetId="18" hidden="1">{"letter",#N/A,FALSE,"Letter";"amort",#N/A,FALSE,"Amort"}</definedName>
    <definedName name="wrn.fc." localSheetId="16" hidden="1">{"letter",#N/A,FALSE,"Letter";"amort",#N/A,FALSE,"Amort"}</definedName>
    <definedName name="wrn.fc." localSheetId="13" hidden="1">{"letter",#N/A,FALSE,"Letter";"amort",#N/A,FALSE,"Amort"}</definedName>
    <definedName name="wrn.fc." localSheetId="12" hidden="1">{"letter",#N/A,FALSE,"Letter";"amort",#N/A,FALSE,"Amort"}</definedName>
    <definedName name="wrn.fc." hidden="1">{"letter",#N/A,FALSE,"Letter";"amort",#N/A,FALSE,"Amort"}</definedName>
    <definedName name="wrn.Fixed._.Assets." localSheetId="14" hidden="1">{"Sch c",#N/A,FALSE,"Accounts"}</definedName>
    <definedName name="wrn.Fixed._.Assets." localSheetId="15" hidden="1">{"Sch c",#N/A,FALSE,"Accounts"}</definedName>
    <definedName name="wrn.Fixed._.Assets." localSheetId="18" hidden="1">{"Sch c",#N/A,FALSE,"Accounts"}</definedName>
    <definedName name="wrn.Fixed._.Assets." localSheetId="16" hidden="1">{"Sch c",#N/A,FALSE,"Accounts"}</definedName>
    <definedName name="wrn.Fixed._.Assets." localSheetId="13" hidden="1">{"Sch c",#N/A,FALSE,"Accounts"}</definedName>
    <definedName name="wrn.Fixed._.Assets." localSheetId="12" hidden="1">{"Sch c",#N/A,FALSE,"Accounts"}</definedName>
    <definedName name="wrn.Fixed._.Assets." hidden="1">{"Sch c",#N/A,FALSE,"Accounts"}</definedName>
    <definedName name="wrn.FORM1." localSheetId="14" hidden="1">{#N/A,#N/A,FALSE,"COMP"}</definedName>
    <definedName name="wrn.FORM1." localSheetId="15" hidden="1">{#N/A,#N/A,FALSE,"COMP"}</definedName>
    <definedName name="wrn.FORM1." localSheetId="18" hidden="1">{#N/A,#N/A,FALSE,"COMP"}</definedName>
    <definedName name="wrn.FORM1." localSheetId="16" hidden="1">{#N/A,#N/A,FALSE,"COMP"}</definedName>
    <definedName name="wrn.FORM1." localSheetId="13" hidden="1">{#N/A,#N/A,FALSE,"COMP"}</definedName>
    <definedName name="wrn.FORM1." localSheetId="12" hidden="1">{#N/A,#N/A,FALSE,"COMP"}</definedName>
    <definedName name="wrn.FORM1." hidden="1">{#N/A,#N/A,FALSE,"COMP"}</definedName>
    <definedName name="wrn.imprim." localSheetId="1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8"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2"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NCOME." localSheetId="14" hidden="1">{#N/A,#N/A,FALSE,"FINAL"}</definedName>
    <definedName name="WRN.INCOME." localSheetId="15" hidden="1">{#N/A,#N/A,FALSE,"FINAL"}</definedName>
    <definedName name="WRN.INCOME." localSheetId="18" hidden="1">{#N/A,#N/A,FALSE,"FINAL"}</definedName>
    <definedName name="WRN.INCOME." localSheetId="16" hidden="1">{#N/A,#N/A,FALSE,"FINAL"}</definedName>
    <definedName name="WRN.INCOME." localSheetId="13" hidden="1">{#N/A,#N/A,FALSE,"FINAL"}</definedName>
    <definedName name="WRN.INCOME." localSheetId="12" hidden="1">{#N/A,#N/A,FALSE,"FINAL"}</definedName>
    <definedName name="WRN.INCOME." hidden="1">{#N/A,#N/A,FALSE,"FINAL"}</definedName>
    <definedName name="wrn.INCOME1." localSheetId="14" hidden="1">{#N/A,#N/A,FALSE,"FINAL"}</definedName>
    <definedName name="wrn.INCOME1." localSheetId="15" hidden="1">{#N/A,#N/A,FALSE,"FINAL"}</definedName>
    <definedName name="wrn.INCOME1." localSheetId="18" hidden="1">{#N/A,#N/A,FALSE,"FINAL"}</definedName>
    <definedName name="wrn.INCOME1." localSheetId="16" hidden="1">{#N/A,#N/A,FALSE,"FINAL"}</definedName>
    <definedName name="wrn.INCOME1." localSheetId="13" hidden="1">{#N/A,#N/A,FALSE,"FINAL"}</definedName>
    <definedName name="wrn.INCOME1." localSheetId="12" hidden="1">{#N/A,#N/A,FALSE,"FINAL"}</definedName>
    <definedName name="wrn.INCOME1." hidden="1">{#N/A,#N/A,FALSE,"FINAL"}</definedName>
    <definedName name="wrn.income2" localSheetId="14" hidden="1">{#N/A,#N/A,FALSE,"FINAL"}</definedName>
    <definedName name="wrn.income2" localSheetId="15" hidden="1">{#N/A,#N/A,FALSE,"FINAL"}</definedName>
    <definedName name="wrn.income2" localSheetId="18" hidden="1">{#N/A,#N/A,FALSE,"FINAL"}</definedName>
    <definedName name="wrn.income2" localSheetId="16" hidden="1">{#N/A,#N/A,FALSE,"FINAL"}</definedName>
    <definedName name="wrn.income2" localSheetId="13" hidden="1">{#N/A,#N/A,FALSE,"FINAL"}</definedName>
    <definedName name="wrn.income2" localSheetId="12" hidden="1">{#N/A,#N/A,FALSE,"FINAL"}</definedName>
    <definedName name="wrn.income2" hidden="1">{#N/A,#N/A,FALSE,"FINAL"}</definedName>
    <definedName name="wrn.INCOME2." localSheetId="14" hidden="1">{#N/A,#N/A,FALSE,"FINAL"}</definedName>
    <definedName name="wrn.INCOME2." localSheetId="15" hidden="1">{#N/A,#N/A,FALSE,"FINAL"}</definedName>
    <definedName name="wrn.INCOME2." localSheetId="18" hidden="1">{#N/A,#N/A,FALSE,"FINAL"}</definedName>
    <definedName name="wrn.INCOME2." localSheetId="16" hidden="1">{#N/A,#N/A,FALSE,"FINAL"}</definedName>
    <definedName name="wrn.INCOME2." localSheetId="13" hidden="1">{#N/A,#N/A,FALSE,"FINAL"}</definedName>
    <definedName name="wrn.INCOME2." localSheetId="12" hidden="1">{#N/A,#N/A,FALSE,"FINAL"}</definedName>
    <definedName name="wrn.INCOME2." hidden="1">{#N/A,#N/A,FALSE,"FINAL"}</definedName>
    <definedName name="WRN.INCOME3." localSheetId="14" hidden="1">{#N/A,#N/A,FALSE,"FINAL"}</definedName>
    <definedName name="WRN.INCOME3." localSheetId="15" hidden="1">{#N/A,#N/A,FALSE,"FINAL"}</definedName>
    <definedName name="WRN.INCOME3." localSheetId="18" hidden="1">{#N/A,#N/A,FALSE,"FINAL"}</definedName>
    <definedName name="WRN.INCOME3." localSheetId="16" hidden="1">{#N/A,#N/A,FALSE,"FINAL"}</definedName>
    <definedName name="WRN.INCOME3." localSheetId="13" hidden="1">{#N/A,#N/A,FALSE,"FINAL"}</definedName>
    <definedName name="WRN.INCOME3." localSheetId="12" hidden="1">{#N/A,#N/A,FALSE,"FINAL"}</definedName>
    <definedName name="WRN.INCOME3." hidden="1">{#N/A,#N/A,FALSE,"FINAL"}</definedName>
    <definedName name="WRN.INCOME4" localSheetId="14" hidden="1">{#N/A,#N/A,FALSE,"FINAL"}</definedName>
    <definedName name="WRN.INCOME4" localSheetId="15" hidden="1">{#N/A,#N/A,FALSE,"FINAL"}</definedName>
    <definedName name="WRN.INCOME4" localSheetId="18" hidden="1">{#N/A,#N/A,FALSE,"FINAL"}</definedName>
    <definedName name="WRN.INCOME4" localSheetId="16" hidden="1">{#N/A,#N/A,FALSE,"FINAL"}</definedName>
    <definedName name="WRN.INCOME4" localSheetId="13" hidden="1">{#N/A,#N/A,FALSE,"FINAL"}</definedName>
    <definedName name="WRN.INCOME4" localSheetId="12" hidden="1">{#N/A,#N/A,FALSE,"FINAL"}</definedName>
    <definedName name="WRN.INCOME4" hidden="1">{#N/A,#N/A,FALSE,"FINAL"}</definedName>
    <definedName name="wrn.MARK98FULL.1"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98FULL.1"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4"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5"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8"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6"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3"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localSheetId="12"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FULL.1" hidden="1">{#N/A,#N/A,TRUE,"CONTENTS";#N/A,#N/A,TRUE,"M2";#N/A,#N/A,TRUE,"M2a";#N/A,#N/A,TRUE,"M2b";#N/A,#N/A,TRUE,"M3";#N/A,#N/A,TRUE,"M3a";#N/A,#N/A,TRUE,"M4-H";#N/A,#N/A,TRUE,"M4-P";#N/A,#N/A,TRUE,"M4a";#N/A,#N/A,TRUE,"M4b";#N/A,#N/A,TRUE,"M4c";#N/A,#N/A,TRUE,"M5";#N/A,#N/A,TRUE,"M6";#N/A,#N/A,TRUE,"M7";#N/A,#N/A,TRUE,"M8";#N/A,#N/A,TRUE,"M9";#N/A,#N/A,TRUE,"M10";#N/A,#N/A,TRUE,"M11";#N/A,#N/A,TRUE,"M13";#N/A,#N/A,TRUE,"M14";#N/A,#N/A,TRUE,"M15";#N/A,#N/A,TRUE,"K1"}</definedName>
    <definedName name="wrn.MARKF98H." localSheetId="14"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localSheetId="15"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localSheetId="18"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localSheetId="16"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localSheetId="13"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localSheetId="12"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H." hidden="1">{#N/A,#N/A,FALSE,"CONTENTS";#N/A,#N/A,FALSE,"M2";#N/A,#N/A,FALSE,"M2a";#N/A,#N/A,FALSE,"M2b";#N/A,#N/A,FALSE,"M3";#N/A,#N/A,FALSE,"M3a";#N/A,#N/A,FALSE,"M4-H";#N/A,#N/A,FALSE,"M4a";#N/A,#N/A,FALSE,"M4b";#N/A,#N/A,FALSE,"M4c";#N/A,#N/A,FALSE,"M5";#N/A,#N/A,FALSE,"M6";#N/A,#N/A,FALSE,"M7";#N/A,#N/A,FALSE,"M8";#N/A,#N/A,FALSE,"M9";#N/A,#N/A,FALSE,"M10";#N/A,#N/A,FALSE,"M11";#N/A,#N/A,FALSE,"M13";#N/A,#N/A,FALSE,"M14";#N/A,#N/A,FALSE,"M15";#N/A,#N/A,FALSE,"K1"}</definedName>
    <definedName name="wrn.MARKF98P." localSheetId="14" hidden="1">{#N/A,#N/A,TRUE,"CONTENTS";#N/A,#N/A,TRUE,"M2";#N/A,#N/A,TRUE,"M2a";#N/A,#N/A,TRUE,"M2b";#N/A,#N/A,TRUE,"M3";#N/A,#N/A,TRUE,"M3a";#N/A,#N/A,TRUE,"M4-P";#N/A,#N/A,TRUE,"M5";#N/A,#N/A,TRUE,"M6";#N/A,#N/A,TRUE,"M7";#N/A,#N/A,TRUE,"M8";#N/A,#N/A,TRUE,"M9";#N/A,#N/A,TRUE,"M10";#N/A,#N/A,TRUE,"M11";#N/A,#N/A,TRUE,"M13";#N/A,#N/A,TRUE,"M14";#N/A,#N/A,TRUE,"M15";#N/A,#N/A,TRUE,"K1"}</definedName>
    <definedName name="wrn.MARKF98P." localSheetId="15" hidden="1">{#N/A,#N/A,TRUE,"CONTENTS";#N/A,#N/A,TRUE,"M2";#N/A,#N/A,TRUE,"M2a";#N/A,#N/A,TRUE,"M2b";#N/A,#N/A,TRUE,"M3";#N/A,#N/A,TRUE,"M3a";#N/A,#N/A,TRUE,"M4-P";#N/A,#N/A,TRUE,"M5";#N/A,#N/A,TRUE,"M6";#N/A,#N/A,TRUE,"M7";#N/A,#N/A,TRUE,"M8";#N/A,#N/A,TRUE,"M9";#N/A,#N/A,TRUE,"M10";#N/A,#N/A,TRUE,"M11";#N/A,#N/A,TRUE,"M13";#N/A,#N/A,TRUE,"M14";#N/A,#N/A,TRUE,"M15";#N/A,#N/A,TRUE,"K1"}</definedName>
    <definedName name="wrn.MARKF98P." localSheetId="18" hidden="1">{#N/A,#N/A,TRUE,"CONTENTS";#N/A,#N/A,TRUE,"M2";#N/A,#N/A,TRUE,"M2a";#N/A,#N/A,TRUE,"M2b";#N/A,#N/A,TRUE,"M3";#N/A,#N/A,TRUE,"M3a";#N/A,#N/A,TRUE,"M4-P";#N/A,#N/A,TRUE,"M5";#N/A,#N/A,TRUE,"M6";#N/A,#N/A,TRUE,"M7";#N/A,#N/A,TRUE,"M8";#N/A,#N/A,TRUE,"M9";#N/A,#N/A,TRUE,"M10";#N/A,#N/A,TRUE,"M11";#N/A,#N/A,TRUE,"M13";#N/A,#N/A,TRUE,"M14";#N/A,#N/A,TRUE,"M15";#N/A,#N/A,TRUE,"K1"}</definedName>
    <definedName name="wrn.MARKF98P." localSheetId="16" hidden="1">{#N/A,#N/A,TRUE,"CONTENTS";#N/A,#N/A,TRUE,"M2";#N/A,#N/A,TRUE,"M2a";#N/A,#N/A,TRUE,"M2b";#N/A,#N/A,TRUE,"M3";#N/A,#N/A,TRUE,"M3a";#N/A,#N/A,TRUE,"M4-P";#N/A,#N/A,TRUE,"M5";#N/A,#N/A,TRUE,"M6";#N/A,#N/A,TRUE,"M7";#N/A,#N/A,TRUE,"M8";#N/A,#N/A,TRUE,"M9";#N/A,#N/A,TRUE,"M10";#N/A,#N/A,TRUE,"M11";#N/A,#N/A,TRUE,"M13";#N/A,#N/A,TRUE,"M14";#N/A,#N/A,TRUE,"M15";#N/A,#N/A,TRUE,"K1"}</definedName>
    <definedName name="wrn.MARKF98P." localSheetId="13" hidden="1">{#N/A,#N/A,TRUE,"CONTENTS";#N/A,#N/A,TRUE,"M2";#N/A,#N/A,TRUE,"M2a";#N/A,#N/A,TRUE,"M2b";#N/A,#N/A,TRUE,"M3";#N/A,#N/A,TRUE,"M3a";#N/A,#N/A,TRUE,"M4-P";#N/A,#N/A,TRUE,"M5";#N/A,#N/A,TRUE,"M6";#N/A,#N/A,TRUE,"M7";#N/A,#N/A,TRUE,"M8";#N/A,#N/A,TRUE,"M9";#N/A,#N/A,TRUE,"M10";#N/A,#N/A,TRUE,"M11";#N/A,#N/A,TRUE,"M13";#N/A,#N/A,TRUE,"M14";#N/A,#N/A,TRUE,"M15";#N/A,#N/A,TRUE,"K1"}</definedName>
    <definedName name="wrn.MARKF98P." localSheetId="12" hidden="1">{#N/A,#N/A,TRUE,"CONTENTS";#N/A,#N/A,TRUE,"M2";#N/A,#N/A,TRUE,"M2a";#N/A,#N/A,TRUE,"M2b";#N/A,#N/A,TRUE,"M3";#N/A,#N/A,TRUE,"M3a";#N/A,#N/A,TRUE,"M4-P";#N/A,#N/A,TRUE,"M5";#N/A,#N/A,TRUE,"M6";#N/A,#N/A,TRUE,"M7";#N/A,#N/A,TRUE,"M8";#N/A,#N/A,TRUE,"M9";#N/A,#N/A,TRUE,"M10";#N/A,#N/A,TRUE,"M11";#N/A,#N/A,TRUE,"M13";#N/A,#N/A,TRUE,"M14";#N/A,#N/A,TRUE,"M15";#N/A,#N/A,TRUE,"K1"}</definedName>
    <definedName name="wrn.MARKF98P." hidden="1">{#N/A,#N/A,TRUE,"CONTENTS";#N/A,#N/A,TRUE,"M2";#N/A,#N/A,TRUE,"M2a";#N/A,#N/A,TRUE,"M2b";#N/A,#N/A,TRUE,"M3";#N/A,#N/A,TRUE,"M3a";#N/A,#N/A,TRUE,"M4-P";#N/A,#N/A,TRUE,"M5";#N/A,#N/A,TRUE,"M6";#N/A,#N/A,TRUE,"M7";#N/A,#N/A,TRUE,"M8";#N/A,#N/A,TRUE,"M9";#N/A,#N/A,TRUE,"M10";#N/A,#N/A,TRUE,"M11";#N/A,#N/A,TRUE,"M13";#N/A,#N/A,TRUE,"M14";#N/A,#N/A,TRUE,"M15";#N/A,#N/A,TRUE,"K1"}</definedName>
    <definedName name="wrn.MDS1." localSheetId="1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localSheetId="14"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localSheetId="15"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localSheetId="18"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localSheetId="16"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localSheetId="13"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localSheetId="12"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Print._.All._.Schedules." localSheetId="14"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localSheetId="15"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localSheetId="18"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localSheetId="16"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localSheetId="13"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localSheetId="12"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localSheetId="14" hidden="1">{"SchA1",#N/A,FALSE,"Schedules";"SchA2",#N/A,FALSE,"Schedules"}</definedName>
    <definedName name="wrn.Print._.SchA." localSheetId="15" hidden="1">{"SchA1",#N/A,FALSE,"Schedules";"SchA2",#N/A,FALSE,"Schedules"}</definedName>
    <definedName name="wrn.Print._.SchA." localSheetId="18" hidden="1">{"SchA1",#N/A,FALSE,"Schedules";"SchA2",#N/A,FALSE,"Schedules"}</definedName>
    <definedName name="wrn.Print._.SchA." localSheetId="16" hidden="1">{"SchA1",#N/A,FALSE,"Schedules";"SchA2",#N/A,FALSE,"Schedules"}</definedName>
    <definedName name="wrn.Print._.SchA." localSheetId="13" hidden="1">{"SchA1",#N/A,FALSE,"Schedules";"SchA2",#N/A,FALSE,"Schedules"}</definedName>
    <definedName name="wrn.Print._.SchA." localSheetId="12" hidden="1">{"SchA1",#N/A,FALSE,"Schedules";"SchA2",#N/A,FALSE,"Schedules"}</definedName>
    <definedName name="wrn.Print._.SchA." hidden="1">{"SchA1",#N/A,FALSE,"Schedules";"SchA2",#N/A,FALSE,"Schedules"}</definedName>
    <definedName name="wrn.Print._.SchB." localSheetId="14" hidden="1">{"SchB1",#N/A,FALSE,"Schedules";"SchB2",#N/A,FALSE,"Schedules"}</definedName>
    <definedName name="wrn.Print._.SchB." localSheetId="15" hidden="1">{"SchB1",#N/A,FALSE,"Schedules";"SchB2",#N/A,FALSE,"Schedules"}</definedName>
    <definedName name="wrn.Print._.SchB." localSheetId="18" hidden="1">{"SchB1",#N/A,FALSE,"Schedules";"SchB2",#N/A,FALSE,"Schedules"}</definedName>
    <definedName name="wrn.Print._.SchB." localSheetId="16" hidden="1">{"SchB1",#N/A,FALSE,"Schedules";"SchB2",#N/A,FALSE,"Schedules"}</definedName>
    <definedName name="wrn.Print._.SchB." localSheetId="13" hidden="1">{"SchB1",#N/A,FALSE,"Schedules";"SchB2",#N/A,FALSE,"Schedules"}</definedName>
    <definedName name="wrn.Print._.SchB." localSheetId="12" hidden="1">{"SchB1",#N/A,FALSE,"Schedules";"SchB2",#N/A,FALSE,"Schedules"}</definedName>
    <definedName name="wrn.Print._.SchB." hidden="1">{"SchB1",#N/A,FALSE,"Schedules";"SchB2",#N/A,FALSE,"Schedules"}</definedName>
    <definedName name="wrn.Print._.SchC." localSheetId="14" hidden="1">{"SchC1",#N/A,FALSE,"Schedules";"SchC2",#N/A,FALSE,"Schedules"}</definedName>
    <definedName name="wrn.Print._.SchC." localSheetId="15" hidden="1">{"SchC1",#N/A,FALSE,"Schedules";"SchC2",#N/A,FALSE,"Schedules"}</definedName>
    <definedName name="wrn.Print._.SchC." localSheetId="18" hidden="1">{"SchC1",#N/A,FALSE,"Schedules";"SchC2",#N/A,FALSE,"Schedules"}</definedName>
    <definedName name="wrn.Print._.SchC." localSheetId="16" hidden="1">{"SchC1",#N/A,FALSE,"Schedules";"SchC2",#N/A,FALSE,"Schedules"}</definedName>
    <definedName name="wrn.Print._.SchC." localSheetId="13" hidden="1">{"SchC1",#N/A,FALSE,"Schedules";"SchC2",#N/A,FALSE,"Schedules"}</definedName>
    <definedName name="wrn.Print._.SchC." localSheetId="12" hidden="1">{"SchC1",#N/A,FALSE,"Schedules";"SchC2",#N/A,FALSE,"Schedules"}</definedName>
    <definedName name="wrn.Print._.SchC." hidden="1">{"SchC1",#N/A,FALSE,"Schedules";"SchC2",#N/A,FALSE,"Schedules"}</definedName>
    <definedName name="wrn.Print._.SchD." localSheetId="14" hidden="1">{"SchD1",#N/A,FALSE,"Schedules";"SchD2",#N/A,FALSE,"Schedules"}</definedName>
    <definedName name="wrn.Print._.SchD." localSheetId="15" hidden="1">{"SchD1",#N/A,FALSE,"Schedules";"SchD2",#N/A,FALSE,"Schedules"}</definedName>
    <definedName name="wrn.Print._.SchD." localSheetId="18" hidden="1">{"SchD1",#N/A,FALSE,"Schedules";"SchD2",#N/A,FALSE,"Schedules"}</definedName>
    <definedName name="wrn.Print._.SchD." localSheetId="16" hidden="1">{"SchD1",#N/A,FALSE,"Schedules";"SchD2",#N/A,FALSE,"Schedules"}</definedName>
    <definedName name="wrn.Print._.SchD." localSheetId="13" hidden="1">{"SchD1",#N/A,FALSE,"Schedules";"SchD2",#N/A,FALSE,"Schedules"}</definedName>
    <definedName name="wrn.Print._.SchD." localSheetId="12" hidden="1">{"SchD1",#N/A,FALSE,"Schedules";"SchD2",#N/A,FALSE,"Schedules"}</definedName>
    <definedName name="wrn.Print._.SchD." hidden="1">{"SchD1",#N/A,FALSE,"Schedules";"SchD2",#N/A,FALSE,"Schedules"}</definedName>
    <definedName name="wrn.Print._.SchE." localSheetId="14" hidden="1">{"SchE1",#N/A,FALSE,"Schedules";"SchE2",#N/A,FALSE,"Schedules"}</definedName>
    <definedName name="wrn.Print._.SchE." localSheetId="15" hidden="1">{"SchE1",#N/A,FALSE,"Schedules";"SchE2",#N/A,FALSE,"Schedules"}</definedName>
    <definedName name="wrn.Print._.SchE." localSheetId="18" hidden="1">{"SchE1",#N/A,FALSE,"Schedules";"SchE2",#N/A,FALSE,"Schedules"}</definedName>
    <definedName name="wrn.Print._.SchE." localSheetId="16" hidden="1">{"SchE1",#N/A,FALSE,"Schedules";"SchE2",#N/A,FALSE,"Schedules"}</definedName>
    <definedName name="wrn.Print._.SchE." localSheetId="13" hidden="1">{"SchE1",#N/A,FALSE,"Schedules";"SchE2",#N/A,FALSE,"Schedules"}</definedName>
    <definedName name="wrn.Print._.SchE." localSheetId="12" hidden="1">{"SchE1",#N/A,FALSE,"Schedules";"SchE2",#N/A,FALSE,"Schedules"}</definedName>
    <definedName name="wrn.Print._.SchE." hidden="1">{"SchE1",#N/A,FALSE,"Schedules";"SchE2",#N/A,FALSE,"Schedules"}</definedName>
    <definedName name="wrn.Print._.SchF." localSheetId="14" hidden="1">{"SchF1",#N/A,FALSE,"Schedules";"SchF2",#N/A,FALSE,"Schedules"}</definedName>
    <definedName name="wrn.Print._.SchF." localSheetId="15" hidden="1">{"SchF1",#N/A,FALSE,"Schedules";"SchF2",#N/A,FALSE,"Schedules"}</definedName>
    <definedName name="wrn.Print._.SchF." localSheetId="18" hidden="1">{"SchF1",#N/A,FALSE,"Schedules";"SchF2",#N/A,FALSE,"Schedules"}</definedName>
    <definedName name="wrn.Print._.SchF." localSheetId="16" hidden="1">{"SchF1",#N/A,FALSE,"Schedules";"SchF2",#N/A,FALSE,"Schedules"}</definedName>
    <definedName name="wrn.Print._.SchF." localSheetId="13" hidden="1">{"SchF1",#N/A,FALSE,"Schedules";"SchF2",#N/A,FALSE,"Schedules"}</definedName>
    <definedName name="wrn.Print._.SchF." localSheetId="12" hidden="1">{"SchF1",#N/A,FALSE,"Schedules";"SchF2",#N/A,FALSE,"Schedules"}</definedName>
    <definedName name="wrn.Print._.SchF." hidden="1">{"SchF1",#N/A,FALSE,"Schedules";"SchF2",#N/A,FALSE,"Schedules"}</definedName>
    <definedName name="wrn.Print._.SchG." localSheetId="14" hidden="1">{"SchG1",#N/A,FALSE,"Schedules";"SchG2",#N/A,FALSE,"Schedules"}</definedName>
    <definedName name="wrn.Print._.SchG." localSheetId="15" hidden="1">{"SchG1",#N/A,FALSE,"Schedules";"SchG2",#N/A,FALSE,"Schedules"}</definedName>
    <definedName name="wrn.Print._.SchG." localSheetId="18" hidden="1">{"SchG1",#N/A,FALSE,"Schedules";"SchG2",#N/A,FALSE,"Schedules"}</definedName>
    <definedName name="wrn.Print._.SchG." localSheetId="16" hidden="1">{"SchG1",#N/A,FALSE,"Schedules";"SchG2",#N/A,FALSE,"Schedules"}</definedName>
    <definedName name="wrn.Print._.SchG." localSheetId="13" hidden="1">{"SchG1",#N/A,FALSE,"Schedules";"SchG2",#N/A,FALSE,"Schedules"}</definedName>
    <definedName name="wrn.Print._.SchG." localSheetId="12" hidden="1">{"SchG1",#N/A,FALSE,"Schedules";"SchG2",#N/A,FALSE,"Schedules"}</definedName>
    <definedName name="wrn.Print._.SchG." hidden="1">{"SchG1",#N/A,FALSE,"Schedules";"SchG2",#N/A,FALSE,"Schedules"}</definedName>
    <definedName name="wrn.Print._.SchH." localSheetId="14" hidden="1">{"SchH1",#N/A,FALSE,"Schedules";"SchH2",#N/A,FALSE,"Schedules"}</definedName>
    <definedName name="wrn.Print._.SchH." localSheetId="15" hidden="1">{"SchH1",#N/A,FALSE,"Schedules";"SchH2",#N/A,FALSE,"Schedules"}</definedName>
    <definedName name="wrn.Print._.SchH." localSheetId="18" hidden="1">{"SchH1",#N/A,FALSE,"Schedules";"SchH2",#N/A,FALSE,"Schedules"}</definedName>
    <definedName name="wrn.Print._.SchH." localSheetId="16" hidden="1">{"SchH1",#N/A,FALSE,"Schedules";"SchH2",#N/A,FALSE,"Schedules"}</definedName>
    <definedName name="wrn.Print._.SchH." localSheetId="13" hidden="1">{"SchH1",#N/A,FALSE,"Schedules";"SchH2",#N/A,FALSE,"Schedules"}</definedName>
    <definedName name="wrn.Print._.SchH." localSheetId="12" hidden="1">{"SchH1",#N/A,FALSE,"Schedules";"SchH2",#N/A,FALSE,"Schedules"}</definedName>
    <definedName name="wrn.Print._.SchH." hidden="1">{"SchH1",#N/A,FALSE,"Schedules";"SchH2",#N/A,FALSE,"Schedules"}</definedName>
    <definedName name="wrn.Print._.SchI." localSheetId="14" hidden="1">{"SchI1",#N/A,FALSE,"Schedules";"SchI2",#N/A,FALSE,"Schedules"}</definedName>
    <definedName name="wrn.Print._.SchI." localSheetId="15" hidden="1">{"SchI1",#N/A,FALSE,"Schedules";"SchI2",#N/A,FALSE,"Schedules"}</definedName>
    <definedName name="wrn.Print._.SchI." localSheetId="18" hidden="1">{"SchI1",#N/A,FALSE,"Schedules";"SchI2",#N/A,FALSE,"Schedules"}</definedName>
    <definedName name="wrn.Print._.SchI." localSheetId="16" hidden="1">{"SchI1",#N/A,FALSE,"Schedules";"SchI2",#N/A,FALSE,"Schedules"}</definedName>
    <definedName name="wrn.Print._.SchI." localSheetId="13" hidden="1">{"SchI1",#N/A,FALSE,"Schedules";"SchI2",#N/A,FALSE,"Schedules"}</definedName>
    <definedName name="wrn.Print._.SchI." localSheetId="12" hidden="1">{"SchI1",#N/A,FALSE,"Schedules";"SchI2",#N/A,FALSE,"Schedules"}</definedName>
    <definedName name="wrn.Print._.SchI." hidden="1">{"SchI1",#N/A,FALSE,"Schedules";"SchI2",#N/A,FALSE,"Schedules"}</definedName>
    <definedName name="wrn.Print._.SchJ." localSheetId="14" hidden="1">{"SchJ1",#N/A,FALSE,"Schedules";"SchJ2",#N/A,FALSE,"Schedules"}</definedName>
    <definedName name="wrn.Print._.SchJ." localSheetId="15" hidden="1">{"SchJ1",#N/A,FALSE,"Schedules";"SchJ2",#N/A,FALSE,"Schedules"}</definedName>
    <definedName name="wrn.Print._.SchJ." localSheetId="18" hidden="1">{"SchJ1",#N/A,FALSE,"Schedules";"SchJ2",#N/A,FALSE,"Schedules"}</definedName>
    <definedName name="wrn.Print._.SchJ." localSheetId="16" hidden="1">{"SchJ1",#N/A,FALSE,"Schedules";"SchJ2",#N/A,FALSE,"Schedules"}</definedName>
    <definedName name="wrn.Print._.SchJ." localSheetId="13" hidden="1">{"SchJ1",#N/A,FALSE,"Schedules";"SchJ2",#N/A,FALSE,"Schedules"}</definedName>
    <definedName name="wrn.Print._.SchJ." localSheetId="12" hidden="1">{"SchJ1",#N/A,FALSE,"Schedules";"SchJ2",#N/A,FALSE,"Schedules"}</definedName>
    <definedName name="wrn.Print._.SchJ." hidden="1">{"SchJ1",#N/A,FALSE,"Schedules";"SchJ2",#N/A,FALSE,"Schedules"}</definedName>
    <definedName name="wrn.Print._.SchK." localSheetId="14" hidden="1">{"SchK1",#N/A,FALSE,"Schedules";"SchK2",#N/A,FALSE,"Schedules"}</definedName>
    <definedName name="wrn.Print._.SchK." localSheetId="15" hidden="1">{"SchK1",#N/A,FALSE,"Schedules";"SchK2",#N/A,FALSE,"Schedules"}</definedName>
    <definedName name="wrn.Print._.SchK." localSheetId="18" hidden="1">{"SchK1",#N/A,FALSE,"Schedules";"SchK2",#N/A,FALSE,"Schedules"}</definedName>
    <definedName name="wrn.Print._.SchK." localSheetId="16" hidden="1">{"SchK1",#N/A,FALSE,"Schedules";"SchK2",#N/A,FALSE,"Schedules"}</definedName>
    <definedName name="wrn.Print._.SchK." localSheetId="13" hidden="1">{"SchK1",#N/A,FALSE,"Schedules";"SchK2",#N/A,FALSE,"Schedules"}</definedName>
    <definedName name="wrn.Print._.SchK." localSheetId="12" hidden="1">{"SchK1",#N/A,FALSE,"Schedules";"SchK2",#N/A,FALSE,"Schedules"}</definedName>
    <definedName name="wrn.Print._.SchK." hidden="1">{"SchK1",#N/A,FALSE,"Schedules";"SchK2",#N/A,FALSE,"Schedules"}</definedName>
    <definedName name="wrn.Print._.SchL." localSheetId="14" hidden="1">{"SchL1",#N/A,FALSE,"Schedules";"SchL2",#N/A,FALSE,"Schedules"}</definedName>
    <definedName name="wrn.Print._.SchL." localSheetId="15" hidden="1">{"SchL1",#N/A,FALSE,"Schedules";"SchL2",#N/A,FALSE,"Schedules"}</definedName>
    <definedName name="wrn.Print._.SchL." localSheetId="18" hidden="1">{"SchL1",#N/A,FALSE,"Schedules";"SchL2",#N/A,FALSE,"Schedules"}</definedName>
    <definedName name="wrn.Print._.SchL." localSheetId="16" hidden="1">{"SchL1",#N/A,FALSE,"Schedules";"SchL2",#N/A,FALSE,"Schedules"}</definedName>
    <definedName name="wrn.Print._.SchL." localSheetId="13" hidden="1">{"SchL1",#N/A,FALSE,"Schedules";"SchL2",#N/A,FALSE,"Schedules"}</definedName>
    <definedName name="wrn.Print._.SchL." localSheetId="12" hidden="1">{"SchL1",#N/A,FALSE,"Schedules";"SchL2",#N/A,FALSE,"Schedules"}</definedName>
    <definedName name="wrn.Print._.SchL." hidden="1">{"SchL1",#N/A,FALSE,"Schedules";"SchL2",#N/A,FALSE,"Schedules"}</definedName>
    <definedName name="wrn.Print._.SchM." localSheetId="14" hidden="1">{"SchM1",#N/A,FALSE,"Schedules";"SchM2",#N/A,FALSE,"Schedules"}</definedName>
    <definedName name="wrn.Print._.SchM." localSheetId="15" hidden="1">{"SchM1",#N/A,FALSE,"Schedules";"SchM2",#N/A,FALSE,"Schedules"}</definedName>
    <definedName name="wrn.Print._.SchM." localSheetId="18" hidden="1">{"SchM1",#N/A,FALSE,"Schedules";"SchM2",#N/A,FALSE,"Schedules"}</definedName>
    <definedName name="wrn.Print._.SchM." localSheetId="16" hidden="1">{"SchM1",#N/A,FALSE,"Schedules";"SchM2",#N/A,FALSE,"Schedules"}</definedName>
    <definedName name="wrn.Print._.SchM." localSheetId="13" hidden="1">{"SchM1",#N/A,FALSE,"Schedules";"SchM2",#N/A,FALSE,"Schedules"}</definedName>
    <definedName name="wrn.Print._.SchM." localSheetId="12" hidden="1">{"SchM1",#N/A,FALSE,"Schedules";"SchM2",#N/A,FALSE,"Schedules"}</definedName>
    <definedName name="wrn.Print._.SchM." hidden="1">{"SchM1",#N/A,FALSE,"Schedules";"SchM2",#N/A,FALSE,"Schedules"}</definedName>
    <definedName name="wrn.Print._.SchN." localSheetId="14" hidden="1">{"SchN1",#N/A,FALSE,"Schedules"}</definedName>
    <definedName name="wrn.Print._.SchN." localSheetId="15" hidden="1">{"SchN1",#N/A,FALSE,"Schedules"}</definedName>
    <definedName name="wrn.Print._.SchN." localSheetId="18" hidden="1">{"SchN1",#N/A,FALSE,"Schedules"}</definedName>
    <definedName name="wrn.Print._.SchN." localSheetId="16" hidden="1">{"SchN1",#N/A,FALSE,"Schedules"}</definedName>
    <definedName name="wrn.Print._.SchN." localSheetId="13" hidden="1">{"SchN1",#N/A,FALSE,"Schedules"}</definedName>
    <definedName name="wrn.Print._.SchN." localSheetId="12" hidden="1">{"SchN1",#N/A,FALSE,"Schedules"}</definedName>
    <definedName name="wrn.Print._.SchN." hidden="1">{"SchN1",#N/A,FALSE,"Schedules"}</definedName>
    <definedName name="wrn.Print._.SchO." localSheetId="14" hidden="1">{"SchO1",#N/A,FALSE,"Schedules"}</definedName>
    <definedName name="wrn.Print._.SchO." localSheetId="15" hidden="1">{"SchO1",#N/A,FALSE,"Schedules"}</definedName>
    <definedName name="wrn.Print._.SchO." localSheetId="18" hidden="1">{"SchO1",#N/A,FALSE,"Schedules"}</definedName>
    <definedName name="wrn.Print._.SchO." localSheetId="16" hidden="1">{"SchO1",#N/A,FALSE,"Schedules"}</definedName>
    <definedName name="wrn.Print._.SchO." localSheetId="13" hidden="1">{"SchO1",#N/A,FALSE,"Schedules"}</definedName>
    <definedName name="wrn.Print._.SchO." localSheetId="12" hidden="1">{"SchO1",#N/A,FALSE,"Schedules"}</definedName>
    <definedName name="wrn.Print._.SchO." hidden="1">{"SchO1",#N/A,FALSE,"Schedules"}</definedName>
    <definedName name="wrn.Print._.Summary." localSheetId="14" hidden="1">{"Summ1",#N/A,FALSE,"Summary"}</definedName>
    <definedName name="wrn.Print._.Summary." localSheetId="15" hidden="1">{"Summ1",#N/A,FALSE,"Summary"}</definedName>
    <definedName name="wrn.Print._.Summary." localSheetId="18" hidden="1">{"Summ1",#N/A,FALSE,"Summary"}</definedName>
    <definedName name="wrn.Print._.Summary." localSheetId="16" hidden="1">{"Summ1",#N/A,FALSE,"Summary"}</definedName>
    <definedName name="wrn.Print._.Summary." localSheetId="13" hidden="1">{"Summ1",#N/A,FALSE,"Summary"}</definedName>
    <definedName name="wrn.Print._.Summary." localSheetId="12" hidden="1">{"Summ1",#N/A,FALSE,"Summary"}</definedName>
    <definedName name="wrn.Print._.Summary." hidden="1">{"Summ1",#N/A,FALSE,"Summary"}</definedName>
    <definedName name="wrn1.brief" localSheetId="14" hidden="1">{#N/A,#N/A,TRUE,"Summary";#N/A,#N/A,TRUE,"Balance Sheet";#N/A,#N/A,TRUE,"P &amp; L";#N/A,#N/A,TRUE,"Fixed Assets";#N/A,#N/A,TRUE,"Cash Flows"}</definedName>
    <definedName name="wrn1.brief" localSheetId="15" hidden="1">{#N/A,#N/A,TRUE,"Summary";#N/A,#N/A,TRUE,"Balance Sheet";#N/A,#N/A,TRUE,"P &amp; L";#N/A,#N/A,TRUE,"Fixed Assets";#N/A,#N/A,TRUE,"Cash Flows"}</definedName>
    <definedName name="wrn1.brief" localSheetId="18" hidden="1">{#N/A,#N/A,TRUE,"Summary";#N/A,#N/A,TRUE,"Balance Sheet";#N/A,#N/A,TRUE,"P &amp; L";#N/A,#N/A,TRUE,"Fixed Assets";#N/A,#N/A,TRUE,"Cash Flows"}</definedName>
    <definedName name="wrn1.brief" localSheetId="16" hidden="1">{#N/A,#N/A,TRUE,"Summary";#N/A,#N/A,TRUE,"Balance Sheet";#N/A,#N/A,TRUE,"P &amp; L";#N/A,#N/A,TRUE,"Fixed Assets";#N/A,#N/A,TRUE,"Cash Flows"}</definedName>
    <definedName name="wrn1.brief" localSheetId="13" hidden="1">{#N/A,#N/A,TRUE,"Summary";#N/A,#N/A,TRUE,"Balance Sheet";#N/A,#N/A,TRUE,"P &amp; L";#N/A,#N/A,TRUE,"Fixed Assets";#N/A,#N/A,TRUE,"Cash Flows"}</definedName>
    <definedName name="wrn1.brief" localSheetId="12" hidden="1">{#N/A,#N/A,TRUE,"Summary";#N/A,#N/A,TRUE,"Balance Sheet";#N/A,#N/A,TRUE,"P &amp; L";#N/A,#N/A,TRUE,"Fixed Assets";#N/A,#N/A,TRUE,"Cash Flows"}</definedName>
    <definedName name="wrn1.brief" hidden="1">{#N/A,#N/A,TRUE,"Summary";#N/A,#N/A,TRUE,"Balance Sheet";#N/A,#N/A,TRUE,"P &amp; L";#N/A,#N/A,TRUE,"Fixed Assets";#N/A,#N/A,TRUE,"Cash Flows"}</definedName>
    <definedName name="wrn1.elaborate" localSheetId="14" hidden="1">{#N/A,#N/A,FALSE,"Cash Flows";#N/A,#N/A,FALSE,"Fixed Assets";#N/A,#N/A,FALSE,"Balance Sheet";#N/A,#N/A,FALSE,"P &amp; L"}</definedName>
    <definedName name="wrn1.elaborate" localSheetId="15" hidden="1">{#N/A,#N/A,FALSE,"Cash Flows";#N/A,#N/A,FALSE,"Fixed Assets";#N/A,#N/A,FALSE,"Balance Sheet";#N/A,#N/A,FALSE,"P &amp; L"}</definedName>
    <definedName name="wrn1.elaborate" localSheetId="18" hidden="1">{#N/A,#N/A,FALSE,"Cash Flows";#N/A,#N/A,FALSE,"Fixed Assets";#N/A,#N/A,FALSE,"Balance Sheet";#N/A,#N/A,FALSE,"P &amp; L"}</definedName>
    <definedName name="wrn1.elaborate" localSheetId="16" hidden="1">{#N/A,#N/A,FALSE,"Cash Flows";#N/A,#N/A,FALSE,"Fixed Assets";#N/A,#N/A,FALSE,"Balance Sheet";#N/A,#N/A,FALSE,"P &amp; L"}</definedName>
    <definedName name="wrn1.elaborate" localSheetId="13" hidden="1">{#N/A,#N/A,FALSE,"Cash Flows";#N/A,#N/A,FALSE,"Fixed Assets";#N/A,#N/A,FALSE,"Balance Sheet";#N/A,#N/A,FALSE,"P &amp; L"}</definedName>
    <definedName name="wrn1.elaborate" localSheetId="12" hidden="1">{#N/A,#N/A,FALSE,"Cash Flows";#N/A,#N/A,FALSE,"Fixed Assets";#N/A,#N/A,FALSE,"Balance Sheet";#N/A,#N/A,FALSE,"P &amp; L"}</definedName>
    <definedName name="wrn1.elaborate" hidden="1">{#N/A,#N/A,FALSE,"Cash Flows";#N/A,#N/A,FALSE,"Fixed Assets";#N/A,#N/A,FALSE,"Balance Sheet";#N/A,#N/A,FALSE,"P &amp; L"}</definedName>
    <definedName name="wrn10.brief" localSheetId="14" hidden="1">{#N/A,#N/A,TRUE,"Summary";#N/A,#N/A,TRUE,"Balance Sheet";#N/A,#N/A,TRUE,"P &amp; L";#N/A,#N/A,TRUE,"Fixed Assets";#N/A,#N/A,TRUE,"Cash Flows"}</definedName>
    <definedName name="wrn10.brief" localSheetId="15" hidden="1">{#N/A,#N/A,TRUE,"Summary";#N/A,#N/A,TRUE,"Balance Sheet";#N/A,#N/A,TRUE,"P &amp; L";#N/A,#N/A,TRUE,"Fixed Assets";#N/A,#N/A,TRUE,"Cash Flows"}</definedName>
    <definedName name="wrn10.brief" localSheetId="18" hidden="1">{#N/A,#N/A,TRUE,"Summary";#N/A,#N/A,TRUE,"Balance Sheet";#N/A,#N/A,TRUE,"P &amp; L";#N/A,#N/A,TRUE,"Fixed Assets";#N/A,#N/A,TRUE,"Cash Flows"}</definedName>
    <definedName name="wrn10.brief" localSheetId="16" hidden="1">{#N/A,#N/A,TRUE,"Summary";#N/A,#N/A,TRUE,"Balance Sheet";#N/A,#N/A,TRUE,"P &amp; L";#N/A,#N/A,TRUE,"Fixed Assets";#N/A,#N/A,TRUE,"Cash Flows"}</definedName>
    <definedName name="wrn10.brief" localSheetId="13" hidden="1">{#N/A,#N/A,TRUE,"Summary";#N/A,#N/A,TRUE,"Balance Sheet";#N/A,#N/A,TRUE,"P &amp; L";#N/A,#N/A,TRUE,"Fixed Assets";#N/A,#N/A,TRUE,"Cash Flows"}</definedName>
    <definedName name="wrn10.brief" localSheetId="12" hidden="1">{#N/A,#N/A,TRUE,"Summary";#N/A,#N/A,TRUE,"Balance Sheet";#N/A,#N/A,TRUE,"P &amp; L";#N/A,#N/A,TRUE,"Fixed Assets";#N/A,#N/A,TRUE,"Cash Flows"}</definedName>
    <definedName name="wrn10.brief" hidden="1">{#N/A,#N/A,TRUE,"Summary";#N/A,#N/A,TRUE,"Balance Sheet";#N/A,#N/A,TRUE,"P &amp; L";#N/A,#N/A,TRUE,"Fixed Assets";#N/A,#N/A,TRUE,"Cash Flows"}</definedName>
    <definedName name="wrn10.elaborate" localSheetId="14" hidden="1">{#N/A,#N/A,FALSE,"Cash Flows";#N/A,#N/A,FALSE,"Fixed Assets";#N/A,#N/A,FALSE,"Balance Sheet";#N/A,#N/A,FALSE,"P &amp; L"}</definedName>
    <definedName name="wrn10.elaborate" localSheetId="15" hidden="1">{#N/A,#N/A,FALSE,"Cash Flows";#N/A,#N/A,FALSE,"Fixed Assets";#N/A,#N/A,FALSE,"Balance Sheet";#N/A,#N/A,FALSE,"P &amp; L"}</definedName>
    <definedName name="wrn10.elaborate" localSheetId="18" hidden="1">{#N/A,#N/A,FALSE,"Cash Flows";#N/A,#N/A,FALSE,"Fixed Assets";#N/A,#N/A,FALSE,"Balance Sheet";#N/A,#N/A,FALSE,"P &amp; L"}</definedName>
    <definedName name="wrn10.elaborate" localSheetId="16" hidden="1">{#N/A,#N/A,FALSE,"Cash Flows";#N/A,#N/A,FALSE,"Fixed Assets";#N/A,#N/A,FALSE,"Balance Sheet";#N/A,#N/A,FALSE,"P &amp; L"}</definedName>
    <definedName name="wrn10.elaborate" localSheetId="13" hidden="1">{#N/A,#N/A,FALSE,"Cash Flows";#N/A,#N/A,FALSE,"Fixed Assets";#N/A,#N/A,FALSE,"Balance Sheet";#N/A,#N/A,FALSE,"P &amp; L"}</definedName>
    <definedName name="wrn10.elaborate" localSheetId="12" hidden="1">{#N/A,#N/A,FALSE,"Cash Flows";#N/A,#N/A,FALSE,"Fixed Assets";#N/A,#N/A,FALSE,"Balance Sheet";#N/A,#N/A,FALSE,"P &amp; L"}</definedName>
    <definedName name="wrn10.elaborate" hidden="1">{#N/A,#N/A,FALSE,"Cash Flows";#N/A,#N/A,FALSE,"Fixed Assets";#N/A,#N/A,FALSE,"Balance Sheet";#N/A,#N/A,FALSE,"P &amp; L"}</definedName>
    <definedName name="wrn11.brief" localSheetId="14" hidden="1">{#N/A,#N/A,TRUE,"Summary";#N/A,#N/A,TRUE,"Balance Sheet";#N/A,#N/A,TRUE,"P &amp; L";#N/A,#N/A,TRUE,"Fixed Assets";#N/A,#N/A,TRUE,"Cash Flows"}</definedName>
    <definedName name="wrn11.brief" localSheetId="15" hidden="1">{#N/A,#N/A,TRUE,"Summary";#N/A,#N/A,TRUE,"Balance Sheet";#N/A,#N/A,TRUE,"P &amp; L";#N/A,#N/A,TRUE,"Fixed Assets";#N/A,#N/A,TRUE,"Cash Flows"}</definedName>
    <definedName name="wrn11.brief" localSheetId="18" hidden="1">{#N/A,#N/A,TRUE,"Summary";#N/A,#N/A,TRUE,"Balance Sheet";#N/A,#N/A,TRUE,"P &amp; L";#N/A,#N/A,TRUE,"Fixed Assets";#N/A,#N/A,TRUE,"Cash Flows"}</definedName>
    <definedName name="wrn11.brief" localSheetId="16" hidden="1">{#N/A,#N/A,TRUE,"Summary";#N/A,#N/A,TRUE,"Balance Sheet";#N/A,#N/A,TRUE,"P &amp; L";#N/A,#N/A,TRUE,"Fixed Assets";#N/A,#N/A,TRUE,"Cash Flows"}</definedName>
    <definedName name="wrn11.brief" localSheetId="13" hidden="1">{#N/A,#N/A,TRUE,"Summary";#N/A,#N/A,TRUE,"Balance Sheet";#N/A,#N/A,TRUE,"P &amp; L";#N/A,#N/A,TRUE,"Fixed Assets";#N/A,#N/A,TRUE,"Cash Flows"}</definedName>
    <definedName name="wrn11.brief" localSheetId="12" hidden="1">{#N/A,#N/A,TRUE,"Summary";#N/A,#N/A,TRUE,"Balance Sheet";#N/A,#N/A,TRUE,"P &amp; L";#N/A,#N/A,TRUE,"Fixed Assets";#N/A,#N/A,TRUE,"Cash Flows"}</definedName>
    <definedName name="wrn11.brief" hidden="1">{#N/A,#N/A,TRUE,"Summary";#N/A,#N/A,TRUE,"Balance Sheet";#N/A,#N/A,TRUE,"P &amp; L";#N/A,#N/A,TRUE,"Fixed Assets";#N/A,#N/A,TRUE,"Cash Flows"}</definedName>
    <definedName name="wrn11.elaborate" localSheetId="14" hidden="1">{#N/A,#N/A,FALSE,"Cash Flows";#N/A,#N/A,FALSE,"Fixed Assets";#N/A,#N/A,FALSE,"Balance Sheet";#N/A,#N/A,FALSE,"P &amp; L"}</definedName>
    <definedName name="wrn11.elaborate" localSheetId="15" hidden="1">{#N/A,#N/A,FALSE,"Cash Flows";#N/A,#N/A,FALSE,"Fixed Assets";#N/A,#N/A,FALSE,"Balance Sheet";#N/A,#N/A,FALSE,"P &amp; L"}</definedName>
    <definedName name="wrn11.elaborate" localSheetId="18" hidden="1">{#N/A,#N/A,FALSE,"Cash Flows";#N/A,#N/A,FALSE,"Fixed Assets";#N/A,#N/A,FALSE,"Balance Sheet";#N/A,#N/A,FALSE,"P &amp; L"}</definedName>
    <definedName name="wrn11.elaborate" localSheetId="16" hidden="1">{#N/A,#N/A,FALSE,"Cash Flows";#N/A,#N/A,FALSE,"Fixed Assets";#N/A,#N/A,FALSE,"Balance Sheet";#N/A,#N/A,FALSE,"P &amp; L"}</definedName>
    <definedName name="wrn11.elaborate" localSheetId="13" hidden="1">{#N/A,#N/A,FALSE,"Cash Flows";#N/A,#N/A,FALSE,"Fixed Assets";#N/A,#N/A,FALSE,"Balance Sheet";#N/A,#N/A,FALSE,"P &amp; L"}</definedName>
    <definedName name="wrn11.elaborate" localSheetId="12" hidden="1">{#N/A,#N/A,FALSE,"Cash Flows";#N/A,#N/A,FALSE,"Fixed Assets";#N/A,#N/A,FALSE,"Balance Sheet";#N/A,#N/A,FALSE,"P &amp; L"}</definedName>
    <definedName name="wrn11.elaborate" hidden="1">{#N/A,#N/A,FALSE,"Cash Flows";#N/A,#N/A,FALSE,"Fixed Assets";#N/A,#N/A,FALSE,"Balance Sheet";#N/A,#N/A,FALSE,"P &amp; L"}</definedName>
    <definedName name="wrn12.elaborate" localSheetId="14" hidden="1">{#N/A,#N/A,FALSE,"Cash Flows";#N/A,#N/A,FALSE,"Fixed Assets";#N/A,#N/A,FALSE,"Balance Sheet";#N/A,#N/A,FALSE,"P &amp; L"}</definedName>
    <definedName name="wrn12.elaborate" localSheetId="15" hidden="1">{#N/A,#N/A,FALSE,"Cash Flows";#N/A,#N/A,FALSE,"Fixed Assets";#N/A,#N/A,FALSE,"Balance Sheet";#N/A,#N/A,FALSE,"P &amp; L"}</definedName>
    <definedName name="wrn12.elaborate" localSheetId="18" hidden="1">{#N/A,#N/A,FALSE,"Cash Flows";#N/A,#N/A,FALSE,"Fixed Assets";#N/A,#N/A,FALSE,"Balance Sheet";#N/A,#N/A,FALSE,"P &amp; L"}</definedName>
    <definedName name="wrn12.elaborate" localSheetId="16" hidden="1">{#N/A,#N/A,FALSE,"Cash Flows";#N/A,#N/A,FALSE,"Fixed Assets";#N/A,#N/A,FALSE,"Balance Sheet";#N/A,#N/A,FALSE,"P &amp; L"}</definedName>
    <definedName name="wrn12.elaborate" localSheetId="13" hidden="1">{#N/A,#N/A,FALSE,"Cash Flows";#N/A,#N/A,FALSE,"Fixed Assets";#N/A,#N/A,FALSE,"Balance Sheet";#N/A,#N/A,FALSE,"P &amp; L"}</definedName>
    <definedName name="wrn12.elaborate" localSheetId="12" hidden="1">{#N/A,#N/A,FALSE,"Cash Flows";#N/A,#N/A,FALSE,"Fixed Assets";#N/A,#N/A,FALSE,"Balance Sheet";#N/A,#N/A,FALSE,"P &amp; L"}</definedName>
    <definedName name="wrn12.elaborate" hidden="1">{#N/A,#N/A,FALSE,"Cash Flows";#N/A,#N/A,FALSE,"Fixed Assets";#N/A,#N/A,FALSE,"Balance Sheet";#N/A,#N/A,FALSE,"P &amp; L"}</definedName>
    <definedName name="wrn13.brief" localSheetId="14" hidden="1">{#N/A,#N/A,TRUE,"Summary";#N/A,#N/A,TRUE,"Balance Sheet";#N/A,#N/A,TRUE,"P &amp; L";#N/A,#N/A,TRUE,"Fixed Assets";#N/A,#N/A,TRUE,"Cash Flows"}</definedName>
    <definedName name="wrn13.brief" localSheetId="15" hidden="1">{#N/A,#N/A,TRUE,"Summary";#N/A,#N/A,TRUE,"Balance Sheet";#N/A,#N/A,TRUE,"P &amp; L";#N/A,#N/A,TRUE,"Fixed Assets";#N/A,#N/A,TRUE,"Cash Flows"}</definedName>
    <definedName name="wrn13.brief" localSheetId="18" hidden="1">{#N/A,#N/A,TRUE,"Summary";#N/A,#N/A,TRUE,"Balance Sheet";#N/A,#N/A,TRUE,"P &amp; L";#N/A,#N/A,TRUE,"Fixed Assets";#N/A,#N/A,TRUE,"Cash Flows"}</definedName>
    <definedName name="wrn13.brief" localSheetId="16" hidden="1">{#N/A,#N/A,TRUE,"Summary";#N/A,#N/A,TRUE,"Balance Sheet";#N/A,#N/A,TRUE,"P &amp; L";#N/A,#N/A,TRUE,"Fixed Assets";#N/A,#N/A,TRUE,"Cash Flows"}</definedName>
    <definedName name="wrn13.brief" localSheetId="13" hidden="1">{#N/A,#N/A,TRUE,"Summary";#N/A,#N/A,TRUE,"Balance Sheet";#N/A,#N/A,TRUE,"P &amp; L";#N/A,#N/A,TRUE,"Fixed Assets";#N/A,#N/A,TRUE,"Cash Flows"}</definedName>
    <definedName name="wrn13.brief" localSheetId="12" hidden="1">{#N/A,#N/A,TRUE,"Summary";#N/A,#N/A,TRUE,"Balance Sheet";#N/A,#N/A,TRUE,"P &amp; L";#N/A,#N/A,TRUE,"Fixed Assets";#N/A,#N/A,TRUE,"Cash Flows"}</definedName>
    <definedName name="wrn13.brief" hidden="1">{#N/A,#N/A,TRUE,"Summary";#N/A,#N/A,TRUE,"Balance Sheet";#N/A,#N/A,TRUE,"P &amp; L";#N/A,#N/A,TRUE,"Fixed Assets";#N/A,#N/A,TRUE,"Cash Flows"}</definedName>
    <definedName name="wrn13.elaborate" localSheetId="14" hidden="1">{#N/A,#N/A,FALSE,"Cash Flows";#N/A,#N/A,FALSE,"Fixed Assets";#N/A,#N/A,FALSE,"Balance Sheet";#N/A,#N/A,FALSE,"P &amp; L"}</definedName>
    <definedName name="wrn13.elaborate" localSheetId="15" hidden="1">{#N/A,#N/A,FALSE,"Cash Flows";#N/A,#N/A,FALSE,"Fixed Assets";#N/A,#N/A,FALSE,"Balance Sheet";#N/A,#N/A,FALSE,"P &amp; L"}</definedName>
    <definedName name="wrn13.elaborate" localSheetId="18" hidden="1">{#N/A,#N/A,FALSE,"Cash Flows";#N/A,#N/A,FALSE,"Fixed Assets";#N/A,#N/A,FALSE,"Balance Sheet";#N/A,#N/A,FALSE,"P &amp; L"}</definedName>
    <definedName name="wrn13.elaborate" localSheetId="16" hidden="1">{#N/A,#N/A,FALSE,"Cash Flows";#N/A,#N/A,FALSE,"Fixed Assets";#N/A,#N/A,FALSE,"Balance Sheet";#N/A,#N/A,FALSE,"P &amp; L"}</definedName>
    <definedName name="wrn13.elaborate" localSheetId="13" hidden="1">{#N/A,#N/A,FALSE,"Cash Flows";#N/A,#N/A,FALSE,"Fixed Assets";#N/A,#N/A,FALSE,"Balance Sheet";#N/A,#N/A,FALSE,"P &amp; L"}</definedName>
    <definedName name="wrn13.elaborate" localSheetId="12" hidden="1">{#N/A,#N/A,FALSE,"Cash Flows";#N/A,#N/A,FALSE,"Fixed Assets";#N/A,#N/A,FALSE,"Balance Sheet";#N/A,#N/A,FALSE,"P &amp; L"}</definedName>
    <definedName name="wrn13.elaborate" hidden="1">{#N/A,#N/A,FALSE,"Cash Flows";#N/A,#N/A,FALSE,"Fixed Assets";#N/A,#N/A,FALSE,"Balance Sheet";#N/A,#N/A,FALSE,"P &amp; L"}</definedName>
    <definedName name="wrn14.elaborate" localSheetId="14" hidden="1">{#N/A,#N/A,FALSE,"Cash Flows";#N/A,#N/A,FALSE,"Fixed Assets";#N/A,#N/A,FALSE,"Balance Sheet";#N/A,#N/A,FALSE,"P &amp; L"}</definedName>
    <definedName name="wrn14.elaborate" localSheetId="15" hidden="1">{#N/A,#N/A,FALSE,"Cash Flows";#N/A,#N/A,FALSE,"Fixed Assets";#N/A,#N/A,FALSE,"Balance Sheet";#N/A,#N/A,FALSE,"P &amp; L"}</definedName>
    <definedName name="wrn14.elaborate" localSheetId="18" hidden="1">{#N/A,#N/A,FALSE,"Cash Flows";#N/A,#N/A,FALSE,"Fixed Assets";#N/A,#N/A,FALSE,"Balance Sheet";#N/A,#N/A,FALSE,"P &amp; L"}</definedName>
    <definedName name="wrn14.elaborate" localSheetId="16" hidden="1">{#N/A,#N/A,FALSE,"Cash Flows";#N/A,#N/A,FALSE,"Fixed Assets";#N/A,#N/A,FALSE,"Balance Sheet";#N/A,#N/A,FALSE,"P &amp; L"}</definedName>
    <definedName name="wrn14.elaborate" localSheetId="13" hidden="1">{#N/A,#N/A,FALSE,"Cash Flows";#N/A,#N/A,FALSE,"Fixed Assets";#N/A,#N/A,FALSE,"Balance Sheet";#N/A,#N/A,FALSE,"P &amp; L"}</definedName>
    <definedName name="wrn14.elaborate" localSheetId="12" hidden="1">{#N/A,#N/A,FALSE,"Cash Flows";#N/A,#N/A,FALSE,"Fixed Assets";#N/A,#N/A,FALSE,"Balance Sheet";#N/A,#N/A,FALSE,"P &amp; L"}</definedName>
    <definedName name="wrn14.elaborate" hidden="1">{#N/A,#N/A,FALSE,"Cash Flows";#N/A,#N/A,FALSE,"Fixed Assets";#N/A,#N/A,FALSE,"Balance Sheet";#N/A,#N/A,FALSE,"P &amp; L"}</definedName>
    <definedName name="wrn15.brief" localSheetId="14" hidden="1">{#N/A,#N/A,TRUE,"Summary";#N/A,#N/A,TRUE,"Balance Sheet";#N/A,#N/A,TRUE,"P &amp; L";#N/A,#N/A,TRUE,"Fixed Assets";#N/A,#N/A,TRUE,"Cash Flows"}</definedName>
    <definedName name="wrn15.brief" localSheetId="15" hidden="1">{#N/A,#N/A,TRUE,"Summary";#N/A,#N/A,TRUE,"Balance Sheet";#N/A,#N/A,TRUE,"P &amp; L";#N/A,#N/A,TRUE,"Fixed Assets";#N/A,#N/A,TRUE,"Cash Flows"}</definedName>
    <definedName name="wrn15.brief" localSheetId="18" hidden="1">{#N/A,#N/A,TRUE,"Summary";#N/A,#N/A,TRUE,"Balance Sheet";#N/A,#N/A,TRUE,"P &amp; L";#N/A,#N/A,TRUE,"Fixed Assets";#N/A,#N/A,TRUE,"Cash Flows"}</definedName>
    <definedName name="wrn15.brief" localSheetId="16" hidden="1">{#N/A,#N/A,TRUE,"Summary";#N/A,#N/A,TRUE,"Balance Sheet";#N/A,#N/A,TRUE,"P &amp; L";#N/A,#N/A,TRUE,"Fixed Assets";#N/A,#N/A,TRUE,"Cash Flows"}</definedName>
    <definedName name="wrn15.brief" localSheetId="13" hidden="1">{#N/A,#N/A,TRUE,"Summary";#N/A,#N/A,TRUE,"Balance Sheet";#N/A,#N/A,TRUE,"P &amp; L";#N/A,#N/A,TRUE,"Fixed Assets";#N/A,#N/A,TRUE,"Cash Flows"}</definedName>
    <definedName name="wrn15.brief" localSheetId="12" hidden="1">{#N/A,#N/A,TRUE,"Summary";#N/A,#N/A,TRUE,"Balance Sheet";#N/A,#N/A,TRUE,"P &amp; L";#N/A,#N/A,TRUE,"Fixed Assets";#N/A,#N/A,TRUE,"Cash Flows"}</definedName>
    <definedName name="wrn15.brief" hidden="1">{#N/A,#N/A,TRUE,"Summary";#N/A,#N/A,TRUE,"Balance Sheet";#N/A,#N/A,TRUE,"P &amp; L";#N/A,#N/A,TRUE,"Fixed Assets";#N/A,#N/A,TRUE,"Cash Flows"}</definedName>
    <definedName name="wrn16.elaborate" localSheetId="14" hidden="1">{#N/A,#N/A,FALSE,"Cash Flows";#N/A,#N/A,FALSE,"Fixed Assets";#N/A,#N/A,FALSE,"Balance Sheet";#N/A,#N/A,FALSE,"P &amp; L"}</definedName>
    <definedName name="wrn16.elaborate" localSheetId="15" hidden="1">{#N/A,#N/A,FALSE,"Cash Flows";#N/A,#N/A,FALSE,"Fixed Assets";#N/A,#N/A,FALSE,"Balance Sheet";#N/A,#N/A,FALSE,"P &amp; L"}</definedName>
    <definedName name="wrn16.elaborate" localSheetId="18" hidden="1">{#N/A,#N/A,FALSE,"Cash Flows";#N/A,#N/A,FALSE,"Fixed Assets";#N/A,#N/A,FALSE,"Balance Sheet";#N/A,#N/A,FALSE,"P &amp; L"}</definedName>
    <definedName name="wrn16.elaborate" localSheetId="16" hidden="1">{#N/A,#N/A,FALSE,"Cash Flows";#N/A,#N/A,FALSE,"Fixed Assets";#N/A,#N/A,FALSE,"Balance Sheet";#N/A,#N/A,FALSE,"P &amp; L"}</definedName>
    <definedName name="wrn16.elaborate" localSheetId="13" hidden="1">{#N/A,#N/A,FALSE,"Cash Flows";#N/A,#N/A,FALSE,"Fixed Assets";#N/A,#N/A,FALSE,"Balance Sheet";#N/A,#N/A,FALSE,"P &amp; L"}</definedName>
    <definedName name="wrn16.elaborate" localSheetId="12" hidden="1">{#N/A,#N/A,FALSE,"Cash Flows";#N/A,#N/A,FALSE,"Fixed Assets";#N/A,#N/A,FALSE,"Balance Sheet";#N/A,#N/A,FALSE,"P &amp; L"}</definedName>
    <definedName name="wrn16.elaborate" hidden="1">{#N/A,#N/A,FALSE,"Cash Flows";#N/A,#N/A,FALSE,"Fixed Assets";#N/A,#N/A,FALSE,"Balance Sheet";#N/A,#N/A,FALSE,"P &amp; L"}</definedName>
    <definedName name="wrn18.brief" localSheetId="14" hidden="1">{#N/A,#N/A,TRUE,"Summary";#N/A,#N/A,TRUE,"Balance Sheet";#N/A,#N/A,TRUE,"P &amp; L";#N/A,#N/A,TRUE,"Fixed Assets";#N/A,#N/A,TRUE,"Cash Flows"}</definedName>
    <definedName name="wrn18.brief" localSheetId="15" hidden="1">{#N/A,#N/A,TRUE,"Summary";#N/A,#N/A,TRUE,"Balance Sheet";#N/A,#N/A,TRUE,"P &amp; L";#N/A,#N/A,TRUE,"Fixed Assets";#N/A,#N/A,TRUE,"Cash Flows"}</definedName>
    <definedName name="wrn18.brief" localSheetId="18" hidden="1">{#N/A,#N/A,TRUE,"Summary";#N/A,#N/A,TRUE,"Balance Sheet";#N/A,#N/A,TRUE,"P &amp; L";#N/A,#N/A,TRUE,"Fixed Assets";#N/A,#N/A,TRUE,"Cash Flows"}</definedName>
    <definedName name="wrn18.brief" localSheetId="16" hidden="1">{#N/A,#N/A,TRUE,"Summary";#N/A,#N/A,TRUE,"Balance Sheet";#N/A,#N/A,TRUE,"P &amp; L";#N/A,#N/A,TRUE,"Fixed Assets";#N/A,#N/A,TRUE,"Cash Flows"}</definedName>
    <definedName name="wrn18.brief" localSheetId="13" hidden="1">{#N/A,#N/A,TRUE,"Summary";#N/A,#N/A,TRUE,"Balance Sheet";#N/A,#N/A,TRUE,"P &amp; L";#N/A,#N/A,TRUE,"Fixed Assets";#N/A,#N/A,TRUE,"Cash Flows"}</definedName>
    <definedName name="wrn18.brief" localSheetId="12" hidden="1">{#N/A,#N/A,TRUE,"Summary";#N/A,#N/A,TRUE,"Balance Sheet";#N/A,#N/A,TRUE,"P &amp; L";#N/A,#N/A,TRUE,"Fixed Assets";#N/A,#N/A,TRUE,"Cash Flows"}</definedName>
    <definedName name="wrn18.brief" hidden="1">{#N/A,#N/A,TRUE,"Summary";#N/A,#N/A,TRUE,"Balance Sheet";#N/A,#N/A,TRUE,"P &amp; L";#N/A,#N/A,TRUE,"Fixed Assets";#N/A,#N/A,TRUE,"Cash Flows"}</definedName>
    <definedName name="wrn19.elaborate" localSheetId="14" hidden="1">{#N/A,#N/A,FALSE,"Cash Flows";#N/A,#N/A,FALSE,"Fixed Assets";#N/A,#N/A,FALSE,"Balance Sheet";#N/A,#N/A,FALSE,"P &amp; L"}</definedName>
    <definedName name="wrn19.elaborate" localSheetId="15" hidden="1">{#N/A,#N/A,FALSE,"Cash Flows";#N/A,#N/A,FALSE,"Fixed Assets";#N/A,#N/A,FALSE,"Balance Sheet";#N/A,#N/A,FALSE,"P &amp; L"}</definedName>
    <definedName name="wrn19.elaborate" localSheetId="18" hidden="1">{#N/A,#N/A,FALSE,"Cash Flows";#N/A,#N/A,FALSE,"Fixed Assets";#N/A,#N/A,FALSE,"Balance Sheet";#N/A,#N/A,FALSE,"P &amp; L"}</definedName>
    <definedName name="wrn19.elaborate" localSheetId="16" hidden="1">{#N/A,#N/A,FALSE,"Cash Flows";#N/A,#N/A,FALSE,"Fixed Assets";#N/A,#N/A,FALSE,"Balance Sheet";#N/A,#N/A,FALSE,"P &amp; L"}</definedName>
    <definedName name="wrn19.elaborate" localSheetId="13" hidden="1">{#N/A,#N/A,FALSE,"Cash Flows";#N/A,#N/A,FALSE,"Fixed Assets";#N/A,#N/A,FALSE,"Balance Sheet";#N/A,#N/A,FALSE,"P &amp; L"}</definedName>
    <definedName name="wrn19.elaborate" localSheetId="12" hidden="1">{#N/A,#N/A,FALSE,"Cash Flows";#N/A,#N/A,FALSE,"Fixed Assets";#N/A,#N/A,FALSE,"Balance Sheet";#N/A,#N/A,FALSE,"P &amp; L"}</definedName>
    <definedName name="wrn19.elaborate" hidden="1">{#N/A,#N/A,FALSE,"Cash Flows";#N/A,#N/A,FALSE,"Fixed Assets";#N/A,#N/A,FALSE,"Balance Sheet";#N/A,#N/A,FALSE,"P &amp; L"}</definedName>
    <definedName name="wrn2.brief" localSheetId="14" hidden="1">{#N/A,#N/A,TRUE,"Summary";#N/A,#N/A,TRUE,"Balance Sheet";#N/A,#N/A,TRUE,"P &amp; L";#N/A,#N/A,TRUE,"Fixed Assets";#N/A,#N/A,TRUE,"Cash Flows"}</definedName>
    <definedName name="wrn2.brief" localSheetId="15" hidden="1">{#N/A,#N/A,TRUE,"Summary";#N/A,#N/A,TRUE,"Balance Sheet";#N/A,#N/A,TRUE,"P &amp; L";#N/A,#N/A,TRUE,"Fixed Assets";#N/A,#N/A,TRUE,"Cash Flows"}</definedName>
    <definedName name="wrn2.brief" localSheetId="18" hidden="1">{#N/A,#N/A,TRUE,"Summary";#N/A,#N/A,TRUE,"Balance Sheet";#N/A,#N/A,TRUE,"P &amp; L";#N/A,#N/A,TRUE,"Fixed Assets";#N/A,#N/A,TRUE,"Cash Flows"}</definedName>
    <definedName name="wrn2.brief" localSheetId="16" hidden="1">{#N/A,#N/A,TRUE,"Summary";#N/A,#N/A,TRUE,"Balance Sheet";#N/A,#N/A,TRUE,"P &amp; L";#N/A,#N/A,TRUE,"Fixed Assets";#N/A,#N/A,TRUE,"Cash Flows"}</definedName>
    <definedName name="wrn2.brief" localSheetId="13" hidden="1">{#N/A,#N/A,TRUE,"Summary";#N/A,#N/A,TRUE,"Balance Sheet";#N/A,#N/A,TRUE,"P &amp; L";#N/A,#N/A,TRUE,"Fixed Assets";#N/A,#N/A,TRUE,"Cash Flows"}</definedName>
    <definedName name="wrn2.brief" localSheetId="12" hidden="1">{#N/A,#N/A,TRUE,"Summary";#N/A,#N/A,TRUE,"Balance Sheet";#N/A,#N/A,TRUE,"P &amp; L";#N/A,#N/A,TRUE,"Fixed Assets";#N/A,#N/A,TRUE,"Cash Flows"}</definedName>
    <definedName name="wrn2.brief" hidden="1">{#N/A,#N/A,TRUE,"Summary";#N/A,#N/A,TRUE,"Balance Sheet";#N/A,#N/A,TRUE,"P &amp; L";#N/A,#N/A,TRUE,"Fixed Assets";#N/A,#N/A,TRUE,"Cash Flows"}</definedName>
    <definedName name="wrn20.brief" localSheetId="14" hidden="1">{#N/A,#N/A,TRUE,"Summary";#N/A,#N/A,TRUE,"Balance Sheet";#N/A,#N/A,TRUE,"P &amp; L";#N/A,#N/A,TRUE,"Fixed Assets";#N/A,#N/A,TRUE,"Cash Flows"}</definedName>
    <definedName name="wrn20.brief" localSheetId="15" hidden="1">{#N/A,#N/A,TRUE,"Summary";#N/A,#N/A,TRUE,"Balance Sheet";#N/A,#N/A,TRUE,"P &amp; L";#N/A,#N/A,TRUE,"Fixed Assets";#N/A,#N/A,TRUE,"Cash Flows"}</definedName>
    <definedName name="wrn20.brief" localSheetId="18" hidden="1">{#N/A,#N/A,TRUE,"Summary";#N/A,#N/A,TRUE,"Balance Sheet";#N/A,#N/A,TRUE,"P &amp; L";#N/A,#N/A,TRUE,"Fixed Assets";#N/A,#N/A,TRUE,"Cash Flows"}</definedName>
    <definedName name="wrn20.brief" localSheetId="16" hidden="1">{#N/A,#N/A,TRUE,"Summary";#N/A,#N/A,TRUE,"Balance Sheet";#N/A,#N/A,TRUE,"P &amp; L";#N/A,#N/A,TRUE,"Fixed Assets";#N/A,#N/A,TRUE,"Cash Flows"}</definedName>
    <definedName name="wrn20.brief" localSheetId="13" hidden="1">{#N/A,#N/A,TRUE,"Summary";#N/A,#N/A,TRUE,"Balance Sheet";#N/A,#N/A,TRUE,"P &amp; L";#N/A,#N/A,TRUE,"Fixed Assets";#N/A,#N/A,TRUE,"Cash Flows"}</definedName>
    <definedName name="wrn20.brief" localSheetId="12" hidden="1">{#N/A,#N/A,TRUE,"Summary";#N/A,#N/A,TRUE,"Balance Sheet";#N/A,#N/A,TRUE,"P &amp; L";#N/A,#N/A,TRUE,"Fixed Assets";#N/A,#N/A,TRUE,"Cash Flows"}</definedName>
    <definedName name="wrn20.brief" hidden="1">{#N/A,#N/A,TRUE,"Summary";#N/A,#N/A,TRUE,"Balance Sheet";#N/A,#N/A,TRUE,"P &amp; L";#N/A,#N/A,TRUE,"Fixed Assets";#N/A,#N/A,TRUE,"Cash Flows"}</definedName>
    <definedName name="wrn20.elaborate" localSheetId="14" hidden="1">{#N/A,#N/A,FALSE,"Cash Flows";#N/A,#N/A,FALSE,"Fixed Assets";#N/A,#N/A,FALSE,"Balance Sheet";#N/A,#N/A,FALSE,"P &amp; L"}</definedName>
    <definedName name="wrn20.elaborate" localSheetId="15" hidden="1">{#N/A,#N/A,FALSE,"Cash Flows";#N/A,#N/A,FALSE,"Fixed Assets";#N/A,#N/A,FALSE,"Balance Sheet";#N/A,#N/A,FALSE,"P &amp; L"}</definedName>
    <definedName name="wrn20.elaborate" localSheetId="18" hidden="1">{#N/A,#N/A,FALSE,"Cash Flows";#N/A,#N/A,FALSE,"Fixed Assets";#N/A,#N/A,FALSE,"Balance Sheet";#N/A,#N/A,FALSE,"P &amp; L"}</definedName>
    <definedName name="wrn20.elaborate" localSheetId="16" hidden="1">{#N/A,#N/A,FALSE,"Cash Flows";#N/A,#N/A,FALSE,"Fixed Assets";#N/A,#N/A,FALSE,"Balance Sheet";#N/A,#N/A,FALSE,"P &amp; L"}</definedName>
    <definedName name="wrn20.elaborate" localSheetId="13" hidden="1">{#N/A,#N/A,FALSE,"Cash Flows";#N/A,#N/A,FALSE,"Fixed Assets";#N/A,#N/A,FALSE,"Balance Sheet";#N/A,#N/A,FALSE,"P &amp; L"}</definedName>
    <definedName name="wrn20.elaborate" localSheetId="12" hidden="1">{#N/A,#N/A,FALSE,"Cash Flows";#N/A,#N/A,FALSE,"Fixed Assets";#N/A,#N/A,FALSE,"Balance Sheet";#N/A,#N/A,FALSE,"P &amp; L"}</definedName>
    <definedName name="wrn20.elaborate" hidden="1">{#N/A,#N/A,FALSE,"Cash Flows";#N/A,#N/A,FALSE,"Fixed Assets";#N/A,#N/A,FALSE,"Balance Sheet";#N/A,#N/A,FALSE,"P &amp; L"}</definedName>
    <definedName name="wrn21.elaborate" localSheetId="14" hidden="1">{#N/A,#N/A,FALSE,"Cash Flows";#N/A,#N/A,FALSE,"Fixed Assets";#N/A,#N/A,FALSE,"Balance Sheet";#N/A,#N/A,FALSE,"P &amp; L"}</definedName>
    <definedName name="wrn21.elaborate" localSheetId="15" hidden="1">{#N/A,#N/A,FALSE,"Cash Flows";#N/A,#N/A,FALSE,"Fixed Assets";#N/A,#N/A,FALSE,"Balance Sheet";#N/A,#N/A,FALSE,"P &amp; L"}</definedName>
    <definedName name="wrn21.elaborate" localSheetId="18" hidden="1">{#N/A,#N/A,FALSE,"Cash Flows";#N/A,#N/A,FALSE,"Fixed Assets";#N/A,#N/A,FALSE,"Balance Sheet";#N/A,#N/A,FALSE,"P &amp; L"}</definedName>
    <definedName name="wrn21.elaborate" localSheetId="16" hidden="1">{#N/A,#N/A,FALSE,"Cash Flows";#N/A,#N/A,FALSE,"Fixed Assets";#N/A,#N/A,FALSE,"Balance Sheet";#N/A,#N/A,FALSE,"P &amp; L"}</definedName>
    <definedName name="wrn21.elaborate" localSheetId="13" hidden="1">{#N/A,#N/A,FALSE,"Cash Flows";#N/A,#N/A,FALSE,"Fixed Assets";#N/A,#N/A,FALSE,"Balance Sheet";#N/A,#N/A,FALSE,"P &amp; L"}</definedName>
    <definedName name="wrn21.elaborate" localSheetId="12" hidden="1">{#N/A,#N/A,FALSE,"Cash Flows";#N/A,#N/A,FALSE,"Fixed Assets";#N/A,#N/A,FALSE,"Balance Sheet";#N/A,#N/A,FALSE,"P &amp; L"}</definedName>
    <definedName name="wrn21.elaborate" hidden="1">{#N/A,#N/A,FALSE,"Cash Flows";#N/A,#N/A,FALSE,"Fixed Assets";#N/A,#N/A,FALSE,"Balance Sheet";#N/A,#N/A,FALSE,"P &amp; L"}</definedName>
    <definedName name="Wrn22.brief" localSheetId="14" hidden="1">{#N/A,#N/A,TRUE,"Summary";#N/A,#N/A,TRUE,"Balance Sheet";#N/A,#N/A,TRUE,"P &amp; L";#N/A,#N/A,TRUE,"Fixed Assets";#N/A,#N/A,TRUE,"Cash Flows"}</definedName>
    <definedName name="Wrn22.brief" localSheetId="15" hidden="1">{#N/A,#N/A,TRUE,"Summary";#N/A,#N/A,TRUE,"Balance Sheet";#N/A,#N/A,TRUE,"P &amp; L";#N/A,#N/A,TRUE,"Fixed Assets";#N/A,#N/A,TRUE,"Cash Flows"}</definedName>
    <definedName name="Wrn22.brief" localSheetId="18" hidden="1">{#N/A,#N/A,TRUE,"Summary";#N/A,#N/A,TRUE,"Balance Sheet";#N/A,#N/A,TRUE,"P &amp; L";#N/A,#N/A,TRUE,"Fixed Assets";#N/A,#N/A,TRUE,"Cash Flows"}</definedName>
    <definedName name="Wrn22.brief" localSheetId="16" hidden="1">{#N/A,#N/A,TRUE,"Summary";#N/A,#N/A,TRUE,"Balance Sheet";#N/A,#N/A,TRUE,"P &amp; L";#N/A,#N/A,TRUE,"Fixed Assets";#N/A,#N/A,TRUE,"Cash Flows"}</definedName>
    <definedName name="Wrn22.brief" localSheetId="13" hidden="1">{#N/A,#N/A,TRUE,"Summary";#N/A,#N/A,TRUE,"Balance Sheet";#N/A,#N/A,TRUE,"P &amp; L";#N/A,#N/A,TRUE,"Fixed Assets";#N/A,#N/A,TRUE,"Cash Flows"}</definedName>
    <definedName name="Wrn22.brief" localSheetId="12" hidden="1">{#N/A,#N/A,TRUE,"Summary";#N/A,#N/A,TRUE,"Balance Sheet";#N/A,#N/A,TRUE,"P &amp; L";#N/A,#N/A,TRUE,"Fixed Assets";#N/A,#N/A,TRUE,"Cash Flows"}</definedName>
    <definedName name="Wrn22.brief" hidden="1">{#N/A,#N/A,TRUE,"Summary";#N/A,#N/A,TRUE,"Balance Sheet";#N/A,#N/A,TRUE,"P &amp; L";#N/A,#N/A,TRUE,"Fixed Assets";#N/A,#N/A,TRUE,"Cash Flows"}</definedName>
    <definedName name="wrn22.elaborate" localSheetId="14" hidden="1">{#N/A,#N/A,FALSE,"Cash Flows";#N/A,#N/A,FALSE,"Fixed Assets";#N/A,#N/A,FALSE,"Balance Sheet";#N/A,#N/A,FALSE,"P &amp; L"}</definedName>
    <definedName name="wrn22.elaborate" localSheetId="15" hidden="1">{#N/A,#N/A,FALSE,"Cash Flows";#N/A,#N/A,FALSE,"Fixed Assets";#N/A,#N/A,FALSE,"Balance Sheet";#N/A,#N/A,FALSE,"P &amp; L"}</definedName>
    <definedName name="wrn22.elaborate" localSheetId="18" hidden="1">{#N/A,#N/A,FALSE,"Cash Flows";#N/A,#N/A,FALSE,"Fixed Assets";#N/A,#N/A,FALSE,"Balance Sheet";#N/A,#N/A,FALSE,"P &amp; L"}</definedName>
    <definedName name="wrn22.elaborate" localSheetId="16" hidden="1">{#N/A,#N/A,FALSE,"Cash Flows";#N/A,#N/A,FALSE,"Fixed Assets";#N/A,#N/A,FALSE,"Balance Sheet";#N/A,#N/A,FALSE,"P &amp; L"}</definedName>
    <definedName name="wrn22.elaborate" localSheetId="13" hidden="1">{#N/A,#N/A,FALSE,"Cash Flows";#N/A,#N/A,FALSE,"Fixed Assets";#N/A,#N/A,FALSE,"Balance Sheet";#N/A,#N/A,FALSE,"P &amp; L"}</definedName>
    <definedName name="wrn22.elaborate" localSheetId="12" hidden="1">{#N/A,#N/A,FALSE,"Cash Flows";#N/A,#N/A,FALSE,"Fixed Assets";#N/A,#N/A,FALSE,"Balance Sheet";#N/A,#N/A,FALSE,"P &amp; L"}</definedName>
    <definedName name="wrn22.elaborate" hidden="1">{#N/A,#N/A,FALSE,"Cash Flows";#N/A,#N/A,FALSE,"Fixed Assets";#N/A,#N/A,FALSE,"Balance Sheet";#N/A,#N/A,FALSE,"P &amp; L"}</definedName>
    <definedName name="wrn24.brief" localSheetId="14" hidden="1">{#N/A,#N/A,TRUE,"Summary";#N/A,#N/A,TRUE,"Balance Sheet";#N/A,#N/A,TRUE,"P &amp; L";#N/A,#N/A,TRUE,"Fixed Assets";#N/A,#N/A,TRUE,"Cash Flows"}</definedName>
    <definedName name="wrn24.brief" localSheetId="15" hidden="1">{#N/A,#N/A,TRUE,"Summary";#N/A,#N/A,TRUE,"Balance Sheet";#N/A,#N/A,TRUE,"P &amp; L";#N/A,#N/A,TRUE,"Fixed Assets";#N/A,#N/A,TRUE,"Cash Flows"}</definedName>
    <definedName name="wrn24.brief" localSheetId="18" hidden="1">{#N/A,#N/A,TRUE,"Summary";#N/A,#N/A,TRUE,"Balance Sheet";#N/A,#N/A,TRUE,"P &amp; L";#N/A,#N/A,TRUE,"Fixed Assets";#N/A,#N/A,TRUE,"Cash Flows"}</definedName>
    <definedName name="wrn24.brief" localSheetId="16" hidden="1">{#N/A,#N/A,TRUE,"Summary";#N/A,#N/A,TRUE,"Balance Sheet";#N/A,#N/A,TRUE,"P &amp; L";#N/A,#N/A,TRUE,"Fixed Assets";#N/A,#N/A,TRUE,"Cash Flows"}</definedName>
    <definedName name="wrn24.brief" localSheetId="13" hidden="1">{#N/A,#N/A,TRUE,"Summary";#N/A,#N/A,TRUE,"Balance Sheet";#N/A,#N/A,TRUE,"P &amp; L";#N/A,#N/A,TRUE,"Fixed Assets";#N/A,#N/A,TRUE,"Cash Flows"}</definedName>
    <definedName name="wrn24.brief" localSheetId="12" hidden="1">{#N/A,#N/A,TRUE,"Summary";#N/A,#N/A,TRUE,"Balance Sheet";#N/A,#N/A,TRUE,"P &amp; L";#N/A,#N/A,TRUE,"Fixed Assets";#N/A,#N/A,TRUE,"Cash Flows"}</definedName>
    <definedName name="wrn24.brief" hidden="1">{#N/A,#N/A,TRUE,"Summary";#N/A,#N/A,TRUE,"Balance Sheet";#N/A,#N/A,TRUE,"P &amp; L";#N/A,#N/A,TRUE,"Fixed Assets";#N/A,#N/A,TRUE,"Cash Flows"}</definedName>
    <definedName name="wrn25.breif" localSheetId="14" hidden="1">{#N/A,#N/A,TRUE,"Summary";#N/A,#N/A,TRUE,"Balance Sheet";#N/A,#N/A,TRUE,"P &amp; L";#N/A,#N/A,TRUE,"Fixed Assets";#N/A,#N/A,TRUE,"Cash Flows"}</definedName>
    <definedName name="wrn25.breif" localSheetId="15" hidden="1">{#N/A,#N/A,TRUE,"Summary";#N/A,#N/A,TRUE,"Balance Sheet";#N/A,#N/A,TRUE,"P &amp; L";#N/A,#N/A,TRUE,"Fixed Assets";#N/A,#N/A,TRUE,"Cash Flows"}</definedName>
    <definedName name="wrn25.breif" localSheetId="18" hidden="1">{#N/A,#N/A,TRUE,"Summary";#N/A,#N/A,TRUE,"Balance Sheet";#N/A,#N/A,TRUE,"P &amp; L";#N/A,#N/A,TRUE,"Fixed Assets";#N/A,#N/A,TRUE,"Cash Flows"}</definedName>
    <definedName name="wrn25.breif" localSheetId="16" hidden="1">{#N/A,#N/A,TRUE,"Summary";#N/A,#N/A,TRUE,"Balance Sheet";#N/A,#N/A,TRUE,"P &amp; L";#N/A,#N/A,TRUE,"Fixed Assets";#N/A,#N/A,TRUE,"Cash Flows"}</definedName>
    <definedName name="wrn25.breif" localSheetId="13" hidden="1">{#N/A,#N/A,TRUE,"Summary";#N/A,#N/A,TRUE,"Balance Sheet";#N/A,#N/A,TRUE,"P &amp; L";#N/A,#N/A,TRUE,"Fixed Assets";#N/A,#N/A,TRUE,"Cash Flows"}</definedName>
    <definedName name="wrn25.breif" localSheetId="12" hidden="1">{#N/A,#N/A,TRUE,"Summary";#N/A,#N/A,TRUE,"Balance Sheet";#N/A,#N/A,TRUE,"P &amp; L";#N/A,#N/A,TRUE,"Fixed Assets";#N/A,#N/A,TRUE,"Cash Flows"}</definedName>
    <definedName name="wrn25.breif" hidden="1">{#N/A,#N/A,TRUE,"Summary";#N/A,#N/A,TRUE,"Balance Sheet";#N/A,#N/A,TRUE,"P &amp; L";#N/A,#N/A,TRUE,"Fixed Assets";#N/A,#N/A,TRUE,"Cash Flows"}</definedName>
    <definedName name="wrn25.elaborate" localSheetId="14" hidden="1">{#N/A,#N/A,FALSE,"Cash Flows";#N/A,#N/A,FALSE,"Fixed Assets";#N/A,#N/A,FALSE,"Balance Sheet";#N/A,#N/A,FALSE,"P &amp; L"}</definedName>
    <definedName name="wrn25.elaborate" localSheetId="15" hidden="1">{#N/A,#N/A,FALSE,"Cash Flows";#N/A,#N/A,FALSE,"Fixed Assets";#N/A,#N/A,FALSE,"Balance Sheet";#N/A,#N/A,FALSE,"P &amp; L"}</definedName>
    <definedName name="wrn25.elaborate" localSheetId="18" hidden="1">{#N/A,#N/A,FALSE,"Cash Flows";#N/A,#N/A,FALSE,"Fixed Assets";#N/A,#N/A,FALSE,"Balance Sheet";#N/A,#N/A,FALSE,"P &amp; L"}</definedName>
    <definedName name="wrn25.elaborate" localSheetId="16" hidden="1">{#N/A,#N/A,FALSE,"Cash Flows";#N/A,#N/A,FALSE,"Fixed Assets";#N/A,#N/A,FALSE,"Balance Sheet";#N/A,#N/A,FALSE,"P &amp; L"}</definedName>
    <definedName name="wrn25.elaborate" localSheetId="13" hidden="1">{#N/A,#N/A,FALSE,"Cash Flows";#N/A,#N/A,FALSE,"Fixed Assets";#N/A,#N/A,FALSE,"Balance Sheet";#N/A,#N/A,FALSE,"P &amp; L"}</definedName>
    <definedName name="wrn25.elaborate" localSheetId="12" hidden="1">{#N/A,#N/A,FALSE,"Cash Flows";#N/A,#N/A,FALSE,"Fixed Assets";#N/A,#N/A,FALSE,"Balance Sheet";#N/A,#N/A,FALSE,"P &amp; L"}</definedName>
    <definedName name="wrn25.elaborate" hidden="1">{#N/A,#N/A,FALSE,"Cash Flows";#N/A,#N/A,FALSE,"Fixed Assets";#N/A,#N/A,FALSE,"Balance Sheet";#N/A,#N/A,FALSE,"P &amp; L"}</definedName>
    <definedName name="wrn26.brief" localSheetId="14" hidden="1">{#N/A,#N/A,TRUE,"Summary";#N/A,#N/A,TRUE,"Balance Sheet";#N/A,#N/A,TRUE,"P &amp; L";#N/A,#N/A,TRUE,"Fixed Assets";#N/A,#N/A,TRUE,"Cash Flows"}</definedName>
    <definedName name="wrn26.brief" localSheetId="15" hidden="1">{#N/A,#N/A,TRUE,"Summary";#N/A,#N/A,TRUE,"Balance Sheet";#N/A,#N/A,TRUE,"P &amp; L";#N/A,#N/A,TRUE,"Fixed Assets";#N/A,#N/A,TRUE,"Cash Flows"}</definedName>
    <definedName name="wrn26.brief" localSheetId="18" hidden="1">{#N/A,#N/A,TRUE,"Summary";#N/A,#N/A,TRUE,"Balance Sheet";#N/A,#N/A,TRUE,"P &amp; L";#N/A,#N/A,TRUE,"Fixed Assets";#N/A,#N/A,TRUE,"Cash Flows"}</definedName>
    <definedName name="wrn26.brief" localSheetId="16" hidden="1">{#N/A,#N/A,TRUE,"Summary";#N/A,#N/A,TRUE,"Balance Sheet";#N/A,#N/A,TRUE,"P &amp; L";#N/A,#N/A,TRUE,"Fixed Assets";#N/A,#N/A,TRUE,"Cash Flows"}</definedName>
    <definedName name="wrn26.brief" localSheetId="13" hidden="1">{#N/A,#N/A,TRUE,"Summary";#N/A,#N/A,TRUE,"Balance Sheet";#N/A,#N/A,TRUE,"P &amp; L";#N/A,#N/A,TRUE,"Fixed Assets";#N/A,#N/A,TRUE,"Cash Flows"}</definedName>
    <definedName name="wrn26.brief" localSheetId="12" hidden="1">{#N/A,#N/A,TRUE,"Summary";#N/A,#N/A,TRUE,"Balance Sheet";#N/A,#N/A,TRUE,"P &amp; L";#N/A,#N/A,TRUE,"Fixed Assets";#N/A,#N/A,TRUE,"Cash Flows"}</definedName>
    <definedName name="wrn26.brief" hidden="1">{#N/A,#N/A,TRUE,"Summary";#N/A,#N/A,TRUE,"Balance Sheet";#N/A,#N/A,TRUE,"P &amp; L";#N/A,#N/A,TRUE,"Fixed Assets";#N/A,#N/A,TRUE,"Cash Flows"}</definedName>
    <definedName name="wrn27.elaborate" localSheetId="14" hidden="1">{#N/A,#N/A,FALSE,"Cash Flows";#N/A,#N/A,FALSE,"Fixed Assets";#N/A,#N/A,FALSE,"Balance Sheet";#N/A,#N/A,FALSE,"P &amp; L"}</definedName>
    <definedName name="wrn27.elaborate" localSheetId="15" hidden="1">{#N/A,#N/A,FALSE,"Cash Flows";#N/A,#N/A,FALSE,"Fixed Assets";#N/A,#N/A,FALSE,"Balance Sheet";#N/A,#N/A,FALSE,"P &amp; L"}</definedName>
    <definedName name="wrn27.elaborate" localSheetId="18" hidden="1">{#N/A,#N/A,FALSE,"Cash Flows";#N/A,#N/A,FALSE,"Fixed Assets";#N/A,#N/A,FALSE,"Balance Sheet";#N/A,#N/A,FALSE,"P &amp; L"}</definedName>
    <definedName name="wrn27.elaborate" localSheetId="16" hidden="1">{#N/A,#N/A,FALSE,"Cash Flows";#N/A,#N/A,FALSE,"Fixed Assets";#N/A,#N/A,FALSE,"Balance Sheet";#N/A,#N/A,FALSE,"P &amp; L"}</definedName>
    <definedName name="wrn27.elaborate" localSheetId="13" hidden="1">{#N/A,#N/A,FALSE,"Cash Flows";#N/A,#N/A,FALSE,"Fixed Assets";#N/A,#N/A,FALSE,"Balance Sheet";#N/A,#N/A,FALSE,"P &amp; L"}</definedName>
    <definedName name="wrn27.elaborate" localSheetId="12" hidden="1">{#N/A,#N/A,FALSE,"Cash Flows";#N/A,#N/A,FALSE,"Fixed Assets";#N/A,#N/A,FALSE,"Balance Sheet";#N/A,#N/A,FALSE,"P &amp; L"}</definedName>
    <definedName name="wrn27.elaborate" hidden="1">{#N/A,#N/A,FALSE,"Cash Flows";#N/A,#N/A,FALSE,"Fixed Assets";#N/A,#N/A,FALSE,"Balance Sheet";#N/A,#N/A,FALSE,"P &amp; L"}</definedName>
    <definedName name="wrn28.brief" localSheetId="14" hidden="1">{#N/A,#N/A,TRUE,"Summary";#N/A,#N/A,TRUE,"Balance Sheet";#N/A,#N/A,TRUE,"P &amp; L";#N/A,#N/A,TRUE,"Fixed Assets";#N/A,#N/A,TRUE,"Cash Flows"}</definedName>
    <definedName name="wrn28.brief" localSheetId="15" hidden="1">{#N/A,#N/A,TRUE,"Summary";#N/A,#N/A,TRUE,"Balance Sheet";#N/A,#N/A,TRUE,"P &amp; L";#N/A,#N/A,TRUE,"Fixed Assets";#N/A,#N/A,TRUE,"Cash Flows"}</definedName>
    <definedName name="wrn28.brief" localSheetId="18" hidden="1">{#N/A,#N/A,TRUE,"Summary";#N/A,#N/A,TRUE,"Balance Sheet";#N/A,#N/A,TRUE,"P &amp; L";#N/A,#N/A,TRUE,"Fixed Assets";#N/A,#N/A,TRUE,"Cash Flows"}</definedName>
    <definedName name="wrn28.brief" localSheetId="16" hidden="1">{#N/A,#N/A,TRUE,"Summary";#N/A,#N/A,TRUE,"Balance Sheet";#N/A,#N/A,TRUE,"P &amp; L";#N/A,#N/A,TRUE,"Fixed Assets";#N/A,#N/A,TRUE,"Cash Flows"}</definedName>
    <definedName name="wrn28.brief" localSheetId="13" hidden="1">{#N/A,#N/A,TRUE,"Summary";#N/A,#N/A,TRUE,"Balance Sheet";#N/A,#N/A,TRUE,"P &amp; L";#N/A,#N/A,TRUE,"Fixed Assets";#N/A,#N/A,TRUE,"Cash Flows"}</definedName>
    <definedName name="wrn28.brief" localSheetId="12" hidden="1">{#N/A,#N/A,TRUE,"Summary";#N/A,#N/A,TRUE,"Balance Sheet";#N/A,#N/A,TRUE,"P &amp; L";#N/A,#N/A,TRUE,"Fixed Assets";#N/A,#N/A,TRUE,"Cash Flows"}</definedName>
    <definedName name="wrn28.brief" hidden="1">{#N/A,#N/A,TRUE,"Summary";#N/A,#N/A,TRUE,"Balance Sheet";#N/A,#N/A,TRUE,"P &amp; L";#N/A,#N/A,TRUE,"Fixed Assets";#N/A,#N/A,TRUE,"Cash Flows"}</definedName>
    <definedName name="wrn29.brief" localSheetId="14" hidden="1">{#N/A,#N/A,TRUE,"Summary";#N/A,#N/A,TRUE,"Balance Sheet";#N/A,#N/A,TRUE,"P &amp; L";#N/A,#N/A,TRUE,"Fixed Assets";#N/A,#N/A,TRUE,"Cash Flows"}</definedName>
    <definedName name="wrn29.brief" localSheetId="15" hidden="1">{#N/A,#N/A,TRUE,"Summary";#N/A,#N/A,TRUE,"Balance Sheet";#N/A,#N/A,TRUE,"P &amp; L";#N/A,#N/A,TRUE,"Fixed Assets";#N/A,#N/A,TRUE,"Cash Flows"}</definedName>
    <definedName name="wrn29.brief" localSheetId="18" hidden="1">{#N/A,#N/A,TRUE,"Summary";#N/A,#N/A,TRUE,"Balance Sheet";#N/A,#N/A,TRUE,"P &amp; L";#N/A,#N/A,TRUE,"Fixed Assets";#N/A,#N/A,TRUE,"Cash Flows"}</definedName>
    <definedName name="wrn29.brief" localSheetId="16" hidden="1">{#N/A,#N/A,TRUE,"Summary";#N/A,#N/A,TRUE,"Balance Sheet";#N/A,#N/A,TRUE,"P &amp; L";#N/A,#N/A,TRUE,"Fixed Assets";#N/A,#N/A,TRUE,"Cash Flows"}</definedName>
    <definedName name="wrn29.brief" localSheetId="13" hidden="1">{#N/A,#N/A,TRUE,"Summary";#N/A,#N/A,TRUE,"Balance Sheet";#N/A,#N/A,TRUE,"P &amp; L";#N/A,#N/A,TRUE,"Fixed Assets";#N/A,#N/A,TRUE,"Cash Flows"}</definedName>
    <definedName name="wrn29.brief" localSheetId="12" hidden="1">{#N/A,#N/A,TRUE,"Summary";#N/A,#N/A,TRUE,"Balance Sheet";#N/A,#N/A,TRUE,"P &amp; L";#N/A,#N/A,TRUE,"Fixed Assets";#N/A,#N/A,TRUE,"Cash Flows"}</definedName>
    <definedName name="wrn29.brief" hidden="1">{#N/A,#N/A,TRUE,"Summary";#N/A,#N/A,TRUE,"Balance Sheet";#N/A,#N/A,TRUE,"P &amp; L";#N/A,#N/A,TRUE,"Fixed Assets";#N/A,#N/A,TRUE,"Cash Flows"}</definedName>
    <definedName name="wrn29.elaborate" localSheetId="14" hidden="1">{#N/A,#N/A,FALSE,"Cash Flows";#N/A,#N/A,FALSE,"Fixed Assets";#N/A,#N/A,FALSE,"Balance Sheet";#N/A,#N/A,FALSE,"P &amp; L"}</definedName>
    <definedName name="wrn29.elaborate" localSheetId="15" hidden="1">{#N/A,#N/A,FALSE,"Cash Flows";#N/A,#N/A,FALSE,"Fixed Assets";#N/A,#N/A,FALSE,"Balance Sheet";#N/A,#N/A,FALSE,"P &amp; L"}</definedName>
    <definedName name="wrn29.elaborate" localSheetId="18" hidden="1">{#N/A,#N/A,FALSE,"Cash Flows";#N/A,#N/A,FALSE,"Fixed Assets";#N/A,#N/A,FALSE,"Balance Sheet";#N/A,#N/A,FALSE,"P &amp; L"}</definedName>
    <definedName name="wrn29.elaborate" localSheetId="16" hidden="1">{#N/A,#N/A,FALSE,"Cash Flows";#N/A,#N/A,FALSE,"Fixed Assets";#N/A,#N/A,FALSE,"Balance Sheet";#N/A,#N/A,FALSE,"P &amp; L"}</definedName>
    <definedName name="wrn29.elaborate" localSheetId="13" hidden="1">{#N/A,#N/A,FALSE,"Cash Flows";#N/A,#N/A,FALSE,"Fixed Assets";#N/A,#N/A,FALSE,"Balance Sheet";#N/A,#N/A,FALSE,"P &amp; L"}</definedName>
    <definedName name="wrn29.elaborate" localSheetId="12" hidden="1">{#N/A,#N/A,FALSE,"Cash Flows";#N/A,#N/A,FALSE,"Fixed Assets";#N/A,#N/A,FALSE,"Balance Sheet";#N/A,#N/A,FALSE,"P &amp; L"}</definedName>
    <definedName name="wrn29.elaborate" hidden="1">{#N/A,#N/A,FALSE,"Cash Flows";#N/A,#N/A,FALSE,"Fixed Assets";#N/A,#N/A,FALSE,"Balance Sheet";#N/A,#N/A,FALSE,"P &amp; L"}</definedName>
    <definedName name="wrn3.brief" localSheetId="14" hidden="1">{#N/A,#N/A,TRUE,"Summary";#N/A,#N/A,TRUE,"Balance Sheet";#N/A,#N/A,TRUE,"P &amp; L";#N/A,#N/A,TRUE,"Fixed Assets";#N/A,#N/A,TRUE,"Cash Flows"}</definedName>
    <definedName name="wrn3.brief" localSheetId="15" hidden="1">{#N/A,#N/A,TRUE,"Summary";#N/A,#N/A,TRUE,"Balance Sheet";#N/A,#N/A,TRUE,"P &amp; L";#N/A,#N/A,TRUE,"Fixed Assets";#N/A,#N/A,TRUE,"Cash Flows"}</definedName>
    <definedName name="wrn3.brief" localSheetId="18" hidden="1">{#N/A,#N/A,TRUE,"Summary";#N/A,#N/A,TRUE,"Balance Sheet";#N/A,#N/A,TRUE,"P &amp; L";#N/A,#N/A,TRUE,"Fixed Assets";#N/A,#N/A,TRUE,"Cash Flows"}</definedName>
    <definedName name="wrn3.brief" localSheetId="16" hidden="1">{#N/A,#N/A,TRUE,"Summary";#N/A,#N/A,TRUE,"Balance Sheet";#N/A,#N/A,TRUE,"P &amp; L";#N/A,#N/A,TRUE,"Fixed Assets";#N/A,#N/A,TRUE,"Cash Flows"}</definedName>
    <definedName name="wrn3.brief" localSheetId="13" hidden="1">{#N/A,#N/A,TRUE,"Summary";#N/A,#N/A,TRUE,"Balance Sheet";#N/A,#N/A,TRUE,"P &amp; L";#N/A,#N/A,TRUE,"Fixed Assets";#N/A,#N/A,TRUE,"Cash Flows"}</definedName>
    <definedName name="wrn3.brief" localSheetId="12" hidden="1">{#N/A,#N/A,TRUE,"Summary";#N/A,#N/A,TRUE,"Balance Sheet";#N/A,#N/A,TRUE,"P &amp; L";#N/A,#N/A,TRUE,"Fixed Assets";#N/A,#N/A,TRUE,"Cash Flows"}</definedName>
    <definedName name="wrn3.brief" hidden="1">{#N/A,#N/A,TRUE,"Summary";#N/A,#N/A,TRUE,"Balance Sheet";#N/A,#N/A,TRUE,"P &amp; L";#N/A,#N/A,TRUE,"Fixed Assets";#N/A,#N/A,TRUE,"Cash Flows"}</definedName>
    <definedName name="wrn3.elaborate" localSheetId="14" hidden="1">{#N/A,#N/A,FALSE,"Cash Flows";#N/A,#N/A,FALSE,"Fixed Assets";#N/A,#N/A,FALSE,"Balance Sheet";#N/A,#N/A,FALSE,"P &amp; L"}</definedName>
    <definedName name="wrn3.elaborate" localSheetId="15" hidden="1">{#N/A,#N/A,FALSE,"Cash Flows";#N/A,#N/A,FALSE,"Fixed Assets";#N/A,#N/A,FALSE,"Balance Sheet";#N/A,#N/A,FALSE,"P &amp; L"}</definedName>
    <definedName name="wrn3.elaborate" localSheetId="18" hidden="1">{#N/A,#N/A,FALSE,"Cash Flows";#N/A,#N/A,FALSE,"Fixed Assets";#N/A,#N/A,FALSE,"Balance Sheet";#N/A,#N/A,FALSE,"P &amp; L"}</definedName>
    <definedName name="wrn3.elaborate" localSheetId="16" hidden="1">{#N/A,#N/A,FALSE,"Cash Flows";#N/A,#N/A,FALSE,"Fixed Assets";#N/A,#N/A,FALSE,"Balance Sheet";#N/A,#N/A,FALSE,"P &amp; L"}</definedName>
    <definedName name="wrn3.elaborate" localSheetId="13" hidden="1">{#N/A,#N/A,FALSE,"Cash Flows";#N/A,#N/A,FALSE,"Fixed Assets";#N/A,#N/A,FALSE,"Balance Sheet";#N/A,#N/A,FALSE,"P &amp; L"}</definedName>
    <definedName name="wrn3.elaborate" localSheetId="12" hidden="1">{#N/A,#N/A,FALSE,"Cash Flows";#N/A,#N/A,FALSE,"Fixed Assets";#N/A,#N/A,FALSE,"Balance Sheet";#N/A,#N/A,FALSE,"P &amp; L"}</definedName>
    <definedName name="wrn3.elaborate" hidden="1">{#N/A,#N/A,FALSE,"Cash Flows";#N/A,#N/A,FALSE,"Fixed Assets";#N/A,#N/A,FALSE,"Balance Sheet";#N/A,#N/A,FALSE,"P &amp; L"}</definedName>
    <definedName name="wrn4.brief" localSheetId="14" hidden="1">{#N/A,#N/A,FALSE,"Cash Flows";#N/A,#N/A,FALSE,"Fixed Assets";#N/A,#N/A,FALSE,"Balance Sheet";#N/A,#N/A,FALSE,"P &amp; L"}</definedName>
    <definedName name="wrn4.brief" localSheetId="15" hidden="1">{#N/A,#N/A,FALSE,"Cash Flows";#N/A,#N/A,FALSE,"Fixed Assets";#N/A,#N/A,FALSE,"Balance Sheet";#N/A,#N/A,FALSE,"P &amp; L"}</definedName>
    <definedName name="wrn4.brief" localSheetId="18" hidden="1">{#N/A,#N/A,FALSE,"Cash Flows";#N/A,#N/A,FALSE,"Fixed Assets";#N/A,#N/A,FALSE,"Balance Sheet";#N/A,#N/A,FALSE,"P &amp; L"}</definedName>
    <definedName name="wrn4.brief" localSheetId="16" hidden="1">{#N/A,#N/A,FALSE,"Cash Flows";#N/A,#N/A,FALSE,"Fixed Assets";#N/A,#N/A,FALSE,"Balance Sheet";#N/A,#N/A,FALSE,"P &amp; L"}</definedName>
    <definedName name="wrn4.brief" localSheetId="13" hidden="1">{#N/A,#N/A,FALSE,"Cash Flows";#N/A,#N/A,FALSE,"Fixed Assets";#N/A,#N/A,FALSE,"Balance Sheet";#N/A,#N/A,FALSE,"P &amp; L"}</definedName>
    <definedName name="wrn4.brief" localSheetId="12" hidden="1">{#N/A,#N/A,FALSE,"Cash Flows";#N/A,#N/A,FALSE,"Fixed Assets";#N/A,#N/A,FALSE,"Balance Sheet";#N/A,#N/A,FALSE,"P &amp; L"}</definedName>
    <definedName name="wrn4.brief" hidden="1">{#N/A,#N/A,FALSE,"Cash Flows";#N/A,#N/A,FALSE,"Fixed Assets";#N/A,#N/A,FALSE,"Balance Sheet";#N/A,#N/A,FALSE,"P &amp; L"}</definedName>
    <definedName name="wrn5.brief" localSheetId="14" hidden="1">{#N/A,#N/A,TRUE,"Summary";#N/A,#N/A,TRUE,"Balance Sheet";#N/A,#N/A,TRUE,"P &amp; L";#N/A,#N/A,TRUE,"Fixed Assets";#N/A,#N/A,TRUE,"Cash Flows"}</definedName>
    <definedName name="wrn5.brief" localSheetId="15" hidden="1">{#N/A,#N/A,TRUE,"Summary";#N/A,#N/A,TRUE,"Balance Sheet";#N/A,#N/A,TRUE,"P &amp; L";#N/A,#N/A,TRUE,"Fixed Assets";#N/A,#N/A,TRUE,"Cash Flows"}</definedName>
    <definedName name="wrn5.brief" localSheetId="18" hidden="1">{#N/A,#N/A,TRUE,"Summary";#N/A,#N/A,TRUE,"Balance Sheet";#N/A,#N/A,TRUE,"P &amp; L";#N/A,#N/A,TRUE,"Fixed Assets";#N/A,#N/A,TRUE,"Cash Flows"}</definedName>
    <definedName name="wrn5.brief" localSheetId="16" hidden="1">{#N/A,#N/A,TRUE,"Summary";#N/A,#N/A,TRUE,"Balance Sheet";#N/A,#N/A,TRUE,"P &amp; L";#N/A,#N/A,TRUE,"Fixed Assets";#N/A,#N/A,TRUE,"Cash Flows"}</definedName>
    <definedName name="wrn5.brief" localSheetId="13" hidden="1">{#N/A,#N/A,TRUE,"Summary";#N/A,#N/A,TRUE,"Balance Sheet";#N/A,#N/A,TRUE,"P &amp; L";#N/A,#N/A,TRUE,"Fixed Assets";#N/A,#N/A,TRUE,"Cash Flows"}</definedName>
    <definedName name="wrn5.brief" localSheetId="12" hidden="1">{#N/A,#N/A,TRUE,"Summary";#N/A,#N/A,TRUE,"Balance Sheet";#N/A,#N/A,TRUE,"P &amp; L";#N/A,#N/A,TRUE,"Fixed Assets";#N/A,#N/A,TRUE,"Cash Flows"}</definedName>
    <definedName name="wrn5.brief" hidden="1">{#N/A,#N/A,TRUE,"Summary";#N/A,#N/A,TRUE,"Balance Sheet";#N/A,#N/A,TRUE,"P &amp; L";#N/A,#N/A,TRUE,"Fixed Assets";#N/A,#N/A,TRUE,"Cash Flows"}</definedName>
    <definedName name="wrn6.elaborate" localSheetId="14" hidden="1">{#N/A,#N/A,FALSE,"Cash Flows";#N/A,#N/A,FALSE,"Fixed Assets";#N/A,#N/A,FALSE,"Balance Sheet";#N/A,#N/A,FALSE,"P &amp; L"}</definedName>
    <definedName name="wrn6.elaborate" localSheetId="15" hidden="1">{#N/A,#N/A,FALSE,"Cash Flows";#N/A,#N/A,FALSE,"Fixed Assets";#N/A,#N/A,FALSE,"Balance Sheet";#N/A,#N/A,FALSE,"P &amp; L"}</definedName>
    <definedName name="wrn6.elaborate" localSheetId="18" hidden="1">{#N/A,#N/A,FALSE,"Cash Flows";#N/A,#N/A,FALSE,"Fixed Assets";#N/A,#N/A,FALSE,"Balance Sheet";#N/A,#N/A,FALSE,"P &amp; L"}</definedName>
    <definedName name="wrn6.elaborate" localSheetId="16" hidden="1">{#N/A,#N/A,FALSE,"Cash Flows";#N/A,#N/A,FALSE,"Fixed Assets";#N/A,#N/A,FALSE,"Balance Sheet";#N/A,#N/A,FALSE,"P &amp; L"}</definedName>
    <definedName name="wrn6.elaborate" localSheetId="13" hidden="1">{#N/A,#N/A,FALSE,"Cash Flows";#N/A,#N/A,FALSE,"Fixed Assets";#N/A,#N/A,FALSE,"Balance Sheet";#N/A,#N/A,FALSE,"P &amp; L"}</definedName>
    <definedName name="wrn6.elaborate" localSheetId="12" hidden="1">{#N/A,#N/A,FALSE,"Cash Flows";#N/A,#N/A,FALSE,"Fixed Assets";#N/A,#N/A,FALSE,"Balance Sheet";#N/A,#N/A,FALSE,"P &amp; L"}</definedName>
    <definedName name="wrn6.elaborate" hidden="1">{#N/A,#N/A,FALSE,"Cash Flows";#N/A,#N/A,FALSE,"Fixed Assets";#N/A,#N/A,FALSE,"Balance Sheet";#N/A,#N/A,FALSE,"P &amp; L"}</definedName>
    <definedName name="wrn7.brief" localSheetId="14" hidden="1">{#N/A,#N/A,TRUE,"Summary";#N/A,#N/A,TRUE,"Balance Sheet";#N/A,#N/A,TRUE,"P &amp; L";#N/A,#N/A,TRUE,"Fixed Assets";#N/A,#N/A,TRUE,"Cash Flows"}</definedName>
    <definedName name="wrn7.brief" localSheetId="15" hidden="1">{#N/A,#N/A,TRUE,"Summary";#N/A,#N/A,TRUE,"Balance Sheet";#N/A,#N/A,TRUE,"P &amp; L";#N/A,#N/A,TRUE,"Fixed Assets";#N/A,#N/A,TRUE,"Cash Flows"}</definedName>
    <definedName name="wrn7.brief" localSheetId="18" hidden="1">{#N/A,#N/A,TRUE,"Summary";#N/A,#N/A,TRUE,"Balance Sheet";#N/A,#N/A,TRUE,"P &amp; L";#N/A,#N/A,TRUE,"Fixed Assets";#N/A,#N/A,TRUE,"Cash Flows"}</definedName>
    <definedName name="wrn7.brief" localSheetId="16" hidden="1">{#N/A,#N/A,TRUE,"Summary";#N/A,#N/A,TRUE,"Balance Sheet";#N/A,#N/A,TRUE,"P &amp; L";#N/A,#N/A,TRUE,"Fixed Assets";#N/A,#N/A,TRUE,"Cash Flows"}</definedName>
    <definedName name="wrn7.brief" localSheetId="13" hidden="1">{#N/A,#N/A,TRUE,"Summary";#N/A,#N/A,TRUE,"Balance Sheet";#N/A,#N/A,TRUE,"P &amp; L";#N/A,#N/A,TRUE,"Fixed Assets";#N/A,#N/A,TRUE,"Cash Flows"}</definedName>
    <definedName name="wrn7.brief" localSheetId="12" hidden="1">{#N/A,#N/A,TRUE,"Summary";#N/A,#N/A,TRUE,"Balance Sheet";#N/A,#N/A,TRUE,"P &amp; L";#N/A,#N/A,TRUE,"Fixed Assets";#N/A,#N/A,TRUE,"Cash Flows"}</definedName>
    <definedName name="wrn7.brief" hidden="1">{#N/A,#N/A,TRUE,"Summary";#N/A,#N/A,TRUE,"Balance Sheet";#N/A,#N/A,TRUE,"P &amp; L";#N/A,#N/A,TRUE,"Fixed Assets";#N/A,#N/A,TRUE,"Cash Flows"}</definedName>
    <definedName name="wrn8.brief" localSheetId="14" hidden="1">{#N/A,#N/A,TRUE,"Summary";#N/A,#N/A,TRUE,"Balance Sheet";#N/A,#N/A,TRUE,"P &amp; L";#N/A,#N/A,TRUE,"Fixed Assets";#N/A,#N/A,TRUE,"Cash Flows"}</definedName>
    <definedName name="wrn8.brief" localSheetId="15" hidden="1">{#N/A,#N/A,TRUE,"Summary";#N/A,#N/A,TRUE,"Balance Sheet";#N/A,#N/A,TRUE,"P &amp; L";#N/A,#N/A,TRUE,"Fixed Assets";#N/A,#N/A,TRUE,"Cash Flows"}</definedName>
    <definedName name="wrn8.brief" localSheetId="18" hidden="1">{#N/A,#N/A,TRUE,"Summary";#N/A,#N/A,TRUE,"Balance Sheet";#N/A,#N/A,TRUE,"P &amp; L";#N/A,#N/A,TRUE,"Fixed Assets";#N/A,#N/A,TRUE,"Cash Flows"}</definedName>
    <definedName name="wrn8.brief" localSheetId="16" hidden="1">{#N/A,#N/A,TRUE,"Summary";#N/A,#N/A,TRUE,"Balance Sheet";#N/A,#N/A,TRUE,"P &amp; L";#N/A,#N/A,TRUE,"Fixed Assets";#N/A,#N/A,TRUE,"Cash Flows"}</definedName>
    <definedName name="wrn8.brief" localSheetId="13" hidden="1">{#N/A,#N/A,TRUE,"Summary";#N/A,#N/A,TRUE,"Balance Sheet";#N/A,#N/A,TRUE,"P &amp; L";#N/A,#N/A,TRUE,"Fixed Assets";#N/A,#N/A,TRUE,"Cash Flows"}</definedName>
    <definedName name="wrn8.brief" localSheetId="12" hidden="1">{#N/A,#N/A,TRUE,"Summary";#N/A,#N/A,TRUE,"Balance Sheet";#N/A,#N/A,TRUE,"P &amp; L";#N/A,#N/A,TRUE,"Fixed Assets";#N/A,#N/A,TRUE,"Cash Flows"}</definedName>
    <definedName name="wrn8.brief" hidden="1">{#N/A,#N/A,TRUE,"Summary";#N/A,#N/A,TRUE,"Balance Sheet";#N/A,#N/A,TRUE,"P &amp; L";#N/A,#N/A,TRUE,"Fixed Assets";#N/A,#N/A,TRUE,"Cash Flows"}</definedName>
    <definedName name="wrn8.elaborate" localSheetId="14" hidden="1">{#N/A,#N/A,FALSE,"Cash Flows";#N/A,#N/A,FALSE,"Fixed Assets";#N/A,#N/A,FALSE,"Balance Sheet";#N/A,#N/A,FALSE,"P &amp; L"}</definedName>
    <definedName name="wrn8.elaborate" localSheetId="15" hidden="1">{#N/A,#N/A,FALSE,"Cash Flows";#N/A,#N/A,FALSE,"Fixed Assets";#N/A,#N/A,FALSE,"Balance Sheet";#N/A,#N/A,FALSE,"P &amp; L"}</definedName>
    <definedName name="wrn8.elaborate" localSheetId="18" hidden="1">{#N/A,#N/A,FALSE,"Cash Flows";#N/A,#N/A,FALSE,"Fixed Assets";#N/A,#N/A,FALSE,"Balance Sheet";#N/A,#N/A,FALSE,"P &amp; L"}</definedName>
    <definedName name="wrn8.elaborate" localSheetId="16" hidden="1">{#N/A,#N/A,FALSE,"Cash Flows";#N/A,#N/A,FALSE,"Fixed Assets";#N/A,#N/A,FALSE,"Balance Sheet";#N/A,#N/A,FALSE,"P &amp; L"}</definedName>
    <definedName name="wrn8.elaborate" localSheetId="13" hidden="1">{#N/A,#N/A,FALSE,"Cash Flows";#N/A,#N/A,FALSE,"Fixed Assets";#N/A,#N/A,FALSE,"Balance Sheet";#N/A,#N/A,FALSE,"P &amp; L"}</definedName>
    <definedName name="wrn8.elaborate" localSheetId="12" hidden="1">{#N/A,#N/A,FALSE,"Cash Flows";#N/A,#N/A,FALSE,"Fixed Assets";#N/A,#N/A,FALSE,"Balance Sheet";#N/A,#N/A,FALSE,"P &amp; L"}</definedName>
    <definedName name="wrn8.elaborate" hidden="1">{#N/A,#N/A,FALSE,"Cash Flows";#N/A,#N/A,FALSE,"Fixed Assets";#N/A,#N/A,FALSE,"Balance Sheet";#N/A,#N/A,FALSE,"P &amp; L"}</definedName>
    <definedName name="wrn9.brief" localSheetId="14" hidden="1">{#N/A,#N/A,TRUE,"Summary";#N/A,#N/A,TRUE,"Balance Sheet";#N/A,#N/A,TRUE,"P &amp; L";#N/A,#N/A,TRUE,"Fixed Assets";#N/A,#N/A,TRUE,"Cash Flows"}</definedName>
    <definedName name="wrn9.brief" localSheetId="15" hidden="1">{#N/A,#N/A,TRUE,"Summary";#N/A,#N/A,TRUE,"Balance Sheet";#N/A,#N/A,TRUE,"P &amp; L";#N/A,#N/A,TRUE,"Fixed Assets";#N/A,#N/A,TRUE,"Cash Flows"}</definedName>
    <definedName name="wrn9.brief" localSheetId="18" hidden="1">{#N/A,#N/A,TRUE,"Summary";#N/A,#N/A,TRUE,"Balance Sheet";#N/A,#N/A,TRUE,"P &amp; L";#N/A,#N/A,TRUE,"Fixed Assets";#N/A,#N/A,TRUE,"Cash Flows"}</definedName>
    <definedName name="wrn9.brief" localSheetId="16" hidden="1">{#N/A,#N/A,TRUE,"Summary";#N/A,#N/A,TRUE,"Balance Sheet";#N/A,#N/A,TRUE,"P &amp; L";#N/A,#N/A,TRUE,"Fixed Assets";#N/A,#N/A,TRUE,"Cash Flows"}</definedName>
    <definedName name="wrn9.brief" localSheetId="13" hidden="1">{#N/A,#N/A,TRUE,"Summary";#N/A,#N/A,TRUE,"Balance Sheet";#N/A,#N/A,TRUE,"P &amp; L";#N/A,#N/A,TRUE,"Fixed Assets";#N/A,#N/A,TRUE,"Cash Flows"}</definedName>
    <definedName name="wrn9.brief" localSheetId="12" hidden="1">{#N/A,#N/A,TRUE,"Summary";#N/A,#N/A,TRUE,"Balance Sheet";#N/A,#N/A,TRUE,"P &amp; L";#N/A,#N/A,TRUE,"Fixed Assets";#N/A,#N/A,TRUE,"Cash Flows"}</definedName>
    <definedName name="wrn9.brief" hidden="1">{#N/A,#N/A,TRUE,"Summary";#N/A,#N/A,TRUE,"Balance Sheet";#N/A,#N/A,TRUE,"P &amp; L";#N/A,#N/A,TRUE,"Fixed Assets";#N/A,#N/A,TRUE,"Cash Flows"}</definedName>
    <definedName name="wrn9.elaborate" localSheetId="14" hidden="1">{#N/A,#N/A,FALSE,"Cash Flows";#N/A,#N/A,FALSE,"Fixed Assets";#N/A,#N/A,FALSE,"Balance Sheet";#N/A,#N/A,FALSE,"P &amp; L"}</definedName>
    <definedName name="wrn9.elaborate" localSheetId="15" hidden="1">{#N/A,#N/A,FALSE,"Cash Flows";#N/A,#N/A,FALSE,"Fixed Assets";#N/A,#N/A,FALSE,"Balance Sheet";#N/A,#N/A,FALSE,"P &amp; L"}</definedName>
    <definedName name="wrn9.elaborate" localSheetId="18" hidden="1">{#N/A,#N/A,FALSE,"Cash Flows";#N/A,#N/A,FALSE,"Fixed Assets";#N/A,#N/A,FALSE,"Balance Sheet";#N/A,#N/A,FALSE,"P &amp; L"}</definedName>
    <definedName name="wrn9.elaborate" localSheetId="16" hidden="1">{#N/A,#N/A,FALSE,"Cash Flows";#N/A,#N/A,FALSE,"Fixed Assets";#N/A,#N/A,FALSE,"Balance Sheet";#N/A,#N/A,FALSE,"P &amp; L"}</definedName>
    <definedName name="wrn9.elaborate" localSheetId="13" hidden="1">{#N/A,#N/A,FALSE,"Cash Flows";#N/A,#N/A,FALSE,"Fixed Assets";#N/A,#N/A,FALSE,"Balance Sheet";#N/A,#N/A,FALSE,"P &amp; L"}</definedName>
    <definedName name="wrn9.elaborate" localSheetId="12" hidden="1">{#N/A,#N/A,FALSE,"Cash Flows";#N/A,#N/A,FALSE,"Fixed Assets";#N/A,#N/A,FALSE,"Balance Sheet";#N/A,#N/A,FALSE,"P &amp; L"}</definedName>
    <definedName name="wrn9.elaborate" hidden="1">{#N/A,#N/A,FALSE,"Cash Flows";#N/A,#N/A,FALSE,"Fixed Assets";#N/A,#N/A,FALSE,"Balance Sheet";#N/A,#N/A,FALSE,"P &amp; L"}</definedName>
    <definedName name="wwwwwwww" localSheetId="14" hidden="1">{#N/A,#N/A,FALSE,"Cash Flows";#N/A,#N/A,FALSE,"Fixed Assets";#N/A,#N/A,FALSE,"Balance Sheet";#N/A,#N/A,FALSE,"P &amp; L"}</definedName>
    <definedName name="wwwwwwww" localSheetId="15" hidden="1">{#N/A,#N/A,FALSE,"Cash Flows";#N/A,#N/A,FALSE,"Fixed Assets";#N/A,#N/A,FALSE,"Balance Sheet";#N/A,#N/A,FALSE,"P &amp; L"}</definedName>
    <definedName name="wwwwwwww" localSheetId="18" hidden="1">{#N/A,#N/A,FALSE,"Cash Flows";#N/A,#N/A,FALSE,"Fixed Assets";#N/A,#N/A,FALSE,"Balance Sheet";#N/A,#N/A,FALSE,"P &amp; L"}</definedName>
    <definedName name="wwwwwwww" localSheetId="16" hidden="1">{#N/A,#N/A,FALSE,"Cash Flows";#N/A,#N/A,FALSE,"Fixed Assets";#N/A,#N/A,FALSE,"Balance Sheet";#N/A,#N/A,FALSE,"P &amp; L"}</definedName>
    <definedName name="wwwwwwww" localSheetId="13" hidden="1">{#N/A,#N/A,FALSE,"Cash Flows";#N/A,#N/A,FALSE,"Fixed Assets";#N/A,#N/A,FALSE,"Balance Sheet";#N/A,#N/A,FALSE,"P &amp; L"}</definedName>
    <definedName name="wwwwwwww" localSheetId="12" hidden="1">{#N/A,#N/A,FALSE,"Cash Flows";#N/A,#N/A,FALSE,"Fixed Assets";#N/A,#N/A,FALSE,"Balance Sheet";#N/A,#N/A,FALSE,"P &amp; L"}</definedName>
    <definedName name="wwwwwwww" hidden="1">{#N/A,#N/A,FALSE,"Cash Flows";#N/A,#N/A,FALSE,"Fixed Assets";#N/A,#N/A,FALSE,"Balance Sheet";#N/A,#N/A,FALSE,"P &amp; L"}</definedName>
    <definedName name="x" localSheetId="18">#REF!</definedName>
    <definedName name="x" localSheetId="16">#REF!</definedName>
    <definedName name="x" localSheetId="13">#REF!</definedName>
    <definedName name="x" localSheetId="12">#REF!</definedName>
    <definedName name="x">#REF!</definedName>
    <definedName name="XBFXZB" localSheetId="14" hidden="1">{#N/A,#N/A,FALSE,"FINAL"}</definedName>
    <definedName name="XBFXZB" localSheetId="15" hidden="1">{#N/A,#N/A,FALSE,"FINAL"}</definedName>
    <definedName name="XBFXZB" localSheetId="18" hidden="1">{#N/A,#N/A,FALSE,"FINAL"}</definedName>
    <definedName name="XBFXZB" localSheetId="16" hidden="1">{#N/A,#N/A,FALSE,"FINAL"}</definedName>
    <definedName name="XBFXZB" localSheetId="13" hidden="1">{#N/A,#N/A,FALSE,"FINAL"}</definedName>
    <definedName name="XBFXZB" localSheetId="12" hidden="1">{#N/A,#N/A,FALSE,"FINAL"}</definedName>
    <definedName name="XBFXZB" hidden="1">{#N/A,#N/A,FALSE,"FINAL"}</definedName>
    <definedName name="XRefColumnsCount" hidden="1">18</definedName>
    <definedName name="XRefCopy13" localSheetId="18" hidden="1">#REF!</definedName>
    <definedName name="XRefCopy13" localSheetId="16" hidden="1">#REF!</definedName>
    <definedName name="XRefCopy13" localSheetId="13" hidden="1">#REF!</definedName>
    <definedName name="XRefCopy13" localSheetId="12" hidden="1">#REF!</definedName>
    <definedName name="XRefCopy13" hidden="1">#REF!</definedName>
    <definedName name="XRefCopy13Row" localSheetId="18" hidden="1">#REF!</definedName>
    <definedName name="XRefCopy13Row" localSheetId="16" hidden="1">#REF!</definedName>
    <definedName name="XRefCopy13Row" localSheetId="13" hidden="1">#REF!</definedName>
    <definedName name="XRefCopy13Row" localSheetId="12" hidden="1">#REF!</definedName>
    <definedName name="XRefCopy13Row" hidden="1">#REF!</definedName>
    <definedName name="XRefCopy14" localSheetId="18" hidden="1">#REF!</definedName>
    <definedName name="XRefCopy14" localSheetId="16" hidden="1">#REF!</definedName>
    <definedName name="XRefCopy14" localSheetId="13" hidden="1">#REF!</definedName>
    <definedName name="XRefCopy14" localSheetId="12" hidden="1">#REF!</definedName>
    <definedName name="XRefCopy14" hidden="1">#REF!</definedName>
    <definedName name="XRefCopy14Row" localSheetId="18" hidden="1">#REF!</definedName>
    <definedName name="XRefCopy14Row" hidden="1">#REF!</definedName>
    <definedName name="XRefCopy15Row" localSheetId="18" hidden="1">#REF!</definedName>
    <definedName name="XRefCopy15Row" hidden="1">#REF!</definedName>
    <definedName name="XRefCopy4Row" localSheetId="18" hidden="1">#REF!</definedName>
    <definedName name="XRefCopy4Row" hidden="1">#REF!</definedName>
    <definedName name="XRefCopy7Row" localSheetId="18" hidden="1">#REF!</definedName>
    <definedName name="XRefCopy7Row" hidden="1">#REF!</definedName>
    <definedName name="XRefCopyRangeCount" hidden="1">60</definedName>
    <definedName name="XRefPaste12Row" localSheetId="18" hidden="1">#REF!</definedName>
    <definedName name="XRefPaste12Row" localSheetId="16" hidden="1">#REF!</definedName>
    <definedName name="XRefPaste12Row" localSheetId="13" hidden="1">#REF!</definedName>
    <definedName name="XRefPaste12Row" localSheetId="12" hidden="1">#REF!</definedName>
    <definedName name="XRefPaste12Row" hidden="1">#REF!</definedName>
    <definedName name="XRefPaste13Row" localSheetId="18" hidden="1">#REF!</definedName>
    <definedName name="XRefPaste13Row" localSheetId="16" hidden="1">#REF!</definedName>
    <definedName name="XRefPaste13Row" localSheetId="13" hidden="1">#REF!</definedName>
    <definedName name="XRefPaste13Row" localSheetId="12" hidden="1">#REF!</definedName>
    <definedName name="XRefPaste13Row" hidden="1">#REF!</definedName>
    <definedName name="XRefPaste14Row" localSheetId="18" hidden="1">#REF!</definedName>
    <definedName name="XRefPaste14Row" localSheetId="16" hidden="1">#REF!</definedName>
    <definedName name="XRefPaste14Row" localSheetId="13" hidden="1">#REF!</definedName>
    <definedName name="XRefPaste14Row" localSheetId="12" hidden="1">#REF!</definedName>
    <definedName name="XRefPaste14Row" hidden="1">#REF!</definedName>
    <definedName name="XRefPaste6Row" localSheetId="18" hidden="1">#REF!</definedName>
    <definedName name="XRefPaste6Row" hidden="1">#REF!</definedName>
    <definedName name="XRefPasteRangeCount" hidden="1">22</definedName>
    <definedName name="xx" localSheetId="18">#REF!</definedName>
    <definedName name="xx" localSheetId="16">#REF!</definedName>
    <definedName name="xx" localSheetId="13">#REF!</definedName>
    <definedName name="xx" localSheetId="12">#REF!</definedName>
    <definedName name="xx">#REF!</definedName>
    <definedName name="XXX" localSheetId="18">#REF!</definedName>
    <definedName name="XXX" localSheetId="16">#REF!</definedName>
    <definedName name="XXX" localSheetId="13">#REF!</definedName>
    <definedName name="XXX" localSheetId="12">#REF!</definedName>
    <definedName name="XXX">#REF!</definedName>
    <definedName name="y" localSheetId="18">#REF!</definedName>
    <definedName name="y" localSheetId="16">#REF!</definedName>
    <definedName name="y" localSheetId="13">#REF!</definedName>
    <definedName name="y" localSheetId="12">#REF!</definedName>
    <definedName name="y">#REF!</definedName>
    <definedName name="ye" localSheetId="18">#REF!</definedName>
    <definedName name="ye">#REF!</definedName>
    <definedName name="Z_14630C72_F5A7_427C_8277_844AD49AAA2B_.wvu.FilterData" localSheetId="18" hidden="1">#REF!</definedName>
    <definedName name="Z_14630C72_F5A7_427C_8277_844AD49AAA2B_.wvu.FilterData" hidden="1">#REF!</definedName>
    <definedName name="Z_26F1B120_222F_11D7_91EB_0050BA7F1DA7_.wvu.FilterData" localSheetId="18" hidden="1">#REF!</definedName>
    <definedName name="Z_26F1B120_222F_11D7_91EB_0050BA7F1DA7_.wvu.FilterData" hidden="1">#REF!</definedName>
    <definedName name="Z_2F5C3FD9_C8E7_4E40_AA1F_860552691881_.wvu.FilterData" localSheetId="18" hidden="1">#REF!</definedName>
    <definedName name="Z_2F5C3FD9_C8E7_4E40_AA1F_860552691881_.wvu.FilterData" hidden="1">#REF!</definedName>
    <definedName name="Z_9426E38C_13B4_4AE0_934B_D7DFB740B66C_.wvu.PrintArea" localSheetId="4" hidden="1">'Note 1'!$A$1:$C$19</definedName>
    <definedName name="Z_A5119AD0_659E_471B_9088_DD59E9BD25E4_.wvu.PrintArea" localSheetId="9" hidden="1">'Note 16-23'!$A$2:$C$35</definedName>
    <definedName name="Z_A5119AD0_659E_471B_9088_DD59E9BD25E4_.wvu.PrintArea" localSheetId="2" hidden="1">'P&amp;L'!$A$1:$D$45</definedName>
    <definedName name="Z_EFB67AC7_05F0_469E_80A5_5FCD6B1C866B_.wvu.PrintArea" localSheetId="8" hidden="1">'Note 10-15'!$A$1:$A$69</definedName>
    <definedName name="zc" localSheetId="18">#REF!</definedName>
    <definedName name="zc" localSheetId="13">#REF!</definedName>
    <definedName name="zc" localSheetId="12">#REF!</definedName>
    <definedName name="zc">#REF!</definedName>
    <definedName name="ZDFGD" localSheetId="14" hidden="1">{#N/A,#N/A,FALSE,"FINAL"}</definedName>
    <definedName name="ZDFGD" localSheetId="15" hidden="1">{#N/A,#N/A,FALSE,"FINAL"}</definedName>
    <definedName name="ZDFGD" localSheetId="18" hidden="1">{#N/A,#N/A,FALSE,"FINAL"}</definedName>
    <definedName name="ZDFGD" localSheetId="16" hidden="1">{#N/A,#N/A,FALSE,"FINAL"}</definedName>
    <definedName name="ZDFGD" localSheetId="13" hidden="1">{#N/A,#N/A,FALSE,"FINAL"}</definedName>
    <definedName name="ZDFGD" localSheetId="12" hidden="1">{#N/A,#N/A,FALSE,"FINAL"}</definedName>
    <definedName name="ZDFGD" hidden="1">{#N/A,#N/A,FALSE,"FINAL"}</definedName>
    <definedName name="Zip" localSheetId="18">#REF!</definedName>
    <definedName name="Zip" localSheetId="13">#REF!</definedName>
    <definedName name="Zip">#REF!</definedName>
    <definedName name="zvcx" localSheetId="18">#REF!</definedName>
    <definedName name="zvcx" localSheetId="16">#REF!</definedName>
    <definedName name="zvcx" localSheetId="13">#REF!</definedName>
    <definedName name="zvcx" localSheetId="12">#REF!</definedName>
    <definedName name="zvcx">#REF!</definedName>
  </definedNames>
  <calcPr calcId="191029"/>
  <pivotCaches>
    <pivotCache cacheId="5" r:id="rId38"/>
    <pivotCache cacheId="6" r:id="rId3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44" l="1"/>
  <c r="D15" i="44"/>
  <c r="C12" i="44"/>
  <c r="C11" i="44"/>
  <c r="P28" i="40"/>
  <c r="M28" i="40"/>
  <c r="M26" i="40"/>
  <c r="M24" i="40"/>
  <c r="M22" i="40"/>
  <c r="M20" i="40"/>
  <c r="M18" i="40"/>
  <c r="M16" i="40"/>
  <c r="M14" i="40"/>
  <c r="M12" i="40"/>
  <c r="M10" i="40"/>
  <c r="O10" i="40" l="1"/>
  <c r="N24" i="40"/>
  <c r="N22" i="40"/>
  <c r="N20" i="40"/>
  <c r="N18" i="40"/>
  <c r="N16" i="40"/>
  <c r="N14" i="40"/>
  <c r="N12" i="40"/>
  <c r="N10" i="40"/>
  <c r="F20" i="40"/>
  <c r="F18" i="40"/>
  <c r="G18" i="40"/>
  <c r="F14" i="40"/>
  <c r="G14" i="40"/>
  <c r="F16" i="40"/>
  <c r="H14" i="40"/>
  <c r="G28" i="40"/>
  <c r="F12" i="40"/>
  <c r="E28" i="40"/>
  <c r="F28" i="40" l="1"/>
  <c r="D27" i="9" l="1"/>
  <c r="C27" i="9"/>
  <c r="B27" i="9"/>
  <c r="C92" i="7"/>
  <c r="B92" i="7"/>
  <c r="J118" i="52"/>
  <c r="J105" i="52"/>
  <c r="D121" i="52"/>
  <c r="C121" i="52"/>
  <c r="E121" i="52"/>
  <c r="I118" i="52"/>
  <c r="I121" i="52" s="1"/>
  <c r="H121" i="52"/>
  <c r="G121" i="52"/>
  <c r="F121" i="52"/>
  <c r="C175" i="18"/>
  <c r="H118" i="52"/>
  <c r="G118" i="52"/>
  <c r="F118" i="52"/>
  <c r="E118" i="52"/>
  <c r="D118" i="52"/>
  <c r="C118" i="52"/>
  <c r="I105" i="52"/>
  <c r="H105" i="52"/>
  <c r="G105" i="52"/>
  <c r="F105" i="52"/>
  <c r="E105" i="52"/>
  <c r="D105" i="52"/>
  <c r="C105" i="52"/>
  <c r="I29" i="51"/>
  <c r="H29" i="51"/>
  <c r="G29" i="51"/>
  <c r="F29" i="51"/>
  <c r="E29" i="51"/>
  <c r="D29" i="51"/>
  <c r="C29" i="51"/>
  <c r="C19" i="4"/>
  <c r="C16" i="4"/>
  <c r="C28" i="3"/>
  <c r="K17" i="8"/>
  <c r="K29" i="8"/>
  <c r="L29" i="8"/>
  <c r="F29" i="8"/>
  <c r="D29" i="8"/>
  <c r="C29" i="8"/>
  <c r="L27" i="8"/>
  <c r="J27" i="8"/>
  <c r="D27" i="8"/>
  <c r="F27" i="8" s="1"/>
  <c r="K27" i="8" s="1"/>
  <c r="L25" i="8"/>
  <c r="K25" i="8"/>
  <c r="J25" i="8"/>
  <c r="F25" i="8"/>
  <c r="J29" i="8"/>
  <c r="D25" i="8"/>
  <c r="C25" i="8"/>
  <c r="AW123" i="50"/>
  <c r="AW14" i="50"/>
  <c r="M618" i="50"/>
  <c r="R625" i="50"/>
  <c r="R624" i="50"/>
  <c r="R623" i="50"/>
  <c r="R622" i="50"/>
  <c r="R621" i="50"/>
  <c r="R620" i="50"/>
  <c r="R618" i="50"/>
  <c r="H19" i="8"/>
  <c r="H20" i="8" s="1"/>
  <c r="H12" i="8"/>
  <c r="H13" i="8"/>
  <c r="H14" i="8"/>
  <c r="H15" i="8"/>
  <c r="H16" i="8"/>
  <c r="H10" i="8"/>
  <c r="G19" i="8"/>
  <c r="G11" i="8"/>
  <c r="G12" i="8"/>
  <c r="G13" i="8"/>
  <c r="G14" i="8"/>
  <c r="G15" i="8"/>
  <c r="G16" i="8"/>
  <c r="G10" i="8"/>
  <c r="D15" i="8"/>
  <c r="D14" i="8"/>
  <c r="D13" i="8"/>
  <c r="D12" i="8"/>
  <c r="D11" i="8"/>
  <c r="D10" i="8"/>
  <c r="C19" i="8"/>
  <c r="C16" i="8"/>
  <c r="C15" i="8"/>
  <c r="C14" i="8"/>
  <c r="C13" i="8"/>
  <c r="C12" i="8"/>
  <c r="C11" i="8"/>
  <c r="C17" i="8" s="1"/>
  <c r="C10" i="8"/>
  <c r="B655" i="50"/>
  <c r="B649" i="50"/>
  <c r="B648" i="50"/>
  <c r="P626" i="50"/>
  <c r="L626" i="50"/>
  <c r="J625" i="50"/>
  <c r="J623" i="50"/>
  <c r="J622" i="50"/>
  <c r="J621" i="50"/>
  <c r="J620" i="50"/>
  <c r="J619" i="50"/>
  <c r="J618" i="50"/>
  <c r="J626" i="50" s="1"/>
  <c r="T611" i="50"/>
  <c r="L611" i="50"/>
  <c r="L604" i="50"/>
  <c r="U593" i="50"/>
  <c r="R593" i="50"/>
  <c r="P593" i="50"/>
  <c r="L579" i="50"/>
  <c r="K579" i="50"/>
  <c r="I579" i="50"/>
  <c r="AX578" i="50"/>
  <c r="AW578" i="50"/>
  <c r="AR578" i="50"/>
  <c r="AQ578" i="50"/>
  <c r="AP578" i="50"/>
  <c r="J578" i="50"/>
  <c r="H578" i="50"/>
  <c r="C578" i="50"/>
  <c r="AS578" i="50" s="1"/>
  <c r="AT578" i="50" s="1"/>
  <c r="AU578" i="50" s="1"/>
  <c r="AV578" i="50" s="1"/>
  <c r="AW577" i="50"/>
  <c r="AT577" i="50"/>
  <c r="AR577" i="50"/>
  <c r="AQ577" i="50"/>
  <c r="AS577" i="50" s="1"/>
  <c r="AP577" i="50"/>
  <c r="J577" i="50"/>
  <c r="H577" i="50"/>
  <c r="AX577" i="50" s="1"/>
  <c r="C577" i="50"/>
  <c r="AW576" i="50"/>
  <c r="AS576" i="50"/>
  <c r="AT576" i="50" s="1"/>
  <c r="AR576" i="50"/>
  <c r="AQ576" i="50"/>
  <c r="AP576" i="50"/>
  <c r="J576" i="50"/>
  <c r="H576" i="50"/>
  <c r="AX576" i="50" s="1"/>
  <c r="C576" i="50"/>
  <c r="AW575" i="50"/>
  <c r="AR575" i="50"/>
  <c r="AQ575" i="50"/>
  <c r="AP575" i="50"/>
  <c r="J575" i="50"/>
  <c r="H575" i="50"/>
  <c r="AX575" i="50" s="1"/>
  <c r="C575" i="50"/>
  <c r="AS575" i="50" s="1"/>
  <c r="AT575" i="50" s="1"/>
  <c r="AU575" i="50" s="1"/>
  <c r="AV575" i="50" s="1"/>
  <c r="AW574" i="50"/>
  <c r="AS574" i="50"/>
  <c r="AT574" i="50" s="1"/>
  <c r="AR574" i="50"/>
  <c r="AQ574" i="50"/>
  <c r="AP574" i="50"/>
  <c r="J574" i="50"/>
  <c r="H574" i="50"/>
  <c r="AX574" i="50" s="1"/>
  <c r="AY574" i="50" s="1"/>
  <c r="C574" i="50"/>
  <c r="AZ573" i="50"/>
  <c r="BA573" i="50" s="1"/>
  <c r="AU573" i="50"/>
  <c r="AV573" i="50" s="1"/>
  <c r="AT573" i="50"/>
  <c r="AO573" i="50"/>
  <c r="AP573" i="50" s="1"/>
  <c r="AY572" i="50"/>
  <c r="AX572" i="50"/>
  <c r="AW572" i="50"/>
  <c r="AR572" i="50"/>
  <c r="AQ572" i="50"/>
  <c r="AL572" i="50"/>
  <c r="AK572" i="50"/>
  <c r="AM572" i="50" s="1"/>
  <c r="V572" i="50"/>
  <c r="W572" i="50" s="1"/>
  <c r="U572" i="50"/>
  <c r="P572" i="50"/>
  <c r="J572" i="50"/>
  <c r="H572" i="50"/>
  <c r="G572" i="50"/>
  <c r="C572" i="50"/>
  <c r="O572" i="50" s="1"/>
  <c r="AW571" i="50"/>
  <c r="AQ571" i="50"/>
  <c r="AL571" i="50"/>
  <c r="AK571" i="50"/>
  <c r="AA571" i="50"/>
  <c r="AB571" i="50" s="1"/>
  <c r="AC571" i="50" s="1"/>
  <c r="U571" i="50"/>
  <c r="V571" i="50" s="1"/>
  <c r="AG571" i="50" s="1"/>
  <c r="AH571" i="50" s="1"/>
  <c r="J571" i="50"/>
  <c r="H571" i="50"/>
  <c r="G571" i="50"/>
  <c r="C571" i="50"/>
  <c r="O571" i="50" s="1"/>
  <c r="P571" i="50" s="1"/>
  <c r="Q571" i="50" s="1"/>
  <c r="AW570" i="50"/>
  <c r="AS570" i="50"/>
  <c r="AQ570" i="50"/>
  <c r="AL570" i="50"/>
  <c r="AK570" i="50"/>
  <c r="AF570" i="50"/>
  <c r="AE570" i="50"/>
  <c r="Y570" i="50"/>
  <c r="S570" i="50"/>
  <c r="N570" i="50"/>
  <c r="M570" i="50"/>
  <c r="J570" i="50"/>
  <c r="H570" i="50"/>
  <c r="AR570" i="50" s="1"/>
  <c r="G570" i="50"/>
  <c r="C570" i="50"/>
  <c r="AX569" i="50"/>
  <c r="AY569" i="50" s="1"/>
  <c r="AW569" i="50"/>
  <c r="AQ569" i="50"/>
  <c r="AK569" i="50"/>
  <c r="AE569" i="50"/>
  <c r="Y569" i="50"/>
  <c r="S569" i="50"/>
  <c r="N569" i="50"/>
  <c r="M569" i="50"/>
  <c r="J569" i="50"/>
  <c r="G569" i="50"/>
  <c r="H569" i="50" s="1"/>
  <c r="T569" i="50" s="1"/>
  <c r="U569" i="50" s="1"/>
  <c r="C569" i="50"/>
  <c r="AX568" i="50"/>
  <c r="AW568" i="50"/>
  <c r="AQ568" i="50"/>
  <c r="AK568" i="50"/>
  <c r="AE568" i="50"/>
  <c r="Z568" i="50"/>
  <c r="Y568" i="50"/>
  <c r="S568" i="50"/>
  <c r="O568" i="50"/>
  <c r="P568" i="50" s="1"/>
  <c r="N568" i="50"/>
  <c r="M568" i="50"/>
  <c r="J568" i="50"/>
  <c r="G568" i="50"/>
  <c r="H568" i="50" s="1"/>
  <c r="C568" i="50"/>
  <c r="AW567" i="50"/>
  <c r="AR567" i="50"/>
  <c r="AS567" i="50" s="1"/>
  <c r="AQ567" i="50"/>
  <c r="AL567" i="50"/>
  <c r="AM567" i="50" s="1"/>
  <c r="AK567" i="50"/>
  <c r="AE567" i="50"/>
  <c r="Y567" i="50"/>
  <c r="T567" i="50"/>
  <c r="U567" i="50" s="1"/>
  <c r="S567" i="50"/>
  <c r="O567" i="50"/>
  <c r="P567" i="50" s="1"/>
  <c r="V567" i="50" s="1"/>
  <c r="N567" i="50"/>
  <c r="M567" i="50"/>
  <c r="J567" i="50"/>
  <c r="G567" i="50"/>
  <c r="H567" i="50" s="1"/>
  <c r="C567" i="50"/>
  <c r="AW566" i="50"/>
  <c r="AR566" i="50"/>
  <c r="AQ566" i="50"/>
  <c r="AK566" i="50"/>
  <c r="AE566" i="50"/>
  <c r="Y566" i="50"/>
  <c r="S566" i="50"/>
  <c r="N566" i="50"/>
  <c r="M566" i="50"/>
  <c r="J566" i="50"/>
  <c r="J579" i="50" s="1"/>
  <c r="H566" i="50"/>
  <c r="T566" i="50" s="1"/>
  <c r="G566" i="50"/>
  <c r="C566" i="50"/>
  <c r="AW565" i="50"/>
  <c r="AQ565" i="50"/>
  <c r="AK565" i="50"/>
  <c r="AE565" i="50"/>
  <c r="Y565" i="50"/>
  <c r="S565" i="50"/>
  <c r="N565" i="50"/>
  <c r="M565" i="50"/>
  <c r="J565" i="50"/>
  <c r="G565" i="50"/>
  <c r="H565" i="50" s="1"/>
  <c r="AL565" i="50" s="1"/>
  <c r="C565" i="50"/>
  <c r="AW564" i="50"/>
  <c r="AQ564" i="50"/>
  <c r="AK564" i="50"/>
  <c r="AE564" i="50"/>
  <c r="Y564" i="50"/>
  <c r="S564" i="50"/>
  <c r="N564" i="50"/>
  <c r="M564" i="50"/>
  <c r="J564" i="50"/>
  <c r="H564" i="50"/>
  <c r="G564" i="50"/>
  <c r="C564" i="50"/>
  <c r="AW563" i="50"/>
  <c r="AQ563" i="50"/>
  <c r="AK563" i="50"/>
  <c r="AE563" i="50"/>
  <c r="AA563" i="50"/>
  <c r="Z563" i="50"/>
  <c r="Y563" i="50"/>
  <c r="S563" i="50"/>
  <c r="N563" i="50"/>
  <c r="M563" i="50"/>
  <c r="J563" i="50"/>
  <c r="H563" i="50"/>
  <c r="AR563" i="50" s="1"/>
  <c r="G563" i="50"/>
  <c r="C563" i="50"/>
  <c r="AW560" i="50"/>
  <c r="AQ560" i="50"/>
  <c r="AM560" i="50"/>
  <c r="AN560" i="50" s="1"/>
  <c r="AL560" i="50"/>
  <c r="AK560" i="50"/>
  <c r="AG560" i="50"/>
  <c r="AH560" i="50" s="1"/>
  <c r="AI560" i="50" s="1"/>
  <c r="AJ560" i="50" s="1"/>
  <c r="J560" i="50"/>
  <c r="H560" i="50"/>
  <c r="G560" i="50"/>
  <c r="C560" i="50"/>
  <c r="AW559" i="50"/>
  <c r="AF559" i="50"/>
  <c r="AF561" i="50" s="1"/>
  <c r="AD559" i="50"/>
  <c r="I559" i="50"/>
  <c r="G559" i="50"/>
  <c r="H559" i="50" s="1"/>
  <c r="C559" i="50"/>
  <c r="L557" i="50"/>
  <c r="K557" i="50"/>
  <c r="AX556" i="50"/>
  <c r="AW556" i="50"/>
  <c r="AV556" i="50"/>
  <c r="J556" i="50"/>
  <c r="H556" i="50"/>
  <c r="C556" i="50"/>
  <c r="AW555" i="50"/>
  <c r="AV555" i="50"/>
  <c r="AS555" i="50"/>
  <c r="AT555" i="50" s="1"/>
  <c r="AR555" i="50"/>
  <c r="AQ555" i="50"/>
  <c r="AU555" i="50" s="1"/>
  <c r="AP555" i="50"/>
  <c r="J555" i="50"/>
  <c r="H555" i="50"/>
  <c r="AX555" i="50" s="1"/>
  <c r="C555" i="50"/>
  <c r="AW554" i="50"/>
  <c r="AR554" i="50"/>
  <c r="AQ554" i="50"/>
  <c r="AP554" i="50"/>
  <c r="J554" i="50"/>
  <c r="H554" i="50"/>
  <c r="AX554" i="50" s="1"/>
  <c r="C554" i="50"/>
  <c r="AW553" i="50"/>
  <c r="AR553" i="50"/>
  <c r="AQ553" i="50"/>
  <c r="AP553" i="50"/>
  <c r="J553" i="50"/>
  <c r="H553" i="50"/>
  <c r="AX553" i="50" s="1"/>
  <c r="C553" i="50"/>
  <c r="AY553" i="50" s="1"/>
  <c r="AX552" i="50"/>
  <c r="AW552" i="50"/>
  <c r="AS552" i="50"/>
  <c r="AT552" i="50" s="1"/>
  <c r="AR552" i="50"/>
  <c r="AQ552" i="50"/>
  <c r="AP552" i="50"/>
  <c r="J552" i="50"/>
  <c r="H552" i="50"/>
  <c r="C552" i="50"/>
  <c r="AW551" i="50"/>
  <c r="AT551" i="50"/>
  <c r="AR551" i="50"/>
  <c r="AS551" i="50" s="1"/>
  <c r="AQ551" i="50"/>
  <c r="AP551" i="50"/>
  <c r="J551" i="50"/>
  <c r="H551" i="50"/>
  <c r="AX551" i="50" s="1"/>
  <c r="C551" i="50"/>
  <c r="AW550" i="50"/>
  <c r="AR550" i="50"/>
  <c r="AQ550" i="50"/>
  <c r="AP550" i="50"/>
  <c r="J550" i="50"/>
  <c r="H550" i="50"/>
  <c r="AX550" i="50" s="1"/>
  <c r="AY550" i="50" s="1"/>
  <c r="C550" i="50"/>
  <c r="AX549" i="50"/>
  <c r="AW549" i="50"/>
  <c r="AR549" i="50"/>
  <c r="AQ549" i="50"/>
  <c r="AP549" i="50"/>
  <c r="J549" i="50"/>
  <c r="H549" i="50"/>
  <c r="C549" i="50"/>
  <c r="AY549" i="50" s="1"/>
  <c r="AY548" i="50"/>
  <c r="AX548" i="50"/>
  <c r="AW548" i="50"/>
  <c r="AR548" i="50"/>
  <c r="AQ548" i="50"/>
  <c r="AP548" i="50"/>
  <c r="J548" i="50"/>
  <c r="H548" i="50"/>
  <c r="C548" i="50"/>
  <c r="AW547" i="50"/>
  <c r="AS547" i="50"/>
  <c r="AT547" i="50" s="1"/>
  <c r="AR547" i="50"/>
  <c r="AQ547" i="50"/>
  <c r="AU547" i="50" s="1"/>
  <c r="AV547" i="50" s="1"/>
  <c r="AP547" i="50"/>
  <c r="J547" i="50"/>
  <c r="H547" i="50"/>
  <c r="AX547" i="50" s="1"/>
  <c r="C547" i="50"/>
  <c r="AW546" i="50"/>
  <c r="AR546" i="50"/>
  <c r="AQ546" i="50"/>
  <c r="AP546" i="50"/>
  <c r="J546" i="50"/>
  <c r="H546" i="50"/>
  <c r="AX546" i="50" s="1"/>
  <c r="C546" i="50"/>
  <c r="AW545" i="50"/>
  <c r="AR545" i="50"/>
  <c r="AQ545" i="50"/>
  <c r="AP545" i="50"/>
  <c r="J545" i="50"/>
  <c r="H545" i="50"/>
  <c r="AX545" i="50" s="1"/>
  <c r="C545" i="50"/>
  <c r="AY545" i="50" s="1"/>
  <c r="AX544" i="50"/>
  <c r="AW544" i="50"/>
  <c r="AR544" i="50"/>
  <c r="AQ544" i="50"/>
  <c r="AP544" i="50"/>
  <c r="J544" i="50"/>
  <c r="H544" i="50"/>
  <c r="C544" i="50"/>
  <c r="AS544" i="50" s="1"/>
  <c r="AT544" i="50" s="1"/>
  <c r="AW543" i="50"/>
  <c r="AR543" i="50"/>
  <c r="AS543" i="50" s="1"/>
  <c r="AT543" i="50" s="1"/>
  <c r="AQ543" i="50"/>
  <c r="AP543" i="50"/>
  <c r="J543" i="50"/>
  <c r="H543" i="50"/>
  <c r="AX543" i="50" s="1"/>
  <c r="C543" i="50"/>
  <c r="AW542" i="50"/>
  <c r="AR542" i="50"/>
  <c r="AQ542" i="50"/>
  <c r="AP542" i="50"/>
  <c r="J542" i="50"/>
  <c r="H542" i="50"/>
  <c r="AX542" i="50" s="1"/>
  <c r="AY542" i="50" s="1"/>
  <c r="C542" i="50"/>
  <c r="AX541" i="50"/>
  <c r="AW541" i="50"/>
  <c r="AR541" i="50"/>
  <c r="AQ541" i="50"/>
  <c r="AP541" i="50"/>
  <c r="J541" i="50"/>
  <c r="H541" i="50"/>
  <c r="C541" i="50"/>
  <c r="AY541" i="50" s="1"/>
  <c r="AX540" i="50"/>
  <c r="AY540" i="50" s="1"/>
  <c r="AW540" i="50"/>
  <c r="AR540" i="50"/>
  <c r="AQ540" i="50"/>
  <c r="AP540" i="50"/>
  <c r="J540" i="50"/>
  <c r="H540" i="50"/>
  <c r="C540" i="50"/>
  <c r="AW539" i="50"/>
  <c r="AV539" i="50"/>
  <c r="AS539" i="50"/>
  <c r="AT539" i="50" s="1"/>
  <c r="AR539" i="50"/>
  <c r="AQ539" i="50"/>
  <c r="AU539" i="50" s="1"/>
  <c r="AP539" i="50"/>
  <c r="J539" i="50"/>
  <c r="H539" i="50"/>
  <c r="AX539" i="50" s="1"/>
  <c r="C539" i="50"/>
  <c r="AW538" i="50"/>
  <c r="AR538" i="50"/>
  <c r="AQ538" i="50"/>
  <c r="AP538" i="50"/>
  <c r="J538" i="50"/>
  <c r="H538" i="50"/>
  <c r="AX538" i="50" s="1"/>
  <c r="C538" i="50"/>
  <c r="AW537" i="50"/>
  <c r="AR537" i="50"/>
  <c r="AQ537" i="50"/>
  <c r="AP537" i="50"/>
  <c r="J537" i="50"/>
  <c r="H537" i="50"/>
  <c r="AX537" i="50" s="1"/>
  <c r="C537" i="50"/>
  <c r="AY537" i="50" s="1"/>
  <c r="AX536" i="50"/>
  <c r="AW536" i="50"/>
  <c r="AU536" i="50"/>
  <c r="AV536" i="50" s="1"/>
  <c r="AS536" i="50"/>
  <c r="AT536" i="50" s="1"/>
  <c r="AR536" i="50"/>
  <c r="AQ536" i="50"/>
  <c r="AP536" i="50"/>
  <c r="J536" i="50"/>
  <c r="H536" i="50"/>
  <c r="C536" i="50"/>
  <c r="AW535" i="50"/>
  <c r="AR535" i="50"/>
  <c r="AS535" i="50" s="1"/>
  <c r="AT535" i="50" s="1"/>
  <c r="AQ535" i="50"/>
  <c r="AP535" i="50"/>
  <c r="J535" i="50"/>
  <c r="H535" i="50"/>
  <c r="AX535" i="50" s="1"/>
  <c r="C535" i="50"/>
  <c r="AW534" i="50"/>
  <c r="AR534" i="50"/>
  <c r="AQ534" i="50"/>
  <c r="AP534" i="50"/>
  <c r="J534" i="50"/>
  <c r="H534" i="50"/>
  <c r="AX534" i="50" s="1"/>
  <c r="AY534" i="50" s="1"/>
  <c r="C534" i="50"/>
  <c r="AX533" i="50"/>
  <c r="AW533" i="50"/>
  <c r="AR533" i="50"/>
  <c r="AQ533" i="50"/>
  <c r="AP533" i="50"/>
  <c r="J533" i="50"/>
  <c r="H533" i="50"/>
  <c r="C533" i="50"/>
  <c r="AY533" i="50" s="1"/>
  <c r="AY532" i="50"/>
  <c r="AX532" i="50"/>
  <c r="AW532" i="50"/>
  <c r="AR532" i="50"/>
  <c r="AQ532" i="50"/>
  <c r="AP532" i="50"/>
  <c r="J532" i="50"/>
  <c r="H532" i="50"/>
  <c r="C532" i="50"/>
  <c r="AW531" i="50"/>
  <c r="AV531" i="50"/>
  <c r="AS531" i="50"/>
  <c r="AT531" i="50" s="1"/>
  <c r="AR531" i="50"/>
  <c r="AQ531" i="50"/>
  <c r="AU531" i="50" s="1"/>
  <c r="AP531" i="50"/>
  <c r="J531" i="50"/>
  <c r="H531" i="50"/>
  <c r="AX531" i="50" s="1"/>
  <c r="C531" i="50"/>
  <c r="AW530" i="50"/>
  <c r="AR530" i="50"/>
  <c r="AQ530" i="50"/>
  <c r="AP530" i="50"/>
  <c r="J530" i="50"/>
  <c r="H530" i="50"/>
  <c r="AX530" i="50" s="1"/>
  <c r="C530" i="50"/>
  <c r="AW529" i="50"/>
  <c r="AR529" i="50"/>
  <c r="AQ529" i="50"/>
  <c r="AP529" i="50"/>
  <c r="J529" i="50"/>
  <c r="H529" i="50"/>
  <c r="AX529" i="50" s="1"/>
  <c r="C529" i="50"/>
  <c r="AY529" i="50" s="1"/>
  <c r="AW528" i="50"/>
  <c r="AS528" i="50"/>
  <c r="AT528" i="50" s="1"/>
  <c r="AR528" i="50"/>
  <c r="AQ528" i="50"/>
  <c r="AP528" i="50"/>
  <c r="J528" i="50"/>
  <c r="H528" i="50"/>
  <c r="AX528" i="50" s="1"/>
  <c r="C528" i="50"/>
  <c r="AY527" i="50"/>
  <c r="AW527" i="50"/>
  <c r="AR527" i="50"/>
  <c r="AQ527" i="50"/>
  <c r="AP527" i="50"/>
  <c r="J527" i="50"/>
  <c r="H527" i="50"/>
  <c r="AX527" i="50" s="1"/>
  <c r="C527" i="50"/>
  <c r="AW526" i="50"/>
  <c r="AR526" i="50"/>
  <c r="AQ526" i="50"/>
  <c r="AP526" i="50"/>
  <c r="J526" i="50"/>
  <c r="H526" i="50"/>
  <c r="AX526" i="50" s="1"/>
  <c r="AY526" i="50" s="1"/>
  <c r="C526" i="50"/>
  <c r="AX525" i="50"/>
  <c r="AW525" i="50"/>
  <c r="AR525" i="50"/>
  <c r="AS525" i="50" s="1"/>
  <c r="AT525" i="50" s="1"/>
  <c r="AQ525" i="50"/>
  <c r="AP525" i="50"/>
  <c r="J525" i="50"/>
  <c r="H525" i="50"/>
  <c r="C525" i="50"/>
  <c r="AZ524" i="50"/>
  <c r="BA524" i="50" s="1"/>
  <c r="AU524" i="50"/>
  <c r="AV524" i="50" s="1"/>
  <c r="AT524" i="50"/>
  <c r="AP524" i="50"/>
  <c r="AO524" i="50"/>
  <c r="AW523" i="50"/>
  <c r="AQ523" i="50"/>
  <c r="AL523" i="50"/>
  <c r="AK523" i="50"/>
  <c r="AJ523" i="50"/>
  <c r="J523" i="50"/>
  <c r="H523" i="50"/>
  <c r="G523" i="50"/>
  <c r="C523" i="50"/>
  <c r="AM523" i="50" s="1"/>
  <c r="AN523" i="50" s="1"/>
  <c r="AW522" i="50"/>
  <c r="AQ522" i="50"/>
  <c r="AL522" i="50"/>
  <c r="AK522" i="50"/>
  <c r="AJ522" i="50"/>
  <c r="J522" i="50"/>
  <c r="G522" i="50"/>
  <c r="H522" i="50" s="1"/>
  <c r="C522" i="50"/>
  <c r="AW521" i="50"/>
  <c r="AR521" i="50"/>
  <c r="AQ521" i="50"/>
  <c r="AS521" i="50" s="1"/>
  <c r="AL521" i="50"/>
  <c r="AK521" i="50"/>
  <c r="AJ521" i="50"/>
  <c r="J521" i="50"/>
  <c r="G521" i="50"/>
  <c r="H521" i="50" s="1"/>
  <c r="AX521" i="50" s="1"/>
  <c r="AY521" i="50" s="1"/>
  <c r="C521" i="50"/>
  <c r="AX520" i="50"/>
  <c r="AW520" i="50"/>
  <c r="AS520" i="50"/>
  <c r="AR520" i="50"/>
  <c r="AQ520" i="50"/>
  <c r="AL520" i="50"/>
  <c r="AK520" i="50"/>
  <c r="AJ520" i="50"/>
  <c r="J520" i="50"/>
  <c r="H520" i="50"/>
  <c r="G520" i="50"/>
  <c r="C520" i="50"/>
  <c r="AX519" i="50"/>
  <c r="AY519" i="50" s="1"/>
  <c r="AW519" i="50"/>
  <c r="AR519" i="50"/>
  <c r="AQ519" i="50"/>
  <c r="AL519" i="50"/>
  <c r="AK519" i="50"/>
  <c r="AJ519" i="50"/>
  <c r="J519" i="50"/>
  <c r="H519" i="50"/>
  <c r="G519" i="50"/>
  <c r="C519" i="50"/>
  <c r="AW518" i="50"/>
  <c r="AQ518" i="50"/>
  <c r="AL518" i="50"/>
  <c r="AK518" i="50"/>
  <c r="AJ518" i="50"/>
  <c r="J518" i="50"/>
  <c r="G518" i="50"/>
  <c r="H518" i="50" s="1"/>
  <c r="C518" i="50"/>
  <c r="AM518" i="50" s="1"/>
  <c r="AN518" i="50" s="1"/>
  <c r="AX517" i="50"/>
  <c r="AW517" i="50"/>
  <c r="AQ517" i="50"/>
  <c r="AL517" i="50"/>
  <c r="AK517" i="50"/>
  <c r="AJ517" i="50"/>
  <c r="J517" i="50"/>
  <c r="H517" i="50"/>
  <c r="AR517" i="50" s="1"/>
  <c r="G517" i="50"/>
  <c r="C517" i="50"/>
  <c r="AW516" i="50"/>
  <c r="AR516" i="50"/>
  <c r="AQ516" i="50"/>
  <c r="AL516" i="50"/>
  <c r="AK516" i="50"/>
  <c r="AJ516" i="50"/>
  <c r="J516" i="50"/>
  <c r="H516" i="50"/>
  <c r="AX516" i="50" s="1"/>
  <c r="G516" i="50"/>
  <c r="C516" i="50"/>
  <c r="AW515" i="50"/>
  <c r="AR515" i="50"/>
  <c r="AQ515" i="50"/>
  <c r="AL515" i="50"/>
  <c r="AK515" i="50"/>
  <c r="AJ515" i="50"/>
  <c r="J515" i="50"/>
  <c r="H515" i="50"/>
  <c r="AX515" i="50" s="1"/>
  <c r="AY515" i="50" s="1"/>
  <c r="G515" i="50"/>
  <c r="C515" i="50"/>
  <c r="AW514" i="50"/>
  <c r="AQ514" i="50"/>
  <c r="AL514" i="50"/>
  <c r="AK514" i="50"/>
  <c r="AJ514" i="50"/>
  <c r="J514" i="50"/>
  <c r="G514" i="50"/>
  <c r="H514" i="50" s="1"/>
  <c r="C514" i="50"/>
  <c r="AM514" i="50" s="1"/>
  <c r="AN514" i="50" s="1"/>
  <c r="AX513" i="50"/>
  <c r="AW513" i="50"/>
  <c r="AQ513" i="50"/>
  <c r="AL513" i="50"/>
  <c r="AK513" i="50"/>
  <c r="AJ513" i="50"/>
  <c r="J513" i="50"/>
  <c r="H513" i="50"/>
  <c r="AR513" i="50" s="1"/>
  <c r="G513" i="50"/>
  <c r="C513" i="50"/>
  <c r="AW512" i="50"/>
  <c r="AR512" i="50"/>
  <c r="AQ512" i="50"/>
  <c r="AL512" i="50"/>
  <c r="AK512" i="50"/>
  <c r="AJ512" i="50"/>
  <c r="J512" i="50"/>
  <c r="H512" i="50"/>
  <c r="AX512" i="50" s="1"/>
  <c r="G512" i="50"/>
  <c r="C512" i="50"/>
  <c r="AW511" i="50"/>
  <c r="AQ511" i="50"/>
  <c r="AL511" i="50"/>
  <c r="AK511" i="50"/>
  <c r="AJ511" i="50"/>
  <c r="J511" i="50"/>
  <c r="H511" i="50"/>
  <c r="AX511" i="50" s="1"/>
  <c r="AY511" i="50" s="1"/>
  <c r="G511" i="50"/>
  <c r="C511" i="50"/>
  <c r="AX510" i="50"/>
  <c r="AW510" i="50"/>
  <c r="AF510" i="50"/>
  <c r="Z510" i="50"/>
  <c r="Y510" i="50"/>
  <c r="T510" i="50"/>
  <c r="N510" i="50"/>
  <c r="J510" i="50"/>
  <c r="I510" i="50"/>
  <c r="AE510" i="50" s="1"/>
  <c r="H510" i="50"/>
  <c r="AL510" i="50" s="1"/>
  <c r="C510" i="50"/>
  <c r="AG510" i="50" s="1"/>
  <c r="AW509" i="50"/>
  <c r="AR509" i="50"/>
  <c r="AM509" i="50"/>
  <c r="AL509" i="50"/>
  <c r="AK509" i="50"/>
  <c r="AF509" i="50"/>
  <c r="AE509" i="50"/>
  <c r="Y509" i="50"/>
  <c r="T509" i="50"/>
  <c r="N509" i="50"/>
  <c r="M509" i="50"/>
  <c r="I509" i="50"/>
  <c r="J509" i="50" s="1"/>
  <c r="H509" i="50"/>
  <c r="AX509" i="50" s="1"/>
  <c r="C509" i="50"/>
  <c r="AR508" i="50"/>
  <c r="AQ508" i="50"/>
  <c r="AF508" i="50"/>
  <c r="AD508" i="50"/>
  <c r="I508" i="50"/>
  <c r="H508" i="50"/>
  <c r="AL508" i="50" s="1"/>
  <c r="G508" i="50"/>
  <c r="C508" i="50"/>
  <c r="AW507" i="50"/>
  <c r="AQ507" i="50"/>
  <c r="AK507" i="50"/>
  <c r="AF507" i="50"/>
  <c r="AE507" i="50"/>
  <c r="AD507" i="50"/>
  <c r="J507" i="50"/>
  <c r="G507" i="50"/>
  <c r="H507" i="50" s="1"/>
  <c r="C507" i="50"/>
  <c r="AW506" i="50"/>
  <c r="AQ506" i="50"/>
  <c r="AK506" i="50"/>
  <c r="AI506" i="50"/>
  <c r="AJ506" i="50" s="1"/>
  <c r="AF506" i="50"/>
  <c r="AE506" i="50"/>
  <c r="AG506" i="50" s="1"/>
  <c r="AH506" i="50" s="1"/>
  <c r="AD506" i="50"/>
  <c r="J506" i="50"/>
  <c r="G506" i="50"/>
  <c r="H506" i="50" s="1"/>
  <c r="C506" i="50"/>
  <c r="AW505" i="50"/>
  <c r="AQ505" i="50"/>
  <c r="AK505" i="50"/>
  <c r="AF505" i="50"/>
  <c r="AE505" i="50"/>
  <c r="AG505" i="50" s="1"/>
  <c r="AH505" i="50" s="1"/>
  <c r="AD505" i="50"/>
  <c r="J505" i="50"/>
  <c r="G505" i="50"/>
  <c r="H505" i="50" s="1"/>
  <c r="C505" i="50"/>
  <c r="AW504" i="50"/>
  <c r="AR504" i="50"/>
  <c r="AQ504" i="50"/>
  <c r="AF504" i="50"/>
  <c r="AE504" i="50"/>
  <c r="AD504" i="50"/>
  <c r="J504" i="50"/>
  <c r="I504" i="50"/>
  <c r="AK504" i="50" s="1"/>
  <c r="H504" i="50"/>
  <c r="G504" i="50"/>
  <c r="C504" i="50"/>
  <c r="AX503" i="50"/>
  <c r="AW503" i="50"/>
  <c r="AR503" i="50"/>
  <c r="AQ503" i="50"/>
  <c r="AL503" i="50"/>
  <c r="AK503" i="50"/>
  <c r="AF503" i="50"/>
  <c r="AE503" i="50"/>
  <c r="AD503" i="50"/>
  <c r="J503" i="50"/>
  <c r="H503" i="50"/>
  <c r="G503" i="50"/>
  <c r="C503" i="50"/>
  <c r="AM503" i="50" s="1"/>
  <c r="AX502" i="50"/>
  <c r="AK502" i="50"/>
  <c r="AF502" i="50"/>
  <c r="AD502" i="50"/>
  <c r="J502" i="50"/>
  <c r="I502" i="50"/>
  <c r="G502" i="50"/>
  <c r="H502" i="50" s="1"/>
  <c r="AR502" i="50" s="1"/>
  <c r="C502" i="50"/>
  <c r="AW501" i="50"/>
  <c r="AQ501" i="50"/>
  <c r="AK501" i="50"/>
  <c r="AF501" i="50"/>
  <c r="AE501" i="50"/>
  <c r="AD501" i="50"/>
  <c r="J501" i="50"/>
  <c r="G501" i="50"/>
  <c r="H501" i="50" s="1"/>
  <c r="C501" i="50"/>
  <c r="AW500" i="50"/>
  <c r="AR500" i="50"/>
  <c r="AL500" i="50"/>
  <c r="AF500" i="50"/>
  <c r="AE500" i="50"/>
  <c r="AD500" i="50"/>
  <c r="J500" i="50"/>
  <c r="I500" i="50"/>
  <c r="AK500" i="50" s="1"/>
  <c r="AM500" i="50" s="1"/>
  <c r="H500" i="50"/>
  <c r="AX500" i="50" s="1"/>
  <c r="G500" i="50"/>
  <c r="C500" i="50"/>
  <c r="AW499" i="50"/>
  <c r="AQ499" i="50"/>
  <c r="AK499" i="50"/>
  <c r="AF499" i="50"/>
  <c r="AE499" i="50"/>
  <c r="AD499" i="50"/>
  <c r="J499" i="50"/>
  <c r="G499" i="50"/>
  <c r="H499" i="50" s="1"/>
  <c r="C499" i="50"/>
  <c r="AW498" i="50"/>
  <c r="AR498" i="50"/>
  <c r="AQ498" i="50"/>
  <c r="AK498" i="50"/>
  <c r="AF498" i="50"/>
  <c r="AE498" i="50"/>
  <c r="AA498" i="50"/>
  <c r="AB498" i="50" s="1"/>
  <c r="Z498" i="50"/>
  <c r="Y498" i="50"/>
  <c r="X498" i="50"/>
  <c r="J498" i="50"/>
  <c r="G498" i="50"/>
  <c r="H498" i="50" s="1"/>
  <c r="C498" i="50"/>
  <c r="AS498" i="50" s="1"/>
  <c r="AX497" i="50"/>
  <c r="AW497" i="50"/>
  <c r="AQ497" i="50"/>
  <c r="AL497" i="50"/>
  <c r="AK497" i="50"/>
  <c r="AE497" i="50"/>
  <c r="Z497" i="50"/>
  <c r="Y497" i="50"/>
  <c r="AA497" i="50" s="1"/>
  <c r="AB497" i="50" s="1"/>
  <c r="X497" i="50"/>
  <c r="J497" i="50"/>
  <c r="G497" i="50"/>
  <c r="H497" i="50" s="1"/>
  <c r="C497" i="50"/>
  <c r="AW496" i="50"/>
  <c r="AQ496" i="50"/>
  <c r="AL496" i="50"/>
  <c r="AM496" i="50" s="1"/>
  <c r="AK496" i="50"/>
  <c r="AE496" i="50"/>
  <c r="Z496" i="50"/>
  <c r="Y496" i="50"/>
  <c r="X496" i="50"/>
  <c r="J496" i="50"/>
  <c r="H496" i="50"/>
  <c r="AX496" i="50" s="1"/>
  <c r="G496" i="50"/>
  <c r="C496" i="50"/>
  <c r="AX495" i="50"/>
  <c r="AW495" i="50"/>
  <c r="AQ495" i="50"/>
  <c r="AL495" i="50"/>
  <c r="AK495" i="50"/>
  <c r="AE495" i="50"/>
  <c r="AA495" i="50"/>
  <c r="AB495" i="50" s="1"/>
  <c r="Z495" i="50"/>
  <c r="Y495" i="50"/>
  <c r="J495" i="50"/>
  <c r="G495" i="50"/>
  <c r="H495" i="50" s="1"/>
  <c r="AR495" i="50" s="1"/>
  <c r="C495" i="50"/>
  <c r="AX494" i="50"/>
  <c r="Z494" i="50"/>
  <c r="I494" i="50"/>
  <c r="G494" i="50"/>
  <c r="H494" i="50" s="1"/>
  <c r="AR494" i="50" s="1"/>
  <c r="C494" i="50"/>
  <c r="AW493" i="50"/>
  <c r="AQ493" i="50"/>
  <c r="AK493" i="50"/>
  <c r="Z493" i="50"/>
  <c r="Y493" i="50"/>
  <c r="I493" i="50"/>
  <c r="J493" i="50" s="1"/>
  <c r="H493" i="50"/>
  <c r="G493" i="50"/>
  <c r="C493" i="50"/>
  <c r="AE492" i="50"/>
  <c r="Z492" i="50"/>
  <c r="I492" i="50"/>
  <c r="G492" i="50"/>
  <c r="H492" i="50" s="1"/>
  <c r="C492" i="50"/>
  <c r="AW491" i="50"/>
  <c r="AQ491" i="50"/>
  <c r="AK491" i="50"/>
  <c r="AF491" i="50"/>
  <c r="AG491" i="50" s="1"/>
  <c r="AE491" i="50"/>
  <c r="Y491" i="50"/>
  <c r="U491" i="50"/>
  <c r="V491" i="50" s="1"/>
  <c r="T491" i="50"/>
  <c r="S491" i="50"/>
  <c r="J491" i="50"/>
  <c r="H491" i="50"/>
  <c r="G491" i="50"/>
  <c r="C491" i="50"/>
  <c r="AW490" i="50"/>
  <c r="AQ490" i="50"/>
  <c r="AL490" i="50"/>
  <c r="AM490" i="50" s="1"/>
  <c r="AK490" i="50"/>
  <c r="AE490" i="50"/>
  <c r="Y490" i="50"/>
  <c r="T490" i="50"/>
  <c r="S490" i="50"/>
  <c r="J490" i="50"/>
  <c r="H490" i="50"/>
  <c r="G490" i="50"/>
  <c r="C490" i="50"/>
  <c r="AW489" i="50"/>
  <c r="AQ489" i="50"/>
  <c r="AK489" i="50"/>
  <c r="AF489" i="50"/>
  <c r="AE489" i="50"/>
  <c r="Y489" i="50"/>
  <c r="U489" i="50"/>
  <c r="V489" i="50" s="1"/>
  <c r="T489" i="50"/>
  <c r="S489" i="50"/>
  <c r="J489" i="50"/>
  <c r="G489" i="50"/>
  <c r="H489" i="50" s="1"/>
  <c r="C489" i="50"/>
  <c r="AW488" i="50"/>
  <c r="AQ488" i="50"/>
  <c r="AK488" i="50"/>
  <c r="AE488" i="50"/>
  <c r="Y488" i="50"/>
  <c r="V488" i="50"/>
  <c r="U488" i="50"/>
  <c r="T488" i="50"/>
  <c r="S488" i="50"/>
  <c r="R488" i="50"/>
  <c r="J488" i="50"/>
  <c r="G488" i="50"/>
  <c r="H488" i="50" s="1"/>
  <c r="AX488" i="50" s="1"/>
  <c r="C488" i="50"/>
  <c r="AW487" i="50"/>
  <c r="AR487" i="50"/>
  <c r="AS487" i="50" s="1"/>
  <c r="AQ487" i="50"/>
  <c r="AK487" i="50"/>
  <c r="AE487" i="50"/>
  <c r="Y487" i="50"/>
  <c r="U487" i="50"/>
  <c r="V487" i="50" s="1"/>
  <c r="T487" i="50"/>
  <c r="S487" i="50"/>
  <c r="R487" i="50"/>
  <c r="J487" i="50"/>
  <c r="H487" i="50"/>
  <c r="G487" i="50"/>
  <c r="C487" i="50"/>
  <c r="AK486" i="50"/>
  <c r="T486" i="50"/>
  <c r="R486" i="50"/>
  <c r="I486" i="50"/>
  <c r="H486" i="50"/>
  <c r="G486" i="50"/>
  <c r="C486" i="50"/>
  <c r="T485" i="50"/>
  <c r="R485" i="50"/>
  <c r="I485" i="50"/>
  <c r="H485" i="50"/>
  <c r="G485" i="50"/>
  <c r="C485" i="50"/>
  <c r="AW484" i="50"/>
  <c r="AQ484" i="50"/>
  <c r="AL484" i="50"/>
  <c r="AK484" i="50"/>
  <c r="AE484" i="50"/>
  <c r="Z484" i="50"/>
  <c r="Y484" i="50"/>
  <c r="S484" i="50"/>
  <c r="N484" i="50"/>
  <c r="M484" i="50"/>
  <c r="J484" i="50"/>
  <c r="G484" i="50"/>
  <c r="H484" i="50" s="1"/>
  <c r="AR484" i="50" s="1"/>
  <c r="C484" i="50"/>
  <c r="AW483" i="50"/>
  <c r="AQ483" i="50"/>
  <c r="AK483" i="50"/>
  <c r="AE483" i="50"/>
  <c r="Y483" i="50"/>
  <c r="S483" i="50"/>
  <c r="N483" i="50"/>
  <c r="M483" i="50"/>
  <c r="J483" i="50"/>
  <c r="H483" i="50"/>
  <c r="G483" i="50"/>
  <c r="C483" i="50"/>
  <c r="AW482" i="50"/>
  <c r="AQ482" i="50"/>
  <c r="AK482" i="50"/>
  <c r="AE482" i="50"/>
  <c r="Y482" i="50"/>
  <c r="S482" i="50"/>
  <c r="N482" i="50"/>
  <c r="M482" i="50"/>
  <c r="J482" i="50"/>
  <c r="G482" i="50"/>
  <c r="H482" i="50" s="1"/>
  <c r="C482" i="50"/>
  <c r="AW481" i="50"/>
  <c r="AQ481" i="50"/>
  <c r="AK481" i="50"/>
  <c r="AE481" i="50"/>
  <c r="Y481" i="50"/>
  <c r="S481" i="50"/>
  <c r="N481" i="50"/>
  <c r="M481" i="50"/>
  <c r="O481" i="50" s="1"/>
  <c r="P481" i="50" s="1"/>
  <c r="Q481" i="50" s="1"/>
  <c r="R481" i="50" s="1"/>
  <c r="J481" i="50"/>
  <c r="H481" i="50"/>
  <c r="G481" i="50"/>
  <c r="C481" i="50"/>
  <c r="AW480" i="50"/>
  <c r="AQ480" i="50"/>
  <c r="AL480" i="50"/>
  <c r="AK480" i="50"/>
  <c r="AE480" i="50"/>
  <c r="Y480" i="50"/>
  <c r="T480" i="50"/>
  <c r="S480" i="50"/>
  <c r="N480" i="50"/>
  <c r="M480" i="50"/>
  <c r="J480" i="50"/>
  <c r="G480" i="50"/>
  <c r="H480" i="50" s="1"/>
  <c r="C480" i="50"/>
  <c r="AW479" i="50"/>
  <c r="AQ479" i="50"/>
  <c r="AK479" i="50"/>
  <c r="AE479" i="50"/>
  <c r="Y479" i="50"/>
  <c r="S479" i="50"/>
  <c r="N479" i="50"/>
  <c r="M479" i="50"/>
  <c r="J479" i="50"/>
  <c r="H479" i="50"/>
  <c r="AX479" i="50" s="1"/>
  <c r="AY479" i="50" s="1"/>
  <c r="G479" i="50"/>
  <c r="C479" i="50"/>
  <c r="AW478" i="50"/>
  <c r="AQ478" i="50"/>
  <c r="AK478" i="50"/>
  <c r="AE478" i="50"/>
  <c r="Y478" i="50"/>
  <c r="S478" i="50"/>
  <c r="N478" i="50"/>
  <c r="M478" i="50"/>
  <c r="J478" i="50"/>
  <c r="G478" i="50"/>
  <c r="H478" i="50" s="1"/>
  <c r="C478" i="50"/>
  <c r="AW477" i="50"/>
  <c r="AQ477" i="50"/>
  <c r="AK477" i="50"/>
  <c r="AE477" i="50"/>
  <c r="Y477" i="50"/>
  <c r="S477" i="50"/>
  <c r="N477" i="50"/>
  <c r="M477" i="50"/>
  <c r="J477" i="50"/>
  <c r="G477" i="50"/>
  <c r="H477" i="50" s="1"/>
  <c r="C477" i="50"/>
  <c r="AW476" i="50"/>
  <c r="AQ476" i="50"/>
  <c r="AL476" i="50"/>
  <c r="AM476" i="50" s="1"/>
  <c r="AK476" i="50"/>
  <c r="AF476" i="50"/>
  <c r="AE476" i="50"/>
  <c r="Y476" i="50"/>
  <c r="S476" i="50"/>
  <c r="O476" i="50"/>
  <c r="P476" i="50" s="1"/>
  <c r="N476" i="50"/>
  <c r="M476" i="50"/>
  <c r="J476" i="50"/>
  <c r="G476" i="50"/>
  <c r="H476" i="50" s="1"/>
  <c r="C476" i="50"/>
  <c r="AW475" i="50"/>
  <c r="AQ475" i="50"/>
  <c r="AK475" i="50"/>
  <c r="AE475" i="50"/>
  <c r="Y475" i="50"/>
  <c r="S475" i="50"/>
  <c r="N475" i="50"/>
  <c r="M475" i="50"/>
  <c r="J475" i="50"/>
  <c r="H475" i="50"/>
  <c r="G475" i="50"/>
  <c r="C475" i="50"/>
  <c r="AW474" i="50"/>
  <c r="AQ474" i="50"/>
  <c r="AK474" i="50"/>
  <c r="AE474" i="50"/>
  <c r="Y474" i="50"/>
  <c r="S474" i="50"/>
  <c r="O474" i="50"/>
  <c r="P474" i="50" s="1"/>
  <c r="N474" i="50"/>
  <c r="M474" i="50"/>
  <c r="J474" i="50"/>
  <c r="H474" i="50"/>
  <c r="AR474" i="50" s="1"/>
  <c r="G474" i="50"/>
  <c r="C474" i="50"/>
  <c r="AW473" i="50"/>
  <c r="AQ473" i="50"/>
  <c r="AK473" i="50"/>
  <c r="AE473" i="50"/>
  <c r="Y473" i="50"/>
  <c r="S473" i="50"/>
  <c r="N473" i="50"/>
  <c r="M473" i="50"/>
  <c r="J473" i="50"/>
  <c r="G473" i="50"/>
  <c r="H473" i="50" s="1"/>
  <c r="AL473" i="50" s="1"/>
  <c r="C473" i="50"/>
  <c r="AX472" i="50"/>
  <c r="AW472" i="50"/>
  <c r="AQ472" i="50"/>
  <c r="AK472" i="50"/>
  <c r="AE472" i="50"/>
  <c r="Y472" i="50"/>
  <c r="S472" i="50"/>
  <c r="O472" i="50"/>
  <c r="P472" i="50" s="1"/>
  <c r="N472" i="50"/>
  <c r="M472" i="50"/>
  <c r="J472" i="50"/>
  <c r="G472" i="50"/>
  <c r="H472" i="50" s="1"/>
  <c r="AL472" i="50" s="1"/>
  <c r="AM472" i="50" s="1"/>
  <c r="C472" i="50"/>
  <c r="AW471" i="50"/>
  <c r="AR471" i="50"/>
  <c r="AQ471" i="50"/>
  <c r="AK471" i="50"/>
  <c r="AE471" i="50"/>
  <c r="Y471" i="50"/>
  <c r="T471" i="50"/>
  <c r="S471" i="50"/>
  <c r="U471" i="50" s="1"/>
  <c r="O471" i="50"/>
  <c r="P471" i="50" s="1"/>
  <c r="V471" i="50" s="1"/>
  <c r="N471" i="50"/>
  <c r="M471" i="50"/>
  <c r="J471" i="50"/>
  <c r="H471" i="50"/>
  <c r="G471" i="50"/>
  <c r="C471" i="50"/>
  <c r="AW470" i="50"/>
  <c r="AQ470" i="50"/>
  <c r="AK470" i="50"/>
  <c r="AF470" i="50"/>
  <c r="AG470" i="50" s="1"/>
  <c r="AE470" i="50"/>
  <c r="Y470" i="50"/>
  <c r="S470" i="50"/>
  <c r="N470" i="50"/>
  <c r="M470" i="50"/>
  <c r="J470" i="50"/>
  <c r="G470" i="50"/>
  <c r="H470" i="50" s="1"/>
  <c r="T470" i="50" s="1"/>
  <c r="C470" i="50"/>
  <c r="AW469" i="50"/>
  <c r="AQ469" i="50"/>
  <c r="AL469" i="50"/>
  <c r="AK469" i="50"/>
  <c r="AE469" i="50"/>
  <c r="Y469" i="50"/>
  <c r="S469" i="50"/>
  <c r="N469" i="50"/>
  <c r="M469" i="50"/>
  <c r="J469" i="50"/>
  <c r="G469" i="50"/>
  <c r="H469" i="50" s="1"/>
  <c r="C469" i="50"/>
  <c r="AW468" i="50"/>
  <c r="AQ468" i="50"/>
  <c r="AK468" i="50"/>
  <c r="AE468" i="50"/>
  <c r="Y468" i="50"/>
  <c r="T468" i="50"/>
  <c r="S468" i="50"/>
  <c r="N468" i="50"/>
  <c r="M468" i="50"/>
  <c r="J468" i="50"/>
  <c r="H468" i="50"/>
  <c r="AX468" i="50" s="1"/>
  <c r="AY468" i="50" s="1"/>
  <c r="G468" i="50"/>
  <c r="C468" i="50"/>
  <c r="AW467" i="50"/>
  <c r="AQ467" i="50"/>
  <c r="AK467" i="50"/>
  <c r="AE467" i="50"/>
  <c r="Y467" i="50"/>
  <c r="S467" i="50"/>
  <c r="O467" i="50"/>
  <c r="P467" i="50" s="1"/>
  <c r="N467" i="50"/>
  <c r="M467" i="50"/>
  <c r="J467" i="50"/>
  <c r="H467" i="50"/>
  <c r="G467" i="50"/>
  <c r="C467" i="50"/>
  <c r="AW466" i="50"/>
  <c r="AY466" i="50" s="1"/>
  <c r="AS466" i="50"/>
  <c r="AR466" i="50"/>
  <c r="AQ466" i="50"/>
  <c r="AL466" i="50"/>
  <c r="AK466" i="50"/>
  <c r="AF466" i="50"/>
  <c r="AE466" i="50"/>
  <c r="Y466" i="50"/>
  <c r="T466" i="50"/>
  <c r="U466" i="50" s="1"/>
  <c r="S466" i="50"/>
  <c r="N466" i="50"/>
  <c r="M466" i="50"/>
  <c r="J466" i="50"/>
  <c r="H466" i="50"/>
  <c r="AX466" i="50" s="1"/>
  <c r="G466" i="50"/>
  <c r="C466" i="50"/>
  <c r="AW465" i="50"/>
  <c r="AQ465" i="50"/>
  <c r="AK465" i="50"/>
  <c r="AE465" i="50"/>
  <c r="Z465" i="50"/>
  <c r="Y465" i="50"/>
  <c r="S465" i="50"/>
  <c r="N465" i="50"/>
  <c r="M465" i="50"/>
  <c r="O465" i="50" s="1"/>
  <c r="P465" i="50" s="1"/>
  <c r="J465" i="50"/>
  <c r="H465" i="50"/>
  <c r="G465" i="50"/>
  <c r="C465" i="50"/>
  <c r="AX464" i="50"/>
  <c r="AW464" i="50"/>
  <c r="AQ464" i="50"/>
  <c r="AM464" i="50"/>
  <c r="AL464" i="50"/>
  <c r="AK464" i="50"/>
  <c r="AE464" i="50"/>
  <c r="Z464" i="50"/>
  <c r="Y464" i="50"/>
  <c r="S464" i="50"/>
  <c r="N464" i="50"/>
  <c r="O464" i="50" s="1"/>
  <c r="P464" i="50" s="1"/>
  <c r="Q464" i="50" s="1"/>
  <c r="R464" i="50" s="1"/>
  <c r="M464" i="50"/>
  <c r="J464" i="50"/>
  <c r="G464" i="50"/>
  <c r="H464" i="50" s="1"/>
  <c r="C464" i="50"/>
  <c r="AW463" i="50"/>
  <c r="AQ463" i="50"/>
  <c r="AK463" i="50"/>
  <c r="AE463" i="50"/>
  <c r="Y463" i="50"/>
  <c r="S463" i="50"/>
  <c r="N463" i="50"/>
  <c r="M463" i="50"/>
  <c r="J463" i="50"/>
  <c r="H463" i="50"/>
  <c r="G463" i="50"/>
  <c r="C463" i="50"/>
  <c r="AW462" i="50"/>
  <c r="AR462" i="50"/>
  <c r="AQ462" i="50"/>
  <c r="AK462" i="50"/>
  <c r="AE462" i="50"/>
  <c r="Y462" i="50"/>
  <c r="S462" i="50"/>
  <c r="N462" i="50"/>
  <c r="M462" i="50"/>
  <c r="J462" i="50"/>
  <c r="G462" i="50"/>
  <c r="H462" i="50" s="1"/>
  <c r="C462" i="50"/>
  <c r="AW461" i="50"/>
  <c r="AQ461" i="50"/>
  <c r="AL461" i="50"/>
  <c r="AK461" i="50"/>
  <c r="AE461" i="50"/>
  <c r="Y461" i="50"/>
  <c r="S461" i="50"/>
  <c r="O461" i="50"/>
  <c r="P461" i="50" s="1"/>
  <c r="N461" i="50"/>
  <c r="M461" i="50"/>
  <c r="J461" i="50"/>
  <c r="H461" i="50"/>
  <c r="G461" i="50"/>
  <c r="C461" i="50"/>
  <c r="AW460" i="50"/>
  <c r="AQ460" i="50"/>
  <c r="AK460" i="50"/>
  <c r="AE460" i="50"/>
  <c r="Y460" i="50"/>
  <c r="S460" i="50"/>
  <c r="N460" i="50"/>
  <c r="M460" i="50"/>
  <c r="J460" i="50"/>
  <c r="G460" i="50"/>
  <c r="H460" i="50" s="1"/>
  <c r="AR460" i="50" s="1"/>
  <c r="AS460" i="50" s="1"/>
  <c r="C460" i="50"/>
  <c r="AW459" i="50"/>
  <c r="AQ459" i="50"/>
  <c r="AK459" i="50"/>
  <c r="AE459" i="50"/>
  <c r="Y459" i="50"/>
  <c r="S459" i="50"/>
  <c r="N459" i="50"/>
  <c r="M459" i="50"/>
  <c r="J459" i="50"/>
  <c r="G459" i="50"/>
  <c r="H459" i="50" s="1"/>
  <c r="C459" i="50"/>
  <c r="AW458" i="50"/>
  <c r="AQ458" i="50"/>
  <c r="AK458" i="50"/>
  <c r="AE458" i="50"/>
  <c r="Y458" i="50"/>
  <c r="S458" i="50"/>
  <c r="N458" i="50"/>
  <c r="O458" i="50" s="1"/>
  <c r="P458" i="50" s="1"/>
  <c r="M458" i="50"/>
  <c r="J458" i="50"/>
  <c r="G458" i="50"/>
  <c r="H458" i="50" s="1"/>
  <c r="C458" i="50"/>
  <c r="AW457" i="50"/>
  <c r="AQ457" i="50"/>
  <c r="AK457" i="50"/>
  <c r="AE457" i="50"/>
  <c r="Y457" i="50"/>
  <c r="T457" i="50"/>
  <c r="U457" i="50" s="1"/>
  <c r="S457" i="50"/>
  <c r="N457" i="50"/>
  <c r="M457" i="50"/>
  <c r="J457" i="50"/>
  <c r="H457" i="50"/>
  <c r="G457" i="50"/>
  <c r="C457" i="50"/>
  <c r="AW456" i="50"/>
  <c r="AQ456" i="50"/>
  <c r="AK456" i="50"/>
  <c r="AE456" i="50"/>
  <c r="Y456" i="50"/>
  <c r="S456" i="50"/>
  <c r="N456" i="50"/>
  <c r="M456" i="50"/>
  <c r="O456" i="50" s="1"/>
  <c r="P456" i="50" s="1"/>
  <c r="J456" i="50"/>
  <c r="G456" i="50"/>
  <c r="H456" i="50" s="1"/>
  <c r="C456" i="50"/>
  <c r="AW455" i="50"/>
  <c r="AQ455" i="50"/>
  <c r="AM455" i="50"/>
  <c r="AL455" i="50"/>
  <c r="AK455" i="50"/>
  <c r="AE455" i="50"/>
  <c r="Y455" i="50"/>
  <c r="S455" i="50"/>
  <c r="N455" i="50"/>
  <c r="M455" i="50"/>
  <c r="J455" i="50"/>
  <c r="G455" i="50"/>
  <c r="H455" i="50" s="1"/>
  <c r="C455" i="50"/>
  <c r="AW454" i="50"/>
  <c r="AQ454" i="50"/>
  <c r="AK454" i="50"/>
  <c r="AE454" i="50"/>
  <c r="Y454" i="50"/>
  <c r="S454" i="50"/>
  <c r="N454" i="50"/>
  <c r="M454" i="50"/>
  <c r="J454" i="50"/>
  <c r="H454" i="50"/>
  <c r="G454" i="50"/>
  <c r="C454" i="50"/>
  <c r="AW453" i="50"/>
  <c r="AQ453" i="50"/>
  <c r="AK453" i="50"/>
  <c r="AE453" i="50"/>
  <c r="Y453" i="50"/>
  <c r="S453" i="50"/>
  <c r="N453" i="50"/>
  <c r="M453" i="50"/>
  <c r="J453" i="50"/>
  <c r="H453" i="50"/>
  <c r="AF453" i="50" s="1"/>
  <c r="G453" i="50"/>
  <c r="C453" i="50"/>
  <c r="O453" i="50" s="1"/>
  <c r="L451" i="50"/>
  <c r="AX450" i="50"/>
  <c r="AW450" i="50"/>
  <c r="AV450" i="50"/>
  <c r="J450" i="50"/>
  <c r="G450" i="50"/>
  <c r="H450" i="50" s="1"/>
  <c r="C450" i="50"/>
  <c r="AY449" i="50"/>
  <c r="AZ449" i="50" s="1"/>
  <c r="BA449" i="50" s="1"/>
  <c r="AX449" i="50"/>
  <c r="AW449" i="50"/>
  <c r="AV449" i="50"/>
  <c r="J449" i="50"/>
  <c r="G449" i="50"/>
  <c r="H449" i="50" s="1"/>
  <c r="C449" i="50"/>
  <c r="AX448" i="50"/>
  <c r="AW448" i="50"/>
  <c r="AY448" i="50" s="1"/>
  <c r="AZ448" i="50" s="1"/>
  <c r="BA448" i="50" s="1"/>
  <c r="AV448" i="50"/>
  <c r="J448" i="50"/>
  <c r="H448" i="50"/>
  <c r="G448" i="50"/>
  <c r="C448" i="50"/>
  <c r="AX447" i="50"/>
  <c r="AW447" i="50"/>
  <c r="AV447" i="50"/>
  <c r="J447" i="50"/>
  <c r="H447" i="50"/>
  <c r="G447" i="50"/>
  <c r="C447" i="50"/>
  <c r="AX446" i="50"/>
  <c r="AW446" i="50"/>
  <c r="AV446" i="50"/>
  <c r="J446" i="50"/>
  <c r="H446" i="50"/>
  <c r="G446" i="50"/>
  <c r="C446" i="50"/>
  <c r="AY445" i="50"/>
  <c r="AZ445" i="50" s="1"/>
  <c r="AX445" i="50"/>
  <c r="AW445" i="50"/>
  <c r="BA445" i="50" s="1"/>
  <c r="AV445" i="50"/>
  <c r="J445" i="50"/>
  <c r="H445" i="50"/>
  <c r="G445" i="50"/>
  <c r="C445" i="50"/>
  <c r="AX444" i="50"/>
  <c r="AW444" i="50"/>
  <c r="AY444" i="50" s="1"/>
  <c r="AZ444" i="50" s="1"/>
  <c r="BA444" i="50" s="1"/>
  <c r="AV444" i="50"/>
  <c r="J444" i="50"/>
  <c r="G444" i="50"/>
  <c r="H444" i="50" s="1"/>
  <c r="C444" i="50"/>
  <c r="AX443" i="50"/>
  <c r="AW443" i="50"/>
  <c r="AV443" i="50"/>
  <c r="J443" i="50"/>
  <c r="H443" i="50"/>
  <c r="G443" i="50"/>
  <c r="C443" i="50"/>
  <c r="AY443" i="50" s="1"/>
  <c r="AZ443" i="50" s="1"/>
  <c r="BA443" i="50" s="1"/>
  <c r="AX442" i="50"/>
  <c r="AW442" i="50"/>
  <c r="AV442" i="50"/>
  <c r="J442" i="50"/>
  <c r="H442" i="50"/>
  <c r="G442" i="50"/>
  <c r="C442" i="50"/>
  <c r="AX441" i="50"/>
  <c r="AW441" i="50"/>
  <c r="AV441" i="50"/>
  <c r="J441" i="50"/>
  <c r="H441" i="50"/>
  <c r="G441" i="50"/>
  <c r="C441" i="50"/>
  <c r="AY441" i="50" s="1"/>
  <c r="AZ441" i="50" s="1"/>
  <c r="AW440" i="50"/>
  <c r="AR440" i="50"/>
  <c r="AS440" i="50" s="1"/>
  <c r="AT440" i="50" s="1"/>
  <c r="AQ440" i="50"/>
  <c r="AP440" i="50"/>
  <c r="J440" i="50"/>
  <c r="H440" i="50"/>
  <c r="AX440" i="50" s="1"/>
  <c r="C440" i="50"/>
  <c r="AW439" i="50"/>
  <c r="AR439" i="50"/>
  <c r="AQ439" i="50"/>
  <c r="AP439" i="50"/>
  <c r="J439" i="50"/>
  <c r="H439" i="50"/>
  <c r="AX439" i="50" s="1"/>
  <c r="C439" i="50"/>
  <c r="AY439" i="50" s="1"/>
  <c r="AY438" i="50"/>
  <c r="AX438" i="50"/>
  <c r="AW438" i="50"/>
  <c r="AR438" i="50"/>
  <c r="AQ438" i="50"/>
  <c r="AP438" i="50"/>
  <c r="J438" i="50"/>
  <c r="H438" i="50"/>
  <c r="C438" i="50"/>
  <c r="AY437" i="50"/>
  <c r="AX437" i="50"/>
  <c r="AW437" i="50"/>
  <c r="AS437" i="50"/>
  <c r="AT437" i="50" s="1"/>
  <c r="AZ437" i="50" s="1"/>
  <c r="BA437" i="50" s="1"/>
  <c r="AR437" i="50"/>
  <c r="AQ437" i="50"/>
  <c r="AP437" i="50"/>
  <c r="J437" i="50"/>
  <c r="H437" i="50"/>
  <c r="C437" i="50"/>
  <c r="AX436" i="50"/>
  <c r="AW436" i="50"/>
  <c r="AR436" i="50"/>
  <c r="AQ436" i="50"/>
  <c r="AP436" i="50"/>
  <c r="J436" i="50"/>
  <c r="H436" i="50"/>
  <c r="C436" i="50"/>
  <c r="AT435" i="50"/>
  <c r="AP435" i="50"/>
  <c r="AO435" i="50"/>
  <c r="AX434" i="50"/>
  <c r="AY434" i="50" s="1"/>
  <c r="AW434" i="50"/>
  <c r="AQ434" i="50"/>
  <c r="AS434" i="50" s="1"/>
  <c r="AM434" i="50"/>
  <c r="AN434" i="50" s="1"/>
  <c r="AT434" i="50" s="1"/>
  <c r="AZ434" i="50" s="1"/>
  <c r="BA434" i="50" s="1"/>
  <c r="AL434" i="50"/>
  <c r="AK434" i="50"/>
  <c r="J434" i="50"/>
  <c r="G434" i="50"/>
  <c r="H434" i="50" s="1"/>
  <c r="AR434" i="50" s="1"/>
  <c r="C434" i="50"/>
  <c r="AY433" i="50"/>
  <c r="AW433" i="50"/>
  <c r="AQ433" i="50"/>
  <c r="AM433" i="50"/>
  <c r="AN433" i="50" s="1"/>
  <c r="AL433" i="50"/>
  <c r="AK433" i="50"/>
  <c r="J433" i="50"/>
  <c r="H433" i="50"/>
  <c r="AX433" i="50" s="1"/>
  <c r="G433" i="50"/>
  <c r="C433" i="50"/>
  <c r="AX432" i="50"/>
  <c r="AW432" i="50"/>
  <c r="AQ432" i="50"/>
  <c r="AL432" i="50"/>
  <c r="AK432" i="50"/>
  <c r="J432" i="50"/>
  <c r="G432" i="50"/>
  <c r="H432" i="50" s="1"/>
  <c r="AR432" i="50" s="1"/>
  <c r="C432" i="50"/>
  <c r="AW431" i="50"/>
  <c r="AQ431" i="50"/>
  <c r="AL431" i="50"/>
  <c r="AK431" i="50"/>
  <c r="J431" i="50"/>
  <c r="H431" i="50"/>
  <c r="AR431" i="50" s="1"/>
  <c r="G431" i="50"/>
  <c r="C431" i="50"/>
  <c r="AW430" i="50"/>
  <c r="AR430" i="50"/>
  <c r="AQ430" i="50"/>
  <c r="AL430" i="50"/>
  <c r="AK430" i="50"/>
  <c r="J430" i="50"/>
  <c r="G430" i="50"/>
  <c r="H430" i="50" s="1"/>
  <c r="AX430" i="50" s="1"/>
  <c r="AY430" i="50" s="1"/>
  <c r="C430" i="50"/>
  <c r="AM430" i="50" s="1"/>
  <c r="AN430" i="50" s="1"/>
  <c r="AW429" i="50"/>
  <c r="AQ429" i="50"/>
  <c r="AN429" i="50"/>
  <c r="AM429" i="50"/>
  <c r="AL429" i="50"/>
  <c r="AK429" i="50"/>
  <c r="J429" i="50"/>
  <c r="H429" i="50"/>
  <c r="G429" i="50"/>
  <c r="C429" i="50"/>
  <c r="AW428" i="50"/>
  <c r="AR428" i="50"/>
  <c r="AS428" i="50" s="1"/>
  <c r="AQ428" i="50"/>
  <c r="AL428" i="50"/>
  <c r="AK428" i="50"/>
  <c r="J428" i="50"/>
  <c r="G428" i="50"/>
  <c r="H428" i="50" s="1"/>
  <c r="AX428" i="50" s="1"/>
  <c r="C428" i="50"/>
  <c r="AX427" i="50"/>
  <c r="AW427" i="50"/>
  <c r="AQ427" i="50"/>
  <c r="AL427" i="50"/>
  <c r="AK427" i="50"/>
  <c r="J427" i="50"/>
  <c r="H427" i="50"/>
  <c r="AR427" i="50" s="1"/>
  <c r="G427" i="50"/>
  <c r="C427" i="50"/>
  <c r="AW426" i="50"/>
  <c r="AQ426" i="50"/>
  <c r="AS426" i="50" s="1"/>
  <c r="AL426" i="50"/>
  <c r="AK426" i="50"/>
  <c r="AJ426" i="50"/>
  <c r="AD426" i="50"/>
  <c r="J426" i="50"/>
  <c r="G426" i="50"/>
  <c r="H426" i="50" s="1"/>
  <c r="AR426" i="50" s="1"/>
  <c r="C426" i="50"/>
  <c r="AM426" i="50" s="1"/>
  <c r="AN426" i="50" s="1"/>
  <c r="AT426" i="50" s="1"/>
  <c r="AW425" i="50"/>
  <c r="AQ425" i="50"/>
  <c r="AL425" i="50"/>
  <c r="AK425" i="50"/>
  <c r="AJ425" i="50"/>
  <c r="AD425" i="50"/>
  <c r="J425" i="50"/>
  <c r="H425" i="50"/>
  <c r="G425" i="50"/>
  <c r="C425" i="50"/>
  <c r="AM425" i="50" s="1"/>
  <c r="AN425" i="50" s="1"/>
  <c r="AW424" i="50"/>
  <c r="AY424" i="50" s="1"/>
  <c r="AQ424" i="50"/>
  <c r="AL424" i="50"/>
  <c r="AK424" i="50"/>
  <c r="AJ424" i="50"/>
  <c r="AD424" i="50"/>
  <c r="J424" i="50"/>
  <c r="G424" i="50"/>
  <c r="H424" i="50" s="1"/>
  <c r="AX424" i="50" s="1"/>
  <c r="C424" i="50"/>
  <c r="AY423" i="50"/>
  <c r="AW423" i="50"/>
  <c r="AS423" i="50"/>
  <c r="AR423" i="50"/>
  <c r="AQ423" i="50"/>
  <c r="AL423" i="50"/>
  <c r="AK423" i="50"/>
  <c r="AJ423" i="50"/>
  <c r="AD423" i="50"/>
  <c r="J423" i="50"/>
  <c r="H423" i="50"/>
  <c r="AX423" i="50" s="1"/>
  <c r="G423" i="50"/>
  <c r="C423" i="50"/>
  <c r="AR422" i="50"/>
  <c r="AF422" i="50"/>
  <c r="AD422" i="50"/>
  <c r="I422" i="50"/>
  <c r="H422" i="50"/>
  <c r="AL422" i="50" s="1"/>
  <c r="G422" i="50"/>
  <c r="C422" i="50"/>
  <c r="AW421" i="50"/>
  <c r="AQ421" i="50"/>
  <c r="AK421" i="50"/>
  <c r="AG421" i="50"/>
  <c r="AH421" i="50" s="1"/>
  <c r="AF421" i="50"/>
  <c r="AE421" i="50"/>
  <c r="AD421" i="50"/>
  <c r="J421" i="50"/>
  <c r="G421" i="50"/>
  <c r="H421" i="50" s="1"/>
  <c r="C421" i="50"/>
  <c r="AR420" i="50"/>
  <c r="AF420" i="50"/>
  <c r="AD420" i="50"/>
  <c r="I420" i="50"/>
  <c r="H420" i="50"/>
  <c r="G420" i="50"/>
  <c r="C420" i="50"/>
  <c r="AW419" i="50"/>
  <c r="AR419" i="50"/>
  <c r="AQ419" i="50"/>
  <c r="AK419" i="50"/>
  <c r="AG419" i="50"/>
  <c r="AH419" i="50" s="1"/>
  <c r="AF419" i="50"/>
  <c r="AE419" i="50"/>
  <c r="AI419" i="50" s="1"/>
  <c r="AJ419" i="50" s="1"/>
  <c r="AD419" i="50"/>
  <c r="J419" i="50"/>
  <c r="H419" i="50"/>
  <c r="AL419" i="50" s="1"/>
  <c r="G419" i="50"/>
  <c r="C419" i="50"/>
  <c r="AR418" i="50"/>
  <c r="AK418" i="50"/>
  <c r="AF418" i="50"/>
  <c r="AD418" i="50"/>
  <c r="I418" i="50"/>
  <c r="G418" i="50"/>
  <c r="H418" i="50" s="1"/>
  <c r="AX418" i="50" s="1"/>
  <c r="C418" i="50"/>
  <c r="AW417" i="50"/>
  <c r="AQ417" i="50"/>
  <c r="AK417" i="50"/>
  <c r="AF417" i="50"/>
  <c r="AE417" i="50"/>
  <c r="AD417" i="50"/>
  <c r="J417" i="50"/>
  <c r="I417" i="50"/>
  <c r="G417" i="50"/>
  <c r="H417" i="50" s="1"/>
  <c r="C417" i="50"/>
  <c r="AG417" i="50" s="1"/>
  <c r="AH417" i="50" s="1"/>
  <c r="AX416" i="50"/>
  <c r="AL416" i="50"/>
  <c r="AF416" i="50"/>
  <c r="AE416" i="50"/>
  <c r="AD416" i="50"/>
  <c r="I416" i="50"/>
  <c r="AK416" i="50" s="1"/>
  <c r="G416" i="50"/>
  <c r="H416" i="50" s="1"/>
  <c r="AR416" i="50" s="1"/>
  <c r="C416" i="50"/>
  <c r="AF415" i="50"/>
  <c r="AD415" i="50"/>
  <c r="I415" i="50"/>
  <c r="H415" i="50"/>
  <c r="G415" i="50"/>
  <c r="C415" i="50"/>
  <c r="AX414" i="50"/>
  <c r="AW414" i="50"/>
  <c r="AR414" i="50"/>
  <c r="AQ414" i="50"/>
  <c r="AK414" i="50"/>
  <c r="AM414" i="50" s="1"/>
  <c r="AG414" i="50"/>
  <c r="AF414" i="50"/>
  <c r="AE414" i="50"/>
  <c r="Z414" i="50"/>
  <c r="Y414" i="50"/>
  <c r="J414" i="50"/>
  <c r="G414" i="50"/>
  <c r="H414" i="50" s="1"/>
  <c r="AL414" i="50" s="1"/>
  <c r="C414" i="50"/>
  <c r="AS414" i="50" s="1"/>
  <c r="AW413" i="50"/>
  <c r="AQ413" i="50"/>
  <c r="AK413" i="50"/>
  <c r="AE413" i="50"/>
  <c r="Z413" i="50"/>
  <c r="Y413" i="50"/>
  <c r="J413" i="50"/>
  <c r="G413" i="50"/>
  <c r="H413" i="50" s="1"/>
  <c r="C413" i="50"/>
  <c r="AY412" i="50"/>
  <c r="AX412" i="50"/>
  <c r="AW412" i="50"/>
  <c r="AR412" i="50"/>
  <c r="AQ412" i="50"/>
  <c r="AL412" i="50"/>
  <c r="AK412" i="50"/>
  <c r="AE412" i="50"/>
  <c r="AG412" i="50" s="1"/>
  <c r="Z412" i="50"/>
  <c r="AA412" i="50" s="1"/>
  <c r="Y412" i="50"/>
  <c r="T412" i="50"/>
  <c r="S412" i="50"/>
  <c r="R412" i="50"/>
  <c r="J412" i="50"/>
  <c r="H412" i="50"/>
  <c r="AF412" i="50" s="1"/>
  <c r="G412" i="50"/>
  <c r="C412" i="50"/>
  <c r="AY411" i="50"/>
  <c r="AX411" i="50"/>
  <c r="AW411" i="50"/>
  <c r="AR411" i="50"/>
  <c r="AQ411" i="50"/>
  <c r="AL411" i="50"/>
  <c r="AK411" i="50"/>
  <c r="AE411" i="50"/>
  <c r="Z411" i="50"/>
  <c r="AA411" i="50" s="1"/>
  <c r="Y411" i="50"/>
  <c r="T411" i="50"/>
  <c r="S411" i="50"/>
  <c r="R411" i="50"/>
  <c r="J411" i="50"/>
  <c r="H411" i="50"/>
  <c r="AF411" i="50" s="1"/>
  <c r="G411" i="50"/>
  <c r="C411" i="50"/>
  <c r="AX410" i="50"/>
  <c r="AQ410" i="50"/>
  <c r="AL410" i="50"/>
  <c r="Z410" i="50"/>
  <c r="T410" i="50"/>
  <c r="S410" i="50"/>
  <c r="R410" i="50"/>
  <c r="I410" i="50"/>
  <c r="AW410" i="50" s="1"/>
  <c r="G410" i="50"/>
  <c r="H410" i="50" s="1"/>
  <c r="AF410" i="50" s="1"/>
  <c r="C410" i="50"/>
  <c r="AW409" i="50"/>
  <c r="AQ409" i="50"/>
  <c r="AK409" i="50"/>
  <c r="AE409" i="50"/>
  <c r="Y409" i="50"/>
  <c r="U409" i="50"/>
  <c r="V409" i="50" s="1"/>
  <c r="W409" i="50" s="1"/>
  <c r="X409" i="50" s="1"/>
  <c r="T409" i="50"/>
  <c r="S409" i="50"/>
  <c r="R409" i="50"/>
  <c r="J409" i="50"/>
  <c r="G409" i="50"/>
  <c r="H409" i="50" s="1"/>
  <c r="C409" i="50"/>
  <c r="AW408" i="50"/>
  <c r="AR408" i="50"/>
  <c r="AQ408" i="50"/>
  <c r="AS408" i="50" s="1"/>
  <c r="AK408" i="50"/>
  <c r="AE408" i="50"/>
  <c r="Y408" i="50"/>
  <c r="S408" i="50"/>
  <c r="N408" i="50"/>
  <c r="M408" i="50"/>
  <c r="J408" i="50"/>
  <c r="H408" i="50"/>
  <c r="T408" i="50" s="1"/>
  <c r="G408" i="50"/>
  <c r="C408" i="50"/>
  <c r="AW407" i="50"/>
  <c r="AQ407" i="50"/>
  <c r="AK407" i="50"/>
  <c r="AE407" i="50"/>
  <c r="Z407" i="50"/>
  <c r="Y407" i="50"/>
  <c r="S407" i="50"/>
  <c r="N407" i="50"/>
  <c r="M407" i="50"/>
  <c r="J407" i="50"/>
  <c r="G407" i="50"/>
  <c r="H407" i="50" s="1"/>
  <c r="C407" i="50"/>
  <c r="AW406" i="50"/>
  <c r="AQ406" i="50"/>
  <c r="AL406" i="50"/>
  <c r="AK406" i="50"/>
  <c r="AE406" i="50"/>
  <c r="Y406" i="50"/>
  <c r="T406" i="50"/>
  <c r="S406" i="50"/>
  <c r="N406" i="50"/>
  <c r="M406" i="50"/>
  <c r="J406" i="50"/>
  <c r="H406" i="50"/>
  <c r="AR406" i="50" s="1"/>
  <c r="G406" i="50"/>
  <c r="C406" i="50"/>
  <c r="O406" i="50" s="1"/>
  <c r="P406" i="50" s="1"/>
  <c r="AW405" i="50"/>
  <c r="AQ405" i="50"/>
  <c r="AK405" i="50"/>
  <c r="AE405" i="50"/>
  <c r="Y405" i="50"/>
  <c r="S405" i="50"/>
  <c r="N405" i="50"/>
  <c r="M405" i="50"/>
  <c r="J405" i="50"/>
  <c r="H405" i="50"/>
  <c r="AX405" i="50" s="1"/>
  <c r="AY405" i="50" s="1"/>
  <c r="G405" i="50"/>
  <c r="C405" i="50"/>
  <c r="AW404" i="50"/>
  <c r="AQ404" i="50"/>
  <c r="AK404" i="50"/>
  <c r="AE404" i="50"/>
  <c r="Y404" i="50"/>
  <c r="S404" i="50"/>
  <c r="N404" i="50"/>
  <c r="M404" i="50"/>
  <c r="J404" i="50"/>
  <c r="H404" i="50"/>
  <c r="AF404" i="50" s="1"/>
  <c r="G404" i="50"/>
  <c r="C404" i="50"/>
  <c r="O404" i="50" s="1"/>
  <c r="P404" i="50" s="1"/>
  <c r="AW403" i="50"/>
  <c r="AQ403" i="50"/>
  <c r="AL403" i="50"/>
  <c r="AK403" i="50"/>
  <c r="AF403" i="50"/>
  <c r="AE403" i="50"/>
  <c r="Y403" i="50"/>
  <c r="S403" i="50"/>
  <c r="N403" i="50"/>
  <c r="M403" i="50"/>
  <c r="J403" i="50"/>
  <c r="H403" i="50"/>
  <c r="T403" i="50" s="1"/>
  <c r="U403" i="50" s="1"/>
  <c r="G403" i="50"/>
  <c r="C403" i="50"/>
  <c r="AW402" i="50"/>
  <c r="AQ402" i="50"/>
  <c r="AK402" i="50"/>
  <c r="AE402" i="50"/>
  <c r="Y402" i="50"/>
  <c r="S402" i="50"/>
  <c r="N402" i="50"/>
  <c r="M402" i="50"/>
  <c r="J402" i="50"/>
  <c r="G402" i="50"/>
  <c r="H402" i="50" s="1"/>
  <c r="C402" i="50"/>
  <c r="AX401" i="50"/>
  <c r="AY401" i="50" s="1"/>
  <c r="AW401" i="50"/>
  <c r="AQ401" i="50"/>
  <c r="AL401" i="50"/>
  <c r="AK401" i="50"/>
  <c r="AF401" i="50"/>
  <c r="AE401" i="50"/>
  <c r="Y401" i="50"/>
  <c r="S401" i="50"/>
  <c r="O401" i="50"/>
  <c r="P401" i="50" s="1"/>
  <c r="N401" i="50"/>
  <c r="M401" i="50"/>
  <c r="J401" i="50"/>
  <c r="G401" i="50"/>
  <c r="H401" i="50" s="1"/>
  <c r="Z401" i="50" s="1"/>
  <c r="AA401" i="50" s="1"/>
  <c r="C401" i="50"/>
  <c r="AW400" i="50"/>
  <c r="AQ400" i="50"/>
  <c r="AK400" i="50"/>
  <c r="AE400" i="50"/>
  <c r="Y400" i="50"/>
  <c r="S400" i="50"/>
  <c r="O400" i="50"/>
  <c r="P400" i="50" s="1"/>
  <c r="N400" i="50"/>
  <c r="M400" i="50"/>
  <c r="J400" i="50"/>
  <c r="G400" i="50"/>
  <c r="H400" i="50" s="1"/>
  <c r="AX400" i="50" s="1"/>
  <c r="AY400" i="50" s="1"/>
  <c r="C400" i="50"/>
  <c r="AW399" i="50"/>
  <c r="AQ399" i="50"/>
  <c r="AK399" i="50"/>
  <c r="AE399" i="50"/>
  <c r="Y399" i="50"/>
  <c r="S399" i="50"/>
  <c r="Q399" i="50"/>
  <c r="R399" i="50" s="1"/>
  <c r="P399" i="50"/>
  <c r="O399" i="50"/>
  <c r="N399" i="50"/>
  <c r="M399" i="50"/>
  <c r="J399" i="50"/>
  <c r="G399" i="50"/>
  <c r="H399" i="50" s="1"/>
  <c r="C399" i="50"/>
  <c r="AW398" i="50"/>
  <c r="AR398" i="50"/>
  <c r="AQ398" i="50"/>
  <c r="AM398" i="50"/>
  <c r="AL398" i="50"/>
  <c r="AK398" i="50"/>
  <c r="AE398" i="50"/>
  <c r="Y398" i="50"/>
  <c r="T398" i="50"/>
  <c r="S398" i="50"/>
  <c r="O398" i="50"/>
  <c r="P398" i="50" s="1"/>
  <c r="N398" i="50"/>
  <c r="M398" i="50"/>
  <c r="J398" i="50"/>
  <c r="G398" i="50"/>
  <c r="H398" i="50" s="1"/>
  <c r="C398" i="50"/>
  <c r="AW397" i="50"/>
  <c r="AQ397" i="50"/>
  <c r="AK397" i="50"/>
  <c r="AE397" i="50"/>
  <c r="Y397" i="50"/>
  <c r="S397" i="50"/>
  <c r="N397" i="50"/>
  <c r="M397" i="50"/>
  <c r="J397" i="50"/>
  <c r="G397" i="50"/>
  <c r="H397" i="50" s="1"/>
  <c r="C397" i="50"/>
  <c r="AW396" i="50"/>
  <c r="AQ396" i="50"/>
  <c r="AL396" i="50"/>
  <c r="AK396" i="50"/>
  <c r="AE396" i="50"/>
  <c r="Y396" i="50"/>
  <c r="S396" i="50"/>
  <c r="N396" i="50"/>
  <c r="M396" i="50"/>
  <c r="J396" i="50"/>
  <c r="H396" i="50"/>
  <c r="AF396" i="50" s="1"/>
  <c r="AG396" i="50" s="1"/>
  <c r="G396" i="50"/>
  <c r="C396" i="50"/>
  <c r="AW395" i="50"/>
  <c r="AQ395" i="50"/>
  <c r="AK395" i="50"/>
  <c r="AE395" i="50"/>
  <c r="Y395" i="50"/>
  <c r="S395" i="50"/>
  <c r="Q395" i="50"/>
  <c r="R395" i="50" s="1"/>
  <c r="N395" i="50"/>
  <c r="M395" i="50"/>
  <c r="O395" i="50" s="1"/>
  <c r="P395" i="50" s="1"/>
  <c r="J395" i="50"/>
  <c r="G395" i="50"/>
  <c r="H395" i="50" s="1"/>
  <c r="C395" i="50"/>
  <c r="AW394" i="50"/>
  <c r="AQ394" i="50"/>
  <c r="AK394" i="50"/>
  <c r="AE394" i="50"/>
  <c r="Y394" i="50"/>
  <c r="S394" i="50"/>
  <c r="N394" i="50"/>
  <c r="M394" i="50"/>
  <c r="J394" i="50"/>
  <c r="G394" i="50"/>
  <c r="H394" i="50" s="1"/>
  <c r="Z394" i="50" s="1"/>
  <c r="AA394" i="50" s="1"/>
  <c r="C394" i="50"/>
  <c r="AW393" i="50"/>
  <c r="AQ393" i="50"/>
  <c r="AK393" i="50"/>
  <c r="AF393" i="50"/>
  <c r="AE393" i="50"/>
  <c r="Y393" i="50"/>
  <c r="S393" i="50"/>
  <c r="O393" i="50"/>
  <c r="P393" i="50" s="1"/>
  <c r="N393" i="50"/>
  <c r="M393" i="50"/>
  <c r="J393" i="50"/>
  <c r="H393" i="50"/>
  <c r="G393" i="50"/>
  <c r="C393" i="50"/>
  <c r="AW392" i="50"/>
  <c r="AS392" i="50"/>
  <c r="AR392" i="50"/>
  <c r="AQ392" i="50"/>
  <c r="AL392" i="50"/>
  <c r="AK392" i="50"/>
  <c r="AF392" i="50"/>
  <c r="AE392" i="50"/>
  <c r="Y392" i="50"/>
  <c r="U392" i="50"/>
  <c r="T392" i="50"/>
  <c r="S392" i="50"/>
  <c r="N392" i="50"/>
  <c r="M392" i="50"/>
  <c r="J392" i="50"/>
  <c r="H392" i="50"/>
  <c r="AX392" i="50" s="1"/>
  <c r="AY392" i="50" s="1"/>
  <c r="G392" i="50"/>
  <c r="C392" i="50"/>
  <c r="AW391" i="50"/>
  <c r="AQ391" i="50"/>
  <c r="AK391" i="50"/>
  <c r="AE391" i="50"/>
  <c r="Y391" i="50"/>
  <c r="S391" i="50"/>
  <c r="N391" i="50"/>
  <c r="M391" i="50"/>
  <c r="J391" i="50"/>
  <c r="G391" i="50"/>
  <c r="H391" i="50" s="1"/>
  <c r="C391" i="50"/>
  <c r="AX390" i="50"/>
  <c r="AW390" i="50"/>
  <c r="AQ390" i="50"/>
  <c r="AK390" i="50"/>
  <c r="AE390" i="50"/>
  <c r="Y390" i="50"/>
  <c r="S390" i="50"/>
  <c r="N390" i="50"/>
  <c r="O390" i="50" s="1"/>
  <c r="P390" i="50" s="1"/>
  <c r="M390" i="50"/>
  <c r="Q390" i="50" s="1"/>
  <c r="R390" i="50" s="1"/>
  <c r="J390" i="50"/>
  <c r="G390" i="50"/>
  <c r="H390" i="50" s="1"/>
  <c r="AL390" i="50" s="1"/>
  <c r="C390" i="50"/>
  <c r="AM390" i="50" s="1"/>
  <c r="AX389" i="50"/>
  <c r="AY389" i="50" s="1"/>
  <c r="AW389" i="50"/>
  <c r="AQ389" i="50"/>
  <c r="AK389" i="50"/>
  <c r="AE389" i="50"/>
  <c r="Y389" i="50"/>
  <c r="T389" i="50"/>
  <c r="U389" i="50" s="1"/>
  <c r="S389" i="50"/>
  <c r="O389" i="50"/>
  <c r="P389" i="50" s="1"/>
  <c r="N389" i="50"/>
  <c r="M389" i="50"/>
  <c r="J389" i="50"/>
  <c r="G389" i="50"/>
  <c r="H389" i="50" s="1"/>
  <c r="C389" i="50"/>
  <c r="AW388" i="50"/>
  <c r="AR388" i="50"/>
  <c r="AQ388" i="50"/>
  <c r="AK388" i="50"/>
  <c r="AG388" i="50"/>
  <c r="AF388" i="50"/>
  <c r="AE388" i="50"/>
  <c r="Z388" i="50"/>
  <c r="Y388" i="50"/>
  <c r="T388" i="50"/>
  <c r="S388" i="50"/>
  <c r="O388" i="50"/>
  <c r="P388" i="50" s="1"/>
  <c r="N388" i="50"/>
  <c r="M388" i="50"/>
  <c r="J388" i="50"/>
  <c r="H388" i="50"/>
  <c r="AL388" i="50" s="1"/>
  <c r="G388" i="50"/>
  <c r="C388" i="50"/>
  <c r="AM388" i="50" s="1"/>
  <c r="AW387" i="50"/>
  <c r="AR387" i="50"/>
  <c r="AQ387" i="50"/>
  <c r="AM387" i="50"/>
  <c r="AL387" i="50"/>
  <c r="AK387" i="50"/>
  <c r="AF387" i="50"/>
  <c r="AE387" i="50"/>
  <c r="Y387" i="50"/>
  <c r="U387" i="50"/>
  <c r="T387" i="50"/>
  <c r="S387" i="50"/>
  <c r="N387" i="50"/>
  <c r="M387" i="50"/>
  <c r="J387" i="50"/>
  <c r="H387" i="50"/>
  <c r="AX387" i="50" s="1"/>
  <c r="G387" i="50"/>
  <c r="C387" i="50"/>
  <c r="AS387" i="50" s="1"/>
  <c r="AW386" i="50"/>
  <c r="AQ386" i="50"/>
  <c r="AK386" i="50"/>
  <c r="AE386" i="50"/>
  <c r="Z386" i="50"/>
  <c r="Y386" i="50"/>
  <c r="AA386" i="50" s="1"/>
  <c r="S386" i="50"/>
  <c r="N386" i="50"/>
  <c r="N451" i="50" s="1"/>
  <c r="M386" i="50"/>
  <c r="J386" i="50"/>
  <c r="G386" i="50"/>
  <c r="H386" i="50" s="1"/>
  <c r="C386" i="50"/>
  <c r="L384" i="50"/>
  <c r="K384" i="50"/>
  <c r="AX383" i="50"/>
  <c r="AW383" i="50"/>
  <c r="AV383" i="50"/>
  <c r="J383" i="50"/>
  <c r="H383" i="50"/>
  <c r="G383" i="50"/>
  <c r="C383" i="50"/>
  <c r="AW382" i="50"/>
  <c r="J382" i="50"/>
  <c r="G382" i="50"/>
  <c r="E382" i="50"/>
  <c r="D382" i="50"/>
  <c r="H382" i="50" s="1"/>
  <c r="AX382" i="50" s="1"/>
  <c r="AW381" i="50"/>
  <c r="J381" i="50"/>
  <c r="H381" i="50"/>
  <c r="AX381" i="50" s="1"/>
  <c r="G381" i="50"/>
  <c r="AW380" i="50"/>
  <c r="J380" i="50"/>
  <c r="G380" i="50"/>
  <c r="H380" i="50" s="1"/>
  <c r="AX380" i="50" s="1"/>
  <c r="E380" i="50"/>
  <c r="E381" i="50" s="1"/>
  <c r="D380" i="50"/>
  <c r="D381" i="50" s="1"/>
  <c r="AX379" i="50"/>
  <c r="AW379" i="50"/>
  <c r="J379" i="50"/>
  <c r="H379" i="50"/>
  <c r="G379" i="50"/>
  <c r="E379" i="50"/>
  <c r="D379" i="50"/>
  <c r="A379" i="50"/>
  <c r="A380" i="50" s="1"/>
  <c r="A381" i="50" s="1"/>
  <c r="A382" i="50" s="1"/>
  <c r="AX378" i="50"/>
  <c r="AW378" i="50"/>
  <c r="AV378" i="50"/>
  <c r="J378" i="50"/>
  <c r="H378" i="50"/>
  <c r="G378" i="50"/>
  <c r="C378" i="50"/>
  <c r="AX377" i="50"/>
  <c r="AW377" i="50"/>
  <c r="AV377" i="50"/>
  <c r="J377" i="50"/>
  <c r="H377" i="50"/>
  <c r="G377" i="50"/>
  <c r="C377" i="50"/>
  <c r="AX376" i="50"/>
  <c r="AW376" i="50"/>
  <c r="AV376" i="50"/>
  <c r="J376" i="50"/>
  <c r="H376" i="50"/>
  <c r="G376" i="50"/>
  <c r="C376" i="50"/>
  <c r="AY376" i="50" s="1"/>
  <c r="AZ376" i="50" s="1"/>
  <c r="AX375" i="50"/>
  <c r="AW375" i="50"/>
  <c r="AV375" i="50"/>
  <c r="J375" i="50"/>
  <c r="H375" i="50"/>
  <c r="G375" i="50"/>
  <c r="C375" i="50"/>
  <c r="AY374" i="50"/>
  <c r="AZ374" i="50" s="1"/>
  <c r="BA374" i="50" s="1"/>
  <c r="AX374" i="50"/>
  <c r="AW374" i="50"/>
  <c r="AV374" i="50"/>
  <c r="J374" i="50"/>
  <c r="H374" i="50"/>
  <c r="G374" i="50"/>
  <c r="C374" i="50"/>
  <c r="BA373" i="50"/>
  <c r="AX373" i="50"/>
  <c r="AW373" i="50"/>
  <c r="AY373" i="50" s="1"/>
  <c r="AZ373" i="50" s="1"/>
  <c r="AV373" i="50"/>
  <c r="J373" i="50"/>
  <c r="H373" i="50"/>
  <c r="G373" i="50"/>
  <c r="C373" i="50"/>
  <c r="AX372" i="50"/>
  <c r="AW372" i="50"/>
  <c r="AV372" i="50"/>
  <c r="J372" i="50"/>
  <c r="H372" i="50"/>
  <c r="G372" i="50"/>
  <c r="C372" i="50"/>
  <c r="AZ371" i="50"/>
  <c r="BA371" i="50" s="1"/>
  <c r="AY371" i="50"/>
  <c r="AX371" i="50"/>
  <c r="AW371" i="50"/>
  <c r="AS371" i="50"/>
  <c r="AT371" i="50" s="1"/>
  <c r="AU371" i="50" s="1"/>
  <c r="AV371" i="50" s="1"/>
  <c r="AP371" i="50"/>
  <c r="J371" i="50"/>
  <c r="H371" i="50"/>
  <c r="G371" i="50"/>
  <c r="C371" i="50"/>
  <c r="AW370" i="50"/>
  <c r="AR370" i="50"/>
  <c r="AQ370" i="50"/>
  <c r="AP370" i="50"/>
  <c r="J370" i="50"/>
  <c r="H370" i="50"/>
  <c r="AX370" i="50" s="1"/>
  <c r="C370" i="50"/>
  <c r="AX369" i="50"/>
  <c r="AW369" i="50"/>
  <c r="AR369" i="50"/>
  <c r="AQ369" i="50"/>
  <c r="AP369" i="50"/>
  <c r="J369" i="50"/>
  <c r="H369" i="50"/>
  <c r="C369" i="50"/>
  <c r="AW368" i="50"/>
  <c r="AT368" i="50"/>
  <c r="AS368" i="50"/>
  <c r="AR368" i="50"/>
  <c r="AQ368" i="50"/>
  <c r="AP368" i="50"/>
  <c r="J368" i="50"/>
  <c r="H368" i="50"/>
  <c r="AX368" i="50" s="1"/>
  <c r="C368" i="50"/>
  <c r="AW367" i="50"/>
  <c r="AY367" i="50" s="1"/>
  <c r="AS367" i="50"/>
  <c r="AT367" i="50" s="1"/>
  <c r="AR367" i="50"/>
  <c r="AQ367" i="50"/>
  <c r="AP367" i="50"/>
  <c r="J367" i="50"/>
  <c r="H367" i="50"/>
  <c r="AX367" i="50" s="1"/>
  <c r="C367" i="50"/>
  <c r="AW366" i="50"/>
  <c r="AR366" i="50"/>
  <c r="AQ366" i="50"/>
  <c r="AP366" i="50"/>
  <c r="J366" i="50"/>
  <c r="H366" i="50"/>
  <c r="AX366" i="50" s="1"/>
  <c r="C366" i="50"/>
  <c r="AY366" i="50" s="1"/>
  <c r="AX365" i="50"/>
  <c r="AW365" i="50"/>
  <c r="AR365" i="50"/>
  <c r="AQ365" i="50"/>
  <c r="AP365" i="50"/>
  <c r="J365" i="50"/>
  <c r="H365" i="50"/>
  <c r="C365" i="50"/>
  <c r="AX364" i="50"/>
  <c r="AW364" i="50"/>
  <c r="AR364" i="50"/>
  <c r="AQ364" i="50"/>
  <c r="AP364" i="50"/>
  <c r="J364" i="50"/>
  <c r="H364" i="50"/>
  <c r="C364" i="50"/>
  <c r="AY363" i="50"/>
  <c r="AW363" i="50"/>
  <c r="AR363" i="50"/>
  <c r="AQ363" i="50"/>
  <c r="AP363" i="50"/>
  <c r="J363" i="50"/>
  <c r="H363" i="50"/>
  <c r="AX363" i="50" s="1"/>
  <c r="C363" i="50"/>
  <c r="AW362" i="50"/>
  <c r="AR362" i="50"/>
  <c r="AQ362" i="50"/>
  <c r="AP362" i="50"/>
  <c r="J362" i="50"/>
  <c r="H362" i="50"/>
  <c r="AX362" i="50" s="1"/>
  <c r="C362" i="50"/>
  <c r="AX361" i="50"/>
  <c r="AW361" i="50"/>
  <c r="AR361" i="50"/>
  <c r="AQ361" i="50"/>
  <c r="AP361" i="50"/>
  <c r="J361" i="50"/>
  <c r="H361" i="50"/>
  <c r="C361" i="50"/>
  <c r="AW360" i="50"/>
  <c r="AT360" i="50"/>
  <c r="AS360" i="50"/>
  <c r="AR360" i="50"/>
  <c r="AQ360" i="50"/>
  <c r="AP360" i="50"/>
  <c r="J360" i="50"/>
  <c r="H360" i="50"/>
  <c r="AX360" i="50" s="1"/>
  <c r="C360" i="50"/>
  <c r="AW359" i="50"/>
  <c r="AY359" i="50" s="1"/>
  <c r="AT359" i="50"/>
  <c r="AS359" i="50"/>
  <c r="AR359" i="50"/>
  <c r="AQ359" i="50"/>
  <c r="AP359" i="50"/>
  <c r="J359" i="50"/>
  <c r="H359" i="50"/>
  <c r="AX359" i="50" s="1"/>
  <c r="C359" i="50"/>
  <c r="AW358" i="50"/>
  <c r="AR358" i="50"/>
  <c r="AQ358" i="50"/>
  <c r="AP358" i="50"/>
  <c r="J358" i="50"/>
  <c r="H358" i="50"/>
  <c r="AX358" i="50" s="1"/>
  <c r="C358" i="50"/>
  <c r="AY358" i="50" s="1"/>
  <c r="AX357" i="50"/>
  <c r="AW357" i="50"/>
  <c r="AR357" i="50"/>
  <c r="AQ357" i="50"/>
  <c r="AP357" i="50"/>
  <c r="J357" i="50"/>
  <c r="H357" i="50"/>
  <c r="C357" i="50"/>
  <c r="AX356" i="50"/>
  <c r="AW356" i="50"/>
  <c r="AR356" i="50"/>
  <c r="AQ356" i="50"/>
  <c r="AS356" i="50" s="1"/>
  <c r="AT356" i="50" s="1"/>
  <c r="AP356" i="50"/>
  <c r="J356" i="50"/>
  <c r="H356" i="50"/>
  <c r="C356" i="50"/>
  <c r="AW355" i="50"/>
  <c r="AR355" i="50"/>
  <c r="AQ355" i="50"/>
  <c r="AP355" i="50"/>
  <c r="J355" i="50"/>
  <c r="H355" i="50"/>
  <c r="AX355" i="50" s="1"/>
  <c r="AY355" i="50" s="1"/>
  <c r="C355" i="50"/>
  <c r="AW354" i="50"/>
  <c r="AR354" i="50"/>
  <c r="AQ354" i="50"/>
  <c r="AP354" i="50"/>
  <c r="J354" i="50"/>
  <c r="H354" i="50"/>
  <c r="AX354" i="50" s="1"/>
  <c r="C354" i="50"/>
  <c r="AX353" i="50"/>
  <c r="AW353" i="50"/>
  <c r="AY353" i="50" s="1"/>
  <c r="AS353" i="50"/>
  <c r="AT353" i="50" s="1"/>
  <c r="AZ353" i="50" s="1"/>
  <c r="AR353" i="50"/>
  <c r="AQ353" i="50"/>
  <c r="AP353" i="50"/>
  <c r="J353" i="50"/>
  <c r="H353" i="50"/>
  <c r="C353" i="50"/>
  <c r="AX352" i="50"/>
  <c r="AW352" i="50"/>
  <c r="AR352" i="50"/>
  <c r="AQ352" i="50"/>
  <c r="AP352" i="50"/>
  <c r="J352" i="50"/>
  <c r="H352" i="50"/>
  <c r="C352" i="50"/>
  <c r="AS352" i="50" s="1"/>
  <c r="AT352" i="50" s="1"/>
  <c r="AW351" i="50"/>
  <c r="AT351" i="50"/>
  <c r="AS351" i="50"/>
  <c r="AR351" i="50"/>
  <c r="AQ351" i="50"/>
  <c r="AP351" i="50"/>
  <c r="J351" i="50"/>
  <c r="H351" i="50"/>
  <c r="AX351" i="50" s="1"/>
  <c r="C351" i="50"/>
  <c r="AW350" i="50"/>
  <c r="AS350" i="50"/>
  <c r="AT350" i="50" s="1"/>
  <c r="AR350" i="50"/>
  <c r="AQ350" i="50"/>
  <c r="AP350" i="50"/>
  <c r="J350" i="50"/>
  <c r="H350" i="50"/>
  <c r="AX350" i="50" s="1"/>
  <c r="C350" i="50"/>
  <c r="AY349" i="50"/>
  <c r="AX349" i="50"/>
  <c r="AW349" i="50"/>
  <c r="AT349" i="50"/>
  <c r="AZ349" i="50" s="1"/>
  <c r="BA349" i="50" s="1"/>
  <c r="AS349" i="50"/>
  <c r="AR349" i="50"/>
  <c r="AQ349" i="50"/>
  <c r="AP349" i="50"/>
  <c r="J349" i="50"/>
  <c r="H349" i="50"/>
  <c r="C349" i="50"/>
  <c r="AX348" i="50"/>
  <c r="AW348" i="50"/>
  <c r="AR348" i="50"/>
  <c r="AQ348" i="50"/>
  <c r="AP348" i="50"/>
  <c r="J348" i="50"/>
  <c r="H348" i="50"/>
  <c r="C348" i="50"/>
  <c r="AY347" i="50"/>
  <c r="AX347" i="50"/>
  <c r="AW347" i="50"/>
  <c r="AR347" i="50"/>
  <c r="AQ347" i="50"/>
  <c r="AP347" i="50"/>
  <c r="J347" i="50"/>
  <c r="H347" i="50"/>
  <c r="C347" i="50"/>
  <c r="AS347" i="50" s="1"/>
  <c r="AT347" i="50" s="1"/>
  <c r="AW346" i="50"/>
  <c r="AR346" i="50"/>
  <c r="AQ346" i="50"/>
  <c r="AP346" i="50"/>
  <c r="J346" i="50"/>
  <c r="H346" i="50"/>
  <c r="AX346" i="50" s="1"/>
  <c r="C346" i="50"/>
  <c r="AY346" i="50" s="1"/>
  <c r="AX345" i="50"/>
  <c r="AW345" i="50"/>
  <c r="AR345" i="50"/>
  <c r="AQ345" i="50"/>
  <c r="AP345" i="50"/>
  <c r="J345" i="50"/>
  <c r="H345" i="50"/>
  <c r="C345" i="50"/>
  <c r="AY345" i="50" s="1"/>
  <c r="AY344" i="50"/>
  <c r="AX344" i="50"/>
  <c r="AW344" i="50"/>
  <c r="AS344" i="50"/>
  <c r="AT344" i="50" s="1"/>
  <c r="AZ344" i="50" s="1"/>
  <c r="BA344" i="50" s="1"/>
  <c r="AR344" i="50"/>
  <c r="AQ344" i="50"/>
  <c r="AP344" i="50"/>
  <c r="J344" i="50"/>
  <c r="H344" i="50"/>
  <c r="C344" i="50"/>
  <c r="AX343" i="50"/>
  <c r="AW343" i="50"/>
  <c r="AY343" i="50" s="1"/>
  <c r="AR343" i="50"/>
  <c r="AS343" i="50" s="1"/>
  <c r="AT343" i="50" s="1"/>
  <c r="AZ343" i="50" s="1"/>
  <c r="BA343" i="50" s="1"/>
  <c r="AQ343" i="50"/>
  <c r="AP343" i="50"/>
  <c r="J343" i="50"/>
  <c r="H343" i="50"/>
  <c r="C343" i="50"/>
  <c r="AZ342" i="50"/>
  <c r="BA342" i="50" s="1"/>
  <c r="AT342" i="50"/>
  <c r="AU342" i="50" s="1"/>
  <c r="AV342" i="50" s="1"/>
  <c r="AP342" i="50"/>
  <c r="AO342" i="50"/>
  <c r="AW341" i="50"/>
  <c r="AQ341" i="50"/>
  <c r="AL341" i="50"/>
  <c r="AK341" i="50"/>
  <c r="AJ341" i="50"/>
  <c r="J341" i="50"/>
  <c r="H341" i="50"/>
  <c r="AR341" i="50" s="1"/>
  <c r="G341" i="50"/>
  <c r="C341" i="50"/>
  <c r="AM341" i="50" s="1"/>
  <c r="AN341" i="50" s="1"/>
  <c r="AW340" i="50"/>
  <c r="AQ340" i="50"/>
  <c r="AL340" i="50"/>
  <c r="AK340" i="50"/>
  <c r="AJ340" i="50"/>
  <c r="J340" i="50"/>
  <c r="G340" i="50"/>
  <c r="H340" i="50" s="1"/>
  <c r="C340" i="50"/>
  <c r="AW339" i="50"/>
  <c r="AR339" i="50"/>
  <c r="AQ339" i="50"/>
  <c r="AS339" i="50" s="1"/>
  <c r="AL339" i="50"/>
  <c r="AM339" i="50" s="1"/>
  <c r="AN339" i="50" s="1"/>
  <c r="AT339" i="50" s="1"/>
  <c r="AK339" i="50"/>
  <c r="AJ339" i="50"/>
  <c r="J339" i="50"/>
  <c r="H339" i="50"/>
  <c r="AX339" i="50" s="1"/>
  <c r="AY339" i="50" s="1"/>
  <c r="G339" i="50"/>
  <c r="C339" i="50"/>
  <c r="AW338" i="50"/>
  <c r="AR338" i="50"/>
  <c r="AS338" i="50" s="1"/>
  <c r="AQ338" i="50"/>
  <c r="AL338" i="50"/>
  <c r="AK338" i="50"/>
  <c r="AJ338" i="50"/>
  <c r="J338" i="50"/>
  <c r="H338" i="50"/>
  <c r="AX338" i="50" s="1"/>
  <c r="G338" i="50"/>
  <c r="C338" i="50"/>
  <c r="AX337" i="50"/>
  <c r="AW337" i="50"/>
  <c r="AQ337" i="50"/>
  <c r="AN337" i="50"/>
  <c r="AL337" i="50"/>
  <c r="AK337" i="50"/>
  <c r="AJ337" i="50"/>
  <c r="J337" i="50"/>
  <c r="H337" i="50"/>
  <c r="AR337" i="50" s="1"/>
  <c r="G337" i="50"/>
  <c r="C337" i="50"/>
  <c r="AM337" i="50" s="1"/>
  <c r="AW336" i="50"/>
  <c r="AQ336" i="50"/>
  <c r="AL336" i="50"/>
  <c r="AK336" i="50"/>
  <c r="AJ336" i="50"/>
  <c r="J336" i="50"/>
  <c r="G336" i="50"/>
  <c r="H336" i="50" s="1"/>
  <c r="C336" i="50"/>
  <c r="AW335" i="50"/>
  <c r="AR335" i="50"/>
  <c r="AQ335" i="50"/>
  <c r="AL335" i="50"/>
  <c r="AM335" i="50" s="1"/>
  <c r="AN335" i="50" s="1"/>
  <c r="AK335" i="50"/>
  <c r="AJ335" i="50"/>
  <c r="J335" i="50"/>
  <c r="H335" i="50"/>
  <c r="AX335" i="50" s="1"/>
  <c r="AY335" i="50" s="1"/>
  <c r="G335" i="50"/>
  <c r="C335" i="50"/>
  <c r="AW334" i="50"/>
  <c r="AQ334" i="50"/>
  <c r="AL334" i="50"/>
  <c r="AK334" i="50"/>
  <c r="AJ334" i="50"/>
  <c r="J334" i="50"/>
  <c r="H334" i="50"/>
  <c r="AR334" i="50" s="1"/>
  <c r="AS334" i="50" s="1"/>
  <c r="G334" i="50"/>
  <c r="C334" i="50"/>
  <c r="AW333" i="50"/>
  <c r="AQ333" i="50"/>
  <c r="AL333" i="50"/>
  <c r="AK333" i="50"/>
  <c r="AJ333" i="50"/>
  <c r="J333" i="50"/>
  <c r="H333" i="50"/>
  <c r="G333" i="50"/>
  <c r="C333" i="50"/>
  <c r="AW332" i="50"/>
  <c r="AQ332" i="50"/>
  <c r="AN332" i="50"/>
  <c r="AL332" i="50"/>
  <c r="AK332" i="50"/>
  <c r="AM332" i="50" s="1"/>
  <c r="AJ332" i="50"/>
  <c r="J332" i="50"/>
  <c r="G332" i="50"/>
  <c r="H332" i="50" s="1"/>
  <c r="C332" i="50"/>
  <c r="AW331" i="50"/>
  <c r="AR331" i="50"/>
  <c r="AQ331" i="50"/>
  <c r="AL331" i="50"/>
  <c r="AM331" i="50" s="1"/>
  <c r="AN331" i="50" s="1"/>
  <c r="AK331" i="50"/>
  <c r="AJ331" i="50"/>
  <c r="J331" i="50"/>
  <c r="H331" i="50"/>
  <c r="AX331" i="50" s="1"/>
  <c r="AY331" i="50" s="1"/>
  <c r="G331" i="50"/>
  <c r="C331" i="50"/>
  <c r="AX330" i="50"/>
  <c r="AW330" i="50"/>
  <c r="AY330" i="50" s="1"/>
  <c r="AR330" i="50"/>
  <c r="AS330" i="50" s="1"/>
  <c r="AQ330" i="50"/>
  <c r="AL330" i="50"/>
  <c r="AK330" i="50"/>
  <c r="AJ330" i="50"/>
  <c r="J330" i="50"/>
  <c r="H330" i="50"/>
  <c r="G330" i="50"/>
  <c r="C330" i="50"/>
  <c r="AW329" i="50"/>
  <c r="AQ329" i="50"/>
  <c r="AN329" i="50"/>
  <c r="AL329" i="50"/>
  <c r="AK329" i="50"/>
  <c r="AJ329" i="50"/>
  <c r="J329" i="50"/>
  <c r="H329" i="50"/>
  <c r="AR329" i="50" s="1"/>
  <c r="G329" i="50"/>
  <c r="C329" i="50"/>
  <c r="AM329" i="50" s="1"/>
  <c r="AW328" i="50"/>
  <c r="AQ328" i="50"/>
  <c r="AL328" i="50"/>
  <c r="AK328" i="50"/>
  <c r="AJ328" i="50"/>
  <c r="J328" i="50"/>
  <c r="G328" i="50"/>
  <c r="H328" i="50" s="1"/>
  <c r="C328" i="50"/>
  <c r="AW327" i="50"/>
  <c r="AR327" i="50"/>
  <c r="AQ327" i="50"/>
  <c r="AM327" i="50"/>
  <c r="AN327" i="50" s="1"/>
  <c r="AL327" i="50"/>
  <c r="AK327" i="50"/>
  <c r="AJ327" i="50"/>
  <c r="J327" i="50"/>
  <c r="H327" i="50"/>
  <c r="AX327" i="50" s="1"/>
  <c r="AY327" i="50" s="1"/>
  <c r="G327" i="50"/>
  <c r="C327" i="50"/>
  <c r="AW326" i="50"/>
  <c r="AQ326" i="50"/>
  <c r="AL326" i="50"/>
  <c r="AK326" i="50"/>
  <c r="AJ326" i="50"/>
  <c r="J326" i="50"/>
  <c r="H326" i="50"/>
  <c r="G326" i="50"/>
  <c r="C326" i="50"/>
  <c r="AX325" i="50"/>
  <c r="AW325" i="50"/>
  <c r="AQ325" i="50"/>
  <c r="AL325" i="50"/>
  <c r="AK325" i="50"/>
  <c r="AJ325" i="50"/>
  <c r="J325" i="50"/>
  <c r="H325" i="50"/>
  <c r="AR325" i="50" s="1"/>
  <c r="G325" i="50"/>
  <c r="C325" i="50"/>
  <c r="AW324" i="50"/>
  <c r="AQ324" i="50"/>
  <c r="AL324" i="50"/>
  <c r="AK324" i="50"/>
  <c r="AJ324" i="50"/>
  <c r="J324" i="50"/>
  <c r="G324" i="50"/>
  <c r="H324" i="50" s="1"/>
  <c r="C324" i="50"/>
  <c r="AY323" i="50"/>
  <c r="AW323" i="50"/>
  <c r="AR323" i="50"/>
  <c r="AQ323" i="50"/>
  <c r="AL323" i="50"/>
  <c r="AM323" i="50" s="1"/>
  <c r="AN323" i="50" s="1"/>
  <c r="AK323" i="50"/>
  <c r="AO323" i="50" s="1"/>
  <c r="AP323" i="50" s="1"/>
  <c r="AJ323" i="50"/>
  <c r="J323" i="50"/>
  <c r="H323" i="50"/>
  <c r="AX323" i="50" s="1"/>
  <c r="G323" i="50"/>
  <c r="C323" i="50"/>
  <c r="AX322" i="50"/>
  <c r="AW322" i="50"/>
  <c r="AQ322" i="50"/>
  <c r="AL322" i="50"/>
  <c r="AK322" i="50"/>
  <c r="AJ322" i="50"/>
  <c r="J322" i="50"/>
  <c r="G322" i="50"/>
  <c r="H322" i="50" s="1"/>
  <c r="AR322" i="50" s="1"/>
  <c r="AS322" i="50" s="1"/>
  <c r="C322" i="50"/>
  <c r="AW321" i="50"/>
  <c r="AQ321" i="50"/>
  <c r="AM321" i="50"/>
  <c r="AN321" i="50" s="1"/>
  <c r="AL321" i="50"/>
  <c r="AK321" i="50"/>
  <c r="AJ321" i="50"/>
  <c r="J321" i="50"/>
  <c r="H321" i="50"/>
  <c r="AR321" i="50" s="1"/>
  <c r="G321" i="50"/>
  <c r="C321" i="50"/>
  <c r="AW320" i="50"/>
  <c r="AQ320" i="50"/>
  <c r="AL320" i="50"/>
  <c r="AK320" i="50"/>
  <c r="AJ320" i="50"/>
  <c r="J320" i="50"/>
  <c r="G320" i="50"/>
  <c r="H320" i="50" s="1"/>
  <c r="C320" i="50"/>
  <c r="AW319" i="50"/>
  <c r="AR319" i="50"/>
  <c r="AQ319" i="50"/>
  <c r="AM319" i="50"/>
  <c r="AN319" i="50" s="1"/>
  <c r="AL319" i="50"/>
  <c r="AK319" i="50"/>
  <c r="AJ319" i="50"/>
  <c r="J319" i="50"/>
  <c r="H319" i="50"/>
  <c r="AX319" i="50" s="1"/>
  <c r="AY319" i="50" s="1"/>
  <c r="G319" i="50"/>
  <c r="C319" i="50"/>
  <c r="AX318" i="50"/>
  <c r="AW318" i="50"/>
  <c r="AY318" i="50" s="1"/>
  <c r="AR318" i="50"/>
  <c r="AS318" i="50" s="1"/>
  <c r="AQ318" i="50"/>
  <c r="AP318" i="50"/>
  <c r="AO318" i="50"/>
  <c r="AL318" i="50"/>
  <c r="AK318" i="50"/>
  <c r="AM318" i="50" s="1"/>
  <c r="AN318" i="50" s="1"/>
  <c r="AJ318" i="50"/>
  <c r="AD318" i="50"/>
  <c r="J318" i="50"/>
  <c r="H318" i="50"/>
  <c r="G318" i="50"/>
  <c r="C318" i="50"/>
  <c r="AW317" i="50"/>
  <c r="AR317" i="50"/>
  <c r="AQ317" i="50"/>
  <c r="AK317" i="50"/>
  <c r="AF317" i="50"/>
  <c r="AG317" i="50" s="1"/>
  <c r="AE317" i="50"/>
  <c r="Y317" i="50"/>
  <c r="T317" i="50"/>
  <c r="S317" i="50"/>
  <c r="N317" i="50"/>
  <c r="M317" i="50"/>
  <c r="J317" i="50"/>
  <c r="H317" i="50"/>
  <c r="C317" i="50"/>
  <c r="AW316" i="50"/>
  <c r="AQ316" i="50"/>
  <c r="AK316" i="50"/>
  <c r="AF316" i="50"/>
  <c r="AE316" i="50"/>
  <c r="AD316" i="50"/>
  <c r="J316" i="50"/>
  <c r="H316" i="50"/>
  <c r="G316" i="50"/>
  <c r="C316" i="50"/>
  <c r="AF315" i="50"/>
  <c r="AD315" i="50"/>
  <c r="I315" i="50"/>
  <c r="H315" i="50"/>
  <c r="G315" i="50"/>
  <c r="C315" i="50"/>
  <c r="AW314" i="50"/>
  <c r="AR314" i="50"/>
  <c r="AL314" i="50"/>
  <c r="AK314" i="50"/>
  <c r="AF314" i="50"/>
  <c r="AE314" i="50"/>
  <c r="AD314" i="50"/>
  <c r="J314" i="50"/>
  <c r="I314" i="50"/>
  <c r="AQ314" i="50" s="1"/>
  <c r="H314" i="50"/>
  <c r="AX314" i="50" s="1"/>
  <c r="G314" i="50"/>
  <c r="C314" i="50"/>
  <c r="AG314" i="50" s="1"/>
  <c r="AH314" i="50" s="1"/>
  <c r="AX313" i="50"/>
  <c r="AY313" i="50" s="1"/>
  <c r="AQ313" i="50"/>
  <c r="AK313" i="50"/>
  <c r="AF313" i="50"/>
  <c r="AD313" i="50"/>
  <c r="J313" i="50"/>
  <c r="I313" i="50"/>
  <c r="AW313" i="50" s="1"/>
  <c r="G313" i="50"/>
  <c r="H313" i="50" s="1"/>
  <c r="C313" i="50"/>
  <c r="AW312" i="50"/>
  <c r="AQ312" i="50"/>
  <c r="AK312" i="50"/>
  <c r="AF312" i="50"/>
  <c r="AE312" i="50"/>
  <c r="AG312" i="50" s="1"/>
  <c r="AH312" i="50" s="1"/>
  <c r="AI312" i="50" s="1"/>
  <c r="AJ312" i="50" s="1"/>
  <c r="AD312" i="50"/>
  <c r="J312" i="50"/>
  <c r="I312" i="50"/>
  <c r="H312" i="50"/>
  <c r="AX312" i="50" s="1"/>
  <c r="AY312" i="50" s="1"/>
  <c r="G312" i="50"/>
  <c r="C312" i="50"/>
  <c r="AW311" i="50"/>
  <c r="AQ311" i="50"/>
  <c r="AN311" i="50"/>
  <c r="AL311" i="50"/>
  <c r="AK311" i="50"/>
  <c r="AM311" i="50" s="1"/>
  <c r="AF311" i="50"/>
  <c r="AE311" i="50"/>
  <c r="AG311" i="50" s="1"/>
  <c r="AH311" i="50" s="1"/>
  <c r="AD311" i="50"/>
  <c r="J311" i="50"/>
  <c r="H311" i="50"/>
  <c r="G311" i="50"/>
  <c r="C311" i="50"/>
  <c r="AW310" i="50"/>
  <c r="AQ310" i="50"/>
  <c r="AK310" i="50"/>
  <c r="AF310" i="50"/>
  <c r="AE310" i="50"/>
  <c r="AG310" i="50" s="1"/>
  <c r="AH310" i="50" s="1"/>
  <c r="AD310" i="50"/>
  <c r="J310" i="50"/>
  <c r="H310" i="50"/>
  <c r="G310" i="50"/>
  <c r="C310" i="50"/>
  <c r="AR309" i="50"/>
  <c r="AL309" i="50"/>
  <c r="AF309" i="50"/>
  <c r="AD309" i="50"/>
  <c r="I309" i="50"/>
  <c r="H309" i="50"/>
  <c r="AX309" i="50" s="1"/>
  <c r="G309" i="50"/>
  <c r="C309" i="50"/>
  <c r="AX308" i="50"/>
  <c r="AW308" i="50"/>
  <c r="AS308" i="50"/>
  <c r="AR308" i="50"/>
  <c r="AQ308" i="50"/>
  <c r="AK308" i="50"/>
  <c r="AE308" i="50"/>
  <c r="Z308" i="50"/>
  <c r="Y308" i="50"/>
  <c r="X308" i="50"/>
  <c r="J308" i="50"/>
  <c r="G308" i="50"/>
  <c r="H308" i="50" s="1"/>
  <c r="AL308" i="50" s="1"/>
  <c r="C308" i="50"/>
  <c r="AW307" i="50"/>
  <c r="AR307" i="50"/>
  <c r="AS307" i="50" s="1"/>
  <c r="AQ307" i="50"/>
  <c r="AK307" i="50"/>
  <c r="AE307" i="50"/>
  <c r="AD307" i="50"/>
  <c r="Z307" i="50"/>
  <c r="Y307" i="50"/>
  <c r="X307" i="50"/>
  <c r="J307" i="50"/>
  <c r="H307" i="50"/>
  <c r="G307" i="50"/>
  <c r="C307" i="50"/>
  <c r="AA307" i="50" s="1"/>
  <c r="AB307" i="50" s="1"/>
  <c r="AC307" i="50" s="1"/>
  <c r="AW306" i="50"/>
  <c r="AQ306" i="50"/>
  <c r="AK306" i="50"/>
  <c r="AE306" i="50"/>
  <c r="Z306" i="50"/>
  <c r="Y306" i="50"/>
  <c r="X306" i="50"/>
  <c r="J306" i="50"/>
  <c r="G306" i="50"/>
  <c r="H306" i="50" s="1"/>
  <c r="C306" i="50"/>
  <c r="AX305" i="50"/>
  <c r="AW305" i="50"/>
  <c r="AQ305" i="50"/>
  <c r="AS305" i="50" s="1"/>
  <c r="AM305" i="50"/>
  <c r="AL305" i="50"/>
  <c r="AK305" i="50"/>
  <c r="AE305" i="50"/>
  <c r="AA305" i="50"/>
  <c r="AB305" i="50" s="1"/>
  <c r="Z305" i="50"/>
  <c r="Y305" i="50"/>
  <c r="X305" i="50"/>
  <c r="J305" i="50"/>
  <c r="H305" i="50"/>
  <c r="AR305" i="50" s="1"/>
  <c r="G305" i="50"/>
  <c r="C305" i="50"/>
  <c r="AW304" i="50"/>
  <c r="AQ304" i="50"/>
  <c r="AK304" i="50"/>
  <c r="AE304" i="50"/>
  <c r="Z304" i="50"/>
  <c r="Y304" i="50"/>
  <c r="J304" i="50"/>
  <c r="G304" i="50"/>
  <c r="H304" i="50" s="1"/>
  <c r="C304" i="50"/>
  <c r="AW303" i="50"/>
  <c r="AQ303" i="50"/>
  <c r="AL303" i="50"/>
  <c r="AM303" i="50" s="1"/>
  <c r="AK303" i="50"/>
  <c r="AE303" i="50"/>
  <c r="AB303" i="50"/>
  <c r="AA303" i="50"/>
  <c r="Z303" i="50"/>
  <c r="Y303" i="50"/>
  <c r="AC303" i="50" s="1"/>
  <c r="AD303" i="50" s="1"/>
  <c r="J303" i="50"/>
  <c r="G303" i="50"/>
  <c r="H303" i="50" s="1"/>
  <c r="C303" i="50"/>
  <c r="AW302" i="50"/>
  <c r="AQ302" i="50"/>
  <c r="AK302" i="50"/>
  <c r="AE302" i="50"/>
  <c r="Y302" i="50"/>
  <c r="T302" i="50"/>
  <c r="S302" i="50"/>
  <c r="J302" i="50"/>
  <c r="G302" i="50"/>
  <c r="H302" i="50" s="1"/>
  <c r="C302" i="50"/>
  <c r="AW301" i="50"/>
  <c r="AR301" i="50"/>
  <c r="AQ301" i="50"/>
  <c r="AL301" i="50"/>
  <c r="AK301" i="50"/>
  <c r="AE301" i="50"/>
  <c r="Y301" i="50"/>
  <c r="T301" i="50"/>
  <c r="S301" i="50"/>
  <c r="J301" i="50"/>
  <c r="G301" i="50"/>
  <c r="H301" i="50" s="1"/>
  <c r="C301" i="50"/>
  <c r="AY300" i="50"/>
  <c r="AX300" i="50"/>
  <c r="AW300" i="50"/>
  <c r="AQ300" i="50"/>
  <c r="AL300" i="50"/>
  <c r="AK300" i="50"/>
  <c r="AE300" i="50"/>
  <c r="AA300" i="50"/>
  <c r="Z300" i="50"/>
  <c r="Y300" i="50"/>
  <c r="T300" i="50"/>
  <c r="S300" i="50"/>
  <c r="J300" i="50"/>
  <c r="H300" i="50"/>
  <c r="AF300" i="50" s="1"/>
  <c r="AG300" i="50" s="1"/>
  <c r="G300" i="50"/>
  <c r="C300" i="50"/>
  <c r="AX299" i="50"/>
  <c r="AW299" i="50"/>
  <c r="AR299" i="50"/>
  <c r="AS299" i="50" s="1"/>
  <c r="AQ299" i="50"/>
  <c r="AK299" i="50"/>
  <c r="AE299" i="50"/>
  <c r="Z299" i="50"/>
  <c r="Y299" i="50"/>
  <c r="T299" i="50"/>
  <c r="U299" i="50" s="1"/>
  <c r="V299" i="50" s="1"/>
  <c r="S299" i="50"/>
  <c r="W299" i="50" s="1"/>
  <c r="X299" i="50" s="1"/>
  <c r="J299" i="50"/>
  <c r="H299" i="50"/>
  <c r="AF299" i="50" s="1"/>
  <c r="AG299" i="50" s="1"/>
  <c r="G299" i="50"/>
  <c r="C299" i="50"/>
  <c r="AW298" i="50"/>
  <c r="AQ298" i="50"/>
  <c r="AK298" i="50"/>
  <c r="AE298" i="50"/>
  <c r="Y298" i="50"/>
  <c r="T298" i="50"/>
  <c r="S298" i="50"/>
  <c r="J298" i="50"/>
  <c r="H298" i="50"/>
  <c r="G298" i="50"/>
  <c r="C298" i="50"/>
  <c r="AW297" i="50"/>
  <c r="AQ297" i="50"/>
  <c r="AK297" i="50"/>
  <c r="AE297" i="50"/>
  <c r="Z297" i="50"/>
  <c r="Y297" i="50"/>
  <c r="T297" i="50"/>
  <c r="S297" i="50"/>
  <c r="U297" i="50" s="1"/>
  <c r="V297" i="50" s="1"/>
  <c r="J297" i="50"/>
  <c r="G297" i="50"/>
  <c r="H297" i="50" s="1"/>
  <c r="C297" i="50"/>
  <c r="AW296" i="50"/>
  <c r="AQ296" i="50"/>
  <c r="AK296" i="50"/>
  <c r="AE296" i="50"/>
  <c r="Y296" i="50"/>
  <c r="T296" i="50"/>
  <c r="S296" i="50"/>
  <c r="R296" i="50"/>
  <c r="J296" i="50"/>
  <c r="G296" i="50"/>
  <c r="H296" i="50" s="1"/>
  <c r="C296" i="50"/>
  <c r="AW295" i="50"/>
  <c r="AQ295" i="50"/>
  <c r="AK295" i="50"/>
  <c r="AE295" i="50"/>
  <c r="Y295" i="50"/>
  <c r="T295" i="50"/>
  <c r="S295" i="50"/>
  <c r="R295" i="50"/>
  <c r="J295" i="50"/>
  <c r="G295" i="50"/>
  <c r="H295" i="50" s="1"/>
  <c r="C295" i="50"/>
  <c r="AW294" i="50"/>
  <c r="AQ294" i="50"/>
  <c r="AK294" i="50"/>
  <c r="AE294" i="50"/>
  <c r="Y294" i="50"/>
  <c r="T294" i="50"/>
  <c r="S294" i="50"/>
  <c r="R294" i="50"/>
  <c r="J294" i="50"/>
  <c r="I294" i="50"/>
  <c r="H294" i="50"/>
  <c r="G294" i="50"/>
  <c r="C294" i="50"/>
  <c r="AW293" i="50"/>
  <c r="AQ293" i="50"/>
  <c r="AK293" i="50"/>
  <c r="AE293" i="50"/>
  <c r="Y293" i="50"/>
  <c r="S293" i="50"/>
  <c r="P293" i="50"/>
  <c r="O293" i="50"/>
  <c r="N293" i="50"/>
  <c r="M293" i="50"/>
  <c r="J293" i="50"/>
  <c r="G293" i="50"/>
  <c r="H293" i="50" s="1"/>
  <c r="C293" i="50"/>
  <c r="AW292" i="50"/>
  <c r="AS292" i="50"/>
  <c r="AR292" i="50"/>
  <c r="AQ292" i="50"/>
  <c r="AK292" i="50"/>
  <c r="AF292" i="50"/>
  <c r="AE292" i="50"/>
  <c r="Y292" i="50"/>
  <c r="U292" i="50"/>
  <c r="T292" i="50"/>
  <c r="S292" i="50"/>
  <c r="O292" i="50"/>
  <c r="P292" i="50" s="1"/>
  <c r="V292" i="50" s="1"/>
  <c r="N292" i="50"/>
  <c r="M292" i="50"/>
  <c r="J292" i="50"/>
  <c r="H292" i="50"/>
  <c r="AX292" i="50" s="1"/>
  <c r="AY292" i="50" s="1"/>
  <c r="G292" i="50"/>
  <c r="C292" i="50"/>
  <c r="AX291" i="50"/>
  <c r="AW291" i="50"/>
  <c r="AQ291" i="50"/>
  <c r="AK291" i="50"/>
  <c r="AE291" i="50"/>
  <c r="Y291" i="50"/>
  <c r="T291" i="50"/>
  <c r="S291" i="50"/>
  <c r="N291" i="50"/>
  <c r="M291" i="50"/>
  <c r="O291" i="50" s="1"/>
  <c r="P291" i="50" s="1"/>
  <c r="J291" i="50"/>
  <c r="G291" i="50"/>
  <c r="H291" i="50" s="1"/>
  <c r="C291" i="50"/>
  <c r="AW290" i="50"/>
  <c r="AQ290" i="50"/>
  <c r="AK290" i="50"/>
  <c r="AE290" i="50"/>
  <c r="Y290" i="50"/>
  <c r="S290" i="50"/>
  <c r="Q290" i="50"/>
  <c r="R290" i="50" s="1"/>
  <c r="O290" i="50"/>
  <c r="P290" i="50" s="1"/>
  <c r="N290" i="50"/>
  <c r="M290" i="50"/>
  <c r="J290" i="50"/>
  <c r="G290" i="50"/>
  <c r="H290" i="50" s="1"/>
  <c r="C290" i="50"/>
  <c r="AW289" i="50"/>
  <c r="AR289" i="50"/>
  <c r="AQ289" i="50"/>
  <c r="AL289" i="50"/>
  <c r="AM289" i="50" s="1"/>
  <c r="AK289" i="50"/>
  <c r="AE289" i="50"/>
  <c r="Y289" i="50"/>
  <c r="T289" i="50"/>
  <c r="S289" i="50"/>
  <c r="N289" i="50"/>
  <c r="O289" i="50" s="1"/>
  <c r="P289" i="50" s="1"/>
  <c r="M289" i="50"/>
  <c r="Q289" i="50" s="1"/>
  <c r="R289" i="50" s="1"/>
  <c r="J289" i="50"/>
  <c r="H289" i="50"/>
  <c r="AX289" i="50" s="1"/>
  <c r="AY289" i="50" s="1"/>
  <c r="G289" i="50"/>
  <c r="C289" i="50"/>
  <c r="AW288" i="50"/>
  <c r="AQ288" i="50"/>
  <c r="AK288" i="50"/>
  <c r="AE288" i="50"/>
  <c r="Y288" i="50"/>
  <c r="S288" i="50"/>
  <c r="N288" i="50"/>
  <c r="M288" i="50"/>
  <c r="J288" i="50"/>
  <c r="H288" i="50"/>
  <c r="G288" i="50"/>
  <c r="C288" i="50"/>
  <c r="AW287" i="50"/>
  <c r="AQ287" i="50"/>
  <c r="AK287" i="50"/>
  <c r="AE287" i="50"/>
  <c r="Y287" i="50"/>
  <c r="S287" i="50"/>
  <c r="N287" i="50"/>
  <c r="M287" i="50"/>
  <c r="J287" i="50"/>
  <c r="G287" i="50"/>
  <c r="H287" i="50" s="1"/>
  <c r="C287" i="50"/>
  <c r="AW286" i="50"/>
  <c r="AQ286" i="50"/>
  <c r="AK286" i="50"/>
  <c r="AE286" i="50"/>
  <c r="Y286" i="50"/>
  <c r="S286" i="50"/>
  <c r="N286" i="50"/>
  <c r="M286" i="50"/>
  <c r="J286" i="50"/>
  <c r="H286" i="50"/>
  <c r="G286" i="50"/>
  <c r="C286" i="50"/>
  <c r="AW285" i="50"/>
  <c r="AQ285" i="50"/>
  <c r="AK285" i="50"/>
  <c r="AE285" i="50"/>
  <c r="Y285" i="50"/>
  <c r="S285" i="50"/>
  <c r="P285" i="50"/>
  <c r="O285" i="50"/>
  <c r="N285" i="50"/>
  <c r="M285" i="50"/>
  <c r="J285" i="50"/>
  <c r="G285" i="50"/>
  <c r="H285" i="50" s="1"/>
  <c r="C285" i="50"/>
  <c r="AW284" i="50"/>
  <c r="AS284" i="50"/>
  <c r="AR284" i="50"/>
  <c r="AQ284" i="50"/>
  <c r="AM284" i="50"/>
  <c r="AL284" i="50"/>
  <c r="AK284" i="50"/>
  <c r="AF284" i="50"/>
  <c r="AE284" i="50"/>
  <c r="Y284" i="50"/>
  <c r="T284" i="50"/>
  <c r="U284" i="50" s="1"/>
  <c r="S284" i="50"/>
  <c r="O284" i="50"/>
  <c r="P284" i="50" s="1"/>
  <c r="V284" i="50" s="1"/>
  <c r="N284" i="50"/>
  <c r="M284" i="50"/>
  <c r="J284" i="50"/>
  <c r="H284" i="50"/>
  <c r="AX284" i="50" s="1"/>
  <c r="AY284" i="50" s="1"/>
  <c r="G284" i="50"/>
  <c r="C284" i="50"/>
  <c r="AW283" i="50"/>
  <c r="AQ283" i="50"/>
  <c r="AK283" i="50"/>
  <c r="AE283" i="50"/>
  <c r="Y283" i="50"/>
  <c r="S283" i="50"/>
  <c r="N283" i="50"/>
  <c r="M283" i="50"/>
  <c r="J283" i="50"/>
  <c r="G283" i="50"/>
  <c r="H283" i="50" s="1"/>
  <c r="C283" i="50"/>
  <c r="AX282" i="50"/>
  <c r="AW282" i="50"/>
  <c r="AQ282" i="50"/>
  <c r="AK282" i="50"/>
  <c r="AE282" i="50"/>
  <c r="Z282" i="50"/>
  <c r="Y282" i="50"/>
  <c r="S282" i="50"/>
  <c r="N282" i="50"/>
  <c r="M282" i="50"/>
  <c r="J282" i="50"/>
  <c r="G282" i="50"/>
  <c r="H282" i="50" s="1"/>
  <c r="C282" i="50"/>
  <c r="AW281" i="50"/>
  <c r="AR281" i="50"/>
  <c r="AQ281" i="50"/>
  <c r="AK281" i="50"/>
  <c r="AE281" i="50"/>
  <c r="Y281" i="50"/>
  <c r="T281" i="50"/>
  <c r="S281" i="50"/>
  <c r="O281" i="50"/>
  <c r="P281" i="50" s="1"/>
  <c r="N281" i="50"/>
  <c r="M281" i="50"/>
  <c r="J281" i="50"/>
  <c r="H281" i="50"/>
  <c r="G281" i="50"/>
  <c r="C281" i="50"/>
  <c r="AW280" i="50"/>
  <c r="AQ280" i="50"/>
  <c r="AK280" i="50"/>
  <c r="AF280" i="50"/>
  <c r="AE280" i="50"/>
  <c r="Y280" i="50"/>
  <c r="S280" i="50"/>
  <c r="N280" i="50"/>
  <c r="M280" i="50"/>
  <c r="J280" i="50"/>
  <c r="G280" i="50"/>
  <c r="H280" i="50" s="1"/>
  <c r="C280" i="50"/>
  <c r="AW279" i="50"/>
  <c r="AQ279" i="50"/>
  <c r="AL279" i="50"/>
  <c r="AK279" i="50"/>
  <c r="AM279" i="50" s="1"/>
  <c r="AF279" i="50"/>
  <c r="AE279" i="50"/>
  <c r="Y279" i="50"/>
  <c r="S279" i="50"/>
  <c r="N279" i="50"/>
  <c r="M279" i="50"/>
  <c r="O279" i="50" s="1"/>
  <c r="P279" i="50" s="1"/>
  <c r="J279" i="50"/>
  <c r="H279" i="50"/>
  <c r="AR279" i="50" s="1"/>
  <c r="G279" i="50"/>
  <c r="C279" i="50"/>
  <c r="AS279" i="50" s="1"/>
  <c r="AW278" i="50"/>
  <c r="AQ278" i="50"/>
  <c r="AK278" i="50"/>
  <c r="AE278" i="50"/>
  <c r="Y278" i="50"/>
  <c r="T278" i="50"/>
  <c r="U278" i="50" s="1"/>
  <c r="S278" i="50"/>
  <c r="N278" i="50"/>
  <c r="M278" i="50"/>
  <c r="J278" i="50"/>
  <c r="H278" i="50"/>
  <c r="G278" i="50"/>
  <c r="C278" i="50"/>
  <c r="AW277" i="50"/>
  <c r="AQ277" i="50"/>
  <c r="AK277" i="50"/>
  <c r="AE277" i="50"/>
  <c r="Y277" i="50"/>
  <c r="S277" i="50"/>
  <c r="N277" i="50"/>
  <c r="M277" i="50"/>
  <c r="J277" i="50"/>
  <c r="H277" i="50"/>
  <c r="G277" i="50"/>
  <c r="C277" i="50"/>
  <c r="AW276" i="50"/>
  <c r="AR276" i="50"/>
  <c r="AS276" i="50" s="1"/>
  <c r="AQ276" i="50"/>
  <c r="AK276" i="50"/>
  <c r="AE276" i="50"/>
  <c r="Y276" i="50"/>
  <c r="S276" i="50"/>
  <c r="N276" i="50"/>
  <c r="M276" i="50"/>
  <c r="J276" i="50"/>
  <c r="G276" i="50"/>
  <c r="H276" i="50" s="1"/>
  <c r="C276" i="50"/>
  <c r="AW275" i="50"/>
  <c r="AQ275" i="50"/>
  <c r="AK275" i="50"/>
  <c r="AE275" i="50"/>
  <c r="Y275" i="50"/>
  <c r="S275" i="50"/>
  <c r="N275" i="50"/>
  <c r="M275" i="50"/>
  <c r="J275" i="50"/>
  <c r="G275" i="50"/>
  <c r="H275" i="50" s="1"/>
  <c r="C275" i="50"/>
  <c r="AW274" i="50"/>
  <c r="AR274" i="50"/>
  <c r="AS274" i="50" s="1"/>
  <c r="AQ274" i="50"/>
  <c r="AL274" i="50"/>
  <c r="AK274" i="50"/>
  <c r="AE274" i="50"/>
  <c r="Y274" i="50"/>
  <c r="T274" i="50"/>
  <c r="U274" i="50" s="1"/>
  <c r="S274" i="50"/>
  <c r="N274" i="50"/>
  <c r="M274" i="50"/>
  <c r="J274" i="50"/>
  <c r="G274" i="50"/>
  <c r="H274" i="50" s="1"/>
  <c r="C274" i="50"/>
  <c r="AW273" i="50"/>
  <c r="AQ273" i="50"/>
  <c r="AK273" i="50"/>
  <c r="AE273" i="50"/>
  <c r="Y273" i="50"/>
  <c r="S273" i="50"/>
  <c r="N273" i="50"/>
  <c r="M273" i="50"/>
  <c r="J273" i="50"/>
  <c r="H273" i="50"/>
  <c r="G273" i="50"/>
  <c r="C273" i="50"/>
  <c r="AW272" i="50"/>
  <c r="AQ272" i="50"/>
  <c r="AL272" i="50"/>
  <c r="AM272" i="50" s="1"/>
  <c r="AK272" i="50"/>
  <c r="AF272" i="50"/>
  <c r="AE272" i="50"/>
  <c r="Y272" i="50"/>
  <c r="S272" i="50"/>
  <c r="N272" i="50"/>
  <c r="O272" i="50" s="1"/>
  <c r="P272" i="50" s="1"/>
  <c r="M272" i="50"/>
  <c r="J272" i="50"/>
  <c r="G272" i="50"/>
  <c r="H272" i="50" s="1"/>
  <c r="C272" i="50"/>
  <c r="AW271" i="50"/>
  <c r="AQ271" i="50"/>
  <c r="AK271" i="50"/>
  <c r="AE271" i="50"/>
  <c r="Y271" i="50"/>
  <c r="S271" i="50"/>
  <c r="N271" i="50"/>
  <c r="M271" i="50"/>
  <c r="J271" i="50"/>
  <c r="H271" i="50"/>
  <c r="G271" i="50"/>
  <c r="C271" i="50"/>
  <c r="AX270" i="50"/>
  <c r="AW270" i="50"/>
  <c r="AQ270" i="50"/>
  <c r="AK270" i="50"/>
  <c r="AF270" i="50"/>
  <c r="AE270" i="50"/>
  <c r="Z270" i="50"/>
  <c r="Y270" i="50"/>
  <c r="S270" i="50"/>
  <c r="N270" i="50"/>
  <c r="M270" i="50"/>
  <c r="J270" i="50"/>
  <c r="G270" i="50"/>
  <c r="H270" i="50" s="1"/>
  <c r="C270" i="50"/>
  <c r="AW269" i="50"/>
  <c r="AQ269" i="50"/>
  <c r="AM269" i="50"/>
  <c r="AL269" i="50"/>
  <c r="AK269" i="50"/>
  <c r="AF269" i="50"/>
  <c r="AE269" i="50"/>
  <c r="Y269" i="50"/>
  <c r="S269" i="50"/>
  <c r="N269" i="50"/>
  <c r="M269" i="50"/>
  <c r="J269" i="50"/>
  <c r="H269" i="50"/>
  <c r="AR269" i="50" s="1"/>
  <c r="AS269" i="50" s="1"/>
  <c r="G269" i="50"/>
  <c r="C269" i="50"/>
  <c r="AW268" i="50"/>
  <c r="AR268" i="50"/>
  <c r="AQ268" i="50"/>
  <c r="AK268" i="50"/>
  <c r="AE268" i="50"/>
  <c r="Y268" i="50"/>
  <c r="S268" i="50"/>
  <c r="N268" i="50"/>
  <c r="M268" i="50"/>
  <c r="J268" i="50"/>
  <c r="G268" i="50"/>
  <c r="H268" i="50" s="1"/>
  <c r="Z268" i="50" s="1"/>
  <c r="AA268" i="50" s="1"/>
  <c r="C268" i="50"/>
  <c r="AW267" i="50"/>
  <c r="AQ267" i="50"/>
  <c r="AK267" i="50"/>
  <c r="AE267" i="50"/>
  <c r="Z267" i="50"/>
  <c r="Y267" i="50"/>
  <c r="S267" i="50"/>
  <c r="O267" i="50"/>
  <c r="P267" i="50" s="1"/>
  <c r="N267" i="50"/>
  <c r="M267" i="50"/>
  <c r="J267" i="50"/>
  <c r="G267" i="50"/>
  <c r="H267" i="50" s="1"/>
  <c r="C267" i="50"/>
  <c r="AW266" i="50"/>
  <c r="AR266" i="50"/>
  <c r="AS266" i="50" s="1"/>
  <c r="AQ266" i="50"/>
  <c r="AL266" i="50"/>
  <c r="AM266" i="50" s="1"/>
  <c r="AK266" i="50"/>
  <c r="AE266" i="50"/>
  <c r="Y266" i="50"/>
  <c r="T266" i="50"/>
  <c r="U266" i="50" s="1"/>
  <c r="S266" i="50"/>
  <c r="O266" i="50"/>
  <c r="P266" i="50" s="1"/>
  <c r="V266" i="50" s="1"/>
  <c r="W266" i="50" s="1"/>
  <c r="X266" i="50" s="1"/>
  <c r="N266" i="50"/>
  <c r="M266" i="50"/>
  <c r="Q266" i="50" s="1"/>
  <c r="R266" i="50" s="1"/>
  <c r="J266" i="50"/>
  <c r="G266" i="50"/>
  <c r="H266" i="50" s="1"/>
  <c r="C266" i="50"/>
  <c r="AW265" i="50"/>
  <c r="AQ265" i="50"/>
  <c r="AK265" i="50"/>
  <c r="AE265" i="50"/>
  <c r="Y265" i="50"/>
  <c r="S265" i="50"/>
  <c r="N265" i="50"/>
  <c r="M265" i="50"/>
  <c r="J265" i="50"/>
  <c r="H265" i="50"/>
  <c r="G265" i="50"/>
  <c r="C265" i="50"/>
  <c r="AW264" i="50"/>
  <c r="AQ264" i="50"/>
  <c r="AK264" i="50"/>
  <c r="AE264" i="50"/>
  <c r="Y264" i="50"/>
  <c r="S264" i="50"/>
  <c r="N264" i="50"/>
  <c r="M264" i="50"/>
  <c r="J264" i="50"/>
  <c r="G264" i="50"/>
  <c r="H264" i="50" s="1"/>
  <c r="AF264" i="50" s="1"/>
  <c r="C264" i="50"/>
  <c r="AW263" i="50"/>
  <c r="AQ263" i="50"/>
  <c r="AK263" i="50"/>
  <c r="AE263" i="50"/>
  <c r="Y263" i="50"/>
  <c r="S263" i="50"/>
  <c r="N263" i="50"/>
  <c r="M263" i="50"/>
  <c r="J263" i="50"/>
  <c r="H263" i="50"/>
  <c r="G263" i="50"/>
  <c r="C263" i="50"/>
  <c r="AW262" i="50"/>
  <c r="AQ262" i="50"/>
  <c r="AK262" i="50"/>
  <c r="AE262" i="50"/>
  <c r="Y262" i="50"/>
  <c r="S262" i="50"/>
  <c r="N262" i="50"/>
  <c r="M262" i="50"/>
  <c r="J262" i="50"/>
  <c r="G262" i="50"/>
  <c r="H262" i="50" s="1"/>
  <c r="Z262" i="50" s="1"/>
  <c r="C262" i="50"/>
  <c r="AW261" i="50"/>
  <c r="AS261" i="50"/>
  <c r="AQ261" i="50"/>
  <c r="AL261" i="50"/>
  <c r="AM261" i="50" s="1"/>
  <c r="AK261" i="50"/>
  <c r="AF261" i="50"/>
  <c r="AE261" i="50"/>
  <c r="Y261" i="50"/>
  <c r="S261" i="50"/>
  <c r="N261" i="50"/>
  <c r="O261" i="50" s="1"/>
  <c r="P261" i="50" s="1"/>
  <c r="M261" i="50"/>
  <c r="J261" i="50"/>
  <c r="H261" i="50"/>
  <c r="AR261" i="50" s="1"/>
  <c r="G261" i="50"/>
  <c r="C261" i="50"/>
  <c r="AW260" i="50"/>
  <c r="AQ260" i="50"/>
  <c r="AK260" i="50"/>
  <c r="AE260" i="50"/>
  <c r="Y260" i="50"/>
  <c r="S260" i="50"/>
  <c r="N260" i="50"/>
  <c r="M260" i="50"/>
  <c r="J260" i="50"/>
  <c r="H260" i="50"/>
  <c r="G260" i="50"/>
  <c r="C260" i="50"/>
  <c r="AW259" i="50"/>
  <c r="AQ259" i="50"/>
  <c r="AK259" i="50"/>
  <c r="AE259" i="50"/>
  <c r="Y259" i="50"/>
  <c r="S259" i="50"/>
  <c r="N259" i="50"/>
  <c r="M259" i="50"/>
  <c r="J259" i="50"/>
  <c r="G259" i="50"/>
  <c r="H259" i="50" s="1"/>
  <c r="AF259" i="50" s="1"/>
  <c r="C259" i="50"/>
  <c r="O259" i="50" s="1"/>
  <c r="P259" i="50" s="1"/>
  <c r="AW258" i="50"/>
  <c r="AS258" i="50"/>
  <c r="AR258" i="50"/>
  <c r="AQ258" i="50"/>
  <c r="AL258" i="50"/>
  <c r="AM258" i="50" s="1"/>
  <c r="AK258" i="50"/>
  <c r="AE258" i="50"/>
  <c r="Y258" i="50"/>
  <c r="S258" i="50"/>
  <c r="O258" i="50"/>
  <c r="P258" i="50" s="1"/>
  <c r="N258" i="50"/>
  <c r="M258" i="50"/>
  <c r="J258" i="50"/>
  <c r="G258" i="50"/>
  <c r="H258" i="50" s="1"/>
  <c r="C258" i="50"/>
  <c r="AW257" i="50"/>
  <c r="AQ257" i="50"/>
  <c r="AK257" i="50"/>
  <c r="AE257" i="50"/>
  <c r="Z257" i="50"/>
  <c r="Y257" i="50"/>
  <c r="S257" i="50"/>
  <c r="N257" i="50"/>
  <c r="M257" i="50"/>
  <c r="J257" i="50"/>
  <c r="G257" i="50"/>
  <c r="H257" i="50" s="1"/>
  <c r="C257" i="50"/>
  <c r="AW256" i="50"/>
  <c r="AQ256" i="50"/>
  <c r="AL256" i="50"/>
  <c r="AK256" i="50"/>
  <c r="AF256" i="50"/>
  <c r="AG256" i="50" s="1"/>
  <c r="AE256" i="50"/>
  <c r="Y256" i="50"/>
  <c r="T256" i="50"/>
  <c r="S256" i="50"/>
  <c r="O256" i="50"/>
  <c r="P256" i="50" s="1"/>
  <c r="N256" i="50"/>
  <c r="M256" i="50"/>
  <c r="J256" i="50"/>
  <c r="G256" i="50"/>
  <c r="H256" i="50" s="1"/>
  <c r="C256" i="50"/>
  <c r="AW255" i="50"/>
  <c r="AR255" i="50"/>
  <c r="AQ255" i="50"/>
  <c r="AK255" i="50"/>
  <c r="AE255" i="50"/>
  <c r="Y255" i="50"/>
  <c r="T255" i="50"/>
  <c r="S255" i="50"/>
  <c r="N255" i="50"/>
  <c r="M255" i="50"/>
  <c r="J255" i="50"/>
  <c r="H255" i="50"/>
  <c r="G255" i="50"/>
  <c r="C255" i="50"/>
  <c r="AW254" i="50"/>
  <c r="AQ254" i="50"/>
  <c r="AK254" i="50"/>
  <c r="AE254" i="50"/>
  <c r="Y254" i="50"/>
  <c r="S254" i="50"/>
  <c r="N254" i="50"/>
  <c r="M254" i="50"/>
  <c r="O254" i="50" s="1"/>
  <c r="P254" i="50" s="1"/>
  <c r="J254" i="50"/>
  <c r="G254" i="50"/>
  <c r="H254" i="50" s="1"/>
  <c r="C254" i="50"/>
  <c r="AW253" i="50"/>
  <c r="AQ253" i="50"/>
  <c r="AK253" i="50"/>
  <c r="AE253" i="50"/>
  <c r="Y253" i="50"/>
  <c r="S253" i="50"/>
  <c r="N253" i="50"/>
  <c r="M253" i="50"/>
  <c r="J253" i="50"/>
  <c r="H253" i="50"/>
  <c r="G253" i="50"/>
  <c r="C253" i="50"/>
  <c r="AW252" i="50"/>
  <c r="AQ252" i="50"/>
  <c r="AK252" i="50"/>
  <c r="AE252" i="50"/>
  <c r="Z252" i="50"/>
  <c r="AA252" i="50" s="1"/>
  <c r="Y252" i="50"/>
  <c r="S252" i="50"/>
  <c r="N252" i="50"/>
  <c r="M252" i="50"/>
  <c r="O252" i="50" s="1"/>
  <c r="P252" i="50" s="1"/>
  <c r="J252" i="50"/>
  <c r="G252" i="50"/>
  <c r="H252" i="50" s="1"/>
  <c r="C252" i="50"/>
  <c r="AW251" i="50"/>
  <c r="AQ251" i="50"/>
  <c r="AK251" i="50"/>
  <c r="AE251" i="50"/>
  <c r="Y251" i="50"/>
  <c r="S251" i="50"/>
  <c r="O251" i="50"/>
  <c r="P251" i="50" s="1"/>
  <c r="N251" i="50"/>
  <c r="M251" i="50"/>
  <c r="Q251" i="50" s="1"/>
  <c r="R251" i="50" s="1"/>
  <c r="J251" i="50"/>
  <c r="H251" i="50"/>
  <c r="G251" i="50"/>
  <c r="C251" i="50"/>
  <c r="AW250" i="50"/>
  <c r="AQ250" i="50"/>
  <c r="AK250" i="50"/>
  <c r="AE250" i="50"/>
  <c r="Y250" i="50"/>
  <c r="S250" i="50"/>
  <c r="P250" i="50"/>
  <c r="O250" i="50"/>
  <c r="N250" i="50"/>
  <c r="M250" i="50"/>
  <c r="J250" i="50"/>
  <c r="G250" i="50"/>
  <c r="H250" i="50" s="1"/>
  <c r="AR250" i="50" s="1"/>
  <c r="AS250" i="50" s="1"/>
  <c r="C250" i="50"/>
  <c r="AW249" i="50"/>
  <c r="AQ249" i="50"/>
  <c r="AK249" i="50"/>
  <c r="AE249" i="50"/>
  <c r="Y249" i="50"/>
  <c r="S249" i="50"/>
  <c r="N249" i="50"/>
  <c r="M249" i="50"/>
  <c r="J249" i="50"/>
  <c r="G249" i="50"/>
  <c r="H249" i="50" s="1"/>
  <c r="C249" i="50"/>
  <c r="AW248" i="50"/>
  <c r="AQ248" i="50"/>
  <c r="AK248" i="50"/>
  <c r="AE248" i="50"/>
  <c r="Y248" i="50"/>
  <c r="S248" i="50"/>
  <c r="N248" i="50"/>
  <c r="M248" i="50"/>
  <c r="J248" i="50"/>
  <c r="G248" i="50"/>
  <c r="H248" i="50" s="1"/>
  <c r="Z248" i="50" s="1"/>
  <c r="C248" i="50"/>
  <c r="AW247" i="50"/>
  <c r="AQ247" i="50"/>
  <c r="AK247" i="50"/>
  <c r="AE247" i="50"/>
  <c r="Y247" i="50"/>
  <c r="S247" i="50"/>
  <c r="O247" i="50"/>
  <c r="P247" i="50" s="1"/>
  <c r="N247" i="50"/>
  <c r="M247" i="50"/>
  <c r="J247" i="50"/>
  <c r="G247" i="50"/>
  <c r="H247" i="50" s="1"/>
  <c r="C247" i="50"/>
  <c r="AW246" i="50"/>
  <c r="AR246" i="50"/>
  <c r="AQ246" i="50"/>
  <c r="AS246" i="50" s="1"/>
  <c r="AL246" i="50"/>
  <c r="AM246" i="50" s="1"/>
  <c r="AK246" i="50"/>
  <c r="AF246" i="50"/>
  <c r="AE246" i="50"/>
  <c r="Y246" i="50"/>
  <c r="T246" i="50"/>
  <c r="S246" i="50"/>
  <c r="U246" i="50" s="1"/>
  <c r="P246" i="50"/>
  <c r="O246" i="50"/>
  <c r="N246" i="50"/>
  <c r="M246" i="50"/>
  <c r="J246" i="50"/>
  <c r="H246" i="50"/>
  <c r="AX246" i="50" s="1"/>
  <c r="AY246" i="50" s="1"/>
  <c r="G246" i="50"/>
  <c r="C246" i="50"/>
  <c r="AW245" i="50"/>
  <c r="AQ245" i="50"/>
  <c r="AK245" i="50"/>
  <c r="AE245" i="50"/>
  <c r="Y245" i="50"/>
  <c r="S245" i="50"/>
  <c r="Q245" i="50"/>
  <c r="R245" i="50" s="1"/>
  <c r="N245" i="50"/>
  <c r="M245" i="50"/>
  <c r="O245" i="50" s="1"/>
  <c r="P245" i="50" s="1"/>
  <c r="J245" i="50"/>
  <c r="H245" i="50"/>
  <c r="G245" i="50"/>
  <c r="C245" i="50"/>
  <c r="AX244" i="50"/>
  <c r="AW244" i="50"/>
  <c r="AQ244" i="50"/>
  <c r="AL244" i="50"/>
  <c r="AK244" i="50"/>
  <c r="AF244" i="50"/>
  <c r="AE244" i="50"/>
  <c r="Y244" i="50"/>
  <c r="S244" i="50"/>
  <c r="Q244" i="50"/>
  <c r="R244" i="50" s="1"/>
  <c r="N244" i="50"/>
  <c r="M244" i="50"/>
  <c r="O244" i="50" s="1"/>
  <c r="P244" i="50" s="1"/>
  <c r="J244" i="50"/>
  <c r="G244" i="50"/>
  <c r="H244" i="50" s="1"/>
  <c r="C244" i="50"/>
  <c r="AW243" i="50"/>
  <c r="AQ243" i="50"/>
  <c r="AK243" i="50"/>
  <c r="AE243" i="50"/>
  <c r="Y243" i="50"/>
  <c r="S243" i="50"/>
  <c r="O243" i="50"/>
  <c r="P243" i="50" s="1"/>
  <c r="N243" i="50"/>
  <c r="M243" i="50"/>
  <c r="J243" i="50"/>
  <c r="H243" i="50"/>
  <c r="G243" i="50"/>
  <c r="C243" i="50"/>
  <c r="AW242" i="50"/>
  <c r="AQ242" i="50"/>
  <c r="AK242" i="50"/>
  <c r="AE242" i="50"/>
  <c r="Y242" i="50"/>
  <c r="S242" i="50"/>
  <c r="R242" i="50"/>
  <c r="P242" i="50"/>
  <c r="O242" i="50"/>
  <c r="N242" i="50"/>
  <c r="M242" i="50"/>
  <c r="Q242" i="50" s="1"/>
  <c r="J242" i="50"/>
  <c r="G242" i="50"/>
  <c r="H242" i="50" s="1"/>
  <c r="C242" i="50"/>
  <c r="AW241" i="50"/>
  <c r="AS241" i="50"/>
  <c r="AR241" i="50"/>
  <c r="AQ241" i="50"/>
  <c r="AK241" i="50"/>
  <c r="AM241" i="50" s="1"/>
  <c r="AF241" i="50"/>
  <c r="AG241" i="50" s="1"/>
  <c r="AE241" i="50"/>
  <c r="Y241" i="50"/>
  <c r="U241" i="50"/>
  <c r="T241" i="50"/>
  <c r="S241" i="50"/>
  <c r="O241" i="50"/>
  <c r="P241" i="50" s="1"/>
  <c r="N241" i="50"/>
  <c r="M241" i="50"/>
  <c r="J241" i="50"/>
  <c r="H241" i="50"/>
  <c r="AL241" i="50" s="1"/>
  <c r="G241" i="50"/>
  <c r="C241" i="50"/>
  <c r="AX240" i="50"/>
  <c r="AW240" i="50"/>
  <c r="AR240" i="50"/>
  <c r="AS240" i="50" s="1"/>
  <c r="AQ240" i="50"/>
  <c r="AL240" i="50"/>
  <c r="AK240" i="50"/>
  <c r="AE240" i="50"/>
  <c r="Z240" i="50"/>
  <c r="Y240" i="50"/>
  <c r="U240" i="50"/>
  <c r="T240" i="50"/>
  <c r="S240" i="50"/>
  <c r="N240" i="50"/>
  <c r="M240" i="50"/>
  <c r="J240" i="50"/>
  <c r="G240" i="50"/>
  <c r="H240" i="50" s="1"/>
  <c r="AF240" i="50" s="1"/>
  <c r="C240" i="50"/>
  <c r="AG240" i="50" s="1"/>
  <c r="AW239" i="50"/>
  <c r="AQ239" i="50"/>
  <c r="AK239" i="50"/>
  <c r="AE239" i="50"/>
  <c r="Y239" i="50"/>
  <c r="S239" i="50"/>
  <c r="Q239" i="50"/>
  <c r="R239" i="50" s="1"/>
  <c r="O239" i="50"/>
  <c r="P239" i="50" s="1"/>
  <c r="N239" i="50"/>
  <c r="M239" i="50"/>
  <c r="J239" i="50"/>
  <c r="G239" i="50"/>
  <c r="H239" i="50" s="1"/>
  <c r="C239" i="50"/>
  <c r="AW238" i="50"/>
  <c r="AR238" i="50"/>
  <c r="AQ238" i="50"/>
  <c r="AS238" i="50" s="1"/>
  <c r="AL238" i="50"/>
  <c r="AM238" i="50" s="1"/>
  <c r="AK238" i="50"/>
  <c r="AF238" i="50"/>
  <c r="AE238" i="50"/>
  <c r="Y238" i="50"/>
  <c r="T238" i="50"/>
  <c r="S238" i="50"/>
  <c r="N238" i="50"/>
  <c r="O238" i="50" s="1"/>
  <c r="P238" i="50" s="1"/>
  <c r="M238" i="50"/>
  <c r="J238" i="50"/>
  <c r="H238" i="50"/>
  <c r="AX238" i="50" s="1"/>
  <c r="AY238" i="50" s="1"/>
  <c r="G238" i="50"/>
  <c r="C238" i="50"/>
  <c r="AW237" i="50"/>
  <c r="AQ237" i="50"/>
  <c r="AK237" i="50"/>
  <c r="AE237" i="50"/>
  <c r="Y237" i="50"/>
  <c r="S237" i="50"/>
  <c r="N237" i="50"/>
  <c r="M237" i="50"/>
  <c r="J237" i="50"/>
  <c r="H237" i="50"/>
  <c r="AR237" i="50" s="1"/>
  <c r="G237" i="50"/>
  <c r="C237" i="50"/>
  <c r="AX236" i="50"/>
  <c r="AW236" i="50"/>
  <c r="AQ236" i="50"/>
  <c r="AL236" i="50"/>
  <c r="AK236" i="50"/>
  <c r="AE236" i="50"/>
  <c r="Z236" i="50"/>
  <c r="Y236" i="50"/>
  <c r="S236" i="50"/>
  <c r="N236" i="50"/>
  <c r="M236" i="50"/>
  <c r="J236" i="50"/>
  <c r="G236" i="50"/>
  <c r="H236" i="50" s="1"/>
  <c r="C236" i="50"/>
  <c r="AW235" i="50"/>
  <c r="AQ235" i="50"/>
  <c r="AL235" i="50"/>
  <c r="AK235" i="50"/>
  <c r="AE235" i="50"/>
  <c r="AA235" i="50"/>
  <c r="Z235" i="50"/>
  <c r="Y235" i="50"/>
  <c r="S235" i="50"/>
  <c r="N235" i="50"/>
  <c r="M235" i="50"/>
  <c r="J235" i="50"/>
  <c r="H235" i="50"/>
  <c r="AX235" i="50" s="1"/>
  <c r="AY235" i="50" s="1"/>
  <c r="G235" i="50"/>
  <c r="C235" i="50"/>
  <c r="AW234" i="50"/>
  <c r="AQ234" i="50"/>
  <c r="AK234" i="50"/>
  <c r="AE234" i="50"/>
  <c r="Y234" i="50"/>
  <c r="S234" i="50"/>
  <c r="O234" i="50"/>
  <c r="P234" i="50" s="1"/>
  <c r="N234" i="50"/>
  <c r="M234" i="50"/>
  <c r="J234" i="50"/>
  <c r="G234" i="50"/>
  <c r="H234" i="50" s="1"/>
  <c r="C234" i="50"/>
  <c r="AW233" i="50"/>
  <c r="AQ233" i="50"/>
  <c r="AK233" i="50"/>
  <c r="AE233" i="50"/>
  <c r="Y233" i="50"/>
  <c r="T233" i="50"/>
  <c r="S233" i="50"/>
  <c r="P233" i="50"/>
  <c r="O233" i="50"/>
  <c r="N233" i="50"/>
  <c r="M233" i="50"/>
  <c r="J233" i="50"/>
  <c r="H233" i="50"/>
  <c r="G233" i="50"/>
  <c r="C233" i="50"/>
  <c r="AX232" i="50"/>
  <c r="AW232" i="50"/>
  <c r="AR232" i="50"/>
  <c r="AQ232" i="50"/>
  <c r="AM232" i="50"/>
  <c r="AL232" i="50"/>
  <c r="AK232" i="50"/>
  <c r="AF232" i="50"/>
  <c r="AE232" i="50"/>
  <c r="Z232" i="50"/>
  <c r="Y232" i="50"/>
  <c r="T232" i="50"/>
  <c r="S232" i="50"/>
  <c r="N232" i="50"/>
  <c r="M232" i="50"/>
  <c r="J232" i="50"/>
  <c r="G232" i="50"/>
  <c r="H232" i="50" s="1"/>
  <c r="C232" i="50"/>
  <c r="AS232" i="50" s="1"/>
  <c r="AX231" i="50"/>
  <c r="AW231" i="50"/>
  <c r="AS231" i="50"/>
  <c r="AR231" i="50"/>
  <c r="AQ231" i="50"/>
  <c r="AK231" i="50"/>
  <c r="AE231" i="50"/>
  <c r="Z231" i="50"/>
  <c r="Y231" i="50"/>
  <c r="S231" i="50"/>
  <c r="N231" i="50"/>
  <c r="M231" i="50"/>
  <c r="J231" i="50"/>
  <c r="H231" i="50"/>
  <c r="AF231" i="50" s="1"/>
  <c r="G231" i="50"/>
  <c r="C231" i="50"/>
  <c r="AA231" i="50" s="1"/>
  <c r="AW230" i="50"/>
  <c r="AQ230" i="50"/>
  <c r="AK230" i="50"/>
  <c r="AE230" i="50"/>
  <c r="Y230" i="50"/>
  <c r="S230" i="50"/>
  <c r="N230" i="50"/>
  <c r="M230" i="50"/>
  <c r="J230" i="50"/>
  <c r="G230" i="50"/>
  <c r="H230" i="50" s="1"/>
  <c r="C230" i="50"/>
  <c r="O230" i="50" s="1"/>
  <c r="P230" i="50" s="1"/>
  <c r="AW229" i="50"/>
  <c r="AR229" i="50"/>
  <c r="AQ229" i="50"/>
  <c r="AK229" i="50"/>
  <c r="AF229" i="50"/>
  <c r="AE229" i="50"/>
  <c r="AG229" i="50" s="1"/>
  <c r="Y229" i="50"/>
  <c r="S229" i="50"/>
  <c r="N229" i="50"/>
  <c r="M229" i="50"/>
  <c r="J229" i="50"/>
  <c r="H229" i="50"/>
  <c r="G229" i="50"/>
  <c r="C229" i="50"/>
  <c r="AS229" i="50" s="1"/>
  <c r="AW228" i="50"/>
  <c r="AQ228" i="50"/>
  <c r="AK228" i="50"/>
  <c r="AE228" i="50"/>
  <c r="Y228" i="50"/>
  <c r="S228" i="50"/>
  <c r="N228" i="50"/>
  <c r="M228" i="50"/>
  <c r="J228" i="50"/>
  <c r="H228" i="50"/>
  <c r="AX228" i="50" s="1"/>
  <c r="G228" i="50"/>
  <c r="C228" i="50"/>
  <c r="AW227" i="50"/>
  <c r="AQ227" i="50"/>
  <c r="AK227" i="50"/>
  <c r="AE227" i="50"/>
  <c r="Z227" i="50"/>
  <c r="Y227" i="50"/>
  <c r="S227" i="50"/>
  <c r="N227" i="50"/>
  <c r="M227" i="50"/>
  <c r="J227" i="50"/>
  <c r="H227" i="50"/>
  <c r="G227" i="50"/>
  <c r="C227" i="50"/>
  <c r="AW226" i="50"/>
  <c r="AR226" i="50"/>
  <c r="AQ226" i="50"/>
  <c r="AK226" i="50"/>
  <c r="AE226" i="50"/>
  <c r="Z226" i="50"/>
  <c r="AA226" i="50" s="1"/>
  <c r="Y226" i="50"/>
  <c r="T226" i="50"/>
  <c r="U226" i="50" s="1"/>
  <c r="S226" i="50"/>
  <c r="N226" i="50"/>
  <c r="M226" i="50"/>
  <c r="J226" i="50"/>
  <c r="H226" i="50"/>
  <c r="G226" i="50"/>
  <c r="C226" i="50"/>
  <c r="AW225" i="50"/>
  <c r="AQ225" i="50"/>
  <c r="AM225" i="50"/>
  <c r="AK225" i="50"/>
  <c r="AF225" i="50"/>
  <c r="AE225" i="50"/>
  <c r="Z225" i="50"/>
  <c r="Y225" i="50"/>
  <c r="T225" i="50"/>
  <c r="S225" i="50"/>
  <c r="N225" i="50"/>
  <c r="M225" i="50"/>
  <c r="O225" i="50" s="1"/>
  <c r="P225" i="50" s="1"/>
  <c r="J225" i="50"/>
  <c r="G225" i="50"/>
  <c r="H225" i="50" s="1"/>
  <c r="AL225" i="50" s="1"/>
  <c r="C225" i="50"/>
  <c r="U225" i="50" s="1"/>
  <c r="AX224" i="50"/>
  <c r="AW224" i="50"/>
  <c r="AQ224" i="50"/>
  <c r="AL224" i="50"/>
  <c r="AK224" i="50"/>
  <c r="AE224" i="50"/>
  <c r="Y224" i="50"/>
  <c r="S224" i="50"/>
  <c r="N224" i="50"/>
  <c r="O224" i="50" s="1"/>
  <c r="P224" i="50" s="1"/>
  <c r="M224" i="50"/>
  <c r="J224" i="50"/>
  <c r="G224" i="50"/>
  <c r="H224" i="50" s="1"/>
  <c r="C224" i="50"/>
  <c r="AX223" i="50"/>
  <c r="AW223" i="50"/>
  <c r="AQ223" i="50"/>
  <c r="AK223" i="50"/>
  <c r="AE223" i="50"/>
  <c r="Y223" i="50"/>
  <c r="S223" i="50"/>
  <c r="N223" i="50"/>
  <c r="M223" i="50"/>
  <c r="J223" i="50"/>
  <c r="H223" i="50"/>
  <c r="G223" i="50"/>
  <c r="C223" i="50"/>
  <c r="O223" i="50" s="1"/>
  <c r="P223" i="50" s="1"/>
  <c r="AW222" i="50"/>
  <c r="AQ222" i="50"/>
  <c r="AL222" i="50"/>
  <c r="AM222" i="50" s="1"/>
  <c r="AK222" i="50"/>
  <c r="AF222" i="50"/>
  <c r="AE222" i="50"/>
  <c r="Y222" i="50"/>
  <c r="T222" i="50"/>
  <c r="S222" i="50"/>
  <c r="P222" i="50"/>
  <c r="N222" i="50"/>
  <c r="O222" i="50" s="1"/>
  <c r="M222" i="50"/>
  <c r="Q222" i="50" s="1"/>
  <c r="R222" i="50" s="1"/>
  <c r="J222" i="50"/>
  <c r="H222" i="50"/>
  <c r="G222" i="50"/>
  <c r="C222" i="50"/>
  <c r="AW221" i="50"/>
  <c r="AQ221" i="50"/>
  <c r="AK221" i="50"/>
  <c r="AF221" i="50"/>
  <c r="AE221" i="50"/>
  <c r="Y221" i="50"/>
  <c r="S221" i="50"/>
  <c r="Q221" i="50"/>
  <c r="R221" i="50" s="1"/>
  <c r="N221" i="50"/>
  <c r="M221" i="50"/>
  <c r="O221" i="50" s="1"/>
  <c r="P221" i="50" s="1"/>
  <c r="J221" i="50"/>
  <c r="H221" i="50"/>
  <c r="G221" i="50"/>
  <c r="C221" i="50"/>
  <c r="AW220" i="50"/>
  <c r="AQ220" i="50"/>
  <c r="AK220" i="50"/>
  <c r="AF220" i="50"/>
  <c r="AE220" i="50"/>
  <c r="Z220" i="50"/>
  <c r="Y220" i="50"/>
  <c r="S220" i="50"/>
  <c r="N220" i="50"/>
  <c r="M220" i="50"/>
  <c r="J220" i="50"/>
  <c r="G220" i="50"/>
  <c r="H220" i="50" s="1"/>
  <c r="C220" i="50"/>
  <c r="AG220" i="50" s="1"/>
  <c r="AW219" i="50"/>
  <c r="AQ219" i="50"/>
  <c r="AK219" i="50"/>
  <c r="AE219" i="50"/>
  <c r="Y219" i="50"/>
  <c r="S219" i="50"/>
  <c r="O219" i="50"/>
  <c r="P219" i="50" s="1"/>
  <c r="N219" i="50"/>
  <c r="M219" i="50"/>
  <c r="J219" i="50"/>
  <c r="H219" i="50"/>
  <c r="G219" i="50"/>
  <c r="C219" i="50"/>
  <c r="AW218" i="50"/>
  <c r="AQ218" i="50"/>
  <c r="AK218" i="50"/>
  <c r="AE218" i="50"/>
  <c r="Y218" i="50"/>
  <c r="S218" i="50"/>
  <c r="P218" i="50"/>
  <c r="O218" i="50"/>
  <c r="N218" i="50"/>
  <c r="M218" i="50"/>
  <c r="J218" i="50"/>
  <c r="G218" i="50"/>
  <c r="H218" i="50" s="1"/>
  <c r="AL218" i="50" s="1"/>
  <c r="AM218" i="50" s="1"/>
  <c r="C218" i="50"/>
  <c r="AW217" i="50"/>
  <c r="AQ217" i="50"/>
  <c r="AK217" i="50"/>
  <c r="AE217" i="50"/>
  <c r="Y217" i="50"/>
  <c r="S217" i="50"/>
  <c r="N217" i="50"/>
  <c r="M217" i="50"/>
  <c r="J217" i="50"/>
  <c r="G217" i="50"/>
  <c r="H217" i="50" s="1"/>
  <c r="C217" i="50"/>
  <c r="AW216" i="50"/>
  <c r="AQ216" i="50"/>
  <c r="AK216" i="50"/>
  <c r="AE216" i="50"/>
  <c r="Y216" i="50"/>
  <c r="T216" i="50"/>
  <c r="S216" i="50"/>
  <c r="N216" i="50"/>
  <c r="M216" i="50"/>
  <c r="J216" i="50"/>
  <c r="G216" i="50"/>
  <c r="H216" i="50" s="1"/>
  <c r="C216" i="50"/>
  <c r="AW215" i="50"/>
  <c r="AR215" i="50"/>
  <c r="AQ215" i="50"/>
  <c r="AS215" i="50" s="1"/>
  <c r="AL215" i="50"/>
  <c r="AK215" i="50"/>
  <c r="AE215" i="50"/>
  <c r="Y215" i="50"/>
  <c r="T215" i="50"/>
  <c r="S215" i="50"/>
  <c r="U215" i="50" s="1"/>
  <c r="N215" i="50"/>
  <c r="M215" i="50"/>
  <c r="J215" i="50"/>
  <c r="H215" i="50"/>
  <c r="G215" i="50"/>
  <c r="C215" i="50"/>
  <c r="AW214" i="50"/>
  <c r="AQ214" i="50"/>
  <c r="AK214" i="50"/>
  <c r="AF214" i="50"/>
  <c r="AE214" i="50"/>
  <c r="Y214" i="50"/>
  <c r="T214" i="50"/>
  <c r="S214" i="50"/>
  <c r="N214" i="50"/>
  <c r="M214" i="50"/>
  <c r="J214" i="50"/>
  <c r="H214" i="50"/>
  <c r="G214" i="50"/>
  <c r="C214" i="50"/>
  <c r="AW213" i="50"/>
  <c r="AQ213" i="50"/>
  <c r="AK213" i="50"/>
  <c r="AE213" i="50"/>
  <c r="Y213" i="50"/>
  <c r="S213" i="50"/>
  <c r="P213" i="50"/>
  <c r="N213" i="50"/>
  <c r="M213" i="50"/>
  <c r="O213" i="50" s="1"/>
  <c r="J213" i="50"/>
  <c r="H213" i="50"/>
  <c r="G213" i="50"/>
  <c r="C213" i="50"/>
  <c r="AW212" i="50"/>
  <c r="AQ212" i="50"/>
  <c r="AK212" i="50"/>
  <c r="AE212" i="50"/>
  <c r="Y212" i="50"/>
  <c r="S212" i="50"/>
  <c r="N212" i="50"/>
  <c r="M212" i="50"/>
  <c r="J212" i="50"/>
  <c r="G212" i="50"/>
  <c r="H212" i="50" s="1"/>
  <c r="C212" i="50"/>
  <c r="AW211" i="50"/>
  <c r="AQ211" i="50"/>
  <c r="AK211" i="50"/>
  <c r="AE211" i="50"/>
  <c r="Y211" i="50"/>
  <c r="S211" i="50"/>
  <c r="O211" i="50"/>
  <c r="P211" i="50" s="1"/>
  <c r="N211" i="50"/>
  <c r="M211" i="50"/>
  <c r="J211" i="50"/>
  <c r="G211" i="50"/>
  <c r="H211" i="50" s="1"/>
  <c r="C211" i="50"/>
  <c r="AX210" i="50"/>
  <c r="AW210" i="50"/>
  <c r="AY210" i="50" s="1"/>
  <c r="AS210" i="50"/>
  <c r="AR210" i="50"/>
  <c r="AQ210" i="50"/>
  <c r="AM210" i="50"/>
  <c r="AK210" i="50"/>
  <c r="AF210" i="50"/>
  <c r="AE210" i="50"/>
  <c r="Z210" i="50"/>
  <c r="Y210" i="50"/>
  <c r="S210" i="50"/>
  <c r="N210" i="50"/>
  <c r="M210" i="50"/>
  <c r="J210" i="50"/>
  <c r="G210" i="50"/>
  <c r="H210" i="50" s="1"/>
  <c r="AL210" i="50" s="1"/>
  <c r="C210" i="50"/>
  <c r="AX209" i="50"/>
  <c r="AW209" i="50"/>
  <c r="AQ209" i="50"/>
  <c r="AK209" i="50"/>
  <c r="AE209" i="50"/>
  <c r="Z209" i="50"/>
  <c r="Y209" i="50"/>
  <c r="S209" i="50"/>
  <c r="N209" i="50"/>
  <c r="M209" i="50"/>
  <c r="J209" i="50"/>
  <c r="G209" i="50"/>
  <c r="H209" i="50" s="1"/>
  <c r="C209" i="50"/>
  <c r="AX208" i="50"/>
  <c r="AW208" i="50"/>
  <c r="AR208" i="50"/>
  <c r="AQ208" i="50"/>
  <c r="AL208" i="50"/>
  <c r="AK208" i="50"/>
  <c r="AE208" i="50"/>
  <c r="Z208" i="50"/>
  <c r="Y208" i="50"/>
  <c r="S208" i="50"/>
  <c r="N208" i="50"/>
  <c r="M208" i="50"/>
  <c r="J208" i="50"/>
  <c r="G208" i="50"/>
  <c r="H208" i="50" s="1"/>
  <c r="AF208" i="50" s="1"/>
  <c r="C208" i="50"/>
  <c r="AW207" i="50"/>
  <c r="AQ207" i="50"/>
  <c r="AK207" i="50"/>
  <c r="AE207" i="50"/>
  <c r="Y207" i="50"/>
  <c r="S207" i="50"/>
  <c r="P207" i="50"/>
  <c r="O207" i="50"/>
  <c r="N207" i="50"/>
  <c r="M207" i="50"/>
  <c r="J207" i="50"/>
  <c r="H207" i="50"/>
  <c r="G207" i="50"/>
  <c r="C207" i="50"/>
  <c r="AW206" i="50"/>
  <c r="AQ206" i="50"/>
  <c r="AK206" i="50"/>
  <c r="AE206" i="50"/>
  <c r="Y206" i="50"/>
  <c r="S206" i="50"/>
  <c r="N206" i="50"/>
  <c r="M206" i="50"/>
  <c r="J206" i="50"/>
  <c r="H206" i="50"/>
  <c r="G206" i="50"/>
  <c r="C206" i="50"/>
  <c r="AW205" i="50"/>
  <c r="AQ205" i="50"/>
  <c r="AK205" i="50"/>
  <c r="AE205" i="50"/>
  <c r="Y205" i="50"/>
  <c r="S205" i="50"/>
  <c r="Q205" i="50"/>
  <c r="R205" i="50" s="1"/>
  <c r="P205" i="50"/>
  <c r="N205" i="50"/>
  <c r="M205" i="50"/>
  <c r="O205" i="50" s="1"/>
  <c r="J205" i="50"/>
  <c r="H205" i="50"/>
  <c r="G205" i="50"/>
  <c r="C205" i="50"/>
  <c r="AW204" i="50"/>
  <c r="AQ204" i="50"/>
  <c r="AK204" i="50"/>
  <c r="AE204" i="50"/>
  <c r="Y204" i="50"/>
  <c r="S204" i="50"/>
  <c r="P204" i="50"/>
  <c r="N204" i="50"/>
  <c r="O204" i="50" s="1"/>
  <c r="M204" i="50"/>
  <c r="J204" i="50"/>
  <c r="H204" i="50"/>
  <c r="AF204" i="50" s="1"/>
  <c r="G204" i="50"/>
  <c r="C204" i="50"/>
  <c r="AW203" i="50"/>
  <c r="AQ203" i="50"/>
  <c r="AK203" i="50"/>
  <c r="AE203" i="50"/>
  <c r="Y203" i="50"/>
  <c r="S203" i="50"/>
  <c r="P203" i="50"/>
  <c r="O203" i="50"/>
  <c r="N203" i="50"/>
  <c r="M203" i="50"/>
  <c r="J203" i="50"/>
  <c r="H203" i="50"/>
  <c r="G203" i="50"/>
  <c r="C203" i="50"/>
  <c r="AW202" i="50"/>
  <c r="AQ202" i="50"/>
  <c r="AK202" i="50"/>
  <c r="AF202" i="50"/>
  <c r="AE202" i="50"/>
  <c r="Z202" i="50"/>
  <c r="Y202" i="50"/>
  <c r="T202" i="50"/>
  <c r="U202" i="50" s="1"/>
  <c r="S202" i="50"/>
  <c r="N202" i="50"/>
  <c r="M202" i="50"/>
  <c r="J202" i="50"/>
  <c r="G202" i="50"/>
  <c r="H202" i="50" s="1"/>
  <c r="AL202" i="50" s="1"/>
  <c r="C202" i="50"/>
  <c r="AG202" i="50" s="1"/>
  <c r="AW201" i="50"/>
  <c r="AQ201" i="50"/>
  <c r="AK201" i="50"/>
  <c r="AE201" i="50"/>
  <c r="Z201" i="50"/>
  <c r="Y201" i="50"/>
  <c r="S201" i="50"/>
  <c r="N201" i="50"/>
  <c r="M201" i="50"/>
  <c r="J201" i="50"/>
  <c r="G201" i="50"/>
  <c r="H201" i="50" s="1"/>
  <c r="C201" i="50"/>
  <c r="AW200" i="50"/>
  <c r="AQ200" i="50"/>
  <c r="AK200" i="50"/>
  <c r="AE200" i="50"/>
  <c r="Z200" i="50"/>
  <c r="Y200" i="50"/>
  <c r="T200" i="50"/>
  <c r="S200" i="50"/>
  <c r="O200" i="50"/>
  <c r="N200" i="50"/>
  <c r="M200" i="50"/>
  <c r="J200" i="50"/>
  <c r="G200" i="50"/>
  <c r="H200" i="50" s="1"/>
  <c r="AF200" i="50" s="1"/>
  <c r="C200" i="50"/>
  <c r="BB198" i="50"/>
  <c r="Y198" i="50"/>
  <c r="L198" i="50"/>
  <c r="K198" i="50"/>
  <c r="I198" i="50"/>
  <c r="AX197" i="50"/>
  <c r="AW197" i="50"/>
  <c r="AV197" i="50"/>
  <c r="J197" i="50"/>
  <c r="H197" i="50"/>
  <c r="G197" i="50"/>
  <c r="C197" i="50"/>
  <c r="AW196" i="50"/>
  <c r="AR196" i="50"/>
  <c r="AS196" i="50" s="1"/>
  <c r="AT196" i="50" s="1"/>
  <c r="AQ196" i="50"/>
  <c r="AP196" i="50"/>
  <c r="J196" i="50"/>
  <c r="H196" i="50"/>
  <c r="AX196" i="50" s="1"/>
  <c r="C196" i="50"/>
  <c r="AW195" i="50"/>
  <c r="AR195" i="50"/>
  <c r="AQ195" i="50"/>
  <c r="AS195" i="50" s="1"/>
  <c r="AT195" i="50" s="1"/>
  <c r="AP195" i="50"/>
  <c r="J195" i="50"/>
  <c r="H195" i="50"/>
  <c r="AX195" i="50" s="1"/>
  <c r="C195" i="50"/>
  <c r="AY195" i="50" s="1"/>
  <c r="AX194" i="50"/>
  <c r="AW194" i="50"/>
  <c r="AR194" i="50"/>
  <c r="AQ194" i="50"/>
  <c r="AP194" i="50"/>
  <c r="J194" i="50"/>
  <c r="H194" i="50"/>
  <c r="C194" i="50"/>
  <c r="AY194" i="50" s="1"/>
  <c r="AY193" i="50"/>
  <c r="AX193" i="50"/>
  <c r="AW193" i="50"/>
  <c r="AT193" i="50"/>
  <c r="AZ193" i="50" s="1"/>
  <c r="AS193" i="50"/>
  <c r="AR193" i="50"/>
  <c r="AQ193" i="50"/>
  <c r="AP193" i="50"/>
  <c r="J193" i="50"/>
  <c r="H193" i="50"/>
  <c r="C193" i="50"/>
  <c r="AW192" i="50"/>
  <c r="AS192" i="50"/>
  <c r="AT192" i="50" s="1"/>
  <c r="AR192" i="50"/>
  <c r="AQ192" i="50"/>
  <c r="AP192" i="50"/>
  <c r="J192" i="50"/>
  <c r="H192" i="50"/>
  <c r="AX192" i="50" s="1"/>
  <c r="C192" i="50"/>
  <c r="AW191" i="50"/>
  <c r="AR191" i="50"/>
  <c r="AQ191" i="50"/>
  <c r="AP191" i="50"/>
  <c r="J191" i="50"/>
  <c r="H191" i="50"/>
  <c r="AX191" i="50" s="1"/>
  <c r="C191" i="50"/>
  <c r="AY191" i="50" s="1"/>
  <c r="AW190" i="50"/>
  <c r="AR190" i="50"/>
  <c r="AQ190" i="50"/>
  <c r="AP190" i="50"/>
  <c r="J190" i="50"/>
  <c r="H190" i="50"/>
  <c r="AX190" i="50" s="1"/>
  <c r="AY190" i="50" s="1"/>
  <c r="C190" i="50"/>
  <c r="AX189" i="50"/>
  <c r="AW189" i="50"/>
  <c r="AS189" i="50"/>
  <c r="AT189" i="50" s="1"/>
  <c r="AR189" i="50"/>
  <c r="AQ189" i="50"/>
  <c r="AP189" i="50"/>
  <c r="J189" i="50"/>
  <c r="H189" i="50"/>
  <c r="C189" i="50"/>
  <c r="AW188" i="50"/>
  <c r="AR188" i="50"/>
  <c r="AS188" i="50" s="1"/>
  <c r="AT188" i="50" s="1"/>
  <c r="AQ188" i="50"/>
  <c r="AP188" i="50"/>
  <c r="J188" i="50"/>
  <c r="H188" i="50"/>
  <c r="AX188" i="50" s="1"/>
  <c r="C188" i="50"/>
  <c r="AW187" i="50"/>
  <c r="AR187" i="50"/>
  <c r="AQ187" i="50"/>
  <c r="AP187" i="50"/>
  <c r="J187" i="50"/>
  <c r="H187" i="50"/>
  <c r="AX187" i="50" s="1"/>
  <c r="C187" i="50"/>
  <c r="AX186" i="50"/>
  <c r="AW186" i="50"/>
  <c r="AU186" i="50"/>
  <c r="AV186" i="50" s="1"/>
  <c r="AR186" i="50"/>
  <c r="AQ186" i="50"/>
  <c r="AS186" i="50" s="1"/>
  <c r="AT186" i="50" s="1"/>
  <c r="AP186" i="50"/>
  <c r="J186" i="50"/>
  <c r="H186" i="50"/>
  <c r="C186" i="50"/>
  <c r="AX185" i="50"/>
  <c r="AW185" i="50"/>
  <c r="AY185" i="50" s="1"/>
  <c r="AR185" i="50"/>
  <c r="AQ185" i="50"/>
  <c r="AP185" i="50"/>
  <c r="J185" i="50"/>
  <c r="H185" i="50"/>
  <c r="C185" i="50"/>
  <c r="AW184" i="50"/>
  <c r="AR184" i="50"/>
  <c r="AS184" i="50" s="1"/>
  <c r="AT184" i="50" s="1"/>
  <c r="AQ184" i="50"/>
  <c r="AP184" i="50"/>
  <c r="J184" i="50"/>
  <c r="H184" i="50"/>
  <c r="AX184" i="50" s="1"/>
  <c r="C184" i="50"/>
  <c r="AW183" i="50"/>
  <c r="AR183" i="50"/>
  <c r="AQ183" i="50"/>
  <c r="AP183" i="50"/>
  <c r="J183" i="50"/>
  <c r="H183" i="50"/>
  <c r="AX183" i="50" s="1"/>
  <c r="C183" i="50"/>
  <c r="AW182" i="50"/>
  <c r="AR182" i="50"/>
  <c r="AQ182" i="50"/>
  <c r="AP182" i="50"/>
  <c r="J182" i="50"/>
  <c r="H182" i="50"/>
  <c r="AX182" i="50" s="1"/>
  <c r="AY182" i="50" s="1"/>
  <c r="C182" i="50"/>
  <c r="AX181" i="50"/>
  <c r="AW181" i="50"/>
  <c r="AR181" i="50"/>
  <c r="AQ181" i="50"/>
  <c r="AP181" i="50"/>
  <c r="J181" i="50"/>
  <c r="H181" i="50"/>
  <c r="C181" i="50"/>
  <c r="AS181" i="50" s="1"/>
  <c r="AT181" i="50" s="1"/>
  <c r="AU181" i="50" s="1"/>
  <c r="AV181" i="50" s="1"/>
  <c r="AW180" i="50"/>
  <c r="AT180" i="50"/>
  <c r="AR180" i="50"/>
  <c r="AS180" i="50" s="1"/>
  <c r="AQ180" i="50"/>
  <c r="AP180" i="50"/>
  <c r="J180" i="50"/>
  <c r="H180" i="50"/>
  <c r="AX180" i="50" s="1"/>
  <c r="C180" i="50"/>
  <c r="AT179" i="50"/>
  <c r="AZ179" i="50" s="1"/>
  <c r="BA179" i="50" s="1"/>
  <c r="AP179" i="50"/>
  <c r="AW178" i="50"/>
  <c r="AQ178" i="50"/>
  <c r="AL178" i="50"/>
  <c r="AK178" i="50"/>
  <c r="AM178" i="50" s="1"/>
  <c r="AG178" i="50"/>
  <c r="AH178" i="50" s="1"/>
  <c r="AD178" i="50"/>
  <c r="J178" i="50"/>
  <c r="H178" i="50"/>
  <c r="G178" i="50"/>
  <c r="C178" i="50"/>
  <c r="AW177" i="50"/>
  <c r="AQ177" i="50"/>
  <c r="AL177" i="50"/>
  <c r="AK177" i="50"/>
  <c r="AG177" i="50"/>
  <c r="AH177" i="50" s="1"/>
  <c r="AD177" i="50"/>
  <c r="J177" i="50"/>
  <c r="G177" i="50"/>
  <c r="H177" i="50" s="1"/>
  <c r="C177" i="50"/>
  <c r="AX176" i="50"/>
  <c r="AW176" i="50"/>
  <c r="AS176" i="50"/>
  <c r="AQ176" i="50"/>
  <c r="AM176" i="50"/>
  <c r="AL176" i="50"/>
  <c r="AK176" i="50"/>
  <c r="AG176" i="50"/>
  <c r="AH176" i="50" s="1"/>
  <c r="AD176" i="50"/>
  <c r="J176" i="50"/>
  <c r="G176" i="50"/>
  <c r="H176" i="50" s="1"/>
  <c r="AR176" i="50" s="1"/>
  <c r="C176" i="50"/>
  <c r="AW175" i="50"/>
  <c r="AQ175" i="50"/>
  <c r="AK175" i="50"/>
  <c r="AG175" i="50"/>
  <c r="AH175" i="50" s="1"/>
  <c r="AF175" i="50"/>
  <c r="AE175" i="50"/>
  <c r="AD175" i="50"/>
  <c r="J175" i="50"/>
  <c r="H175" i="50"/>
  <c r="G175" i="50"/>
  <c r="C175" i="50"/>
  <c r="AW174" i="50"/>
  <c r="AQ174" i="50"/>
  <c r="AK174" i="50"/>
  <c r="AF174" i="50"/>
  <c r="AE174" i="50"/>
  <c r="AD174" i="50"/>
  <c r="J174" i="50"/>
  <c r="G174" i="50"/>
  <c r="H174" i="50" s="1"/>
  <c r="C174" i="50"/>
  <c r="AW173" i="50"/>
  <c r="AR173" i="50"/>
  <c r="AQ173" i="50"/>
  <c r="AK173" i="50"/>
  <c r="AI173" i="50"/>
  <c r="AJ173" i="50" s="1"/>
  <c r="AG173" i="50"/>
  <c r="AH173" i="50" s="1"/>
  <c r="AF173" i="50"/>
  <c r="AE173" i="50"/>
  <c r="AD173" i="50"/>
  <c r="J173" i="50"/>
  <c r="H173" i="50"/>
  <c r="G173" i="50"/>
  <c r="C173" i="50"/>
  <c r="AW172" i="50"/>
  <c r="AQ172" i="50"/>
  <c r="AK172" i="50"/>
  <c r="AF172" i="50"/>
  <c r="AE172" i="50"/>
  <c r="AD172" i="50"/>
  <c r="J172" i="50"/>
  <c r="G172" i="50"/>
  <c r="H172" i="50" s="1"/>
  <c r="C172" i="50"/>
  <c r="AW171" i="50"/>
  <c r="AQ171" i="50"/>
  <c r="AK171" i="50"/>
  <c r="AG171" i="50"/>
  <c r="AH171" i="50" s="1"/>
  <c r="AF171" i="50"/>
  <c r="AE171" i="50"/>
  <c r="AD171" i="50"/>
  <c r="J171" i="50"/>
  <c r="H171" i="50"/>
  <c r="G171" i="50"/>
  <c r="C171" i="50"/>
  <c r="AW170" i="50"/>
  <c r="AQ170" i="50"/>
  <c r="AK170" i="50"/>
  <c r="AE170" i="50"/>
  <c r="AC170" i="50"/>
  <c r="AD170" i="50" s="1"/>
  <c r="AA170" i="50"/>
  <c r="AB170" i="50" s="1"/>
  <c r="Z170" i="50"/>
  <c r="Y170" i="50"/>
  <c r="X170" i="50"/>
  <c r="J170" i="50"/>
  <c r="G170" i="50"/>
  <c r="H170" i="50" s="1"/>
  <c r="C170" i="50"/>
  <c r="AW169" i="50"/>
  <c r="AQ169" i="50"/>
  <c r="AK169" i="50"/>
  <c r="AE169" i="50"/>
  <c r="Z169" i="50"/>
  <c r="Y169" i="50"/>
  <c r="X169" i="50"/>
  <c r="J169" i="50"/>
  <c r="G169" i="50"/>
  <c r="H169" i="50" s="1"/>
  <c r="C169" i="50"/>
  <c r="AW168" i="50"/>
  <c r="AR168" i="50"/>
  <c r="AQ168" i="50"/>
  <c r="AK168" i="50"/>
  <c r="AE168" i="50"/>
  <c r="Y168" i="50"/>
  <c r="S168" i="50"/>
  <c r="O168" i="50"/>
  <c r="P168" i="50" s="1"/>
  <c r="N168" i="50"/>
  <c r="M168" i="50"/>
  <c r="J168" i="50"/>
  <c r="H168" i="50"/>
  <c r="T168" i="50" s="1"/>
  <c r="G168" i="50"/>
  <c r="C168" i="50"/>
  <c r="AW167" i="50"/>
  <c r="AR167" i="50"/>
  <c r="AQ167" i="50"/>
  <c r="AL167" i="50"/>
  <c r="AK167" i="50"/>
  <c r="AM167" i="50" s="1"/>
  <c r="AF167" i="50"/>
  <c r="AE167" i="50"/>
  <c r="Y167" i="50"/>
  <c r="T167" i="50"/>
  <c r="S167" i="50"/>
  <c r="N167" i="50"/>
  <c r="M167" i="50"/>
  <c r="J167" i="50"/>
  <c r="G167" i="50"/>
  <c r="H167" i="50" s="1"/>
  <c r="C167" i="50"/>
  <c r="AW166" i="50"/>
  <c r="AQ166" i="50"/>
  <c r="AK166" i="50"/>
  <c r="AE166" i="50"/>
  <c r="Y166" i="50"/>
  <c r="S166" i="50"/>
  <c r="N166" i="50"/>
  <c r="M166" i="50"/>
  <c r="J166" i="50"/>
  <c r="H166" i="50"/>
  <c r="G166" i="50"/>
  <c r="C166" i="50"/>
  <c r="AW165" i="50"/>
  <c r="AQ165" i="50"/>
  <c r="AK165" i="50"/>
  <c r="AE165" i="50"/>
  <c r="Y165" i="50"/>
  <c r="S165" i="50"/>
  <c r="P165" i="50"/>
  <c r="N165" i="50"/>
  <c r="O165" i="50" s="1"/>
  <c r="M165" i="50"/>
  <c r="J165" i="50"/>
  <c r="G165" i="50"/>
  <c r="H165" i="50" s="1"/>
  <c r="C165" i="50"/>
  <c r="AW164" i="50"/>
  <c r="AQ164" i="50"/>
  <c r="AK164" i="50"/>
  <c r="AE164" i="50"/>
  <c r="Y164" i="50"/>
  <c r="S164" i="50"/>
  <c r="P164" i="50"/>
  <c r="O164" i="50"/>
  <c r="N164" i="50"/>
  <c r="M164" i="50"/>
  <c r="J164" i="50"/>
  <c r="H164" i="50"/>
  <c r="G164" i="50"/>
  <c r="C164" i="50"/>
  <c r="AX163" i="50"/>
  <c r="AW163" i="50"/>
  <c r="AS163" i="50"/>
  <c r="AR163" i="50"/>
  <c r="AQ163" i="50"/>
  <c r="AK163" i="50"/>
  <c r="AF163" i="50"/>
  <c r="AE163" i="50"/>
  <c r="Z163" i="50"/>
  <c r="Y163" i="50"/>
  <c r="AA163" i="50" s="1"/>
  <c r="T163" i="50"/>
  <c r="U163" i="50" s="1"/>
  <c r="S163" i="50"/>
  <c r="N163" i="50"/>
  <c r="M163" i="50"/>
  <c r="J163" i="50"/>
  <c r="G163" i="50"/>
  <c r="H163" i="50" s="1"/>
  <c r="AL163" i="50" s="1"/>
  <c r="C163" i="50"/>
  <c r="AW162" i="50"/>
  <c r="AQ162" i="50"/>
  <c r="AK162" i="50"/>
  <c r="AE162" i="50"/>
  <c r="Z162" i="50"/>
  <c r="Y162" i="50"/>
  <c r="S162" i="50"/>
  <c r="N162" i="50"/>
  <c r="M162" i="50"/>
  <c r="O162" i="50" s="1"/>
  <c r="P162" i="50" s="1"/>
  <c r="J162" i="50"/>
  <c r="G162" i="50"/>
  <c r="H162" i="50" s="1"/>
  <c r="C162" i="50"/>
  <c r="AX161" i="50"/>
  <c r="AY161" i="50" s="1"/>
  <c r="AW161" i="50"/>
  <c r="AR161" i="50"/>
  <c r="AQ161" i="50"/>
  <c r="AL161" i="50"/>
  <c r="AM161" i="50" s="1"/>
  <c r="AK161" i="50"/>
  <c r="AE161" i="50"/>
  <c r="Y161" i="50"/>
  <c r="T161" i="50"/>
  <c r="S161" i="50"/>
  <c r="O161" i="50"/>
  <c r="P161" i="50" s="1"/>
  <c r="Q161" i="50" s="1"/>
  <c r="R161" i="50" s="1"/>
  <c r="N161" i="50"/>
  <c r="M161" i="50"/>
  <c r="J161" i="50"/>
  <c r="G161" i="50"/>
  <c r="H161" i="50" s="1"/>
  <c r="AF161" i="50" s="1"/>
  <c r="C161" i="50"/>
  <c r="AW160" i="50"/>
  <c r="AR160" i="50"/>
  <c r="AQ160" i="50"/>
  <c r="AK160" i="50"/>
  <c r="AE160" i="50"/>
  <c r="Y160" i="50"/>
  <c r="S160" i="50"/>
  <c r="O160" i="50"/>
  <c r="P160" i="50" s="1"/>
  <c r="N160" i="50"/>
  <c r="M160" i="50"/>
  <c r="J160" i="50"/>
  <c r="H160" i="50"/>
  <c r="T160" i="50" s="1"/>
  <c r="G160" i="50"/>
  <c r="C160" i="50"/>
  <c r="AW159" i="50"/>
  <c r="AR159" i="50"/>
  <c r="AQ159" i="50"/>
  <c r="AL159" i="50"/>
  <c r="AK159" i="50"/>
  <c r="AM159" i="50" s="1"/>
  <c r="AF159" i="50"/>
  <c r="AE159" i="50"/>
  <c r="Y159" i="50"/>
  <c r="T159" i="50"/>
  <c r="S159" i="50"/>
  <c r="N159" i="50"/>
  <c r="M159" i="50"/>
  <c r="J159" i="50"/>
  <c r="G159" i="50"/>
  <c r="H159" i="50" s="1"/>
  <c r="C159" i="50"/>
  <c r="AW158" i="50"/>
  <c r="AQ158" i="50"/>
  <c r="AK158" i="50"/>
  <c r="AE158" i="50"/>
  <c r="Y158" i="50"/>
  <c r="S158" i="50"/>
  <c r="N158" i="50"/>
  <c r="M158" i="50"/>
  <c r="J158" i="50"/>
  <c r="H158" i="50"/>
  <c r="G158" i="50"/>
  <c r="C158" i="50"/>
  <c r="AW157" i="50"/>
  <c r="AQ157" i="50"/>
  <c r="AK157" i="50"/>
  <c r="AE157" i="50"/>
  <c r="Y157" i="50"/>
  <c r="S157" i="50"/>
  <c r="P157" i="50"/>
  <c r="N157" i="50"/>
  <c r="O157" i="50" s="1"/>
  <c r="M157" i="50"/>
  <c r="J157" i="50"/>
  <c r="G157" i="50"/>
  <c r="H157" i="50" s="1"/>
  <c r="C157" i="50"/>
  <c r="AW156" i="50"/>
  <c r="AQ156" i="50"/>
  <c r="AK156" i="50"/>
  <c r="AE156" i="50"/>
  <c r="Y156" i="50"/>
  <c r="S156" i="50"/>
  <c r="P156" i="50"/>
  <c r="O156" i="50"/>
  <c r="N156" i="50"/>
  <c r="M156" i="50"/>
  <c r="J156" i="50"/>
  <c r="H156" i="50"/>
  <c r="G156" i="50"/>
  <c r="C156" i="50"/>
  <c r="AX155" i="50"/>
  <c r="AW155" i="50"/>
  <c r="AS155" i="50"/>
  <c r="AR155" i="50"/>
  <c r="AQ155" i="50"/>
  <c r="AK155" i="50"/>
  <c r="AF155" i="50"/>
  <c r="AE155" i="50"/>
  <c r="Z155" i="50"/>
  <c r="Y155" i="50"/>
  <c r="AA155" i="50" s="1"/>
  <c r="T155" i="50"/>
  <c r="U155" i="50" s="1"/>
  <c r="S155" i="50"/>
  <c r="N155" i="50"/>
  <c r="M155" i="50"/>
  <c r="J155" i="50"/>
  <c r="G155" i="50"/>
  <c r="H155" i="50" s="1"/>
  <c r="AL155" i="50" s="1"/>
  <c r="C155" i="50"/>
  <c r="AW154" i="50"/>
  <c r="AQ154" i="50"/>
  <c r="AK154" i="50"/>
  <c r="AE154" i="50"/>
  <c r="Z154" i="50"/>
  <c r="Y154" i="50"/>
  <c r="S154" i="50"/>
  <c r="Q154" i="50"/>
  <c r="R154" i="50" s="1"/>
  <c r="N154" i="50"/>
  <c r="M154" i="50"/>
  <c r="O154" i="50" s="1"/>
  <c r="P154" i="50" s="1"/>
  <c r="J154" i="50"/>
  <c r="G154" i="50"/>
  <c r="H154" i="50" s="1"/>
  <c r="C154" i="50"/>
  <c r="AX153" i="50"/>
  <c r="AY153" i="50" s="1"/>
  <c r="AW153" i="50"/>
  <c r="AR153" i="50"/>
  <c r="AQ153" i="50"/>
  <c r="AL153" i="50"/>
  <c r="AM153" i="50" s="1"/>
  <c r="AK153" i="50"/>
  <c r="AE153" i="50"/>
  <c r="Y153" i="50"/>
  <c r="T153" i="50"/>
  <c r="S153" i="50"/>
  <c r="O153" i="50"/>
  <c r="P153" i="50" s="1"/>
  <c r="Q153" i="50" s="1"/>
  <c r="R153" i="50" s="1"/>
  <c r="N153" i="50"/>
  <c r="M153" i="50"/>
  <c r="J153" i="50"/>
  <c r="G153" i="50"/>
  <c r="H153" i="50" s="1"/>
  <c r="AF153" i="50" s="1"/>
  <c r="C153" i="50"/>
  <c r="AW152" i="50"/>
  <c r="AR152" i="50"/>
  <c r="AQ152" i="50"/>
  <c r="AK152" i="50"/>
  <c r="AE152" i="50"/>
  <c r="Y152" i="50"/>
  <c r="S152" i="50"/>
  <c r="O152" i="50"/>
  <c r="P152" i="50" s="1"/>
  <c r="N152" i="50"/>
  <c r="M152" i="50"/>
  <c r="J152" i="50"/>
  <c r="H152" i="50"/>
  <c r="T152" i="50" s="1"/>
  <c r="G152" i="50"/>
  <c r="C152" i="50"/>
  <c r="AW151" i="50"/>
  <c r="AR151" i="50"/>
  <c r="AQ151" i="50"/>
  <c r="AK151" i="50"/>
  <c r="AF151" i="50"/>
  <c r="AG151" i="50" s="1"/>
  <c r="AE151" i="50"/>
  <c r="Y151" i="50"/>
  <c r="S151" i="50"/>
  <c r="P151" i="50"/>
  <c r="V151" i="50" s="1"/>
  <c r="O151" i="50"/>
  <c r="N151" i="50"/>
  <c r="M151" i="50"/>
  <c r="J151" i="50"/>
  <c r="H151" i="50"/>
  <c r="G151" i="50"/>
  <c r="C151" i="50"/>
  <c r="AW150" i="50"/>
  <c r="AQ150" i="50"/>
  <c r="AK150" i="50"/>
  <c r="AF150" i="50"/>
  <c r="AE150" i="50"/>
  <c r="Z150" i="50"/>
  <c r="Y150" i="50"/>
  <c r="T150" i="50"/>
  <c r="S150" i="50"/>
  <c r="M150" i="50"/>
  <c r="J150" i="50"/>
  <c r="H150" i="50"/>
  <c r="AL150" i="50" s="1"/>
  <c r="G150" i="50"/>
  <c r="C150" i="50"/>
  <c r="AW149" i="50"/>
  <c r="AQ149" i="50"/>
  <c r="AK149" i="50"/>
  <c r="AE149" i="50"/>
  <c r="Z149" i="50"/>
  <c r="Y149" i="50"/>
  <c r="S149" i="50"/>
  <c r="M149" i="50"/>
  <c r="J149" i="50"/>
  <c r="H149" i="50"/>
  <c r="AX149" i="50" s="1"/>
  <c r="G149" i="50"/>
  <c r="C149" i="50"/>
  <c r="AX148" i="50"/>
  <c r="AW148" i="50"/>
  <c r="AR148" i="50"/>
  <c r="AS148" i="50" s="1"/>
  <c r="AQ148" i="50"/>
  <c r="AL148" i="50"/>
  <c r="AK148" i="50"/>
  <c r="AF148" i="50"/>
  <c r="AE148" i="50"/>
  <c r="Z148" i="50"/>
  <c r="Y148" i="50"/>
  <c r="AA148" i="50" s="1"/>
  <c r="T148" i="50"/>
  <c r="U148" i="50" s="1"/>
  <c r="S148" i="50"/>
  <c r="N148" i="50"/>
  <c r="M148" i="50"/>
  <c r="J148" i="50"/>
  <c r="G148" i="50"/>
  <c r="H148" i="50" s="1"/>
  <c r="C148" i="50"/>
  <c r="AW147" i="50"/>
  <c r="AQ147" i="50"/>
  <c r="AK147" i="50"/>
  <c r="AE147" i="50"/>
  <c r="Y147" i="50"/>
  <c r="S147" i="50"/>
  <c r="O147" i="50"/>
  <c r="P147" i="50" s="1"/>
  <c r="N147" i="50"/>
  <c r="M147" i="50"/>
  <c r="J147" i="50"/>
  <c r="G147" i="50"/>
  <c r="H147" i="50" s="1"/>
  <c r="C147" i="50"/>
  <c r="AX146" i="50"/>
  <c r="AY146" i="50" s="1"/>
  <c r="AW146" i="50"/>
  <c r="AR146" i="50"/>
  <c r="AQ146" i="50"/>
  <c r="AK146" i="50"/>
  <c r="AE146" i="50"/>
  <c r="Y146" i="50"/>
  <c r="S146" i="50"/>
  <c r="O146" i="50"/>
  <c r="P146" i="50" s="1"/>
  <c r="N146" i="50"/>
  <c r="M146" i="50"/>
  <c r="J146" i="50"/>
  <c r="G146" i="50"/>
  <c r="H146" i="50" s="1"/>
  <c r="AL146" i="50" s="1"/>
  <c r="AM146" i="50" s="1"/>
  <c r="C146" i="50"/>
  <c r="AW145" i="50"/>
  <c r="AQ145" i="50"/>
  <c r="AK145" i="50"/>
  <c r="AE145" i="50"/>
  <c r="Y145" i="50"/>
  <c r="S145" i="50"/>
  <c r="Q145" i="50"/>
  <c r="R145" i="50" s="1"/>
  <c r="O145" i="50"/>
  <c r="P145" i="50" s="1"/>
  <c r="N145" i="50"/>
  <c r="M145" i="50"/>
  <c r="J145" i="50"/>
  <c r="H145" i="50"/>
  <c r="G145" i="50"/>
  <c r="C145" i="50"/>
  <c r="AX144" i="50"/>
  <c r="AW144" i="50"/>
  <c r="AR144" i="50"/>
  <c r="AQ144" i="50"/>
  <c r="AK144" i="50"/>
  <c r="AE144" i="50"/>
  <c r="Z144" i="50"/>
  <c r="Y144" i="50"/>
  <c r="S144" i="50"/>
  <c r="N144" i="50"/>
  <c r="M144" i="50"/>
  <c r="O144" i="50" s="1"/>
  <c r="P144" i="50" s="1"/>
  <c r="J144" i="50"/>
  <c r="G144" i="50"/>
  <c r="H144" i="50" s="1"/>
  <c r="AL144" i="50" s="1"/>
  <c r="C144" i="50"/>
  <c r="AW143" i="50"/>
  <c r="AQ143" i="50"/>
  <c r="AK143" i="50"/>
  <c r="AE143" i="50"/>
  <c r="Y143" i="50"/>
  <c r="S143" i="50"/>
  <c r="O143" i="50"/>
  <c r="P143" i="50" s="1"/>
  <c r="N143" i="50"/>
  <c r="M143" i="50"/>
  <c r="J143" i="50"/>
  <c r="H143" i="50"/>
  <c r="G143" i="50"/>
  <c r="C143" i="50"/>
  <c r="AW142" i="50"/>
  <c r="AR142" i="50"/>
  <c r="AQ142" i="50"/>
  <c r="AK142" i="50"/>
  <c r="AE142" i="50"/>
  <c r="Y142" i="50"/>
  <c r="S142" i="50"/>
  <c r="N142" i="50"/>
  <c r="O142" i="50" s="1"/>
  <c r="P142" i="50" s="1"/>
  <c r="M142" i="50"/>
  <c r="J142" i="50"/>
  <c r="G142" i="50"/>
  <c r="H142" i="50" s="1"/>
  <c r="C142" i="50"/>
  <c r="AW141" i="50"/>
  <c r="AQ141" i="50"/>
  <c r="AK141" i="50"/>
  <c r="AE141" i="50"/>
  <c r="Y141" i="50"/>
  <c r="S141" i="50"/>
  <c r="P141" i="50"/>
  <c r="O141" i="50"/>
  <c r="N141" i="50"/>
  <c r="M141" i="50"/>
  <c r="J141" i="50"/>
  <c r="H141" i="50"/>
  <c r="G141" i="50"/>
  <c r="C141" i="50"/>
  <c r="AW140" i="50"/>
  <c r="AQ140" i="50"/>
  <c r="AK140" i="50"/>
  <c r="AE140" i="50"/>
  <c r="Y140" i="50"/>
  <c r="S140" i="50"/>
  <c r="N140" i="50"/>
  <c r="M140" i="50"/>
  <c r="J140" i="50"/>
  <c r="G140" i="50"/>
  <c r="H140" i="50" s="1"/>
  <c r="C140" i="50"/>
  <c r="AW139" i="50"/>
  <c r="AQ139" i="50"/>
  <c r="AK139" i="50"/>
  <c r="AE139" i="50"/>
  <c r="Y139" i="50"/>
  <c r="S139" i="50"/>
  <c r="N139" i="50"/>
  <c r="O139" i="50" s="1"/>
  <c r="P139" i="50" s="1"/>
  <c r="M139" i="50"/>
  <c r="J139" i="50"/>
  <c r="H139" i="50"/>
  <c r="G139" i="50"/>
  <c r="C139" i="50"/>
  <c r="AX138" i="50"/>
  <c r="AY138" i="50" s="1"/>
  <c r="AW138" i="50"/>
  <c r="AQ138" i="50"/>
  <c r="AK138" i="50"/>
  <c r="AE138" i="50"/>
  <c r="Y138" i="50"/>
  <c r="S138" i="50"/>
  <c r="R138" i="50"/>
  <c r="N138" i="50"/>
  <c r="O138" i="50" s="1"/>
  <c r="P138" i="50" s="1"/>
  <c r="Q138" i="50" s="1"/>
  <c r="M138" i="50"/>
  <c r="J138" i="50"/>
  <c r="G138" i="50"/>
  <c r="H138" i="50" s="1"/>
  <c r="C138" i="50"/>
  <c r="AW137" i="50"/>
  <c r="AR137" i="50"/>
  <c r="AQ137" i="50"/>
  <c r="AK137" i="50"/>
  <c r="AG137" i="50"/>
  <c r="AF137" i="50"/>
  <c r="AE137" i="50"/>
  <c r="Y137" i="50"/>
  <c r="S137" i="50"/>
  <c r="N137" i="50"/>
  <c r="M137" i="50"/>
  <c r="J137" i="50"/>
  <c r="H137" i="50"/>
  <c r="G137" i="50"/>
  <c r="C137" i="50"/>
  <c r="AW136" i="50"/>
  <c r="AQ136" i="50"/>
  <c r="AK136" i="50"/>
  <c r="AE136" i="50"/>
  <c r="Y136" i="50"/>
  <c r="S136" i="50"/>
  <c r="N136" i="50"/>
  <c r="M136" i="50"/>
  <c r="J136" i="50"/>
  <c r="G136" i="50"/>
  <c r="H136" i="50" s="1"/>
  <c r="T136" i="50" s="1"/>
  <c r="C136" i="50"/>
  <c r="AW135" i="50"/>
  <c r="AQ135" i="50"/>
  <c r="AL135" i="50"/>
  <c r="AK135" i="50"/>
  <c r="AE135" i="50"/>
  <c r="Y135" i="50"/>
  <c r="S135" i="50"/>
  <c r="N135" i="50"/>
  <c r="M135" i="50"/>
  <c r="J135" i="50"/>
  <c r="G135" i="50"/>
  <c r="H135" i="50" s="1"/>
  <c r="C135" i="50"/>
  <c r="L132" i="50"/>
  <c r="K132" i="50"/>
  <c r="AY131" i="50"/>
  <c r="AZ131" i="50" s="1"/>
  <c r="AX131" i="50"/>
  <c r="AW131" i="50"/>
  <c r="AV131" i="50"/>
  <c r="AU131" i="50"/>
  <c r="AO131" i="50"/>
  <c r="AP131" i="50" s="1"/>
  <c r="J131" i="50"/>
  <c r="H131" i="50"/>
  <c r="G131" i="50"/>
  <c r="E131" i="50"/>
  <c r="D131" i="50"/>
  <c r="C131" i="50"/>
  <c r="AX130" i="50"/>
  <c r="AW130" i="50"/>
  <c r="AV130" i="50"/>
  <c r="J130" i="50"/>
  <c r="H130" i="50"/>
  <c r="G130" i="50"/>
  <c r="C130" i="50"/>
  <c r="AX129" i="50"/>
  <c r="AW129" i="50"/>
  <c r="AV129" i="50"/>
  <c r="J129" i="50"/>
  <c r="H129" i="50"/>
  <c r="G129" i="50"/>
  <c r="C129" i="50"/>
  <c r="AY129" i="50" s="1"/>
  <c r="AZ129" i="50" s="1"/>
  <c r="AX128" i="50"/>
  <c r="AW128" i="50"/>
  <c r="BB132" i="50" s="1"/>
  <c r="AV128" i="50"/>
  <c r="J128" i="50"/>
  <c r="H128" i="50"/>
  <c r="G128" i="50"/>
  <c r="C128" i="50"/>
  <c r="AY127" i="50"/>
  <c r="AZ127" i="50" s="1"/>
  <c r="BA127" i="50" s="1"/>
  <c r="AX127" i="50"/>
  <c r="AW127" i="50"/>
  <c r="AV127" i="50"/>
  <c r="J127" i="50"/>
  <c r="H127" i="50"/>
  <c r="G127" i="50"/>
  <c r="C127" i="50"/>
  <c r="AX126" i="50"/>
  <c r="AW126" i="50"/>
  <c r="AV126" i="50"/>
  <c r="J126" i="50"/>
  <c r="G126" i="50"/>
  <c r="H126" i="50" s="1"/>
  <c r="C126" i="50"/>
  <c r="AX125" i="50"/>
  <c r="AW125" i="50"/>
  <c r="AV125" i="50"/>
  <c r="J125" i="50"/>
  <c r="H125" i="50"/>
  <c r="G125" i="50"/>
  <c r="C125" i="50"/>
  <c r="AX124" i="50"/>
  <c r="AW124" i="50"/>
  <c r="AV124" i="50"/>
  <c r="AU124" i="50"/>
  <c r="J124" i="50"/>
  <c r="G124" i="50"/>
  <c r="H124" i="50" s="1"/>
  <c r="C124" i="50"/>
  <c r="AY123" i="50"/>
  <c r="AR123" i="50"/>
  <c r="AS123" i="50" s="1"/>
  <c r="AP123" i="50"/>
  <c r="J123" i="50"/>
  <c r="H123" i="50"/>
  <c r="C123" i="50"/>
  <c r="AX122" i="50"/>
  <c r="AW122" i="50"/>
  <c r="AR122" i="50"/>
  <c r="AQ122" i="50"/>
  <c r="AP122" i="50"/>
  <c r="J122" i="50"/>
  <c r="H122" i="50"/>
  <c r="C122" i="50"/>
  <c r="AX121" i="50"/>
  <c r="AW121" i="50"/>
  <c r="AY121" i="50" s="1"/>
  <c r="AR121" i="50"/>
  <c r="AQ121" i="50"/>
  <c r="AP121" i="50"/>
  <c r="J121" i="50"/>
  <c r="H121" i="50"/>
  <c r="C121" i="50"/>
  <c r="AX120" i="50"/>
  <c r="AW120" i="50"/>
  <c r="AR120" i="50"/>
  <c r="AQ120" i="50"/>
  <c r="AP120" i="50"/>
  <c r="J120" i="50"/>
  <c r="H120" i="50"/>
  <c r="C120" i="50"/>
  <c r="AY120" i="50" s="1"/>
  <c r="AW119" i="50"/>
  <c r="AS119" i="50"/>
  <c r="AT119" i="50" s="1"/>
  <c r="AR119" i="50"/>
  <c r="AQ119" i="50"/>
  <c r="AP119" i="50"/>
  <c r="J119" i="50"/>
  <c r="H119" i="50"/>
  <c r="AX119" i="50" s="1"/>
  <c r="C119" i="50"/>
  <c r="AW118" i="50"/>
  <c r="AR118" i="50"/>
  <c r="AQ118" i="50"/>
  <c r="AS118" i="50" s="1"/>
  <c r="AT118" i="50" s="1"/>
  <c r="AP118" i="50"/>
  <c r="J118" i="50"/>
  <c r="H118" i="50"/>
  <c r="AX118" i="50" s="1"/>
  <c r="C118" i="50"/>
  <c r="AY117" i="50"/>
  <c r="AX117" i="50"/>
  <c r="AW117" i="50"/>
  <c r="AR117" i="50"/>
  <c r="AQ117" i="50"/>
  <c r="AP117" i="50"/>
  <c r="J117" i="50"/>
  <c r="H117" i="50"/>
  <c r="C117" i="50"/>
  <c r="AX116" i="50"/>
  <c r="AW116" i="50"/>
  <c r="AY116" i="50" s="1"/>
  <c r="AS116" i="50"/>
  <c r="AT116" i="50" s="1"/>
  <c r="AR116" i="50"/>
  <c r="AQ116" i="50"/>
  <c r="AP116" i="50"/>
  <c r="J116" i="50"/>
  <c r="H116" i="50"/>
  <c r="C116" i="50"/>
  <c r="AW115" i="50"/>
  <c r="AR115" i="50"/>
  <c r="AS115" i="50" s="1"/>
  <c r="AT115" i="50" s="1"/>
  <c r="AU115" i="50" s="1"/>
  <c r="AV115" i="50" s="1"/>
  <c r="AQ115" i="50"/>
  <c r="AP115" i="50"/>
  <c r="J115" i="50"/>
  <c r="H115" i="50"/>
  <c r="AX115" i="50" s="1"/>
  <c r="C115" i="50"/>
  <c r="AY114" i="50"/>
  <c r="AW114" i="50"/>
  <c r="AR114" i="50"/>
  <c r="AQ114" i="50"/>
  <c r="AP114" i="50"/>
  <c r="J114" i="50"/>
  <c r="H114" i="50"/>
  <c r="AX114" i="50" s="1"/>
  <c r="C114" i="50"/>
  <c r="AX113" i="50"/>
  <c r="AW113" i="50"/>
  <c r="AR113" i="50"/>
  <c r="AQ113" i="50"/>
  <c r="AP113" i="50"/>
  <c r="J113" i="50"/>
  <c r="H113" i="50"/>
  <c r="C113" i="50"/>
  <c r="AY113" i="50" s="1"/>
  <c r="AX112" i="50"/>
  <c r="AW112" i="50"/>
  <c r="AT112" i="50"/>
  <c r="AS112" i="50"/>
  <c r="AR112" i="50"/>
  <c r="AQ112" i="50"/>
  <c r="AU112" i="50" s="1"/>
  <c r="AV112" i="50" s="1"/>
  <c r="AP112" i="50"/>
  <c r="J112" i="50"/>
  <c r="H112" i="50"/>
  <c r="C112" i="50"/>
  <c r="AW111" i="50"/>
  <c r="AS111" i="50"/>
  <c r="AT111" i="50" s="1"/>
  <c r="AR111" i="50"/>
  <c r="AQ111" i="50"/>
  <c r="AP111" i="50"/>
  <c r="J111" i="50"/>
  <c r="H111" i="50"/>
  <c r="AX111" i="50" s="1"/>
  <c r="C111" i="50"/>
  <c r="AW110" i="50"/>
  <c r="AU110" i="50"/>
  <c r="AV110" i="50" s="1"/>
  <c r="AR110" i="50"/>
  <c r="AQ110" i="50"/>
  <c r="AS110" i="50" s="1"/>
  <c r="AT110" i="50" s="1"/>
  <c r="AZ110" i="50" s="1"/>
  <c r="AP110" i="50"/>
  <c r="J110" i="50"/>
  <c r="H110" i="50"/>
  <c r="AX110" i="50" s="1"/>
  <c r="C110" i="50"/>
  <c r="AY110" i="50" s="1"/>
  <c r="AZ109" i="50"/>
  <c r="BA109" i="50" s="1"/>
  <c r="AV109" i="50"/>
  <c r="AU109" i="50"/>
  <c r="AT109" i="50"/>
  <c r="AP109" i="50"/>
  <c r="AO109" i="50"/>
  <c r="AX108" i="50"/>
  <c r="AW108" i="50"/>
  <c r="AY108" i="50" s="1"/>
  <c r="AQ108" i="50"/>
  <c r="AL108" i="50"/>
  <c r="AK108" i="50"/>
  <c r="AJ108" i="50"/>
  <c r="AD108" i="50"/>
  <c r="J108" i="50"/>
  <c r="H108" i="50"/>
  <c r="AR108" i="50" s="1"/>
  <c r="AS108" i="50" s="1"/>
  <c r="G108" i="50"/>
  <c r="C108" i="50"/>
  <c r="AW107" i="50"/>
  <c r="AQ107" i="50"/>
  <c r="AO107" i="50"/>
  <c r="AP107" i="50" s="1"/>
  <c r="AL107" i="50"/>
  <c r="AK107" i="50"/>
  <c r="AM107" i="50" s="1"/>
  <c r="AN107" i="50" s="1"/>
  <c r="AJ107" i="50"/>
  <c r="AD107" i="50"/>
  <c r="J107" i="50"/>
  <c r="H107" i="50"/>
  <c r="AX107" i="50" s="1"/>
  <c r="G107" i="50"/>
  <c r="C107" i="50"/>
  <c r="AW106" i="50"/>
  <c r="AQ106" i="50"/>
  <c r="AN106" i="50"/>
  <c r="AL106" i="50"/>
  <c r="AK106" i="50"/>
  <c r="AJ106" i="50"/>
  <c r="AD106" i="50"/>
  <c r="J106" i="50"/>
  <c r="G106" i="50"/>
  <c r="H106" i="50" s="1"/>
  <c r="C106" i="50"/>
  <c r="AM106" i="50" s="1"/>
  <c r="AW105" i="50"/>
  <c r="AQ105" i="50"/>
  <c r="AL105" i="50"/>
  <c r="AK105" i="50"/>
  <c r="AJ105" i="50"/>
  <c r="AD105" i="50"/>
  <c r="J105" i="50"/>
  <c r="G105" i="50"/>
  <c r="H105" i="50" s="1"/>
  <c r="C105" i="50"/>
  <c r="AW104" i="50"/>
  <c r="AQ104" i="50"/>
  <c r="AO104" i="50"/>
  <c r="AP104" i="50" s="1"/>
  <c r="AL104" i="50"/>
  <c r="AK104" i="50"/>
  <c r="AM104" i="50" s="1"/>
  <c r="AN104" i="50" s="1"/>
  <c r="AJ104" i="50"/>
  <c r="AD104" i="50"/>
  <c r="J104" i="50"/>
  <c r="H104" i="50"/>
  <c r="G104" i="50"/>
  <c r="C104" i="50"/>
  <c r="AW103" i="50"/>
  <c r="AQ103" i="50"/>
  <c r="AL103" i="50"/>
  <c r="AK103" i="50"/>
  <c r="AJ103" i="50"/>
  <c r="AD103" i="50"/>
  <c r="J103" i="50"/>
  <c r="G103" i="50"/>
  <c r="H103" i="50" s="1"/>
  <c r="C103" i="50"/>
  <c r="AW102" i="50"/>
  <c r="AR102" i="50"/>
  <c r="AQ102" i="50"/>
  <c r="AL102" i="50"/>
  <c r="AK102" i="50"/>
  <c r="AJ102" i="50"/>
  <c r="AD102" i="50"/>
  <c r="J102" i="50"/>
  <c r="H102" i="50"/>
  <c r="AX102" i="50" s="1"/>
  <c r="G102" i="50"/>
  <c r="C102" i="50"/>
  <c r="AY102" i="50" s="1"/>
  <c r="AW101" i="50"/>
  <c r="AQ101" i="50"/>
  <c r="AL101" i="50"/>
  <c r="AK101" i="50"/>
  <c r="AJ101" i="50"/>
  <c r="AD101" i="50"/>
  <c r="J101" i="50"/>
  <c r="G101" i="50"/>
  <c r="H101" i="50" s="1"/>
  <c r="C101" i="50"/>
  <c r="AM101" i="50" s="1"/>
  <c r="AN101" i="50" s="1"/>
  <c r="AO101" i="50" s="1"/>
  <c r="AP101" i="50" s="1"/>
  <c r="AX100" i="50"/>
  <c r="AW100" i="50"/>
  <c r="AQ100" i="50"/>
  <c r="AL100" i="50"/>
  <c r="AK100" i="50"/>
  <c r="AJ100" i="50"/>
  <c r="AD100" i="50"/>
  <c r="J100" i="50"/>
  <c r="H100" i="50"/>
  <c r="AR100" i="50" s="1"/>
  <c r="AS100" i="50" s="1"/>
  <c r="G100" i="50"/>
  <c r="C100" i="50"/>
  <c r="AW99" i="50"/>
  <c r="AQ99" i="50"/>
  <c r="AL99" i="50"/>
  <c r="AK99" i="50"/>
  <c r="AM99" i="50" s="1"/>
  <c r="AN99" i="50" s="1"/>
  <c r="AJ99" i="50"/>
  <c r="AD99" i="50"/>
  <c r="J99" i="50"/>
  <c r="H99" i="50"/>
  <c r="AX99" i="50" s="1"/>
  <c r="G99" i="50"/>
  <c r="C99" i="50"/>
  <c r="AW98" i="50"/>
  <c r="AQ98" i="50"/>
  <c r="AN98" i="50"/>
  <c r="AL98" i="50"/>
  <c r="AK98" i="50"/>
  <c r="AJ98" i="50"/>
  <c r="AD98" i="50"/>
  <c r="J98" i="50"/>
  <c r="G98" i="50"/>
  <c r="H98" i="50" s="1"/>
  <c r="C98" i="50"/>
  <c r="AM98" i="50" s="1"/>
  <c r="AX97" i="50"/>
  <c r="AW97" i="50"/>
  <c r="AQ97" i="50"/>
  <c r="AM97" i="50"/>
  <c r="AN97" i="50" s="1"/>
  <c r="AL97" i="50"/>
  <c r="AK97" i="50"/>
  <c r="AJ97" i="50"/>
  <c r="AD97" i="50"/>
  <c r="J97" i="50"/>
  <c r="G97" i="50"/>
  <c r="H97" i="50" s="1"/>
  <c r="AR97" i="50" s="1"/>
  <c r="C97" i="50"/>
  <c r="AW96" i="50"/>
  <c r="AQ96" i="50"/>
  <c r="AL96" i="50"/>
  <c r="AK96" i="50"/>
  <c r="AJ96" i="50"/>
  <c r="AD96" i="50"/>
  <c r="J96" i="50"/>
  <c r="H96" i="50"/>
  <c r="G96" i="50"/>
  <c r="C96" i="50"/>
  <c r="AW95" i="50"/>
  <c r="AQ95" i="50"/>
  <c r="AL95" i="50"/>
  <c r="AK95" i="50"/>
  <c r="AJ95" i="50"/>
  <c r="AD95" i="50"/>
  <c r="J95" i="50"/>
  <c r="G95" i="50"/>
  <c r="H95" i="50" s="1"/>
  <c r="AX95" i="50" s="1"/>
  <c r="C95" i="50"/>
  <c r="AW94" i="50"/>
  <c r="AR94" i="50"/>
  <c r="AQ94" i="50"/>
  <c r="AL94" i="50"/>
  <c r="AK94" i="50"/>
  <c r="AJ94" i="50"/>
  <c r="AD94" i="50"/>
  <c r="J94" i="50"/>
  <c r="H94" i="50"/>
  <c r="AX94" i="50" s="1"/>
  <c r="G94" i="50"/>
  <c r="C94" i="50"/>
  <c r="AX93" i="50"/>
  <c r="AY93" i="50" s="1"/>
  <c r="AW93" i="50"/>
  <c r="AQ93" i="50"/>
  <c r="AL93" i="50"/>
  <c r="AK93" i="50"/>
  <c r="AJ93" i="50"/>
  <c r="AD93" i="50"/>
  <c r="J93" i="50"/>
  <c r="G93" i="50"/>
  <c r="H93" i="50" s="1"/>
  <c r="AR93" i="50" s="1"/>
  <c r="C93" i="50"/>
  <c r="AM93" i="50" s="1"/>
  <c r="AN93" i="50" s="1"/>
  <c r="AX92" i="50"/>
  <c r="AW92" i="50"/>
  <c r="AY92" i="50" s="1"/>
  <c r="AQ92" i="50"/>
  <c r="AL92" i="50"/>
  <c r="AK92" i="50"/>
  <c r="AG92" i="50"/>
  <c r="AH92" i="50" s="1"/>
  <c r="AF92" i="50"/>
  <c r="AE92" i="50"/>
  <c r="AD92" i="50"/>
  <c r="J92" i="50"/>
  <c r="H92" i="50"/>
  <c r="AR92" i="50" s="1"/>
  <c r="AS92" i="50" s="1"/>
  <c r="C92" i="50"/>
  <c r="AX91" i="50"/>
  <c r="AR91" i="50"/>
  <c r="AL91" i="50"/>
  <c r="AK91" i="50"/>
  <c r="AF91" i="50"/>
  <c r="AD91" i="50"/>
  <c r="I91" i="50"/>
  <c r="H91" i="50"/>
  <c r="C91" i="50"/>
  <c r="AX90" i="50"/>
  <c r="AW90" i="50"/>
  <c r="AR90" i="50"/>
  <c r="AL90" i="50"/>
  <c r="AF90" i="50"/>
  <c r="AD90" i="50"/>
  <c r="I90" i="50"/>
  <c r="H90" i="50"/>
  <c r="C90" i="50"/>
  <c r="AX89" i="50"/>
  <c r="AR89" i="50"/>
  <c r="AL89" i="50"/>
  <c r="AK89" i="50"/>
  <c r="AF89" i="50"/>
  <c r="AD89" i="50"/>
  <c r="J89" i="50"/>
  <c r="I89" i="50"/>
  <c r="H89" i="50"/>
  <c r="C89" i="50"/>
  <c r="AX88" i="50"/>
  <c r="AW88" i="50"/>
  <c r="AR88" i="50"/>
  <c r="AL88" i="50"/>
  <c r="AF88" i="50"/>
  <c r="AD88" i="50"/>
  <c r="I88" i="50"/>
  <c r="H88" i="50"/>
  <c r="C88" i="50"/>
  <c r="AX87" i="50"/>
  <c r="AR87" i="50"/>
  <c r="AL87" i="50"/>
  <c r="AK87" i="50"/>
  <c r="AF87" i="50"/>
  <c r="AD87" i="50"/>
  <c r="I87" i="50"/>
  <c r="H87" i="50"/>
  <c r="C87" i="50"/>
  <c r="AW86" i="50"/>
  <c r="AR86" i="50"/>
  <c r="AS86" i="50" s="1"/>
  <c r="AQ86" i="50"/>
  <c r="AK86" i="50"/>
  <c r="AG86" i="50"/>
  <c r="AH86" i="50" s="1"/>
  <c r="AF86" i="50"/>
  <c r="AE86" i="50"/>
  <c r="AI86" i="50" s="1"/>
  <c r="AJ86" i="50" s="1"/>
  <c r="AD86" i="50"/>
  <c r="J86" i="50"/>
  <c r="H86" i="50"/>
  <c r="C86" i="50"/>
  <c r="AR85" i="50"/>
  <c r="AF85" i="50"/>
  <c r="AE85" i="50"/>
  <c r="AG85" i="50" s="1"/>
  <c r="AH85" i="50" s="1"/>
  <c r="AD85" i="50"/>
  <c r="I85" i="50"/>
  <c r="H85" i="50"/>
  <c r="C85" i="50"/>
  <c r="AW84" i="50"/>
  <c r="AQ84" i="50"/>
  <c r="AK84" i="50"/>
  <c r="AF84" i="50"/>
  <c r="AE84" i="50"/>
  <c r="AD84" i="50"/>
  <c r="J84" i="50"/>
  <c r="I84" i="50"/>
  <c r="H84" i="50"/>
  <c r="C84" i="50"/>
  <c r="AY83" i="50"/>
  <c r="AX83" i="50"/>
  <c r="AW83" i="50"/>
  <c r="AR83" i="50"/>
  <c r="AQ83" i="50"/>
  <c r="AM83" i="50"/>
  <c r="AK83" i="50"/>
  <c r="AF83" i="50"/>
  <c r="AE83" i="50"/>
  <c r="AB83" i="50"/>
  <c r="AA83" i="50"/>
  <c r="Z83" i="50"/>
  <c r="Y83" i="50"/>
  <c r="X83" i="50"/>
  <c r="J83" i="50"/>
  <c r="H83" i="50"/>
  <c r="AL83" i="50" s="1"/>
  <c r="C83" i="50"/>
  <c r="AX82" i="50"/>
  <c r="AW82" i="50"/>
  <c r="AR82" i="50"/>
  <c r="AQ82" i="50"/>
  <c r="AK82" i="50"/>
  <c r="AF82" i="50"/>
  <c r="AE82" i="50"/>
  <c r="Z82" i="50"/>
  <c r="Y82" i="50"/>
  <c r="AA82" i="50" s="1"/>
  <c r="AB82" i="50" s="1"/>
  <c r="X82" i="50"/>
  <c r="J82" i="50"/>
  <c r="H82" i="50"/>
  <c r="AL82" i="50" s="1"/>
  <c r="C82" i="50"/>
  <c r="AG82" i="50" s="1"/>
  <c r="AW81" i="50"/>
  <c r="AQ81" i="50"/>
  <c r="AK81" i="50"/>
  <c r="AE81" i="50"/>
  <c r="Z81" i="50"/>
  <c r="Y81" i="50"/>
  <c r="X81" i="50"/>
  <c r="J81" i="50"/>
  <c r="H81" i="50"/>
  <c r="C81" i="50"/>
  <c r="AW80" i="50"/>
  <c r="AR80" i="50"/>
  <c r="AQ80" i="50"/>
  <c r="AK80" i="50"/>
  <c r="AE80" i="50"/>
  <c r="Z80" i="50"/>
  <c r="AA80" i="50" s="1"/>
  <c r="AB80" i="50" s="1"/>
  <c r="AC80" i="50" s="1"/>
  <c r="AD80" i="50" s="1"/>
  <c r="Y80" i="50"/>
  <c r="X80" i="50"/>
  <c r="J80" i="50"/>
  <c r="H80" i="50"/>
  <c r="C80" i="50"/>
  <c r="AW79" i="50"/>
  <c r="AR79" i="50"/>
  <c r="AQ79" i="50"/>
  <c r="AK79" i="50"/>
  <c r="AF79" i="50"/>
  <c r="AE79" i="50"/>
  <c r="Z79" i="50"/>
  <c r="Y79" i="50"/>
  <c r="X79" i="50"/>
  <c r="J79" i="50"/>
  <c r="H79" i="50"/>
  <c r="AL79" i="50" s="1"/>
  <c r="C79" i="50"/>
  <c r="AA79" i="50" s="1"/>
  <c r="AB79" i="50" s="1"/>
  <c r="AW78" i="50"/>
  <c r="AQ78" i="50"/>
  <c r="AL78" i="50"/>
  <c r="AK78" i="50"/>
  <c r="AM78" i="50" s="1"/>
  <c r="AE78" i="50"/>
  <c r="Z78" i="50"/>
  <c r="Y78" i="50"/>
  <c r="X78" i="50"/>
  <c r="J78" i="50"/>
  <c r="H78" i="50"/>
  <c r="AX78" i="50" s="1"/>
  <c r="C78" i="50"/>
  <c r="AX77" i="50"/>
  <c r="AW77" i="50"/>
  <c r="AQ77" i="50"/>
  <c r="AK77" i="50"/>
  <c r="AE77" i="50"/>
  <c r="Z77" i="50"/>
  <c r="Y77" i="50"/>
  <c r="X77" i="50"/>
  <c r="J77" i="50"/>
  <c r="H77" i="50"/>
  <c r="AF77" i="50" s="1"/>
  <c r="C77" i="50"/>
  <c r="AG77" i="50" s="1"/>
  <c r="AX76" i="50"/>
  <c r="AL76" i="50"/>
  <c r="AF76" i="50"/>
  <c r="Z76" i="50"/>
  <c r="T76" i="50"/>
  <c r="S76" i="50"/>
  <c r="R76" i="50"/>
  <c r="I76" i="50"/>
  <c r="AQ76" i="50" s="1"/>
  <c r="H76" i="50"/>
  <c r="AR76" i="50" s="1"/>
  <c r="C76" i="50"/>
  <c r="AW75" i="50"/>
  <c r="AQ75" i="50"/>
  <c r="AL75" i="50"/>
  <c r="AK75" i="50"/>
  <c r="AE75" i="50"/>
  <c r="Z75" i="50"/>
  <c r="AA75" i="50" s="1"/>
  <c r="Y75" i="50"/>
  <c r="S75" i="50"/>
  <c r="N75" i="50"/>
  <c r="M75" i="50"/>
  <c r="J75" i="50"/>
  <c r="H75" i="50"/>
  <c r="C75" i="50"/>
  <c r="AX74" i="50"/>
  <c r="AW74" i="50"/>
  <c r="AR74" i="50"/>
  <c r="AQ74" i="50"/>
  <c r="AL74" i="50"/>
  <c r="AK74" i="50"/>
  <c r="AF74" i="50"/>
  <c r="AE74" i="50"/>
  <c r="Z74" i="50"/>
  <c r="Y74" i="50"/>
  <c r="T74" i="50"/>
  <c r="S74" i="50"/>
  <c r="N74" i="50"/>
  <c r="M74" i="50"/>
  <c r="J74" i="50"/>
  <c r="H74" i="50"/>
  <c r="C74" i="50"/>
  <c r="AW73" i="50"/>
  <c r="AQ73" i="50"/>
  <c r="AL73" i="50"/>
  <c r="AK73" i="50"/>
  <c r="AE73" i="50"/>
  <c r="AA73" i="50"/>
  <c r="Z73" i="50"/>
  <c r="Y73" i="50"/>
  <c r="S73" i="50"/>
  <c r="N73" i="50"/>
  <c r="M73" i="50"/>
  <c r="J73" i="50"/>
  <c r="H73" i="50"/>
  <c r="AF73" i="50" s="1"/>
  <c r="C73" i="50"/>
  <c r="AX72" i="50"/>
  <c r="AW72" i="50"/>
  <c r="AR72" i="50"/>
  <c r="AQ72" i="50"/>
  <c r="AS72" i="50" s="1"/>
  <c r="AL72" i="50"/>
  <c r="AK72" i="50"/>
  <c r="AF72" i="50"/>
  <c r="AE72" i="50"/>
  <c r="Z72" i="50"/>
  <c r="Y72" i="50"/>
  <c r="T72" i="50"/>
  <c r="S72" i="50"/>
  <c r="U72" i="50" s="1"/>
  <c r="N72" i="50"/>
  <c r="M72" i="50"/>
  <c r="J72" i="50"/>
  <c r="H72" i="50"/>
  <c r="C72" i="50"/>
  <c r="AM72" i="50" s="1"/>
  <c r="AX71" i="50"/>
  <c r="AW71" i="50"/>
  <c r="AQ71" i="50"/>
  <c r="AL71" i="50"/>
  <c r="AK71" i="50"/>
  <c r="AF71" i="50"/>
  <c r="AE71" i="50"/>
  <c r="AG71" i="50" s="1"/>
  <c r="Z71" i="50"/>
  <c r="Y71" i="50"/>
  <c r="S71" i="50"/>
  <c r="N71" i="50"/>
  <c r="M71" i="50"/>
  <c r="J71" i="50"/>
  <c r="H71" i="50"/>
  <c r="C71" i="50"/>
  <c r="AX70" i="50"/>
  <c r="AW70" i="50"/>
  <c r="AR70" i="50"/>
  <c r="AQ70" i="50"/>
  <c r="AL70" i="50"/>
  <c r="AM70" i="50" s="1"/>
  <c r="AK70" i="50"/>
  <c r="AF70" i="50"/>
  <c r="AE70" i="50"/>
  <c r="Z70" i="50"/>
  <c r="Y70" i="50"/>
  <c r="T70" i="50"/>
  <c r="S70" i="50"/>
  <c r="N70" i="50"/>
  <c r="O70" i="50" s="1"/>
  <c r="P70" i="50" s="1"/>
  <c r="M70" i="50"/>
  <c r="J70" i="50"/>
  <c r="H70" i="50"/>
  <c r="C70" i="50"/>
  <c r="AX69" i="50"/>
  <c r="AW69" i="50"/>
  <c r="AQ69" i="50"/>
  <c r="AK69" i="50"/>
  <c r="AF69" i="50"/>
  <c r="AE69" i="50"/>
  <c r="Y69" i="50"/>
  <c r="S69" i="50"/>
  <c r="N69" i="50"/>
  <c r="M69" i="50"/>
  <c r="J69" i="50"/>
  <c r="H69" i="50"/>
  <c r="C69" i="50"/>
  <c r="AX68" i="50"/>
  <c r="AW68" i="50"/>
  <c r="AR68" i="50"/>
  <c r="AQ68" i="50"/>
  <c r="AS68" i="50" s="1"/>
  <c r="AM68" i="50"/>
  <c r="AL68" i="50"/>
  <c r="AK68" i="50"/>
  <c r="AF68" i="50"/>
  <c r="AE68" i="50"/>
  <c r="Z68" i="50"/>
  <c r="Y68" i="50"/>
  <c r="T68" i="50"/>
  <c r="S68" i="50"/>
  <c r="N68" i="50"/>
  <c r="M68" i="50"/>
  <c r="J68" i="50"/>
  <c r="H68" i="50"/>
  <c r="C68" i="50"/>
  <c r="AW67" i="50"/>
  <c r="AR67" i="50"/>
  <c r="AQ67" i="50"/>
  <c r="AK67" i="50"/>
  <c r="AE67" i="50"/>
  <c r="Z67" i="50"/>
  <c r="AA67" i="50" s="1"/>
  <c r="Y67" i="50"/>
  <c r="T67" i="50"/>
  <c r="S67" i="50"/>
  <c r="N67" i="50"/>
  <c r="M67" i="50"/>
  <c r="J67" i="50"/>
  <c r="H67" i="50"/>
  <c r="AF67" i="50" s="1"/>
  <c r="C67" i="50"/>
  <c r="AX66" i="50"/>
  <c r="AW66" i="50"/>
  <c r="AR66" i="50"/>
  <c r="AQ66" i="50"/>
  <c r="AS66" i="50" s="1"/>
  <c r="AL66" i="50"/>
  <c r="AM66" i="50" s="1"/>
  <c r="AK66" i="50"/>
  <c r="AF66" i="50"/>
  <c r="AE66" i="50"/>
  <c r="Z66" i="50"/>
  <c r="Y66" i="50"/>
  <c r="T66" i="50"/>
  <c r="S66" i="50"/>
  <c r="O66" i="50"/>
  <c r="P66" i="50" s="1"/>
  <c r="N66" i="50"/>
  <c r="M66" i="50"/>
  <c r="J66" i="50"/>
  <c r="H66" i="50"/>
  <c r="C66" i="50"/>
  <c r="AX65" i="50"/>
  <c r="AY65" i="50" s="1"/>
  <c r="AW65" i="50"/>
  <c r="AQ65" i="50"/>
  <c r="AK65" i="50"/>
  <c r="AF65" i="50"/>
  <c r="AE65" i="50"/>
  <c r="Y65" i="50"/>
  <c r="T65" i="50"/>
  <c r="S65" i="50"/>
  <c r="U65" i="50" s="1"/>
  <c r="N65" i="50"/>
  <c r="M65" i="50"/>
  <c r="J65" i="50"/>
  <c r="H65" i="50"/>
  <c r="AL65" i="50" s="1"/>
  <c r="C65" i="50"/>
  <c r="AW64" i="50"/>
  <c r="AR64" i="50"/>
  <c r="AQ64" i="50"/>
  <c r="AL64" i="50"/>
  <c r="AK64" i="50"/>
  <c r="AF64" i="50"/>
  <c r="AE64" i="50"/>
  <c r="AA64" i="50"/>
  <c r="Z64" i="50"/>
  <c r="Y64" i="50"/>
  <c r="S64" i="50"/>
  <c r="P64" i="50"/>
  <c r="O64" i="50"/>
  <c r="N64" i="50"/>
  <c r="M64" i="50"/>
  <c r="J64" i="50"/>
  <c r="H64" i="50"/>
  <c r="AX64" i="50" s="1"/>
  <c r="C64" i="50"/>
  <c r="AY63" i="50"/>
  <c r="AX63" i="50"/>
  <c r="AW63" i="50"/>
  <c r="AR63" i="50"/>
  <c r="AQ63" i="50"/>
  <c r="AL63" i="50"/>
  <c r="AK63" i="50"/>
  <c r="AF63" i="50"/>
  <c r="AE63" i="50"/>
  <c r="Y63" i="50"/>
  <c r="S63" i="50"/>
  <c r="N63" i="50"/>
  <c r="O63" i="50" s="1"/>
  <c r="P63" i="50" s="1"/>
  <c r="M63" i="50"/>
  <c r="J63" i="50"/>
  <c r="H63" i="50"/>
  <c r="T63" i="50" s="1"/>
  <c r="C63" i="50"/>
  <c r="AM63" i="50" s="1"/>
  <c r="AX62" i="50"/>
  <c r="AW62" i="50"/>
  <c r="AQ62" i="50"/>
  <c r="AL62" i="50"/>
  <c r="AK62" i="50"/>
  <c r="AE62" i="50"/>
  <c r="Y62" i="50"/>
  <c r="T62" i="50"/>
  <c r="S62" i="50"/>
  <c r="N62" i="50"/>
  <c r="M62" i="50"/>
  <c r="J62" i="50"/>
  <c r="H62" i="50"/>
  <c r="C62" i="50"/>
  <c r="AX61" i="50"/>
  <c r="AY61" i="50" s="1"/>
  <c r="AW61" i="50"/>
  <c r="AR61" i="50"/>
  <c r="AQ61" i="50"/>
  <c r="AK61" i="50"/>
  <c r="AF61" i="50"/>
  <c r="AE61" i="50"/>
  <c r="AG61" i="50" s="1"/>
  <c r="AA61" i="50"/>
  <c r="Z61" i="50"/>
  <c r="Y61" i="50"/>
  <c r="S61" i="50"/>
  <c r="O61" i="50"/>
  <c r="P61" i="50" s="1"/>
  <c r="N61" i="50"/>
  <c r="M61" i="50"/>
  <c r="J61" i="50"/>
  <c r="H61" i="50"/>
  <c r="T61" i="50" s="1"/>
  <c r="C61" i="50"/>
  <c r="AX60" i="50"/>
  <c r="AY60" i="50" s="1"/>
  <c r="AW60" i="50"/>
  <c r="AQ60" i="50"/>
  <c r="AK60" i="50"/>
  <c r="AF60" i="50"/>
  <c r="AE60" i="50"/>
  <c r="Y60" i="50"/>
  <c r="T60" i="50"/>
  <c r="S60" i="50"/>
  <c r="N60" i="50"/>
  <c r="M60" i="50"/>
  <c r="J60" i="50"/>
  <c r="H60" i="50"/>
  <c r="C60" i="50"/>
  <c r="O60" i="50" s="1"/>
  <c r="P60" i="50" s="1"/>
  <c r="Q60" i="50" s="1"/>
  <c r="R60" i="50" s="1"/>
  <c r="AW59" i="50"/>
  <c r="AQ59" i="50"/>
  <c r="AL59" i="50"/>
  <c r="AK59" i="50"/>
  <c r="AE59" i="50"/>
  <c r="Z59" i="50"/>
  <c r="Y59" i="50"/>
  <c r="T59" i="50"/>
  <c r="S59" i="50"/>
  <c r="N59" i="50"/>
  <c r="M59" i="50"/>
  <c r="J59" i="50"/>
  <c r="H59" i="50"/>
  <c r="C59" i="50"/>
  <c r="AM59" i="50" s="1"/>
  <c r="AW58" i="50"/>
  <c r="AR58" i="50"/>
  <c r="AQ58" i="50"/>
  <c r="AK58" i="50"/>
  <c r="AF58" i="50"/>
  <c r="AE58" i="50"/>
  <c r="Y58" i="50"/>
  <c r="S58" i="50"/>
  <c r="N58" i="50"/>
  <c r="O58" i="50" s="1"/>
  <c r="P58" i="50" s="1"/>
  <c r="M58" i="50"/>
  <c r="J58" i="50"/>
  <c r="H58" i="50"/>
  <c r="T58" i="50" s="1"/>
  <c r="C58" i="50"/>
  <c r="AY57" i="50"/>
  <c r="AX57" i="50"/>
  <c r="AW57" i="50"/>
  <c r="AQ57" i="50"/>
  <c r="AM57" i="50"/>
  <c r="AL57" i="50"/>
  <c r="AK57" i="50"/>
  <c r="AF57" i="50"/>
  <c r="AE57" i="50"/>
  <c r="Z57" i="50"/>
  <c r="Y57" i="50"/>
  <c r="T57" i="50"/>
  <c r="S57" i="50"/>
  <c r="N57" i="50"/>
  <c r="M57" i="50"/>
  <c r="J57" i="50"/>
  <c r="H57" i="50"/>
  <c r="AR57" i="50" s="1"/>
  <c r="C57" i="50"/>
  <c r="AY56" i="50"/>
  <c r="AW56" i="50"/>
  <c r="AR56" i="50"/>
  <c r="AQ56" i="50"/>
  <c r="AL56" i="50"/>
  <c r="AK56" i="50"/>
  <c r="AF56" i="50"/>
  <c r="AE56" i="50"/>
  <c r="Z56" i="50"/>
  <c r="AA56" i="50" s="1"/>
  <c r="Y56" i="50"/>
  <c r="S56" i="50"/>
  <c r="N56" i="50"/>
  <c r="M56" i="50"/>
  <c r="J56" i="50"/>
  <c r="H56" i="50"/>
  <c r="AX56" i="50" s="1"/>
  <c r="C56" i="50"/>
  <c r="AW55" i="50"/>
  <c r="AR55" i="50"/>
  <c r="AQ55" i="50"/>
  <c r="AL55" i="50"/>
  <c r="AK55" i="50"/>
  <c r="AF55" i="50"/>
  <c r="AE55" i="50"/>
  <c r="Y55" i="50"/>
  <c r="T55" i="50"/>
  <c r="S55" i="50"/>
  <c r="O55" i="50"/>
  <c r="P55" i="50" s="1"/>
  <c r="N55" i="50"/>
  <c r="M55" i="50"/>
  <c r="Q55" i="50" s="1"/>
  <c r="R55" i="50" s="1"/>
  <c r="J55" i="50"/>
  <c r="H55" i="50"/>
  <c r="Z55" i="50" s="1"/>
  <c r="C55" i="50"/>
  <c r="AW54" i="50"/>
  <c r="AQ54" i="50"/>
  <c r="AK54" i="50"/>
  <c r="AE54" i="50"/>
  <c r="Y54" i="50"/>
  <c r="T54" i="50"/>
  <c r="S54" i="50"/>
  <c r="O54" i="50"/>
  <c r="P54" i="50" s="1"/>
  <c r="N54" i="50"/>
  <c r="M54" i="50"/>
  <c r="J54" i="50"/>
  <c r="H54" i="50"/>
  <c r="AF54" i="50" s="1"/>
  <c r="C54" i="50"/>
  <c r="AX53" i="50"/>
  <c r="AY53" i="50" s="1"/>
  <c r="AW53" i="50"/>
  <c r="AR53" i="50"/>
  <c r="AQ53" i="50"/>
  <c r="AK53" i="50"/>
  <c r="AF53" i="50"/>
  <c r="AE53" i="50"/>
  <c r="Z53" i="50"/>
  <c r="AA53" i="50" s="1"/>
  <c r="Y53" i="50"/>
  <c r="S53" i="50"/>
  <c r="N53" i="50"/>
  <c r="O53" i="50" s="1"/>
  <c r="P53" i="50" s="1"/>
  <c r="M53" i="50"/>
  <c r="J53" i="50"/>
  <c r="H53" i="50"/>
  <c r="T53" i="50" s="1"/>
  <c r="C53" i="50"/>
  <c r="AW52" i="50"/>
  <c r="AQ52" i="50"/>
  <c r="AK52" i="50"/>
  <c r="AE52" i="50"/>
  <c r="Y52" i="50"/>
  <c r="S52" i="50"/>
  <c r="R52" i="50"/>
  <c r="N52" i="50"/>
  <c r="M52" i="50"/>
  <c r="J52" i="50"/>
  <c r="H52" i="50"/>
  <c r="AF52" i="50" s="1"/>
  <c r="C52" i="50"/>
  <c r="O52" i="50" s="1"/>
  <c r="P52" i="50" s="1"/>
  <c r="Q52" i="50" s="1"/>
  <c r="AW51" i="50"/>
  <c r="AQ51" i="50"/>
  <c r="AK51" i="50"/>
  <c r="AE51" i="50"/>
  <c r="Z51" i="50"/>
  <c r="Y51" i="50"/>
  <c r="S51" i="50"/>
  <c r="O51" i="50"/>
  <c r="P51" i="50" s="1"/>
  <c r="N51" i="50"/>
  <c r="M51" i="50"/>
  <c r="J51" i="50"/>
  <c r="H51" i="50"/>
  <c r="AL51" i="50" s="1"/>
  <c r="C51" i="50"/>
  <c r="AX50" i="50"/>
  <c r="AW50" i="50"/>
  <c r="AR50" i="50"/>
  <c r="AQ50" i="50"/>
  <c r="AL50" i="50"/>
  <c r="AK50" i="50"/>
  <c r="AG50" i="50"/>
  <c r="AE50" i="50"/>
  <c r="Y50" i="50"/>
  <c r="T50" i="50"/>
  <c r="S50" i="50"/>
  <c r="N50" i="50"/>
  <c r="M50" i="50"/>
  <c r="J50" i="50"/>
  <c r="H50" i="50"/>
  <c r="AF50" i="50" s="1"/>
  <c r="C50" i="50"/>
  <c r="AW49" i="50"/>
  <c r="AQ49" i="50"/>
  <c r="AK49" i="50"/>
  <c r="AE49" i="50"/>
  <c r="Y49" i="50"/>
  <c r="S49" i="50"/>
  <c r="N49" i="50"/>
  <c r="M49" i="50"/>
  <c r="J49" i="50"/>
  <c r="H49" i="50"/>
  <c r="Z49" i="50" s="1"/>
  <c r="AA49" i="50" s="1"/>
  <c r="C49" i="50"/>
  <c r="AW48" i="50"/>
  <c r="AQ48" i="50"/>
  <c r="AK48" i="50"/>
  <c r="AE48" i="50"/>
  <c r="Y48" i="50"/>
  <c r="S48" i="50"/>
  <c r="P48" i="50"/>
  <c r="Q48" i="50" s="1"/>
  <c r="R48" i="50" s="1"/>
  <c r="N48" i="50"/>
  <c r="M48" i="50"/>
  <c r="J48" i="50"/>
  <c r="H48" i="50"/>
  <c r="AL48" i="50" s="1"/>
  <c r="C48" i="50"/>
  <c r="O48" i="50" s="1"/>
  <c r="AW47" i="50"/>
  <c r="AQ47" i="50"/>
  <c r="AL47" i="50"/>
  <c r="AK47" i="50"/>
  <c r="AM47" i="50" s="1"/>
  <c r="AE47" i="50"/>
  <c r="Y47" i="50"/>
  <c r="S47" i="50"/>
  <c r="P47" i="50"/>
  <c r="V47" i="50" s="1"/>
  <c r="O47" i="50"/>
  <c r="N47" i="50"/>
  <c r="M47" i="50"/>
  <c r="J47" i="50"/>
  <c r="H47" i="50"/>
  <c r="T47" i="50" s="1"/>
  <c r="U47" i="50" s="1"/>
  <c r="C47" i="50"/>
  <c r="AW46" i="50"/>
  <c r="AQ46" i="50"/>
  <c r="AL46" i="50"/>
  <c r="AM46" i="50" s="1"/>
  <c r="AK46" i="50"/>
  <c r="AE46" i="50"/>
  <c r="Y46" i="50"/>
  <c r="T46" i="50"/>
  <c r="S46" i="50"/>
  <c r="P46" i="50"/>
  <c r="Q46" i="50" s="1"/>
  <c r="R46" i="50" s="1"/>
  <c r="O46" i="50"/>
  <c r="N46" i="50"/>
  <c r="M46" i="50"/>
  <c r="J46" i="50"/>
  <c r="H46" i="50"/>
  <c r="AR46" i="50" s="1"/>
  <c r="C46" i="50"/>
  <c r="AY45" i="50"/>
  <c r="AX45" i="50"/>
  <c r="AW45" i="50"/>
  <c r="AR45" i="50"/>
  <c r="AQ45" i="50"/>
  <c r="AM45" i="50"/>
  <c r="AL45" i="50"/>
  <c r="AK45" i="50"/>
  <c r="AF45" i="50"/>
  <c r="AE45" i="50"/>
  <c r="Z45" i="50"/>
  <c r="Y45" i="50"/>
  <c r="S45" i="50"/>
  <c r="N45" i="50"/>
  <c r="M45" i="50"/>
  <c r="O45" i="50" s="1"/>
  <c r="P45" i="50" s="1"/>
  <c r="J45" i="50"/>
  <c r="H45" i="50"/>
  <c r="T45" i="50" s="1"/>
  <c r="U45" i="50" s="1"/>
  <c r="C45" i="50"/>
  <c r="AA45" i="50" s="1"/>
  <c r="AY44" i="50"/>
  <c r="AX44" i="50"/>
  <c r="AW44" i="50"/>
  <c r="AR44" i="50"/>
  <c r="AQ44" i="50"/>
  <c r="AS44" i="50" s="1"/>
  <c r="AM44" i="50"/>
  <c r="AL44" i="50"/>
  <c r="AK44" i="50"/>
  <c r="AF44" i="50"/>
  <c r="AE44" i="50"/>
  <c r="Z44" i="50"/>
  <c r="Y44" i="50"/>
  <c r="T44" i="50"/>
  <c r="S44" i="50"/>
  <c r="Q44" i="50"/>
  <c r="R44" i="50" s="1"/>
  <c r="P44" i="50"/>
  <c r="O44" i="50"/>
  <c r="N44" i="50"/>
  <c r="M44" i="50"/>
  <c r="J44" i="50"/>
  <c r="H44" i="50"/>
  <c r="C44" i="50"/>
  <c r="AW43" i="50"/>
  <c r="AR43" i="50"/>
  <c r="AQ43" i="50"/>
  <c r="AK43" i="50"/>
  <c r="AE43" i="50"/>
  <c r="Z43" i="50"/>
  <c r="Y43" i="50"/>
  <c r="S43" i="50"/>
  <c r="N43" i="50"/>
  <c r="M43" i="50"/>
  <c r="O43" i="50" s="1"/>
  <c r="P43" i="50" s="1"/>
  <c r="J43" i="50"/>
  <c r="H43" i="50"/>
  <c r="AL43" i="50" s="1"/>
  <c r="C43" i="50"/>
  <c r="AM43" i="50" s="1"/>
  <c r="AW42" i="50"/>
  <c r="AR42" i="50"/>
  <c r="AQ42" i="50"/>
  <c r="AK42" i="50"/>
  <c r="AF42" i="50"/>
  <c r="AE42" i="50"/>
  <c r="Z42" i="50"/>
  <c r="Y42" i="50"/>
  <c r="S42" i="50"/>
  <c r="N42" i="50"/>
  <c r="M42" i="50"/>
  <c r="J42" i="50"/>
  <c r="H42" i="50"/>
  <c r="AL42" i="50" s="1"/>
  <c r="C42" i="50"/>
  <c r="AX41" i="50"/>
  <c r="AW41" i="50"/>
  <c r="AQ41" i="50"/>
  <c r="AK41" i="50"/>
  <c r="AF41" i="50"/>
  <c r="AE41" i="50"/>
  <c r="Y41" i="50"/>
  <c r="S41" i="50"/>
  <c r="O41" i="50"/>
  <c r="P41" i="50" s="1"/>
  <c r="N41" i="50"/>
  <c r="M41" i="50"/>
  <c r="J41" i="50"/>
  <c r="H41" i="50"/>
  <c r="AL41" i="50" s="1"/>
  <c r="C41" i="50"/>
  <c r="AX40" i="50"/>
  <c r="AW40" i="50"/>
  <c r="AY40" i="50" s="1"/>
  <c r="AQ40" i="50"/>
  <c r="AK40" i="50"/>
  <c r="AE40" i="50"/>
  <c r="Y40" i="50"/>
  <c r="S40" i="50"/>
  <c r="O40" i="50"/>
  <c r="P40" i="50" s="1"/>
  <c r="N40" i="50"/>
  <c r="M40" i="50"/>
  <c r="J40" i="50"/>
  <c r="H40" i="50"/>
  <c r="AF40" i="50" s="1"/>
  <c r="AG40" i="50" s="1"/>
  <c r="C40" i="50"/>
  <c r="AY39" i="50"/>
  <c r="AX39" i="50"/>
  <c r="AW39" i="50"/>
  <c r="AQ39" i="50"/>
  <c r="AL39" i="50"/>
  <c r="AK39" i="50"/>
  <c r="AF39" i="50"/>
  <c r="AE39" i="50"/>
  <c r="Y39" i="50"/>
  <c r="U39" i="50"/>
  <c r="T39" i="50"/>
  <c r="S39" i="50"/>
  <c r="N39" i="50"/>
  <c r="M39" i="50"/>
  <c r="O39" i="50" s="1"/>
  <c r="P39" i="50" s="1"/>
  <c r="J39" i="50"/>
  <c r="H39" i="50"/>
  <c r="AR39" i="50" s="1"/>
  <c r="C39" i="50"/>
  <c r="AX38" i="50"/>
  <c r="AW38" i="50"/>
  <c r="AY38" i="50" s="1"/>
  <c r="AS38" i="50"/>
  <c r="AR38" i="50"/>
  <c r="AQ38" i="50"/>
  <c r="AL38" i="50"/>
  <c r="AK38" i="50"/>
  <c r="AG38" i="50"/>
  <c r="AF38" i="50"/>
  <c r="AE38" i="50"/>
  <c r="Z38" i="50"/>
  <c r="Y38" i="50"/>
  <c r="AA38" i="50" s="1"/>
  <c r="U38" i="50"/>
  <c r="T38" i="50"/>
  <c r="S38" i="50"/>
  <c r="N38" i="50"/>
  <c r="M38" i="50"/>
  <c r="J38" i="50"/>
  <c r="H38" i="50"/>
  <c r="C38" i="50"/>
  <c r="AW37" i="50"/>
  <c r="AS37" i="50"/>
  <c r="AR37" i="50"/>
  <c r="AQ37" i="50"/>
  <c r="AK37" i="50"/>
  <c r="AG37" i="50"/>
  <c r="AF37" i="50"/>
  <c r="AE37" i="50"/>
  <c r="Y37" i="50"/>
  <c r="U37" i="50"/>
  <c r="T37" i="50"/>
  <c r="S37" i="50"/>
  <c r="N37" i="50"/>
  <c r="M37" i="50"/>
  <c r="O37" i="50" s="1"/>
  <c r="P37" i="50" s="1"/>
  <c r="J37" i="50"/>
  <c r="H37" i="50"/>
  <c r="AL37" i="50" s="1"/>
  <c r="C37" i="50"/>
  <c r="AX36" i="50"/>
  <c r="AW36" i="50"/>
  <c r="AY36" i="50" s="1"/>
  <c r="AS36" i="50"/>
  <c r="AR36" i="50"/>
  <c r="AQ36" i="50"/>
  <c r="AL36" i="50"/>
  <c r="AK36" i="50"/>
  <c r="AG36" i="50"/>
  <c r="AF36" i="50"/>
  <c r="AE36" i="50"/>
  <c r="Z36" i="50"/>
  <c r="Y36" i="50"/>
  <c r="AA36" i="50" s="1"/>
  <c r="U36" i="50"/>
  <c r="T36" i="50"/>
  <c r="S36" i="50"/>
  <c r="N36" i="50"/>
  <c r="M36" i="50"/>
  <c r="J36" i="50"/>
  <c r="H36" i="50"/>
  <c r="C36" i="50"/>
  <c r="AW35" i="50"/>
  <c r="AS35" i="50"/>
  <c r="AR35" i="50"/>
  <c r="AQ35" i="50"/>
  <c r="AK35" i="50"/>
  <c r="AM35" i="50" s="1"/>
  <c r="AG35" i="50"/>
  <c r="AF35" i="50"/>
  <c r="AE35" i="50"/>
  <c r="Y35" i="50"/>
  <c r="U35" i="50"/>
  <c r="T35" i="50"/>
  <c r="S35" i="50"/>
  <c r="N35" i="50"/>
  <c r="M35" i="50"/>
  <c r="O35" i="50" s="1"/>
  <c r="P35" i="50" s="1"/>
  <c r="J35" i="50"/>
  <c r="H35" i="50"/>
  <c r="AL35" i="50" s="1"/>
  <c r="C35" i="50"/>
  <c r="AX34" i="50"/>
  <c r="AW34" i="50"/>
  <c r="AY34" i="50" s="1"/>
  <c r="AS34" i="50"/>
  <c r="AR34" i="50"/>
  <c r="AQ34" i="50"/>
  <c r="AL34" i="50"/>
  <c r="AK34" i="50"/>
  <c r="AG34" i="50"/>
  <c r="AF34" i="50"/>
  <c r="AE34" i="50"/>
  <c r="Z34" i="50"/>
  <c r="Y34" i="50"/>
  <c r="AA34" i="50" s="1"/>
  <c r="U34" i="50"/>
  <c r="T34" i="50"/>
  <c r="S34" i="50"/>
  <c r="N34" i="50"/>
  <c r="M34" i="50"/>
  <c r="J34" i="50"/>
  <c r="H34" i="50"/>
  <c r="C34" i="50"/>
  <c r="AX33" i="50"/>
  <c r="AW33" i="50"/>
  <c r="AS33" i="50"/>
  <c r="AR33" i="50"/>
  <c r="AQ33" i="50"/>
  <c r="AL33" i="50"/>
  <c r="AK33" i="50"/>
  <c r="AM33" i="50" s="1"/>
  <c r="AG33" i="50"/>
  <c r="AF33" i="50"/>
  <c r="AE33" i="50"/>
  <c r="Z33" i="50"/>
  <c r="Y33" i="50"/>
  <c r="U33" i="50"/>
  <c r="T33" i="50"/>
  <c r="S33" i="50"/>
  <c r="N33" i="50"/>
  <c r="M33" i="50"/>
  <c r="O33" i="50" s="1"/>
  <c r="P33" i="50" s="1"/>
  <c r="J33" i="50"/>
  <c r="H33" i="50"/>
  <c r="C33" i="50"/>
  <c r="AX32" i="50"/>
  <c r="AW32" i="50"/>
  <c r="AY32" i="50" s="1"/>
  <c r="AS32" i="50"/>
  <c r="AR32" i="50"/>
  <c r="AQ32" i="50"/>
  <c r="AL32" i="50"/>
  <c r="AK32" i="50"/>
  <c r="AG32" i="50"/>
  <c r="AF32" i="50"/>
  <c r="AE32" i="50"/>
  <c r="Z32" i="50"/>
  <c r="Y32" i="50"/>
  <c r="AA32" i="50" s="1"/>
  <c r="U32" i="50"/>
  <c r="T32" i="50"/>
  <c r="S32" i="50"/>
  <c r="N32" i="50"/>
  <c r="M32" i="50"/>
  <c r="J32" i="50"/>
  <c r="H32" i="50"/>
  <c r="C32" i="50"/>
  <c r="AX31" i="50"/>
  <c r="AW31" i="50"/>
  <c r="AS31" i="50"/>
  <c r="AR31" i="50"/>
  <c r="AQ31" i="50"/>
  <c r="AL31" i="50"/>
  <c r="AK31" i="50"/>
  <c r="AM31" i="50" s="1"/>
  <c r="AG31" i="50"/>
  <c r="AF31" i="50"/>
  <c r="AE31" i="50"/>
  <c r="Z31" i="50"/>
  <c r="Y31" i="50"/>
  <c r="U31" i="50"/>
  <c r="T31" i="50"/>
  <c r="S31" i="50"/>
  <c r="N31" i="50"/>
  <c r="M31" i="50"/>
  <c r="O31" i="50" s="1"/>
  <c r="P31" i="50" s="1"/>
  <c r="J31" i="50"/>
  <c r="H31" i="50"/>
  <c r="C31" i="50"/>
  <c r="AX30" i="50"/>
  <c r="AW30" i="50"/>
  <c r="AY30" i="50" s="1"/>
  <c r="AS30" i="50"/>
  <c r="AR30" i="50"/>
  <c r="AQ30" i="50"/>
  <c r="AL30" i="50"/>
  <c r="AK30" i="50"/>
  <c r="AG30" i="50"/>
  <c r="AF30" i="50"/>
  <c r="AE30" i="50"/>
  <c r="Z30" i="50"/>
  <c r="Y30" i="50"/>
  <c r="AA30" i="50" s="1"/>
  <c r="U30" i="50"/>
  <c r="T30" i="50"/>
  <c r="S30" i="50"/>
  <c r="N30" i="50"/>
  <c r="M30" i="50"/>
  <c r="J30" i="50"/>
  <c r="H30" i="50"/>
  <c r="C30" i="50"/>
  <c r="AX29" i="50"/>
  <c r="AW29" i="50"/>
  <c r="AS29" i="50"/>
  <c r="AR29" i="50"/>
  <c r="AQ29" i="50"/>
  <c r="AL29" i="50"/>
  <c r="AK29" i="50"/>
  <c r="AM29" i="50" s="1"/>
  <c r="AG29" i="50"/>
  <c r="AF29" i="50"/>
  <c r="AE29" i="50"/>
  <c r="Z29" i="50"/>
  <c r="Y29" i="50"/>
  <c r="U29" i="50"/>
  <c r="T29" i="50"/>
  <c r="S29" i="50"/>
  <c r="N29" i="50"/>
  <c r="M29" i="50"/>
  <c r="O29" i="50" s="1"/>
  <c r="P29" i="50" s="1"/>
  <c r="J29" i="50"/>
  <c r="H29" i="50"/>
  <c r="C29" i="50"/>
  <c r="AX28" i="50"/>
  <c r="AW28" i="50"/>
  <c r="AY28" i="50" s="1"/>
  <c r="AS28" i="50"/>
  <c r="AR28" i="50"/>
  <c r="AQ28" i="50"/>
  <c r="K618" i="50" s="1"/>
  <c r="AL28" i="50"/>
  <c r="AK28" i="50"/>
  <c r="AG28" i="50"/>
  <c r="AF28" i="50"/>
  <c r="AE28" i="50"/>
  <c r="Z28" i="50"/>
  <c r="Y28" i="50"/>
  <c r="AA28" i="50" s="1"/>
  <c r="U28" i="50"/>
  <c r="T28" i="50"/>
  <c r="S28" i="50"/>
  <c r="N28" i="50"/>
  <c r="M28" i="50"/>
  <c r="J28" i="50"/>
  <c r="H28" i="50"/>
  <c r="C28" i="50"/>
  <c r="AX27" i="50"/>
  <c r="AW27" i="50"/>
  <c r="AS27" i="50"/>
  <c r="AR27" i="50"/>
  <c r="AQ27" i="50"/>
  <c r="AL27" i="50"/>
  <c r="AK27" i="50"/>
  <c r="AM27" i="50" s="1"/>
  <c r="AG27" i="50"/>
  <c r="AF27" i="50"/>
  <c r="AE27" i="50"/>
  <c r="Z27" i="50"/>
  <c r="Y27" i="50"/>
  <c r="U27" i="50"/>
  <c r="T27" i="50"/>
  <c r="S27" i="50"/>
  <c r="N27" i="50"/>
  <c r="M27" i="50"/>
  <c r="O27" i="50" s="1"/>
  <c r="P27" i="50" s="1"/>
  <c r="J27" i="50"/>
  <c r="H27" i="50"/>
  <c r="C27" i="50"/>
  <c r="AX26" i="50"/>
  <c r="AW26" i="50"/>
  <c r="AY26" i="50" s="1"/>
  <c r="AS26" i="50"/>
  <c r="AR26" i="50"/>
  <c r="AQ26" i="50"/>
  <c r="AL26" i="50"/>
  <c r="AK26" i="50"/>
  <c r="AG26" i="50"/>
  <c r="AF26" i="50"/>
  <c r="AE26" i="50"/>
  <c r="Z26" i="50"/>
  <c r="Y26" i="50"/>
  <c r="AA26" i="50" s="1"/>
  <c r="U26" i="50"/>
  <c r="T26" i="50"/>
  <c r="S26" i="50"/>
  <c r="N26" i="50"/>
  <c r="M26" i="50"/>
  <c r="J26" i="50"/>
  <c r="H26" i="50"/>
  <c r="C26" i="50"/>
  <c r="AX25" i="50"/>
  <c r="AW25" i="50"/>
  <c r="AS25" i="50"/>
  <c r="AR25" i="50"/>
  <c r="AQ25" i="50"/>
  <c r="AL25" i="50"/>
  <c r="AK25" i="50"/>
  <c r="AM25" i="50" s="1"/>
  <c r="AG25" i="50"/>
  <c r="AF25" i="50"/>
  <c r="AE25" i="50"/>
  <c r="Z25" i="50"/>
  <c r="Y25" i="50"/>
  <c r="U25" i="50"/>
  <c r="T25" i="50"/>
  <c r="S25" i="50"/>
  <c r="N25" i="50"/>
  <c r="M25" i="50"/>
  <c r="O25" i="50" s="1"/>
  <c r="P25" i="50" s="1"/>
  <c r="J25" i="50"/>
  <c r="H25" i="50"/>
  <c r="C25" i="50"/>
  <c r="AX24" i="50"/>
  <c r="AW24" i="50"/>
  <c r="AY24" i="50" s="1"/>
  <c r="AS24" i="50"/>
  <c r="AR24" i="50"/>
  <c r="AQ24" i="50"/>
  <c r="AL24" i="50"/>
  <c r="AK24" i="50"/>
  <c r="AG24" i="50"/>
  <c r="AF24" i="50"/>
  <c r="AE24" i="50"/>
  <c r="Z24" i="50"/>
  <c r="Y24" i="50"/>
  <c r="AA24" i="50" s="1"/>
  <c r="U24" i="50"/>
  <c r="T24" i="50"/>
  <c r="S24" i="50"/>
  <c r="N24" i="50"/>
  <c r="M24" i="50"/>
  <c r="J24" i="50"/>
  <c r="H24" i="50"/>
  <c r="C24" i="50"/>
  <c r="AX23" i="50"/>
  <c r="AW23" i="50"/>
  <c r="AS23" i="50"/>
  <c r="AR23" i="50"/>
  <c r="AQ23" i="50"/>
  <c r="AL23" i="50"/>
  <c r="AK23" i="50"/>
  <c r="AM23" i="50" s="1"/>
  <c r="AG23" i="50"/>
  <c r="AF23" i="50"/>
  <c r="AE23" i="50"/>
  <c r="Z23" i="50"/>
  <c r="Y23" i="50"/>
  <c r="U23" i="50"/>
  <c r="T23" i="50"/>
  <c r="S23" i="50"/>
  <c r="N23" i="50"/>
  <c r="M23" i="50"/>
  <c r="O23" i="50" s="1"/>
  <c r="P23" i="50" s="1"/>
  <c r="J23" i="50"/>
  <c r="H23" i="50"/>
  <c r="C23" i="50"/>
  <c r="AX22" i="50"/>
  <c r="AW22" i="50"/>
  <c r="AY22" i="50" s="1"/>
  <c r="AS22" i="50"/>
  <c r="AR22" i="50"/>
  <c r="AQ22" i="50"/>
  <c r="AL22" i="50"/>
  <c r="AK22" i="50"/>
  <c r="AG22" i="50"/>
  <c r="AF22" i="50"/>
  <c r="AE22" i="50"/>
  <c r="Z22" i="50"/>
  <c r="Y22" i="50"/>
  <c r="AA22" i="50" s="1"/>
  <c r="U22" i="50"/>
  <c r="T22" i="50"/>
  <c r="S22" i="50"/>
  <c r="N22" i="50"/>
  <c r="M22" i="50"/>
  <c r="J22" i="50"/>
  <c r="H22" i="50"/>
  <c r="C22" i="50"/>
  <c r="AX21" i="50"/>
  <c r="AW21" i="50"/>
  <c r="AS21" i="50"/>
  <c r="AR21" i="50"/>
  <c r="AQ21" i="50"/>
  <c r="AL21" i="50"/>
  <c r="AK21" i="50"/>
  <c r="AM21" i="50" s="1"/>
  <c r="AG21" i="50"/>
  <c r="AF21" i="50"/>
  <c r="AE21" i="50"/>
  <c r="Z21" i="50"/>
  <c r="Y21" i="50"/>
  <c r="U21" i="50"/>
  <c r="T21" i="50"/>
  <c r="S21" i="50"/>
  <c r="N21" i="50"/>
  <c r="M21" i="50"/>
  <c r="O21" i="50" s="1"/>
  <c r="P21" i="50" s="1"/>
  <c r="J21" i="50"/>
  <c r="H21" i="50"/>
  <c r="C21" i="50"/>
  <c r="AX20" i="50"/>
  <c r="AW20" i="50"/>
  <c r="AY20" i="50" s="1"/>
  <c r="AS20" i="50"/>
  <c r="AR20" i="50"/>
  <c r="AQ20" i="50"/>
  <c r="AL20" i="50"/>
  <c r="AK20" i="50"/>
  <c r="AG20" i="50"/>
  <c r="AF20" i="50"/>
  <c r="AE20" i="50"/>
  <c r="Z20" i="50"/>
  <c r="Y20" i="50"/>
  <c r="AA20" i="50" s="1"/>
  <c r="U20" i="50"/>
  <c r="T20" i="50"/>
  <c r="S20" i="50"/>
  <c r="N20" i="50"/>
  <c r="M20" i="50"/>
  <c r="J20" i="50"/>
  <c r="H20" i="50"/>
  <c r="C20" i="50"/>
  <c r="AX19" i="50"/>
  <c r="AW19" i="50"/>
  <c r="AS19" i="50"/>
  <c r="AR19" i="50"/>
  <c r="AQ19" i="50"/>
  <c r="AL19" i="50"/>
  <c r="AK19" i="50"/>
  <c r="AM19" i="50" s="1"/>
  <c r="AG19" i="50"/>
  <c r="AF19" i="50"/>
  <c r="AE19" i="50"/>
  <c r="Z19" i="50"/>
  <c r="Y19" i="50"/>
  <c r="U19" i="50"/>
  <c r="T19" i="50"/>
  <c r="S19" i="50"/>
  <c r="N19" i="50"/>
  <c r="M19" i="50"/>
  <c r="O19" i="50" s="1"/>
  <c r="P19" i="50" s="1"/>
  <c r="J19" i="50"/>
  <c r="H19" i="50"/>
  <c r="C19" i="50"/>
  <c r="AX18" i="50"/>
  <c r="AW18" i="50"/>
  <c r="AY18" i="50" s="1"/>
  <c r="AS18" i="50"/>
  <c r="AR18" i="50"/>
  <c r="AQ18" i="50"/>
  <c r="AL18" i="50"/>
  <c r="AK18" i="50"/>
  <c r="AG18" i="50"/>
  <c r="AF18" i="50"/>
  <c r="AE18" i="50"/>
  <c r="Z18" i="50"/>
  <c r="Y18" i="50"/>
  <c r="AA18" i="50" s="1"/>
  <c r="U18" i="50"/>
  <c r="T18" i="50"/>
  <c r="S18" i="50"/>
  <c r="N18" i="50"/>
  <c r="M18" i="50"/>
  <c r="J18" i="50"/>
  <c r="H18" i="50"/>
  <c r="C18" i="50"/>
  <c r="AX17" i="50"/>
  <c r="AW17" i="50"/>
  <c r="AS17" i="50"/>
  <c r="AR17" i="50"/>
  <c r="AQ17" i="50"/>
  <c r="AL17" i="50"/>
  <c r="AK17" i="50"/>
  <c r="AM17" i="50" s="1"/>
  <c r="AG17" i="50"/>
  <c r="AF17" i="50"/>
  <c r="AE17" i="50"/>
  <c r="Z17" i="50"/>
  <c r="Y17" i="50"/>
  <c r="T17" i="50"/>
  <c r="U17" i="50" s="1"/>
  <c r="S17" i="50"/>
  <c r="N17" i="50"/>
  <c r="M17" i="50"/>
  <c r="O17" i="50" s="1"/>
  <c r="P17" i="50" s="1"/>
  <c r="J17" i="50"/>
  <c r="H17" i="50"/>
  <c r="C17" i="50"/>
  <c r="AX16" i="50"/>
  <c r="AW16" i="50"/>
  <c r="AS16" i="50"/>
  <c r="AR16" i="50"/>
  <c r="AQ16" i="50"/>
  <c r="AL16" i="50"/>
  <c r="AK16" i="50"/>
  <c r="AM16" i="50" s="1"/>
  <c r="AF16" i="50"/>
  <c r="AE16" i="50"/>
  <c r="Z16" i="50"/>
  <c r="Y16" i="50"/>
  <c r="U16" i="50"/>
  <c r="T16" i="50"/>
  <c r="S16" i="50"/>
  <c r="N16" i="50"/>
  <c r="M16" i="50"/>
  <c r="M132" i="50" s="1"/>
  <c r="J16" i="50"/>
  <c r="H16" i="50"/>
  <c r="C16" i="50"/>
  <c r="BB14" i="50"/>
  <c r="AE14" i="50"/>
  <c r="O14" i="50"/>
  <c r="N14" i="50"/>
  <c r="L14" i="50"/>
  <c r="K14" i="50"/>
  <c r="AX13" i="50"/>
  <c r="AW13" i="50"/>
  <c r="AV13" i="50"/>
  <c r="J13" i="50"/>
  <c r="G13" i="50"/>
  <c r="H13" i="50" s="1"/>
  <c r="C13" i="50"/>
  <c r="AY13" i="50" s="1"/>
  <c r="AZ13" i="50" s="1"/>
  <c r="BA13" i="50" s="1"/>
  <c r="AX12" i="50"/>
  <c r="AW12" i="50"/>
  <c r="AY12" i="50" s="1"/>
  <c r="AZ12" i="50" s="1"/>
  <c r="BA12" i="50" s="1"/>
  <c r="AV12" i="50"/>
  <c r="J12" i="50"/>
  <c r="H12" i="50"/>
  <c r="G12" i="50"/>
  <c r="C12" i="50"/>
  <c r="AW11" i="50"/>
  <c r="AR11" i="50"/>
  <c r="AQ11" i="50"/>
  <c r="AS11" i="50" s="1"/>
  <c r="AT11" i="50" s="1"/>
  <c r="AP11" i="50"/>
  <c r="J11" i="50"/>
  <c r="H11" i="50"/>
  <c r="AX11" i="50" s="1"/>
  <c r="C11" i="50"/>
  <c r="AY11" i="50" s="1"/>
  <c r="AX10" i="50"/>
  <c r="AW10" i="50"/>
  <c r="AR10" i="50"/>
  <c r="AQ10" i="50"/>
  <c r="AS10" i="50" s="1"/>
  <c r="AT10" i="50" s="1"/>
  <c r="AP10" i="50"/>
  <c r="J10" i="50"/>
  <c r="H10" i="50"/>
  <c r="C10" i="50"/>
  <c r="AY10" i="50" s="1"/>
  <c r="AX9" i="50"/>
  <c r="AW9" i="50"/>
  <c r="AY9" i="50" s="1"/>
  <c r="AT9" i="50"/>
  <c r="AZ9" i="50" s="1"/>
  <c r="BA9" i="50" s="1"/>
  <c r="AS9" i="50"/>
  <c r="AR9" i="50"/>
  <c r="AQ9" i="50"/>
  <c r="AP9" i="50"/>
  <c r="J9" i="50"/>
  <c r="H9" i="50"/>
  <c r="C9" i="50"/>
  <c r="AW8" i="50"/>
  <c r="AS8" i="50"/>
  <c r="AT8" i="50" s="1"/>
  <c r="AR8" i="50"/>
  <c r="AQ8" i="50"/>
  <c r="AP8" i="50"/>
  <c r="J8" i="50"/>
  <c r="H8" i="50"/>
  <c r="AX8" i="50" s="1"/>
  <c r="C8" i="50"/>
  <c r="AR7" i="50"/>
  <c r="AQ7" i="50"/>
  <c r="AP7" i="50"/>
  <c r="I7" i="50"/>
  <c r="J603" i="50" s="1"/>
  <c r="H7" i="50"/>
  <c r="AX7" i="50" s="1"/>
  <c r="C7" i="50"/>
  <c r="AW6" i="50"/>
  <c r="AR6" i="50"/>
  <c r="AQ6" i="50"/>
  <c r="AN6" i="50"/>
  <c r="AK6" i="50"/>
  <c r="AO6" i="50" s="1"/>
  <c r="AP6" i="50" s="1"/>
  <c r="AE6" i="50"/>
  <c r="Y6" i="50"/>
  <c r="T6" i="50"/>
  <c r="S6" i="50"/>
  <c r="P6" i="50"/>
  <c r="O6" i="50"/>
  <c r="N6" i="50"/>
  <c r="M6" i="50"/>
  <c r="Q6" i="50" s="1"/>
  <c r="R6" i="50" s="1"/>
  <c r="J6" i="50"/>
  <c r="H6" i="50"/>
  <c r="AX6" i="50" s="1"/>
  <c r="AY6" i="50" s="1"/>
  <c r="C6" i="50"/>
  <c r="AW5" i="50"/>
  <c r="AQ5" i="50"/>
  <c r="AN5" i="50"/>
  <c r="AK5" i="50"/>
  <c r="AK14" i="50" s="1"/>
  <c r="AF5" i="50"/>
  <c r="AE5" i="50"/>
  <c r="Y5" i="50"/>
  <c r="T5" i="50"/>
  <c r="T14" i="50" s="1"/>
  <c r="S5" i="50"/>
  <c r="P5" i="50"/>
  <c r="O5" i="50"/>
  <c r="N5" i="50"/>
  <c r="M5" i="50"/>
  <c r="M14" i="50" s="1"/>
  <c r="J5" i="50"/>
  <c r="H5" i="50"/>
  <c r="AL5" i="50" s="1"/>
  <c r="C5" i="50"/>
  <c r="E29" i="8"/>
  <c r="I29" i="8"/>
  <c r="H29" i="8"/>
  <c r="G29" i="8"/>
  <c r="B74" i="10"/>
  <c r="B39" i="10"/>
  <c r="D113" i="7"/>
  <c r="D68" i="7"/>
  <c r="D67" i="7"/>
  <c r="I69" i="7"/>
  <c r="K69" i="7"/>
  <c r="K68" i="7"/>
  <c r="K67" i="7"/>
  <c r="J69" i="7"/>
  <c r="J68" i="7"/>
  <c r="J67" i="7"/>
  <c r="AM5" i="50" l="1"/>
  <c r="W19" i="50"/>
  <c r="X19" i="50" s="1"/>
  <c r="W23" i="50"/>
  <c r="X23" i="50" s="1"/>
  <c r="W27" i="50"/>
  <c r="X27" i="50" s="1"/>
  <c r="W35" i="50"/>
  <c r="X35" i="50" s="1"/>
  <c r="V39" i="50"/>
  <c r="Q39" i="50"/>
  <c r="R39" i="50" s="1"/>
  <c r="AM51" i="50"/>
  <c r="AH82" i="50"/>
  <c r="AC82" i="50"/>
  <c r="AD82" i="50" s="1"/>
  <c r="AI85" i="50"/>
  <c r="AJ85" i="50" s="1"/>
  <c r="V17" i="50"/>
  <c r="Q17" i="50"/>
  <c r="R17" i="50" s="1"/>
  <c r="AG6" i="50"/>
  <c r="AU8" i="50"/>
  <c r="AV8" i="50" s="1"/>
  <c r="W17" i="50"/>
  <c r="X17" i="50" s="1"/>
  <c r="AM42" i="50"/>
  <c r="W47" i="50"/>
  <c r="X47" i="50" s="1"/>
  <c r="W39" i="50"/>
  <c r="X39" i="50" s="1"/>
  <c r="V37" i="50"/>
  <c r="W37" i="50" s="1"/>
  <c r="X37" i="50" s="1"/>
  <c r="Q37" i="50"/>
  <c r="R37" i="50" s="1"/>
  <c r="Q40" i="50"/>
  <c r="R40" i="50" s="1"/>
  <c r="AA47" i="50"/>
  <c r="AB47" i="50" s="1"/>
  <c r="Q58" i="50"/>
  <c r="R58" i="50" s="1"/>
  <c r="AC79" i="50"/>
  <c r="AD79" i="50" s="1"/>
  <c r="I603" i="50"/>
  <c r="I585" i="50"/>
  <c r="AU7" i="50"/>
  <c r="AV7" i="50" s="1"/>
  <c r="AU11" i="50"/>
  <c r="AV11" i="50" s="1"/>
  <c r="AZ11" i="50"/>
  <c r="AY8" i="50"/>
  <c r="AM37" i="50"/>
  <c r="Q66" i="50"/>
  <c r="R66" i="50" s="1"/>
  <c r="W45" i="50"/>
  <c r="X45" i="50" s="1"/>
  <c r="AZ8" i="50"/>
  <c r="BA8" i="50" s="1"/>
  <c r="AZ10" i="50"/>
  <c r="BA10" i="50" s="1"/>
  <c r="AU10" i="50"/>
  <c r="AV10" i="50" s="1"/>
  <c r="W22" i="50"/>
  <c r="X22" i="50" s="1"/>
  <c r="AS5" i="50"/>
  <c r="BA11" i="50"/>
  <c r="V45" i="50"/>
  <c r="AB45" i="50" s="1"/>
  <c r="Q54" i="50"/>
  <c r="R54" i="50" s="1"/>
  <c r="Q19" i="50"/>
  <c r="R19" i="50" s="1"/>
  <c r="V19" i="50"/>
  <c r="Q21" i="50"/>
  <c r="R21" i="50" s="1"/>
  <c r="V21" i="50"/>
  <c r="Q23" i="50"/>
  <c r="R23" i="50" s="1"/>
  <c r="V23" i="50"/>
  <c r="Q25" i="50"/>
  <c r="R25" i="50" s="1"/>
  <c r="V25" i="50"/>
  <c r="V27" i="50"/>
  <c r="Q27" i="50"/>
  <c r="R27" i="50" s="1"/>
  <c r="V29" i="50"/>
  <c r="AB29" i="50" s="1"/>
  <c r="AH29" i="50" s="1"/>
  <c r="Q29" i="50"/>
  <c r="R29" i="50" s="1"/>
  <c r="V31" i="50"/>
  <c r="AB31" i="50" s="1"/>
  <c r="AH31" i="50" s="1"/>
  <c r="Q31" i="50"/>
  <c r="R31" i="50" s="1"/>
  <c r="V33" i="50"/>
  <c r="W33" i="50" s="1"/>
  <c r="X33" i="50" s="1"/>
  <c r="Q33" i="50"/>
  <c r="R33" i="50" s="1"/>
  <c r="Q35" i="50"/>
  <c r="R35" i="50" s="1"/>
  <c r="V35" i="50"/>
  <c r="AS49" i="50"/>
  <c r="AR48" i="50"/>
  <c r="U52" i="50"/>
  <c r="V52" i="50" s="1"/>
  <c r="AX145" i="50"/>
  <c r="AY145" i="50" s="1"/>
  <c r="Z145" i="50"/>
  <c r="AA145" i="50" s="1"/>
  <c r="AF145" i="50"/>
  <c r="AL145" i="50"/>
  <c r="T145" i="50"/>
  <c r="U145" i="50" s="1"/>
  <c r="AR145" i="50"/>
  <c r="AS145" i="50" s="1"/>
  <c r="AO5" i="50"/>
  <c r="U6" i="50"/>
  <c r="V6" i="50" s="1"/>
  <c r="AS6" i="50"/>
  <c r="AT6" i="50" s="1"/>
  <c r="AS7" i="50"/>
  <c r="AT7" i="50" s="1"/>
  <c r="N132" i="50"/>
  <c r="AL132" i="50"/>
  <c r="Z35" i="50"/>
  <c r="AA35" i="50" s="1"/>
  <c r="AX35" i="50"/>
  <c r="AX132" i="50" s="1"/>
  <c r="Z37" i="50"/>
  <c r="AX37" i="50"/>
  <c r="AY37" i="50" s="1"/>
  <c r="Z39" i="50"/>
  <c r="AA39" i="50" s="1"/>
  <c r="AY41" i="50"/>
  <c r="O42" i="50"/>
  <c r="P42" i="50" s="1"/>
  <c r="AG42" i="50"/>
  <c r="AX42" i="50"/>
  <c r="AY42" i="50" s="1"/>
  <c r="AF43" i="50"/>
  <c r="AX43" i="50"/>
  <c r="AG45" i="50"/>
  <c r="Q47" i="50"/>
  <c r="R47" i="50" s="1"/>
  <c r="AM50" i="50"/>
  <c r="AY50" i="50"/>
  <c r="AA51" i="50"/>
  <c r="T52" i="50"/>
  <c r="AG52" i="50"/>
  <c r="AS52" i="50"/>
  <c r="AM56" i="50"/>
  <c r="AA59" i="50"/>
  <c r="AL60" i="50"/>
  <c r="AM60" i="50" s="1"/>
  <c r="Z60" i="50"/>
  <c r="AA60" i="50" s="1"/>
  <c r="AR60" i="50"/>
  <c r="Q65" i="50"/>
  <c r="R65" i="50" s="1"/>
  <c r="AM69" i="50"/>
  <c r="O69" i="50"/>
  <c r="P69" i="50" s="1"/>
  <c r="AY69" i="50"/>
  <c r="AG74" i="50"/>
  <c r="AF80" i="50"/>
  <c r="AX80" i="50"/>
  <c r="AY80" i="50" s="1"/>
  <c r="AL80" i="50"/>
  <c r="AM80" i="50" s="1"/>
  <c r="AR81" i="50"/>
  <c r="AX81" i="50"/>
  <c r="AY81" i="50" s="1"/>
  <c r="AF81" i="50"/>
  <c r="AG81" i="50" s="1"/>
  <c r="AL81" i="50"/>
  <c r="AM81" i="50" s="1"/>
  <c r="AM82" i="50"/>
  <c r="AM92" i="50"/>
  <c r="AN92" i="50" s="1"/>
  <c r="AY95" i="50"/>
  <c r="AR98" i="50"/>
  <c r="AX98" i="50"/>
  <c r="AY98" i="50" s="1"/>
  <c r="AO99" i="50"/>
  <c r="AP99" i="50" s="1"/>
  <c r="T140" i="50"/>
  <c r="U140" i="50" s="1"/>
  <c r="AX140" i="50"/>
  <c r="AL140" i="50"/>
  <c r="Z140" i="50"/>
  <c r="AR140" i="50"/>
  <c r="AS140" i="50" s="1"/>
  <c r="AF140" i="50"/>
  <c r="Q147" i="50"/>
  <c r="R147" i="50" s="1"/>
  <c r="Q5" i="50"/>
  <c r="AG5" i="50"/>
  <c r="AU9" i="50"/>
  <c r="AV9" i="50" s="1"/>
  <c r="P14" i="50"/>
  <c r="AN14" i="50"/>
  <c r="Z5" i="50"/>
  <c r="AX5" i="50"/>
  <c r="AL6" i="50"/>
  <c r="AM6" i="50" s="1"/>
  <c r="I14" i="50"/>
  <c r="I1" i="50" s="1"/>
  <c r="Y14" i="50"/>
  <c r="O16" i="50"/>
  <c r="AA17" i="50"/>
  <c r="AY17" i="50"/>
  <c r="O18" i="50"/>
  <c r="P18" i="50" s="1"/>
  <c r="V18" i="50" s="1"/>
  <c r="AB18" i="50" s="1"/>
  <c r="AM18" i="50"/>
  <c r="AA19" i="50"/>
  <c r="AY19" i="50"/>
  <c r="O20" i="50"/>
  <c r="P20" i="50" s="1"/>
  <c r="V20" i="50" s="1"/>
  <c r="AB20" i="50" s="1"/>
  <c r="AM20" i="50"/>
  <c r="AA21" i="50"/>
  <c r="AY21" i="50"/>
  <c r="O22" i="50"/>
  <c r="P22" i="50" s="1"/>
  <c r="V22" i="50" s="1"/>
  <c r="AB22" i="50" s="1"/>
  <c r="AM22" i="50"/>
  <c r="AA23" i="50"/>
  <c r="AY23" i="50"/>
  <c r="O24" i="50"/>
  <c r="P24" i="50" s="1"/>
  <c r="V24" i="50" s="1"/>
  <c r="AM24" i="50"/>
  <c r="AA25" i="50"/>
  <c r="AY25" i="50"/>
  <c r="O26" i="50"/>
  <c r="P26" i="50" s="1"/>
  <c r="V26" i="50" s="1"/>
  <c r="AM26" i="50"/>
  <c r="AA27" i="50"/>
  <c r="AY27" i="50"/>
  <c r="O28" i="50"/>
  <c r="P28" i="50" s="1"/>
  <c r="V28" i="50" s="1"/>
  <c r="AM28" i="50"/>
  <c r="AA29" i="50"/>
  <c r="AY29" i="50"/>
  <c r="O30" i="50"/>
  <c r="P30" i="50" s="1"/>
  <c r="V30" i="50" s="1"/>
  <c r="AM30" i="50"/>
  <c r="AA31" i="50"/>
  <c r="AY31" i="50"/>
  <c r="O32" i="50"/>
  <c r="P32" i="50" s="1"/>
  <c r="V32" i="50" s="1"/>
  <c r="AM32" i="50"/>
  <c r="AA33" i="50"/>
  <c r="AY33" i="50"/>
  <c r="O34" i="50"/>
  <c r="P34" i="50" s="1"/>
  <c r="V34" i="50" s="1"/>
  <c r="AM34" i="50"/>
  <c r="O36" i="50"/>
  <c r="P36" i="50" s="1"/>
  <c r="V36" i="50" s="1"/>
  <c r="AM36" i="50"/>
  <c r="AA37" i="50"/>
  <c r="O38" i="50"/>
  <c r="P38" i="50" s="1"/>
  <c r="V38" i="50" s="1"/>
  <c r="AM38" i="50"/>
  <c r="AS39" i="50"/>
  <c r="Z40" i="50"/>
  <c r="AS40" i="50"/>
  <c r="Z41" i="50"/>
  <c r="AA41" i="50" s="1"/>
  <c r="AR41" i="50"/>
  <c r="AS41" i="50" s="1"/>
  <c r="AY43" i="50"/>
  <c r="AG44" i="50"/>
  <c r="AF46" i="50"/>
  <c r="AG46" i="50" s="1"/>
  <c r="AG47" i="50"/>
  <c r="Q49" i="50"/>
  <c r="R49" i="50" s="1"/>
  <c r="O49" i="50"/>
  <c r="P49" i="50" s="1"/>
  <c r="U50" i="50"/>
  <c r="AG55" i="50"/>
  <c r="AS55" i="50"/>
  <c r="AX58" i="50"/>
  <c r="AY58" i="50" s="1"/>
  <c r="AL58" i="50"/>
  <c r="AM58" i="50" s="1"/>
  <c r="AG65" i="50"/>
  <c r="AR69" i="50"/>
  <c r="T69" i="50"/>
  <c r="U69" i="50" s="1"/>
  <c r="AL69" i="50"/>
  <c r="Z69" i="50"/>
  <c r="AA69" i="50" s="1"/>
  <c r="AS76" i="50"/>
  <c r="AY94" i="50"/>
  <c r="AM94" i="50"/>
  <c r="AN94" i="50" s="1"/>
  <c r="Q144" i="50"/>
  <c r="R144" i="50" s="1"/>
  <c r="U147" i="50"/>
  <c r="V147" i="50" s="1"/>
  <c r="Q230" i="50"/>
  <c r="R230" i="50" s="1"/>
  <c r="AK132" i="50"/>
  <c r="T48" i="50"/>
  <c r="AA40" i="50"/>
  <c r="AR40" i="50"/>
  <c r="AR132" i="50" s="1"/>
  <c r="AS42" i="50"/>
  <c r="AX46" i="50"/>
  <c r="AY46" i="50" s="1"/>
  <c r="AF47" i="50"/>
  <c r="AF132" i="50" s="1"/>
  <c r="AX47" i="50"/>
  <c r="AY47" i="50" s="1"/>
  <c r="Z48" i="50"/>
  <c r="AA48" i="50" s="1"/>
  <c r="AS50" i="50"/>
  <c r="AS51" i="50"/>
  <c r="Z52" i="50"/>
  <c r="AR52" i="50"/>
  <c r="Q53" i="50"/>
  <c r="R53" i="50" s="1"/>
  <c r="Z54" i="50"/>
  <c r="AA54" i="50" s="1"/>
  <c r="AL54" i="50"/>
  <c r="AM54" i="50" s="1"/>
  <c r="U55" i="50"/>
  <c r="V55" i="50" s="1"/>
  <c r="U57" i="50"/>
  <c r="AG57" i="50"/>
  <c r="U62" i="50"/>
  <c r="AG68" i="50"/>
  <c r="U74" i="50"/>
  <c r="AA78" i="50"/>
  <c r="AB78" i="50" s="1"/>
  <c r="AS80" i="50"/>
  <c r="AL84" i="50"/>
  <c r="AM84" i="50" s="1"/>
  <c r="AR84" i="50"/>
  <c r="AS84" i="50" s="1"/>
  <c r="AX84" i="50"/>
  <c r="AY84" i="50" s="1"/>
  <c r="AM102" i="50"/>
  <c r="AN102" i="50" s="1"/>
  <c r="O209" i="50"/>
  <c r="P209" i="50" s="1"/>
  <c r="Q209" i="50" s="1"/>
  <c r="R209" i="50" s="1"/>
  <c r="Q213" i="50"/>
  <c r="R213" i="50" s="1"/>
  <c r="AA227" i="50"/>
  <c r="O227" i="50"/>
  <c r="P227" i="50" s="1"/>
  <c r="AG43" i="50"/>
  <c r="AX49" i="50"/>
  <c r="AY49" i="50" s="1"/>
  <c r="AF49" i="50"/>
  <c r="AG49" i="50" s="1"/>
  <c r="AR5" i="50"/>
  <c r="AR14" i="50" s="1"/>
  <c r="S14" i="50"/>
  <c r="AQ14" i="50"/>
  <c r="AG16" i="50"/>
  <c r="U40" i="50"/>
  <c r="V40" i="50" s="1"/>
  <c r="T41" i="50"/>
  <c r="U41" i="50" s="1"/>
  <c r="V41" i="50" s="1"/>
  <c r="AA42" i="50"/>
  <c r="AA43" i="50"/>
  <c r="AS43" i="50"/>
  <c r="AF51" i="50"/>
  <c r="AX51" i="50"/>
  <c r="AY51" i="50" s="1"/>
  <c r="T51" i="50"/>
  <c r="AR51" i="50"/>
  <c r="AX54" i="50"/>
  <c r="AY54" i="50" s="1"/>
  <c r="U59" i="50"/>
  <c r="AM71" i="50"/>
  <c r="O71" i="50"/>
  <c r="P71" i="50" s="1"/>
  <c r="AA71" i="50"/>
  <c r="AY71" i="50"/>
  <c r="AC81" i="50"/>
  <c r="AD81" i="50" s="1"/>
  <c r="AA81" i="50"/>
  <c r="AB81" i="50" s="1"/>
  <c r="AR96" i="50"/>
  <c r="AS96" i="50" s="1"/>
  <c r="AX96" i="50"/>
  <c r="AY96" i="50" s="1"/>
  <c r="AT97" i="50"/>
  <c r="Q152" i="50"/>
  <c r="R152" i="50" s="1"/>
  <c r="AR165" i="50"/>
  <c r="T165" i="50"/>
  <c r="AL165" i="50"/>
  <c r="AM165" i="50" s="1"/>
  <c r="Z165" i="50"/>
  <c r="AA165" i="50" s="1"/>
  <c r="AX165" i="50"/>
  <c r="AY165" i="50" s="1"/>
  <c r="AF165" i="50"/>
  <c r="Q45" i="50"/>
  <c r="R45" i="50" s="1"/>
  <c r="AX48" i="50"/>
  <c r="AY48" i="50" s="1"/>
  <c r="AF48" i="50"/>
  <c r="AR49" i="50"/>
  <c r="AM53" i="50"/>
  <c r="AG83" i="50"/>
  <c r="AH83" i="50" s="1"/>
  <c r="AR103" i="50"/>
  <c r="AS103" i="50" s="1"/>
  <c r="AX103" i="50"/>
  <c r="AU118" i="50"/>
  <c r="AV118" i="50" s="1"/>
  <c r="AF6" i="50"/>
  <c r="AF14" i="50" s="1"/>
  <c r="J7" i="50"/>
  <c r="J14" i="50" s="1"/>
  <c r="AW7" i="50"/>
  <c r="AM39" i="50"/>
  <c r="T40" i="50"/>
  <c r="AL40" i="50"/>
  <c r="AM40" i="50" s="1"/>
  <c r="U42" i="50"/>
  <c r="T43" i="50"/>
  <c r="U43" i="50" s="1"/>
  <c r="V43" i="50" s="1"/>
  <c r="AA44" i="50"/>
  <c r="AS45" i="50"/>
  <c r="Z46" i="50"/>
  <c r="AA46" i="50" s="1"/>
  <c r="AS46" i="50"/>
  <c r="Z47" i="50"/>
  <c r="AR47" i="50"/>
  <c r="AS47" i="50" s="1"/>
  <c r="AM48" i="50"/>
  <c r="AL49" i="50"/>
  <c r="AM49" i="50" s="1"/>
  <c r="U51" i="50"/>
  <c r="V51" i="50" s="1"/>
  <c r="AL52" i="50"/>
  <c r="AX52" i="50"/>
  <c r="AY52" i="50" s="1"/>
  <c r="AM55" i="50"/>
  <c r="AA55" i="50"/>
  <c r="AA57" i="50"/>
  <c r="O57" i="50"/>
  <c r="P57" i="50" s="1"/>
  <c r="V57" i="50" s="1"/>
  <c r="Z58" i="50"/>
  <c r="AA58" i="50" s="1"/>
  <c r="O59" i="50"/>
  <c r="P59" i="50" s="1"/>
  <c r="AY59" i="50"/>
  <c r="AS60" i="50"/>
  <c r="O62" i="50"/>
  <c r="P62" i="50" s="1"/>
  <c r="AY62" i="50"/>
  <c r="AM62" i="50"/>
  <c r="AY64" i="50"/>
  <c r="AM64" i="50"/>
  <c r="U64" i="50"/>
  <c r="V64" i="50" s="1"/>
  <c r="AY77" i="50"/>
  <c r="AY78" i="50"/>
  <c r="AS79" i="50"/>
  <c r="AS83" i="50"/>
  <c r="AY88" i="50"/>
  <c r="AM105" i="50"/>
  <c r="AN105" i="50" s="1"/>
  <c r="AS105" i="50"/>
  <c r="AK198" i="50"/>
  <c r="U5" i="50"/>
  <c r="AT5" i="50"/>
  <c r="Z6" i="50"/>
  <c r="AA6" i="50" s="1"/>
  <c r="S132" i="50"/>
  <c r="AA16" i="50"/>
  <c r="AY16" i="50"/>
  <c r="AG39" i="50"/>
  <c r="Q41" i="50"/>
  <c r="R41" i="50" s="1"/>
  <c r="AM41" i="50"/>
  <c r="T42" i="50"/>
  <c r="U44" i="50"/>
  <c r="V44" i="50" s="1"/>
  <c r="O50" i="50"/>
  <c r="P50" i="50" s="1"/>
  <c r="Z50" i="50"/>
  <c r="AA50" i="50" s="1"/>
  <c r="AA52" i="50"/>
  <c r="AM52" i="50"/>
  <c r="AX55" i="50"/>
  <c r="AY55" i="50" s="1"/>
  <c r="O56" i="50"/>
  <c r="P56" i="50" s="1"/>
  <c r="W57" i="50"/>
  <c r="X57" i="50" s="1"/>
  <c r="AR59" i="50"/>
  <c r="AS59" i="50" s="1"/>
  <c r="AF59" i="50"/>
  <c r="AG59" i="50" s="1"/>
  <c r="AX59" i="50"/>
  <c r="AG60" i="50"/>
  <c r="AS61" i="50"/>
  <c r="Z62" i="50"/>
  <c r="AA62" i="50" s="1"/>
  <c r="AR62" i="50"/>
  <c r="AF62" i="50"/>
  <c r="AG62" i="50" s="1"/>
  <c r="O65" i="50"/>
  <c r="P65" i="50" s="1"/>
  <c r="V65" i="50" s="1"/>
  <c r="W65" i="50"/>
  <c r="X65" i="50" s="1"/>
  <c r="AM65" i="50"/>
  <c r="AG73" i="50"/>
  <c r="AY74" i="50"/>
  <c r="AA74" i="50"/>
  <c r="AM74" i="50"/>
  <c r="O74" i="50"/>
  <c r="P74" i="50" s="1"/>
  <c r="V74" i="50" s="1"/>
  <c r="AR75" i="50"/>
  <c r="AS75" i="50" s="1"/>
  <c r="T75" i="50"/>
  <c r="AF75" i="50"/>
  <c r="AX75" i="50"/>
  <c r="AY75" i="50" s="1"/>
  <c r="AM87" i="50"/>
  <c r="AM89" i="50"/>
  <c r="AR105" i="50"/>
  <c r="AX105" i="50"/>
  <c r="AY105" i="50" s="1"/>
  <c r="BA110" i="50"/>
  <c r="AE198" i="50"/>
  <c r="AL141" i="50"/>
  <c r="AR141" i="50"/>
  <c r="T141" i="50"/>
  <c r="U141" i="50" s="1"/>
  <c r="V141" i="50" s="1"/>
  <c r="AX141" i="50"/>
  <c r="AY141" i="50" s="1"/>
  <c r="Z141" i="50"/>
  <c r="AA141" i="50" s="1"/>
  <c r="AF141" i="50"/>
  <c r="AG141" i="50" s="1"/>
  <c r="T132" i="50"/>
  <c r="AG41" i="50"/>
  <c r="Q43" i="50"/>
  <c r="R43" i="50" s="1"/>
  <c r="U46" i="50"/>
  <c r="V46" i="50" s="1"/>
  <c r="U48" i="50"/>
  <c r="V48" i="50" s="1"/>
  <c r="AG48" i="50"/>
  <c r="AS48" i="50"/>
  <c r="T49" i="50"/>
  <c r="U49" i="50" s="1"/>
  <c r="AG53" i="50"/>
  <c r="AS53" i="50"/>
  <c r="U54" i="50"/>
  <c r="V54" i="50" s="1"/>
  <c r="AG54" i="50"/>
  <c r="AR54" i="50"/>
  <c r="AS58" i="50"/>
  <c r="Q63" i="50"/>
  <c r="R63" i="50" s="1"/>
  <c r="AG63" i="50"/>
  <c r="AS63" i="50"/>
  <c r="Z65" i="50"/>
  <c r="AA65" i="50" s="1"/>
  <c r="AR65" i="50"/>
  <c r="O68" i="50"/>
  <c r="P68" i="50" s="1"/>
  <c r="Q70" i="50"/>
  <c r="R70" i="50" s="1"/>
  <c r="AS74" i="50"/>
  <c r="AG79" i="50"/>
  <c r="AH79" i="50" s="1"/>
  <c r="AI80" i="50"/>
  <c r="AJ80" i="50" s="1"/>
  <c r="AG80" i="50"/>
  <c r="AH80" i="50" s="1"/>
  <c r="AN80" i="50" s="1"/>
  <c r="AT80" i="50" s="1"/>
  <c r="AO93" i="50"/>
  <c r="AP93" i="50" s="1"/>
  <c r="AT93" i="50"/>
  <c r="AZ93" i="50" s="1"/>
  <c r="AS93" i="50"/>
  <c r="AR95" i="50"/>
  <c r="AS95" i="50" s="1"/>
  <c r="Q143" i="50"/>
  <c r="R143" i="50" s="1"/>
  <c r="Q163" i="50"/>
  <c r="R163" i="50" s="1"/>
  <c r="O163" i="50"/>
  <c r="P163" i="50" s="1"/>
  <c r="V163" i="50" s="1"/>
  <c r="AM163" i="50"/>
  <c r="AL164" i="50"/>
  <c r="AM164" i="50" s="1"/>
  <c r="AR164" i="50"/>
  <c r="AS164" i="50" s="1"/>
  <c r="T164" i="50"/>
  <c r="U164" i="50" s="1"/>
  <c r="AX164" i="50"/>
  <c r="AY164" i="50" s="1"/>
  <c r="Z164" i="50"/>
  <c r="AA164" i="50" s="1"/>
  <c r="AF164" i="50"/>
  <c r="AA166" i="50"/>
  <c r="BA193" i="50"/>
  <c r="AZ195" i="50"/>
  <c r="BA195" i="50" s="1"/>
  <c r="AU195" i="50"/>
  <c r="AV195" i="50" s="1"/>
  <c r="V203" i="50"/>
  <c r="AL211" i="50"/>
  <c r="AM211" i="50" s="1"/>
  <c r="AR211" i="50"/>
  <c r="T211" i="50"/>
  <c r="AF211" i="50"/>
  <c r="AG211" i="50" s="1"/>
  <c r="Z211" i="50"/>
  <c r="AA211" i="50" s="1"/>
  <c r="AF217" i="50"/>
  <c r="AG217" i="50" s="1"/>
  <c r="AL217" i="50"/>
  <c r="AX217" i="50"/>
  <c r="Z217" i="50"/>
  <c r="AA217" i="50" s="1"/>
  <c r="AR217" i="50"/>
  <c r="Q51" i="50"/>
  <c r="R51" i="50" s="1"/>
  <c r="AG51" i="50"/>
  <c r="U53" i="50"/>
  <c r="V53" i="50" s="1"/>
  <c r="AL53" i="50"/>
  <c r="T56" i="50"/>
  <c r="U56" i="50" s="1"/>
  <c r="AS57" i="50"/>
  <c r="U61" i="50"/>
  <c r="V61" i="50" s="1"/>
  <c r="AL61" i="50"/>
  <c r="AM61" i="50" s="1"/>
  <c r="Q62" i="50"/>
  <c r="R62" i="50" s="1"/>
  <c r="Z63" i="50"/>
  <c r="AA63" i="50" s="1"/>
  <c r="T64" i="50"/>
  <c r="AS65" i="50"/>
  <c r="AY66" i="50"/>
  <c r="AA66" i="50"/>
  <c r="U66" i="50"/>
  <c r="V66" i="50" s="1"/>
  <c r="AL67" i="50"/>
  <c r="AX67" i="50"/>
  <c r="AY67" i="50" s="1"/>
  <c r="Q69" i="50"/>
  <c r="R69" i="50" s="1"/>
  <c r="U70" i="50"/>
  <c r="V70" i="50" s="1"/>
  <c r="AG70" i="50"/>
  <c r="AS70" i="50"/>
  <c r="AR71" i="50"/>
  <c r="AS71" i="50" s="1"/>
  <c r="T71" i="50"/>
  <c r="U71" i="50" s="1"/>
  <c r="O72" i="50"/>
  <c r="P72" i="50" s="1"/>
  <c r="V72" i="50" s="1"/>
  <c r="AM86" i="50"/>
  <c r="AN86" i="50" s="1"/>
  <c r="AQ91" i="50"/>
  <c r="AW91" i="50"/>
  <c r="AE91" i="50"/>
  <c r="AO95" i="50"/>
  <c r="AP95" i="50" s="1"/>
  <c r="AM95" i="50"/>
  <c r="AN95" i="50" s="1"/>
  <c r="AM96" i="50"/>
  <c r="AN96" i="50" s="1"/>
  <c r="AY97" i="50"/>
  <c r="AS102" i="50"/>
  <c r="AY103" i="50"/>
  <c r="AO106" i="50"/>
  <c r="AP106" i="50" s="1"/>
  <c r="AU119" i="50"/>
  <c r="AV119" i="50" s="1"/>
  <c r="AY124" i="50"/>
  <c r="AZ124" i="50" s="1"/>
  <c r="BA124" i="50" s="1"/>
  <c r="Q137" i="50"/>
  <c r="R137" i="50" s="1"/>
  <c r="O137" i="50"/>
  <c r="P137" i="50" s="1"/>
  <c r="Z138" i="50"/>
  <c r="AA138" i="50" s="1"/>
  <c r="AR138" i="50"/>
  <c r="AF138" i="50"/>
  <c r="AG138" i="50" s="1"/>
  <c r="T138" i="50"/>
  <c r="AL138" i="50"/>
  <c r="AM138" i="50" s="1"/>
  <c r="AA139" i="50"/>
  <c r="AS156" i="50"/>
  <c r="O158" i="50"/>
  <c r="P158" i="50" s="1"/>
  <c r="Q158" i="50" s="1"/>
  <c r="R158" i="50" s="1"/>
  <c r="AS158" i="50"/>
  <c r="AI171" i="50"/>
  <c r="AJ171" i="50" s="1"/>
  <c r="AN177" i="50"/>
  <c r="AT177" i="50" s="1"/>
  <c r="AZ177" i="50" s="1"/>
  <c r="BA177" i="50" s="1"/>
  <c r="AR178" i="50"/>
  <c r="AS178" i="50" s="1"/>
  <c r="AX178" i="50"/>
  <c r="AY178" i="50" s="1"/>
  <c r="AY187" i="50"/>
  <c r="AU196" i="50"/>
  <c r="AV196" i="50" s="1"/>
  <c r="U203" i="50"/>
  <c r="AS211" i="50"/>
  <c r="AG214" i="50"/>
  <c r="AS54" i="50"/>
  <c r="AG56" i="50"/>
  <c r="U58" i="50"/>
  <c r="V58" i="50" s="1"/>
  <c r="Q59" i="50"/>
  <c r="R59" i="50" s="1"/>
  <c r="AS62" i="50"/>
  <c r="AG64" i="50"/>
  <c r="AG66" i="50"/>
  <c r="U67" i="50"/>
  <c r="AY70" i="50"/>
  <c r="AA70" i="50"/>
  <c r="AM73" i="50"/>
  <c r="O73" i="50"/>
  <c r="P73" i="50" s="1"/>
  <c r="AG75" i="50"/>
  <c r="AW76" i="50"/>
  <c r="Y76" i="50"/>
  <c r="Y132" i="50" s="1"/>
  <c r="J76" i="50"/>
  <c r="J132" i="50" s="1"/>
  <c r="I132" i="50"/>
  <c r="AE76" i="50"/>
  <c r="AK76" i="50"/>
  <c r="AA77" i="50"/>
  <c r="AB77" i="50" s="1"/>
  <c r="AS82" i="50"/>
  <c r="AX85" i="50"/>
  <c r="AL85" i="50"/>
  <c r="AL86" i="50"/>
  <c r="AX86" i="50"/>
  <c r="AY86" i="50" s="1"/>
  <c r="AQ89" i="50"/>
  <c r="AW89" i="50"/>
  <c r="AE89" i="50"/>
  <c r="AE90" i="50"/>
  <c r="AK90" i="50"/>
  <c r="J90" i="50"/>
  <c r="AQ90" i="50"/>
  <c r="J91" i="50"/>
  <c r="BA93" i="50"/>
  <c r="AS97" i="50"/>
  <c r="AY100" i="50"/>
  <c r="AR107" i="50"/>
  <c r="AS107" i="50" s="1"/>
  <c r="AT107" i="50" s="1"/>
  <c r="AY111" i="50"/>
  <c r="AZ111" i="50" s="1"/>
  <c r="BA111" i="50" s="1"/>
  <c r="AS113" i="50"/>
  <c r="AT113" i="50" s="1"/>
  <c r="AS120" i="50"/>
  <c r="AT120" i="50" s="1"/>
  <c r="AY130" i="50"/>
  <c r="AZ130" i="50" s="1"/>
  <c r="BA130" i="50" s="1"/>
  <c r="Q141" i="50"/>
  <c r="R141" i="50" s="1"/>
  <c r="AX142" i="50"/>
  <c r="AY142" i="50" s="1"/>
  <c r="AL142" i="50"/>
  <c r="AM142" i="50" s="1"/>
  <c r="Z142" i="50"/>
  <c r="AA142" i="50" s="1"/>
  <c r="AF142" i="50"/>
  <c r="T142" i="50"/>
  <c r="U142" i="50" s="1"/>
  <c r="V142" i="50" s="1"/>
  <c r="AG145" i="50"/>
  <c r="AA154" i="50"/>
  <c r="AG155" i="50"/>
  <c r="Q160" i="50"/>
  <c r="R160" i="50" s="1"/>
  <c r="Q162" i="50"/>
  <c r="R162" i="50" s="1"/>
  <c r="AM177" i="50"/>
  <c r="AU182" i="50"/>
  <c r="AV182" i="50" s="1"/>
  <c r="AS182" i="50"/>
  <c r="AT182" i="50" s="1"/>
  <c r="AZ182" i="50" s="1"/>
  <c r="BA182" i="50" s="1"/>
  <c r="Q207" i="50"/>
  <c r="R207" i="50" s="1"/>
  <c r="U216" i="50"/>
  <c r="O216" i="50"/>
  <c r="P216" i="50" s="1"/>
  <c r="O240" i="50"/>
  <c r="P240" i="50" s="1"/>
  <c r="V240" i="50" s="1"/>
  <c r="AS255" i="50"/>
  <c r="U255" i="50"/>
  <c r="U63" i="50"/>
  <c r="V63" i="50" s="1"/>
  <c r="Q64" i="50"/>
  <c r="R64" i="50" s="1"/>
  <c r="AM67" i="50"/>
  <c r="O67" i="50"/>
  <c r="P67" i="50" s="1"/>
  <c r="V67" i="50" s="1"/>
  <c r="AB67" i="50" s="1"/>
  <c r="AG67" i="50"/>
  <c r="AG72" i="50"/>
  <c r="AR73" i="50"/>
  <c r="AS73" i="50" s="1"/>
  <c r="T73" i="50"/>
  <c r="U73" i="50" s="1"/>
  <c r="U75" i="50"/>
  <c r="AF78" i="50"/>
  <c r="AG78" i="50" s="1"/>
  <c r="AR78" i="50"/>
  <c r="AS78" i="50" s="1"/>
  <c r="AW85" i="50"/>
  <c r="AK85" i="50"/>
  <c r="J85" i="50"/>
  <c r="AQ87" i="50"/>
  <c r="AW87" i="50"/>
  <c r="AE87" i="50"/>
  <c r="AE88" i="50"/>
  <c r="AK88" i="50"/>
  <c r="J88" i="50"/>
  <c r="AQ88" i="50"/>
  <c r="AI92" i="50"/>
  <c r="AJ92" i="50" s="1"/>
  <c r="AO98" i="50"/>
  <c r="AP98" i="50" s="1"/>
  <c r="AO103" i="50"/>
  <c r="AP103" i="50" s="1"/>
  <c r="AM103" i="50"/>
  <c r="AN103" i="50" s="1"/>
  <c r="AT106" i="50"/>
  <c r="AY107" i="50"/>
  <c r="AM108" i="50"/>
  <c r="AN108" i="50" s="1"/>
  <c r="AT108" i="50" s="1"/>
  <c r="AZ112" i="50"/>
  <c r="AU114" i="50"/>
  <c r="AV114" i="50" s="1"/>
  <c r="AS114" i="50"/>
  <c r="AT114" i="50" s="1"/>
  <c r="AZ114" i="50" s="1"/>
  <c r="BA114" i="50" s="1"/>
  <c r="AU122" i="50"/>
  <c r="AV122" i="50" s="1"/>
  <c r="AY128" i="50"/>
  <c r="AZ128" i="50" s="1"/>
  <c r="BA128" i="50" s="1"/>
  <c r="AM135" i="50"/>
  <c r="AW198" i="50"/>
  <c r="AF139" i="50"/>
  <c r="AG139" i="50" s="1"/>
  <c r="AL139" i="50"/>
  <c r="AM139" i="50" s="1"/>
  <c r="AR139" i="50"/>
  <c r="T139" i="50"/>
  <c r="U139" i="50" s="1"/>
  <c r="V139" i="50" s="1"/>
  <c r="AX139" i="50"/>
  <c r="AY139" i="50" s="1"/>
  <c r="Z139" i="50"/>
  <c r="AF147" i="50"/>
  <c r="AG147" i="50" s="1"/>
  <c r="AL147" i="50"/>
  <c r="AM147" i="50" s="1"/>
  <c r="AR147" i="50"/>
  <c r="AS147" i="50" s="1"/>
  <c r="T147" i="50"/>
  <c r="Z147" i="50"/>
  <c r="AA147" i="50" s="1"/>
  <c r="AX147" i="50"/>
  <c r="AY147" i="50" s="1"/>
  <c r="Q149" i="50"/>
  <c r="R149" i="50" s="1"/>
  <c r="T151" i="50"/>
  <c r="AX151" i="50"/>
  <c r="AY151" i="50" s="1"/>
  <c r="Z151" i="50"/>
  <c r="AL151" i="50"/>
  <c r="AG152" i="50"/>
  <c r="O166" i="50"/>
  <c r="P166" i="50" s="1"/>
  <c r="Q166" i="50"/>
  <c r="R166" i="50" s="1"/>
  <c r="AG172" i="50"/>
  <c r="AH172" i="50" s="1"/>
  <c r="AI172" i="50"/>
  <c r="AJ172" i="50" s="1"/>
  <c r="AI175" i="50"/>
  <c r="AJ175" i="50" s="1"/>
  <c r="AU191" i="50"/>
  <c r="AV191" i="50" s="1"/>
  <c r="P200" i="50"/>
  <c r="O201" i="50"/>
  <c r="P201" i="50" s="1"/>
  <c r="AL203" i="50"/>
  <c r="AR203" i="50"/>
  <c r="AS203" i="50" s="1"/>
  <c r="T203" i="50"/>
  <c r="AX203" i="50"/>
  <c r="AY203" i="50" s="1"/>
  <c r="Z203" i="50"/>
  <c r="AA203" i="50" s="1"/>
  <c r="AF203" i="50"/>
  <c r="O208" i="50"/>
  <c r="P208" i="50" s="1"/>
  <c r="AM208" i="50"/>
  <c r="AX211" i="50"/>
  <c r="AY211" i="50" s="1"/>
  <c r="AS56" i="50"/>
  <c r="AG58" i="50"/>
  <c r="U60" i="50"/>
  <c r="V60" i="50" s="1"/>
  <c r="Q61" i="50"/>
  <c r="R61" i="50" s="1"/>
  <c r="AS64" i="50"/>
  <c r="AS67" i="50"/>
  <c r="AY68" i="50"/>
  <c r="AA68" i="50"/>
  <c r="U68" i="50"/>
  <c r="AG69" i="50"/>
  <c r="AS69" i="50"/>
  <c r="AY72" i="50"/>
  <c r="AA72" i="50"/>
  <c r="AX73" i="50"/>
  <c r="AY73" i="50" s="1"/>
  <c r="AM75" i="50"/>
  <c r="O75" i="50"/>
  <c r="P75" i="50" s="1"/>
  <c r="V75" i="50" s="1"/>
  <c r="AB75" i="50" s="1"/>
  <c r="AH75" i="50" s="1"/>
  <c r="W76" i="50"/>
  <c r="X76" i="50" s="1"/>
  <c r="U76" i="50"/>
  <c r="V76" i="50" s="1"/>
  <c r="AM79" i="50"/>
  <c r="AS81" i="50"/>
  <c r="AY82" i="50"/>
  <c r="AC83" i="50"/>
  <c r="AD83" i="50" s="1"/>
  <c r="AG84" i="50"/>
  <c r="AH84" i="50" s="1"/>
  <c r="AQ85" i="50"/>
  <c r="J87" i="50"/>
  <c r="AY90" i="50"/>
  <c r="AR99" i="50"/>
  <c r="AS99" i="50" s="1"/>
  <c r="AT99" i="50" s="1"/>
  <c r="AO105" i="50"/>
  <c r="AP105" i="50" s="1"/>
  <c r="AU106" i="50"/>
  <c r="AV106" i="50" s="1"/>
  <c r="AS106" i="50"/>
  <c r="BA112" i="50"/>
  <c r="AY112" i="50"/>
  <c r="AY118" i="50"/>
  <c r="AZ118" i="50" s="1"/>
  <c r="BA118" i="50" s="1"/>
  <c r="AR135" i="50"/>
  <c r="T135" i="50"/>
  <c r="AF135" i="50"/>
  <c r="AX135" i="50"/>
  <c r="AY135" i="50" s="1"/>
  <c r="Z135" i="50"/>
  <c r="AS136" i="50"/>
  <c r="AM141" i="50"/>
  <c r="AS144" i="50"/>
  <c r="U144" i="50"/>
  <c r="V144" i="50" s="1"/>
  <c r="AM145" i="50"/>
  <c r="AA162" i="50"/>
  <c r="AG163" i="50"/>
  <c r="V168" i="50"/>
  <c r="Q168" i="50"/>
  <c r="R168" i="50" s="1"/>
  <c r="AX171" i="50"/>
  <c r="AY171" i="50" s="1"/>
  <c r="AL171" i="50"/>
  <c r="AM171" i="50" s="1"/>
  <c r="AN171" i="50" s="1"/>
  <c r="AR171" i="50"/>
  <c r="AN178" i="50"/>
  <c r="AI178" i="50"/>
  <c r="AJ178" i="50" s="1"/>
  <c r="AU184" i="50"/>
  <c r="AV184" i="50" s="1"/>
  <c r="AG203" i="50"/>
  <c r="AR205" i="50"/>
  <c r="T205" i="50"/>
  <c r="U205" i="50" s="1"/>
  <c r="V205" i="50" s="1"/>
  <c r="AF205" i="50"/>
  <c r="AG205" i="50" s="1"/>
  <c r="AX205" i="50"/>
  <c r="AY205" i="50" s="1"/>
  <c r="AL205" i="50"/>
  <c r="Z205" i="50"/>
  <c r="AA205" i="50" s="1"/>
  <c r="AY99" i="50"/>
  <c r="AO100" i="50"/>
  <c r="AP100" i="50" s="1"/>
  <c r="AM100" i="50"/>
  <c r="AN100" i="50" s="1"/>
  <c r="AT100" i="50" s="1"/>
  <c r="AR104" i="50"/>
  <c r="AS104" i="50" s="1"/>
  <c r="AT104" i="50" s="1"/>
  <c r="AZ104" i="50" s="1"/>
  <c r="AX104" i="50"/>
  <c r="AR106" i="50"/>
  <c r="AX106" i="50"/>
  <c r="AY106" i="50" s="1"/>
  <c r="P604" i="50"/>
  <c r="P611" i="50" s="1"/>
  <c r="AT123" i="50"/>
  <c r="BA131" i="50"/>
  <c r="AL136" i="50"/>
  <c r="Z136" i="50"/>
  <c r="AA136" i="50" s="1"/>
  <c r="AR136" i="50"/>
  <c r="AF136" i="50"/>
  <c r="AG136" i="50" s="1"/>
  <c r="AX136" i="50"/>
  <c r="AY136" i="50" s="1"/>
  <c r="AS139" i="50"/>
  <c r="Q146" i="50"/>
  <c r="R146" i="50" s="1"/>
  <c r="Q155" i="50"/>
  <c r="R155" i="50" s="1"/>
  <c r="O155" i="50"/>
  <c r="P155" i="50" s="1"/>
  <c r="V155" i="50" s="1"/>
  <c r="AM155" i="50"/>
  <c r="AL156" i="50"/>
  <c r="AM156" i="50" s="1"/>
  <c r="AR156" i="50"/>
  <c r="T156" i="50"/>
  <c r="U156" i="50" s="1"/>
  <c r="AX156" i="50"/>
  <c r="AY156" i="50" s="1"/>
  <c r="Z156" i="50"/>
  <c r="AA156" i="50" s="1"/>
  <c r="AF156" i="50"/>
  <c r="AG156" i="50" s="1"/>
  <c r="AR157" i="50"/>
  <c r="T157" i="50"/>
  <c r="AL157" i="50"/>
  <c r="AM157" i="50" s="1"/>
  <c r="Z157" i="50"/>
  <c r="AA157" i="50" s="1"/>
  <c r="AX157" i="50"/>
  <c r="AY157" i="50" s="1"/>
  <c r="AF157" i="50"/>
  <c r="AA158" i="50"/>
  <c r="AN176" i="50"/>
  <c r="AI176" i="50"/>
  <c r="AJ176" i="50" s="1"/>
  <c r="AU187" i="50"/>
  <c r="AV187" i="50" s="1"/>
  <c r="AS187" i="50"/>
  <c r="AT187" i="50" s="1"/>
  <c r="AZ187" i="50" s="1"/>
  <c r="BA187" i="50" s="1"/>
  <c r="AZ189" i="50"/>
  <c r="BA189" i="50" s="1"/>
  <c r="AU189" i="50"/>
  <c r="AV189" i="50" s="1"/>
  <c r="AU192" i="50"/>
  <c r="AV192" i="50" s="1"/>
  <c r="AM203" i="50"/>
  <c r="AX207" i="50"/>
  <c r="AY207" i="50" s="1"/>
  <c r="Z207" i="50"/>
  <c r="AA207" i="50" s="1"/>
  <c r="AR207" i="50"/>
  <c r="AS207" i="50" s="1"/>
  <c r="AF207" i="50"/>
  <c r="AG207" i="50" s="1"/>
  <c r="AL207" i="50"/>
  <c r="T207" i="50"/>
  <c r="T217" i="50"/>
  <c r="U217" i="50" s="1"/>
  <c r="AM91" i="50"/>
  <c r="AS94" i="50"/>
  <c r="AO97" i="50"/>
  <c r="AP97" i="50" s="1"/>
  <c r="AS98" i="50"/>
  <c r="AT98" i="50" s="1"/>
  <c r="AX101" i="50"/>
  <c r="AY101" i="50" s="1"/>
  <c r="AR101" i="50"/>
  <c r="AS101" i="50" s="1"/>
  <c r="AT101" i="50" s="1"/>
  <c r="BA104" i="50"/>
  <c r="AY104" i="50"/>
  <c r="AU111" i="50"/>
  <c r="AV111" i="50" s="1"/>
  <c r="BA115" i="50"/>
  <c r="AY115" i="50"/>
  <c r="AZ115" i="50" s="1"/>
  <c r="AU116" i="50"/>
  <c r="AV116" i="50" s="1"/>
  <c r="AZ116" i="50"/>
  <c r="BA116" i="50" s="1"/>
  <c r="AU117" i="50"/>
  <c r="AV117" i="50" s="1"/>
  <c r="AS117" i="50"/>
  <c r="AT117" i="50" s="1"/>
  <c r="AZ117" i="50" s="1"/>
  <c r="BA117" i="50" s="1"/>
  <c r="AY122" i="50"/>
  <c r="M198" i="50"/>
  <c r="O135" i="50"/>
  <c r="J198" i="50"/>
  <c r="Q139" i="50"/>
  <c r="R139" i="50" s="1"/>
  <c r="AA140" i="50"/>
  <c r="AS141" i="50"/>
  <c r="U146" i="50"/>
  <c r="V146" i="50" s="1"/>
  <c r="AG150" i="50"/>
  <c r="U150" i="50"/>
  <c r="AS150" i="50"/>
  <c r="AM151" i="50"/>
  <c r="AG162" i="50"/>
  <c r="AX175" i="50"/>
  <c r="AL175" i="50"/>
  <c r="AM175" i="50" s="1"/>
  <c r="AN175" i="50" s="1"/>
  <c r="AR175" i="50"/>
  <c r="AY188" i="50"/>
  <c r="AZ188" i="50" s="1"/>
  <c r="BA188" i="50" s="1"/>
  <c r="AA201" i="50"/>
  <c r="AX206" i="50"/>
  <c r="Z206" i="50"/>
  <c r="AA206" i="50" s="1"/>
  <c r="T206" i="50"/>
  <c r="U206" i="50" s="1"/>
  <c r="AR206" i="50"/>
  <c r="AF206" i="50"/>
  <c r="AL206" i="50"/>
  <c r="Q223" i="50"/>
  <c r="R223" i="50" s="1"/>
  <c r="AS122" i="50"/>
  <c r="AT122" i="50" s="1"/>
  <c r="AZ122" i="50" s="1"/>
  <c r="BA122" i="50" s="1"/>
  <c r="N198" i="50"/>
  <c r="U136" i="50"/>
  <c r="AS137" i="50"/>
  <c r="U138" i="50"/>
  <c r="V138" i="50" s="1"/>
  <c r="AB138" i="50" s="1"/>
  <c r="AC138" i="50" s="1"/>
  <c r="AD138" i="50" s="1"/>
  <c r="AG142" i="50"/>
  <c r="T144" i="50"/>
  <c r="AF144" i="50"/>
  <c r="AG144" i="50" s="1"/>
  <c r="T146" i="50"/>
  <c r="AG146" i="50"/>
  <c r="AG148" i="50"/>
  <c r="AL149" i="50"/>
  <c r="AM149" i="50" s="1"/>
  <c r="AY149" i="50"/>
  <c r="AS151" i="50"/>
  <c r="W151" i="50"/>
  <c r="X151" i="50" s="1"/>
  <c r="AG157" i="50"/>
  <c r="AS157" i="50"/>
  <c r="AR158" i="50"/>
  <c r="T158" i="50"/>
  <c r="AX158" i="50"/>
  <c r="AY158" i="50" s="1"/>
  <c r="Z158" i="50"/>
  <c r="AF158" i="50"/>
  <c r="AL158" i="50"/>
  <c r="AM158" i="50" s="1"/>
  <c r="AS159" i="50"/>
  <c r="U159" i="50"/>
  <c r="AG159" i="50"/>
  <c r="AG165" i="50"/>
  <c r="AS165" i="50"/>
  <c r="AR166" i="50"/>
  <c r="AS166" i="50" s="1"/>
  <c r="T166" i="50"/>
  <c r="U166" i="50" s="1"/>
  <c r="AX166" i="50"/>
  <c r="AY166" i="50" s="1"/>
  <c r="Z166" i="50"/>
  <c r="AF166" i="50"/>
  <c r="AG166" i="50" s="1"/>
  <c r="AL166" i="50"/>
  <c r="AM166" i="50" s="1"/>
  <c r="AS167" i="50"/>
  <c r="U167" i="50"/>
  <c r="AG167" i="50"/>
  <c r="AF169" i="50"/>
  <c r="AG169" i="50" s="1"/>
  <c r="AL169" i="50"/>
  <c r="AM169" i="50" s="1"/>
  <c r="AR169" i="50"/>
  <c r="AS169" i="50" s="1"/>
  <c r="AL174" i="50"/>
  <c r="AM174" i="50" s="1"/>
  <c r="AR174" i="50"/>
  <c r="AS174" i="50" s="1"/>
  <c r="AX174" i="50"/>
  <c r="AY174" i="50" s="1"/>
  <c r="AS194" i="50"/>
  <c r="AT194" i="50" s="1"/>
  <c r="AF201" i="50"/>
  <c r="AG201" i="50" s="1"/>
  <c r="AL201" i="50"/>
  <c r="AM201" i="50" s="1"/>
  <c r="AR201" i="50"/>
  <c r="AS201" i="50" s="1"/>
  <c r="T201" i="50"/>
  <c r="U201" i="50" s="1"/>
  <c r="AX201" i="50"/>
  <c r="AY201" i="50" s="1"/>
  <c r="Q204" i="50"/>
  <c r="R204" i="50" s="1"/>
  <c r="Z204" i="50"/>
  <c r="AA204" i="50" s="1"/>
  <c r="AL204" i="50"/>
  <c r="AM204" i="50" s="1"/>
  <c r="AG206" i="50"/>
  <c r="AM207" i="50"/>
  <c r="V221" i="50"/>
  <c r="Z234" i="50"/>
  <c r="AA234" i="50" s="1"/>
  <c r="AF234" i="50"/>
  <c r="AX234" i="50"/>
  <c r="AY234" i="50" s="1"/>
  <c r="AR234" i="50"/>
  <c r="AS234" i="50" s="1"/>
  <c r="T234" i="50"/>
  <c r="AR77" i="50"/>
  <c r="AS77" i="50" s="1"/>
  <c r="AX79" i="50"/>
  <c r="AY79" i="50" s="1"/>
  <c r="AS121" i="50"/>
  <c r="AT121" i="50" s="1"/>
  <c r="BA129" i="50"/>
  <c r="O136" i="50"/>
  <c r="P136" i="50" s="1"/>
  <c r="Q140" i="50"/>
  <c r="R140" i="50" s="1"/>
  <c r="O140" i="50"/>
  <c r="P140" i="50" s="1"/>
  <c r="V140" i="50" s="1"/>
  <c r="AS142" i="50"/>
  <c r="AF146" i="50"/>
  <c r="AS146" i="50"/>
  <c r="AR150" i="50"/>
  <c r="AS152" i="50"/>
  <c r="AY155" i="50"/>
  <c r="Q156" i="50"/>
  <c r="R156" i="50" s="1"/>
  <c r="W157" i="50"/>
  <c r="X157" i="50" s="1"/>
  <c r="U157" i="50"/>
  <c r="V157" i="50" s="1"/>
  <c r="AB157" i="50" s="1"/>
  <c r="AX159" i="50"/>
  <c r="AY159" i="50" s="1"/>
  <c r="Z159" i="50"/>
  <c r="AS160" i="50"/>
  <c r="AY163" i="50"/>
  <c r="Q164" i="50"/>
  <c r="R164" i="50" s="1"/>
  <c r="W165" i="50"/>
  <c r="X165" i="50" s="1"/>
  <c r="U165" i="50"/>
  <c r="V165" i="50" s="1"/>
  <c r="AB165" i="50" s="1"/>
  <c r="AX167" i="50"/>
  <c r="AY167" i="50" s="1"/>
  <c r="Z167" i="50"/>
  <c r="AS168" i="50"/>
  <c r="AX169" i="50"/>
  <c r="AY169" i="50" s="1"/>
  <c r="AS173" i="50"/>
  <c r="AY175" i="50"/>
  <c r="AY176" i="50"/>
  <c r="AI177" i="50"/>
  <c r="AJ177" i="50" s="1"/>
  <c r="BA180" i="50"/>
  <c r="AY180" i="50"/>
  <c r="AZ180" i="50" s="1"/>
  <c r="AY183" i="50"/>
  <c r="AE384" i="50"/>
  <c r="AG200" i="50"/>
  <c r="AR200" i="50"/>
  <c r="AR202" i="50"/>
  <c r="AS202" i="50" s="1"/>
  <c r="AM205" i="50"/>
  <c r="O210" i="50"/>
  <c r="P210" i="50" s="1"/>
  <c r="Q211" i="50"/>
  <c r="R211" i="50" s="1"/>
  <c r="O217" i="50"/>
  <c r="P217" i="50" s="1"/>
  <c r="AS217" i="50"/>
  <c r="AL234" i="50"/>
  <c r="AM234" i="50" s="1"/>
  <c r="AA236" i="50"/>
  <c r="AL242" i="50"/>
  <c r="AM242" i="50" s="1"/>
  <c r="Z242" i="50"/>
  <c r="AA242" i="50" s="1"/>
  <c r="AX242" i="50"/>
  <c r="AY242" i="50" s="1"/>
  <c r="T242" i="50"/>
  <c r="AR242" i="50"/>
  <c r="AS242" i="50" s="1"/>
  <c r="AF242" i="50"/>
  <c r="AL77" i="50"/>
  <c r="AM77" i="50" s="1"/>
  <c r="AY119" i="50"/>
  <c r="AZ119" i="50" s="1"/>
  <c r="BA119" i="50" s="1"/>
  <c r="BA125" i="50"/>
  <c r="W138" i="50"/>
  <c r="X138" i="50" s="1"/>
  <c r="AM140" i="50"/>
  <c r="Q142" i="50"/>
  <c r="R142" i="50" s="1"/>
  <c r="AR143" i="50"/>
  <c r="AS143" i="50" s="1"/>
  <c r="T143" i="50"/>
  <c r="U143" i="50" s="1"/>
  <c r="V143" i="50" s="1"/>
  <c r="AX143" i="50"/>
  <c r="AY143" i="50" s="1"/>
  <c r="Z143" i="50"/>
  <c r="AA143" i="50" s="1"/>
  <c r="AF143" i="50"/>
  <c r="AG143" i="50" s="1"/>
  <c r="AA144" i="50"/>
  <c r="O148" i="50"/>
  <c r="P148" i="50" s="1"/>
  <c r="V148" i="50" s="1"/>
  <c r="T149" i="50"/>
  <c r="U149" i="50" s="1"/>
  <c r="AF149" i="50"/>
  <c r="AG149" i="50" s="1"/>
  <c r="AA151" i="50"/>
  <c r="AB151" i="50" s="1"/>
  <c r="Z153" i="50"/>
  <c r="AA153" i="50" s="1"/>
  <c r="O159" i="50"/>
  <c r="P159" i="50" s="1"/>
  <c r="AA159" i="50"/>
  <c r="Z161" i="50"/>
  <c r="AA161" i="50" s="1"/>
  <c r="O167" i="50"/>
  <c r="P167" i="50" s="1"/>
  <c r="AA167" i="50"/>
  <c r="AA169" i="50"/>
  <c r="AB169" i="50" s="1"/>
  <c r="AH169" i="50" s="1"/>
  <c r="AN169" i="50" s="1"/>
  <c r="AG174" i="50"/>
  <c r="AH174" i="50" s="1"/>
  <c r="AN174" i="50" s="1"/>
  <c r="AT174" i="50" s="1"/>
  <c r="AY181" i="50"/>
  <c r="AZ181" i="50" s="1"/>
  <c r="AY184" i="50"/>
  <c r="AZ184" i="50" s="1"/>
  <c r="BA184" i="50" s="1"/>
  <c r="AY186" i="50"/>
  <c r="AZ186" i="50" s="1"/>
  <c r="BA186" i="50" s="1"/>
  <c r="AU190" i="50"/>
  <c r="AV190" i="50" s="1"/>
  <c r="AS190" i="50"/>
  <c r="AT190" i="50" s="1"/>
  <c r="AZ190" i="50" s="1"/>
  <c r="BA190" i="50" s="1"/>
  <c r="AY196" i="50"/>
  <c r="AZ196" i="50" s="1"/>
  <c r="BA196" i="50" s="1"/>
  <c r="AG204" i="50"/>
  <c r="AS204" i="50"/>
  <c r="AS205" i="50"/>
  <c r="AS206" i="50"/>
  <c r="AG208" i="50"/>
  <c r="AR213" i="50"/>
  <c r="T213" i="50"/>
  <c r="AX213" i="50"/>
  <c r="Z213" i="50"/>
  <c r="AL213" i="50"/>
  <c r="AF213" i="50"/>
  <c r="AG213" i="50" s="1"/>
  <c r="AA213" i="50"/>
  <c r="AF216" i="50"/>
  <c r="AG216" i="50" s="1"/>
  <c r="AX216" i="50"/>
  <c r="AL216" i="50"/>
  <c r="AM216" i="50" s="1"/>
  <c r="Z216" i="50"/>
  <c r="AA216" i="50" s="1"/>
  <c r="AR216" i="50"/>
  <c r="AS216" i="50" s="1"/>
  <c r="AM217" i="50"/>
  <c r="V225" i="50"/>
  <c r="Q225" i="50"/>
  <c r="R225" i="50" s="1"/>
  <c r="Q238" i="50"/>
  <c r="R238" i="50" s="1"/>
  <c r="AY126" i="50"/>
  <c r="AZ126" i="50" s="1"/>
  <c r="BA126" i="50" s="1"/>
  <c r="S198" i="50"/>
  <c r="AS138" i="50"/>
  <c r="AY140" i="50"/>
  <c r="AM144" i="50"/>
  <c r="Q151" i="50"/>
  <c r="R151" i="50" s="1"/>
  <c r="U152" i="50"/>
  <c r="V152" i="50" s="1"/>
  <c r="V156" i="50"/>
  <c r="U160" i="50"/>
  <c r="V160" i="50" s="1"/>
  <c r="V164" i="50"/>
  <c r="AG164" i="50"/>
  <c r="U168" i="50"/>
  <c r="AL170" i="50"/>
  <c r="AM170" i="50" s="1"/>
  <c r="AR170" i="50"/>
  <c r="AS170" i="50" s="1"/>
  <c r="AX170" i="50"/>
  <c r="AY170" i="50" s="1"/>
  <c r="AF170" i="50"/>
  <c r="AG170" i="50" s="1"/>
  <c r="AH170" i="50" s="1"/>
  <c r="AL172" i="50"/>
  <c r="AM172" i="50" s="1"/>
  <c r="AR172" i="50"/>
  <c r="AS172" i="50" s="1"/>
  <c r="AX172" i="50"/>
  <c r="AY172" i="50" s="1"/>
  <c r="AY189" i="50"/>
  <c r="AY192" i="50"/>
  <c r="AZ192" i="50" s="1"/>
  <c r="BA192" i="50" s="1"/>
  <c r="AU193" i="50"/>
  <c r="AV193" i="50" s="1"/>
  <c r="Q203" i="50"/>
  <c r="R203" i="50" s="1"/>
  <c r="AF219" i="50"/>
  <c r="AL219" i="50"/>
  <c r="AR219" i="50"/>
  <c r="AS219" i="50" s="1"/>
  <c r="T219" i="50"/>
  <c r="U219" i="50" s="1"/>
  <c r="V219" i="50" s="1"/>
  <c r="AX219" i="50"/>
  <c r="AY219" i="50" s="1"/>
  <c r="Z219" i="50"/>
  <c r="AA219" i="50" s="1"/>
  <c r="AG221" i="50"/>
  <c r="V241" i="50"/>
  <c r="Q241" i="50"/>
  <c r="R241" i="50" s="1"/>
  <c r="AF247" i="50"/>
  <c r="AL247" i="50"/>
  <c r="AM247" i="50" s="1"/>
  <c r="AR247" i="50"/>
  <c r="T247" i="50"/>
  <c r="AX247" i="50"/>
  <c r="Z247" i="50"/>
  <c r="AA247" i="50" s="1"/>
  <c r="AY125" i="50"/>
  <c r="AZ125" i="50" s="1"/>
  <c r="U135" i="50"/>
  <c r="AM136" i="50"/>
  <c r="AX137" i="50"/>
  <c r="AY137" i="50" s="1"/>
  <c r="Z137" i="50"/>
  <c r="AA137" i="50" s="1"/>
  <c r="AL137" i="50"/>
  <c r="AM137" i="50" s="1"/>
  <c r="T137" i="50"/>
  <c r="U137" i="50" s="1"/>
  <c r="AL143" i="50"/>
  <c r="AM143" i="50" s="1"/>
  <c r="AY144" i="50"/>
  <c r="Z146" i="50"/>
  <c r="AA146" i="50" s="1"/>
  <c r="AM148" i="50"/>
  <c r="AR149" i="50"/>
  <c r="AS149" i="50" s="1"/>
  <c r="AA150" i="50"/>
  <c r="AM150" i="50"/>
  <c r="AX150" i="50"/>
  <c r="AY150" i="50" s="1"/>
  <c r="AS153" i="50"/>
  <c r="AF154" i="50"/>
  <c r="AG154" i="50" s="1"/>
  <c r="AL154" i="50"/>
  <c r="AM154" i="50" s="1"/>
  <c r="AR154" i="50"/>
  <c r="AS154" i="50" s="1"/>
  <c r="T154" i="50"/>
  <c r="U154" i="50" s="1"/>
  <c r="V154" i="50" s="1"/>
  <c r="AX154" i="50"/>
  <c r="AY154" i="50" s="1"/>
  <c r="Q157" i="50"/>
  <c r="R157" i="50" s="1"/>
  <c r="AG158" i="50"/>
  <c r="AY160" i="50"/>
  <c r="AS161" i="50"/>
  <c r="AF162" i="50"/>
  <c r="AL162" i="50"/>
  <c r="AM162" i="50" s="1"/>
  <c r="AR162" i="50"/>
  <c r="AS162" i="50" s="1"/>
  <c r="T162" i="50"/>
  <c r="U162" i="50" s="1"/>
  <c r="V162" i="50" s="1"/>
  <c r="AX162" i="50"/>
  <c r="AY162" i="50" s="1"/>
  <c r="Q165" i="50"/>
  <c r="R165" i="50" s="1"/>
  <c r="AC169" i="50"/>
  <c r="AD169" i="50" s="1"/>
  <c r="AS171" i="50"/>
  <c r="AI174" i="50"/>
  <c r="AJ174" i="50" s="1"/>
  <c r="AS175" i="50"/>
  <c r="AR177" i="50"/>
  <c r="AS177" i="50" s="1"/>
  <c r="AX177" i="50"/>
  <c r="AY177" i="50" s="1"/>
  <c r="BA181" i="50"/>
  <c r="AS183" i="50"/>
  <c r="AT183" i="50" s="1"/>
  <c r="AS185" i="50"/>
  <c r="AT185" i="50" s="1"/>
  <c r="AZ185" i="50" s="1"/>
  <c r="BA185" i="50" s="1"/>
  <c r="AY197" i="50"/>
  <c r="AZ197" i="50" s="1"/>
  <c r="BA197" i="50" s="1"/>
  <c r="AL200" i="50"/>
  <c r="AX200" i="50"/>
  <c r="O202" i="50"/>
  <c r="AA202" i="50"/>
  <c r="AM202" i="50"/>
  <c r="AX202" i="50"/>
  <c r="AY202" i="50" s="1"/>
  <c r="AY206" i="50"/>
  <c r="W211" i="50"/>
  <c r="X211" i="50" s="1"/>
  <c r="U211" i="50"/>
  <c r="V211" i="50" s="1"/>
  <c r="AB211" i="50" s="1"/>
  <c r="AR212" i="50"/>
  <c r="T212" i="50"/>
  <c r="U212" i="50" s="1"/>
  <c r="AX212" i="50"/>
  <c r="AY212" i="50" s="1"/>
  <c r="AL212" i="50"/>
  <c r="AM212" i="50" s="1"/>
  <c r="Z212" i="50"/>
  <c r="AA212" i="50" s="1"/>
  <c r="AF212" i="50"/>
  <c r="AY213" i="50"/>
  <c r="AM215" i="50"/>
  <c r="O215" i="50"/>
  <c r="P215" i="50" s="1"/>
  <c r="AA215" i="50"/>
  <c r="U234" i="50"/>
  <c r="J604" i="50"/>
  <c r="J611" i="50" s="1"/>
  <c r="AQ198" i="50"/>
  <c r="AG140" i="50"/>
  <c r="V145" i="50"/>
  <c r="AY148" i="50"/>
  <c r="O149" i="50"/>
  <c r="P149" i="50" s="1"/>
  <c r="AA149" i="50"/>
  <c r="AX152" i="50"/>
  <c r="AY152" i="50" s="1"/>
  <c r="Z152" i="50"/>
  <c r="AA152" i="50" s="1"/>
  <c r="AF152" i="50"/>
  <c r="AL152" i="50"/>
  <c r="AM152" i="50" s="1"/>
  <c r="U153" i="50"/>
  <c r="V153" i="50" s="1"/>
  <c r="AG153" i="50"/>
  <c r="U158" i="50"/>
  <c r="AX160" i="50"/>
  <c r="Z160" i="50"/>
  <c r="AA160" i="50" s="1"/>
  <c r="AF160" i="50"/>
  <c r="AG160" i="50" s="1"/>
  <c r="AL160" i="50"/>
  <c r="AM160" i="50" s="1"/>
  <c r="U161" i="50"/>
  <c r="V161" i="50" s="1"/>
  <c r="AG161" i="50"/>
  <c r="AX168" i="50"/>
  <c r="AY168" i="50" s="1"/>
  <c r="Z168" i="50"/>
  <c r="AA168" i="50" s="1"/>
  <c r="AF168" i="50"/>
  <c r="AG168" i="50" s="1"/>
  <c r="AL168" i="50"/>
  <c r="AM168" i="50" s="1"/>
  <c r="AI169" i="50"/>
  <c r="AJ169" i="50" s="1"/>
  <c r="AX173" i="50"/>
  <c r="AY173" i="50" s="1"/>
  <c r="AL173" i="50"/>
  <c r="AM173" i="50" s="1"/>
  <c r="AN173" i="50" s="1"/>
  <c r="AO174" i="50"/>
  <c r="AP174" i="50" s="1"/>
  <c r="AU188" i="50"/>
  <c r="AV188" i="50" s="1"/>
  <c r="AS191" i="50"/>
  <c r="AT191" i="50" s="1"/>
  <c r="AZ191" i="50" s="1"/>
  <c r="BA191" i="50" s="1"/>
  <c r="N384" i="50"/>
  <c r="AA200" i="50"/>
  <c r="AR204" i="50"/>
  <c r="AX204" i="50"/>
  <c r="AY204" i="50" s="1"/>
  <c r="T204" i="50"/>
  <c r="U214" i="50"/>
  <c r="AY217" i="50"/>
  <c r="AG231" i="50"/>
  <c r="T218" i="50"/>
  <c r="U218" i="50" s="1"/>
  <c r="AG218" i="50"/>
  <c r="AR220" i="50"/>
  <c r="AS220" i="50" s="1"/>
  <c r="T220" i="50"/>
  <c r="U220" i="50" s="1"/>
  <c r="AR224" i="50"/>
  <c r="AS224" i="50" s="1"/>
  <c r="Z224" i="50"/>
  <c r="AF224" i="50"/>
  <c r="AG224" i="50" s="1"/>
  <c r="O226" i="50"/>
  <c r="P226" i="50" s="1"/>
  <c r="V226" i="50" s="1"/>
  <c r="AB226" i="50" s="1"/>
  <c r="AS226" i="50"/>
  <c r="AL230" i="50"/>
  <c r="AM230" i="50" s="1"/>
  <c r="T230" i="50"/>
  <c r="U230" i="50" s="1"/>
  <c r="V230" i="50" s="1"/>
  <c r="Z230" i="50"/>
  <c r="AA230" i="50" s="1"/>
  <c r="AX230" i="50"/>
  <c r="AY230" i="50" s="1"/>
  <c r="AY231" i="50"/>
  <c r="AG242" i="50"/>
  <c r="AR243" i="50"/>
  <c r="T243" i="50"/>
  <c r="U243" i="50" s="1"/>
  <c r="V243" i="50" s="1"/>
  <c r="AX243" i="50"/>
  <c r="AY243" i="50" s="1"/>
  <c r="Z243" i="50"/>
  <c r="AA243" i="50" s="1"/>
  <c r="AF243" i="50"/>
  <c r="Q246" i="50"/>
  <c r="R246" i="50" s="1"/>
  <c r="V246" i="50"/>
  <c r="AF260" i="50"/>
  <c r="AG260" i="50" s="1"/>
  <c r="AL260" i="50"/>
  <c r="Z260" i="50"/>
  <c r="AA260" i="50" s="1"/>
  <c r="AX260" i="50"/>
  <c r="AY260" i="50" s="1"/>
  <c r="T260" i="50"/>
  <c r="U260" i="50" s="1"/>
  <c r="AR260" i="50"/>
  <c r="O206" i="50"/>
  <c r="P206" i="50" s="1"/>
  <c r="AA208" i="50"/>
  <c r="AA209" i="50"/>
  <c r="AY209" i="50"/>
  <c r="AG212" i="50"/>
  <c r="AF218" i="50"/>
  <c r="AR218" i="50"/>
  <c r="AS218" i="50" s="1"/>
  <c r="AY220" i="50"/>
  <c r="AX222" i="50"/>
  <c r="AY222" i="50" s="1"/>
  <c r="Z222" i="50"/>
  <c r="AA222" i="50" s="1"/>
  <c r="AS223" i="50"/>
  <c r="AY225" i="50"/>
  <c r="AR227" i="50"/>
  <c r="AS227" i="50" s="1"/>
  <c r="T227" i="50"/>
  <c r="U227" i="50" s="1"/>
  <c r="AM227" i="50"/>
  <c r="AX227" i="50"/>
  <c r="AY227" i="50" s="1"/>
  <c r="AR228" i="50"/>
  <c r="V233" i="50"/>
  <c r="Q235" i="50"/>
  <c r="R235" i="50" s="1"/>
  <c r="O235" i="50"/>
  <c r="P235" i="50" s="1"/>
  <c r="AY237" i="50"/>
  <c r="AS239" i="50"/>
  <c r="AY282" i="50"/>
  <c r="AM333" i="50"/>
  <c r="AN333" i="50" s="1"/>
  <c r="O150" i="50"/>
  <c r="P150" i="50" s="1"/>
  <c r="V150" i="50" s="1"/>
  <c r="AU179" i="50"/>
  <c r="AV179" i="50" s="1"/>
  <c r="J605" i="50"/>
  <c r="Y384" i="50"/>
  <c r="AW384" i="50"/>
  <c r="U207" i="50"/>
  <c r="V207" i="50" s="1"/>
  <c r="AY208" i="50"/>
  <c r="AA210" i="50"/>
  <c r="AS212" i="50"/>
  <c r="U213" i="50"/>
  <c r="V213" i="50" s="1"/>
  <c r="AS213" i="50"/>
  <c r="AX214" i="50"/>
  <c r="Z214" i="50"/>
  <c r="AA214" i="50" s="1"/>
  <c r="AR214" i="50"/>
  <c r="AS214" i="50" s="1"/>
  <c r="AX215" i="50"/>
  <c r="AY215" i="50" s="1"/>
  <c r="Z215" i="50"/>
  <c r="AF215" i="50"/>
  <c r="AG215" i="50" s="1"/>
  <c r="Q218" i="50"/>
  <c r="R218" i="50" s="1"/>
  <c r="AG219" i="50"/>
  <c r="O220" i="50"/>
  <c r="P220" i="50" s="1"/>
  <c r="V220" i="50" s="1"/>
  <c r="AA220" i="50"/>
  <c r="AL220" i="50"/>
  <c r="AM220" i="50" s="1"/>
  <c r="AX220" i="50"/>
  <c r="AS221" i="50"/>
  <c r="Q224" i="50"/>
  <c r="R224" i="50" s="1"/>
  <c r="AX225" i="50"/>
  <c r="AL227" i="50"/>
  <c r="AF228" i="50"/>
  <c r="AG228" i="50" s="1"/>
  <c r="W233" i="50"/>
  <c r="X233" i="50" s="1"/>
  <c r="U233" i="50"/>
  <c r="AM233" i="50"/>
  <c r="AA245" i="50"/>
  <c r="AA248" i="50"/>
  <c r="AM249" i="50"/>
  <c r="V259" i="50"/>
  <c r="Q259" i="50"/>
  <c r="R259" i="50" s="1"/>
  <c r="AF265" i="50"/>
  <c r="AG265" i="50" s="1"/>
  <c r="AL265" i="50"/>
  <c r="AX265" i="50"/>
  <c r="Z265" i="50"/>
  <c r="AA265" i="50" s="1"/>
  <c r="AR265" i="50"/>
  <c r="T265" i="50"/>
  <c r="AS228" i="50"/>
  <c r="Q229" i="50"/>
  <c r="R229" i="50" s="1"/>
  <c r="O229" i="50"/>
  <c r="P229" i="50" s="1"/>
  <c r="AG230" i="50"/>
  <c r="AS233" i="50"/>
  <c r="AM235" i="50"/>
  <c r="O236" i="50"/>
  <c r="P236" i="50" s="1"/>
  <c r="Q236" i="50" s="1"/>
  <c r="R236" i="50" s="1"/>
  <c r="AM236" i="50"/>
  <c r="AL243" i="50"/>
  <c r="AM243" i="50" s="1"/>
  <c r="AX245" i="50"/>
  <c r="AY245" i="50" s="1"/>
  <c r="Z245" i="50"/>
  <c r="AF245" i="50"/>
  <c r="AG245" i="50" s="1"/>
  <c r="AL245" i="50"/>
  <c r="T245" i="50"/>
  <c r="AR245" i="50"/>
  <c r="AS245" i="50" s="1"/>
  <c r="AL252" i="50"/>
  <c r="T252" i="50"/>
  <c r="U252" i="50" s="1"/>
  <c r="AR252" i="50"/>
  <c r="AS252" i="50" s="1"/>
  <c r="AF252" i="50"/>
  <c r="AX252" i="50"/>
  <c r="AY252" i="50" s="1"/>
  <c r="O269" i="50"/>
  <c r="P269" i="50" s="1"/>
  <c r="W298" i="50"/>
  <c r="X298" i="50" s="1"/>
  <c r="U298" i="50"/>
  <c r="V298" i="50" s="1"/>
  <c r="S384" i="50"/>
  <c r="Q206" i="50"/>
  <c r="R206" i="50" s="1"/>
  <c r="AM206" i="50"/>
  <c r="Q212" i="50"/>
  <c r="R212" i="50" s="1"/>
  <c r="O212" i="50"/>
  <c r="P212" i="50" s="1"/>
  <c r="O214" i="50"/>
  <c r="P214" i="50" s="1"/>
  <c r="AY216" i="50"/>
  <c r="W221" i="50"/>
  <c r="X221" i="50" s="1"/>
  <c r="AY223" i="50"/>
  <c r="U223" i="50"/>
  <c r="V223" i="50" s="1"/>
  <c r="AA225" i="50"/>
  <c r="W226" i="50"/>
  <c r="X226" i="50" s="1"/>
  <c r="T228" i="50"/>
  <c r="U228" i="50" s="1"/>
  <c r="AF230" i="50"/>
  <c r="AR230" i="50"/>
  <c r="Q231" i="50"/>
  <c r="R231" i="50" s="1"/>
  <c r="U232" i="50"/>
  <c r="AG232" i="50"/>
  <c r="AL233" i="50"/>
  <c r="AR233" i="50"/>
  <c r="Z233" i="50"/>
  <c r="AX233" i="50"/>
  <c r="AY233" i="50" s="1"/>
  <c r="AF233" i="50"/>
  <c r="AG233" i="50" s="1"/>
  <c r="AA233" i="50"/>
  <c r="AM245" i="50"/>
  <c r="AY247" i="50"/>
  <c r="O249" i="50"/>
  <c r="P249" i="50" s="1"/>
  <c r="Q249" i="50"/>
  <c r="R249" i="50" s="1"/>
  <c r="U264" i="50"/>
  <c r="O264" i="50"/>
  <c r="P264" i="50" s="1"/>
  <c r="AG264" i="50"/>
  <c r="AM213" i="50"/>
  <c r="V218" i="50"/>
  <c r="Z218" i="50"/>
  <c r="AA218" i="50" s="1"/>
  <c r="Q219" i="50"/>
  <c r="R219" i="50" s="1"/>
  <c r="AS222" i="50"/>
  <c r="AL228" i="50"/>
  <c r="AM228" i="50" s="1"/>
  <c r="Z228" i="50"/>
  <c r="AA228" i="50" s="1"/>
  <c r="AY228" i="50"/>
  <c r="AG246" i="50"/>
  <c r="AF248" i="50"/>
  <c r="AG248" i="50" s="1"/>
  <c r="AR248" i="50"/>
  <c r="AS248" i="50" s="1"/>
  <c r="T248" i="50"/>
  <c r="U248" i="50" s="1"/>
  <c r="AL248" i="50"/>
  <c r="AX248" i="50"/>
  <c r="V252" i="50"/>
  <c r="U253" i="50"/>
  <c r="AU180" i="50"/>
  <c r="AV180" i="50" s="1"/>
  <c r="M384" i="50"/>
  <c r="U200" i="50"/>
  <c r="AK384" i="50"/>
  <c r="AS200" i="50"/>
  <c r="T208" i="50"/>
  <c r="U208" i="50" s="1"/>
  <c r="AS208" i="50"/>
  <c r="AF209" i="50"/>
  <c r="AG209" i="50" s="1"/>
  <c r="AL209" i="50"/>
  <c r="AM209" i="50" s="1"/>
  <c r="T209" i="50"/>
  <c r="U209" i="50" s="1"/>
  <c r="AR209" i="50"/>
  <c r="AS209" i="50" s="1"/>
  <c r="T210" i="50"/>
  <c r="U210" i="50" s="1"/>
  <c r="AG210" i="50"/>
  <c r="AL214" i="50"/>
  <c r="AM214" i="50" s="1"/>
  <c r="AY214" i="50"/>
  <c r="AX218" i="50"/>
  <c r="AY218" i="50" s="1"/>
  <c r="AM219" i="50"/>
  <c r="AL221" i="50"/>
  <c r="AM221" i="50" s="1"/>
  <c r="AR221" i="50"/>
  <c r="T221" i="50"/>
  <c r="U221" i="50" s="1"/>
  <c r="AX221" i="50"/>
  <c r="AY221" i="50" s="1"/>
  <c r="Z221" i="50"/>
  <c r="AA221" i="50" s="1"/>
  <c r="U222" i="50"/>
  <c r="V222" i="50" s="1"/>
  <c r="AG222" i="50"/>
  <c r="AR222" i="50"/>
  <c r="AR223" i="50"/>
  <c r="T223" i="50"/>
  <c r="Z223" i="50"/>
  <c r="AA223" i="50" s="1"/>
  <c r="AF223" i="50"/>
  <c r="AG223" i="50" s="1"/>
  <c r="AL223" i="50"/>
  <c r="AM223" i="50" s="1"/>
  <c r="T224" i="50"/>
  <c r="U224" i="50" s="1"/>
  <c r="V224" i="50" s="1"/>
  <c r="AM224" i="50"/>
  <c r="AG225" i="50"/>
  <c r="AR225" i="50"/>
  <c r="AS225" i="50" s="1"/>
  <c r="AX226" i="50"/>
  <c r="AY226" i="50" s="1"/>
  <c r="AF226" i="50"/>
  <c r="AL226" i="50"/>
  <c r="AM226" i="50" s="1"/>
  <c r="AF227" i="50"/>
  <c r="AG227" i="50" s="1"/>
  <c r="O231" i="50"/>
  <c r="P231" i="50" s="1"/>
  <c r="Q232" i="50"/>
  <c r="R232" i="50" s="1"/>
  <c r="O232" i="50"/>
  <c r="P232" i="50" s="1"/>
  <c r="V232" i="50" s="1"/>
  <c r="Q233" i="50"/>
  <c r="R233" i="50" s="1"/>
  <c r="V234" i="50"/>
  <c r="AB234" i="50" s="1"/>
  <c r="O237" i="50"/>
  <c r="P237" i="50" s="1"/>
  <c r="Q237" i="50"/>
  <c r="R237" i="50" s="1"/>
  <c r="AF239" i="50"/>
  <c r="AG239" i="50" s="1"/>
  <c r="AL239" i="50"/>
  <c r="AM239" i="50" s="1"/>
  <c r="AR239" i="50"/>
  <c r="T239" i="50"/>
  <c r="Z239" i="50"/>
  <c r="AX239" i="50"/>
  <c r="AY239" i="50" s="1"/>
  <c r="W242" i="50"/>
  <c r="X242" i="50" s="1"/>
  <c r="U242" i="50"/>
  <c r="AL250" i="50"/>
  <c r="AM250" i="50" s="1"/>
  <c r="AX250" i="50"/>
  <c r="AY250" i="50" s="1"/>
  <c r="Z250" i="50"/>
  <c r="T250" i="50"/>
  <c r="U250" i="50" s="1"/>
  <c r="V250" i="50" s="1"/>
  <c r="AF250" i="50"/>
  <c r="AA250" i="50"/>
  <c r="AA256" i="50"/>
  <c r="V281" i="50"/>
  <c r="AX306" i="50"/>
  <c r="AR306" i="50"/>
  <c r="AF306" i="50"/>
  <c r="AG306" i="50" s="1"/>
  <c r="AL306" i="50"/>
  <c r="AM306" i="50" s="1"/>
  <c r="AY232" i="50"/>
  <c r="AG234" i="50"/>
  <c r="AY236" i="50"/>
  <c r="AS244" i="50"/>
  <c r="AG244" i="50"/>
  <c r="AS247" i="50"/>
  <c r="Q248" i="50"/>
  <c r="R248" i="50" s="1"/>
  <c r="O248" i="50"/>
  <c r="P248" i="50" s="1"/>
  <c r="V248" i="50" s="1"/>
  <c r="Q250" i="50"/>
  <c r="R250" i="50" s="1"/>
  <c r="AM254" i="50"/>
  <c r="AX256" i="50"/>
  <c r="Z256" i="50"/>
  <c r="AR256" i="50"/>
  <c r="AS256" i="50" s="1"/>
  <c r="AF257" i="50"/>
  <c r="AG257" i="50" s="1"/>
  <c r="AL257" i="50"/>
  <c r="AM257" i="50" s="1"/>
  <c r="AX257" i="50"/>
  <c r="AY257" i="50" s="1"/>
  <c r="AR257" i="50"/>
  <c r="AS257" i="50" s="1"/>
  <c r="T257" i="50"/>
  <c r="AG259" i="50"/>
  <c r="AM262" i="50"/>
  <c r="O262" i="50"/>
  <c r="P262" i="50" s="1"/>
  <c r="Q234" i="50"/>
  <c r="R234" i="50" s="1"/>
  <c r="U239" i="50"/>
  <c r="V239" i="50" s="1"/>
  <c r="AB239" i="50" s="1"/>
  <c r="Q243" i="50"/>
  <c r="R243" i="50" s="1"/>
  <c r="AR244" i="50"/>
  <c r="T244" i="50"/>
  <c r="U244" i="50" s="1"/>
  <c r="V244" i="50" s="1"/>
  <c r="AY248" i="50"/>
  <c r="AG250" i="50"/>
  <c r="AR254" i="50"/>
  <c r="T254" i="50"/>
  <c r="Z254" i="50"/>
  <c r="AA254" i="50" s="1"/>
  <c r="AF254" i="50"/>
  <c r="AG254" i="50" s="1"/>
  <c r="AX254" i="50"/>
  <c r="AY254" i="50" s="1"/>
  <c r="AL254" i="50"/>
  <c r="AL262" i="50"/>
  <c r="AR262" i="50"/>
  <c r="AS262" i="50" s="1"/>
  <c r="T262" i="50"/>
  <c r="U262" i="50" s="1"/>
  <c r="AX262" i="50"/>
  <c r="AY262" i="50" s="1"/>
  <c r="AF262" i="50"/>
  <c r="AG262" i="50" s="1"/>
  <c r="Q279" i="50"/>
  <c r="R279" i="50" s="1"/>
  <c r="AY224" i="50"/>
  <c r="AS230" i="50"/>
  <c r="AA232" i="50"/>
  <c r="U238" i="50"/>
  <c r="V238" i="50" s="1"/>
  <c r="AG238" i="50"/>
  <c r="W239" i="50"/>
  <c r="X239" i="50" s="1"/>
  <c r="AS243" i="50"/>
  <c r="AM244" i="50"/>
  <c r="AY244" i="50"/>
  <c r="AG247" i="50"/>
  <c r="U249" i="50"/>
  <c r="V258" i="50"/>
  <c r="AS265" i="50"/>
  <c r="AF273" i="50"/>
  <c r="AL273" i="50"/>
  <c r="AR273" i="50"/>
  <c r="AS273" i="50" s="1"/>
  <c r="T273" i="50"/>
  <c r="AX273" i="50"/>
  <c r="Z273" i="50"/>
  <c r="AA273" i="50" s="1"/>
  <c r="AL315" i="50"/>
  <c r="AX315" i="50"/>
  <c r="AR315" i="50"/>
  <c r="AA244" i="50"/>
  <c r="Q247" i="50"/>
  <c r="R247" i="50" s="1"/>
  <c r="AA249" i="50"/>
  <c r="AY249" i="50"/>
  <c r="Q254" i="50"/>
  <c r="R254" i="50" s="1"/>
  <c r="O255" i="50"/>
  <c r="P255" i="50" s="1"/>
  <c r="AL277" i="50"/>
  <c r="AR277" i="50"/>
  <c r="T277" i="50"/>
  <c r="U277" i="50" s="1"/>
  <c r="AX277" i="50"/>
  <c r="Z277" i="50"/>
  <c r="AF277" i="50"/>
  <c r="AG277" i="50" s="1"/>
  <c r="AA224" i="50"/>
  <c r="AG226" i="50"/>
  <c r="AX229" i="50"/>
  <c r="AY229" i="50" s="1"/>
  <c r="Z229" i="50"/>
  <c r="AA229" i="50" s="1"/>
  <c r="T229" i="50"/>
  <c r="U229" i="50" s="1"/>
  <c r="AL229" i="50"/>
  <c r="AM229" i="50" s="1"/>
  <c r="AG235" i="50"/>
  <c r="AR236" i="50"/>
  <c r="AS236" i="50" s="1"/>
  <c r="T236" i="50"/>
  <c r="U236" i="50" s="1"/>
  <c r="AF236" i="50"/>
  <c r="AG236" i="50" s="1"/>
  <c r="T237" i="50"/>
  <c r="U237" i="50" s="1"/>
  <c r="AF237" i="50"/>
  <c r="AG237" i="50" s="1"/>
  <c r="AY240" i="50"/>
  <c r="AY241" i="50"/>
  <c r="AG243" i="50"/>
  <c r="Z244" i="50"/>
  <c r="AM248" i="50"/>
  <c r="AL249" i="50"/>
  <c r="AR249" i="50"/>
  <c r="AS249" i="50" s="1"/>
  <c r="T249" i="50"/>
  <c r="AX249" i="50"/>
  <c r="Z249" i="50"/>
  <c r="AF249" i="50"/>
  <c r="AG249" i="50" s="1"/>
  <c r="V256" i="50"/>
  <c r="Q256" i="50"/>
  <c r="R256" i="50" s="1"/>
  <c r="U257" i="50"/>
  <c r="AY259" i="50"/>
  <c r="Q263" i="50"/>
  <c r="R263" i="50" s="1"/>
  <c r="O263" i="50"/>
  <c r="P263" i="50" s="1"/>
  <c r="AG269" i="50"/>
  <c r="AS296" i="50"/>
  <c r="AL310" i="50"/>
  <c r="AM310" i="50" s="1"/>
  <c r="AR310" i="50"/>
  <c r="AX310" i="50"/>
  <c r="AS365" i="50"/>
  <c r="AT365" i="50" s="1"/>
  <c r="AY365" i="50"/>
  <c r="O228" i="50"/>
  <c r="P228" i="50" s="1"/>
  <c r="T231" i="50"/>
  <c r="U231" i="50" s="1"/>
  <c r="AL231" i="50"/>
  <c r="AM231" i="50" s="1"/>
  <c r="AR235" i="50"/>
  <c r="AS235" i="50" s="1"/>
  <c r="T235" i="50"/>
  <c r="U235" i="50" s="1"/>
  <c r="AF235" i="50"/>
  <c r="AX237" i="50"/>
  <c r="Z237" i="50"/>
  <c r="AA237" i="50" s="1"/>
  <c r="AL237" i="50"/>
  <c r="AM237" i="50" s="1"/>
  <c r="AS237" i="50"/>
  <c r="AA239" i="50"/>
  <c r="AA240" i="50"/>
  <c r="AM240" i="50"/>
  <c r="V242" i="50"/>
  <c r="AB242" i="50" s="1"/>
  <c r="U245" i="50"/>
  <c r="V245" i="50" s="1"/>
  <c r="U247" i="50"/>
  <c r="V247" i="50" s="1"/>
  <c r="AR251" i="50"/>
  <c r="AS251" i="50" s="1"/>
  <c r="T251" i="50"/>
  <c r="U251" i="50" s="1"/>
  <c r="V251" i="50" s="1"/>
  <c r="AX251" i="50"/>
  <c r="AY251" i="50" s="1"/>
  <c r="Z251" i="50"/>
  <c r="AA251" i="50" s="1"/>
  <c r="AF251" i="50"/>
  <c r="AG251" i="50" s="1"/>
  <c r="AL251" i="50"/>
  <c r="AM251" i="50" s="1"/>
  <c r="O253" i="50"/>
  <c r="P253" i="50" s="1"/>
  <c r="AF268" i="50"/>
  <c r="AG268" i="50" s="1"/>
  <c r="AL268" i="50"/>
  <c r="AM268" i="50" s="1"/>
  <c r="AX268" i="50"/>
  <c r="AY268" i="50" s="1"/>
  <c r="T268" i="50"/>
  <c r="Q272" i="50"/>
  <c r="R272" i="50" s="1"/>
  <c r="AA274" i="50"/>
  <c r="AS275" i="50"/>
  <c r="U275" i="50"/>
  <c r="O275" i="50"/>
  <c r="P275" i="50" s="1"/>
  <c r="AX263" i="50"/>
  <c r="AY263" i="50" s="1"/>
  <c r="Z263" i="50"/>
  <c r="AA263" i="50" s="1"/>
  <c r="AF263" i="50"/>
  <c r="AG263" i="50" s="1"/>
  <c r="AM263" i="50"/>
  <c r="AG266" i="50"/>
  <c r="AM273" i="50"/>
  <c r="O273" i="50"/>
  <c r="P273" i="50" s="1"/>
  <c r="AM277" i="50"/>
  <c r="O277" i="50"/>
  <c r="P277" i="50" s="1"/>
  <c r="V289" i="50"/>
  <c r="AR333" i="50"/>
  <c r="AX333" i="50"/>
  <c r="AY333" i="50" s="1"/>
  <c r="Q252" i="50"/>
  <c r="R252" i="50" s="1"/>
  <c r="U256" i="50"/>
  <c r="AX258" i="50"/>
  <c r="AY258" i="50" s="1"/>
  <c r="Z258" i="50"/>
  <c r="AA258" i="50" s="1"/>
  <c r="AF258" i="50"/>
  <c r="Z259" i="50"/>
  <c r="AA259" i="50" s="1"/>
  <c r="Q261" i="50"/>
  <c r="R261" i="50" s="1"/>
  <c r="AL263" i="50"/>
  <c r="AY265" i="50"/>
  <c r="Q267" i="50"/>
  <c r="R267" i="50" s="1"/>
  <c r="AY273" i="50"/>
  <c r="AX276" i="50"/>
  <c r="Z276" i="50"/>
  <c r="T276" i="50"/>
  <c r="U276" i="50" s="1"/>
  <c r="AL276" i="50"/>
  <c r="AM276" i="50" s="1"/>
  <c r="AF276" i="50"/>
  <c r="AG276" i="50"/>
  <c r="AF278" i="50"/>
  <c r="AL278" i="50"/>
  <c r="AX278" i="50"/>
  <c r="AY278" i="50" s="1"/>
  <c r="Z278" i="50"/>
  <c r="AA278" i="50" s="1"/>
  <c r="AR278" i="50"/>
  <c r="AS278" i="50" s="1"/>
  <c r="U280" i="50"/>
  <c r="AF283" i="50"/>
  <c r="AG283" i="50" s="1"/>
  <c r="AL283" i="50"/>
  <c r="AX283" i="50"/>
  <c r="Z283" i="50"/>
  <c r="AR283" i="50"/>
  <c r="T283" i="50"/>
  <c r="U283" i="50" s="1"/>
  <c r="AR287" i="50"/>
  <c r="AS287" i="50" s="1"/>
  <c r="T287" i="50"/>
  <c r="AX287" i="50"/>
  <c r="Z287" i="50"/>
  <c r="AA287" i="50" s="1"/>
  <c r="AL287" i="50"/>
  <c r="AF287" i="50"/>
  <c r="AG287" i="50" s="1"/>
  <c r="Q293" i="50"/>
  <c r="R293" i="50" s="1"/>
  <c r="AT331" i="50"/>
  <c r="Z241" i="50"/>
  <c r="AA241" i="50" s="1"/>
  <c r="AX241" i="50"/>
  <c r="AG253" i="50"/>
  <c r="U254" i="50"/>
  <c r="V254" i="50" s="1"/>
  <c r="Q258" i="50"/>
  <c r="R258" i="50" s="1"/>
  <c r="AM260" i="50"/>
  <c r="AR263" i="50"/>
  <c r="AS263" i="50" s="1"/>
  <c r="AR264" i="50"/>
  <c r="AS264" i="50" s="1"/>
  <c r="T264" i="50"/>
  <c r="AX264" i="50"/>
  <c r="AY264" i="50" s="1"/>
  <c r="Z264" i="50"/>
  <c r="AA264" i="50" s="1"/>
  <c r="U265" i="50"/>
  <c r="AX271" i="50"/>
  <c r="AY271" i="50" s="1"/>
  <c r="Z271" i="50"/>
  <c r="AA271" i="50" s="1"/>
  <c r="AF271" i="50"/>
  <c r="AG271" i="50" s="1"/>
  <c r="AL271" i="50"/>
  <c r="AM271" i="50" s="1"/>
  <c r="AR271" i="50"/>
  <c r="AS271" i="50" s="1"/>
  <c r="T271" i="50"/>
  <c r="U271" i="50" s="1"/>
  <c r="AG273" i="50"/>
  <c r="AX274" i="50"/>
  <c r="Z274" i="50"/>
  <c r="AF274" i="50"/>
  <c r="Q276" i="50"/>
  <c r="R276" i="50" s="1"/>
  <c r="O276" i="50"/>
  <c r="P276" i="50" s="1"/>
  <c r="AG279" i="50"/>
  <c r="W281" i="50"/>
  <c r="X281" i="50" s="1"/>
  <c r="AX286" i="50"/>
  <c r="AY286" i="50" s="1"/>
  <c r="Z286" i="50"/>
  <c r="AA286" i="50" s="1"/>
  <c r="AF286" i="50"/>
  <c r="AG286" i="50" s="1"/>
  <c r="AL286" i="50"/>
  <c r="AR286" i="50"/>
  <c r="T286" i="50"/>
  <c r="U286" i="50" s="1"/>
  <c r="AM297" i="50"/>
  <c r="AG304" i="50"/>
  <c r="AA304" i="50"/>
  <c r="AB304" i="50" s="1"/>
  <c r="AS304" i="50"/>
  <c r="Z238" i="50"/>
  <c r="AA238" i="50" s="1"/>
  <c r="Z246" i="50"/>
  <c r="AA246" i="50" s="1"/>
  <c r="AM252" i="50"/>
  <c r="AR253" i="50"/>
  <c r="AS253" i="50" s="1"/>
  <c r="T253" i="50"/>
  <c r="AX253" i="50"/>
  <c r="AY253" i="50" s="1"/>
  <c r="Z253" i="50"/>
  <c r="AA253" i="50" s="1"/>
  <c r="AF253" i="50"/>
  <c r="AS254" i="50"/>
  <c r="AX255" i="50"/>
  <c r="AY255" i="50" s="1"/>
  <c r="Z255" i="50"/>
  <c r="AA255" i="50" s="1"/>
  <c r="AF255" i="50"/>
  <c r="AG255" i="50" s="1"/>
  <c r="U259" i="50"/>
  <c r="O260" i="50"/>
  <c r="P260" i="50" s="1"/>
  <c r="AL264" i="50"/>
  <c r="AM264" i="50" s="1"/>
  <c r="AM265" i="50"/>
  <c r="O265" i="50"/>
  <c r="P265" i="50" s="1"/>
  <c r="AX266" i="50"/>
  <c r="AY266" i="50" s="1"/>
  <c r="Z266" i="50"/>
  <c r="AA266" i="50" s="1"/>
  <c r="AB266" i="50" s="1"/>
  <c r="AF266" i="50"/>
  <c r="AL267" i="50"/>
  <c r="AM267" i="50" s="1"/>
  <c r="AR267" i="50"/>
  <c r="AS267" i="50" s="1"/>
  <c r="T267" i="50"/>
  <c r="U267" i="50" s="1"/>
  <c r="V267" i="50" s="1"/>
  <c r="AX267" i="50"/>
  <c r="AY267" i="50" s="1"/>
  <c r="AF267" i="50"/>
  <c r="AG267" i="50" s="1"/>
  <c r="AS272" i="50"/>
  <c r="AY274" i="50"/>
  <c r="AL280" i="50"/>
  <c r="AX280" i="50"/>
  <c r="AY280" i="50" s="1"/>
  <c r="Z280" i="50"/>
  <c r="AA280" i="50" s="1"/>
  <c r="AR280" i="50"/>
  <c r="AS280" i="50" s="1"/>
  <c r="T280" i="50"/>
  <c r="AS283" i="50"/>
  <c r="AG292" i="50"/>
  <c r="AL294" i="50"/>
  <c r="AM294" i="50" s="1"/>
  <c r="AR294" i="50"/>
  <c r="AS294" i="50" s="1"/>
  <c r="AX294" i="50"/>
  <c r="Z294" i="50"/>
  <c r="AA294" i="50" s="1"/>
  <c r="AF294" i="50"/>
  <c r="AG294" i="50"/>
  <c r="AU344" i="50"/>
  <c r="AV344" i="50" s="1"/>
  <c r="AL259" i="50"/>
  <c r="AM259" i="50" s="1"/>
  <c r="AR259" i="50"/>
  <c r="AS259" i="50" s="1"/>
  <c r="T259" i="50"/>
  <c r="AG261" i="50"/>
  <c r="T263" i="50"/>
  <c r="U263" i="50" s="1"/>
  <c r="AA267" i="50"/>
  <c r="AL270" i="50"/>
  <c r="AM270" i="50" s="1"/>
  <c r="AR270" i="50"/>
  <c r="AS270" i="50" s="1"/>
  <c r="T270" i="50"/>
  <c r="Q271" i="50"/>
  <c r="R271" i="50" s="1"/>
  <c r="O271" i="50"/>
  <c r="P271" i="50" s="1"/>
  <c r="V271" i="50" s="1"/>
  <c r="AB271" i="50" s="1"/>
  <c r="AR272" i="50"/>
  <c r="T272" i="50"/>
  <c r="AX272" i="50"/>
  <c r="Z272" i="50"/>
  <c r="Q274" i="50"/>
  <c r="R274" i="50" s="1"/>
  <c r="AS277" i="50"/>
  <c r="AY283" i="50"/>
  <c r="W284" i="50"/>
  <c r="X284" i="50" s="1"/>
  <c r="Q286" i="50"/>
  <c r="R286" i="50" s="1"/>
  <c r="O286" i="50"/>
  <c r="P286" i="50" s="1"/>
  <c r="AY368" i="50"/>
  <c r="AG252" i="50"/>
  <c r="AL253" i="50"/>
  <c r="AM253" i="50" s="1"/>
  <c r="AL255" i="50"/>
  <c r="AM255" i="50" s="1"/>
  <c r="AM256" i="50"/>
  <c r="AY256" i="50"/>
  <c r="O257" i="50"/>
  <c r="P257" i="50" s="1"/>
  <c r="AA257" i="50"/>
  <c r="T258" i="50"/>
  <c r="U258" i="50" s="1"/>
  <c r="AG258" i="50"/>
  <c r="AX259" i="50"/>
  <c r="AS260" i="50"/>
  <c r="AA262" i="50"/>
  <c r="W268" i="50"/>
  <c r="X268" i="50" s="1"/>
  <c r="W271" i="50"/>
  <c r="X271" i="50" s="1"/>
  <c r="U273" i="50"/>
  <c r="AL275" i="50"/>
  <c r="AM275" i="50" s="1"/>
  <c r="AR275" i="50"/>
  <c r="T275" i="50"/>
  <c r="AX275" i="50"/>
  <c r="AY275" i="50" s="1"/>
  <c r="Z275" i="50"/>
  <c r="AA275" i="50" s="1"/>
  <c r="AF275" i="50"/>
  <c r="AG275" i="50" s="1"/>
  <c r="AS282" i="50"/>
  <c r="U282" i="50"/>
  <c r="O282" i="50"/>
  <c r="P282" i="50" s="1"/>
  <c r="AA283" i="50"/>
  <c r="AX303" i="50"/>
  <c r="AY303" i="50" s="1"/>
  <c r="AF303" i="50"/>
  <c r="AR303" i="50"/>
  <c r="AW309" i="50"/>
  <c r="AQ309" i="50"/>
  <c r="AQ384" i="50" s="1"/>
  <c r="AE309" i="50"/>
  <c r="J309" i="50"/>
  <c r="J384" i="50" s="1"/>
  <c r="AK309" i="50"/>
  <c r="AG270" i="50"/>
  <c r="AG278" i="50"/>
  <c r="AM280" i="50"/>
  <c r="O280" i="50"/>
  <c r="P280" i="50" s="1"/>
  <c r="AL285" i="50"/>
  <c r="AM285" i="50" s="1"/>
  <c r="AR285" i="50"/>
  <c r="AS285" i="50" s="1"/>
  <c r="T285" i="50"/>
  <c r="Q291" i="50"/>
  <c r="R291" i="50" s="1"/>
  <c r="AY294" i="50"/>
  <c r="AY295" i="50"/>
  <c r="AL304" i="50"/>
  <c r="AR304" i="50"/>
  <c r="AF304" i="50"/>
  <c r="AX304" i="50"/>
  <c r="AY304" i="50" s="1"/>
  <c r="AM304" i="50"/>
  <c r="AR313" i="50"/>
  <c r="AS313" i="50" s="1"/>
  <c r="AL313" i="50"/>
  <c r="AM324" i="50"/>
  <c r="AN324" i="50" s="1"/>
  <c r="AO324" i="50" s="1"/>
  <c r="AP324" i="50" s="1"/>
  <c r="Q388" i="50"/>
  <c r="R388" i="50" s="1"/>
  <c r="AI417" i="50"/>
  <c r="AJ417" i="50" s="1"/>
  <c r="U268" i="50"/>
  <c r="AS268" i="50"/>
  <c r="AA270" i="50"/>
  <c r="AY270" i="50"/>
  <c r="AG272" i="50"/>
  <c r="O274" i="50"/>
  <c r="P274" i="50" s="1"/>
  <c r="V274" i="50" s="1"/>
  <c r="AM274" i="50"/>
  <c r="AG280" i="50"/>
  <c r="U281" i="50"/>
  <c r="AG281" i="50"/>
  <c r="AS281" i="50"/>
  <c r="AR282" i="50"/>
  <c r="T282" i="50"/>
  <c r="AF282" i="50"/>
  <c r="AG282" i="50" s="1"/>
  <c r="Q285" i="50"/>
  <c r="R285" i="50" s="1"/>
  <c r="Z285" i="50"/>
  <c r="AA285" i="50" s="1"/>
  <c r="AM286" i="50"/>
  <c r="AG289" i="50"/>
  <c r="AL293" i="50"/>
  <c r="AM293" i="50" s="1"/>
  <c r="AR293" i="50"/>
  <c r="T293" i="50"/>
  <c r="U293" i="50" s="1"/>
  <c r="V293" i="50" s="1"/>
  <c r="AL295" i="50"/>
  <c r="AM295" i="50" s="1"/>
  <c r="AR295" i="50"/>
  <c r="AS295" i="50" s="1"/>
  <c r="AX295" i="50"/>
  <c r="Z295" i="50"/>
  <c r="AA295" i="50" s="1"/>
  <c r="AF295" i="50"/>
  <c r="AG295" i="50" s="1"/>
  <c r="AL296" i="50"/>
  <c r="AM296" i="50" s="1"/>
  <c r="AR296" i="50"/>
  <c r="AX296" i="50"/>
  <c r="AY296" i="50" s="1"/>
  <c r="Z296" i="50"/>
  <c r="AA296" i="50" s="1"/>
  <c r="AF296" i="50"/>
  <c r="AG296" i="50" s="1"/>
  <c r="AL297" i="50"/>
  <c r="AR297" i="50"/>
  <c r="AS297" i="50" s="1"/>
  <c r="AF297" i="50"/>
  <c r="AX297" i="50"/>
  <c r="AY297" i="50" s="1"/>
  <c r="U302" i="50"/>
  <c r="V302" i="50" s="1"/>
  <c r="AY308" i="50"/>
  <c r="AM312" i="50"/>
  <c r="AN312" i="50" s="1"/>
  <c r="AR320" i="50"/>
  <c r="AS320" i="50" s="1"/>
  <c r="AX320" i="50"/>
  <c r="AO321" i="50"/>
  <c r="AP321" i="50" s="1"/>
  <c r="AM322" i="50"/>
  <c r="AN322" i="50" s="1"/>
  <c r="AT322" i="50" s="1"/>
  <c r="AX326" i="50"/>
  <c r="AY326" i="50" s="1"/>
  <c r="AR326" i="50"/>
  <c r="AS326" i="50" s="1"/>
  <c r="AO335" i="50"/>
  <c r="AP335" i="50" s="1"/>
  <c r="AS337" i="50"/>
  <c r="AT337" i="50" s="1"/>
  <c r="AO338" i="50"/>
  <c r="AP338" i="50" s="1"/>
  <c r="AM338" i="50"/>
  <c r="AN338" i="50" s="1"/>
  <c r="AT338" i="50" s="1"/>
  <c r="AZ338" i="50" s="1"/>
  <c r="BA338" i="50" s="1"/>
  <c r="AU353" i="50"/>
  <c r="AV353" i="50" s="1"/>
  <c r="AU355" i="50"/>
  <c r="AV355" i="50" s="1"/>
  <c r="AS355" i="50"/>
  <c r="AT355" i="50" s="1"/>
  <c r="AZ355" i="50" s="1"/>
  <c r="BA355" i="50" s="1"/>
  <c r="Q278" i="50"/>
  <c r="R278" i="50" s="1"/>
  <c r="O278" i="50"/>
  <c r="P278" i="50" s="1"/>
  <c r="V278" i="50" s="1"/>
  <c r="AB278" i="50" s="1"/>
  <c r="AX281" i="50"/>
  <c r="AY281" i="50" s="1"/>
  <c r="Z281" i="50"/>
  <c r="AA281" i="50" s="1"/>
  <c r="AF281" i="50"/>
  <c r="AG284" i="50"/>
  <c r="Q287" i="50"/>
  <c r="R287" i="50" s="1"/>
  <c r="AY287" i="50"/>
  <c r="U288" i="50"/>
  <c r="AS293" i="50"/>
  <c r="AM298" i="50"/>
  <c r="AM300" i="50"/>
  <c r="AM301" i="50"/>
  <c r="AY310" i="50"/>
  <c r="AT335" i="50"/>
  <c r="AT341" i="50"/>
  <c r="AO341" i="50"/>
  <c r="AP341" i="50" s="1"/>
  <c r="Z261" i="50"/>
  <c r="AA261" i="50" s="1"/>
  <c r="AX261" i="50"/>
  <c r="AY261" i="50" s="1"/>
  <c r="O268" i="50"/>
  <c r="P268" i="50" s="1"/>
  <c r="V268" i="50" s="1"/>
  <c r="AB268" i="50" s="1"/>
  <c r="Z269" i="50"/>
  <c r="AA269" i="50" s="1"/>
  <c r="AX269" i="50"/>
  <c r="AY269" i="50" s="1"/>
  <c r="U270" i="50"/>
  <c r="AA272" i="50"/>
  <c r="AY272" i="50"/>
  <c r="AG274" i="50"/>
  <c r="AM278" i="50"/>
  <c r="AF285" i="50"/>
  <c r="AX285" i="50"/>
  <c r="AY285" i="50" s="1"/>
  <c r="AS286" i="50"/>
  <c r="O288" i="50"/>
  <c r="P288" i="50" s="1"/>
  <c r="AL290" i="50"/>
  <c r="AM290" i="50" s="1"/>
  <c r="AR290" i="50"/>
  <c r="AS290" i="50" s="1"/>
  <c r="T290" i="50"/>
  <c r="U290" i="50" s="1"/>
  <c r="V290" i="50" s="1"/>
  <c r="AX290" i="50"/>
  <c r="Z290" i="50"/>
  <c r="AF290" i="50"/>
  <c r="AA290" i="50"/>
  <c r="AY290" i="50"/>
  <c r="W292" i="50"/>
  <c r="X292" i="50" s="1"/>
  <c r="Z293" i="50"/>
  <c r="AA293" i="50" s="1"/>
  <c r="W297" i="50"/>
  <c r="X297" i="50" s="1"/>
  <c r="U300" i="50"/>
  <c r="V300" i="50" s="1"/>
  <c r="AB300" i="50" s="1"/>
  <c r="AX301" i="50"/>
  <c r="AY301" i="50" s="1"/>
  <c r="Z301" i="50"/>
  <c r="AA301" i="50" s="1"/>
  <c r="AF301" i="50"/>
  <c r="AG301" i="50"/>
  <c r="AI305" i="50"/>
  <c r="AJ305" i="50" s="1"/>
  <c r="AY305" i="50"/>
  <c r="AI310" i="50"/>
  <c r="AJ310" i="50" s="1"/>
  <c r="AN310" i="50"/>
  <c r="AS324" i="50"/>
  <c r="AO332" i="50"/>
  <c r="AP332" i="50" s="1"/>
  <c r="AX334" i="50"/>
  <c r="AY334" i="50" s="1"/>
  <c r="AZ359" i="50"/>
  <c r="BA359" i="50" s="1"/>
  <c r="AU359" i="50"/>
  <c r="AV359" i="50" s="1"/>
  <c r="AU366" i="50"/>
  <c r="AV366" i="50" s="1"/>
  <c r="AS366" i="50"/>
  <c r="AT366" i="50" s="1"/>
  <c r="AZ366" i="50" s="1"/>
  <c r="BA366" i="50" s="1"/>
  <c r="Q404" i="50"/>
  <c r="R404" i="50" s="1"/>
  <c r="Q281" i="50"/>
  <c r="R281" i="50" s="1"/>
  <c r="O283" i="50"/>
  <c r="P283" i="50" s="1"/>
  <c r="Q284" i="50"/>
  <c r="R284" i="50" s="1"/>
  <c r="V285" i="50"/>
  <c r="AB285" i="50" s="1"/>
  <c r="AC285" i="50" s="1"/>
  <c r="AD285" i="50" s="1"/>
  <c r="AG291" i="50"/>
  <c r="AF298" i="50"/>
  <c r="AG298" i="50" s="1"/>
  <c r="AL298" i="50"/>
  <c r="AR298" i="50"/>
  <c r="AS298" i="50" s="1"/>
  <c r="AX298" i="50"/>
  <c r="AY298" i="50" s="1"/>
  <c r="Z298" i="50"/>
  <c r="AA298" i="50" s="1"/>
  <c r="AY302" i="50"/>
  <c r="AA302" i="50"/>
  <c r="AS314" i="50"/>
  <c r="AS319" i="50"/>
  <c r="AT319" i="50" s="1"/>
  <c r="AM325" i="50"/>
  <c r="AN325" i="50" s="1"/>
  <c r="AY325" i="50"/>
  <c r="AO329" i="50"/>
  <c r="AP329" i="50" s="1"/>
  <c r="AX341" i="50"/>
  <c r="AY341" i="50" s="1"/>
  <c r="AU352" i="50"/>
  <c r="AV352" i="50" s="1"/>
  <c r="AS357" i="50"/>
  <c r="AT357" i="50" s="1"/>
  <c r="AY357" i="50"/>
  <c r="AY364" i="50"/>
  <c r="AZ367" i="50"/>
  <c r="BA367" i="50" s="1"/>
  <c r="AU367" i="50"/>
  <c r="AV367" i="50" s="1"/>
  <c r="BA375" i="50"/>
  <c r="AY375" i="50"/>
  <c r="AZ375" i="50" s="1"/>
  <c r="AY378" i="50"/>
  <c r="AZ378" i="50" s="1"/>
  <c r="BA378" i="50" s="1"/>
  <c r="C379" i="50"/>
  <c r="T261" i="50"/>
  <c r="U261" i="50" s="1"/>
  <c r="V261" i="50" s="1"/>
  <c r="T269" i="50"/>
  <c r="U269" i="50" s="1"/>
  <c r="O270" i="50"/>
  <c r="P270" i="50" s="1"/>
  <c r="U272" i="50"/>
  <c r="V272" i="50" s="1"/>
  <c r="AY276" i="50"/>
  <c r="AA277" i="50"/>
  <c r="AY277" i="50"/>
  <c r="W278" i="50"/>
  <c r="X278" i="50" s="1"/>
  <c r="AY279" i="50"/>
  <c r="AL281" i="50"/>
  <c r="AM281" i="50" s="1"/>
  <c r="AA282" i="50"/>
  <c r="AL282" i="50"/>
  <c r="AM282" i="50" s="1"/>
  <c r="AM283" i="50"/>
  <c r="AF288" i="50"/>
  <c r="AG288" i="50" s="1"/>
  <c r="AL288" i="50"/>
  <c r="AM288" i="50" s="1"/>
  <c r="AR288" i="50"/>
  <c r="AS288" i="50" s="1"/>
  <c r="T288" i="50"/>
  <c r="AX288" i="50"/>
  <c r="AY288" i="50" s="1"/>
  <c r="Z288" i="50"/>
  <c r="AA288" i="50" s="1"/>
  <c r="AG290" i="50"/>
  <c r="AF291" i="50"/>
  <c r="AL291" i="50"/>
  <c r="AM291" i="50" s="1"/>
  <c r="Z291" i="50"/>
  <c r="AA291" i="50" s="1"/>
  <c r="AR291" i="50"/>
  <c r="Q292" i="50"/>
  <c r="R292" i="50" s="1"/>
  <c r="AF293" i="50"/>
  <c r="AG293" i="50" s="1"/>
  <c r="AX293" i="50"/>
  <c r="AY293" i="50" s="1"/>
  <c r="AS300" i="50"/>
  <c r="AR302" i="50"/>
  <c r="AS302" i="50" s="1"/>
  <c r="AX302" i="50"/>
  <c r="Z302" i="50"/>
  <c r="AF302" i="50"/>
  <c r="AG302" i="50" s="1"/>
  <c r="AL302" i="50"/>
  <c r="AM302" i="50" s="1"/>
  <c r="AG303" i="50"/>
  <c r="AH303" i="50" s="1"/>
  <c r="AS306" i="50"/>
  <c r="AF307" i="50"/>
  <c r="AG307" i="50" s="1"/>
  <c r="AH307" i="50" s="1"/>
  <c r="AX307" i="50"/>
  <c r="AY307" i="50" s="1"/>
  <c r="AL307" i="50"/>
  <c r="AM307" i="50" s="1"/>
  <c r="AM308" i="50"/>
  <c r="AX311" i="50"/>
  <c r="AY311" i="50" s="1"/>
  <c r="AR311" i="50"/>
  <c r="AS311" i="50" s="1"/>
  <c r="AT311" i="50" s="1"/>
  <c r="AT323" i="50"/>
  <c r="AS329" i="50"/>
  <c r="AT329" i="50" s="1"/>
  <c r="AY338" i="50"/>
  <c r="AU339" i="50"/>
  <c r="AV339" i="50" s="1"/>
  <c r="AZ339" i="50"/>
  <c r="BA339" i="50" s="1"/>
  <c r="AY370" i="50"/>
  <c r="AG393" i="50"/>
  <c r="AG285" i="50"/>
  <c r="O287" i="50"/>
  <c r="P287" i="50" s="1"/>
  <c r="AM287" i="50"/>
  <c r="U289" i="50"/>
  <c r="AS289" i="50"/>
  <c r="AY291" i="50"/>
  <c r="AL292" i="50"/>
  <c r="AM292" i="50" s="1"/>
  <c r="I384" i="50"/>
  <c r="AG297" i="50"/>
  <c r="AA299" i="50"/>
  <c r="AB299" i="50" s="1"/>
  <c r="AY299" i="50"/>
  <c r="AR300" i="50"/>
  <c r="U301" i="50"/>
  <c r="V301" i="50" s="1"/>
  <c r="AS301" i="50"/>
  <c r="AS303" i="50"/>
  <c r="AF305" i="50"/>
  <c r="AG305" i="50" s="1"/>
  <c r="AH305" i="50" s="1"/>
  <c r="AN305" i="50" s="1"/>
  <c r="AA308" i="50"/>
  <c r="AB308" i="50" s="1"/>
  <c r="AS317" i="50"/>
  <c r="AY322" i="50"/>
  <c r="AM328" i="50"/>
  <c r="AN328" i="50" s="1"/>
  <c r="AS333" i="50"/>
  <c r="AO339" i="50"/>
  <c r="AP339" i="50" s="1"/>
  <c r="AS346" i="50"/>
  <c r="AT346" i="50" s="1"/>
  <c r="AY351" i="50"/>
  <c r="AY372" i="50"/>
  <c r="AZ372" i="50" s="1"/>
  <c r="AF389" i="50"/>
  <c r="Z389" i="50"/>
  <c r="AA389" i="50" s="1"/>
  <c r="AR389" i="50"/>
  <c r="AS389" i="50" s="1"/>
  <c r="AL389" i="50"/>
  <c r="AM389" i="50" s="1"/>
  <c r="AL407" i="50"/>
  <c r="AR407" i="50"/>
  <c r="AF407" i="50"/>
  <c r="AX407" i="50"/>
  <c r="T407" i="50"/>
  <c r="U407" i="50" s="1"/>
  <c r="AU426" i="50"/>
  <c r="AV426" i="50" s="1"/>
  <c r="AY427" i="50"/>
  <c r="U395" i="50"/>
  <c r="V395" i="50" s="1"/>
  <c r="U408" i="50"/>
  <c r="AM416" i="50"/>
  <c r="U291" i="50"/>
  <c r="V291" i="50" s="1"/>
  <c r="AS291" i="50"/>
  <c r="AA297" i="50"/>
  <c r="AB297" i="50" s="1"/>
  <c r="AY306" i="50"/>
  <c r="AI314" i="50"/>
  <c r="AJ314" i="50" s="1"/>
  <c r="AE315" i="50"/>
  <c r="AK315" i="50"/>
  <c r="J315" i="50"/>
  <c r="AQ315" i="50"/>
  <c r="AX316" i="50"/>
  <c r="AY316" i="50" s="1"/>
  <c r="AL316" i="50"/>
  <c r="AM316" i="50" s="1"/>
  <c r="U317" i="50"/>
  <c r="AM320" i="50"/>
  <c r="AN320" i="50" s="1"/>
  <c r="AT320" i="50" s="1"/>
  <c r="AY320" i="50"/>
  <c r="AX321" i="50"/>
  <c r="AY321" i="50" s="1"/>
  <c r="AS325" i="50"/>
  <c r="AO331" i="50"/>
  <c r="AP331" i="50" s="1"/>
  <c r="AO334" i="50"/>
  <c r="AP334" i="50" s="1"/>
  <c r="AM334" i="50"/>
  <c r="AN334" i="50" s="1"/>
  <c r="AT334" i="50" s="1"/>
  <c r="AS336" i="50"/>
  <c r="AR340" i="50"/>
  <c r="AS340" i="50" s="1"/>
  <c r="AX340" i="50"/>
  <c r="AY340" i="50" s="1"/>
  <c r="AU348" i="50"/>
  <c r="AV348" i="50" s="1"/>
  <c r="AS348" i="50"/>
  <c r="AT348" i="50" s="1"/>
  <c r="AZ348" i="50" s="1"/>
  <c r="BA348" i="50" s="1"/>
  <c r="AS361" i="50"/>
  <c r="AT361" i="50" s="1"/>
  <c r="AU361" i="50"/>
  <c r="AV361" i="50" s="1"/>
  <c r="AL399" i="50"/>
  <c r="AM399" i="50" s="1"/>
  <c r="AR399" i="50"/>
  <c r="AS399" i="50" s="1"/>
  <c r="T399" i="50"/>
  <c r="AF399" i="50"/>
  <c r="AG399" i="50" s="1"/>
  <c r="AX399" i="50"/>
  <c r="AY399" i="50" s="1"/>
  <c r="Z399" i="50"/>
  <c r="AY407" i="50"/>
  <c r="Z279" i="50"/>
  <c r="AA279" i="50" s="1"/>
  <c r="AX279" i="50"/>
  <c r="AF289" i="50"/>
  <c r="AL299" i="50"/>
  <c r="AM299" i="50" s="1"/>
  <c r="AC305" i="50"/>
  <c r="AD305" i="50" s="1"/>
  <c r="AM313" i="50"/>
  <c r="AO327" i="50"/>
  <c r="AP327" i="50" s="1"/>
  <c r="AO330" i="50"/>
  <c r="AP330" i="50" s="1"/>
  <c r="AM330" i="50"/>
  <c r="AN330" i="50" s="1"/>
  <c r="AT330" i="50" s="1"/>
  <c r="AZ330" i="50" s="1"/>
  <c r="BA330" i="50" s="1"/>
  <c r="AS332" i="50"/>
  <c r="AT332" i="50" s="1"/>
  <c r="AR336" i="50"/>
  <c r="AX336" i="50"/>
  <c r="AY337" i="50"/>
  <c r="AS345" i="50"/>
  <c r="AT345" i="50" s="1"/>
  <c r="AU350" i="50"/>
  <c r="AV350" i="50" s="1"/>
  <c r="AY354" i="50"/>
  <c r="AU360" i="50"/>
  <c r="AV360" i="50" s="1"/>
  <c r="AS363" i="50"/>
  <c r="AT363" i="50" s="1"/>
  <c r="AG386" i="50"/>
  <c r="AA388" i="50"/>
  <c r="AF391" i="50"/>
  <c r="AL391" i="50"/>
  <c r="AR391" i="50"/>
  <c r="AS391" i="50" s="1"/>
  <c r="Z391" i="50"/>
  <c r="Z451" i="50" s="1"/>
  <c r="AX391" i="50"/>
  <c r="AY391" i="50" s="1"/>
  <c r="T391" i="50"/>
  <c r="U391" i="50" s="1"/>
  <c r="Z284" i="50"/>
  <c r="AA284" i="50" s="1"/>
  <c r="AB284" i="50" s="1"/>
  <c r="U285" i="50"/>
  <c r="Z292" i="50"/>
  <c r="AA292" i="50" s="1"/>
  <c r="AB292" i="50" s="1"/>
  <c r="AF308" i="50"/>
  <c r="AG308" i="50" s="1"/>
  <c r="AI311" i="50"/>
  <c r="AJ311" i="50" s="1"/>
  <c r="AR316" i="50"/>
  <c r="AS316" i="50" s="1"/>
  <c r="AL317" i="50"/>
  <c r="AM317" i="50" s="1"/>
  <c r="AX317" i="50"/>
  <c r="AY317" i="50" s="1"/>
  <c r="Z317" i="50"/>
  <c r="AA317" i="50" s="1"/>
  <c r="AT318" i="50"/>
  <c r="AZ318" i="50" s="1"/>
  <c r="BA318" i="50" s="1"/>
  <c r="AO319" i="50"/>
  <c r="AP319" i="50" s="1"/>
  <c r="AS323" i="50"/>
  <c r="AR324" i="50"/>
  <c r="AX324" i="50"/>
  <c r="AY324" i="50" s="1"/>
  <c r="AO326" i="50"/>
  <c r="AP326" i="50" s="1"/>
  <c r="AM326" i="50"/>
  <c r="AN326" i="50" s="1"/>
  <c r="AX329" i="50"/>
  <c r="AY329" i="50" s="1"/>
  <c r="AR332" i="50"/>
  <c r="AX332" i="50"/>
  <c r="AS335" i="50"/>
  <c r="AU338" i="50"/>
  <c r="AV338" i="50" s="1"/>
  <c r="AU347" i="50"/>
  <c r="AV347" i="50" s="1"/>
  <c r="AZ347" i="50"/>
  <c r="BA347" i="50" s="1"/>
  <c r="AY348" i="50"/>
  <c r="AU349" i="50"/>
  <c r="AV349" i="50" s="1"/>
  <c r="AY350" i="50"/>
  <c r="AZ350" i="50" s="1"/>
  <c r="BA350" i="50" s="1"/>
  <c r="AY361" i="50"/>
  <c r="AS364" i="50"/>
  <c r="AT364" i="50" s="1"/>
  <c r="AZ364" i="50" s="1"/>
  <c r="BA364" i="50" s="1"/>
  <c r="AS369" i="50"/>
  <c r="AT369" i="50" s="1"/>
  <c r="AU369" i="50"/>
  <c r="AV369" i="50" s="1"/>
  <c r="AY383" i="50"/>
  <c r="AZ383" i="50" s="1"/>
  <c r="BA383" i="50" s="1"/>
  <c r="AF386" i="50"/>
  <c r="AR386" i="50"/>
  <c r="T386" i="50"/>
  <c r="AX386" i="50"/>
  <c r="AY386" i="50" s="1"/>
  <c r="AL386" i="50"/>
  <c r="AM386" i="50" s="1"/>
  <c r="V389" i="50"/>
  <c r="AG391" i="50"/>
  <c r="O392" i="50"/>
  <c r="P392" i="50" s="1"/>
  <c r="Q393" i="50"/>
  <c r="R393" i="50" s="1"/>
  <c r="AA276" i="50"/>
  <c r="T279" i="50"/>
  <c r="U279" i="50" s="1"/>
  <c r="V279" i="50" s="1"/>
  <c r="Z289" i="50"/>
  <c r="AA289" i="50" s="1"/>
  <c r="U294" i="50"/>
  <c r="V294" i="50" s="1"/>
  <c r="U295" i="50"/>
  <c r="V295" i="50" s="1"/>
  <c r="U296" i="50"/>
  <c r="V296" i="50" s="1"/>
  <c r="AS310" i="50"/>
  <c r="AM314" i="50"/>
  <c r="AN314" i="50" s="1"/>
  <c r="AY314" i="50"/>
  <c r="AW315" i="50"/>
  <c r="AI316" i="50"/>
  <c r="AJ316" i="50" s="1"/>
  <c r="AG316" i="50"/>
  <c r="AH316" i="50" s="1"/>
  <c r="AN316" i="50" s="1"/>
  <c r="AT316" i="50" s="1"/>
  <c r="AU322" i="50"/>
  <c r="AV322" i="50" s="1"/>
  <c r="AR328" i="50"/>
  <c r="AS328" i="50" s="1"/>
  <c r="AX328" i="50"/>
  <c r="AY328" i="50" s="1"/>
  <c r="AS331" i="50"/>
  <c r="AU334" i="50"/>
  <c r="AV334" i="50" s="1"/>
  <c r="AY336" i="50"/>
  <c r="AO337" i="50"/>
  <c r="AP337" i="50" s="1"/>
  <c r="AM340" i="50"/>
  <c r="AN340" i="50" s="1"/>
  <c r="AY356" i="50"/>
  <c r="AZ356" i="50" s="1"/>
  <c r="BA356" i="50" s="1"/>
  <c r="AU358" i="50"/>
  <c r="AV358" i="50" s="1"/>
  <c r="AS358" i="50"/>
  <c r="AT358" i="50" s="1"/>
  <c r="AZ358" i="50" s="1"/>
  <c r="BA358" i="50" s="1"/>
  <c r="AY360" i="50"/>
  <c r="AZ360" i="50" s="1"/>
  <c r="BA360" i="50" s="1"/>
  <c r="AY362" i="50"/>
  <c r="AZ368" i="50"/>
  <c r="BA368" i="50" s="1"/>
  <c r="AU368" i="50"/>
  <c r="AV368" i="50" s="1"/>
  <c r="AF394" i="50"/>
  <c r="T394" i="50"/>
  <c r="AR394" i="50"/>
  <c r="AL394" i="50"/>
  <c r="AX394" i="50"/>
  <c r="AY394" i="50" s="1"/>
  <c r="AF397" i="50"/>
  <c r="AG397" i="50" s="1"/>
  <c r="Z397" i="50"/>
  <c r="AR397" i="50"/>
  <c r="T397" i="50"/>
  <c r="U397" i="50" s="1"/>
  <c r="AL397" i="50"/>
  <c r="AX397" i="50"/>
  <c r="AY397" i="50" s="1"/>
  <c r="AO430" i="50"/>
  <c r="AP430" i="50" s="1"/>
  <c r="U287" i="50"/>
  <c r="AA306" i="50"/>
  <c r="AB306" i="50" s="1"/>
  <c r="AO311" i="50"/>
  <c r="AP311" i="50" s="1"/>
  <c r="AL312" i="50"/>
  <c r="AR312" i="50"/>
  <c r="AS312" i="50" s="1"/>
  <c r="AS321" i="50"/>
  <c r="AT321" i="50" s="1"/>
  <c r="AS327" i="50"/>
  <c r="AT327" i="50" s="1"/>
  <c r="AU330" i="50"/>
  <c r="AV330" i="50" s="1"/>
  <c r="AY332" i="50"/>
  <c r="AM336" i="50"/>
  <c r="AN336" i="50" s="1"/>
  <c r="AU341" i="50"/>
  <c r="AV341" i="50" s="1"/>
  <c r="AS341" i="50"/>
  <c r="AZ351" i="50"/>
  <c r="BA351" i="50" s="1"/>
  <c r="AU351" i="50"/>
  <c r="AV351" i="50" s="1"/>
  <c r="AY369" i="50"/>
  <c r="AG387" i="50"/>
  <c r="W389" i="50"/>
  <c r="X389" i="50" s="1"/>
  <c r="Q467" i="50"/>
  <c r="R467" i="50" s="1"/>
  <c r="AA406" i="50"/>
  <c r="O408" i="50"/>
  <c r="P408" i="50" s="1"/>
  <c r="V408" i="50" s="1"/>
  <c r="AB408" i="50" s="1"/>
  <c r="AX415" i="50"/>
  <c r="AL415" i="50"/>
  <c r="AI421" i="50"/>
  <c r="AJ421" i="50" s="1"/>
  <c r="AS429" i="50"/>
  <c r="AT429" i="50" s="1"/>
  <c r="P453" i="50"/>
  <c r="AF477" i="50"/>
  <c r="AL477" i="50"/>
  <c r="AM477" i="50" s="1"/>
  <c r="Z477" i="50"/>
  <c r="AA477" i="50" s="1"/>
  <c r="AX477" i="50"/>
  <c r="AR477" i="50"/>
  <c r="T477" i="50"/>
  <c r="J606" i="50"/>
  <c r="AY352" i="50"/>
  <c r="AZ352" i="50" s="1"/>
  <c r="BA352" i="50" s="1"/>
  <c r="AY387" i="50"/>
  <c r="AS388" i="50"/>
  <c r="AF390" i="50"/>
  <c r="AG390" i="50" s="1"/>
  <c r="AM392" i="50"/>
  <c r="AM397" i="50"/>
  <c r="O397" i="50"/>
  <c r="P397" i="50" s="1"/>
  <c r="AA397" i="50"/>
  <c r="Q398" i="50"/>
  <c r="R398" i="50" s="1"/>
  <c r="O402" i="50"/>
  <c r="P402" i="50" s="1"/>
  <c r="Q402" i="50" s="1"/>
  <c r="R402" i="50" s="1"/>
  <c r="AS411" i="50"/>
  <c r="AW415" i="50"/>
  <c r="I451" i="50"/>
  <c r="AE415" i="50"/>
  <c r="AQ415" i="50"/>
  <c r="J415" i="50"/>
  <c r="AM423" i="50"/>
  <c r="AN423" i="50" s="1"/>
  <c r="AT423" i="50" s="1"/>
  <c r="AU437" i="50"/>
  <c r="AV437" i="50" s="1"/>
  <c r="AG453" i="50"/>
  <c r="S451" i="50"/>
  <c r="AS398" i="50"/>
  <c r="U398" i="50"/>
  <c r="V398" i="50" s="1"/>
  <c r="Q406" i="50"/>
  <c r="R406" i="50" s="1"/>
  <c r="AM413" i="50"/>
  <c r="AL417" i="50"/>
  <c r="AM417" i="50" s="1"/>
  <c r="AN417" i="50" s="1"/>
  <c r="AT417" i="50" s="1"/>
  <c r="AR417" i="50"/>
  <c r="AW420" i="50"/>
  <c r="AE420" i="50"/>
  <c r="AQ420" i="50"/>
  <c r="J420" i="50"/>
  <c r="AK420" i="50"/>
  <c r="AZ435" i="50"/>
  <c r="BA435" i="50" s="1"/>
  <c r="AU435" i="50"/>
  <c r="AV435" i="50" s="1"/>
  <c r="AC497" i="50"/>
  <c r="AD497" i="50" s="1"/>
  <c r="AE313" i="50"/>
  <c r="BA376" i="50"/>
  <c r="AG389" i="50"/>
  <c r="AA390" i="50"/>
  <c r="AM396" i="50"/>
  <c r="AY414" i="50"/>
  <c r="AK415" i="50"/>
  <c r="AO425" i="50"/>
  <c r="AP425" i="50" s="1"/>
  <c r="AS431" i="50"/>
  <c r="AS436" i="50"/>
  <c r="AT436" i="50" s="1"/>
  <c r="AU440" i="50"/>
  <c r="AV440" i="50" s="1"/>
  <c r="AU343" i="50"/>
  <c r="AV343" i="50" s="1"/>
  <c r="AY377" i="50"/>
  <c r="AZ377" i="50" s="1"/>
  <c r="BA377" i="50" s="1"/>
  <c r="O387" i="50"/>
  <c r="P387" i="50" s="1"/>
  <c r="V387" i="50" s="1"/>
  <c r="Q389" i="50"/>
  <c r="R389" i="50" s="1"/>
  <c r="Z390" i="50"/>
  <c r="AM391" i="50"/>
  <c r="AS394" i="50"/>
  <c r="AX395" i="50"/>
  <c r="AY395" i="50" s="1"/>
  <c r="T395" i="50"/>
  <c r="AR395" i="50"/>
  <c r="AS395" i="50" s="1"/>
  <c r="Z395" i="50"/>
  <c r="AF395" i="50"/>
  <c r="AG395" i="50" s="1"/>
  <c r="AL395" i="50"/>
  <c r="AM395" i="50" s="1"/>
  <c r="O403" i="50"/>
  <c r="P403" i="50" s="1"/>
  <c r="V403" i="50" s="1"/>
  <c r="AB403" i="50" s="1"/>
  <c r="Z405" i="50"/>
  <c r="AA405" i="50" s="1"/>
  <c r="AX409" i="50"/>
  <c r="AY409" i="50" s="1"/>
  <c r="Z409" i="50"/>
  <c r="AA409" i="50" s="1"/>
  <c r="AF409" i="50"/>
  <c r="AG409" i="50" s="1"/>
  <c r="AL409" i="50"/>
  <c r="AM409" i="50" s="1"/>
  <c r="AR409" i="50"/>
  <c r="AS409" i="50" s="1"/>
  <c r="AO426" i="50"/>
  <c r="AP426" i="50" s="1"/>
  <c r="BA441" i="50"/>
  <c r="AY442" i="50"/>
  <c r="AZ442" i="50" s="1"/>
  <c r="BA442" i="50" s="1"/>
  <c r="BB451" i="50"/>
  <c r="Q456" i="50"/>
  <c r="R456" i="50" s="1"/>
  <c r="Q472" i="50"/>
  <c r="R472" i="50" s="1"/>
  <c r="O317" i="50"/>
  <c r="P317" i="50" s="1"/>
  <c r="AS354" i="50"/>
  <c r="AT354" i="50" s="1"/>
  <c r="AS362" i="50"/>
  <c r="AT362" i="50" s="1"/>
  <c r="AS370" i="50"/>
  <c r="AT370" i="50" s="1"/>
  <c r="AA387" i="50"/>
  <c r="U388" i="50"/>
  <c r="V388" i="50" s="1"/>
  <c r="AX388" i="50"/>
  <c r="AY388" i="50" s="1"/>
  <c r="O391" i="50"/>
  <c r="P391" i="50" s="1"/>
  <c r="AG392" i="50"/>
  <c r="AL393" i="50"/>
  <c r="AM393" i="50" s="1"/>
  <c r="AR393" i="50"/>
  <c r="AS393" i="50" s="1"/>
  <c r="T393" i="50"/>
  <c r="U393" i="50" s="1"/>
  <c r="V393" i="50" s="1"/>
  <c r="AX393" i="50"/>
  <c r="AY393" i="50" s="1"/>
  <c r="Z393" i="50"/>
  <c r="AA393" i="50" s="1"/>
  <c r="U394" i="50"/>
  <c r="Z400" i="50"/>
  <c r="AA400" i="50" s="1"/>
  <c r="V401" i="50"/>
  <c r="AM401" i="50"/>
  <c r="AM403" i="50"/>
  <c r="AR415" i="50"/>
  <c r="AX417" i="50"/>
  <c r="AY417" i="50" s="1"/>
  <c r="AM424" i="50"/>
  <c r="AN424" i="50" s="1"/>
  <c r="AR425" i="50"/>
  <c r="AS425" i="50" s="1"/>
  <c r="AT425" i="50" s="1"/>
  <c r="AX425" i="50"/>
  <c r="AU434" i="50"/>
  <c r="AV434" i="50" s="1"/>
  <c r="AS439" i="50"/>
  <c r="AT439" i="50" s="1"/>
  <c r="AY440" i="50"/>
  <c r="AZ440" i="50" s="1"/>
  <c r="BA440" i="50" s="1"/>
  <c r="BA353" i="50"/>
  <c r="AU356" i="50"/>
  <c r="AV356" i="50" s="1"/>
  <c r="AU364" i="50"/>
  <c r="AV364" i="50" s="1"/>
  <c r="BA372" i="50"/>
  <c r="BB384" i="50"/>
  <c r="BB580" i="50" s="1"/>
  <c r="M451" i="50"/>
  <c r="O386" i="50"/>
  <c r="AR390" i="50"/>
  <c r="AS390" i="50" s="1"/>
  <c r="T390" i="50"/>
  <c r="U390" i="50" s="1"/>
  <c r="V390" i="50" s="1"/>
  <c r="AY390" i="50"/>
  <c r="AG394" i="50"/>
  <c r="AA395" i="50"/>
  <c r="V399" i="50"/>
  <c r="AF400" i="50"/>
  <c r="AG400" i="50" s="1"/>
  <c r="AL400" i="50"/>
  <c r="AM400" i="50" s="1"/>
  <c r="AR400" i="50"/>
  <c r="AS400" i="50" s="1"/>
  <c r="T400" i="50"/>
  <c r="U400" i="50" s="1"/>
  <c r="V400" i="50" s="1"/>
  <c r="AB400" i="50" s="1"/>
  <c r="AL402" i="50"/>
  <c r="AM402" i="50" s="1"/>
  <c r="AR402" i="50"/>
  <c r="T402" i="50"/>
  <c r="AF402" i="50"/>
  <c r="AG402" i="50" s="1"/>
  <c r="AX402" i="50"/>
  <c r="AY402" i="50" s="1"/>
  <c r="Z402" i="50"/>
  <c r="AA402" i="50" s="1"/>
  <c r="AG404" i="50"/>
  <c r="AF405" i="50"/>
  <c r="T405" i="50"/>
  <c r="AR405" i="50"/>
  <c r="AL405" i="50"/>
  <c r="AM405" i="50" s="1"/>
  <c r="AM406" i="50"/>
  <c r="U406" i="50"/>
  <c r="V406" i="50" s="1"/>
  <c r="AS406" i="50"/>
  <c r="AY410" i="50"/>
  <c r="AA413" i="50"/>
  <c r="AB413" i="50" s="1"/>
  <c r="AO429" i="50"/>
  <c r="AP429" i="50" s="1"/>
  <c r="AF454" i="50"/>
  <c r="AL454" i="50"/>
  <c r="AX454" i="50"/>
  <c r="AY454" i="50" s="1"/>
  <c r="T454" i="50"/>
  <c r="U454" i="50" s="1"/>
  <c r="AR454" i="50"/>
  <c r="AS454" i="50" s="1"/>
  <c r="Z454" i="50"/>
  <c r="AA454" i="50" s="1"/>
  <c r="O396" i="50"/>
  <c r="P396" i="50" s="1"/>
  <c r="U399" i="50"/>
  <c r="AA407" i="50"/>
  <c r="AB409" i="50"/>
  <c r="AR410" i="50"/>
  <c r="AS410" i="50" s="1"/>
  <c r="AM412" i="50"/>
  <c r="AX420" i="50"/>
  <c r="AL420" i="50"/>
  <c r="AX422" i="50"/>
  <c r="AM427" i="50"/>
  <c r="AN427" i="50" s="1"/>
  <c r="AY431" i="50"/>
  <c r="AR433" i="50"/>
  <c r="AS433" i="50" s="1"/>
  <c r="AT433" i="50" s="1"/>
  <c r="AY436" i="50"/>
  <c r="BA446" i="50"/>
  <c r="AY446" i="50"/>
  <c r="AZ446" i="50" s="1"/>
  <c r="BA450" i="50"/>
  <c r="Q458" i="50"/>
  <c r="R458" i="50" s="1"/>
  <c r="Z387" i="50"/>
  <c r="O394" i="50"/>
  <c r="P394" i="50" s="1"/>
  <c r="AM394" i="50"/>
  <c r="AS397" i="50"/>
  <c r="AX398" i="50"/>
  <c r="AY398" i="50" s="1"/>
  <c r="Z398" i="50"/>
  <c r="AA398" i="50" s="1"/>
  <c r="AF398" i="50"/>
  <c r="AG398" i="50" s="1"/>
  <c r="W403" i="50"/>
  <c r="X403" i="50" s="1"/>
  <c r="AR403" i="50"/>
  <c r="AS403" i="50" s="1"/>
  <c r="U404" i="50"/>
  <c r="V404" i="50" s="1"/>
  <c r="AS405" i="50"/>
  <c r="U411" i="50"/>
  <c r="V411" i="50" s="1"/>
  <c r="AG411" i="50"/>
  <c r="AC414" i="50"/>
  <c r="AD414" i="50" s="1"/>
  <c r="AA414" i="50"/>
  <c r="AB414" i="50" s="1"/>
  <c r="AH414" i="50" s="1"/>
  <c r="AN414" i="50" s="1"/>
  <c r="AL418" i="50"/>
  <c r="AM418" i="50" s="1"/>
  <c r="AS419" i="50"/>
  <c r="AL421" i="50"/>
  <c r="AM421" i="50" s="1"/>
  <c r="AN421" i="50" s="1"/>
  <c r="AR421" i="50"/>
  <c r="AX421" i="50"/>
  <c r="AY421" i="50" s="1"/>
  <c r="AY425" i="50"/>
  <c r="AY428" i="50"/>
  <c r="AR429" i="50"/>
  <c r="AX429" i="50"/>
  <c r="AM431" i="50"/>
  <c r="AN431" i="50" s="1"/>
  <c r="AM432" i="50"/>
  <c r="AN432" i="50" s="1"/>
  <c r="AS432" i="50"/>
  <c r="AO434" i="50"/>
  <c r="AP434" i="50" s="1"/>
  <c r="AU438" i="50"/>
  <c r="AV438" i="50" s="1"/>
  <c r="AS438" i="50"/>
  <c r="AT438" i="50" s="1"/>
  <c r="AZ438" i="50" s="1"/>
  <c r="BA438" i="50" s="1"/>
  <c r="AY450" i="50"/>
  <c r="AZ450" i="50" s="1"/>
  <c r="AF459" i="50"/>
  <c r="AG459" i="50" s="1"/>
  <c r="AL459" i="50"/>
  <c r="AM459" i="50" s="1"/>
  <c r="AR459" i="50"/>
  <c r="T459" i="50"/>
  <c r="U459" i="50" s="1"/>
  <c r="AX459" i="50"/>
  <c r="Z459" i="50"/>
  <c r="AA459" i="50" s="1"/>
  <c r="Q461" i="50"/>
  <c r="R461" i="50" s="1"/>
  <c r="Z392" i="50"/>
  <c r="AA392" i="50" s="1"/>
  <c r="U396" i="50"/>
  <c r="AR401" i="50"/>
  <c r="AS401" i="50" s="1"/>
  <c r="T401" i="50"/>
  <c r="U401" i="50" s="1"/>
  <c r="AG401" i="50"/>
  <c r="AY403" i="50"/>
  <c r="AL404" i="50"/>
  <c r="AM404" i="50" s="1"/>
  <c r="AR404" i="50"/>
  <c r="AS404" i="50" s="1"/>
  <c r="T404" i="50"/>
  <c r="AX404" i="50"/>
  <c r="AY404" i="50" s="1"/>
  <c r="Z404" i="50"/>
  <c r="AA404" i="50" s="1"/>
  <c r="U405" i="50"/>
  <c r="W410" i="50"/>
  <c r="X410" i="50" s="1"/>
  <c r="U410" i="50"/>
  <c r="V410" i="50" s="1"/>
  <c r="AG416" i="50"/>
  <c r="AH416" i="50" s="1"/>
  <c r="AN416" i="50" s="1"/>
  <c r="AO416" i="50" s="1"/>
  <c r="AP416" i="50" s="1"/>
  <c r="AY419" i="50"/>
  <c r="AX426" i="50"/>
  <c r="AY447" i="50"/>
  <c r="AZ447" i="50" s="1"/>
  <c r="BA447" i="50" s="1"/>
  <c r="Q474" i="50"/>
  <c r="R474" i="50" s="1"/>
  <c r="AR396" i="50"/>
  <c r="AS396" i="50" s="1"/>
  <c r="T396" i="50"/>
  <c r="AX396" i="50"/>
  <c r="AY396" i="50" s="1"/>
  <c r="Z396" i="50"/>
  <c r="AA396" i="50" s="1"/>
  <c r="AG405" i="50"/>
  <c r="AX408" i="50"/>
  <c r="AY408" i="50" s="1"/>
  <c r="Z408" i="50"/>
  <c r="AA408" i="50" s="1"/>
  <c r="AF408" i="50"/>
  <c r="AG408" i="50" s="1"/>
  <c r="AL408" i="50"/>
  <c r="AM408" i="50" s="1"/>
  <c r="AS412" i="50"/>
  <c r="AF413" i="50"/>
  <c r="AG413" i="50" s="1"/>
  <c r="AL413" i="50"/>
  <c r="AR413" i="50"/>
  <c r="AS413" i="50" s="1"/>
  <c r="AX413" i="50"/>
  <c r="AY413" i="50" s="1"/>
  <c r="AQ418" i="50"/>
  <c r="AW418" i="50"/>
  <c r="AE418" i="50"/>
  <c r="AM419" i="50"/>
  <c r="AN419" i="50" s="1"/>
  <c r="AX419" i="50"/>
  <c r="AY426" i="50"/>
  <c r="AZ426" i="50" s="1"/>
  <c r="BA426" i="50" s="1"/>
  <c r="AO433" i="50"/>
  <c r="AP433" i="50" s="1"/>
  <c r="AM453" i="50"/>
  <c r="AL456" i="50"/>
  <c r="AR456" i="50"/>
  <c r="T456" i="50"/>
  <c r="AF456" i="50"/>
  <c r="AG456" i="50" s="1"/>
  <c r="Z456" i="50"/>
  <c r="AX456" i="50"/>
  <c r="AS459" i="50"/>
  <c r="AA465" i="50"/>
  <c r="AA399" i="50"/>
  <c r="Q400" i="50"/>
  <c r="R400" i="50" s="1"/>
  <c r="Q401" i="50"/>
  <c r="R401" i="50" s="1"/>
  <c r="U402" i="50"/>
  <c r="AS402" i="50"/>
  <c r="AX403" i="50"/>
  <c r="Z403" i="50"/>
  <c r="AA403" i="50" s="1"/>
  <c r="AM407" i="50"/>
  <c r="O407" i="50"/>
  <c r="P407" i="50" s="1"/>
  <c r="AS407" i="50"/>
  <c r="AG407" i="50"/>
  <c r="AM411" i="50"/>
  <c r="U412" i="50"/>
  <c r="V412" i="50" s="1"/>
  <c r="AB412" i="50" s="1"/>
  <c r="AH412" i="50" s="1"/>
  <c r="AI414" i="50"/>
  <c r="AJ414" i="50" s="1"/>
  <c r="AS417" i="50"/>
  <c r="J418" i="50"/>
  <c r="AS421" i="50"/>
  <c r="AW422" i="50"/>
  <c r="AE422" i="50"/>
  <c r="AK422" i="50"/>
  <c r="J422" i="50"/>
  <c r="AQ422" i="50"/>
  <c r="AR424" i="50"/>
  <c r="AS424" i="50" s="1"/>
  <c r="AS427" i="50"/>
  <c r="AO428" i="50"/>
  <c r="AP428" i="50" s="1"/>
  <c r="AM428" i="50"/>
  <c r="AN428" i="50" s="1"/>
  <c r="AT428" i="50" s="1"/>
  <c r="AZ428" i="50" s="1"/>
  <c r="BA428" i="50" s="1"/>
  <c r="AY429" i="50"/>
  <c r="AS430" i="50"/>
  <c r="AT430" i="50" s="1"/>
  <c r="AY432" i="50"/>
  <c r="Y557" i="50"/>
  <c r="AR458" i="50"/>
  <c r="AS458" i="50" s="1"/>
  <c r="T458" i="50"/>
  <c r="AX458" i="50"/>
  <c r="Z458" i="50"/>
  <c r="AL458" i="50"/>
  <c r="AM458" i="50" s="1"/>
  <c r="AF458" i="50"/>
  <c r="AG458" i="50" s="1"/>
  <c r="AF406" i="50"/>
  <c r="AG406" i="50" s="1"/>
  <c r="AK410" i="50"/>
  <c r="AK451" i="50" s="1"/>
  <c r="AW416" i="50"/>
  <c r="J607" i="50"/>
  <c r="AR455" i="50"/>
  <c r="AS455" i="50" s="1"/>
  <c r="T455" i="50"/>
  <c r="U455" i="50" s="1"/>
  <c r="AX455" i="50"/>
  <c r="AY455" i="50" s="1"/>
  <c r="Z455" i="50"/>
  <c r="AA455" i="50" s="1"/>
  <c r="AF455" i="50"/>
  <c r="AA456" i="50"/>
  <c r="AX457" i="50"/>
  <c r="AY457" i="50" s="1"/>
  <c r="Z457" i="50"/>
  <c r="AA457" i="50" s="1"/>
  <c r="AF457" i="50"/>
  <c r="AL457" i="50"/>
  <c r="AM457" i="50" s="1"/>
  <c r="AR457" i="50"/>
  <c r="AS457" i="50" s="1"/>
  <c r="Q460" i="50"/>
  <c r="R460" i="50" s="1"/>
  <c r="O460" i="50"/>
  <c r="P460" i="50" s="1"/>
  <c r="AY470" i="50"/>
  <c r="AR486" i="50"/>
  <c r="AF486" i="50"/>
  <c r="AX486" i="50"/>
  <c r="AL486" i="50"/>
  <c r="AM486" i="50" s="1"/>
  <c r="Z486" i="50"/>
  <c r="J494" i="50"/>
  <c r="AK494" i="50"/>
  <c r="AQ494" i="50"/>
  <c r="AQ557" i="50" s="1"/>
  <c r="AE494" i="50"/>
  <c r="Y494" i="50"/>
  <c r="AW494" i="50"/>
  <c r="AG403" i="50"/>
  <c r="O405" i="50"/>
  <c r="P405" i="50" s="1"/>
  <c r="Z406" i="50"/>
  <c r="AX406" i="50"/>
  <c r="AY406" i="50" s="1"/>
  <c r="AE410" i="50"/>
  <c r="AE451" i="50" s="1"/>
  <c r="AQ416" i="50"/>
  <c r="AX431" i="50"/>
  <c r="Q455" i="50"/>
  <c r="R455" i="50" s="1"/>
  <c r="Q457" i="50"/>
  <c r="R457" i="50" s="1"/>
  <c r="O457" i="50"/>
  <c r="P457" i="50" s="1"/>
  <c r="V457" i="50" s="1"/>
  <c r="O459" i="50"/>
  <c r="P459" i="50" s="1"/>
  <c r="U463" i="50"/>
  <c r="AS463" i="50"/>
  <c r="U468" i="50"/>
  <c r="AR485" i="50"/>
  <c r="AX485" i="50"/>
  <c r="Z485" i="50"/>
  <c r="AF485" i="50"/>
  <c r="AL485" i="50"/>
  <c r="AL453" i="50"/>
  <c r="AR453" i="50"/>
  <c r="T453" i="50"/>
  <c r="AX453" i="50"/>
  <c r="Z453" i="50"/>
  <c r="AY453" i="50"/>
  <c r="AG454" i="50"/>
  <c r="AG457" i="50"/>
  <c r="T460" i="50"/>
  <c r="U460" i="50" s="1"/>
  <c r="AA462" i="50"/>
  <c r="O484" i="50"/>
  <c r="P484" i="50" s="1"/>
  <c r="AG484" i="50"/>
  <c r="AM484" i="50"/>
  <c r="J410" i="50"/>
  <c r="J451" i="50" s="1"/>
  <c r="Y410" i="50"/>
  <c r="J416" i="50"/>
  <c r="O455" i="50"/>
  <c r="P455" i="50" s="1"/>
  <c r="V455" i="50" s="1"/>
  <c r="AG455" i="50"/>
  <c r="AY456" i="50"/>
  <c r="W457" i="50"/>
  <c r="X457" i="50" s="1"/>
  <c r="AY459" i="50"/>
  <c r="AF465" i="50"/>
  <c r="AG465" i="50" s="1"/>
  <c r="AL465" i="50"/>
  <c r="AM465" i="50" s="1"/>
  <c r="AR465" i="50"/>
  <c r="AS465" i="50" s="1"/>
  <c r="T465" i="50"/>
  <c r="AX465" i="50"/>
  <c r="AY465" i="50" s="1"/>
  <c r="AX475" i="50"/>
  <c r="AY475" i="50" s="1"/>
  <c r="AF475" i="50"/>
  <c r="AG475" i="50" s="1"/>
  <c r="AL475" i="50"/>
  <c r="AM475" i="50" s="1"/>
  <c r="Z475" i="50"/>
  <c r="AA475" i="50" s="1"/>
  <c r="AR475" i="50"/>
  <c r="AS475" i="50" s="1"/>
  <c r="T475" i="50"/>
  <c r="U475" i="50" s="1"/>
  <c r="AS508" i="50"/>
  <c r="U458" i="50"/>
  <c r="V458" i="50" s="1"/>
  <c r="AL462" i="50"/>
  <c r="T462" i="50"/>
  <c r="AF462" i="50"/>
  <c r="AX462" i="50"/>
  <c r="Z462" i="50"/>
  <c r="AL467" i="50"/>
  <c r="AM467" i="50" s="1"/>
  <c r="AR467" i="50"/>
  <c r="T467" i="50"/>
  <c r="U467" i="50" s="1"/>
  <c r="V467" i="50" s="1"/>
  <c r="AX467" i="50"/>
  <c r="AY467" i="50" s="1"/>
  <c r="Z467" i="50"/>
  <c r="AA467" i="50" s="1"/>
  <c r="AF467" i="50"/>
  <c r="AG467" i="50" s="1"/>
  <c r="V476" i="50"/>
  <c r="Q476" i="50"/>
  <c r="R476" i="50" s="1"/>
  <c r="W487" i="50"/>
  <c r="X487" i="50" s="1"/>
  <c r="AM456" i="50"/>
  <c r="AX460" i="50"/>
  <c r="Z460" i="50"/>
  <c r="AA460" i="50" s="1"/>
  <c r="AF460" i="50"/>
  <c r="AL460" i="50"/>
  <c r="AM460" i="50" s="1"/>
  <c r="AY460" i="50"/>
  <c r="AM461" i="50"/>
  <c r="AX463" i="50"/>
  <c r="AY463" i="50" s="1"/>
  <c r="Z463" i="50"/>
  <c r="AA463" i="50" s="1"/>
  <c r="AF463" i="50"/>
  <c r="AG463" i="50" s="1"/>
  <c r="AR463" i="50"/>
  <c r="T463" i="50"/>
  <c r="AL463" i="50"/>
  <c r="AM463" i="50" s="1"/>
  <c r="O469" i="50"/>
  <c r="P469" i="50" s="1"/>
  <c r="Q469" i="50"/>
  <c r="R469" i="50" s="1"/>
  <c r="V465" i="50"/>
  <c r="U472" i="50"/>
  <c r="V472" i="50" s="1"/>
  <c r="AM474" i="50"/>
  <c r="AH495" i="50"/>
  <c r="AO514" i="50"/>
  <c r="AP514" i="50" s="1"/>
  <c r="AY551" i="50"/>
  <c r="AZ551" i="50" s="1"/>
  <c r="BA551" i="50" s="1"/>
  <c r="AA464" i="50"/>
  <c r="AM469" i="50"/>
  <c r="AM470" i="50"/>
  <c r="U473" i="50"/>
  <c r="Z478" i="50"/>
  <c r="AR478" i="50"/>
  <c r="AS478" i="50" s="1"/>
  <c r="AF478" i="50"/>
  <c r="AL478" i="50"/>
  <c r="AM478" i="50" s="1"/>
  <c r="T478" i="50"/>
  <c r="U478" i="50" s="1"/>
  <c r="AX478" i="50"/>
  <c r="AY478" i="50" s="1"/>
  <c r="AA483" i="50"/>
  <c r="AF487" i="50"/>
  <c r="AX487" i="50"/>
  <c r="AL487" i="50"/>
  <c r="Z487" i="50"/>
  <c r="W489" i="50"/>
  <c r="X489" i="50" s="1"/>
  <c r="AR461" i="50"/>
  <c r="AS461" i="50" s="1"/>
  <c r="AX461" i="50"/>
  <c r="AY461" i="50" s="1"/>
  <c r="Z461" i="50"/>
  <c r="AA461" i="50" s="1"/>
  <c r="T461" i="50"/>
  <c r="AY462" i="50"/>
  <c r="O463" i="50"/>
  <c r="P463" i="50" s="1"/>
  <c r="V463" i="50" s="1"/>
  <c r="AY464" i="50"/>
  <c r="Q465" i="50"/>
  <c r="R465" i="50" s="1"/>
  <c r="AM466" i="50"/>
  <c r="AF468" i="50"/>
  <c r="AG468" i="50" s="1"/>
  <c r="AR468" i="50"/>
  <c r="AS468" i="50" s="1"/>
  <c r="AL470" i="50"/>
  <c r="AX470" i="50"/>
  <c r="Z470" i="50"/>
  <c r="AA470" i="50" s="1"/>
  <c r="W471" i="50"/>
  <c r="X471" i="50" s="1"/>
  <c r="AR472" i="50"/>
  <c r="T472" i="50"/>
  <c r="AF472" i="50"/>
  <c r="AG472" i="50" s="1"/>
  <c r="AX473" i="50"/>
  <c r="AF473" i="50"/>
  <c r="AG473" i="50" s="1"/>
  <c r="T473" i="50"/>
  <c r="AR473" i="50"/>
  <c r="AS473" i="50" s="1"/>
  <c r="AA473" i="50"/>
  <c r="AL474" i="50"/>
  <c r="AF474" i="50"/>
  <c r="T474" i="50"/>
  <c r="U474" i="50" s="1"/>
  <c r="V474" i="50" s="1"/>
  <c r="Z474" i="50"/>
  <c r="AA474" i="50" s="1"/>
  <c r="AG483" i="50"/>
  <c r="AM497" i="50"/>
  <c r="O454" i="50"/>
  <c r="P454" i="50" s="1"/>
  <c r="Q454" i="50" s="1"/>
  <c r="R454" i="50" s="1"/>
  <c r="AM454" i="50"/>
  <c r="U456" i="50"/>
  <c r="V456" i="50" s="1"/>
  <c r="AS456" i="50"/>
  <c r="AA458" i="50"/>
  <c r="AY458" i="50"/>
  <c r="AG460" i="50"/>
  <c r="U461" i="50"/>
  <c r="V461" i="50" s="1"/>
  <c r="AM462" i="50"/>
  <c r="O462" i="50"/>
  <c r="P462" i="50" s="1"/>
  <c r="O466" i="50"/>
  <c r="P466" i="50" s="1"/>
  <c r="AS467" i="50"/>
  <c r="Z468" i="50"/>
  <c r="AA468" i="50" s="1"/>
  <c r="AX471" i="50"/>
  <c r="AY471" i="50" s="1"/>
  <c r="Z471" i="50"/>
  <c r="AA471" i="50" s="1"/>
  <c r="AB471" i="50" s="1"/>
  <c r="AF471" i="50"/>
  <c r="AG471" i="50" s="1"/>
  <c r="AL471" i="50"/>
  <c r="AM471" i="50" s="1"/>
  <c r="AS471" i="50"/>
  <c r="Z473" i="50"/>
  <c r="AG474" i="50"/>
  <c r="AX490" i="50"/>
  <c r="Z490" i="50"/>
  <c r="AA490" i="50" s="1"/>
  <c r="AR490" i="50"/>
  <c r="AS490" i="50" s="1"/>
  <c r="AF490" i="50"/>
  <c r="AG490" i="50" s="1"/>
  <c r="M557" i="50"/>
  <c r="AF461" i="50"/>
  <c r="AG461" i="50" s="1"/>
  <c r="U462" i="50"/>
  <c r="AL468" i="50"/>
  <c r="AM468" i="50" s="1"/>
  <c r="AR469" i="50"/>
  <c r="AS469" i="50" s="1"/>
  <c r="T469" i="50"/>
  <c r="U469" i="50" s="1"/>
  <c r="AX469" i="50"/>
  <c r="AY469" i="50" s="1"/>
  <c r="Z469" i="50"/>
  <c r="AA469" i="50" s="1"/>
  <c r="AF469" i="50"/>
  <c r="AG469" i="50" s="1"/>
  <c r="O470" i="50"/>
  <c r="P470" i="50" s="1"/>
  <c r="Z472" i="50"/>
  <c r="AA472" i="50" s="1"/>
  <c r="AS472" i="50"/>
  <c r="O473" i="50"/>
  <c r="P473" i="50" s="1"/>
  <c r="AX474" i="50"/>
  <c r="AY474" i="50" s="1"/>
  <c r="AR476" i="50"/>
  <c r="T476" i="50"/>
  <c r="AX476" i="50"/>
  <c r="AY476" i="50" s="1"/>
  <c r="Z476" i="50"/>
  <c r="AA476" i="50" s="1"/>
  <c r="AX483" i="50"/>
  <c r="Z483" i="50"/>
  <c r="AF483" i="50"/>
  <c r="T483" i="50"/>
  <c r="U483" i="50" s="1"/>
  <c r="AL483" i="50"/>
  <c r="AR483" i="50"/>
  <c r="AS483" i="50"/>
  <c r="AR492" i="50"/>
  <c r="AX492" i="50"/>
  <c r="AL492" i="50"/>
  <c r="AF492" i="50"/>
  <c r="AG492" i="50" s="1"/>
  <c r="AC496" i="50"/>
  <c r="AD496" i="50" s="1"/>
  <c r="AA496" i="50"/>
  <c r="AB496" i="50" s="1"/>
  <c r="AG499" i="50"/>
  <c r="AH499" i="50" s="1"/>
  <c r="AY499" i="50"/>
  <c r="N557" i="50"/>
  <c r="AG462" i="50"/>
  <c r="AS462" i="50"/>
  <c r="AR464" i="50"/>
  <c r="AS464" i="50" s="1"/>
  <c r="T464" i="50"/>
  <c r="U464" i="50" s="1"/>
  <c r="V464" i="50" s="1"/>
  <c r="AF464" i="50"/>
  <c r="AG464" i="50" s="1"/>
  <c r="U465" i="50"/>
  <c r="AR470" i="50"/>
  <c r="AS470" i="50" s="1"/>
  <c r="Q471" i="50"/>
  <c r="R471" i="50" s="1"/>
  <c r="U480" i="50"/>
  <c r="W488" i="50"/>
  <c r="X488" i="50" s="1"/>
  <c r="AY490" i="50"/>
  <c r="AS513" i="50"/>
  <c r="AM513" i="50"/>
  <c r="AN513" i="50" s="1"/>
  <c r="Q478" i="50"/>
  <c r="R478" i="50" s="1"/>
  <c r="O478" i="50"/>
  <c r="P478" i="50" s="1"/>
  <c r="V478" i="50" s="1"/>
  <c r="AM495" i="50"/>
  <c r="AM498" i="50"/>
  <c r="AG500" i="50"/>
  <c r="AH500" i="50" s="1"/>
  <c r="AN500" i="50" s="1"/>
  <c r="AU525" i="50"/>
  <c r="AV525" i="50" s="1"/>
  <c r="AU528" i="50"/>
  <c r="AV528" i="50" s="1"/>
  <c r="AS476" i="50"/>
  <c r="U476" i="50"/>
  <c r="AG477" i="50"/>
  <c r="AS477" i="50"/>
  <c r="AG478" i="50"/>
  <c r="AY481" i="50"/>
  <c r="W491" i="50"/>
  <c r="X491" i="50" s="1"/>
  <c r="AY504" i="50"/>
  <c r="AG466" i="50"/>
  <c r="O468" i="50"/>
  <c r="P468" i="50" s="1"/>
  <c r="U470" i="50"/>
  <c r="AY472" i="50"/>
  <c r="AM473" i="50"/>
  <c r="O475" i="50"/>
  <c r="P475" i="50" s="1"/>
  <c r="AG476" i="50"/>
  <c r="U477" i="50"/>
  <c r="AY477" i="50"/>
  <c r="Z480" i="50"/>
  <c r="AA480" i="50" s="1"/>
  <c r="AR480" i="50"/>
  <c r="AS480" i="50" s="1"/>
  <c r="AF480" i="50"/>
  <c r="AG480" i="50" s="1"/>
  <c r="AX480" i="50"/>
  <c r="AY480" i="50" s="1"/>
  <c r="O482" i="50"/>
  <c r="P482" i="50" s="1"/>
  <c r="I557" i="50"/>
  <c r="AQ485" i="50"/>
  <c r="AE485" i="50"/>
  <c r="AW485" i="50"/>
  <c r="AW557" i="50" s="1"/>
  <c r="S485" i="50"/>
  <c r="AK485" i="50"/>
  <c r="Y485" i="50"/>
  <c r="J485" i="50"/>
  <c r="J557" i="50" s="1"/>
  <c r="AM488" i="50"/>
  <c r="AY495" i="50"/>
  <c r="Z466" i="50"/>
  <c r="AA466" i="50" s="1"/>
  <c r="AR481" i="50"/>
  <c r="AS481" i="50" s="1"/>
  <c r="T481" i="50"/>
  <c r="U481" i="50" s="1"/>
  <c r="V481" i="50" s="1"/>
  <c r="AX481" i="50"/>
  <c r="Z481" i="50"/>
  <c r="AA481" i="50" s="1"/>
  <c r="AL481" i="50"/>
  <c r="AM481" i="50" s="1"/>
  <c r="AR482" i="50"/>
  <c r="AS482" i="50" s="1"/>
  <c r="Z482" i="50"/>
  <c r="AA482" i="50" s="1"/>
  <c r="AF482" i="50"/>
  <c r="AG482" i="50" s="1"/>
  <c r="AX482" i="50"/>
  <c r="T482" i="50"/>
  <c r="U482" i="50" s="1"/>
  <c r="AL482" i="50"/>
  <c r="AM482" i="50" s="1"/>
  <c r="AL488" i="50"/>
  <c r="Z488" i="50"/>
  <c r="AR488" i="50"/>
  <c r="AS488" i="50" s="1"/>
  <c r="AF488" i="50"/>
  <c r="AG488" i="50" s="1"/>
  <c r="AR497" i="50"/>
  <c r="AS497" i="50" s="1"/>
  <c r="AF497" i="50"/>
  <c r="AG497" i="50" s="1"/>
  <c r="AH497" i="50" s="1"/>
  <c r="AY500" i="50"/>
  <c r="AO518" i="50"/>
  <c r="AP518" i="50" s="1"/>
  <c r="AY473" i="50"/>
  <c r="AS474" i="50"/>
  <c r="O477" i="50"/>
  <c r="P477" i="50" s="1"/>
  <c r="O479" i="50"/>
  <c r="P479" i="50" s="1"/>
  <c r="AM480" i="50"/>
  <c r="AF481" i="50"/>
  <c r="AG481" i="50" s="1"/>
  <c r="AY483" i="50"/>
  <c r="AG489" i="50"/>
  <c r="AX493" i="50"/>
  <c r="AF493" i="50"/>
  <c r="AR493" i="50"/>
  <c r="AS493" i="50" s="1"/>
  <c r="AL493" i="50"/>
  <c r="AY497" i="50"/>
  <c r="AH498" i="50"/>
  <c r="AC498" i="50"/>
  <c r="AD498" i="50" s="1"/>
  <c r="AS515" i="50"/>
  <c r="AQ486" i="50"/>
  <c r="S486" i="50"/>
  <c r="AW486" i="50"/>
  <c r="Y486" i="50"/>
  <c r="J486" i="50"/>
  <c r="AW492" i="50"/>
  <c r="Y492" i="50"/>
  <c r="AY496" i="50"/>
  <c r="AL499" i="50"/>
  <c r="AM499" i="50" s="1"/>
  <c r="AR499" i="50"/>
  <c r="AM504" i="50"/>
  <c r="AX518" i="50"/>
  <c r="AY518" i="50" s="1"/>
  <c r="AR518" i="50"/>
  <c r="AU519" i="50"/>
  <c r="AV519" i="50" s="1"/>
  <c r="AS519" i="50"/>
  <c r="AS526" i="50"/>
  <c r="AT526" i="50" s="1"/>
  <c r="AZ526" i="50" s="1"/>
  <c r="BA526" i="50" s="1"/>
  <c r="Z479" i="50"/>
  <c r="AA479" i="50" s="1"/>
  <c r="T484" i="50"/>
  <c r="U484" i="50" s="1"/>
  <c r="U490" i="50"/>
  <c r="V490" i="50" s="1"/>
  <c r="J492" i="50"/>
  <c r="AK492" i="50"/>
  <c r="AM493" i="50"/>
  <c r="AY493" i="50"/>
  <c r="AL505" i="50"/>
  <c r="AM505" i="50" s="1"/>
  <c r="AN505" i="50" s="1"/>
  <c r="AR505" i="50"/>
  <c r="AX505" i="50"/>
  <c r="AY505" i="50" s="1"/>
  <c r="AY516" i="50"/>
  <c r="AS516" i="50"/>
  <c r="AS522" i="50"/>
  <c r="AO560" i="50"/>
  <c r="AP560" i="50" s="1"/>
  <c r="Q480" i="50"/>
  <c r="R480" i="50" s="1"/>
  <c r="O480" i="50"/>
  <c r="P480" i="50" s="1"/>
  <c r="AY482" i="50"/>
  <c r="O483" i="50"/>
  <c r="P483" i="50" s="1"/>
  <c r="V483" i="50" s="1"/>
  <c r="AB483" i="50" s="1"/>
  <c r="AF484" i="50"/>
  <c r="AX484" i="50"/>
  <c r="AY484" i="50" s="1"/>
  <c r="AM487" i="50"/>
  <c r="AA488" i="50"/>
  <c r="AB488" i="50" s="1"/>
  <c r="AR489" i="50"/>
  <c r="AS489" i="50" s="1"/>
  <c r="AX489" i="50"/>
  <c r="AY489" i="50" s="1"/>
  <c r="Z489" i="50"/>
  <c r="AA489" i="50" s="1"/>
  <c r="AB489" i="50" s="1"/>
  <c r="AL489" i="50"/>
  <c r="AM489" i="50" s="1"/>
  <c r="AA493" i="50"/>
  <c r="AB493" i="50" s="1"/>
  <c r="AF495" i="50"/>
  <c r="AG495" i="50" s="1"/>
  <c r="AX498" i="50"/>
  <c r="AY498" i="50" s="1"/>
  <c r="AL498" i="50"/>
  <c r="AG498" i="50"/>
  <c r="AS499" i="50"/>
  <c r="AI503" i="50"/>
  <c r="AJ503" i="50" s="1"/>
  <c r="AM522" i="50"/>
  <c r="AN522" i="50" s="1"/>
  <c r="AS529" i="50"/>
  <c r="AT529" i="50" s="1"/>
  <c r="AZ529" i="50" s="1"/>
  <c r="AU529" i="50"/>
  <c r="AV529" i="50" s="1"/>
  <c r="AE486" i="50"/>
  <c r="AY487" i="50"/>
  <c r="AL491" i="50"/>
  <c r="AM491" i="50" s="1"/>
  <c r="AR491" i="50"/>
  <c r="AS491" i="50" s="1"/>
  <c r="Z491" i="50"/>
  <c r="AA491" i="50" s="1"/>
  <c r="AB491" i="50" s="1"/>
  <c r="AX491" i="50"/>
  <c r="AY491" i="50" s="1"/>
  <c r="AS495" i="50"/>
  <c r="AF496" i="50"/>
  <c r="AG496" i="50" s="1"/>
  <c r="AS496" i="50"/>
  <c r="AO500" i="50"/>
  <c r="AP500" i="50" s="1"/>
  <c r="AG501" i="50"/>
  <c r="AH501" i="50" s="1"/>
  <c r="AI504" i="50"/>
  <c r="AJ504" i="50" s="1"/>
  <c r="AG504" i="50"/>
  <c r="AH504" i="50" s="1"/>
  <c r="AG507" i="50"/>
  <c r="AH507" i="50" s="1"/>
  <c r="AY512" i="50"/>
  <c r="AS512" i="50"/>
  <c r="AS517" i="50"/>
  <c r="AM517" i="50"/>
  <c r="AN517" i="50" s="1"/>
  <c r="AO523" i="50"/>
  <c r="AP523" i="50" s="1"/>
  <c r="AU535" i="50"/>
  <c r="AV535" i="50" s="1"/>
  <c r="AZ535" i="50"/>
  <c r="BA535" i="50" s="1"/>
  <c r="AW579" i="50"/>
  <c r="AL479" i="50"/>
  <c r="AM479" i="50" s="1"/>
  <c r="AR479" i="50"/>
  <c r="AS479" i="50" s="1"/>
  <c r="T479" i="50"/>
  <c r="U479" i="50" s="1"/>
  <c r="AM483" i="50"/>
  <c r="AS484" i="50"/>
  <c r="AA487" i="50"/>
  <c r="AB487" i="50" s="1"/>
  <c r="AG487" i="50"/>
  <c r="AR496" i="50"/>
  <c r="AI505" i="50"/>
  <c r="AJ505" i="50" s="1"/>
  <c r="AX506" i="50"/>
  <c r="AY506" i="50" s="1"/>
  <c r="AL506" i="50"/>
  <c r="AM506" i="50" s="1"/>
  <c r="AN506" i="50" s="1"/>
  <c r="AR506" i="50"/>
  <c r="AS506" i="50" s="1"/>
  <c r="AW508" i="50"/>
  <c r="AE508" i="50"/>
  <c r="AK508" i="50"/>
  <c r="J508" i="50"/>
  <c r="Q509" i="50"/>
  <c r="R509" i="50" s="1"/>
  <c r="O509" i="50"/>
  <c r="P509" i="50" s="1"/>
  <c r="AX514" i="50"/>
  <c r="AY514" i="50" s="1"/>
  <c r="AR514" i="50"/>
  <c r="AM521" i="50"/>
  <c r="AN521" i="50" s="1"/>
  <c r="AT521" i="50" s="1"/>
  <c r="AS553" i="50"/>
  <c r="AT553" i="50" s="1"/>
  <c r="AF479" i="50"/>
  <c r="AG479" i="50" s="1"/>
  <c r="AA484" i="50"/>
  <c r="AY488" i="50"/>
  <c r="AQ492" i="50"/>
  <c r="AF494" i="50"/>
  <c r="AL494" i="50"/>
  <c r="AC495" i="50"/>
  <c r="AD495" i="50" s="1"/>
  <c r="AX499" i="50"/>
  <c r="AS504" i="50"/>
  <c r="AR523" i="50"/>
  <c r="AS523" i="50" s="1"/>
  <c r="AT523" i="50" s="1"/>
  <c r="AX523" i="50"/>
  <c r="AZ544" i="50"/>
  <c r="BA544" i="50" s="1"/>
  <c r="AU544" i="50"/>
  <c r="AV544" i="50" s="1"/>
  <c r="AU551" i="50"/>
  <c r="AV551" i="50" s="1"/>
  <c r="AU552" i="50"/>
  <c r="AV552" i="50" s="1"/>
  <c r="AE493" i="50"/>
  <c r="AL502" i="50"/>
  <c r="AM502" i="50" s="1"/>
  <c r="AO506" i="50"/>
  <c r="AP506" i="50" s="1"/>
  <c r="AR522" i="50"/>
  <c r="AX522" i="50"/>
  <c r="AY522" i="50" s="1"/>
  <c r="AY523" i="50"/>
  <c r="AS542" i="50"/>
  <c r="AT542" i="50" s="1"/>
  <c r="AU548" i="50"/>
  <c r="AV548" i="50" s="1"/>
  <c r="AS548" i="50"/>
  <c r="AT548" i="50" s="1"/>
  <c r="AZ548" i="50" s="1"/>
  <c r="AW561" i="50"/>
  <c r="AU576" i="50"/>
  <c r="AV576" i="50" s="1"/>
  <c r="AQ500" i="50"/>
  <c r="AQ502" i="50"/>
  <c r="AW502" i="50"/>
  <c r="AE502" i="50"/>
  <c r="AG503" i="50"/>
  <c r="AH503" i="50" s="1"/>
  <c r="AN503" i="50" s="1"/>
  <c r="AS503" i="50"/>
  <c r="AX508" i="50"/>
  <c r="AA510" i="50"/>
  <c r="AR511" i="50"/>
  <c r="AS511" i="50" s="1"/>
  <c r="AU527" i="50"/>
  <c r="AV527" i="50" s="1"/>
  <c r="BA529" i="50"/>
  <c r="AY535" i="50"/>
  <c r="AS537" i="50"/>
  <c r="AT537" i="50" s="1"/>
  <c r="AZ537" i="50" s="1"/>
  <c r="AY575" i="50"/>
  <c r="AX504" i="50"/>
  <c r="AL504" i="50"/>
  <c r="AS505" i="50"/>
  <c r="AM520" i="50"/>
  <c r="AN520" i="50" s="1"/>
  <c r="AU532" i="50"/>
  <c r="AV532" i="50" s="1"/>
  <c r="AS532" i="50"/>
  <c r="AT532" i="50" s="1"/>
  <c r="AZ532" i="50" s="1"/>
  <c r="BA532" i="50" s="1"/>
  <c r="AL559" i="50"/>
  <c r="AL561" i="50" s="1"/>
  <c r="AR559" i="50"/>
  <c r="AX559" i="50"/>
  <c r="AZ575" i="50"/>
  <c r="BA575" i="50" s="1"/>
  <c r="I582" i="50"/>
  <c r="AA478" i="50"/>
  <c r="AL507" i="50"/>
  <c r="AM507" i="50" s="1"/>
  <c r="AR507" i="50"/>
  <c r="AS507" i="50" s="1"/>
  <c r="AX507" i="50"/>
  <c r="AY507" i="50" s="1"/>
  <c r="AR510" i="50"/>
  <c r="AO516" i="50"/>
  <c r="AP516" i="50" s="1"/>
  <c r="AM516" i="50"/>
  <c r="AN516" i="50" s="1"/>
  <c r="AO519" i="50"/>
  <c r="AP519" i="50" s="1"/>
  <c r="AS527" i="50"/>
  <c r="AT527" i="50" s="1"/>
  <c r="AZ527" i="50" s="1"/>
  <c r="BA527" i="50" s="1"/>
  <c r="AS550" i="50"/>
  <c r="AT550" i="50" s="1"/>
  <c r="BA556" i="50"/>
  <c r="BB557" i="50"/>
  <c r="AY556" i="50"/>
  <c r="AZ556" i="50" s="1"/>
  <c r="I561" i="50"/>
  <c r="I591" i="50" s="1"/>
  <c r="AE559" i="50"/>
  <c r="AK559" i="50"/>
  <c r="J559" i="50"/>
  <c r="J561" i="50" s="1"/>
  <c r="AQ559" i="50"/>
  <c r="AR560" i="50"/>
  <c r="AS560" i="50" s="1"/>
  <c r="AT560" i="50" s="1"/>
  <c r="AX560" i="50"/>
  <c r="AY560" i="50" s="1"/>
  <c r="AL501" i="50"/>
  <c r="AM501" i="50" s="1"/>
  <c r="AR501" i="50"/>
  <c r="AS501" i="50" s="1"/>
  <c r="AX501" i="50"/>
  <c r="AY501" i="50" s="1"/>
  <c r="AG509" i="50"/>
  <c r="AO512" i="50"/>
  <c r="AP512" i="50" s="1"/>
  <c r="AM512" i="50"/>
  <c r="AN512" i="50" s="1"/>
  <c r="AT512" i="50" s="1"/>
  <c r="BA537" i="50"/>
  <c r="AY543" i="50"/>
  <c r="AZ543" i="50" s="1"/>
  <c r="BA543" i="50" s="1"/>
  <c r="AS545" i="50"/>
  <c r="AT545" i="50" s="1"/>
  <c r="AZ545" i="50" s="1"/>
  <c r="BA545" i="50" s="1"/>
  <c r="AU545" i="50"/>
  <c r="AV545" i="50" s="1"/>
  <c r="W567" i="50"/>
  <c r="X567" i="50" s="1"/>
  <c r="AY503" i="50"/>
  <c r="AY509" i="50"/>
  <c r="AY510" i="50"/>
  <c r="AU534" i="50"/>
  <c r="AV534" i="50" s="1"/>
  <c r="AS534" i="50"/>
  <c r="AT534" i="50" s="1"/>
  <c r="AZ534" i="50" s="1"/>
  <c r="BA534" i="50" s="1"/>
  <c r="AU540" i="50"/>
  <c r="AV540" i="50" s="1"/>
  <c r="AS540" i="50"/>
  <c r="AT540" i="50" s="1"/>
  <c r="AZ540" i="50" s="1"/>
  <c r="Q568" i="50"/>
  <c r="R568" i="50" s="1"/>
  <c r="S510" i="50"/>
  <c r="AQ510" i="50"/>
  <c r="AY530" i="50"/>
  <c r="AZ531" i="50"/>
  <c r="BA531" i="50" s="1"/>
  <c r="AY538" i="50"/>
  <c r="AY546" i="50"/>
  <c r="AZ547" i="50"/>
  <c r="BA547" i="50" s="1"/>
  <c r="AY554" i="50"/>
  <c r="AS565" i="50"/>
  <c r="AY568" i="50"/>
  <c r="W569" i="50"/>
  <c r="X569" i="50" s="1"/>
  <c r="AU571" i="50"/>
  <c r="AV571" i="50" s="1"/>
  <c r="Z509" i="50"/>
  <c r="AA509" i="50" s="1"/>
  <c r="M510" i="50"/>
  <c r="AK510" i="50"/>
  <c r="AM511" i="50"/>
  <c r="AN511" i="50" s="1"/>
  <c r="AO511" i="50" s="1"/>
  <c r="AP511" i="50" s="1"/>
  <c r="AY513" i="50"/>
  <c r="AS514" i="50"/>
  <c r="AT514" i="50" s="1"/>
  <c r="AM515" i="50"/>
  <c r="AN515" i="50" s="1"/>
  <c r="AY517" i="50"/>
  <c r="AS518" i="50"/>
  <c r="AT518" i="50" s="1"/>
  <c r="AM519" i="50"/>
  <c r="AN519" i="50" s="1"/>
  <c r="AT519" i="50" s="1"/>
  <c r="AZ519" i="50" s="1"/>
  <c r="BA519" i="50" s="1"/>
  <c r="AY520" i="50"/>
  <c r="AY525" i="50"/>
  <c r="AZ525" i="50" s="1"/>
  <c r="BA525" i="50" s="1"/>
  <c r="AY528" i="50"/>
  <c r="AZ528" i="50" s="1"/>
  <c r="BA528" i="50" s="1"/>
  <c r="AY531" i="50"/>
  <c r="AY536" i="50"/>
  <c r="AZ536" i="50" s="1"/>
  <c r="BA536" i="50" s="1"/>
  <c r="AY539" i="50"/>
  <c r="AZ539" i="50" s="1"/>
  <c r="BA539" i="50" s="1"/>
  <c r="AU543" i="50"/>
  <c r="AV543" i="50" s="1"/>
  <c r="AY544" i="50"/>
  <c r="AY547" i="50"/>
  <c r="AY552" i="50"/>
  <c r="AZ552" i="50" s="1"/>
  <c r="BA552" i="50" s="1"/>
  <c r="AY555" i="50"/>
  <c r="AZ555" i="50" s="1"/>
  <c r="BA555" i="50" s="1"/>
  <c r="O564" i="50"/>
  <c r="P564" i="50" s="1"/>
  <c r="M579" i="50"/>
  <c r="AG567" i="50"/>
  <c r="AR571" i="50"/>
  <c r="AS571" i="50" s="1"/>
  <c r="AX571" i="50"/>
  <c r="AY571" i="50" s="1"/>
  <c r="S509" i="50"/>
  <c r="AQ509" i="50"/>
  <c r="AS533" i="50"/>
  <c r="AT533" i="50" s="1"/>
  <c r="AS541" i="50"/>
  <c r="AT541" i="50" s="1"/>
  <c r="AS549" i="50"/>
  <c r="AT549" i="50" s="1"/>
  <c r="AA565" i="50"/>
  <c r="J608" i="50"/>
  <c r="AS530" i="50"/>
  <c r="AT530" i="50" s="1"/>
  <c r="AS538" i="50"/>
  <c r="AT538" i="50" s="1"/>
  <c r="BA540" i="50"/>
  <c r="AS546" i="50"/>
  <c r="AT546" i="50" s="1"/>
  <c r="BA548" i="50"/>
  <c r="AS554" i="50"/>
  <c r="AT554" i="50" s="1"/>
  <c r="O570" i="50"/>
  <c r="P570" i="50" s="1"/>
  <c r="AZ574" i="50"/>
  <c r="BA574" i="50" s="1"/>
  <c r="AL563" i="50"/>
  <c r="AX563" i="50"/>
  <c r="AG570" i="50"/>
  <c r="AN571" i="50"/>
  <c r="AT571" i="50" s="1"/>
  <c r="Q572" i="50"/>
  <c r="AA572" i="50"/>
  <c r="AB572" i="50" s="1"/>
  <c r="AC572" i="50" s="1"/>
  <c r="J610" i="50"/>
  <c r="AU574" i="50"/>
  <c r="AV574" i="50" s="1"/>
  <c r="S579" i="50"/>
  <c r="AF565" i="50"/>
  <c r="AG565" i="50" s="1"/>
  <c r="AM569" i="50"/>
  <c r="W571" i="50"/>
  <c r="AS572" i="50"/>
  <c r="T563" i="50"/>
  <c r="AE579" i="50"/>
  <c r="U566" i="50"/>
  <c r="AS568" i="50"/>
  <c r="AM568" i="50"/>
  <c r="AF569" i="50"/>
  <c r="AG569" i="50" s="1"/>
  <c r="AL569" i="50"/>
  <c r="AY576" i="50"/>
  <c r="AZ576" i="50" s="1"/>
  <c r="BA576" i="50" s="1"/>
  <c r="AU577" i="50"/>
  <c r="AV577" i="50" s="1"/>
  <c r="AF563" i="50"/>
  <c r="AM564" i="50"/>
  <c r="O566" i="50"/>
  <c r="P566" i="50" s="1"/>
  <c r="AX567" i="50"/>
  <c r="AY567" i="50" s="1"/>
  <c r="Z567" i="50"/>
  <c r="AA567" i="50" s="1"/>
  <c r="AB567" i="50" s="1"/>
  <c r="AF567" i="50"/>
  <c r="AF568" i="50"/>
  <c r="AG568" i="50" s="1"/>
  <c r="AL568" i="50"/>
  <c r="AR568" i="50"/>
  <c r="T568" i="50"/>
  <c r="U568" i="50" s="1"/>
  <c r="V568" i="50" s="1"/>
  <c r="Z569" i="50"/>
  <c r="AA569" i="50" s="1"/>
  <c r="AI571" i="50"/>
  <c r="AJ571" i="50" s="1"/>
  <c r="AG572" i="50"/>
  <c r="AH572" i="50" s="1"/>
  <c r="AK579" i="50"/>
  <c r="O563" i="50"/>
  <c r="AQ579" i="50"/>
  <c r="AS563" i="50"/>
  <c r="AR564" i="50"/>
  <c r="AS564" i="50" s="1"/>
  <c r="T564" i="50"/>
  <c r="U564" i="50" s="1"/>
  <c r="AX564" i="50"/>
  <c r="AY564" i="50" s="1"/>
  <c r="Z564" i="50"/>
  <c r="Z579" i="50" s="1"/>
  <c r="AF564" i="50"/>
  <c r="AG564" i="50" s="1"/>
  <c r="AL564" i="50"/>
  <c r="AM565" i="50"/>
  <c r="O565" i="50"/>
  <c r="P565" i="50" s="1"/>
  <c r="AA568" i="50"/>
  <c r="Q569" i="50"/>
  <c r="R569" i="50" s="1"/>
  <c r="O569" i="50"/>
  <c r="P569" i="50" s="1"/>
  <c r="V569" i="50" s="1"/>
  <c r="AR569" i="50"/>
  <c r="AS569" i="50" s="1"/>
  <c r="AM570" i="50"/>
  <c r="AO571" i="50"/>
  <c r="AP571" i="50" s="1"/>
  <c r="AM571" i="50"/>
  <c r="AY577" i="50"/>
  <c r="AZ577" i="50" s="1"/>
  <c r="BA577" i="50" s="1"/>
  <c r="AY578" i="50"/>
  <c r="N579" i="50"/>
  <c r="Y579" i="50"/>
  <c r="AR565" i="50"/>
  <c r="T565" i="50"/>
  <c r="U565" i="50" s="1"/>
  <c r="AX565" i="50"/>
  <c r="AY565" i="50" s="1"/>
  <c r="Z565" i="50"/>
  <c r="AX566" i="50"/>
  <c r="AY566" i="50" s="1"/>
  <c r="Z566" i="50"/>
  <c r="AA566" i="50" s="1"/>
  <c r="AF566" i="50"/>
  <c r="AG566" i="50" s="1"/>
  <c r="AL566" i="50"/>
  <c r="AM566" i="50" s="1"/>
  <c r="AS566" i="50"/>
  <c r="Q567" i="50"/>
  <c r="R567" i="50" s="1"/>
  <c r="AZ578" i="50"/>
  <c r="BA578" i="50" s="1"/>
  <c r="Z570" i="50"/>
  <c r="AA570" i="50" s="1"/>
  <c r="AX570" i="50"/>
  <c r="AY570" i="50" s="1"/>
  <c r="T570" i="50"/>
  <c r="U570" i="50" s="1"/>
  <c r="B155" i="18"/>
  <c r="B152" i="18"/>
  <c r="B153" i="18"/>
  <c r="C150" i="18"/>
  <c r="C155" i="18" s="1"/>
  <c r="E114" i="7" s="1"/>
  <c r="C154" i="18"/>
  <c r="C153" i="18"/>
  <c r="C152" i="18"/>
  <c r="C151" i="18"/>
  <c r="B150" i="18"/>
  <c r="B147" i="18"/>
  <c r="C147" i="18"/>
  <c r="B216" i="18"/>
  <c r="AB467" i="50" l="1"/>
  <c r="W467" i="50"/>
  <c r="X467" i="50" s="1"/>
  <c r="AB251" i="50"/>
  <c r="W251" i="50"/>
  <c r="X251" i="50" s="1"/>
  <c r="AZ550" i="50"/>
  <c r="BA550" i="50" s="1"/>
  <c r="AU550" i="50"/>
  <c r="AV550" i="50" s="1"/>
  <c r="AN499" i="50"/>
  <c r="AI499" i="50"/>
  <c r="AJ499" i="50" s="1"/>
  <c r="V466" i="50"/>
  <c r="Q466" i="50"/>
  <c r="R466" i="50" s="1"/>
  <c r="AH400" i="50"/>
  <c r="AC400" i="50"/>
  <c r="AD400" i="50" s="1"/>
  <c r="AZ417" i="50"/>
  <c r="BA417" i="50" s="1"/>
  <c r="AU417" i="50"/>
  <c r="AV417" i="50" s="1"/>
  <c r="AU345" i="50"/>
  <c r="AV345" i="50" s="1"/>
  <c r="AZ345" i="50"/>
  <c r="BA345" i="50" s="1"/>
  <c r="W291" i="50"/>
  <c r="X291" i="50" s="1"/>
  <c r="AB291" i="50"/>
  <c r="AH299" i="50"/>
  <c r="AC299" i="50"/>
  <c r="AD299" i="50" s="1"/>
  <c r="AZ329" i="50"/>
  <c r="BA329" i="50" s="1"/>
  <c r="AU329" i="50"/>
  <c r="AV329" i="50" s="1"/>
  <c r="V253" i="50"/>
  <c r="Q253" i="50"/>
  <c r="R253" i="50" s="1"/>
  <c r="AB247" i="50"/>
  <c r="W247" i="50"/>
  <c r="X247" i="50" s="1"/>
  <c r="W238" i="50"/>
  <c r="X238" i="50" s="1"/>
  <c r="AB238" i="50"/>
  <c r="AB222" i="50"/>
  <c r="W222" i="50"/>
  <c r="X222" i="50" s="1"/>
  <c r="AN170" i="50"/>
  <c r="AI170" i="50"/>
  <c r="AJ170" i="50" s="1"/>
  <c r="AB146" i="50"/>
  <c r="W146" i="50"/>
  <c r="X146" i="50" s="1"/>
  <c r="AY198" i="50"/>
  <c r="AT86" i="50"/>
  <c r="AO86" i="50"/>
  <c r="AP86" i="50" s="1"/>
  <c r="AN79" i="50"/>
  <c r="AI79" i="50"/>
  <c r="AJ79" i="50" s="1"/>
  <c r="AZ6" i="50"/>
  <c r="BA6" i="50" s="1"/>
  <c r="AU6" i="50"/>
  <c r="AV6" i="50" s="1"/>
  <c r="AQ561" i="50"/>
  <c r="AS559" i="50"/>
  <c r="AS561" i="50" s="1"/>
  <c r="O609" i="50" s="1"/>
  <c r="X609" i="50" s="1"/>
  <c r="AC487" i="50"/>
  <c r="AD487" i="50" s="1"/>
  <c r="AH487" i="50"/>
  <c r="AT520" i="50"/>
  <c r="AO520" i="50"/>
  <c r="AP520" i="50" s="1"/>
  <c r="AB456" i="50"/>
  <c r="W456" i="50"/>
  <c r="X456" i="50" s="1"/>
  <c r="AR557" i="50"/>
  <c r="AS453" i="50"/>
  <c r="AB390" i="50"/>
  <c r="W390" i="50"/>
  <c r="X390" i="50" s="1"/>
  <c r="AZ321" i="50"/>
  <c r="BA321" i="50" s="1"/>
  <c r="AU321" i="50"/>
  <c r="AV321" i="50" s="1"/>
  <c r="AB568" i="50"/>
  <c r="W568" i="50"/>
  <c r="X568" i="50" s="1"/>
  <c r="AX579" i="50"/>
  <c r="AY563" i="50"/>
  <c r="AY579" i="50" s="1"/>
  <c r="AZ542" i="50"/>
  <c r="BA542" i="50" s="1"/>
  <c r="AU542" i="50"/>
  <c r="AV542" i="50" s="1"/>
  <c r="AT505" i="50"/>
  <c r="AO505" i="50"/>
  <c r="AP505" i="50" s="1"/>
  <c r="V475" i="50"/>
  <c r="Q475" i="50"/>
  <c r="R475" i="50" s="1"/>
  <c r="AB393" i="50"/>
  <c r="W393" i="50"/>
  <c r="X393" i="50" s="1"/>
  <c r="AF579" i="50"/>
  <c r="AG563" i="50"/>
  <c r="AG579" i="50" s="1"/>
  <c r="AT506" i="50"/>
  <c r="AC488" i="50"/>
  <c r="AD488" i="50" s="1"/>
  <c r="AH488" i="50"/>
  <c r="AB464" i="50"/>
  <c r="W464" i="50"/>
  <c r="X464" i="50" s="1"/>
  <c r="M608" i="50"/>
  <c r="I623" i="50"/>
  <c r="AZ439" i="50"/>
  <c r="BA439" i="50" s="1"/>
  <c r="AU439" i="50"/>
  <c r="AV439" i="50" s="1"/>
  <c r="AH292" i="50"/>
  <c r="AC292" i="50"/>
  <c r="AD292" i="50" s="1"/>
  <c r="AZ323" i="50"/>
  <c r="BA323" i="50" s="1"/>
  <c r="AU323" i="50"/>
  <c r="AV323" i="50" s="1"/>
  <c r="AI303" i="50"/>
  <c r="AJ303" i="50" s="1"/>
  <c r="AN303" i="50"/>
  <c r="AB245" i="50"/>
  <c r="W245" i="50"/>
  <c r="X245" i="50" s="1"/>
  <c r="AB252" i="50"/>
  <c r="W252" i="50"/>
  <c r="X252" i="50" s="1"/>
  <c r="AB213" i="50"/>
  <c r="W213" i="50"/>
  <c r="X213" i="50" s="1"/>
  <c r="V210" i="50"/>
  <c r="Q210" i="50"/>
  <c r="R210" i="50" s="1"/>
  <c r="AT175" i="50"/>
  <c r="AO175" i="50"/>
  <c r="AP175" i="50" s="1"/>
  <c r="AZ101" i="50"/>
  <c r="BA101" i="50" s="1"/>
  <c r="AU101" i="50"/>
  <c r="AV101" i="50" s="1"/>
  <c r="AB142" i="50"/>
  <c r="W142" i="50"/>
  <c r="X142" i="50" s="1"/>
  <c r="AB64" i="50"/>
  <c r="W64" i="50"/>
  <c r="X64" i="50" s="1"/>
  <c r="AB51" i="50"/>
  <c r="W51" i="50"/>
  <c r="X51" i="50" s="1"/>
  <c r="AB6" i="50"/>
  <c r="W6" i="50"/>
  <c r="X6" i="50" s="1"/>
  <c r="AB52" i="50"/>
  <c r="W52" i="50"/>
  <c r="X52" i="50" s="1"/>
  <c r="AC47" i="50"/>
  <c r="AD47" i="50" s="1"/>
  <c r="AH47" i="50"/>
  <c r="AB481" i="50"/>
  <c r="W481" i="50"/>
  <c r="X481" i="50" s="1"/>
  <c r="AB461" i="50"/>
  <c r="W461" i="50"/>
  <c r="X461" i="50" s="1"/>
  <c r="V459" i="50"/>
  <c r="Q459" i="50"/>
  <c r="R459" i="50" s="1"/>
  <c r="I607" i="50"/>
  <c r="I589" i="50"/>
  <c r="AT419" i="50"/>
  <c r="AO419" i="50"/>
  <c r="AP419" i="50" s="1"/>
  <c r="AB411" i="50"/>
  <c r="W411" i="50"/>
  <c r="X411" i="50" s="1"/>
  <c r="AB406" i="50"/>
  <c r="W406" i="50"/>
  <c r="X406" i="50" s="1"/>
  <c r="W398" i="50"/>
  <c r="X398" i="50" s="1"/>
  <c r="AB398" i="50"/>
  <c r="AS415" i="50"/>
  <c r="AQ451" i="50"/>
  <c r="AB279" i="50"/>
  <c r="W279" i="50"/>
  <c r="X279" i="50" s="1"/>
  <c r="T451" i="50"/>
  <c r="U386" i="50"/>
  <c r="U451" i="50" s="1"/>
  <c r="AU311" i="50"/>
  <c r="AV311" i="50" s="1"/>
  <c r="AZ311" i="50"/>
  <c r="BA311" i="50" s="1"/>
  <c r="AB261" i="50"/>
  <c r="W261" i="50"/>
  <c r="X261" i="50" s="1"/>
  <c r="AZ319" i="50"/>
  <c r="BA319" i="50" s="1"/>
  <c r="AU319" i="50"/>
  <c r="AV319" i="50" s="1"/>
  <c r="AB290" i="50"/>
  <c r="W290" i="50"/>
  <c r="X290" i="50" s="1"/>
  <c r="AB267" i="50"/>
  <c r="W267" i="50"/>
  <c r="X267" i="50" s="1"/>
  <c r="AB233" i="50"/>
  <c r="W152" i="50"/>
  <c r="X152" i="50" s="1"/>
  <c r="AB152" i="50"/>
  <c r="AU99" i="50"/>
  <c r="AV99" i="50" s="1"/>
  <c r="AZ99" i="50"/>
  <c r="BA99" i="50" s="1"/>
  <c r="AB60" i="50"/>
  <c r="W60" i="50"/>
  <c r="X60" i="50" s="1"/>
  <c r="AB63" i="50"/>
  <c r="W63" i="50"/>
  <c r="X63" i="50" s="1"/>
  <c r="W66" i="50"/>
  <c r="X66" i="50" s="1"/>
  <c r="AB66" i="50"/>
  <c r="W61" i="50"/>
  <c r="X61" i="50" s="1"/>
  <c r="AB61" i="50"/>
  <c r="AB48" i="50"/>
  <c r="W48" i="50"/>
  <c r="X48" i="50" s="1"/>
  <c r="AB141" i="50"/>
  <c r="W141" i="50"/>
  <c r="X141" i="50" s="1"/>
  <c r="W43" i="50"/>
  <c r="X43" i="50" s="1"/>
  <c r="AB43" i="50"/>
  <c r="W399" i="50"/>
  <c r="X399" i="50" s="1"/>
  <c r="AB399" i="50"/>
  <c r="AH284" i="50"/>
  <c r="AC284" i="50"/>
  <c r="AD284" i="50" s="1"/>
  <c r="V260" i="50"/>
  <c r="Q260" i="50"/>
  <c r="R260" i="50" s="1"/>
  <c r="AB244" i="50"/>
  <c r="W244" i="50"/>
  <c r="X244" i="50" s="1"/>
  <c r="AB246" i="50"/>
  <c r="W246" i="50"/>
  <c r="X246" i="50" s="1"/>
  <c r="AB162" i="50"/>
  <c r="W162" i="50"/>
  <c r="X162" i="50" s="1"/>
  <c r="AZ98" i="50"/>
  <c r="BA98" i="50" s="1"/>
  <c r="AU98" i="50"/>
  <c r="AV98" i="50" s="1"/>
  <c r="AB144" i="50"/>
  <c r="W144" i="50"/>
  <c r="X144" i="50" s="1"/>
  <c r="AU107" i="50"/>
  <c r="AV107" i="50" s="1"/>
  <c r="AZ107" i="50"/>
  <c r="BA107" i="50" s="1"/>
  <c r="AB46" i="50"/>
  <c r="W46" i="50"/>
  <c r="X46" i="50" s="1"/>
  <c r="AZ518" i="50"/>
  <c r="BA518" i="50" s="1"/>
  <c r="AU518" i="50"/>
  <c r="AV518" i="50" s="1"/>
  <c r="AN497" i="50"/>
  <c r="AI497" i="50"/>
  <c r="AJ497" i="50" s="1"/>
  <c r="AZ433" i="50"/>
  <c r="BA433" i="50" s="1"/>
  <c r="AU433" i="50"/>
  <c r="AV433" i="50" s="1"/>
  <c r="AB401" i="50"/>
  <c r="W401" i="50"/>
  <c r="X401" i="50" s="1"/>
  <c r="AZ429" i="50"/>
  <c r="BA429" i="50" s="1"/>
  <c r="AU429" i="50"/>
  <c r="AV429" i="50" s="1"/>
  <c r="AT515" i="50"/>
  <c r="AO515" i="50"/>
  <c r="AP515" i="50" s="1"/>
  <c r="AZ523" i="50"/>
  <c r="BA523" i="50" s="1"/>
  <c r="AU523" i="50"/>
  <c r="AV523" i="50" s="1"/>
  <c r="AN507" i="50"/>
  <c r="AI507" i="50"/>
  <c r="AJ507" i="50" s="1"/>
  <c r="M623" i="50"/>
  <c r="BD557" i="50"/>
  <c r="V468" i="50"/>
  <c r="Q468" i="50"/>
  <c r="R468" i="50" s="1"/>
  <c r="AZ430" i="50"/>
  <c r="BA430" i="50" s="1"/>
  <c r="AU430" i="50"/>
  <c r="AV430" i="50" s="1"/>
  <c r="AT421" i="50"/>
  <c r="AO421" i="50"/>
  <c r="AP421" i="50" s="1"/>
  <c r="AB404" i="50"/>
  <c r="W404" i="50"/>
  <c r="X404" i="50" s="1"/>
  <c r="Q394" i="50"/>
  <c r="R394" i="50" s="1"/>
  <c r="V394" i="50"/>
  <c r="AZ425" i="50"/>
  <c r="BA425" i="50" s="1"/>
  <c r="AU425" i="50"/>
  <c r="AV425" i="50" s="1"/>
  <c r="AT314" i="50"/>
  <c r="AO314" i="50"/>
  <c r="AP314" i="50" s="1"/>
  <c r="AZ363" i="50"/>
  <c r="BA363" i="50" s="1"/>
  <c r="AU363" i="50"/>
  <c r="AV363" i="50" s="1"/>
  <c r="AZ332" i="50"/>
  <c r="BA332" i="50" s="1"/>
  <c r="AU332" i="50"/>
  <c r="AV332" i="50" s="1"/>
  <c r="AB395" i="50"/>
  <c r="W395" i="50"/>
  <c r="X395" i="50" s="1"/>
  <c r="AZ337" i="50"/>
  <c r="BA337" i="50" s="1"/>
  <c r="AU337" i="50"/>
  <c r="AV337" i="50" s="1"/>
  <c r="AT312" i="50"/>
  <c r="AO312" i="50"/>
  <c r="AP312" i="50" s="1"/>
  <c r="W274" i="50"/>
  <c r="X274" i="50" s="1"/>
  <c r="AB274" i="50"/>
  <c r="M606" i="50"/>
  <c r="I621" i="50"/>
  <c r="AB289" i="50"/>
  <c r="W289" i="50"/>
  <c r="X289" i="50" s="1"/>
  <c r="I606" i="50"/>
  <c r="I588" i="50"/>
  <c r="V206" i="50"/>
  <c r="P202" i="50"/>
  <c r="O384" i="50"/>
  <c r="AB154" i="50"/>
  <c r="W154" i="50"/>
  <c r="X154" i="50" s="1"/>
  <c r="AB219" i="50"/>
  <c r="W219" i="50"/>
  <c r="X219" i="50" s="1"/>
  <c r="AT171" i="50"/>
  <c r="AO171" i="50"/>
  <c r="AP171" i="50" s="1"/>
  <c r="AB139" i="50"/>
  <c r="W139" i="50"/>
  <c r="X139" i="50" s="1"/>
  <c r="AB54" i="50"/>
  <c r="W54" i="50"/>
  <c r="X54" i="50" s="1"/>
  <c r="W41" i="50"/>
  <c r="X41" i="50" s="1"/>
  <c r="AB41" i="50"/>
  <c r="AB55" i="50"/>
  <c r="W55" i="50"/>
  <c r="X55" i="50" s="1"/>
  <c r="AH471" i="50"/>
  <c r="AC471" i="50"/>
  <c r="AD471" i="50" s="1"/>
  <c r="AC567" i="50"/>
  <c r="AD567" i="50" s="1"/>
  <c r="AH567" i="50"/>
  <c r="V564" i="50"/>
  <c r="Q564" i="50"/>
  <c r="R564" i="50" s="1"/>
  <c r="AZ514" i="50"/>
  <c r="BA514" i="50" s="1"/>
  <c r="AU514" i="50"/>
  <c r="AV514" i="50" s="1"/>
  <c r="AZ560" i="50"/>
  <c r="BA560" i="50" s="1"/>
  <c r="AU560" i="50"/>
  <c r="AV560" i="50" s="1"/>
  <c r="AC491" i="50"/>
  <c r="AD491" i="50" s="1"/>
  <c r="AH491" i="50"/>
  <c r="AG485" i="50"/>
  <c r="AE557" i="50"/>
  <c r="AB474" i="50"/>
  <c r="W474" i="50"/>
  <c r="X474" i="50" s="1"/>
  <c r="AB472" i="50"/>
  <c r="W472" i="50"/>
  <c r="X472" i="50" s="1"/>
  <c r="AF557" i="50"/>
  <c r="AO417" i="50"/>
  <c r="AP417" i="50" s="1"/>
  <c r="V392" i="50"/>
  <c r="Q392" i="50"/>
  <c r="R392" i="50" s="1"/>
  <c r="AB301" i="50"/>
  <c r="W301" i="50"/>
  <c r="X301" i="50" s="1"/>
  <c r="W293" i="50"/>
  <c r="X293" i="50" s="1"/>
  <c r="AB293" i="50"/>
  <c r="AB254" i="50"/>
  <c r="W254" i="50"/>
  <c r="X254" i="50" s="1"/>
  <c r="AB223" i="50"/>
  <c r="W223" i="50"/>
  <c r="X223" i="50" s="1"/>
  <c r="AB207" i="50"/>
  <c r="W207" i="50"/>
  <c r="X207" i="50" s="1"/>
  <c r="AB153" i="50"/>
  <c r="W153" i="50"/>
  <c r="X153" i="50" s="1"/>
  <c r="AH151" i="50"/>
  <c r="AC151" i="50"/>
  <c r="AD151" i="50" s="1"/>
  <c r="AB143" i="50"/>
  <c r="W143" i="50"/>
  <c r="X143" i="50" s="1"/>
  <c r="AB205" i="50"/>
  <c r="W205" i="50"/>
  <c r="X205" i="50" s="1"/>
  <c r="AB58" i="50"/>
  <c r="W58" i="50"/>
  <c r="X58" i="50" s="1"/>
  <c r="S1" i="50"/>
  <c r="AN83" i="50"/>
  <c r="AI83" i="50"/>
  <c r="AJ83" i="50" s="1"/>
  <c r="AB40" i="50"/>
  <c r="W40" i="50"/>
  <c r="X40" i="50" s="1"/>
  <c r="AZ553" i="50"/>
  <c r="BA553" i="50" s="1"/>
  <c r="AU553" i="50"/>
  <c r="AV553" i="50" s="1"/>
  <c r="AH489" i="50"/>
  <c r="AC489" i="50"/>
  <c r="AD489" i="50" s="1"/>
  <c r="W486" i="50"/>
  <c r="X486" i="50" s="1"/>
  <c r="U486" i="50"/>
  <c r="V486" i="50" s="1"/>
  <c r="V477" i="50"/>
  <c r="Q477" i="50"/>
  <c r="R477" i="50" s="1"/>
  <c r="AB465" i="50"/>
  <c r="W465" i="50"/>
  <c r="X465" i="50" s="1"/>
  <c r="AB458" i="50"/>
  <c r="W458" i="50"/>
  <c r="X458" i="50" s="1"/>
  <c r="S557" i="50"/>
  <c r="AB388" i="50"/>
  <c r="W388" i="50"/>
  <c r="X388" i="50" s="1"/>
  <c r="W400" i="50"/>
  <c r="X400" i="50" s="1"/>
  <c r="AZ327" i="50"/>
  <c r="BA327" i="50" s="1"/>
  <c r="AU327" i="50"/>
  <c r="AV327" i="50" s="1"/>
  <c r="AH297" i="50"/>
  <c r="AC297" i="50"/>
  <c r="AD297" i="50" s="1"/>
  <c r="AU335" i="50"/>
  <c r="AV335" i="50" s="1"/>
  <c r="AZ335" i="50"/>
  <c r="BA335" i="50" s="1"/>
  <c r="AB256" i="50"/>
  <c r="W256" i="50"/>
  <c r="X256" i="50" s="1"/>
  <c r="V255" i="50"/>
  <c r="Q255" i="50"/>
  <c r="R255" i="50" s="1"/>
  <c r="AH239" i="50"/>
  <c r="AC239" i="50"/>
  <c r="AD239" i="50" s="1"/>
  <c r="AB250" i="50"/>
  <c r="W250" i="50"/>
  <c r="X250" i="50" s="1"/>
  <c r="M621" i="50"/>
  <c r="BD384" i="50"/>
  <c r="T384" i="50"/>
  <c r="U204" i="50"/>
  <c r="V204" i="50" s="1"/>
  <c r="AT173" i="50"/>
  <c r="AO173" i="50"/>
  <c r="AP173" i="50" s="1"/>
  <c r="AB161" i="50"/>
  <c r="W161" i="50"/>
  <c r="X161" i="50" s="1"/>
  <c r="AH211" i="50"/>
  <c r="AC211" i="50"/>
  <c r="AD211" i="50" s="1"/>
  <c r="AB164" i="50"/>
  <c r="W164" i="50"/>
  <c r="X164" i="50" s="1"/>
  <c r="M1" i="50"/>
  <c r="AL198" i="50"/>
  <c r="W70" i="50"/>
  <c r="X70" i="50" s="1"/>
  <c r="AB70" i="50"/>
  <c r="AB53" i="50"/>
  <c r="W53" i="50"/>
  <c r="X53" i="50" s="1"/>
  <c r="AB147" i="50"/>
  <c r="W147" i="50"/>
  <c r="X147" i="50" s="1"/>
  <c r="AB295" i="50"/>
  <c r="W295" i="50"/>
  <c r="X295" i="50" s="1"/>
  <c r="AN307" i="50"/>
  <c r="AI307" i="50"/>
  <c r="AJ307" i="50" s="1"/>
  <c r="AB272" i="50"/>
  <c r="W272" i="50"/>
  <c r="X272" i="50" s="1"/>
  <c r="V283" i="50"/>
  <c r="Q283" i="50"/>
  <c r="R283" i="50" s="1"/>
  <c r="AB258" i="50"/>
  <c r="W258" i="50"/>
  <c r="X258" i="50" s="1"/>
  <c r="AB259" i="50"/>
  <c r="W259" i="50"/>
  <c r="X259" i="50" s="1"/>
  <c r="AB230" i="50"/>
  <c r="W230" i="50"/>
  <c r="X230" i="50" s="1"/>
  <c r="U198" i="50"/>
  <c r="W160" i="50"/>
  <c r="X160" i="50" s="1"/>
  <c r="AB160" i="50"/>
  <c r="BD14" i="50"/>
  <c r="AT92" i="50"/>
  <c r="AO92" i="50"/>
  <c r="AP92" i="50" s="1"/>
  <c r="AG88" i="50"/>
  <c r="AH88" i="50" s="1"/>
  <c r="W240" i="50"/>
  <c r="X240" i="50" s="1"/>
  <c r="AB240" i="50"/>
  <c r="AB72" i="50"/>
  <c r="W72" i="50"/>
  <c r="X72" i="50" s="1"/>
  <c r="V71" i="50"/>
  <c r="I604" i="50"/>
  <c r="I586" i="50"/>
  <c r="AB36" i="50"/>
  <c r="W36" i="50"/>
  <c r="X36" i="50" s="1"/>
  <c r="AB32" i="50"/>
  <c r="W32" i="50"/>
  <c r="X32" i="50" s="1"/>
  <c r="AB24" i="50"/>
  <c r="W24" i="50"/>
  <c r="X24" i="50" s="1"/>
  <c r="AC20" i="50"/>
  <c r="AD20" i="50" s="1"/>
  <c r="AH20" i="50"/>
  <c r="O132" i="50"/>
  <c r="P16" i="50"/>
  <c r="N603" i="50"/>
  <c r="L585" i="50"/>
  <c r="V42" i="50"/>
  <c r="Q42" i="50"/>
  <c r="R42" i="50" s="1"/>
  <c r="AN29" i="50"/>
  <c r="AI29" i="50"/>
  <c r="AJ29" i="50" s="1"/>
  <c r="AC29" i="50"/>
  <c r="AD29" i="50" s="1"/>
  <c r="AN572" i="50"/>
  <c r="AI572" i="50"/>
  <c r="AJ572" i="50" s="1"/>
  <c r="AL579" i="50"/>
  <c r="AZ546" i="50"/>
  <c r="BA546" i="50" s="1"/>
  <c r="AU546" i="50"/>
  <c r="AV546" i="50" s="1"/>
  <c r="AM563" i="50"/>
  <c r="AM579" i="50" s="1"/>
  <c r="J592" i="50" s="1"/>
  <c r="S592" i="50" s="1"/>
  <c r="AS510" i="50"/>
  <c r="AU537" i="50"/>
  <c r="AV537" i="50" s="1"/>
  <c r="AS492" i="50"/>
  <c r="AG486" i="50"/>
  <c r="V480" i="50"/>
  <c r="AS486" i="50"/>
  <c r="AS485" i="50"/>
  <c r="AH496" i="50"/>
  <c r="V470" i="50"/>
  <c r="Q470" i="50"/>
  <c r="R470" i="50" s="1"/>
  <c r="AB455" i="50"/>
  <c r="W455" i="50"/>
  <c r="X455" i="50" s="1"/>
  <c r="V484" i="50"/>
  <c r="Q484" i="50"/>
  <c r="R484" i="50" s="1"/>
  <c r="AL557" i="50"/>
  <c r="AB457" i="50"/>
  <c r="AY494" i="50"/>
  <c r="AG415" i="50"/>
  <c r="AH415" i="50" s="1"/>
  <c r="AI415" i="50" s="1"/>
  <c r="AJ415" i="50" s="1"/>
  <c r="AH306" i="50"/>
  <c r="AC306" i="50"/>
  <c r="AD306" i="50" s="1"/>
  <c r="AY315" i="50"/>
  <c r="AB294" i="50"/>
  <c r="W294" i="50"/>
  <c r="X294" i="50" s="1"/>
  <c r="AR451" i="50"/>
  <c r="AS386" i="50"/>
  <c r="AZ361" i="50"/>
  <c r="BA361" i="50" s="1"/>
  <c r="AZ334" i="50"/>
  <c r="BA334" i="50" s="1"/>
  <c r="AM315" i="50"/>
  <c r="AT310" i="50"/>
  <c r="AO310" i="50"/>
  <c r="AP310" i="50" s="1"/>
  <c r="AO322" i="50"/>
  <c r="AP322" i="50" s="1"/>
  <c r="AM309" i="50"/>
  <c r="V263" i="50"/>
  <c r="V237" i="50"/>
  <c r="V231" i="50"/>
  <c r="V249" i="50"/>
  <c r="V214" i="50"/>
  <c r="Q214" i="50"/>
  <c r="R214" i="50" s="1"/>
  <c r="W285" i="50"/>
  <c r="X285" i="50" s="1"/>
  <c r="V149" i="50"/>
  <c r="AB241" i="50"/>
  <c r="W241" i="50"/>
  <c r="X241" i="50" s="1"/>
  <c r="AU185" i="50"/>
  <c r="AV185" i="50" s="1"/>
  <c r="Q136" i="50"/>
  <c r="R136" i="50" s="1"/>
  <c r="V136" i="50"/>
  <c r="AU177" i="50"/>
  <c r="AV177" i="50" s="1"/>
  <c r="AF198" i="50"/>
  <c r="AG135" i="50"/>
  <c r="AG198" i="50" s="1"/>
  <c r="V166" i="50"/>
  <c r="AT103" i="50"/>
  <c r="AG87" i="50"/>
  <c r="AH87" i="50" s="1"/>
  <c r="AN87" i="50" s="1"/>
  <c r="Q240" i="50"/>
  <c r="R240" i="50" s="1"/>
  <c r="AG89" i="50"/>
  <c r="AH89" i="50" s="1"/>
  <c r="AN89" i="50" s="1"/>
  <c r="AY76" i="50"/>
  <c r="AT96" i="50"/>
  <c r="AO96" i="50"/>
  <c r="AP96" i="50" s="1"/>
  <c r="AO80" i="50"/>
  <c r="AP80" i="50" s="1"/>
  <c r="Q68" i="50"/>
  <c r="R68" i="50" s="1"/>
  <c r="V68" i="50"/>
  <c r="Q72" i="50"/>
  <c r="R72" i="50" s="1"/>
  <c r="AB65" i="50"/>
  <c r="Q56" i="50"/>
  <c r="R56" i="50" s="1"/>
  <c r="V56" i="50"/>
  <c r="AT105" i="50"/>
  <c r="V59" i="50"/>
  <c r="AY35" i="50"/>
  <c r="AB35" i="50"/>
  <c r="W20" i="50"/>
  <c r="X20" i="50" s="1"/>
  <c r="Q36" i="50"/>
  <c r="R36" i="50" s="1"/>
  <c r="Q32" i="50"/>
  <c r="R32" i="50" s="1"/>
  <c r="Q24" i="50"/>
  <c r="R24" i="50" s="1"/>
  <c r="U510" i="50"/>
  <c r="AK561" i="50"/>
  <c r="I609" i="50" s="1"/>
  <c r="AM559" i="50"/>
  <c r="AM561" i="50" s="1"/>
  <c r="J591" i="50" s="1"/>
  <c r="S591" i="50" s="1"/>
  <c r="AX561" i="50"/>
  <c r="AA564" i="50"/>
  <c r="AA579" i="50" s="1"/>
  <c r="AG493" i="50"/>
  <c r="AH493" i="50" s="1"/>
  <c r="AO508" i="50"/>
  <c r="AP508" i="50" s="1"/>
  <c r="AM508" i="50"/>
  <c r="AN504" i="50"/>
  <c r="W490" i="50"/>
  <c r="X490" i="50" s="1"/>
  <c r="AB490" i="50"/>
  <c r="AC492" i="50"/>
  <c r="AD492" i="50" s="1"/>
  <c r="AA492" i="50"/>
  <c r="AB492" i="50" s="1"/>
  <c r="AH492" i="50" s="1"/>
  <c r="AO513" i="50"/>
  <c r="AP513" i="50" s="1"/>
  <c r="AT513" i="50"/>
  <c r="V462" i="50"/>
  <c r="Q462" i="50"/>
  <c r="R462" i="50" s="1"/>
  <c r="Q463" i="50"/>
  <c r="R463" i="50" s="1"/>
  <c r="AS416" i="50"/>
  <c r="AT416" i="50" s="1"/>
  <c r="AA494" i="50"/>
  <c r="AB494" i="50" s="1"/>
  <c r="AH494" i="50" s="1"/>
  <c r="AT432" i="50"/>
  <c r="AO432" i="50"/>
  <c r="AP432" i="50" s="1"/>
  <c r="AH413" i="50"/>
  <c r="AZ370" i="50"/>
  <c r="BA370" i="50" s="1"/>
  <c r="AU370" i="50"/>
  <c r="AV370" i="50" s="1"/>
  <c r="V402" i="50"/>
  <c r="AC413" i="50"/>
  <c r="AD413" i="50" s="1"/>
  <c r="AF451" i="50"/>
  <c r="AA391" i="50"/>
  <c r="AA451" i="50" s="1"/>
  <c r="AZ320" i="50"/>
  <c r="BA320" i="50" s="1"/>
  <c r="AU320" i="50"/>
  <c r="AV320" i="50" s="1"/>
  <c r="AG315" i="50"/>
  <c r="AH315" i="50" s="1"/>
  <c r="AI315" i="50" s="1"/>
  <c r="AJ315" i="50" s="1"/>
  <c r="AO316" i="50"/>
  <c r="AP316" i="50" s="1"/>
  <c r="AH300" i="50"/>
  <c r="AC300" i="50"/>
  <c r="AD300" i="50" s="1"/>
  <c r="AC268" i="50"/>
  <c r="AD268" i="50" s="1"/>
  <c r="AH268" i="50"/>
  <c r="AC278" i="50"/>
  <c r="AD278" i="50" s="1"/>
  <c r="AH278" i="50"/>
  <c r="AZ322" i="50"/>
  <c r="BA322" i="50" s="1"/>
  <c r="AH266" i="50"/>
  <c r="AC266" i="50"/>
  <c r="AD266" i="50" s="1"/>
  <c r="V277" i="50"/>
  <c r="Q277" i="50"/>
  <c r="R277" i="50" s="1"/>
  <c r="AZ365" i="50"/>
  <c r="BA365" i="50" s="1"/>
  <c r="AU365" i="50"/>
  <c r="AV365" i="50" s="1"/>
  <c r="V212" i="50"/>
  <c r="W234" i="50"/>
  <c r="X234" i="50" s="1"/>
  <c r="AF384" i="50"/>
  <c r="Q167" i="50"/>
  <c r="R167" i="50" s="1"/>
  <c r="V167" i="50"/>
  <c r="V217" i="50"/>
  <c r="Q217" i="50"/>
  <c r="R217" i="50" s="1"/>
  <c r="T198" i="50"/>
  <c r="AU104" i="50"/>
  <c r="AV104" i="50" s="1"/>
  <c r="AB76" i="50"/>
  <c r="AH76" i="50" s="1"/>
  <c r="AM198" i="50"/>
  <c r="J587" i="50" s="1"/>
  <c r="S587" i="50" s="1"/>
  <c r="AY87" i="50"/>
  <c r="AO177" i="50"/>
  <c r="AP177" i="50" s="1"/>
  <c r="AY89" i="50"/>
  <c r="AT95" i="50"/>
  <c r="AZ80" i="50"/>
  <c r="BA80" i="50" s="1"/>
  <c r="AU80" i="50"/>
  <c r="AV80" i="50" s="1"/>
  <c r="V50" i="50"/>
  <c r="Q50" i="50"/>
  <c r="R50" i="50" s="1"/>
  <c r="AT14" i="50"/>
  <c r="AU5" i="50"/>
  <c r="Q57" i="50"/>
  <c r="R57" i="50" s="1"/>
  <c r="U132" i="50"/>
  <c r="AH81" i="50"/>
  <c r="Q67" i="50"/>
  <c r="R67" i="50" s="1"/>
  <c r="M603" i="50"/>
  <c r="I618" i="50"/>
  <c r="K603" i="50"/>
  <c r="V209" i="50"/>
  <c r="AO94" i="50"/>
  <c r="AP94" i="50" s="1"/>
  <c r="AT94" i="50"/>
  <c r="AZ7" i="50"/>
  <c r="AB27" i="50"/>
  <c r="AB19" i="50"/>
  <c r="W18" i="50"/>
  <c r="X18" i="50" s="1"/>
  <c r="AB17" i="50"/>
  <c r="W31" i="50"/>
  <c r="X31" i="50" s="1"/>
  <c r="T579" i="50"/>
  <c r="AU538" i="50"/>
  <c r="AV538" i="50" s="1"/>
  <c r="AZ538" i="50"/>
  <c r="BA538" i="50" s="1"/>
  <c r="AR561" i="50"/>
  <c r="AT503" i="50"/>
  <c r="AO503" i="50"/>
  <c r="AP503" i="50" s="1"/>
  <c r="AG508" i="50"/>
  <c r="AH508" i="50" s="1"/>
  <c r="AN508" i="50" s="1"/>
  <c r="AT508" i="50" s="1"/>
  <c r="AI508" i="50"/>
  <c r="AJ508" i="50" s="1"/>
  <c r="AO517" i="50"/>
  <c r="AP517" i="50" s="1"/>
  <c r="AT517" i="50"/>
  <c r="AY492" i="50"/>
  <c r="AI498" i="50"/>
  <c r="AJ498" i="50" s="1"/>
  <c r="AN498" i="50"/>
  <c r="W483" i="50"/>
  <c r="X483" i="50" s="1"/>
  <c r="AB463" i="50"/>
  <c r="W463" i="50"/>
  <c r="X463" i="50" s="1"/>
  <c r="AA410" i="50"/>
  <c r="AG410" i="50"/>
  <c r="AG494" i="50"/>
  <c r="AI494" i="50"/>
  <c r="AJ494" i="50" s="1"/>
  <c r="AS422" i="50"/>
  <c r="AI418" i="50"/>
  <c r="AJ418" i="50" s="1"/>
  <c r="AG418" i="50"/>
  <c r="AH418" i="50" s="1"/>
  <c r="AN418" i="50" s="1"/>
  <c r="AO431" i="50"/>
  <c r="AP431" i="50" s="1"/>
  <c r="AT431" i="50"/>
  <c r="AZ362" i="50"/>
  <c r="BA362" i="50" s="1"/>
  <c r="AU362" i="50"/>
  <c r="AV362" i="50" s="1"/>
  <c r="AH403" i="50"/>
  <c r="AC403" i="50"/>
  <c r="AD403" i="50" s="1"/>
  <c r="AU436" i="50"/>
  <c r="AV436" i="50" s="1"/>
  <c r="AZ436" i="50"/>
  <c r="BA436" i="50" s="1"/>
  <c r="AM420" i="50"/>
  <c r="AY415" i="50"/>
  <c r="AY451" i="50" s="1"/>
  <c r="AT340" i="50"/>
  <c r="AO340" i="50"/>
  <c r="AP340" i="50" s="1"/>
  <c r="AH308" i="50"/>
  <c r="C380" i="50"/>
  <c r="AY379" i="50"/>
  <c r="AZ379" i="50" s="1"/>
  <c r="BA379" i="50" s="1"/>
  <c r="AT324" i="50"/>
  <c r="AG309" i="50"/>
  <c r="AH309" i="50" s="1"/>
  <c r="AN309" i="50" s="1"/>
  <c r="AT309" i="50" s="1"/>
  <c r="AZ309" i="50" s="1"/>
  <c r="BA309" i="50" s="1"/>
  <c r="AI309" i="50"/>
  <c r="AJ309" i="50" s="1"/>
  <c r="V257" i="50"/>
  <c r="Q257" i="50"/>
  <c r="R257" i="50" s="1"/>
  <c r="Q268" i="50"/>
  <c r="R268" i="50" s="1"/>
  <c r="AC308" i="50"/>
  <c r="AD308" i="50" s="1"/>
  <c r="AB281" i="50"/>
  <c r="AC234" i="50"/>
  <c r="AD234" i="50" s="1"/>
  <c r="AH234" i="50"/>
  <c r="AB298" i="50"/>
  <c r="AA384" i="50"/>
  <c r="AX384" i="50"/>
  <c r="AY200" i="50"/>
  <c r="AU121" i="50"/>
  <c r="AV121" i="50" s="1"/>
  <c r="AZ121" i="50"/>
  <c r="BA121" i="50" s="1"/>
  <c r="AR198" i="50"/>
  <c r="AS135" i="50"/>
  <c r="AS198" i="50" s="1"/>
  <c r="O605" i="50" s="1"/>
  <c r="X605" i="50" s="1"/>
  <c r="AS87" i="50"/>
  <c r="Q71" i="50"/>
  <c r="R71" i="50" s="1"/>
  <c r="AS89" i="50"/>
  <c r="AC77" i="50"/>
  <c r="AD77" i="50" s="1"/>
  <c r="AH77" i="50"/>
  <c r="U14" i="50"/>
  <c r="AB57" i="50"/>
  <c r="AG14" i="50"/>
  <c r="V69" i="50"/>
  <c r="AB25" i="50"/>
  <c r="AS14" i="50"/>
  <c r="O603" i="50" s="1"/>
  <c r="Q30" i="50"/>
  <c r="R30" i="50" s="1"/>
  <c r="Q22" i="50"/>
  <c r="R22" i="50" s="1"/>
  <c r="W29" i="50"/>
  <c r="X29" i="50" s="1"/>
  <c r="AM14" i="50"/>
  <c r="J585" i="50" s="1"/>
  <c r="V565" i="50"/>
  <c r="Q565" i="50"/>
  <c r="R565" i="50" s="1"/>
  <c r="AU549" i="50"/>
  <c r="AV549" i="50" s="1"/>
  <c r="AZ549" i="50"/>
  <c r="BA549" i="50" s="1"/>
  <c r="AE561" i="50"/>
  <c r="AG559" i="50"/>
  <c r="BD561" i="50"/>
  <c r="M624" i="50"/>
  <c r="AZ571" i="50"/>
  <c r="BA571" i="50" s="1"/>
  <c r="AZ541" i="50"/>
  <c r="BA541" i="50" s="1"/>
  <c r="AU541" i="50"/>
  <c r="AV541" i="50" s="1"/>
  <c r="AM510" i="50"/>
  <c r="AY559" i="50"/>
  <c r="AY561" i="50" s="1"/>
  <c r="AN501" i="50"/>
  <c r="AU526" i="50"/>
  <c r="AV526" i="50" s="1"/>
  <c r="AA485" i="50"/>
  <c r="AS494" i="50"/>
  <c r="AN412" i="50"/>
  <c r="AI412" i="50"/>
  <c r="AJ412" i="50" s="1"/>
  <c r="AY418" i="50"/>
  <c r="AC412" i="50"/>
  <c r="AD412" i="50" s="1"/>
  <c r="Y451" i="50"/>
  <c r="Y1" i="50" s="1"/>
  <c r="X1" i="50" s="1"/>
  <c r="AT424" i="50"/>
  <c r="V391" i="50"/>
  <c r="Q391" i="50"/>
  <c r="R391" i="50" s="1"/>
  <c r="AZ354" i="50"/>
  <c r="BA354" i="50" s="1"/>
  <c r="AU354" i="50"/>
  <c r="AV354" i="50" s="1"/>
  <c r="Q403" i="50"/>
  <c r="R403" i="50" s="1"/>
  <c r="AB387" i="50"/>
  <c r="W387" i="50"/>
  <c r="X387" i="50" s="1"/>
  <c r="AG313" i="50"/>
  <c r="AH313" i="50" s="1"/>
  <c r="AN313" i="50" s="1"/>
  <c r="AI313" i="50"/>
  <c r="AJ313" i="50" s="1"/>
  <c r="AZ423" i="50"/>
  <c r="BA423" i="50" s="1"/>
  <c r="AU423" i="50"/>
  <c r="AV423" i="50" s="1"/>
  <c r="Q453" i="50"/>
  <c r="AZ357" i="50"/>
  <c r="BA357" i="50" s="1"/>
  <c r="AU357" i="50"/>
  <c r="AV357" i="50" s="1"/>
  <c r="AB302" i="50"/>
  <c r="W302" i="50"/>
  <c r="X302" i="50" s="1"/>
  <c r="AS309" i="50"/>
  <c r="V265" i="50"/>
  <c r="Q265" i="50"/>
  <c r="R265" i="50" s="1"/>
  <c r="AZ331" i="50"/>
  <c r="BA331" i="50" s="1"/>
  <c r="AU331" i="50"/>
  <c r="AV331" i="50" s="1"/>
  <c r="V275" i="50"/>
  <c r="Q275" i="50"/>
  <c r="R275" i="50" s="1"/>
  <c r="AC242" i="50"/>
  <c r="AD242" i="50" s="1"/>
  <c r="AH242" i="50"/>
  <c r="V236" i="50"/>
  <c r="AB220" i="50"/>
  <c r="W220" i="50"/>
  <c r="X220" i="50" s="1"/>
  <c r="W150" i="50"/>
  <c r="X150" i="50" s="1"/>
  <c r="AB150" i="50"/>
  <c r="AC226" i="50"/>
  <c r="AD226" i="50" s="1"/>
  <c r="AH226" i="50"/>
  <c r="Z384" i="50"/>
  <c r="AB145" i="50"/>
  <c r="AL384" i="50"/>
  <c r="AM200" i="50"/>
  <c r="AM384" i="50" s="1"/>
  <c r="J588" i="50" s="1"/>
  <c r="S588" i="50" s="1"/>
  <c r="AZ174" i="50"/>
  <c r="BA174" i="50" s="1"/>
  <c r="AU174" i="50"/>
  <c r="AV174" i="50" s="1"/>
  <c r="W148" i="50"/>
  <c r="X148" i="50" s="1"/>
  <c r="AB148" i="50"/>
  <c r="AS85" i="50"/>
  <c r="AS132" i="50" s="1"/>
  <c r="O604" i="50" s="1"/>
  <c r="X604" i="50" s="1"/>
  <c r="AI75" i="50"/>
  <c r="AJ75" i="50" s="1"/>
  <c r="AN75" i="50"/>
  <c r="V201" i="50"/>
  <c r="AN172" i="50"/>
  <c r="AU108" i="50"/>
  <c r="AV108" i="50" s="1"/>
  <c r="AZ108" i="50"/>
  <c r="BA108" i="50" s="1"/>
  <c r="Q216" i="50"/>
  <c r="R216" i="50" s="1"/>
  <c r="V216" i="50"/>
  <c r="AM76" i="50"/>
  <c r="AM132" i="50" s="1"/>
  <c r="J586" i="50" s="1"/>
  <c r="S586" i="50" s="1"/>
  <c r="W67" i="50"/>
  <c r="X67" i="50" s="1"/>
  <c r="AB74" i="50"/>
  <c r="W74" i="50"/>
  <c r="X74" i="50" s="1"/>
  <c r="AC75" i="50"/>
  <c r="AD75" i="50" s="1"/>
  <c r="V227" i="50"/>
  <c r="Q227" i="50"/>
  <c r="R227" i="50" s="1"/>
  <c r="AO102" i="50"/>
  <c r="AP102" i="50" s="1"/>
  <c r="AT102" i="50"/>
  <c r="AH78" i="50"/>
  <c r="AB38" i="50"/>
  <c r="W38" i="50"/>
  <c r="X38" i="50" s="1"/>
  <c r="AB34" i="50"/>
  <c r="W34" i="50"/>
  <c r="X34" i="50" s="1"/>
  <c r="AB30" i="50"/>
  <c r="W30" i="50"/>
  <c r="X30" i="50" s="1"/>
  <c r="AB26" i="50"/>
  <c r="W26" i="50"/>
  <c r="X26" i="50" s="1"/>
  <c r="AC22" i="50"/>
  <c r="AD22" i="50" s="1"/>
  <c r="AH22" i="50"/>
  <c r="AH18" i="50"/>
  <c r="AC18" i="50"/>
  <c r="AD18" i="50" s="1"/>
  <c r="Q14" i="50"/>
  <c r="R5" i="50"/>
  <c r="R14" i="50" s="1"/>
  <c r="AB33" i="50"/>
  <c r="V5" i="50"/>
  <c r="AB39" i="50"/>
  <c r="AL14" i="50"/>
  <c r="AX198" i="50"/>
  <c r="AZ106" i="50"/>
  <c r="BA106" i="50" s="1"/>
  <c r="AI90" i="50"/>
  <c r="AJ90" i="50" s="1"/>
  <c r="AG90" i="50"/>
  <c r="AH90" i="50" s="1"/>
  <c r="AA76" i="50"/>
  <c r="AB203" i="50"/>
  <c r="W203" i="50"/>
  <c r="X203" i="50" s="1"/>
  <c r="AS579" i="50"/>
  <c r="O610" i="50" s="1"/>
  <c r="X610" i="50" s="1"/>
  <c r="V570" i="50"/>
  <c r="AT511" i="50"/>
  <c r="AZ521" i="50"/>
  <c r="BA521" i="50" s="1"/>
  <c r="AU521" i="50"/>
  <c r="AV521" i="50" s="1"/>
  <c r="V566" i="50"/>
  <c r="Q566" i="50"/>
  <c r="R566" i="50" s="1"/>
  <c r="Q570" i="50"/>
  <c r="R570" i="50" s="1"/>
  <c r="AG502" i="50"/>
  <c r="AH502" i="50" s="1"/>
  <c r="AN502" i="50" s="1"/>
  <c r="AO521" i="50"/>
  <c r="AP521" i="50" s="1"/>
  <c r="AY508" i="50"/>
  <c r="V479" i="50"/>
  <c r="V454" i="50"/>
  <c r="AB569" i="50"/>
  <c r="M610" i="50"/>
  <c r="I625" i="50"/>
  <c r="U563" i="50"/>
  <c r="U579" i="50" s="1"/>
  <c r="AZ530" i="50"/>
  <c r="BA530" i="50" s="1"/>
  <c r="AU530" i="50"/>
  <c r="AV530" i="50" s="1"/>
  <c r="AU533" i="50"/>
  <c r="AV533" i="50" s="1"/>
  <c r="AZ533" i="50"/>
  <c r="BA533" i="50" s="1"/>
  <c r="O510" i="50"/>
  <c r="P510" i="50" s="1"/>
  <c r="Q510" i="50"/>
  <c r="R510" i="50" s="1"/>
  <c r="AR579" i="50"/>
  <c r="AY502" i="50"/>
  <c r="M625" i="50"/>
  <c r="BD579" i="50"/>
  <c r="AI501" i="50"/>
  <c r="AJ501" i="50" s="1"/>
  <c r="Q479" i="50"/>
  <c r="R479" i="50" s="1"/>
  <c r="AM485" i="50"/>
  <c r="AM557" i="50" s="1"/>
  <c r="J590" i="50" s="1"/>
  <c r="S590" i="50" s="1"/>
  <c r="V482" i="50"/>
  <c r="Q482" i="50"/>
  <c r="R482" i="50" s="1"/>
  <c r="Q483" i="50"/>
  <c r="R483" i="50" s="1"/>
  <c r="AC493" i="50"/>
  <c r="AD493" i="50" s="1"/>
  <c r="V473" i="50"/>
  <c r="Q473" i="50"/>
  <c r="R473" i="50" s="1"/>
  <c r="V469" i="50"/>
  <c r="Z557" i="50"/>
  <c r="AA453" i="50"/>
  <c r="AA557" i="50" s="1"/>
  <c r="AM494" i="50"/>
  <c r="V460" i="50"/>
  <c r="AY416" i="50"/>
  <c r="AM422" i="50"/>
  <c r="W412" i="50"/>
  <c r="X412" i="50" s="1"/>
  <c r="V407" i="50"/>
  <c r="Q407" i="50"/>
  <c r="R407" i="50" s="1"/>
  <c r="AS418" i="50"/>
  <c r="AI416" i="50"/>
  <c r="AJ416" i="50" s="1"/>
  <c r="AT414" i="50"/>
  <c r="AO414" i="50"/>
  <c r="AP414" i="50" s="1"/>
  <c r="P386" i="50"/>
  <c r="O451" i="50"/>
  <c r="AO424" i="50"/>
  <c r="AP424" i="50" s="1"/>
  <c r="V317" i="50"/>
  <c r="Q317" i="50"/>
  <c r="R317" i="50" s="1"/>
  <c r="AS420" i="50"/>
  <c r="AO423" i="50"/>
  <c r="AP423" i="50" s="1"/>
  <c r="O557" i="50"/>
  <c r="AO320" i="50"/>
  <c r="AP320" i="50" s="1"/>
  <c r="AB389" i="50"/>
  <c r="AZ369" i="50"/>
  <c r="BA369" i="50" s="1"/>
  <c r="AT326" i="50"/>
  <c r="AW451" i="50"/>
  <c r="W408" i="50"/>
  <c r="X408" i="50" s="1"/>
  <c r="AT328" i="50"/>
  <c r="AO328" i="50"/>
  <c r="AP328" i="50" s="1"/>
  <c r="AT305" i="50"/>
  <c r="AO305" i="50"/>
  <c r="AP305" i="50" s="1"/>
  <c r="V287" i="50"/>
  <c r="V270" i="50"/>
  <c r="Q270" i="50"/>
  <c r="R270" i="50" s="1"/>
  <c r="AT325" i="50"/>
  <c r="AO325" i="50"/>
  <c r="AP325" i="50" s="1"/>
  <c r="W300" i="50"/>
  <c r="X300" i="50" s="1"/>
  <c r="V280" i="50"/>
  <c r="Q280" i="50"/>
  <c r="R280" i="50" s="1"/>
  <c r="AY309" i="50"/>
  <c r="V282" i="50"/>
  <c r="Q282" i="50"/>
  <c r="R282" i="50" s="1"/>
  <c r="AH304" i="50"/>
  <c r="AC304" i="50"/>
  <c r="AD304" i="50" s="1"/>
  <c r="AB218" i="50"/>
  <c r="W218" i="50"/>
  <c r="X218" i="50" s="1"/>
  <c r="V264" i="50"/>
  <c r="Q264" i="50"/>
  <c r="R264" i="50" s="1"/>
  <c r="V229" i="50"/>
  <c r="Q220" i="50"/>
  <c r="R220" i="50" s="1"/>
  <c r="V235" i="50"/>
  <c r="AB243" i="50"/>
  <c r="W243" i="50"/>
  <c r="X243" i="50" s="1"/>
  <c r="Q226" i="50"/>
  <c r="R226" i="50" s="1"/>
  <c r="Q148" i="50"/>
  <c r="R148" i="50" s="1"/>
  <c r="AR384" i="50"/>
  <c r="AZ194" i="50"/>
  <c r="BA194" i="50" s="1"/>
  <c r="AU194" i="50"/>
  <c r="AV194" i="50" s="1"/>
  <c r="W145" i="50"/>
  <c r="X145" i="50" s="1"/>
  <c r="AU100" i="50"/>
  <c r="AV100" i="50" s="1"/>
  <c r="AZ100" i="50"/>
  <c r="BA100" i="50" s="1"/>
  <c r="AI84" i="50"/>
  <c r="AJ84" i="50" s="1"/>
  <c r="AN84" i="50"/>
  <c r="V208" i="50"/>
  <c r="Q208" i="50"/>
  <c r="R208" i="50" s="1"/>
  <c r="Q201" i="50"/>
  <c r="R201" i="50" s="1"/>
  <c r="AO108" i="50"/>
  <c r="AP108" i="50" s="1"/>
  <c r="AS88" i="50"/>
  <c r="AO85" i="50"/>
  <c r="AP85" i="50" s="1"/>
  <c r="AM85" i="50"/>
  <c r="AN85" i="50" s="1"/>
  <c r="AT85" i="50" s="1"/>
  <c r="AU85" i="50" s="1"/>
  <c r="AV85" i="50" s="1"/>
  <c r="W75" i="50"/>
  <c r="X75" i="50" s="1"/>
  <c r="AZ120" i="50"/>
  <c r="BA120" i="50" s="1"/>
  <c r="AU120" i="50"/>
  <c r="AV120" i="50" s="1"/>
  <c r="AS90" i="50"/>
  <c r="AG76" i="50"/>
  <c r="AE1" i="50"/>
  <c r="V73" i="50"/>
  <c r="AG91" i="50"/>
  <c r="AH91" i="50" s="1"/>
  <c r="AN91" i="50" s="1"/>
  <c r="Q74" i="50"/>
  <c r="R74" i="50" s="1"/>
  <c r="AY132" i="50"/>
  <c r="Q73" i="50"/>
  <c r="R73" i="50" s="1"/>
  <c r="V62" i="50"/>
  <c r="AW132" i="50"/>
  <c r="AC78" i="50"/>
  <c r="AD78" i="50" s="1"/>
  <c r="V49" i="50"/>
  <c r="AX14" i="50"/>
  <c r="AY5" i="50"/>
  <c r="AY14" i="50" s="1"/>
  <c r="AO14" i="50"/>
  <c r="AP5" i="50"/>
  <c r="AP14" i="50" s="1"/>
  <c r="AB23" i="50"/>
  <c r="Q28" i="50"/>
  <c r="R28" i="50" s="1"/>
  <c r="Q20" i="50"/>
  <c r="R20" i="50" s="1"/>
  <c r="W25" i="50"/>
  <c r="X25" i="50" s="1"/>
  <c r="O579" i="50"/>
  <c r="P563" i="50"/>
  <c r="AS509" i="50"/>
  <c r="AU512" i="50"/>
  <c r="AV512" i="50" s="1"/>
  <c r="AZ512" i="50"/>
  <c r="BA512" i="50" s="1"/>
  <c r="AT516" i="50"/>
  <c r="AS502" i="50"/>
  <c r="AH483" i="50"/>
  <c r="AC483" i="50"/>
  <c r="AD483" i="50" s="1"/>
  <c r="AA486" i="50"/>
  <c r="U485" i="50"/>
  <c r="V485" i="50" s="1"/>
  <c r="W485" i="50"/>
  <c r="X485" i="50" s="1"/>
  <c r="AI500" i="50"/>
  <c r="AJ500" i="50" s="1"/>
  <c r="AI495" i="50"/>
  <c r="AJ495" i="50" s="1"/>
  <c r="AN495" i="50"/>
  <c r="AX557" i="50"/>
  <c r="AM410" i="50"/>
  <c r="AM451" i="50" s="1"/>
  <c r="J589" i="50" s="1"/>
  <c r="S589" i="50" s="1"/>
  <c r="AG422" i="50"/>
  <c r="AH422" i="50" s="1"/>
  <c r="AI422" i="50"/>
  <c r="AJ422" i="50" s="1"/>
  <c r="AB410" i="50"/>
  <c r="AH410" i="50" s="1"/>
  <c r="AN410" i="50" s="1"/>
  <c r="AT410" i="50" s="1"/>
  <c r="AU428" i="50"/>
  <c r="AV428" i="50" s="1"/>
  <c r="V396" i="50"/>
  <c r="Q396" i="50"/>
  <c r="R396" i="50" s="1"/>
  <c r="AG420" i="50"/>
  <c r="AH420" i="50" s="1"/>
  <c r="AN420" i="50" s="1"/>
  <c r="AO420" i="50" s="1"/>
  <c r="AP420" i="50" s="1"/>
  <c r="AI420" i="50"/>
  <c r="AJ420" i="50" s="1"/>
  <c r="V397" i="50"/>
  <c r="Q397" i="50"/>
  <c r="R397" i="50" s="1"/>
  <c r="AH408" i="50"/>
  <c r="AC408" i="50"/>
  <c r="AD408" i="50" s="1"/>
  <c r="AL451" i="50"/>
  <c r="AH285" i="50"/>
  <c r="Q387" i="50"/>
  <c r="R387" i="50" s="1"/>
  <c r="V288" i="50"/>
  <c r="Q288" i="50"/>
  <c r="R288" i="50" s="1"/>
  <c r="AZ341" i="50"/>
  <c r="BA341" i="50" s="1"/>
  <c r="AH271" i="50"/>
  <c r="AC271" i="50"/>
  <c r="AD271" i="50" s="1"/>
  <c r="V269" i="50"/>
  <c r="AT333" i="50"/>
  <c r="AO333" i="50"/>
  <c r="AP333" i="50" s="1"/>
  <c r="Q150" i="50"/>
  <c r="R150" i="50" s="1"/>
  <c r="V215" i="50"/>
  <c r="Q215" i="50"/>
  <c r="R215" i="50" s="1"/>
  <c r="AB156" i="50"/>
  <c r="W156" i="50"/>
  <c r="X156" i="50" s="1"/>
  <c r="AB225" i="50"/>
  <c r="W225" i="50"/>
  <c r="X225" i="50" s="1"/>
  <c r="Q159" i="50"/>
  <c r="R159" i="50" s="1"/>
  <c r="V159" i="50"/>
  <c r="W140" i="50"/>
  <c r="X140" i="50" s="1"/>
  <c r="AB140" i="50"/>
  <c r="AB221" i="50"/>
  <c r="AH138" i="50"/>
  <c r="AT176" i="50"/>
  <c r="AO176" i="50"/>
  <c r="AP176" i="50" s="1"/>
  <c r="W155" i="50"/>
  <c r="X155" i="50" s="1"/>
  <c r="AB155" i="50"/>
  <c r="AZ123" i="50"/>
  <c r="BA123" i="50" s="1"/>
  <c r="AU123" i="50"/>
  <c r="AV123" i="50" s="1"/>
  <c r="W168" i="50"/>
  <c r="X168" i="50" s="1"/>
  <c r="AB168" i="50"/>
  <c r="P384" i="50"/>
  <c r="Q200" i="50"/>
  <c r="V200" i="50"/>
  <c r="AY85" i="50"/>
  <c r="AC67" i="50"/>
  <c r="AD67" i="50" s="1"/>
  <c r="AH67" i="50"/>
  <c r="AZ113" i="50"/>
  <c r="BA113" i="50" s="1"/>
  <c r="AU113" i="50"/>
  <c r="AV113" i="50" s="1"/>
  <c r="AY91" i="50"/>
  <c r="AU93" i="50"/>
  <c r="AV93" i="50" s="1"/>
  <c r="AQ132" i="50"/>
  <c r="I587" i="50"/>
  <c r="I605" i="50"/>
  <c r="Z132" i="50"/>
  <c r="Z14" i="50"/>
  <c r="AA5" i="50"/>
  <c r="AN31" i="50"/>
  <c r="AI31" i="50"/>
  <c r="AJ31" i="50" s="1"/>
  <c r="Q38" i="50"/>
  <c r="R38" i="50" s="1"/>
  <c r="M585" i="50"/>
  <c r="AB37" i="50"/>
  <c r="AI82" i="50"/>
  <c r="AJ82" i="50" s="1"/>
  <c r="AN82" i="50"/>
  <c r="AO178" i="50"/>
  <c r="AP178" i="50" s="1"/>
  <c r="AT178" i="50"/>
  <c r="AB28" i="50"/>
  <c r="W28" i="50"/>
  <c r="X28" i="50" s="1"/>
  <c r="I592" i="50"/>
  <c r="I610" i="50"/>
  <c r="AZ554" i="50"/>
  <c r="BA554" i="50" s="1"/>
  <c r="AU554" i="50"/>
  <c r="AV554" i="50" s="1"/>
  <c r="U509" i="50"/>
  <c r="AS500" i="50"/>
  <c r="AT500" i="50" s="1"/>
  <c r="V509" i="50"/>
  <c r="AB509" i="50" s="1"/>
  <c r="AT522" i="50"/>
  <c r="AO522" i="50"/>
  <c r="AP522" i="50" s="1"/>
  <c r="AM492" i="50"/>
  <c r="AY486" i="50"/>
  <c r="AY485" i="50"/>
  <c r="AY557" i="50" s="1"/>
  <c r="W478" i="50"/>
  <c r="X478" i="50" s="1"/>
  <c r="AB478" i="50"/>
  <c r="AK557" i="50"/>
  <c r="AB476" i="50"/>
  <c r="W476" i="50"/>
  <c r="X476" i="50" s="1"/>
  <c r="T557" i="50"/>
  <c r="U453" i="50"/>
  <c r="U557" i="50" s="1"/>
  <c r="Q405" i="50"/>
  <c r="R405" i="50" s="1"/>
  <c r="V405" i="50"/>
  <c r="AY422" i="50"/>
  <c r="AT427" i="50"/>
  <c r="AO427" i="50"/>
  <c r="AP427" i="50" s="1"/>
  <c r="AH409" i="50"/>
  <c r="AC409" i="50"/>
  <c r="AD409" i="50" s="1"/>
  <c r="AM415" i="50"/>
  <c r="AY420" i="50"/>
  <c r="Q408" i="50"/>
  <c r="R408" i="50" s="1"/>
  <c r="AT336" i="50"/>
  <c r="AO336" i="50"/>
  <c r="AP336" i="50" s="1"/>
  <c r="AU316" i="50"/>
  <c r="AV316" i="50" s="1"/>
  <c r="AZ316" i="50"/>
  <c r="BA316" i="50" s="1"/>
  <c r="AB296" i="50"/>
  <c r="W296" i="50"/>
  <c r="X296" i="50" s="1"/>
  <c r="AX451" i="50"/>
  <c r="AG451" i="50"/>
  <c r="AS315" i="50"/>
  <c r="AS384" i="50" s="1"/>
  <c r="O606" i="50" s="1"/>
  <c r="X606" i="50" s="1"/>
  <c r="AZ346" i="50"/>
  <c r="BA346" i="50" s="1"/>
  <c r="AU346" i="50"/>
  <c r="AV346" i="50" s="1"/>
  <c r="AU318" i="50"/>
  <c r="AV318" i="50" s="1"/>
  <c r="V286" i="50"/>
  <c r="V276" i="50"/>
  <c r="V273" i="50"/>
  <c r="Q273" i="50"/>
  <c r="R273" i="50" s="1"/>
  <c r="V228" i="50"/>
  <c r="Q228" i="50"/>
  <c r="R228" i="50" s="1"/>
  <c r="V262" i="50"/>
  <c r="Q262" i="50"/>
  <c r="R262" i="50" s="1"/>
  <c r="W248" i="50"/>
  <c r="X248" i="50" s="1"/>
  <c r="AB248" i="50"/>
  <c r="AB232" i="50"/>
  <c r="W232" i="50"/>
  <c r="X232" i="50" s="1"/>
  <c r="W224" i="50"/>
  <c r="X224" i="50" s="1"/>
  <c r="AB224" i="50"/>
  <c r="Q269" i="50"/>
  <c r="R269" i="50" s="1"/>
  <c r="I620" i="50"/>
  <c r="M605" i="50"/>
  <c r="AZ183" i="50"/>
  <c r="BA183" i="50" s="1"/>
  <c r="AU183" i="50"/>
  <c r="AV183" i="50" s="1"/>
  <c r="AT169" i="50"/>
  <c r="AO169" i="50"/>
  <c r="AP169" i="50" s="1"/>
  <c r="AC165" i="50"/>
  <c r="AD165" i="50" s="1"/>
  <c r="AH165" i="50"/>
  <c r="AC157" i="50"/>
  <c r="AD157" i="50" s="1"/>
  <c r="AH157" i="50"/>
  <c r="P135" i="50"/>
  <c r="O198" i="50"/>
  <c r="O1" i="50" s="1"/>
  <c r="Z198" i="50"/>
  <c r="AA135" i="50"/>
  <c r="AA198" i="50" s="1"/>
  <c r="M620" i="50"/>
  <c r="BD198" i="50"/>
  <c r="AM88" i="50"/>
  <c r="AM90" i="50"/>
  <c r="V158" i="50"/>
  <c r="V137" i="50"/>
  <c r="AS91" i="50"/>
  <c r="W163" i="50"/>
  <c r="X163" i="50" s="1"/>
  <c r="AB163" i="50"/>
  <c r="AB44" i="50"/>
  <c r="W44" i="50"/>
  <c r="X44" i="50" s="1"/>
  <c r="AA132" i="50"/>
  <c r="AY7" i="50"/>
  <c r="BA7" i="50"/>
  <c r="AZ97" i="50"/>
  <c r="BA97" i="50" s="1"/>
  <c r="AU97" i="50"/>
  <c r="AV97" i="50" s="1"/>
  <c r="AE132" i="50"/>
  <c r="Q75" i="50"/>
  <c r="R75" i="50" s="1"/>
  <c r="AB21" i="50"/>
  <c r="AC45" i="50"/>
  <c r="AD45" i="50" s="1"/>
  <c r="AH45" i="50"/>
  <c r="AC31" i="50"/>
  <c r="AD31" i="50" s="1"/>
  <c r="Q34" i="50"/>
  <c r="R34" i="50" s="1"/>
  <c r="Q26" i="50"/>
  <c r="R26" i="50" s="1"/>
  <c r="Q18" i="50"/>
  <c r="R18" i="50" s="1"/>
  <c r="W21" i="50"/>
  <c r="X21" i="50" s="1"/>
  <c r="D114" i="7"/>
  <c r="B174" i="18"/>
  <c r="B164" i="18"/>
  <c r="B163" i="18"/>
  <c r="B161" i="18"/>
  <c r="B160" i="18"/>
  <c r="B158" i="18"/>
  <c r="B162" i="18"/>
  <c r="B159" i="18"/>
  <c r="B173" i="18"/>
  <c r="B172" i="18"/>
  <c r="B171" i="18"/>
  <c r="B170" i="18"/>
  <c r="B169" i="18"/>
  <c r="B166" i="18"/>
  <c r="B167" i="18"/>
  <c r="B165" i="18"/>
  <c r="I577" i="39"/>
  <c r="I578" i="39"/>
  <c r="I579" i="39"/>
  <c r="I580" i="39"/>
  <c r="I581" i="39"/>
  <c r="I582" i="39"/>
  <c r="I583" i="39"/>
  <c r="I576" i="39"/>
  <c r="C216" i="18"/>
  <c r="B271" i="18"/>
  <c r="B270" i="18"/>
  <c r="B269" i="18"/>
  <c r="B268" i="18"/>
  <c r="B267" i="18"/>
  <c r="B266" i="18"/>
  <c r="B265" i="18"/>
  <c r="B264" i="18"/>
  <c r="B263" i="18"/>
  <c r="B262" i="18"/>
  <c r="B261" i="18"/>
  <c r="B272" i="18"/>
  <c r="B273" i="18"/>
  <c r="B60" i="9"/>
  <c r="B57" i="9"/>
  <c r="B244" i="18"/>
  <c r="C237" i="18"/>
  <c r="C51" i="9" s="1"/>
  <c r="B223" i="18"/>
  <c r="B222" i="18"/>
  <c r="B221" i="18"/>
  <c r="B224" i="18"/>
  <c r="B220" i="18"/>
  <c r="B219" i="18"/>
  <c r="C225" i="18"/>
  <c r="C48" i="9" s="1"/>
  <c r="B49" i="9"/>
  <c r="B250" i="18"/>
  <c r="B249" i="18"/>
  <c r="B256" i="18"/>
  <c r="B255" i="18"/>
  <c r="B248" i="18"/>
  <c r="B254" i="18"/>
  <c r="B247" i="18"/>
  <c r="B246" i="18"/>
  <c r="B253" i="18"/>
  <c r="B252" i="18"/>
  <c r="B243" i="18"/>
  <c r="B242" i="18"/>
  <c r="B251" i="18"/>
  <c r="B240" i="18"/>
  <c r="B245" i="18"/>
  <c r="B241" i="18"/>
  <c r="B229" i="18"/>
  <c r="B230" i="18"/>
  <c r="B231" i="18"/>
  <c r="B232" i="18"/>
  <c r="B233" i="18"/>
  <c r="B234" i="18"/>
  <c r="B235" i="18"/>
  <c r="B236" i="18"/>
  <c r="B228" i="18"/>
  <c r="B67" i="9"/>
  <c r="B66" i="9"/>
  <c r="B184" i="18"/>
  <c r="B183" i="18"/>
  <c r="B182" i="18"/>
  <c r="B181" i="18"/>
  <c r="B180" i="18"/>
  <c r="B179" i="18"/>
  <c r="B178" i="18"/>
  <c r="D69" i="7"/>
  <c r="E17" i="22"/>
  <c r="C379" i="18"/>
  <c r="C378" i="18"/>
  <c r="C377" i="18"/>
  <c r="B379" i="18"/>
  <c r="B377" i="18"/>
  <c r="B378" i="18"/>
  <c r="D12" i="44"/>
  <c r="AZ500" i="50" l="1"/>
  <c r="BA500" i="50" s="1"/>
  <c r="AU500" i="50"/>
  <c r="AV500" i="50" s="1"/>
  <c r="AN493" i="50"/>
  <c r="AI493" i="50"/>
  <c r="AJ493" i="50" s="1"/>
  <c r="O622" i="50"/>
  <c r="BE451" i="50"/>
  <c r="AZ416" i="50"/>
  <c r="BA416" i="50" s="1"/>
  <c r="AU416" i="50"/>
  <c r="AV416" i="50" s="1"/>
  <c r="O623" i="50"/>
  <c r="BE557" i="50"/>
  <c r="U1" i="50"/>
  <c r="AI151" i="50"/>
  <c r="AJ151" i="50" s="1"/>
  <c r="AN151" i="50"/>
  <c r="AH254" i="50"/>
  <c r="AC254" i="50"/>
  <c r="AD254" i="50" s="1"/>
  <c r="AN491" i="50"/>
  <c r="AI491" i="50"/>
  <c r="AJ491" i="50" s="1"/>
  <c r="AN567" i="50"/>
  <c r="AI567" i="50"/>
  <c r="AJ567" i="50" s="1"/>
  <c r="AH289" i="50"/>
  <c r="AC289" i="50"/>
  <c r="AD289" i="50" s="1"/>
  <c r="AZ314" i="50"/>
  <c r="BA314" i="50" s="1"/>
  <c r="AU314" i="50"/>
  <c r="AV314" i="50" s="1"/>
  <c r="AZ421" i="50"/>
  <c r="BA421" i="50" s="1"/>
  <c r="AU421" i="50"/>
  <c r="AV421" i="50" s="1"/>
  <c r="AT507" i="50"/>
  <c r="AO507" i="50"/>
  <c r="AP507" i="50" s="1"/>
  <c r="AH401" i="50"/>
  <c r="AC401" i="50"/>
  <c r="AD401" i="50" s="1"/>
  <c r="AH267" i="50"/>
  <c r="AC267" i="50"/>
  <c r="AD267" i="50" s="1"/>
  <c r="AH398" i="50"/>
  <c r="AC398" i="50"/>
  <c r="AD398" i="50" s="1"/>
  <c r="AN47" i="50"/>
  <c r="AI47" i="50"/>
  <c r="AJ47" i="50" s="1"/>
  <c r="AO303" i="50"/>
  <c r="AP303" i="50" s="1"/>
  <c r="AT303" i="50"/>
  <c r="AZ520" i="50"/>
  <c r="BA520" i="50" s="1"/>
  <c r="AU520" i="50"/>
  <c r="AV520" i="50" s="1"/>
  <c r="AT170" i="50"/>
  <c r="AO170" i="50"/>
  <c r="AP170" i="50" s="1"/>
  <c r="AB253" i="50"/>
  <c r="W253" i="50"/>
  <c r="X253" i="50" s="1"/>
  <c r="P451" i="50"/>
  <c r="V386" i="50"/>
  <c r="Q386" i="50"/>
  <c r="AB482" i="50"/>
  <c r="W482" i="50"/>
  <c r="X482" i="50" s="1"/>
  <c r="AZ511" i="50"/>
  <c r="BA511" i="50" s="1"/>
  <c r="AU511" i="50"/>
  <c r="AV511" i="50" s="1"/>
  <c r="AH26" i="50"/>
  <c r="AC26" i="50"/>
  <c r="AD26" i="50" s="1"/>
  <c r="AH160" i="50"/>
  <c r="AC160" i="50"/>
  <c r="AD160" i="50" s="1"/>
  <c r="AN239" i="50"/>
  <c r="AI239" i="50"/>
  <c r="AJ239" i="50" s="1"/>
  <c r="O618" i="50"/>
  <c r="BE14" i="50"/>
  <c r="Q557" i="50"/>
  <c r="R453" i="50"/>
  <c r="R557" i="50" s="1"/>
  <c r="AN234" i="50"/>
  <c r="AI234" i="50"/>
  <c r="AJ234" i="50" s="1"/>
  <c r="AH30" i="50"/>
  <c r="AC30" i="50"/>
  <c r="AD30" i="50" s="1"/>
  <c r="AB216" i="50"/>
  <c r="W216" i="50"/>
  <c r="X216" i="50" s="1"/>
  <c r="AH145" i="50"/>
  <c r="AC145" i="50"/>
  <c r="AD145" i="50" s="1"/>
  <c r="AB236" i="50"/>
  <c r="W236" i="50"/>
  <c r="X236" i="50" s="1"/>
  <c r="AB265" i="50"/>
  <c r="W265" i="50"/>
  <c r="X265" i="50" s="1"/>
  <c r="V453" i="50"/>
  <c r="X603" i="50"/>
  <c r="AN77" i="50"/>
  <c r="AI77" i="50"/>
  <c r="AJ77" i="50" s="1"/>
  <c r="AZ324" i="50"/>
  <c r="BA324" i="50" s="1"/>
  <c r="AU324" i="50"/>
  <c r="AV324" i="50" s="1"/>
  <c r="AZ431" i="50"/>
  <c r="BA431" i="50" s="1"/>
  <c r="AU431" i="50"/>
  <c r="AV431" i="50" s="1"/>
  <c r="AZ508" i="50"/>
  <c r="BA508" i="50" s="1"/>
  <c r="AU508" i="50"/>
  <c r="AV508" i="50" s="1"/>
  <c r="AH17" i="50"/>
  <c r="AC17" i="50"/>
  <c r="AD17" i="50" s="1"/>
  <c r="AB209" i="50"/>
  <c r="W209" i="50"/>
  <c r="X209" i="50" s="1"/>
  <c r="AZ5" i="50"/>
  <c r="U384" i="50"/>
  <c r="AN278" i="50"/>
  <c r="AI278" i="50"/>
  <c r="AJ278" i="50" s="1"/>
  <c r="AH65" i="50"/>
  <c r="AC65" i="50"/>
  <c r="AD65" i="50" s="1"/>
  <c r="AB149" i="50"/>
  <c r="W149" i="50"/>
  <c r="X149" i="50" s="1"/>
  <c r="AN306" i="50"/>
  <c r="AI306" i="50"/>
  <c r="AJ306" i="50" s="1"/>
  <c r="W484" i="50"/>
  <c r="X484" i="50" s="1"/>
  <c r="AB484" i="50"/>
  <c r="AC36" i="50"/>
  <c r="AD36" i="50" s="1"/>
  <c r="AH36" i="50"/>
  <c r="AN88" i="50"/>
  <c r="AB283" i="50"/>
  <c r="W283" i="50"/>
  <c r="X283" i="50" s="1"/>
  <c r="AH147" i="50"/>
  <c r="AC147" i="50"/>
  <c r="AD147" i="50" s="1"/>
  <c r="AH164" i="50"/>
  <c r="AC164" i="50"/>
  <c r="AD164" i="50" s="1"/>
  <c r="AB255" i="50"/>
  <c r="W255" i="50"/>
  <c r="X255" i="50" s="1"/>
  <c r="AH465" i="50"/>
  <c r="AC465" i="50"/>
  <c r="AD465" i="50" s="1"/>
  <c r="AH293" i="50"/>
  <c r="AC293" i="50"/>
  <c r="AD293" i="50" s="1"/>
  <c r="AH54" i="50"/>
  <c r="AC54" i="50"/>
  <c r="AD54" i="50" s="1"/>
  <c r="AH154" i="50"/>
  <c r="AC154" i="50"/>
  <c r="AD154" i="50" s="1"/>
  <c r="AH46" i="50"/>
  <c r="AC46" i="50"/>
  <c r="AD46" i="50" s="1"/>
  <c r="AH162" i="50"/>
  <c r="AC162" i="50"/>
  <c r="AD162" i="50" s="1"/>
  <c r="AN284" i="50"/>
  <c r="AI284" i="50"/>
  <c r="AJ284" i="50" s="1"/>
  <c r="AH48" i="50"/>
  <c r="AC48" i="50"/>
  <c r="AD48" i="50" s="1"/>
  <c r="AH60" i="50"/>
  <c r="AC60" i="50"/>
  <c r="AD60" i="50" s="1"/>
  <c r="AH64" i="50"/>
  <c r="AC64" i="50"/>
  <c r="AD64" i="50" s="1"/>
  <c r="AB210" i="50"/>
  <c r="W210" i="50"/>
  <c r="X210" i="50" s="1"/>
  <c r="AN487" i="50"/>
  <c r="AI487" i="50"/>
  <c r="AJ487" i="50" s="1"/>
  <c r="AT79" i="50"/>
  <c r="AO79" i="50"/>
  <c r="AP79" i="50" s="1"/>
  <c r="AT499" i="50"/>
  <c r="AO499" i="50"/>
  <c r="AP499" i="50" s="1"/>
  <c r="AB158" i="50"/>
  <c r="W158" i="50"/>
  <c r="X158" i="50" s="1"/>
  <c r="AZ336" i="50"/>
  <c r="BA336" i="50" s="1"/>
  <c r="AU336" i="50"/>
  <c r="AV336" i="50" s="1"/>
  <c r="AZ410" i="50"/>
  <c r="BA410" i="50" s="1"/>
  <c r="AU410" i="50"/>
  <c r="AV410" i="50" s="1"/>
  <c r="AC220" i="50"/>
  <c r="AD220" i="50" s="1"/>
  <c r="AH220" i="50"/>
  <c r="AH241" i="50"/>
  <c r="AC241" i="50"/>
  <c r="AD241" i="50" s="1"/>
  <c r="AH44" i="50"/>
  <c r="AC44" i="50"/>
  <c r="AD44" i="50" s="1"/>
  <c r="AB273" i="50"/>
  <c r="W273" i="50"/>
  <c r="X273" i="50" s="1"/>
  <c r="I619" i="50"/>
  <c r="M604" i="50"/>
  <c r="AT91" i="50"/>
  <c r="AO91" i="50"/>
  <c r="AP91" i="50" s="1"/>
  <c r="AZ325" i="50"/>
  <c r="BA325" i="50" s="1"/>
  <c r="AU325" i="50"/>
  <c r="AV325" i="50" s="1"/>
  <c r="AU414" i="50"/>
  <c r="AV414" i="50" s="1"/>
  <c r="AZ414" i="50"/>
  <c r="BA414" i="50" s="1"/>
  <c r="AI502" i="50"/>
  <c r="AJ502" i="50" s="1"/>
  <c r="AG132" i="50"/>
  <c r="AG1" i="50" s="1"/>
  <c r="AC163" i="50"/>
  <c r="AD163" i="50" s="1"/>
  <c r="AH163" i="50"/>
  <c r="AN157" i="50"/>
  <c r="AI157" i="50"/>
  <c r="AJ157" i="50" s="1"/>
  <c r="AH248" i="50"/>
  <c r="AC248" i="50"/>
  <c r="AD248" i="50" s="1"/>
  <c r="AB276" i="50"/>
  <c r="W276" i="50"/>
  <c r="X276" i="50" s="1"/>
  <c r="AG557" i="50"/>
  <c r="AZ427" i="50"/>
  <c r="BA427" i="50" s="1"/>
  <c r="AU427" i="50"/>
  <c r="AV427" i="50" s="1"/>
  <c r="AH476" i="50"/>
  <c r="AC476" i="50"/>
  <c r="AD476" i="50" s="1"/>
  <c r="W509" i="50"/>
  <c r="X509" i="50" s="1"/>
  <c r="AZ178" i="50"/>
  <c r="BA178" i="50" s="1"/>
  <c r="AU178" i="50"/>
  <c r="AV178" i="50" s="1"/>
  <c r="AC155" i="50"/>
  <c r="AD155" i="50" s="1"/>
  <c r="AH155" i="50"/>
  <c r="AG384" i="50"/>
  <c r="AB215" i="50"/>
  <c r="W215" i="50"/>
  <c r="X215" i="50" s="1"/>
  <c r="AB397" i="50"/>
  <c r="W397" i="50"/>
  <c r="X397" i="50" s="1"/>
  <c r="AN422" i="50"/>
  <c r="AB485" i="50"/>
  <c r="AB49" i="50"/>
  <c r="W49" i="50"/>
  <c r="X49" i="50" s="1"/>
  <c r="AI91" i="50"/>
  <c r="AJ91" i="50" s="1"/>
  <c r="AB229" i="50"/>
  <c r="W229" i="50"/>
  <c r="X229" i="50" s="1"/>
  <c r="AB282" i="50"/>
  <c r="W282" i="50"/>
  <c r="X282" i="50" s="1"/>
  <c r="M622" i="50"/>
  <c r="BD451" i="50"/>
  <c r="V510" i="50"/>
  <c r="AC569" i="50"/>
  <c r="AD569" i="50" s="1"/>
  <c r="AH569" i="50"/>
  <c r="AB227" i="50"/>
  <c r="W227" i="50"/>
  <c r="X227" i="50" s="1"/>
  <c r="AN242" i="50"/>
  <c r="AI242" i="50"/>
  <c r="AJ242" i="50" s="1"/>
  <c r="AU309" i="50"/>
  <c r="AV309" i="50" s="1"/>
  <c r="P557" i="50"/>
  <c r="AH25" i="50"/>
  <c r="AC25" i="50"/>
  <c r="AD25" i="50" s="1"/>
  <c r="AH281" i="50"/>
  <c r="AC281" i="50"/>
  <c r="AD281" i="50" s="1"/>
  <c r="AI410" i="50"/>
  <c r="AJ410" i="50" s="1"/>
  <c r="AT498" i="50"/>
  <c r="AO498" i="50"/>
  <c r="AP498" i="50" s="1"/>
  <c r="AV5" i="50"/>
  <c r="AV14" i="50" s="1"/>
  <c r="BC14" i="50" s="1"/>
  <c r="AU14" i="50"/>
  <c r="S603" i="50" s="1"/>
  <c r="AN413" i="50"/>
  <c r="AI413" i="50"/>
  <c r="AJ413" i="50" s="1"/>
  <c r="AT89" i="50"/>
  <c r="AO89" i="50"/>
  <c r="AP89" i="50" s="1"/>
  <c r="AO309" i="50"/>
  <c r="AP309" i="50" s="1"/>
  <c r="AS451" i="50"/>
  <c r="O607" i="50" s="1"/>
  <c r="X607" i="50" s="1"/>
  <c r="AN20" i="50"/>
  <c r="AI20" i="50"/>
  <c r="AJ20" i="50" s="1"/>
  <c r="AI88" i="50"/>
  <c r="AJ88" i="50" s="1"/>
  <c r="AH58" i="50"/>
  <c r="AC58" i="50"/>
  <c r="AD58" i="50" s="1"/>
  <c r="AH153" i="50"/>
  <c r="AC153" i="50"/>
  <c r="AD153" i="50" s="1"/>
  <c r="AH472" i="50"/>
  <c r="AC472" i="50"/>
  <c r="AD472" i="50" s="1"/>
  <c r="AH395" i="50"/>
  <c r="AC395" i="50"/>
  <c r="AD395" i="50" s="1"/>
  <c r="AH399" i="50"/>
  <c r="AC399" i="50"/>
  <c r="AD399" i="50" s="1"/>
  <c r="AC61" i="50"/>
  <c r="AD61" i="50" s="1"/>
  <c r="AH61" i="50"/>
  <c r="AH290" i="50"/>
  <c r="AC290" i="50"/>
  <c r="AD290" i="50" s="1"/>
  <c r="O625" i="50"/>
  <c r="BE579" i="50"/>
  <c r="AC390" i="50"/>
  <c r="AD390" i="50" s="1"/>
  <c r="AH390" i="50"/>
  <c r="AH222" i="50"/>
  <c r="AC222" i="50"/>
  <c r="AD222" i="50" s="1"/>
  <c r="AN76" i="50"/>
  <c r="AZ103" i="50"/>
  <c r="BA103" i="50" s="1"/>
  <c r="AU103" i="50"/>
  <c r="AV103" i="50" s="1"/>
  <c r="AZ173" i="50"/>
  <c r="BA173" i="50" s="1"/>
  <c r="AU173" i="50"/>
  <c r="AV173" i="50" s="1"/>
  <c r="W466" i="50"/>
  <c r="X466" i="50" s="1"/>
  <c r="AB466" i="50"/>
  <c r="AH156" i="50"/>
  <c r="AC156" i="50"/>
  <c r="AD156" i="50" s="1"/>
  <c r="AN408" i="50"/>
  <c r="AI408" i="50"/>
  <c r="AJ408" i="50" s="1"/>
  <c r="AB235" i="50"/>
  <c r="W235" i="50"/>
  <c r="X235" i="50" s="1"/>
  <c r="AZ328" i="50"/>
  <c r="BA328" i="50" s="1"/>
  <c r="AU328" i="50"/>
  <c r="AV328" i="50" s="1"/>
  <c r="AT502" i="50"/>
  <c r="AO502" i="50"/>
  <c r="AP502" i="50" s="1"/>
  <c r="AH387" i="50"/>
  <c r="AC387" i="50"/>
  <c r="AD387" i="50" s="1"/>
  <c r="AN315" i="50"/>
  <c r="AH490" i="50"/>
  <c r="AC490" i="50"/>
  <c r="AD490" i="50" s="1"/>
  <c r="AB166" i="50"/>
  <c r="W166" i="50"/>
  <c r="X166" i="50" s="1"/>
  <c r="AB263" i="50"/>
  <c r="W263" i="50"/>
  <c r="X263" i="50" s="1"/>
  <c r="AT572" i="50"/>
  <c r="AO572" i="50"/>
  <c r="AP572" i="50" s="1"/>
  <c r="AB204" i="50"/>
  <c r="W204" i="50"/>
  <c r="X204" i="50" s="1"/>
  <c r="AH232" i="50"/>
  <c r="AC232" i="50"/>
  <c r="AD232" i="50" s="1"/>
  <c r="AB286" i="50"/>
  <c r="W286" i="50"/>
  <c r="X286" i="50" s="1"/>
  <c r="I608" i="50"/>
  <c r="I611" i="50" s="1"/>
  <c r="I590" i="50"/>
  <c r="AT31" i="50"/>
  <c r="AO31" i="50"/>
  <c r="AP31" i="50" s="1"/>
  <c r="V384" i="50"/>
  <c r="W200" i="50"/>
  <c r="AB200" i="50"/>
  <c r="AB159" i="50"/>
  <c r="W159" i="50"/>
  <c r="X159" i="50" s="1"/>
  <c r="AB288" i="50"/>
  <c r="W288" i="50"/>
  <c r="X288" i="50" s="1"/>
  <c r="AK1" i="50"/>
  <c r="AJ1" i="50" s="1"/>
  <c r="AB73" i="50"/>
  <c r="W73" i="50"/>
  <c r="X73" i="50" s="1"/>
  <c r="AB208" i="50"/>
  <c r="W208" i="50"/>
  <c r="X208" i="50" s="1"/>
  <c r="AB270" i="50"/>
  <c r="W270" i="50"/>
  <c r="X270" i="50" s="1"/>
  <c r="AZ326" i="50"/>
  <c r="BA326" i="50" s="1"/>
  <c r="AU326" i="50"/>
  <c r="AV326" i="50" s="1"/>
  <c r="AB473" i="50"/>
  <c r="W473" i="50"/>
  <c r="X473" i="50" s="1"/>
  <c r="AB454" i="50"/>
  <c r="W454" i="50"/>
  <c r="X454" i="50" s="1"/>
  <c r="AH203" i="50"/>
  <c r="AC203" i="50"/>
  <c r="AD203" i="50" s="1"/>
  <c r="AC39" i="50"/>
  <c r="AD39" i="50" s="1"/>
  <c r="AH39" i="50"/>
  <c r="AN18" i="50"/>
  <c r="AI18" i="50"/>
  <c r="AJ18" i="50" s="1"/>
  <c r="AC34" i="50"/>
  <c r="AD34" i="50" s="1"/>
  <c r="AH34" i="50"/>
  <c r="AH148" i="50"/>
  <c r="AC148" i="50"/>
  <c r="AD148" i="50" s="1"/>
  <c r="AN226" i="50"/>
  <c r="AI226" i="50"/>
  <c r="AJ226" i="50" s="1"/>
  <c r="AT501" i="50"/>
  <c r="AO501" i="50"/>
  <c r="AP501" i="50" s="1"/>
  <c r="W565" i="50"/>
  <c r="X565" i="50" s="1"/>
  <c r="AB565" i="50"/>
  <c r="AB69" i="50"/>
  <c r="W69" i="50"/>
  <c r="X69" i="50" s="1"/>
  <c r="AY380" i="50"/>
  <c r="AZ380" i="50" s="1"/>
  <c r="BA380" i="50" s="1"/>
  <c r="C381" i="50"/>
  <c r="AT418" i="50"/>
  <c r="AO418" i="50"/>
  <c r="AP418" i="50" s="1"/>
  <c r="AU503" i="50"/>
  <c r="AV503" i="50" s="1"/>
  <c r="AZ503" i="50"/>
  <c r="BA503" i="50" s="1"/>
  <c r="AH19" i="50"/>
  <c r="AC19" i="50"/>
  <c r="AD19" i="50" s="1"/>
  <c r="N618" i="50"/>
  <c r="Q603" i="50"/>
  <c r="AB217" i="50"/>
  <c r="W217" i="50"/>
  <c r="X217" i="50" s="1"/>
  <c r="AN268" i="50"/>
  <c r="AI268" i="50"/>
  <c r="AJ268" i="50" s="1"/>
  <c r="AB462" i="50"/>
  <c r="W462" i="50"/>
  <c r="X462" i="50" s="1"/>
  <c r="AT504" i="50"/>
  <c r="AO504" i="50"/>
  <c r="AP504" i="50" s="1"/>
  <c r="AH35" i="50"/>
  <c r="AC35" i="50"/>
  <c r="AD35" i="50" s="1"/>
  <c r="AB68" i="50"/>
  <c r="W68" i="50"/>
  <c r="X68" i="50" s="1"/>
  <c r="AI89" i="50"/>
  <c r="AJ89" i="50" s="1"/>
  <c r="AN415" i="50"/>
  <c r="AH455" i="50"/>
  <c r="AC455" i="50"/>
  <c r="AD455" i="50" s="1"/>
  <c r="AB480" i="50"/>
  <c r="W480" i="50"/>
  <c r="X480" i="50" s="1"/>
  <c r="AT29" i="50"/>
  <c r="AO29" i="50"/>
  <c r="AP29" i="50" s="1"/>
  <c r="AH230" i="50"/>
  <c r="AC230" i="50"/>
  <c r="AD230" i="50" s="1"/>
  <c r="AH272" i="50"/>
  <c r="AC272" i="50"/>
  <c r="AD272" i="50" s="1"/>
  <c r="AC53" i="50"/>
  <c r="AD53" i="50" s="1"/>
  <c r="AH53" i="50"/>
  <c r="AN211" i="50"/>
  <c r="AI211" i="50"/>
  <c r="AJ211" i="50" s="1"/>
  <c r="AH256" i="50"/>
  <c r="AC256" i="50"/>
  <c r="AD256" i="50" s="1"/>
  <c r="AB477" i="50"/>
  <c r="W477" i="50"/>
  <c r="X477" i="50" s="1"/>
  <c r="AN471" i="50"/>
  <c r="AI471" i="50"/>
  <c r="AJ471" i="50" s="1"/>
  <c r="AH139" i="50"/>
  <c r="AC139" i="50"/>
  <c r="AD139" i="50" s="1"/>
  <c r="V202" i="50"/>
  <c r="Q202" i="50"/>
  <c r="R202" i="50" s="1"/>
  <c r="AH274" i="50"/>
  <c r="AC274" i="50"/>
  <c r="AD274" i="50" s="1"/>
  <c r="AB394" i="50"/>
  <c r="W394" i="50"/>
  <c r="X394" i="50" s="1"/>
  <c r="AH246" i="50"/>
  <c r="AC246" i="50"/>
  <c r="AD246" i="50" s="1"/>
  <c r="AH406" i="50"/>
  <c r="AC406" i="50"/>
  <c r="AD406" i="50" s="1"/>
  <c r="AB459" i="50"/>
  <c r="W459" i="50"/>
  <c r="X459" i="50" s="1"/>
  <c r="AH52" i="50"/>
  <c r="AC52" i="50"/>
  <c r="AD52" i="50" s="1"/>
  <c r="AC142" i="50"/>
  <c r="AD142" i="50" s="1"/>
  <c r="AH142" i="50"/>
  <c r="AH213" i="50"/>
  <c r="AC213" i="50"/>
  <c r="AD213" i="50" s="1"/>
  <c r="AH393" i="50"/>
  <c r="AC393" i="50"/>
  <c r="AD393" i="50" s="1"/>
  <c r="AS557" i="50"/>
  <c r="O608" i="50" s="1"/>
  <c r="X608" i="50" s="1"/>
  <c r="AU86" i="50"/>
  <c r="AV86" i="50" s="1"/>
  <c r="AZ86" i="50"/>
  <c r="BA86" i="50" s="1"/>
  <c r="AH238" i="50"/>
  <c r="AC238" i="50"/>
  <c r="AD238" i="50" s="1"/>
  <c r="AB228" i="50"/>
  <c r="W228" i="50"/>
  <c r="X228" i="50" s="1"/>
  <c r="AN266" i="50"/>
  <c r="AI266" i="50"/>
  <c r="AJ266" i="50" s="1"/>
  <c r="AB56" i="50"/>
  <c r="W56" i="50"/>
  <c r="X56" i="50" s="1"/>
  <c r="AB237" i="50"/>
  <c r="W237" i="50"/>
  <c r="X237" i="50" s="1"/>
  <c r="U603" i="50"/>
  <c r="AH295" i="50"/>
  <c r="AC295" i="50"/>
  <c r="AD295" i="50" s="1"/>
  <c r="AN297" i="50"/>
  <c r="AI297" i="50"/>
  <c r="AJ297" i="50" s="1"/>
  <c r="AT83" i="50"/>
  <c r="AO83" i="50"/>
  <c r="AP83" i="50" s="1"/>
  <c r="AC219" i="50"/>
  <c r="AD219" i="50" s="1"/>
  <c r="AH219" i="50"/>
  <c r="AN409" i="50"/>
  <c r="AI409" i="50"/>
  <c r="AJ409" i="50" s="1"/>
  <c r="AC140" i="50"/>
  <c r="AD140" i="50" s="1"/>
  <c r="AH140" i="50"/>
  <c r="AB570" i="50"/>
  <c r="W570" i="50"/>
  <c r="X570" i="50" s="1"/>
  <c r="AH463" i="50"/>
  <c r="AC463" i="50"/>
  <c r="AD463" i="50" s="1"/>
  <c r="AZ95" i="50"/>
  <c r="BA95" i="50" s="1"/>
  <c r="AU95" i="50"/>
  <c r="AV95" i="50" s="1"/>
  <c r="AB212" i="50"/>
  <c r="W212" i="50"/>
  <c r="X212" i="50" s="1"/>
  <c r="P132" i="50"/>
  <c r="V16" i="50"/>
  <c r="P1" i="50"/>
  <c r="Q16" i="50"/>
  <c r="P198" i="50"/>
  <c r="V135" i="50"/>
  <c r="Q135" i="50"/>
  <c r="AH28" i="50"/>
  <c r="AC28" i="50"/>
  <c r="AD28" i="50" s="1"/>
  <c r="AU516" i="50"/>
  <c r="AV516" i="50" s="1"/>
  <c r="AZ516" i="50"/>
  <c r="BA516" i="50" s="1"/>
  <c r="AB469" i="50"/>
  <c r="W469" i="50"/>
  <c r="X469" i="50" s="1"/>
  <c r="AN165" i="50"/>
  <c r="AI165" i="50"/>
  <c r="AJ165" i="50" s="1"/>
  <c r="AH296" i="50"/>
  <c r="AC296" i="50"/>
  <c r="AD296" i="50" s="1"/>
  <c r="AC478" i="50"/>
  <c r="AD478" i="50" s="1"/>
  <c r="AH478" i="50"/>
  <c r="AT82" i="50"/>
  <c r="AO82" i="50"/>
  <c r="AP82" i="50" s="1"/>
  <c r="AA1" i="50"/>
  <c r="AA14" i="50"/>
  <c r="R200" i="50"/>
  <c r="AT420" i="50"/>
  <c r="AO410" i="50"/>
  <c r="AP410" i="50" s="1"/>
  <c r="AH23" i="50"/>
  <c r="AC23" i="50"/>
  <c r="AD23" i="50" s="1"/>
  <c r="M619" i="50"/>
  <c r="BD132" i="50"/>
  <c r="BD580" i="50" s="1"/>
  <c r="AI76" i="50"/>
  <c r="AJ76" i="50" s="1"/>
  <c r="AZ85" i="50"/>
  <c r="BA85" i="50" s="1"/>
  <c r="AT84" i="50"/>
  <c r="AO84" i="50"/>
  <c r="AP84" i="50" s="1"/>
  <c r="AB264" i="50"/>
  <c r="W264" i="50"/>
  <c r="X264" i="50" s="1"/>
  <c r="AB287" i="50"/>
  <c r="W287" i="50"/>
  <c r="X287" i="50" s="1"/>
  <c r="AB317" i="50"/>
  <c r="W317" i="50"/>
  <c r="X317" i="50" s="1"/>
  <c r="W460" i="50"/>
  <c r="X460" i="50" s="1"/>
  <c r="AB460" i="50"/>
  <c r="AB479" i="50"/>
  <c r="W479" i="50"/>
  <c r="X479" i="50" s="1"/>
  <c r="AB566" i="50"/>
  <c r="W566" i="50"/>
  <c r="X566" i="50" s="1"/>
  <c r="AN22" i="50"/>
  <c r="AI22" i="50"/>
  <c r="AJ22" i="50" s="1"/>
  <c r="O624" i="50"/>
  <c r="BE561" i="50"/>
  <c r="AM1" i="50"/>
  <c r="AN308" i="50"/>
  <c r="AI308" i="50"/>
  <c r="AJ308" i="50" s="1"/>
  <c r="AH27" i="50"/>
  <c r="AC27" i="50"/>
  <c r="AD27" i="50" s="1"/>
  <c r="R603" i="50"/>
  <c r="AB167" i="50"/>
  <c r="W167" i="50"/>
  <c r="X167" i="50" s="1"/>
  <c r="AU432" i="50"/>
  <c r="AV432" i="50" s="1"/>
  <c r="AZ432" i="50"/>
  <c r="BA432" i="50" s="1"/>
  <c r="AZ513" i="50"/>
  <c r="BA513" i="50" s="1"/>
  <c r="AU513" i="50"/>
  <c r="AV513" i="50" s="1"/>
  <c r="AB136" i="50"/>
  <c r="W136" i="50"/>
  <c r="X136" i="50" s="1"/>
  <c r="AB214" i="50"/>
  <c r="W214" i="50"/>
  <c r="X214" i="50" s="1"/>
  <c r="AB71" i="50"/>
  <c r="W71" i="50"/>
  <c r="X71" i="50" s="1"/>
  <c r="AU92" i="50"/>
  <c r="AV92" i="50" s="1"/>
  <c r="AZ92" i="50"/>
  <c r="BA92" i="50" s="1"/>
  <c r="AH70" i="50"/>
  <c r="AC70" i="50"/>
  <c r="AD70" i="50" s="1"/>
  <c r="AH388" i="50"/>
  <c r="AC388" i="50"/>
  <c r="AD388" i="50" s="1"/>
  <c r="AB486" i="50"/>
  <c r="AH205" i="50"/>
  <c r="AC205" i="50"/>
  <c r="AD205" i="50" s="1"/>
  <c r="AH207" i="50"/>
  <c r="AC207" i="50"/>
  <c r="AD207" i="50" s="1"/>
  <c r="AH301" i="50"/>
  <c r="AC301" i="50"/>
  <c r="AD301" i="50" s="1"/>
  <c r="AH474" i="50"/>
  <c r="AC474" i="50"/>
  <c r="AD474" i="50" s="1"/>
  <c r="AB206" i="50"/>
  <c r="W206" i="50"/>
  <c r="X206" i="50" s="1"/>
  <c r="AB468" i="50"/>
  <c r="W468" i="50"/>
  <c r="X468" i="50" s="1"/>
  <c r="AZ515" i="50"/>
  <c r="BA515" i="50" s="1"/>
  <c r="AU515" i="50"/>
  <c r="AV515" i="50" s="1"/>
  <c r="AT497" i="50"/>
  <c r="AO497" i="50"/>
  <c r="AP497" i="50" s="1"/>
  <c r="AC43" i="50"/>
  <c r="AD43" i="50" s="1"/>
  <c r="AH43" i="50"/>
  <c r="AH66" i="50"/>
  <c r="AC66" i="50"/>
  <c r="AD66" i="50" s="1"/>
  <c r="AH152" i="50"/>
  <c r="AC152" i="50"/>
  <c r="AD152" i="50" s="1"/>
  <c r="AH279" i="50"/>
  <c r="AC279" i="50"/>
  <c r="AD279" i="50" s="1"/>
  <c r="AH464" i="50"/>
  <c r="AC464" i="50"/>
  <c r="AD464" i="50" s="1"/>
  <c r="M609" i="50"/>
  <c r="I624" i="50"/>
  <c r="O620" i="50"/>
  <c r="BE198" i="50"/>
  <c r="AN299" i="50"/>
  <c r="AI299" i="50"/>
  <c r="AJ299" i="50" s="1"/>
  <c r="AH21" i="50"/>
  <c r="AC21" i="50"/>
  <c r="AD21" i="50" s="1"/>
  <c r="Q585" i="50"/>
  <c r="AN67" i="50"/>
  <c r="AI67" i="50"/>
  <c r="AJ67" i="50" s="1"/>
  <c r="AH221" i="50"/>
  <c r="AC221" i="50"/>
  <c r="AD221" i="50" s="1"/>
  <c r="AH243" i="50"/>
  <c r="AC243" i="50"/>
  <c r="AD243" i="50" s="1"/>
  <c r="AZ94" i="50"/>
  <c r="BA94" i="50" s="1"/>
  <c r="AU94" i="50"/>
  <c r="AV94" i="50" s="1"/>
  <c r="AB402" i="50"/>
  <c r="W402" i="50"/>
  <c r="X402" i="50" s="1"/>
  <c r="AZ96" i="50"/>
  <c r="BA96" i="50" s="1"/>
  <c r="AU96" i="50"/>
  <c r="AV96" i="50" s="1"/>
  <c r="AH240" i="50"/>
  <c r="AC240" i="50"/>
  <c r="AD240" i="50" s="1"/>
  <c r="AH467" i="50"/>
  <c r="AC467" i="50"/>
  <c r="AD467" i="50" s="1"/>
  <c r="AB262" i="50"/>
  <c r="W262" i="50"/>
  <c r="X262" i="50" s="1"/>
  <c r="AB405" i="50"/>
  <c r="W405" i="50"/>
  <c r="X405" i="50" s="1"/>
  <c r="AZ176" i="50"/>
  <c r="BA176" i="50" s="1"/>
  <c r="AU176" i="50"/>
  <c r="AV176" i="50" s="1"/>
  <c r="AZ333" i="50"/>
  <c r="BA333" i="50" s="1"/>
  <c r="AU333" i="50"/>
  <c r="AV333" i="50" s="1"/>
  <c r="AN285" i="50"/>
  <c r="AI285" i="50"/>
  <c r="AJ285" i="50" s="1"/>
  <c r="AB62" i="50"/>
  <c r="W62" i="50"/>
  <c r="X62" i="50" s="1"/>
  <c r="AC76" i="50"/>
  <c r="AD76" i="50" s="1"/>
  <c r="AH38" i="50"/>
  <c r="AC38" i="50"/>
  <c r="AD38" i="50" s="1"/>
  <c r="AH150" i="50"/>
  <c r="AC150" i="50"/>
  <c r="AD150" i="50" s="1"/>
  <c r="AO412" i="50"/>
  <c r="AP412" i="50" s="1"/>
  <c r="AT412" i="50"/>
  <c r="AG561" i="50"/>
  <c r="AH559" i="50"/>
  <c r="J593" i="50"/>
  <c r="S585" i="50"/>
  <c r="S593" i="50" s="1"/>
  <c r="AB50" i="50"/>
  <c r="W50" i="50"/>
  <c r="X50" i="50" s="1"/>
  <c r="AB277" i="50"/>
  <c r="W277" i="50"/>
  <c r="X277" i="50" s="1"/>
  <c r="AN494" i="50"/>
  <c r="AB59" i="50"/>
  <c r="W59" i="50"/>
  <c r="X59" i="50" s="1"/>
  <c r="AT87" i="50"/>
  <c r="AO87" i="50"/>
  <c r="AP87" i="50" s="1"/>
  <c r="AB249" i="50"/>
  <c r="W249" i="50"/>
  <c r="X249" i="50" s="1"/>
  <c r="AZ310" i="50"/>
  <c r="BA310" i="50" s="1"/>
  <c r="AU310" i="50"/>
  <c r="AV310" i="50" s="1"/>
  <c r="AH294" i="50"/>
  <c r="AC294" i="50"/>
  <c r="AD294" i="50" s="1"/>
  <c r="AB470" i="50"/>
  <c r="W470" i="50"/>
  <c r="X470" i="50" s="1"/>
  <c r="W42" i="50"/>
  <c r="X42" i="50" s="1"/>
  <c r="AB42" i="50"/>
  <c r="AC24" i="50"/>
  <c r="AD24" i="50" s="1"/>
  <c r="AH24" i="50"/>
  <c r="AH259" i="50"/>
  <c r="AC259" i="50"/>
  <c r="AD259" i="50" s="1"/>
  <c r="AT307" i="50"/>
  <c r="AO307" i="50"/>
  <c r="AP307" i="50" s="1"/>
  <c r="AH161" i="50"/>
  <c r="AC161" i="50"/>
  <c r="AD161" i="50" s="1"/>
  <c r="AC250" i="50"/>
  <c r="AD250" i="50" s="1"/>
  <c r="AH250" i="50"/>
  <c r="AH40" i="50"/>
  <c r="AC40" i="50"/>
  <c r="AD40" i="50" s="1"/>
  <c r="AC55" i="50"/>
  <c r="AD55" i="50" s="1"/>
  <c r="AH55" i="50"/>
  <c r="AZ171" i="50"/>
  <c r="BA171" i="50" s="1"/>
  <c r="AU171" i="50"/>
  <c r="AV171" i="50" s="1"/>
  <c r="AH144" i="50"/>
  <c r="AC144" i="50"/>
  <c r="AD144" i="50" s="1"/>
  <c r="AH244" i="50"/>
  <c r="AC244" i="50"/>
  <c r="AD244" i="50" s="1"/>
  <c r="I622" i="50"/>
  <c r="I626" i="50" s="1"/>
  <c r="M607" i="50"/>
  <c r="M611" i="50" s="1"/>
  <c r="AH411" i="50"/>
  <c r="AC411" i="50"/>
  <c r="AD411" i="50" s="1"/>
  <c r="AH461" i="50"/>
  <c r="AC461" i="50"/>
  <c r="AD461" i="50" s="1"/>
  <c r="AH6" i="50"/>
  <c r="AI6" i="50" s="1"/>
  <c r="AJ6" i="50" s="1"/>
  <c r="AC6" i="50"/>
  <c r="AD6" i="50" s="1"/>
  <c r="AC252" i="50"/>
  <c r="AD252" i="50" s="1"/>
  <c r="AH252" i="50"/>
  <c r="AN292" i="50"/>
  <c r="AI292" i="50"/>
  <c r="AJ292" i="50" s="1"/>
  <c r="AN488" i="50"/>
  <c r="AI488" i="50"/>
  <c r="AJ488" i="50" s="1"/>
  <c r="AB475" i="50"/>
  <c r="W475" i="50"/>
  <c r="X475" i="50" s="1"/>
  <c r="AH568" i="50"/>
  <c r="AC568" i="50"/>
  <c r="AD568" i="50" s="1"/>
  <c r="AH291" i="50"/>
  <c r="AC291" i="50"/>
  <c r="AD291" i="50" s="1"/>
  <c r="AN400" i="50"/>
  <c r="AI400" i="50"/>
  <c r="AJ400" i="50" s="1"/>
  <c r="AH251" i="50"/>
  <c r="AC251" i="50"/>
  <c r="AD251" i="50" s="1"/>
  <c r="O619" i="50"/>
  <c r="H11" i="8" s="1"/>
  <c r="BE132" i="50"/>
  <c r="AT75" i="50"/>
  <c r="AO75" i="50"/>
  <c r="AP75" i="50" s="1"/>
  <c r="AH298" i="50"/>
  <c r="AC298" i="50"/>
  <c r="AD298" i="50" s="1"/>
  <c r="AH32" i="50"/>
  <c r="AC32" i="50"/>
  <c r="AD32" i="50" s="1"/>
  <c r="AH458" i="50"/>
  <c r="AC458" i="50"/>
  <c r="AD458" i="50" s="1"/>
  <c r="AN271" i="50"/>
  <c r="AI271" i="50"/>
  <c r="AJ271" i="50" s="1"/>
  <c r="AN304" i="50"/>
  <c r="AI304" i="50"/>
  <c r="AJ304" i="50" s="1"/>
  <c r="AI45" i="50"/>
  <c r="AJ45" i="50" s="1"/>
  <c r="AN45" i="50"/>
  <c r="AD1" i="50"/>
  <c r="AH389" i="50"/>
  <c r="AC389" i="50"/>
  <c r="AD389" i="50" s="1"/>
  <c r="V14" i="50"/>
  <c r="W5" i="50"/>
  <c r="AB5" i="50"/>
  <c r="AH74" i="50"/>
  <c r="AC74" i="50"/>
  <c r="AD74" i="50" s="1"/>
  <c r="AT172" i="50"/>
  <c r="AO172" i="50"/>
  <c r="AP172" i="50" s="1"/>
  <c r="AB275" i="50"/>
  <c r="W275" i="50"/>
  <c r="X275" i="50" s="1"/>
  <c r="AH302" i="50"/>
  <c r="AC302" i="50"/>
  <c r="AD302" i="50" s="1"/>
  <c r="AB391" i="50"/>
  <c r="W391" i="50"/>
  <c r="X391" i="50" s="1"/>
  <c r="AB137" i="50"/>
  <c r="W137" i="50"/>
  <c r="X137" i="50" s="1"/>
  <c r="AH224" i="50"/>
  <c r="AC224" i="50"/>
  <c r="AD224" i="50" s="1"/>
  <c r="AZ522" i="50"/>
  <c r="BA522" i="50" s="1"/>
  <c r="AU522" i="50"/>
  <c r="AV522" i="50" s="1"/>
  <c r="AH37" i="50"/>
  <c r="AC37" i="50"/>
  <c r="AD37" i="50" s="1"/>
  <c r="AH168" i="50"/>
  <c r="AC168" i="50"/>
  <c r="AD168" i="50" s="1"/>
  <c r="AN138" i="50"/>
  <c r="AI138" i="50"/>
  <c r="AJ138" i="50" s="1"/>
  <c r="AH225" i="50"/>
  <c r="AC225" i="50"/>
  <c r="AD225" i="50" s="1"/>
  <c r="AB269" i="50"/>
  <c r="W269" i="50"/>
  <c r="X269" i="50" s="1"/>
  <c r="AB396" i="50"/>
  <c r="W396" i="50"/>
  <c r="X396" i="50" s="1"/>
  <c r="AT495" i="50"/>
  <c r="AO495" i="50"/>
  <c r="AP495" i="50" s="1"/>
  <c r="AN483" i="50"/>
  <c r="AI483" i="50"/>
  <c r="AJ483" i="50" s="1"/>
  <c r="P579" i="50"/>
  <c r="V563" i="50"/>
  <c r="Q563" i="50"/>
  <c r="AH218" i="50"/>
  <c r="AC218" i="50"/>
  <c r="AD218" i="50" s="1"/>
  <c r="AB280" i="50"/>
  <c r="W280" i="50"/>
  <c r="X280" i="50" s="1"/>
  <c r="AZ305" i="50"/>
  <c r="BA305" i="50" s="1"/>
  <c r="AU305" i="50"/>
  <c r="AV305" i="50" s="1"/>
  <c r="W407" i="50"/>
  <c r="X407" i="50" s="1"/>
  <c r="AB407" i="50"/>
  <c r="AN90" i="50"/>
  <c r="AH33" i="50"/>
  <c r="AC33" i="50"/>
  <c r="AD33" i="50" s="1"/>
  <c r="AN78" i="50"/>
  <c r="AI78" i="50"/>
  <c r="AJ78" i="50" s="1"/>
  <c r="AB201" i="50"/>
  <c r="W201" i="50"/>
  <c r="X201" i="50" s="1"/>
  <c r="AT313" i="50"/>
  <c r="AO313" i="50"/>
  <c r="AP313" i="50" s="1"/>
  <c r="AZ424" i="50"/>
  <c r="BA424" i="50" s="1"/>
  <c r="AU424" i="50"/>
  <c r="AV424" i="50" s="1"/>
  <c r="AC57" i="50"/>
  <c r="AD57" i="50" s="1"/>
  <c r="AH57" i="50"/>
  <c r="AB257" i="50"/>
  <c r="W257" i="50"/>
  <c r="X257" i="50" s="1"/>
  <c r="AZ340" i="50"/>
  <c r="BA340" i="50" s="1"/>
  <c r="AU340" i="50"/>
  <c r="AV340" i="50" s="1"/>
  <c r="AI403" i="50"/>
  <c r="AJ403" i="50" s="1"/>
  <c r="AN403" i="50"/>
  <c r="AC410" i="50"/>
  <c r="AD410" i="50" s="1"/>
  <c r="AZ517" i="50"/>
  <c r="BA517" i="50" s="1"/>
  <c r="AU517" i="50"/>
  <c r="AV517" i="50" s="1"/>
  <c r="AN81" i="50"/>
  <c r="AI81" i="50"/>
  <c r="AJ81" i="50" s="1"/>
  <c r="AN300" i="50"/>
  <c r="AI300" i="50"/>
  <c r="AJ300" i="50" s="1"/>
  <c r="AC494" i="50"/>
  <c r="AD494" i="50" s="1"/>
  <c r="AN492" i="50"/>
  <c r="AI492" i="50"/>
  <c r="AJ492" i="50" s="1"/>
  <c r="AZ105" i="50"/>
  <c r="BA105" i="50" s="1"/>
  <c r="AU105" i="50"/>
  <c r="AV105" i="50" s="1"/>
  <c r="AI87" i="50"/>
  <c r="AJ87" i="50" s="1"/>
  <c r="AB231" i="50"/>
  <c r="W231" i="50"/>
  <c r="X231" i="50" s="1"/>
  <c r="AH457" i="50"/>
  <c r="AC457" i="50"/>
  <c r="AD457" i="50" s="1"/>
  <c r="AN496" i="50"/>
  <c r="AI496" i="50"/>
  <c r="AJ496" i="50" s="1"/>
  <c r="V585" i="50"/>
  <c r="AH72" i="50"/>
  <c r="AC72" i="50"/>
  <c r="AD72" i="50" s="1"/>
  <c r="AH143" i="50"/>
  <c r="AC143" i="50"/>
  <c r="AD143" i="50" s="1"/>
  <c r="AH223" i="50"/>
  <c r="AC223" i="50"/>
  <c r="AD223" i="50" s="1"/>
  <c r="AB392" i="50"/>
  <c r="W392" i="50"/>
  <c r="X392" i="50" s="1"/>
  <c r="AC41" i="50"/>
  <c r="AD41" i="50" s="1"/>
  <c r="AH41" i="50"/>
  <c r="AZ312" i="50"/>
  <c r="BA312" i="50" s="1"/>
  <c r="AU312" i="50"/>
  <c r="AV312" i="50" s="1"/>
  <c r="AH404" i="50"/>
  <c r="AC404" i="50"/>
  <c r="AD404" i="50" s="1"/>
  <c r="AH233" i="50"/>
  <c r="AC233" i="50"/>
  <c r="AD233" i="50" s="1"/>
  <c r="AH261" i="50"/>
  <c r="AC261" i="50"/>
  <c r="AD261" i="50" s="1"/>
  <c r="AH456" i="50"/>
  <c r="AC456" i="50"/>
  <c r="AD456" i="50" s="1"/>
  <c r="AH146" i="50"/>
  <c r="AC146" i="50"/>
  <c r="AD146" i="50" s="1"/>
  <c r="AH247" i="50"/>
  <c r="AC247" i="50"/>
  <c r="AD247" i="50" s="1"/>
  <c r="AZ169" i="50"/>
  <c r="BA169" i="50" s="1"/>
  <c r="AU169" i="50"/>
  <c r="AV169" i="50" s="1"/>
  <c r="AH509" i="50"/>
  <c r="AC509" i="50"/>
  <c r="AD509" i="50" s="1"/>
  <c r="AZ102" i="50"/>
  <c r="BA102" i="50" s="1"/>
  <c r="AU102" i="50"/>
  <c r="AV102" i="50" s="1"/>
  <c r="AH258" i="50"/>
  <c r="AC258" i="50"/>
  <c r="AD258" i="50" s="1"/>
  <c r="AN489" i="50"/>
  <c r="AI489" i="50"/>
  <c r="AJ489" i="50" s="1"/>
  <c r="AB564" i="50"/>
  <c r="W564" i="50"/>
  <c r="X564" i="50" s="1"/>
  <c r="AB260" i="50"/>
  <c r="W260" i="50"/>
  <c r="X260" i="50" s="1"/>
  <c r="AH141" i="50"/>
  <c r="AC141" i="50"/>
  <c r="AD141" i="50" s="1"/>
  <c r="AH63" i="50"/>
  <c r="AC63" i="50"/>
  <c r="AD63" i="50" s="1"/>
  <c r="AU419" i="50"/>
  <c r="AV419" i="50" s="1"/>
  <c r="AZ419" i="50"/>
  <c r="BA419" i="50" s="1"/>
  <c r="AH481" i="50"/>
  <c r="AC481" i="50"/>
  <c r="AD481" i="50" s="1"/>
  <c r="AC51" i="50"/>
  <c r="AD51" i="50" s="1"/>
  <c r="AH51" i="50"/>
  <c r="AU175" i="50"/>
  <c r="AV175" i="50" s="1"/>
  <c r="AZ175" i="50"/>
  <c r="BA175" i="50" s="1"/>
  <c r="AH245" i="50"/>
  <c r="AC245" i="50"/>
  <c r="AD245" i="50" s="1"/>
  <c r="AU506" i="50"/>
  <c r="AV506" i="50" s="1"/>
  <c r="AZ506" i="50"/>
  <c r="BA506" i="50" s="1"/>
  <c r="AZ505" i="50"/>
  <c r="BA505" i="50" s="1"/>
  <c r="AU505" i="50"/>
  <c r="AV505" i="50" s="1"/>
  <c r="B175" i="18"/>
  <c r="B274" i="18"/>
  <c r="B237" i="18"/>
  <c r="B225" i="18"/>
  <c r="B48" i="9" s="1"/>
  <c r="B257" i="18"/>
  <c r="D258" i="18" s="1"/>
  <c r="C380" i="18"/>
  <c r="C45" i="10" s="1"/>
  <c r="B185" i="18"/>
  <c r="B380" i="18"/>
  <c r="B45" i="10" s="1"/>
  <c r="B315" i="18"/>
  <c r="B360" i="18"/>
  <c r="B336" i="18"/>
  <c r="B350" i="18"/>
  <c r="B279" i="18"/>
  <c r="B52" i="10"/>
  <c r="B71" i="10"/>
  <c r="B53" i="10"/>
  <c r="B51" i="10"/>
  <c r="B314" i="18"/>
  <c r="B313" i="18"/>
  <c r="B280" i="18"/>
  <c r="B69" i="10"/>
  <c r="B55" i="10"/>
  <c r="B32" i="10"/>
  <c r="B277" i="18" s="1"/>
  <c r="C277" i="18"/>
  <c r="I415" i="49"/>
  <c r="I418" i="49"/>
  <c r="B352" i="18"/>
  <c r="B341" i="18"/>
  <c r="B60" i="10"/>
  <c r="F288" i="18"/>
  <c r="F287" i="18"/>
  <c r="F286" i="18"/>
  <c r="G288" i="18"/>
  <c r="G286" i="18"/>
  <c r="G287" i="18"/>
  <c r="G289" i="18"/>
  <c r="M626" i="50" l="1"/>
  <c r="AN481" i="50"/>
  <c r="AI481" i="50"/>
  <c r="AJ481" i="50" s="1"/>
  <c r="AH396" i="50"/>
  <c r="AC396" i="50"/>
  <c r="AD396" i="50" s="1"/>
  <c r="AN52" i="50"/>
  <c r="AI52" i="50"/>
  <c r="AJ52" i="50" s="1"/>
  <c r="AN53" i="50"/>
  <c r="AI53" i="50"/>
  <c r="AJ53" i="50" s="1"/>
  <c r="AN34" i="50"/>
  <c r="AI34" i="50"/>
  <c r="AJ34" i="50" s="1"/>
  <c r="AH159" i="50"/>
  <c r="AC159" i="50"/>
  <c r="AD159" i="50" s="1"/>
  <c r="AN387" i="50"/>
  <c r="AI387" i="50"/>
  <c r="AJ387" i="50" s="1"/>
  <c r="AT408" i="50"/>
  <c r="AO408" i="50"/>
  <c r="AP408" i="50" s="1"/>
  <c r="AN395" i="50"/>
  <c r="AI395" i="50"/>
  <c r="AJ395" i="50" s="1"/>
  <c r="AN281" i="50"/>
  <c r="AI281" i="50"/>
  <c r="AJ281" i="50" s="1"/>
  <c r="AH227" i="50"/>
  <c r="AC227" i="50"/>
  <c r="AD227" i="50" s="1"/>
  <c r="AH397" i="50"/>
  <c r="AC397" i="50"/>
  <c r="AD397" i="50" s="1"/>
  <c r="AN220" i="50"/>
  <c r="AI220" i="50"/>
  <c r="AJ220" i="50" s="1"/>
  <c r="AH158" i="50"/>
  <c r="AC158" i="50"/>
  <c r="AD158" i="50" s="1"/>
  <c r="AH210" i="50"/>
  <c r="AC210" i="50"/>
  <c r="AD210" i="50" s="1"/>
  <c r="AT284" i="50"/>
  <c r="AO284" i="50"/>
  <c r="AP284" i="50" s="1"/>
  <c r="AI54" i="50"/>
  <c r="AJ54" i="50" s="1"/>
  <c r="AN54" i="50"/>
  <c r="AI164" i="50"/>
  <c r="AJ164" i="50" s="1"/>
  <c r="AN164" i="50"/>
  <c r="AH484" i="50"/>
  <c r="AC484" i="50"/>
  <c r="AD484" i="50" s="1"/>
  <c r="AN145" i="50"/>
  <c r="AI145" i="50"/>
  <c r="AJ145" i="50" s="1"/>
  <c r="AN26" i="50"/>
  <c r="AI26" i="50"/>
  <c r="AJ26" i="50" s="1"/>
  <c r="AO151" i="50"/>
  <c r="AP151" i="50" s="1"/>
  <c r="AT151" i="50"/>
  <c r="AN404" i="50"/>
  <c r="AI404" i="50"/>
  <c r="AJ404" i="50" s="1"/>
  <c r="AN223" i="50"/>
  <c r="AI223" i="50"/>
  <c r="AJ223" i="50" s="1"/>
  <c r="AT81" i="50"/>
  <c r="AO81" i="50"/>
  <c r="AP81" i="50" s="1"/>
  <c r="V579" i="50"/>
  <c r="AB563" i="50"/>
  <c r="W563" i="50"/>
  <c r="AN389" i="50"/>
  <c r="AI389" i="50"/>
  <c r="AJ389" i="50" s="1"/>
  <c r="AT271" i="50"/>
  <c r="AO271" i="50"/>
  <c r="AP271" i="50" s="1"/>
  <c r="AZ75" i="50"/>
  <c r="BA75" i="50" s="1"/>
  <c r="AU75" i="50"/>
  <c r="AV75" i="50" s="1"/>
  <c r="AN291" i="50"/>
  <c r="AI291" i="50"/>
  <c r="AJ291" i="50" s="1"/>
  <c r="AT292" i="50"/>
  <c r="AO292" i="50"/>
  <c r="AP292" i="50" s="1"/>
  <c r="AN411" i="50"/>
  <c r="AI411" i="50"/>
  <c r="AJ411" i="50" s="1"/>
  <c r="AZ412" i="50"/>
  <c r="BA412" i="50" s="1"/>
  <c r="AU412" i="50"/>
  <c r="AV412" i="50" s="1"/>
  <c r="AH62" i="50"/>
  <c r="AC62" i="50"/>
  <c r="AD62" i="50" s="1"/>
  <c r="AH405" i="50"/>
  <c r="AC405" i="50"/>
  <c r="AD405" i="50" s="1"/>
  <c r="AI221" i="50"/>
  <c r="AJ221" i="50" s="1"/>
  <c r="AN221" i="50"/>
  <c r="AO299" i="50"/>
  <c r="AP299" i="50" s="1"/>
  <c r="AT299" i="50"/>
  <c r="AN279" i="50"/>
  <c r="AI279" i="50"/>
  <c r="AJ279" i="50" s="1"/>
  <c r="AZ497" i="50"/>
  <c r="BA497" i="50" s="1"/>
  <c r="AU497" i="50"/>
  <c r="AV497" i="50" s="1"/>
  <c r="AI474" i="50"/>
  <c r="AJ474" i="50" s="1"/>
  <c r="AN474" i="50"/>
  <c r="AT409" i="50"/>
  <c r="AO409" i="50"/>
  <c r="AP409" i="50" s="1"/>
  <c r="AN295" i="50"/>
  <c r="AI295" i="50"/>
  <c r="AJ295" i="50" s="1"/>
  <c r="AT266" i="50"/>
  <c r="AO266" i="50"/>
  <c r="AP266" i="50" s="1"/>
  <c r="AH480" i="50"/>
  <c r="AC480" i="50"/>
  <c r="AD480" i="50" s="1"/>
  <c r="AN35" i="50"/>
  <c r="AI35" i="50"/>
  <c r="AJ35" i="50" s="1"/>
  <c r="AH217" i="50"/>
  <c r="AC217" i="50"/>
  <c r="AD217" i="50" s="1"/>
  <c r="AC454" i="50"/>
  <c r="AD454" i="50" s="1"/>
  <c r="AH454" i="50"/>
  <c r="AH208" i="50"/>
  <c r="AC208" i="50"/>
  <c r="AD208" i="50" s="1"/>
  <c r="AB384" i="50"/>
  <c r="AH200" i="50"/>
  <c r="AC200" i="50"/>
  <c r="AH286" i="50"/>
  <c r="AC286" i="50"/>
  <c r="AD286" i="50" s="1"/>
  <c r="AH263" i="50"/>
  <c r="AC263" i="50"/>
  <c r="AD263" i="50" s="1"/>
  <c r="AT76" i="50"/>
  <c r="AO76" i="50"/>
  <c r="AP76" i="50" s="1"/>
  <c r="AT413" i="50"/>
  <c r="AO413" i="50"/>
  <c r="AP413" i="50" s="1"/>
  <c r="AI569" i="50"/>
  <c r="AJ569" i="50" s="1"/>
  <c r="AN569" i="50"/>
  <c r="AH229" i="50"/>
  <c r="AC229" i="50"/>
  <c r="AD229" i="50" s="1"/>
  <c r="AN248" i="50"/>
  <c r="AI248" i="50"/>
  <c r="AJ248" i="50" s="1"/>
  <c r="AT278" i="50"/>
  <c r="AO278" i="50"/>
  <c r="AP278" i="50" s="1"/>
  <c r="O611" i="50"/>
  <c r="AN401" i="50"/>
  <c r="AI401" i="50"/>
  <c r="AJ401" i="50" s="1"/>
  <c r="AI289" i="50"/>
  <c r="AJ289" i="50" s="1"/>
  <c r="AN289" i="50"/>
  <c r="AH479" i="50"/>
  <c r="AC479" i="50"/>
  <c r="AD479" i="50" s="1"/>
  <c r="AH264" i="50"/>
  <c r="AC264" i="50"/>
  <c r="AD264" i="50" s="1"/>
  <c r="AN23" i="50"/>
  <c r="AI23" i="50"/>
  <c r="AJ23" i="50" s="1"/>
  <c r="AZ82" i="50"/>
  <c r="BA82" i="50" s="1"/>
  <c r="AU82" i="50"/>
  <c r="AV82" i="50" s="1"/>
  <c r="AH469" i="50"/>
  <c r="AC469" i="50"/>
  <c r="AD469" i="50" s="1"/>
  <c r="Q132" i="50"/>
  <c r="Q1" i="50" s="1"/>
  <c r="R16" i="50"/>
  <c r="R132" i="50" s="1"/>
  <c r="AN219" i="50"/>
  <c r="AI219" i="50"/>
  <c r="AJ219" i="50" s="1"/>
  <c r="AN393" i="50"/>
  <c r="AI393" i="50"/>
  <c r="AJ393" i="50" s="1"/>
  <c r="AH459" i="50"/>
  <c r="AC459" i="50"/>
  <c r="AD459" i="50" s="1"/>
  <c r="AN274" i="50"/>
  <c r="AI274" i="50"/>
  <c r="AJ274" i="50" s="1"/>
  <c r="AC477" i="50"/>
  <c r="AD477" i="50" s="1"/>
  <c r="AH477" i="50"/>
  <c r="AZ418" i="50"/>
  <c r="BA418" i="50" s="1"/>
  <c r="AU418" i="50"/>
  <c r="AV418" i="50" s="1"/>
  <c r="X200" i="50"/>
  <c r="X384" i="50" s="1"/>
  <c r="AZ502" i="50"/>
  <c r="BA502" i="50" s="1"/>
  <c r="AU502" i="50"/>
  <c r="AV502" i="50" s="1"/>
  <c r="AI156" i="50"/>
  <c r="AJ156" i="50" s="1"/>
  <c r="AN156" i="50"/>
  <c r="AN290" i="50"/>
  <c r="AI290" i="50"/>
  <c r="AJ290" i="50" s="1"/>
  <c r="AN25" i="50"/>
  <c r="AI25" i="50"/>
  <c r="AJ25" i="50" s="1"/>
  <c r="AH215" i="50"/>
  <c r="AC215" i="50"/>
  <c r="AD215" i="50" s="1"/>
  <c r="AN476" i="50"/>
  <c r="AI476" i="50"/>
  <c r="AJ476" i="50" s="1"/>
  <c r="AZ499" i="50"/>
  <c r="BA499" i="50" s="1"/>
  <c r="AU499" i="50"/>
  <c r="AV499" i="50" s="1"/>
  <c r="AN64" i="50"/>
  <c r="AI64" i="50"/>
  <c r="AJ64" i="50" s="1"/>
  <c r="AN162" i="50"/>
  <c r="AI162" i="50"/>
  <c r="AJ162" i="50" s="1"/>
  <c r="AN293" i="50"/>
  <c r="AI293" i="50"/>
  <c r="AJ293" i="50" s="1"/>
  <c r="AN147" i="50"/>
  <c r="AI147" i="50"/>
  <c r="AJ147" i="50" s="1"/>
  <c r="V557" i="50"/>
  <c r="AB453" i="50"/>
  <c r="W453" i="50"/>
  <c r="AH216" i="50"/>
  <c r="AC216" i="50"/>
  <c r="AD216" i="50" s="1"/>
  <c r="AH253" i="50"/>
  <c r="AC253" i="50"/>
  <c r="AD253" i="50" s="1"/>
  <c r="AT47" i="50"/>
  <c r="AO47" i="50"/>
  <c r="AP47" i="50" s="1"/>
  <c r="AN146" i="50"/>
  <c r="AI146" i="50"/>
  <c r="AJ146" i="50" s="1"/>
  <c r="AH407" i="50"/>
  <c r="AC407" i="50"/>
  <c r="AD407" i="50" s="1"/>
  <c r="AZ172" i="50"/>
  <c r="BA172" i="50" s="1"/>
  <c r="AU172" i="50"/>
  <c r="AV172" i="50" s="1"/>
  <c r="AN24" i="50"/>
  <c r="AI24" i="50"/>
  <c r="AJ24" i="50" s="1"/>
  <c r="AH566" i="50"/>
  <c r="AC566" i="50"/>
  <c r="AD566" i="50" s="1"/>
  <c r="AC287" i="50"/>
  <c r="AD287" i="50" s="1"/>
  <c r="AH287" i="50"/>
  <c r="AT165" i="50"/>
  <c r="AO165" i="50"/>
  <c r="AP165" i="50" s="1"/>
  <c r="AH564" i="50"/>
  <c r="AC564" i="50"/>
  <c r="AD564" i="50" s="1"/>
  <c r="AN37" i="50"/>
  <c r="AI37" i="50"/>
  <c r="AJ37" i="50" s="1"/>
  <c r="AN568" i="50"/>
  <c r="AI568" i="50"/>
  <c r="AJ568" i="50" s="1"/>
  <c r="AT67" i="50"/>
  <c r="AO67" i="50"/>
  <c r="AP67" i="50" s="1"/>
  <c r="AN152" i="50"/>
  <c r="AI152" i="50"/>
  <c r="AJ152" i="50" s="1"/>
  <c r="AI301" i="50"/>
  <c r="AJ301" i="50" s="1"/>
  <c r="AN301" i="50"/>
  <c r="AN478" i="50"/>
  <c r="AI478" i="50"/>
  <c r="AJ478" i="50" s="1"/>
  <c r="AH228" i="50"/>
  <c r="AC228" i="50"/>
  <c r="AD228" i="50" s="1"/>
  <c r="AN272" i="50"/>
  <c r="AI272" i="50"/>
  <c r="AJ272" i="50" s="1"/>
  <c r="AN455" i="50"/>
  <c r="AI455" i="50"/>
  <c r="AJ455" i="50" s="1"/>
  <c r="AZ504" i="50"/>
  <c r="BA504" i="50" s="1"/>
  <c r="AU504" i="50"/>
  <c r="AV504" i="50" s="1"/>
  <c r="Q618" i="50"/>
  <c r="AY381" i="50"/>
  <c r="AZ381" i="50" s="1"/>
  <c r="BA381" i="50" s="1"/>
  <c r="C382" i="50"/>
  <c r="AY382" i="50" s="1"/>
  <c r="AZ382" i="50" s="1"/>
  <c r="BA382" i="50" s="1"/>
  <c r="AZ501" i="50"/>
  <c r="BA501" i="50" s="1"/>
  <c r="AU501" i="50"/>
  <c r="AV501" i="50" s="1"/>
  <c r="AT18" i="50"/>
  <c r="AO18" i="50"/>
  <c r="AP18" i="50" s="1"/>
  <c r="AH473" i="50"/>
  <c r="AC473" i="50"/>
  <c r="AD473" i="50" s="1"/>
  <c r="AH73" i="50"/>
  <c r="AC73" i="50"/>
  <c r="AD73" i="50" s="1"/>
  <c r="AN232" i="50"/>
  <c r="AI232" i="50"/>
  <c r="AJ232" i="50" s="1"/>
  <c r="AH166" i="50"/>
  <c r="AC166" i="50"/>
  <c r="AD166" i="50" s="1"/>
  <c r="AH466" i="50"/>
  <c r="AC466" i="50"/>
  <c r="AD466" i="50" s="1"/>
  <c r="AN222" i="50"/>
  <c r="AI222" i="50"/>
  <c r="AJ222" i="50" s="1"/>
  <c r="AN61" i="50"/>
  <c r="AI61" i="50"/>
  <c r="AJ61" i="50" s="1"/>
  <c r="AN472" i="50"/>
  <c r="AI472" i="50"/>
  <c r="AJ472" i="50" s="1"/>
  <c r="AT20" i="50"/>
  <c r="AO20" i="50"/>
  <c r="AP20" i="50" s="1"/>
  <c r="AB510" i="50"/>
  <c r="W510" i="50"/>
  <c r="X510" i="50" s="1"/>
  <c r="AH273" i="50"/>
  <c r="AC273" i="50"/>
  <c r="AD273" i="50" s="1"/>
  <c r="AT306" i="50"/>
  <c r="AO306" i="50"/>
  <c r="AP306" i="50" s="1"/>
  <c r="AZ14" i="50"/>
  <c r="BF14" i="50" s="1"/>
  <c r="BA5" i="50"/>
  <c r="BA14" i="50" s="1"/>
  <c r="AZ507" i="50"/>
  <c r="BA507" i="50" s="1"/>
  <c r="AU507" i="50"/>
  <c r="AV507" i="50" s="1"/>
  <c r="AT567" i="50"/>
  <c r="AO567" i="50"/>
  <c r="AP567" i="50" s="1"/>
  <c r="AH260" i="50"/>
  <c r="AC260" i="50"/>
  <c r="AD260" i="50" s="1"/>
  <c r="AZ313" i="50"/>
  <c r="BA313" i="50" s="1"/>
  <c r="AU313" i="50"/>
  <c r="AV313" i="50" s="1"/>
  <c r="AH137" i="50"/>
  <c r="AC137" i="50"/>
  <c r="AD137" i="50" s="1"/>
  <c r="AT489" i="50"/>
  <c r="AO489" i="50"/>
  <c r="AP489" i="50" s="1"/>
  <c r="AN261" i="50"/>
  <c r="AI261" i="50"/>
  <c r="AJ261" i="50" s="1"/>
  <c r="AT78" i="50"/>
  <c r="AO78" i="50"/>
  <c r="AP78" i="50" s="1"/>
  <c r="AB14" i="50"/>
  <c r="AH5" i="50"/>
  <c r="AC5" i="50"/>
  <c r="AU307" i="50"/>
  <c r="AV307" i="50" s="1"/>
  <c r="AZ307" i="50"/>
  <c r="BA307" i="50" s="1"/>
  <c r="AH50" i="50"/>
  <c r="AC50" i="50"/>
  <c r="AD50" i="50" s="1"/>
  <c r="AC136" i="50"/>
  <c r="AD136" i="50" s="1"/>
  <c r="AH136" i="50"/>
  <c r="AZ420" i="50"/>
  <c r="BA420" i="50" s="1"/>
  <c r="AU420" i="50"/>
  <c r="AV420" i="50" s="1"/>
  <c r="AI213" i="50"/>
  <c r="AJ213" i="50" s="1"/>
  <c r="AN213" i="50"/>
  <c r="AN406" i="50"/>
  <c r="AI406" i="50"/>
  <c r="AJ406" i="50" s="1"/>
  <c r="W202" i="50"/>
  <c r="X202" i="50" s="1"/>
  <c r="AB202" i="50"/>
  <c r="AN256" i="50"/>
  <c r="AI256" i="50"/>
  <c r="AJ256" i="50" s="1"/>
  <c r="AT415" i="50"/>
  <c r="AO415" i="50"/>
  <c r="AP415" i="50" s="1"/>
  <c r="AN39" i="50"/>
  <c r="AI39" i="50"/>
  <c r="AJ39" i="50" s="1"/>
  <c r="AN390" i="50"/>
  <c r="AI390" i="50"/>
  <c r="AJ390" i="50" s="1"/>
  <c r="AC49" i="50"/>
  <c r="AD49" i="50" s="1"/>
  <c r="AH49" i="50"/>
  <c r="AN155" i="50"/>
  <c r="AI155" i="50"/>
  <c r="AJ155" i="50" s="1"/>
  <c r="AT157" i="50"/>
  <c r="AO157" i="50"/>
  <c r="AP157" i="50" s="1"/>
  <c r="AZ79" i="50"/>
  <c r="BA79" i="50" s="1"/>
  <c r="AU79" i="50"/>
  <c r="AV79" i="50" s="1"/>
  <c r="AN60" i="50"/>
  <c r="AI60" i="50"/>
  <c r="AJ60" i="50" s="1"/>
  <c r="AI46" i="50"/>
  <c r="AJ46" i="50" s="1"/>
  <c r="AN46" i="50"/>
  <c r="AN465" i="50"/>
  <c r="AI465" i="50"/>
  <c r="AJ465" i="50" s="1"/>
  <c r="AH283" i="50"/>
  <c r="AC283" i="50"/>
  <c r="AD283" i="50" s="1"/>
  <c r="AH265" i="50"/>
  <c r="AC265" i="50"/>
  <c r="AD265" i="50" s="1"/>
  <c r="AN30" i="50"/>
  <c r="AI30" i="50"/>
  <c r="AJ30" i="50" s="1"/>
  <c r="AT239" i="50"/>
  <c r="AO239" i="50"/>
  <c r="AP239" i="50" s="1"/>
  <c r="AH482" i="50"/>
  <c r="AC482" i="50"/>
  <c r="AD482" i="50" s="1"/>
  <c r="AZ170" i="50"/>
  <c r="BA170" i="50" s="1"/>
  <c r="AU170" i="50"/>
  <c r="AV170" i="50" s="1"/>
  <c r="AT471" i="50"/>
  <c r="AO471" i="50"/>
  <c r="AP471" i="50" s="1"/>
  <c r="AI456" i="50"/>
  <c r="AJ456" i="50" s="1"/>
  <c r="AN456" i="50"/>
  <c r="AH391" i="50"/>
  <c r="AC391" i="50"/>
  <c r="AD391" i="50" s="1"/>
  <c r="AH42" i="50"/>
  <c r="AC42" i="50"/>
  <c r="AD42" i="50" s="1"/>
  <c r="AH214" i="50"/>
  <c r="AC214" i="50"/>
  <c r="AD214" i="50" s="1"/>
  <c r="AN143" i="50"/>
  <c r="AI143" i="50"/>
  <c r="AJ143" i="50" s="1"/>
  <c r="AN57" i="50"/>
  <c r="AI57" i="50"/>
  <c r="AJ57" i="50" s="1"/>
  <c r="AN458" i="50"/>
  <c r="AI458" i="50"/>
  <c r="AJ458" i="50" s="1"/>
  <c r="AH262" i="50"/>
  <c r="AC262" i="50"/>
  <c r="AD262" i="50" s="1"/>
  <c r="AH402" i="50"/>
  <c r="AC402" i="50"/>
  <c r="AD402" i="50" s="1"/>
  <c r="AN463" i="50"/>
  <c r="AI463" i="50"/>
  <c r="AJ463" i="50" s="1"/>
  <c r="AN63" i="50"/>
  <c r="AI63" i="50"/>
  <c r="AJ63" i="50" s="1"/>
  <c r="AN41" i="50"/>
  <c r="AI41" i="50"/>
  <c r="AJ41" i="50" s="1"/>
  <c r="AT492" i="50"/>
  <c r="AO492" i="50"/>
  <c r="AP492" i="50" s="1"/>
  <c r="AO483" i="50"/>
  <c r="AP483" i="50" s="1"/>
  <c r="AT483" i="50"/>
  <c r="AN225" i="50"/>
  <c r="AI225" i="50"/>
  <c r="AJ225" i="50" s="1"/>
  <c r="AN302" i="50"/>
  <c r="AI302" i="50"/>
  <c r="AJ302" i="50" s="1"/>
  <c r="AT45" i="50"/>
  <c r="AO45" i="50"/>
  <c r="AP45" i="50" s="1"/>
  <c r="AN150" i="50"/>
  <c r="AI150" i="50"/>
  <c r="AJ150" i="50" s="1"/>
  <c r="AN70" i="50"/>
  <c r="AI70" i="50"/>
  <c r="AJ70" i="50" s="1"/>
  <c r="AZ84" i="50"/>
  <c r="BA84" i="50" s="1"/>
  <c r="AU84" i="50"/>
  <c r="AV84" i="50" s="1"/>
  <c r="V132" i="50"/>
  <c r="V1" i="50" s="1"/>
  <c r="AB16" i="50"/>
  <c r="W16" i="50"/>
  <c r="AN51" i="50"/>
  <c r="AI51" i="50"/>
  <c r="AJ51" i="50" s="1"/>
  <c r="AN457" i="50"/>
  <c r="AI457" i="50"/>
  <c r="AJ457" i="50" s="1"/>
  <c r="AT403" i="50"/>
  <c r="AO403" i="50"/>
  <c r="AP403" i="50" s="1"/>
  <c r="AH280" i="50"/>
  <c r="AC280" i="50"/>
  <c r="AD280" i="50" s="1"/>
  <c r="W14" i="50"/>
  <c r="X5" i="50"/>
  <c r="X14" i="50" s="1"/>
  <c r="AN32" i="50"/>
  <c r="AI32" i="50"/>
  <c r="AJ32" i="50" s="1"/>
  <c r="AN251" i="50"/>
  <c r="AI251" i="50"/>
  <c r="AJ251" i="50" s="1"/>
  <c r="AH475" i="50"/>
  <c r="AC475" i="50"/>
  <c r="AD475" i="50" s="1"/>
  <c r="AI244" i="50"/>
  <c r="AJ244" i="50" s="1"/>
  <c r="AN244" i="50"/>
  <c r="AH470" i="50"/>
  <c r="AC470" i="50"/>
  <c r="AD470" i="50" s="1"/>
  <c r="AZ87" i="50"/>
  <c r="BA87" i="50" s="1"/>
  <c r="AU87" i="50"/>
  <c r="AV87" i="50" s="1"/>
  <c r="AN467" i="50"/>
  <c r="AI467" i="50"/>
  <c r="AJ467" i="50" s="1"/>
  <c r="AN66" i="50"/>
  <c r="AI66" i="50"/>
  <c r="AJ66" i="50" s="1"/>
  <c r="AC468" i="50"/>
  <c r="AD468" i="50" s="1"/>
  <c r="AH468" i="50"/>
  <c r="AN207" i="50"/>
  <c r="AI207" i="50"/>
  <c r="AJ207" i="50" s="1"/>
  <c r="R384" i="50"/>
  <c r="AH570" i="50"/>
  <c r="AC570" i="50"/>
  <c r="AD570" i="50" s="1"/>
  <c r="AZ83" i="50"/>
  <c r="BA83" i="50" s="1"/>
  <c r="AU83" i="50"/>
  <c r="AV83" i="50" s="1"/>
  <c r="AH237" i="50"/>
  <c r="AC237" i="50"/>
  <c r="AD237" i="50" s="1"/>
  <c r="AN238" i="50"/>
  <c r="AI238" i="50"/>
  <c r="AJ238" i="50" s="1"/>
  <c r="AI142" i="50"/>
  <c r="AJ142" i="50" s="1"/>
  <c r="AN142" i="50"/>
  <c r="AN230" i="50"/>
  <c r="AI230" i="50"/>
  <c r="AJ230" i="50" s="1"/>
  <c r="AH462" i="50"/>
  <c r="AC462" i="50"/>
  <c r="AD462" i="50" s="1"/>
  <c r="AT226" i="50"/>
  <c r="AO226" i="50"/>
  <c r="AP226" i="50" s="1"/>
  <c r="AZ31" i="50"/>
  <c r="BA31" i="50" s="1"/>
  <c r="AU31" i="50"/>
  <c r="AV31" i="50" s="1"/>
  <c r="AC204" i="50"/>
  <c r="AD204" i="50" s="1"/>
  <c r="AH204" i="50"/>
  <c r="AN490" i="50"/>
  <c r="AI490" i="50"/>
  <c r="AJ490" i="50" s="1"/>
  <c r="AN153" i="50"/>
  <c r="AI153" i="50"/>
  <c r="AJ153" i="50" s="1"/>
  <c r="AU498" i="50"/>
  <c r="AV498" i="50" s="1"/>
  <c r="AZ498" i="50"/>
  <c r="BA498" i="50" s="1"/>
  <c r="AH485" i="50"/>
  <c r="AC485" i="50"/>
  <c r="AD485" i="50" s="1"/>
  <c r="AN163" i="50"/>
  <c r="AI163" i="50"/>
  <c r="AJ163" i="50" s="1"/>
  <c r="AN44" i="50"/>
  <c r="AI44" i="50"/>
  <c r="AJ44" i="50" s="1"/>
  <c r="AT88" i="50"/>
  <c r="AO88" i="50"/>
  <c r="AP88" i="50" s="1"/>
  <c r="AH149" i="50"/>
  <c r="AC149" i="50"/>
  <c r="AD149" i="50" s="1"/>
  <c r="AH209" i="50"/>
  <c r="AC209" i="50"/>
  <c r="AD209" i="50" s="1"/>
  <c r="Q451" i="50"/>
  <c r="R386" i="50"/>
  <c r="R451" i="50" s="1"/>
  <c r="AN398" i="50"/>
  <c r="AI398" i="50"/>
  <c r="AJ398" i="50" s="1"/>
  <c r="AT491" i="50"/>
  <c r="AO491" i="50"/>
  <c r="AP491" i="50" s="1"/>
  <c r="AO493" i="50"/>
  <c r="AP493" i="50" s="1"/>
  <c r="AT493" i="50"/>
  <c r="AN168" i="50"/>
  <c r="AI168" i="50"/>
  <c r="AJ168" i="50" s="1"/>
  <c r="AT308" i="50"/>
  <c r="AO308" i="50"/>
  <c r="AP308" i="50" s="1"/>
  <c r="AH394" i="50"/>
  <c r="AC394" i="50"/>
  <c r="AD394" i="50" s="1"/>
  <c r="AN245" i="50"/>
  <c r="AI245" i="50"/>
  <c r="AJ245" i="50" s="1"/>
  <c r="AH257" i="50"/>
  <c r="AC257" i="50"/>
  <c r="AD257" i="50" s="1"/>
  <c r="AN74" i="50"/>
  <c r="AI74" i="50"/>
  <c r="AJ74" i="50" s="1"/>
  <c r="AN388" i="50"/>
  <c r="AI388" i="50"/>
  <c r="AJ388" i="50" s="1"/>
  <c r="AT496" i="50"/>
  <c r="AO496" i="50"/>
  <c r="AP496" i="50" s="1"/>
  <c r="AN233" i="50"/>
  <c r="AI233" i="50"/>
  <c r="AJ233" i="50" s="1"/>
  <c r="AN33" i="50"/>
  <c r="AI33" i="50"/>
  <c r="AJ33" i="50" s="1"/>
  <c r="AZ495" i="50"/>
  <c r="BA495" i="50" s="1"/>
  <c r="AU495" i="50"/>
  <c r="AV495" i="50" s="1"/>
  <c r="AO138" i="50"/>
  <c r="AP138" i="50" s="1"/>
  <c r="AT138" i="50"/>
  <c r="AN224" i="50"/>
  <c r="AI224" i="50"/>
  <c r="AJ224" i="50" s="1"/>
  <c r="AH275" i="50"/>
  <c r="AC275" i="50"/>
  <c r="AD275" i="50" s="1"/>
  <c r="AN40" i="50"/>
  <c r="AI40" i="50"/>
  <c r="AJ40" i="50" s="1"/>
  <c r="AN259" i="50"/>
  <c r="AI259" i="50"/>
  <c r="AJ259" i="50" s="1"/>
  <c r="AN38" i="50"/>
  <c r="AI38" i="50"/>
  <c r="AJ38" i="50" s="1"/>
  <c r="AN43" i="50"/>
  <c r="AI43" i="50"/>
  <c r="AJ43" i="50" s="1"/>
  <c r="AN27" i="50"/>
  <c r="AI27" i="50"/>
  <c r="AJ27" i="50" s="1"/>
  <c r="AT22" i="50"/>
  <c r="AO22" i="50"/>
  <c r="AP22" i="50" s="1"/>
  <c r="AH317" i="50"/>
  <c r="AC317" i="50"/>
  <c r="AD317" i="50" s="1"/>
  <c r="Q384" i="50"/>
  <c r="AN296" i="50"/>
  <c r="AI296" i="50"/>
  <c r="AJ296" i="50" s="1"/>
  <c r="AN28" i="50"/>
  <c r="AI28" i="50"/>
  <c r="AJ28" i="50" s="1"/>
  <c r="AN140" i="50"/>
  <c r="AI140" i="50"/>
  <c r="AJ140" i="50" s="1"/>
  <c r="AN246" i="50"/>
  <c r="AI246" i="50"/>
  <c r="AJ246" i="50" s="1"/>
  <c r="AN139" i="50"/>
  <c r="AI139" i="50"/>
  <c r="AJ139" i="50" s="1"/>
  <c r="AN19" i="50"/>
  <c r="AI19" i="50"/>
  <c r="AJ19" i="50" s="1"/>
  <c r="AH69" i="50"/>
  <c r="AC69" i="50"/>
  <c r="AD69" i="50" s="1"/>
  <c r="AH288" i="50"/>
  <c r="AC288" i="50"/>
  <c r="AD288" i="50" s="1"/>
  <c r="I593" i="50"/>
  <c r="I595" i="50" s="1"/>
  <c r="AT315" i="50"/>
  <c r="AO315" i="50"/>
  <c r="AP315" i="50" s="1"/>
  <c r="AH235" i="50"/>
  <c r="AC235" i="50"/>
  <c r="AD235" i="50" s="1"/>
  <c r="AN399" i="50"/>
  <c r="AI399" i="50"/>
  <c r="AJ399" i="50" s="1"/>
  <c r="AT242" i="50"/>
  <c r="AO242" i="50"/>
  <c r="AP242" i="50" s="1"/>
  <c r="AT422" i="50"/>
  <c r="AO422" i="50"/>
  <c r="AP422" i="50" s="1"/>
  <c r="AT487" i="50"/>
  <c r="AO487" i="50"/>
  <c r="AP487" i="50" s="1"/>
  <c r="AN48" i="50"/>
  <c r="AI48" i="50"/>
  <c r="AJ48" i="50" s="1"/>
  <c r="AN154" i="50"/>
  <c r="AI154" i="50"/>
  <c r="AJ154" i="50" s="1"/>
  <c r="AH255" i="50"/>
  <c r="AC255" i="50"/>
  <c r="AD255" i="50" s="1"/>
  <c r="AN36" i="50"/>
  <c r="AI36" i="50"/>
  <c r="AJ36" i="50" s="1"/>
  <c r="AH236" i="50"/>
  <c r="AC236" i="50"/>
  <c r="AD236" i="50" s="1"/>
  <c r="AT234" i="50"/>
  <c r="AO234" i="50"/>
  <c r="AP234" i="50" s="1"/>
  <c r="AN160" i="50"/>
  <c r="AI160" i="50"/>
  <c r="AJ160" i="50" s="1"/>
  <c r="V451" i="50"/>
  <c r="AB386" i="50"/>
  <c r="W386" i="50"/>
  <c r="Q579" i="50"/>
  <c r="R563" i="50"/>
  <c r="R579" i="50" s="1"/>
  <c r="AT494" i="50"/>
  <c r="AO494" i="50"/>
  <c r="AP494" i="50" s="1"/>
  <c r="AH486" i="50"/>
  <c r="AC486" i="50"/>
  <c r="AD486" i="50" s="1"/>
  <c r="AH71" i="50"/>
  <c r="AC71" i="50"/>
  <c r="AD71" i="50" s="1"/>
  <c r="AB135" i="50"/>
  <c r="V198" i="50"/>
  <c r="W135" i="50"/>
  <c r="AN509" i="50"/>
  <c r="AI509" i="50"/>
  <c r="AJ509" i="50" s="1"/>
  <c r="AH201" i="50"/>
  <c r="AC201" i="50"/>
  <c r="AD201" i="50" s="1"/>
  <c r="AH269" i="50"/>
  <c r="AC269" i="50"/>
  <c r="AD269" i="50" s="1"/>
  <c r="AN252" i="50"/>
  <c r="AI252" i="50"/>
  <c r="AJ252" i="50" s="1"/>
  <c r="AN161" i="50"/>
  <c r="AI161" i="50"/>
  <c r="AJ161" i="50" s="1"/>
  <c r="AH277" i="50"/>
  <c r="AC277" i="50"/>
  <c r="AD277" i="50" s="1"/>
  <c r="AH167" i="50"/>
  <c r="AC167" i="50"/>
  <c r="AD167" i="50" s="1"/>
  <c r="AN55" i="50"/>
  <c r="AI55" i="50"/>
  <c r="AJ55" i="50" s="1"/>
  <c r="AH249" i="50"/>
  <c r="AC249" i="50"/>
  <c r="AD249" i="50" s="1"/>
  <c r="AT285" i="50"/>
  <c r="AO285" i="50"/>
  <c r="AP285" i="50" s="1"/>
  <c r="AH460" i="50"/>
  <c r="AC460" i="50"/>
  <c r="AD460" i="50" s="1"/>
  <c r="AN141" i="50"/>
  <c r="AI141" i="50"/>
  <c r="AJ141" i="50" s="1"/>
  <c r="AN258" i="50"/>
  <c r="AI258" i="50"/>
  <c r="AJ258" i="50" s="1"/>
  <c r="AN247" i="50"/>
  <c r="AI247" i="50"/>
  <c r="AJ247" i="50" s="1"/>
  <c r="AH392" i="50"/>
  <c r="AC392" i="50"/>
  <c r="AD392" i="50" s="1"/>
  <c r="AN72" i="50"/>
  <c r="AI72" i="50"/>
  <c r="AJ72" i="50" s="1"/>
  <c r="AH231" i="50"/>
  <c r="AC231" i="50"/>
  <c r="AD231" i="50" s="1"/>
  <c r="AT300" i="50"/>
  <c r="AO300" i="50"/>
  <c r="AP300" i="50" s="1"/>
  <c r="AT90" i="50"/>
  <c r="AO90" i="50"/>
  <c r="AP90" i="50" s="1"/>
  <c r="AN218" i="50"/>
  <c r="AI218" i="50"/>
  <c r="AJ218" i="50" s="1"/>
  <c r="AT304" i="50"/>
  <c r="AO304" i="50"/>
  <c r="AP304" i="50" s="1"/>
  <c r="AN298" i="50"/>
  <c r="AI298" i="50"/>
  <c r="AJ298" i="50" s="1"/>
  <c r="AT400" i="50"/>
  <c r="AO400" i="50"/>
  <c r="AP400" i="50" s="1"/>
  <c r="AT488" i="50"/>
  <c r="AO488" i="50"/>
  <c r="AP488" i="50" s="1"/>
  <c r="AN461" i="50"/>
  <c r="AI461" i="50"/>
  <c r="AJ461" i="50" s="1"/>
  <c r="AI144" i="50"/>
  <c r="AJ144" i="50" s="1"/>
  <c r="AN144" i="50"/>
  <c r="AN250" i="50"/>
  <c r="AI250" i="50"/>
  <c r="AJ250" i="50" s="1"/>
  <c r="AN294" i="50"/>
  <c r="AI294" i="50"/>
  <c r="AJ294" i="50" s="1"/>
  <c r="AC59" i="50"/>
  <c r="AD59" i="50" s="1"/>
  <c r="AH59" i="50"/>
  <c r="AH561" i="50"/>
  <c r="AN559" i="50"/>
  <c r="AI559" i="50"/>
  <c r="AN240" i="50"/>
  <c r="AI240" i="50"/>
  <c r="AJ240" i="50" s="1"/>
  <c r="AN243" i="50"/>
  <c r="AI243" i="50"/>
  <c r="AJ243" i="50" s="1"/>
  <c r="AN21" i="50"/>
  <c r="AI21" i="50"/>
  <c r="AJ21" i="50" s="1"/>
  <c r="AN464" i="50"/>
  <c r="AI464" i="50"/>
  <c r="AJ464" i="50" s="1"/>
  <c r="AH206" i="50"/>
  <c r="AC206" i="50"/>
  <c r="AD206" i="50" s="1"/>
  <c r="AN205" i="50"/>
  <c r="AI205" i="50"/>
  <c r="AJ205" i="50" s="1"/>
  <c r="Q198" i="50"/>
  <c r="R135" i="50"/>
  <c r="R198" i="50" s="1"/>
  <c r="AC212" i="50"/>
  <c r="AD212" i="50" s="1"/>
  <c r="AH212" i="50"/>
  <c r="AT297" i="50"/>
  <c r="AO297" i="50"/>
  <c r="AP297" i="50" s="1"/>
  <c r="AH56" i="50"/>
  <c r="AC56" i="50"/>
  <c r="AD56" i="50" s="1"/>
  <c r="AT211" i="50"/>
  <c r="AO211" i="50"/>
  <c r="AP211" i="50" s="1"/>
  <c r="AZ29" i="50"/>
  <c r="BA29" i="50" s="1"/>
  <c r="AU29" i="50"/>
  <c r="AV29" i="50" s="1"/>
  <c r="AH68" i="50"/>
  <c r="AC68" i="50"/>
  <c r="AD68" i="50" s="1"/>
  <c r="AT268" i="50"/>
  <c r="AO268" i="50"/>
  <c r="AP268" i="50" s="1"/>
  <c r="AH565" i="50"/>
  <c r="AC565" i="50"/>
  <c r="AD565" i="50" s="1"/>
  <c r="AN148" i="50"/>
  <c r="AI148" i="50"/>
  <c r="AJ148" i="50" s="1"/>
  <c r="AN203" i="50"/>
  <c r="AI203" i="50"/>
  <c r="AJ203" i="50" s="1"/>
  <c r="AH270" i="50"/>
  <c r="AC270" i="50"/>
  <c r="AD270" i="50" s="1"/>
  <c r="AZ572" i="50"/>
  <c r="BA572" i="50" s="1"/>
  <c r="AU572" i="50"/>
  <c r="AV572" i="50" s="1"/>
  <c r="AN58" i="50"/>
  <c r="AI58" i="50"/>
  <c r="AJ58" i="50" s="1"/>
  <c r="AZ89" i="50"/>
  <c r="BA89" i="50" s="1"/>
  <c r="AU89" i="50"/>
  <c r="AV89" i="50" s="1"/>
  <c r="AH282" i="50"/>
  <c r="AC282" i="50"/>
  <c r="AD282" i="50" s="1"/>
  <c r="AH276" i="50"/>
  <c r="AC276" i="50"/>
  <c r="AD276" i="50" s="1"/>
  <c r="AZ91" i="50"/>
  <c r="BA91" i="50" s="1"/>
  <c r="AU91" i="50"/>
  <c r="AV91" i="50" s="1"/>
  <c r="AN241" i="50"/>
  <c r="AI241" i="50"/>
  <c r="AJ241" i="50" s="1"/>
  <c r="AN65" i="50"/>
  <c r="AI65" i="50"/>
  <c r="AJ65" i="50" s="1"/>
  <c r="AN17" i="50"/>
  <c r="AI17" i="50"/>
  <c r="AJ17" i="50" s="1"/>
  <c r="AT77" i="50"/>
  <c r="AO77" i="50"/>
  <c r="AP77" i="50" s="1"/>
  <c r="AZ303" i="50"/>
  <c r="BA303" i="50" s="1"/>
  <c r="AU303" i="50"/>
  <c r="AV303" i="50" s="1"/>
  <c r="AN267" i="50"/>
  <c r="AI267" i="50"/>
  <c r="AJ267" i="50" s="1"/>
  <c r="AN254" i="50"/>
  <c r="AI254" i="50"/>
  <c r="AJ254" i="50" s="1"/>
  <c r="F290" i="18"/>
  <c r="B287" i="18" s="1"/>
  <c r="B289" i="18" s="1"/>
  <c r="B43" i="10" s="1"/>
  <c r="G290" i="18"/>
  <c r="B281" i="18"/>
  <c r="B312" i="18"/>
  <c r="B44" i="10"/>
  <c r="B344" i="18"/>
  <c r="B343" i="18"/>
  <c r="B49" i="10"/>
  <c r="B364" i="18"/>
  <c r="B332" i="18"/>
  <c r="B331" i="18"/>
  <c r="B330" i="18"/>
  <c r="B295" i="18"/>
  <c r="B326" i="18"/>
  <c r="B363" i="18"/>
  <c r="B68" i="10"/>
  <c r="B42" i="10"/>
  <c r="B334" i="18"/>
  <c r="B348" i="18"/>
  <c r="B372" i="18"/>
  <c r="B371" i="18"/>
  <c r="B370" i="18"/>
  <c r="B322" i="18"/>
  <c r="B321" i="18"/>
  <c r="B362" i="18"/>
  <c r="B327" i="18"/>
  <c r="B296" i="18"/>
  <c r="B282" i="18"/>
  <c r="B66" i="10"/>
  <c r="B65" i="10"/>
  <c r="B64" i="10"/>
  <c r="B319" i="18"/>
  <c r="B311" i="18"/>
  <c r="B54" i="10"/>
  <c r="B58" i="10"/>
  <c r="B50" i="10"/>
  <c r="B48" i="10"/>
  <c r="B342" i="18"/>
  <c r="B340" i="18"/>
  <c r="B310" i="18"/>
  <c r="B309" i="18"/>
  <c r="B329" i="18"/>
  <c r="B61" i="10"/>
  <c r="B308" i="18"/>
  <c r="B369" i="18"/>
  <c r="B96" i="10"/>
  <c r="B98" i="10" s="1"/>
  <c r="B63" i="10" s="1"/>
  <c r="B56" i="10"/>
  <c r="B47" i="10"/>
  <c r="B365" i="18"/>
  <c r="B294" i="18"/>
  <c r="AU297" i="50" l="1"/>
  <c r="AV297" i="50" s="1"/>
  <c r="AZ297" i="50"/>
  <c r="BA297" i="50" s="1"/>
  <c r="AT296" i="50"/>
  <c r="AO296" i="50"/>
  <c r="AP296" i="50" s="1"/>
  <c r="AZ77" i="50"/>
  <c r="BA77" i="50" s="1"/>
  <c r="AU77" i="50"/>
  <c r="AV77" i="50" s="1"/>
  <c r="AT144" i="50"/>
  <c r="AO144" i="50"/>
  <c r="AP144" i="50" s="1"/>
  <c r="AO48" i="50"/>
  <c r="AP48" i="50" s="1"/>
  <c r="AT48" i="50"/>
  <c r="AN288" i="50"/>
  <c r="AI288" i="50"/>
  <c r="AJ288" i="50" s="1"/>
  <c r="AZ308" i="50"/>
  <c r="BA308" i="50" s="1"/>
  <c r="AU308" i="50"/>
  <c r="AV308" i="50" s="1"/>
  <c r="AT398" i="50"/>
  <c r="AO398" i="50"/>
  <c r="AP398" i="50" s="1"/>
  <c r="AZ88" i="50"/>
  <c r="BA88" i="50" s="1"/>
  <c r="AU88" i="50"/>
  <c r="AV88" i="50" s="1"/>
  <c r="AT142" i="50"/>
  <c r="AO142" i="50"/>
  <c r="AP142" i="50" s="1"/>
  <c r="AO66" i="50"/>
  <c r="AP66" i="50" s="1"/>
  <c r="AT66" i="50"/>
  <c r="AT32" i="50"/>
  <c r="AO32" i="50"/>
  <c r="AP32" i="50" s="1"/>
  <c r="AZ239" i="50"/>
  <c r="BA239" i="50" s="1"/>
  <c r="AU239" i="50"/>
  <c r="AV239" i="50" s="1"/>
  <c r="AZ157" i="50"/>
  <c r="BA157" i="50" s="1"/>
  <c r="AU157" i="50"/>
  <c r="AV157" i="50" s="1"/>
  <c r="AT406" i="50"/>
  <c r="AO406" i="50"/>
  <c r="AP406" i="50" s="1"/>
  <c r="AN50" i="50"/>
  <c r="AI50" i="50"/>
  <c r="AJ50" i="50" s="1"/>
  <c r="AU78" i="50"/>
  <c r="AV78" i="50" s="1"/>
  <c r="AZ78" i="50"/>
  <c r="BA78" i="50" s="1"/>
  <c r="AN564" i="50"/>
  <c r="AI564" i="50"/>
  <c r="AJ564" i="50" s="1"/>
  <c r="AT64" i="50"/>
  <c r="AO64" i="50"/>
  <c r="AP64" i="50" s="1"/>
  <c r="AT25" i="50"/>
  <c r="AO25" i="50"/>
  <c r="AP25" i="50" s="1"/>
  <c r="AN286" i="50"/>
  <c r="AI286" i="50"/>
  <c r="AJ286" i="50" s="1"/>
  <c r="AN405" i="50"/>
  <c r="AI405" i="50"/>
  <c r="AJ405" i="50" s="1"/>
  <c r="AT389" i="50"/>
  <c r="AO389" i="50"/>
  <c r="AP389" i="50" s="1"/>
  <c r="AT145" i="50"/>
  <c r="AO145" i="50"/>
  <c r="AP145" i="50" s="1"/>
  <c r="AZ284" i="50"/>
  <c r="BA284" i="50" s="1"/>
  <c r="AU284" i="50"/>
  <c r="AV284" i="50" s="1"/>
  <c r="AT298" i="50"/>
  <c r="AO298" i="50"/>
  <c r="AP298" i="50" s="1"/>
  <c r="AZ300" i="50"/>
  <c r="BA300" i="50" s="1"/>
  <c r="AU300" i="50"/>
  <c r="AV300" i="50" s="1"/>
  <c r="AT247" i="50"/>
  <c r="AO247" i="50"/>
  <c r="AP247" i="50" s="1"/>
  <c r="AZ285" i="50"/>
  <c r="BA285" i="50" s="1"/>
  <c r="AU285" i="50"/>
  <c r="AV285" i="50" s="1"/>
  <c r="AN277" i="50"/>
  <c r="AI277" i="50"/>
  <c r="AJ277" i="50" s="1"/>
  <c r="AN201" i="50"/>
  <c r="AI201" i="50"/>
  <c r="AJ201" i="50" s="1"/>
  <c r="AN71" i="50"/>
  <c r="AI71" i="50"/>
  <c r="AJ71" i="50" s="1"/>
  <c r="AB451" i="50"/>
  <c r="AH386" i="50"/>
  <c r="AC386" i="50"/>
  <c r="AN317" i="50"/>
  <c r="AI317" i="50"/>
  <c r="AJ317" i="50" s="1"/>
  <c r="AT38" i="50"/>
  <c r="AO38" i="50"/>
  <c r="AP38" i="50" s="1"/>
  <c r="AT224" i="50"/>
  <c r="AO224" i="50"/>
  <c r="AP224" i="50" s="1"/>
  <c r="AT233" i="50"/>
  <c r="AO233" i="50"/>
  <c r="AP233" i="50" s="1"/>
  <c r="AN570" i="50"/>
  <c r="AI570" i="50"/>
  <c r="AJ570" i="50" s="1"/>
  <c r="AO244" i="50"/>
  <c r="AP244" i="50" s="1"/>
  <c r="AT244" i="50"/>
  <c r="AT457" i="50"/>
  <c r="AO457" i="50"/>
  <c r="AP457" i="50" s="1"/>
  <c r="AT302" i="50"/>
  <c r="AO302" i="50"/>
  <c r="AP302" i="50" s="1"/>
  <c r="AT41" i="50"/>
  <c r="AO41" i="50"/>
  <c r="AP41" i="50" s="1"/>
  <c r="AI262" i="50"/>
  <c r="AJ262" i="50" s="1"/>
  <c r="AN262" i="50"/>
  <c r="AI214" i="50"/>
  <c r="AJ214" i="50" s="1"/>
  <c r="AN214" i="50"/>
  <c r="AZ471" i="50"/>
  <c r="BA471" i="50" s="1"/>
  <c r="AU471" i="50"/>
  <c r="AV471" i="50" s="1"/>
  <c r="AT46" i="50"/>
  <c r="AO46" i="50"/>
  <c r="AP46" i="50" s="1"/>
  <c r="AT213" i="50"/>
  <c r="AO213" i="50"/>
  <c r="AP213" i="50" s="1"/>
  <c r="AZ20" i="50"/>
  <c r="BA20" i="50" s="1"/>
  <c r="AU20" i="50"/>
  <c r="AV20" i="50" s="1"/>
  <c r="AN466" i="50"/>
  <c r="AI466" i="50"/>
  <c r="AJ466" i="50" s="1"/>
  <c r="AN473" i="50"/>
  <c r="AI473" i="50"/>
  <c r="AJ473" i="50" s="1"/>
  <c r="AN228" i="50"/>
  <c r="AI228" i="50"/>
  <c r="AJ228" i="50" s="1"/>
  <c r="W384" i="50"/>
  <c r="AD200" i="50"/>
  <c r="AN217" i="50"/>
  <c r="AI217" i="50"/>
  <c r="AJ217" i="50" s="1"/>
  <c r="AT295" i="50"/>
  <c r="AO295" i="50"/>
  <c r="AP295" i="50" s="1"/>
  <c r="W579" i="50"/>
  <c r="X563" i="50"/>
  <c r="X579" i="50" s="1"/>
  <c r="AN397" i="50"/>
  <c r="AI397" i="50"/>
  <c r="AJ397" i="50" s="1"/>
  <c r="AZ408" i="50"/>
  <c r="BA408" i="50" s="1"/>
  <c r="AU408" i="50"/>
  <c r="AV408" i="50" s="1"/>
  <c r="AT53" i="50"/>
  <c r="AO53" i="50"/>
  <c r="AP53" i="50" s="1"/>
  <c r="AZ234" i="50"/>
  <c r="BA234" i="50" s="1"/>
  <c r="AU234" i="50"/>
  <c r="AV234" i="50" s="1"/>
  <c r="AI470" i="50"/>
  <c r="AJ470" i="50" s="1"/>
  <c r="AN470" i="50"/>
  <c r="AT465" i="50"/>
  <c r="AO465" i="50"/>
  <c r="AP465" i="50" s="1"/>
  <c r="AT39" i="50"/>
  <c r="AO39" i="50"/>
  <c r="AP39" i="50" s="1"/>
  <c r="AT152" i="50"/>
  <c r="AO152" i="50"/>
  <c r="AP152" i="50" s="1"/>
  <c r="AT24" i="50"/>
  <c r="AO24" i="50"/>
  <c r="AP24" i="50" s="1"/>
  <c r="AU47" i="50"/>
  <c r="AV47" i="50" s="1"/>
  <c r="AZ47" i="50"/>
  <c r="BA47" i="50" s="1"/>
  <c r="AT274" i="50"/>
  <c r="AO274" i="50"/>
  <c r="AP274" i="50" s="1"/>
  <c r="AN264" i="50"/>
  <c r="AI264" i="50"/>
  <c r="AJ264" i="50" s="1"/>
  <c r="AZ292" i="50"/>
  <c r="BA292" i="50" s="1"/>
  <c r="AU292" i="50"/>
  <c r="AV292" i="50" s="1"/>
  <c r="AT223" i="50"/>
  <c r="AO223" i="50"/>
  <c r="AP223" i="50" s="1"/>
  <c r="AT254" i="50"/>
  <c r="AO254" i="50"/>
  <c r="AP254" i="50" s="1"/>
  <c r="AT17" i="50"/>
  <c r="AO17" i="50"/>
  <c r="AP17" i="50" s="1"/>
  <c r="AN276" i="50"/>
  <c r="AI276" i="50"/>
  <c r="AJ276" i="50" s="1"/>
  <c r="AN565" i="50"/>
  <c r="AI565" i="50"/>
  <c r="AJ565" i="50" s="1"/>
  <c r="AZ211" i="50"/>
  <c r="BA211" i="50" s="1"/>
  <c r="AU211" i="50"/>
  <c r="AV211" i="50" s="1"/>
  <c r="AT21" i="50"/>
  <c r="AO21" i="50"/>
  <c r="AP21" i="50" s="1"/>
  <c r="AI59" i="50"/>
  <c r="AJ59" i="50" s="1"/>
  <c r="AN59" i="50"/>
  <c r="AT36" i="50"/>
  <c r="AO36" i="50"/>
  <c r="AP36" i="50" s="1"/>
  <c r="AZ487" i="50"/>
  <c r="BA487" i="50" s="1"/>
  <c r="AU487" i="50"/>
  <c r="AV487" i="50" s="1"/>
  <c r="AN235" i="50"/>
  <c r="AI235" i="50"/>
  <c r="AJ235" i="50" s="1"/>
  <c r="AN69" i="50"/>
  <c r="AI69" i="50"/>
  <c r="AJ69" i="50" s="1"/>
  <c r="AT140" i="50"/>
  <c r="AO140" i="50"/>
  <c r="AP140" i="50" s="1"/>
  <c r="AZ138" i="50"/>
  <c r="BA138" i="50" s="1"/>
  <c r="AU138" i="50"/>
  <c r="AV138" i="50" s="1"/>
  <c r="AN257" i="50"/>
  <c r="AI257" i="50"/>
  <c r="AJ257" i="50" s="1"/>
  <c r="AT168" i="50"/>
  <c r="AO168" i="50"/>
  <c r="AP168" i="50" s="1"/>
  <c r="AT44" i="50"/>
  <c r="AO44" i="50"/>
  <c r="AP44" i="50" s="1"/>
  <c r="AT30" i="50"/>
  <c r="AO30" i="50"/>
  <c r="AP30" i="50" s="1"/>
  <c r="AT155" i="50"/>
  <c r="AO155" i="50"/>
  <c r="AP155" i="50" s="1"/>
  <c r="AZ415" i="50"/>
  <c r="BA415" i="50" s="1"/>
  <c r="AU415" i="50"/>
  <c r="AV415" i="50" s="1"/>
  <c r="AT261" i="50"/>
  <c r="AO261" i="50"/>
  <c r="AP261" i="50" s="1"/>
  <c r="AN260" i="50"/>
  <c r="AI260" i="50"/>
  <c r="AJ260" i="50" s="1"/>
  <c r="AZ306" i="50"/>
  <c r="BA306" i="50" s="1"/>
  <c r="AU306" i="50"/>
  <c r="AV306" i="50" s="1"/>
  <c r="AZ67" i="50"/>
  <c r="BA67" i="50" s="1"/>
  <c r="AU67" i="50"/>
  <c r="AV67" i="50" s="1"/>
  <c r="AZ165" i="50"/>
  <c r="BA165" i="50" s="1"/>
  <c r="AU165" i="50"/>
  <c r="AV165" i="50" s="1"/>
  <c r="AI253" i="50"/>
  <c r="AJ253" i="50" s="1"/>
  <c r="AN253" i="50"/>
  <c r="AT147" i="50"/>
  <c r="AO147" i="50"/>
  <c r="AP147" i="50" s="1"/>
  <c r="AN459" i="50"/>
  <c r="AI459" i="50"/>
  <c r="AJ459" i="50" s="1"/>
  <c r="AN469" i="50"/>
  <c r="AI469" i="50"/>
  <c r="AJ469" i="50" s="1"/>
  <c r="AN479" i="50"/>
  <c r="AI479" i="50"/>
  <c r="AJ479" i="50" s="1"/>
  <c r="AZ278" i="50"/>
  <c r="BA278" i="50" s="1"/>
  <c r="AU278" i="50"/>
  <c r="AV278" i="50" s="1"/>
  <c r="AZ413" i="50"/>
  <c r="BA413" i="50" s="1"/>
  <c r="AU413" i="50"/>
  <c r="AV413" i="50" s="1"/>
  <c r="AH384" i="50"/>
  <c r="AN200" i="50"/>
  <c r="AI200" i="50"/>
  <c r="AT279" i="50"/>
  <c r="AO279" i="50"/>
  <c r="AP279" i="50" s="1"/>
  <c r="AN62" i="50"/>
  <c r="AI62" i="50"/>
  <c r="AJ62" i="50" s="1"/>
  <c r="AO291" i="50"/>
  <c r="AP291" i="50" s="1"/>
  <c r="AT291" i="50"/>
  <c r="AH563" i="50"/>
  <c r="AB579" i="50"/>
  <c r="AC563" i="50"/>
  <c r="AT404" i="50"/>
  <c r="AO404" i="50"/>
  <c r="AP404" i="50" s="1"/>
  <c r="AN484" i="50"/>
  <c r="AI484" i="50"/>
  <c r="AJ484" i="50" s="1"/>
  <c r="AN210" i="50"/>
  <c r="AI210" i="50"/>
  <c r="AJ210" i="50" s="1"/>
  <c r="AT241" i="50"/>
  <c r="AO241" i="50"/>
  <c r="AP241" i="50" s="1"/>
  <c r="AN206" i="50"/>
  <c r="AI206" i="50"/>
  <c r="AJ206" i="50" s="1"/>
  <c r="AI212" i="50"/>
  <c r="AJ212" i="50" s="1"/>
  <c r="AN212" i="50"/>
  <c r="AT559" i="50"/>
  <c r="AN561" i="50"/>
  <c r="AO559" i="50"/>
  <c r="W451" i="50"/>
  <c r="X386" i="50"/>
  <c r="X451" i="50" s="1"/>
  <c r="AO246" i="50"/>
  <c r="AP246" i="50" s="1"/>
  <c r="AT246" i="50"/>
  <c r="AO161" i="50"/>
  <c r="AP161" i="50" s="1"/>
  <c r="AT161" i="50"/>
  <c r="AZ22" i="50"/>
  <c r="BA22" i="50" s="1"/>
  <c r="AU22" i="50"/>
  <c r="AV22" i="50" s="1"/>
  <c r="AZ493" i="50"/>
  <c r="BA493" i="50" s="1"/>
  <c r="AU493" i="50"/>
  <c r="AV493" i="50" s="1"/>
  <c r="AO153" i="50"/>
  <c r="AP153" i="50" s="1"/>
  <c r="AT153" i="50"/>
  <c r="AZ226" i="50"/>
  <c r="BA226" i="50" s="1"/>
  <c r="AU226" i="50"/>
  <c r="AV226" i="50" s="1"/>
  <c r="AO238" i="50"/>
  <c r="AP238" i="50" s="1"/>
  <c r="AT238" i="50"/>
  <c r="AT51" i="50"/>
  <c r="AO51" i="50"/>
  <c r="AP51" i="50" s="1"/>
  <c r="AT70" i="50"/>
  <c r="AO70" i="50"/>
  <c r="AP70" i="50" s="1"/>
  <c r="AT225" i="50"/>
  <c r="AO225" i="50"/>
  <c r="AP225" i="50" s="1"/>
  <c r="AT63" i="50"/>
  <c r="AO63" i="50"/>
  <c r="AP63" i="50" s="1"/>
  <c r="AO458" i="50"/>
  <c r="AP458" i="50" s="1"/>
  <c r="AT458" i="50"/>
  <c r="AN42" i="50"/>
  <c r="AI42" i="50"/>
  <c r="AJ42" i="50" s="1"/>
  <c r="AN49" i="50"/>
  <c r="AI49" i="50"/>
  <c r="AJ49" i="50" s="1"/>
  <c r="AC14" i="50"/>
  <c r="AD5" i="50"/>
  <c r="AD14" i="50" s="1"/>
  <c r="AO472" i="50"/>
  <c r="AP472" i="50" s="1"/>
  <c r="AT472" i="50"/>
  <c r="AN166" i="50"/>
  <c r="AI166" i="50"/>
  <c r="AJ166" i="50" s="1"/>
  <c r="AZ18" i="50"/>
  <c r="BA18" i="50" s="1"/>
  <c r="AU18" i="50"/>
  <c r="AV18" i="50" s="1"/>
  <c r="AN287" i="50"/>
  <c r="AI287" i="50"/>
  <c r="AJ287" i="50" s="1"/>
  <c r="AT290" i="50"/>
  <c r="AO290" i="50"/>
  <c r="AP290" i="50" s="1"/>
  <c r="AT289" i="50"/>
  <c r="AO289" i="50"/>
  <c r="AP289" i="50" s="1"/>
  <c r="AT35" i="50"/>
  <c r="AO35" i="50"/>
  <c r="AP35" i="50" s="1"/>
  <c r="AZ409" i="50"/>
  <c r="BA409" i="50" s="1"/>
  <c r="AU409" i="50"/>
  <c r="AV409" i="50" s="1"/>
  <c r="AZ299" i="50"/>
  <c r="BA299" i="50" s="1"/>
  <c r="AU299" i="50"/>
  <c r="AV299" i="50" s="1"/>
  <c r="AZ151" i="50"/>
  <c r="BA151" i="50" s="1"/>
  <c r="AU151" i="50"/>
  <c r="AV151" i="50" s="1"/>
  <c r="AT164" i="50"/>
  <c r="AO164" i="50"/>
  <c r="AP164" i="50" s="1"/>
  <c r="AN227" i="50"/>
  <c r="AI227" i="50"/>
  <c r="AJ227" i="50" s="1"/>
  <c r="AT387" i="50"/>
  <c r="AO387" i="50"/>
  <c r="AP387" i="50" s="1"/>
  <c r="AO52" i="50"/>
  <c r="AP52" i="50" s="1"/>
  <c r="AT52" i="50"/>
  <c r="AT240" i="50"/>
  <c r="AO240" i="50"/>
  <c r="AP240" i="50" s="1"/>
  <c r="AZ242" i="50"/>
  <c r="BA242" i="50" s="1"/>
  <c r="AU242" i="50"/>
  <c r="AV242" i="50" s="1"/>
  <c r="AO58" i="50"/>
  <c r="AP58" i="50" s="1"/>
  <c r="AT58" i="50"/>
  <c r="AT148" i="50"/>
  <c r="AO148" i="50"/>
  <c r="AP148" i="50" s="1"/>
  <c r="AO464" i="50"/>
  <c r="AP464" i="50" s="1"/>
  <c r="AT464" i="50"/>
  <c r="AI236" i="50"/>
  <c r="AJ236" i="50" s="1"/>
  <c r="AN236" i="50"/>
  <c r="AT399" i="50"/>
  <c r="AO399" i="50"/>
  <c r="AP399" i="50" s="1"/>
  <c r="AZ304" i="50"/>
  <c r="BA304" i="50" s="1"/>
  <c r="AU304" i="50"/>
  <c r="AV304" i="50" s="1"/>
  <c r="AT258" i="50"/>
  <c r="AO258" i="50"/>
  <c r="AP258" i="50" s="1"/>
  <c r="AT509" i="50"/>
  <c r="AO509" i="50"/>
  <c r="AP509" i="50" s="1"/>
  <c r="AZ496" i="50"/>
  <c r="BA496" i="50" s="1"/>
  <c r="AU496" i="50"/>
  <c r="AV496" i="50" s="1"/>
  <c r="AT267" i="50"/>
  <c r="AO267" i="50"/>
  <c r="AP267" i="50" s="1"/>
  <c r="AN282" i="50"/>
  <c r="AI282" i="50"/>
  <c r="AJ282" i="50" s="1"/>
  <c r="AN56" i="50"/>
  <c r="AI56" i="50"/>
  <c r="AJ56" i="50" s="1"/>
  <c r="AN255" i="50"/>
  <c r="AI255" i="50"/>
  <c r="AJ255" i="50" s="1"/>
  <c r="AT245" i="50"/>
  <c r="AO245" i="50"/>
  <c r="AP245" i="50" s="1"/>
  <c r="AN475" i="50"/>
  <c r="AI475" i="50"/>
  <c r="AJ475" i="50" s="1"/>
  <c r="AN265" i="50"/>
  <c r="AI265" i="50"/>
  <c r="AJ265" i="50" s="1"/>
  <c r="AO60" i="50"/>
  <c r="AP60" i="50" s="1"/>
  <c r="AT60" i="50"/>
  <c r="AH14" i="50"/>
  <c r="AI5" i="50"/>
  <c r="AZ489" i="50"/>
  <c r="BA489" i="50" s="1"/>
  <c r="AU489" i="50"/>
  <c r="AV489" i="50" s="1"/>
  <c r="AZ567" i="50"/>
  <c r="BA567" i="50" s="1"/>
  <c r="AU567" i="50"/>
  <c r="AV567" i="50" s="1"/>
  <c r="AN273" i="50"/>
  <c r="AI273" i="50"/>
  <c r="AJ273" i="50" s="1"/>
  <c r="AT478" i="50"/>
  <c r="AO478" i="50"/>
  <c r="AP478" i="50" s="1"/>
  <c r="AT568" i="50"/>
  <c r="AO568" i="50"/>
  <c r="AP568" i="50" s="1"/>
  <c r="AN407" i="50"/>
  <c r="AI407" i="50"/>
  <c r="AJ407" i="50" s="1"/>
  <c r="AT293" i="50"/>
  <c r="AO293" i="50"/>
  <c r="AP293" i="50" s="1"/>
  <c r="AT476" i="50"/>
  <c r="AO476" i="50"/>
  <c r="AP476" i="50" s="1"/>
  <c r="AT156" i="50"/>
  <c r="AO156" i="50"/>
  <c r="AP156" i="50" s="1"/>
  <c r="AT393" i="50"/>
  <c r="AO393" i="50"/>
  <c r="AP393" i="50" s="1"/>
  <c r="AT248" i="50"/>
  <c r="AO248" i="50"/>
  <c r="AP248" i="50" s="1"/>
  <c r="AZ76" i="50"/>
  <c r="BA76" i="50" s="1"/>
  <c r="AU76" i="50"/>
  <c r="AV76" i="50" s="1"/>
  <c r="AN158" i="50"/>
  <c r="AI158" i="50"/>
  <c r="AJ158" i="50" s="1"/>
  <c r="AN68" i="50"/>
  <c r="AI68" i="50"/>
  <c r="AJ68" i="50" s="1"/>
  <c r="AT74" i="50"/>
  <c r="AO74" i="50"/>
  <c r="AP74" i="50" s="1"/>
  <c r="AT461" i="50"/>
  <c r="AO461" i="50"/>
  <c r="AP461" i="50" s="1"/>
  <c r="AN231" i="50"/>
  <c r="AI231" i="50"/>
  <c r="AJ231" i="50" s="1"/>
  <c r="AN249" i="50"/>
  <c r="AI249" i="50"/>
  <c r="AJ249" i="50" s="1"/>
  <c r="AN486" i="50"/>
  <c r="AI486" i="50"/>
  <c r="AJ486" i="50" s="1"/>
  <c r="AT259" i="50"/>
  <c r="AO259" i="50"/>
  <c r="AP259" i="50" s="1"/>
  <c r="AT65" i="50"/>
  <c r="AO65" i="50"/>
  <c r="AP65" i="50" s="1"/>
  <c r="AI270" i="50"/>
  <c r="AJ270" i="50" s="1"/>
  <c r="AN270" i="50"/>
  <c r="AZ268" i="50"/>
  <c r="BA268" i="50" s="1"/>
  <c r="AU268" i="50"/>
  <c r="AV268" i="50" s="1"/>
  <c r="AT205" i="50"/>
  <c r="AO205" i="50"/>
  <c r="AP205" i="50" s="1"/>
  <c r="AT243" i="50"/>
  <c r="AO243" i="50"/>
  <c r="AP243" i="50" s="1"/>
  <c r="X135" i="50"/>
  <c r="X198" i="50" s="1"/>
  <c r="W198" i="50"/>
  <c r="AT160" i="50"/>
  <c r="AO160" i="50"/>
  <c r="AP160" i="50" s="1"/>
  <c r="AZ422" i="50"/>
  <c r="BA422" i="50" s="1"/>
  <c r="AU422" i="50"/>
  <c r="AV422" i="50" s="1"/>
  <c r="AZ315" i="50"/>
  <c r="BA315" i="50" s="1"/>
  <c r="AU315" i="50"/>
  <c r="AV315" i="50" s="1"/>
  <c r="AO19" i="50"/>
  <c r="AP19" i="50" s="1"/>
  <c r="AT19" i="50"/>
  <c r="AT28" i="50"/>
  <c r="AO28" i="50"/>
  <c r="AP28" i="50" s="1"/>
  <c r="AN209" i="50"/>
  <c r="AI209" i="50"/>
  <c r="AJ209" i="50" s="1"/>
  <c r="AT163" i="50"/>
  <c r="AO163" i="50"/>
  <c r="AP163" i="50" s="1"/>
  <c r="AO207" i="50"/>
  <c r="AP207" i="50" s="1"/>
  <c r="AT207" i="50"/>
  <c r="AT467" i="50"/>
  <c r="AO467" i="50"/>
  <c r="AP467" i="50" s="1"/>
  <c r="W132" i="50"/>
  <c r="W1" i="50" s="1"/>
  <c r="X16" i="50"/>
  <c r="X132" i="50" s="1"/>
  <c r="AZ483" i="50"/>
  <c r="BA483" i="50" s="1"/>
  <c r="AU483" i="50"/>
  <c r="AV483" i="50" s="1"/>
  <c r="AT256" i="50"/>
  <c r="AO256" i="50"/>
  <c r="AP256" i="50" s="1"/>
  <c r="AY384" i="50"/>
  <c r="AT294" i="50"/>
  <c r="AO294" i="50"/>
  <c r="AP294" i="50" s="1"/>
  <c r="AU488" i="50"/>
  <c r="AV488" i="50" s="1"/>
  <c r="AZ488" i="50"/>
  <c r="BA488" i="50" s="1"/>
  <c r="AT218" i="50"/>
  <c r="AO218" i="50"/>
  <c r="AP218" i="50" s="1"/>
  <c r="AT72" i="50"/>
  <c r="AO72" i="50"/>
  <c r="AP72" i="50" s="1"/>
  <c r="AT141" i="50"/>
  <c r="AO141" i="50"/>
  <c r="AP141" i="50" s="1"/>
  <c r="AT55" i="50"/>
  <c r="AO55" i="50"/>
  <c r="AP55" i="50" s="1"/>
  <c r="AT252" i="50"/>
  <c r="AO252" i="50"/>
  <c r="AP252" i="50" s="1"/>
  <c r="AZ494" i="50"/>
  <c r="BA494" i="50" s="1"/>
  <c r="AU494" i="50"/>
  <c r="AV494" i="50" s="1"/>
  <c r="AT27" i="50"/>
  <c r="AO27" i="50"/>
  <c r="AP27" i="50" s="1"/>
  <c r="AO40" i="50"/>
  <c r="AP40" i="50" s="1"/>
  <c r="AT40" i="50"/>
  <c r="AT388" i="50"/>
  <c r="AO388" i="50"/>
  <c r="AP388" i="50" s="1"/>
  <c r="AT490" i="50"/>
  <c r="AO490" i="50"/>
  <c r="AP490" i="50" s="1"/>
  <c r="AN462" i="50"/>
  <c r="AI462" i="50"/>
  <c r="AJ462" i="50" s="1"/>
  <c r="AN237" i="50"/>
  <c r="AI237" i="50"/>
  <c r="AJ237" i="50" s="1"/>
  <c r="AN468" i="50"/>
  <c r="AI468" i="50"/>
  <c r="AJ468" i="50" s="1"/>
  <c r="AI280" i="50"/>
  <c r="AJ280" i="50" s="1"/>
  <c r="AN280" i="50"/>
  <c r="AB132" i="50"/>
  <c r="AB1" i="50" s="1"/>
  <c r="AH16" i="50"/>
  <c r="AC16" i="50"/>
  <c r="AT150" i="50"/>
  <c r="AO150" i="50"/>
  <c r="AP150" i="50" s="1"/>
  <c r="AT463" i="50"/>
  <c r="AO463" i="50"/>
  <c r="AP463" i="50" s="1"/>
  <c r="AT57" i="50"/>
  <c r="AO57" i="50"/>
  <c r="AP57" i="50" s="1"/>
  <c r="AN391" i="50"/>
  <c r="AI391" i="50"/>
  <c r="AJ391" i="50" s="1"/>
  <c r="AH202" i="50"/>
  <c r="AC202" i="50"/>
  <c r="AD202" i="50" s="1"/>
  <c r="AI136" i="50"/>
  <c r="AJ136" i="50" s="1"/>
  <c r="AN136" i="50"/>
  <c r="AT61" i="50"/>
  <c r="AO61" i="50"/>
  <c r="AP61" i="50" s="1"/>
  <c r="AT232" i="50"/>
  <c r="AO232" i="50"/>
  <c r="AP232" i="50" s="1"/>
  <c r="AT455" i="50"/>
  <c r="AO455" i="50"/>
  <c r="AP455" i="50" s="1"/>
  <c r="AT301" i="50"/>
  <c r="AO301" i="50"/>
  <c r="AP301" i="50" s="1"/>
  <c r="AN216" i="50"/>
  <c r="AI216" i="50"/>
  <c r="AJ216" i="50" s="1"/>
  <c r="AN477" i="50"/>
  <c r="AI477" i="50"/>
  <c r="AJ477" i="50" s="1"/>
  <c r="AN208" i="50"/>
  <c r="AI208" i="50"/>
  <c r="AJ208" i="50" s="1"/>
  <c r="AI480" i="50"/>
  <c r="AJ480" i="50" s="1"/>
  <c r="AN480" i="50"/>
  <c r="AT474" i="50"/>
  <c r="AO474" i="50"/>
  <c r="AP474" i="50" s="1"/>
  <c r="AT221" i="50"/>
  <c r="AO221" i="50"/>
  <c r="AP221" i="50" s="1"/>
  <c r="AZ81" i="50"/>
  <c r="BA81" i="50" s="1"/>
  <c r="AU81" i="50"/>
  <c r="AV81" i="50" s="1"/>
  <c r="AO54" i="50"/>
  <c r="AP54" i="50" s="1"/>
  <c r="AT54" i="50"/>
  <c r="AT281" i="50"/>
  <c r="AO281" i="50"/>
  <c r="AP281" i="50" s="1"/>
  <c r="AI159" i="50"/>
  <c r="AJ159" i="50" s="1"/>
  <c r="AN159" i="50"/>
  <c r="AN396" i="50"/>
  <c r="AI396" i="50"/>
  <c r="AJ396" i="50" s="1"/>
  <c r="AT203" i="50"/>
  <c r="AO203" i="50"/>
  <c r="AP203" i="50" s="1"/>
  <c r="AB198" i="50"/>
  <c r="AC135" i="50"/>
  <c r="AH135" i="50"/>
  <c r="AT139" i="50"/>
  <c r="AO139" i="50"/>
  <c r="AP139" i="50" s="1"/>
  <c r="AZ491" i="50"/>
  <c r="BA491" i="50" s="1"/>
  <c r="AU491" i="50"/>
  <c r="AV491" i="50" s="1"/>
  <c r="AI149" i="50"/>
  <c r="AJ149" i="50" s="1"/>
  <c r="AN149" i="50"/>
  <c r="AN485" i="50"/>
  <c r="AI485" i="50"/>
  <c r="AJ485" i="50" s="1"/>
  <c r="AI204" i="50"/>
  <c r="AJ204" i="50" s="1"/>
  <c r="AN204" i="50"/>
  <c r="AT251" i="50"/>
  <c r="AO251" i="50"/>
  <c r="AP251" i="50" s="1"/>
  <c r="AT456" i="50"/>
  <c r="AO456" i="50"/>
  <c r="AP456" i="50" s="1"/>
  <c r="AI482" i="50"/>
  <c r="AJ482" i="50" s="1"/>
  <c r="AN482" i="50"/>
  <c r="AN283" i="50"/>
  <c r="AI283" i="50"/>
  <c r="AJ283" i="50" s="1"/>
  <c r="AT390" i="50"/>
  <c r="AO390" i="50"/>
  <c r="AP390" i="50" s="1"/>
  <c r="AN137" i="50"/>
  <c r="AI137" i="50"/>
  <c r="AJ137" i="50" s="1"/>
  <c r="AH510" i="50"/>
  <c r="AC510" i="50"/>
  <c r="AD510" i="50" s="1"/>
  <c r="AT37" i="50"/>
  <c r="AO37" i="50"/>
  <c r="AP37" i="50" s="1"/>
  <c r="AN566" i="50"/>
  <c r="AI566" i="50"/>
  <c r="AJ566" i="50" s="1"/>
  <c r="AO146" i="50"/>
  <c r="AP146" i="50" s="1"/>
  <c r="AT146" i="50"/>
  <c r="W557" i="50"/>
  <c r="X453" i="50"/>
  <c r="X557" i="50" s="1"/>
  <c r="AT162" i="50"/>
  <c r="AO162" i="50"/>
  <c r="AP162" i="50" s="1"/>
  <c r="AN215" i="50"/>
  <c r="AI215" i="50"/>
  <c r="AJ215" i="50" s="1"/>
  <c r="AT219" i="50"/>
  <c r="AO219" i="50"/>
  <c r="AP219" i="50" s="1"/>
  <c r="AO23" i="50"/>
  <c r="AP23" i="50" s="1"/>
  <c r="AT23" i="50"/>
  <c r="AT401" i="50"/>
  <c r="AO401" i="50"/>
  <c r="AP401" i="50" s="1"/>
  <c r="AI229" i="50"/>
  <c r="AJ229" i="50" s="1"/>
  <c r="AN229" i="50"/>
  <c r="AN263" i="50"/>
  <c r="AI263" i="50"/>
  <c r="AJ263" i="50" s="1"/>
  <c r="AN454" i="50"/>
  <c r="AI454" i="50"/>
  <c r="AJ454" i="50" s="1"/>
  <c r="AO411" i="50"/>
  <c r="AP411" i="50" s="1"/>
  <c r="AT411" i="50"/>
  <c r="AZ271" i="50"/>
  <c r="BA271" i="50" s="1"/>
  <c r="AU271" i="50"/>
  <c r="AV271" i="50" s="1"/>
  <c r="AT26" i="50"/>
  <c r="AO26" i="50"/>
  <c r="AP26" i="50" s="1"/>
  <c r="AT220" i="50"/>
  <c r="AO220" i="50"/>
  <c r="AP220" i="50" s="1"/>
  <c r="AT154" i="50"/>
  <c r="AO154" i="50"/>
  <c r="AP154" i="50" s="1"/>
  <c r="AN394" i="50"/>
  <c r="AI394" i="50"/>
  <c r="AJ394" i="50" s="1"/>
  <c r="AI561" i="50"/>
  <c r="AJ559" i="50"/>
  <c r="AJ561" i="50" s="1"/>
  <c r="AT250" i="50"/>
  <c r="AO250" i="50"/>
  <c r="AP250" i="50" s="1"/>
  <c r="AZ400" i="50"/>
  <c r="BA400" i="50" s="1"/>
  <c r="AU400" i="50"/>
  <c r="AV400" i="50" s="1"/>
  <c r="AZ90" i="50"/>
  <c r="BA90" i="50" s="1"/>
  <c r="AU90" i="50"/>
  <c r="AV90" i="50" s="1"/>
  <c r="AI392" i="50"/>
  <c r="AJ392" i="50" s="1"/>
  <c r="AN392" i="50"/>
  <c r="AN460" i="50"/>
  <c r="AI460" i="50"/>
  <c r="AJ460" i="50" s="1"/>
  <c r="AI167" i="50"/>
  <c r="AJ167" i="50" s="1"/>
  <c r="AN167" i="50"/>
  <c r="AN269" i="50"/>
  <c r="AI269" i="50"/>
  <c r="AJ269" i="50" s="1"/>
  <c r="AT43" i="50"/>
  <c r="AO43" i="50"/>
  <c r="AP43" i="50" s="1"/>
  <c r="AN275" i="50"/>
  <c r="AI275" i="50"/>
  <c r="AJ275" i="50" s="1"/>
  <c r="AT33" i="50"/>
  <c r="AO33" i="50"/>
  <c r="AP33" i="50" s="1"/>
  <c r="AT230" i="50"/>
  <c r="AO230" i="50"/>
  <c r="AP230" i="50" s="1"/>
  <c r="AZ403" i="50"/>
  <c r="BA403" i="50" s="1"/>
  <c r="AU403" i="50"/>
  <c r="AV403" i="50" s="1"/>
  <c r="AZ45" i="50"/>
  <c r="BA45" i="50" s="1"/>
  <c r="AU45" i="50"/>
  <c r="AV45" i="50" s="1"/>
  <c r="AZ492" i="50"/>
  <c r="BA492" i="50" s="1"/>
  <c r="AU492" i="50"/>
  <c r="AV492" i="50" s="1"/>
  <c r="AN402" i="50"/>
  <c r="AI402" i="50"/>
  <c r="AJ402" i="50" s="1"/>
  <c r="AT143" i="50"/>
  <c r="AO143" i="50"/>
  <c r="AP143" i="50" s="1"/>
  <c r="S618" i="50"/>
  <c r="BG14" i="50"/>
  <c r="AT222" i="50"/>
  <c r="AO222" i="50"/>
  <c r="AP222" i="50" s="1"/>
  <c r="AI73" i="50"/>
  <c r="AJ73" i="50" s="1"/>
  <c r="AN73" i="50"/>
  <c r="AO272" i="50"/>
  <c r="AP272" i="50" s="1"/>
  <c r="AT272" i="50"/>
  <c r="AB557" i="50"/>
  <c r="AH453" i="50"/>
  <c r="AC453" i="50"/>
  <c r="AT569" i="50"/>
  <c r="AO569" i="50"/>
  <c r="AP569" i="50" s="1"/>
  <c r="AU266" i="50"/>
  <c r="AV266" i="50" s="1"/>
  <c r="AZ266" i="50"/>
  <c r="BA266" i="50" s="1"/>
  <c r="AT395" i="50"/>
  <c r="AO395" i="50"/>
  <c r="AP395" i="50" s="1"/>
  <c r="AT34" i="50"/>
  <c r="AO34" i="50"/>
  <c r="AP34" i="50" s="1"/>
  <c r="AT481" i="50"/>
  <c r="AO481" i="50"/>
  <c r="AP481" i="50" s="1"/>
  <c r="B283" i="18"/>
  <c r="B31" i="10" s="1"/>
  <c r="B345" i="18"/>
  <c r="B62" i="10" s="1"/>
  <c r="B337" i="18"/>
  <c r="B59" i="10" s="1"/>
  <c r="B374" i="18"/>
  <c r="B366" i="18"/>
  <c r="B73" i="10" s="1"/>
  <c r="B297" i="18"/>
  <c r="B33" i="10" s="1"/>
  <c r="B40" i="10"/>
  <c r="B307" i="18"/>
  <c r="B306" i="18"/>
  <c r="B305" i="18"/>
  <c r="B304" i="18"/>
  <c r="B38" i="10"/>
  <c r="B303" i="18"/>
  <c r="B302" i="18"/>
  <c r="B320" i="18"/>
  <c r="B323" i="18" s="1"/>
  <c r="B46" i="10" s="1"/>
  <c r="B301" i="18"/>
  <c r="B300" i="18"/>
  <c r="B24" i="10"/>
  <c r="B26" i="10"/>
  <c r="B13" i="9" s="1"/>
  <c r="B14" i="9" s="1"/>
  <c r="B18" i="10"/>
  <c r="B17" i="10"/>
  <c r="B16" i="10"/>
  <c r="B15" i="10"/>
  <c r="B14" i="10"/>
  <c r="B19" i="10" s="1"/>
  <c r="B8" i="10"/>
  <c r="B9" i="10"/>
  <c r="B109" i="10" s="1"/>
  <c r="E68" i="7"/>
  <c r="E67" i="7"/>
  <c r="E69" i="7" s="1"/>
  <c r="F35" i="22"/>
  <c r="B61" i="9"/>
  <c r="C272" i="18"/>
  <c r="C274" i="18" s="1"/>
  <c r="C60" i="9"/>
  <c r="C250" i="18"/>
  <c r="C249" i="18"/>
  <c r="C248" i="18"/>
  <c r="C247" i="18"/>
  <c r="C246" i="18"/>
  <c r="C245" i="18"/>
  <c r="C244" i="18"/>
  <c r="C243" i="18"/>
  <c r="C242" i="18"/>
  <c r="C240" i="18"/>
  <c r="C57" i="9"/>
  <c r="C49" i="9"/>
  <c r="F39" i="22" s="1"/>
  <c r="F41" i="22"/>
  <c r="C19" i="9"/>
  <c r="C20" i="9"/>
  <c r="C182" i="18"/>
  <c r="C179" i="18"/>
  <c r="C181" i="18"/>
  <c r="C180" i="18"/>
  <c r="C178" i="18"/>
  <c r="E120" i="7"/>
  <c r="E121" i="7" s="1"/>
  <c r="D115" i="7"/>
  <c r="D116" i="7" s="1"/>
  <c r="C18" i="3" s="1"/>
  <c r="C173" i="18"/>
  <c r="C172" i="18"/>
  <c r="C171" i="18"/>
  <c r="C170" i="18"/>
  <c r="C169" i="18"/>
  <c r="C168" i="18"/>
  <c r="C163" i="18"/>
  <c r="C160" i="18"/>
  <c r="C158" i="18"/>
  <c r="F108" i="7"/>
  <c r="F107" i="7"/>
  <c r="F106" i="7"/>
  <c r="C104" i="7"/>
  <c r="F104" i="7" s="1"/>
  <c r="C103" i="7"/>
  <c r="B104" i="7"/>
  <c r="B103" i="7"/>
  <c r="F103" i="7" s="1"/>
  <c r="F109" i="7" s="1"/>
  <c r="E84" i="7"/>
  <c r="E83" i="7"/>
  <c r="E82" i="7"/>
  <c r="E80" i="7"/>
  <c r="E79" i="7"/>
  <c r="E73" i="7"/>
  <c r="E74" i="7" s="1"/>
  <c r="D14" i="3" s="1"/>
  <c r="D26" i="4"/>
  <c r="B97" i="7"/>
  <c r="C97" i="7"/>
  <c r="D97" i="7"/>
  <c r="E97" i="7"/>
  <c r="F40" i="22"/>
  <c r="F33" i="22"/>
  <c r="F31" i="22"/>
  <c r="F23" i="22"/>
  <c r="F9" i="22"/>
  <c r="E59" i="7"/>
  <c r="D23" i="4"/>
  <c r="D10" i="44"/>
  <c r="H12" i="40"/>
  <c r="D7" i="44"/>
  <c r="I19" i="8"/>
  <c r="I16" i="8"/>
  <c r="I15" i="8"/>
  <c r="I14" i="8"/>
  <c r="I13" i="8"/>
  <c r="I12" i="8"/>
  <c r="I11" i="8"/>
  <c r="I10" i="8"/>
  <c r="J10" i="8" s="1"/>
  <c r="Q577" i="39"/>
  <c r="Q578" i="39"/>
  <c r="Q579" i="39"/>
  <c r="Q580" i="39"/>
  <c r="Q581" i="39"/>
  <c r="R581" i="39" s="1"/>
  <c r="Q582" i="39"/>
  <c r="Q583" i="39"/>
  <c r="Q576" i="39"/>
  <c r="N577" i="39"/>
  <c r="N578" i="39"/>
  <c r="N579" i="39"/>
  <c r="N580" i="39"/>
  <c r="N581" i="39"/>
  <c r="N582" i="39"/>
  <c r="N583" i="39"/>
  <c r="N576" i="39"/>
  <c r="M577" i="39"/>
  <c r="M578" i="39"/>
  <c r="M579" i="39"/>
  <c r="M580" i="39"/>
  <c r="R580" i="39" s="1"/>
  <c r="M581" i="39"/>
  <c r="M582" i="39"/>
  <c r="M583" i="39"/>
  <c r="M576" i="39"/>
  <c r="M562" i="39"/>
  <c r="J584" i="39"/>
  <c r="D20" i="8"/>
  <c r="D17" i="8"/>
  <c r="D22" i="8" s="1"/>
  <c r="D16" i="8"/>
  <c r="J583" i="39"/>
  <c r="O584" i="39"/>
  <c r="R578" i="39"/>
  <c r="P584" i="39"/>
  <c r="L584" i="39"/>
  <c r="K576" i="39"/>
  <c r="C60" i="10"/>
  <c r="C58" i="10"/>
  <c r="C54" i="10"/>
  <c r="A48" i="4"/>
  <c r="C79" i="10"/>
  <c r="C15" i="10"/>
  <c r="C14" i="10"/>
  <c r="F10" i="22" s="1"/>
  <c r="AZ222" i="50" l="1"/>
  <c r="BA222" i="50" s="1"/>
  <c r="AU222" i="50"/>
  <c r="AV222" i="50" s="1"/>
  <c r="AZ401" i="50"/>
  <c r="BA401" i="50" s="1"/>
  <c r="AU401" i="50"/>
  <c r="AV401" i="50" s="1"/>
  <c r="AZ261" i="50"/>
  <c r="BA261" i="50" s="1"/>
  <c r="AU261" i="50"/>
  <c r="AV261" i="50" s="1"/>
  <c r="AZ44" i="50"/>
  <c r="BA44" i="50" s="1"/>
  <c r="AU44" i="50"/>
  <c r="AV44" i="50" s="1"/>
  <c r="AU140" i="50"/>
  <c r="AV140" i="50" s="1"/>
  <c r="AZ140" i="50"/>
  <c r="BA140" i="50" s="1"/>
  <c r="AZ36" i="50"/>
  <c r="BA36" i="50" s="1"/>
  <c r="AU36" i="50"/>
  <c r="AV36" i="50" s="1"/>
  <c r="AT565" i="50"/>
  <c r="AO565" i="50"/>
  <c r="AP565" i="50" s="1"/>
  <c r="AZ223" i="50"/>
  <c r="BA223" i="50" s="1"/>
  <c r="AU223" i="50"/>
  <c r="AV223" i="50" s="1"/>
  <c r="AZ213" i="50"/>
  <c r="BA213" i="50" s="1"/>
  <c r="AU213" i="50"/>
  <c r="AV213" i="50" s="1"/>
  <c r="AZ66" i="50"/>
  <c r="BA66" i="50" s="1"/>
  <c r="AU66" i="50"/>
  <c r="AV66" i="50" s="1"/>
  <c r="AZ34" i="50"/>
  <c r="BA34" i="50" s="1"/>
  <c r="AU34" i="50"/>
  <c r="AV34" i="50" s="1"/>
  <c r="AH557" i="50"/>
  <c r="AN453" i="50"/>
  <c r="AI453" i="50"/>
  <c r="AZ23" i="50"/>
  <c r="BA23" i="50" s="1"/>
  <c r="AU23" i="50"/>
  <c r="AV23" i="50" s="1"/>
  <c r="AO482" i="50"/>
  <c r="AP482" i="50" s="1"/>
  <c r="AT482" i="50"/>
  <c r="AN135" i="50"/>
  <c r="AH198" i="50"/>
  <c r="AH1" i="50" s="1"/>
  <c r="AI135" i="50"/>
  <c r="AZ221" i="50"/>
  <c r="BA221" i="50" s="1"/>
  <c r="AU221" i="50"/>
  <c r="AV221" i="50" s="1"/>
  <c r="AT477" i="50"/>
  <c r="AO477" i="50"/>
  <c r="AP477" i="50" s="1"/>
  <c r="AZ232" i="50"/>
  <c r="BA232" i="50" s="1"/>
  <c r="AU232" i="50"/>
  <c r="AV232" i="50" s="1"/>
  <c r="AT391" i="50"/>
  <c r="AO391" i="50"/>
  <c r="AP391" i="50" s="1"/>
  <c r="AH132" i="50"/>
  <c r="AI16" i="50"/>
  <c r="AN16" i="50"/>
  <c r="AT209" i="50"/>
  <c r="AO209" i="50"/>
  <c r="AP209" i="50" s="1"/>
  <c r="AZ205" i="50"/>
  <c r="BA205" i="50" s="1"/>
  <c r="AU205" i="50"/>
  <c r="AV205" i="50" s="1"/>
  <c r="AZ259" i="50"/>
  <c r="BA259" i="50" s="1"/>
  <c r="AU259" i="50"/>
  <c r="AV259" i="50" s="1"/>
  <c r="AZ461" i="50"/>
  <c r="BA461" i="50" s="1"/>
  <c r="AU461" i="50"/>
  <c r="AV461" i="50" s="1"/>
  <c r="AZ476" i="50"/>
  <c r="BA476" i="50" s="1"/>
  <c r="AU476" i="50"/>
  <c r="AV476" i="50" s="1"/>
  <c r="AU478" i="50"/>
  <c r="AV478" i="50" s="1"/>
  <c r="AZ478" i="50"/>
  <c r="BA478" i="50" s="1"/>
  <c r="AZ52" i="50"/>
  <c r="BA52" i="50" s="1"/>
  <c r="AU52" i="50"/>
  <c r="AV52" i="50" s="1"/>
  <c r="AT49" i="50"/>
  <c r="AO49" i="50"/>
  <c r="AP49" i="50" s="1"/>
  <c r="AZ225" i="50"/>
  <c r="BA225" i="50" s="1"/>
  <c r="AU225" i="50"/>
  <c r="AV225" i="50" s="1"/>
  <c r="AT212" i="50"/>
  <c r="AO212" i="50"/>
  <c r="AP212" i="50" s="1"/>
  <c r="AT59" i="50"/>
  <c r="AO59" i="50"/>
  <c r="AP59" i="50" s="1"/>
  <c r="AZ39" i="50"/>
  <c r="BA39" i="50" s="1"/>
  <c r="AU39" i="50"/>
  <c r="AV39" i="50" s="1"/>
  <c r="AZ53" i="50"/>
  <c r="BA53" i="50" s="1"/>
  <c r="AU53" i="50"/>
  <c r="AV53" i="50" s="1"/>
  <c r="AZ295" i="50"/>
  <c r="BA295" i="50" s="1"/>
  <c r="AU295" i="50"/>
  <c r="AV295" i="50" s="1"/>
  <c r="AT201" i="50"/>
  <c r="AO201" i="50"/>
  <c r="AP201" i="50" s="1"/>
  <c r="AZ389" i="50"/>
  <c r="BA389" i="50" s="1"/>
  <c r="AU389" i="50"/>
  <c r="AV389" i="50" s="1"/>
  <c r="AZ64" i="50"/>
  <c r="BA64" i="50" s="1"/>
  <c r="AU64" i="50"/>
  <c r="AV64" i="50" s="1"/>
  <c r="AZ406" i="50"/>
  <c r="BA406" i="50" s="1"/>
  <c r="AU406" i="50"/>
  <c r="AV406" i="50" s="1"/>
  <c r="AZ33" i="50"/>
  <c r="BA33" i="50" s="1"/>
  <c r="AU33" i="50"/>
  <c r="AV33" i="50" s="1"/>
  <c r="AZ154" i="50"/>
  <c r="BA154" i="50" s="1"/>
  <c r="AU154" i="50"/>
  <c r="AV154" i="50" s="1"/>
  <c r="AT283" i="50"/>
  <c r="AO283" i="50"/>
  <c r="AP283" i="50" s="1"/>
  <c r="AT237" i="50"/>
  <c r="AO237" i="50"/>
  <c r="AP237" i="50" s="1"/>
  <c r="AU258" i="50"/>
  <c r="AV258" i="50" s="1"/>
  <c r="AZ258" i="50"/>
  <c r="BA258" i="50" s="1"/>
  <c r="AZ164" i="50"/>
  <c r="BA164" i="50" s="1"/>
  <c r="AU164" i="50"/>
  <c r="AV164" i="50" s="1"/>
  <c r="AZ161" i="50"/>
  <c r="BA161" i="50" s="1"/>
  <c r="AU161" i="50"/>
  <c r="AV161" i="50" s="1"/>
  <c r="AT210" i="50"/>
  <c r="AO210" i="50"/>
  <c r="AP210" i="50" s="1"/>
  <c r="AT469" i="50"/>
  <c r="AO469" i="50"/>
  <c r="AP469" i="50" s="1"/>
  <c r="AZ220" i="50"/>
  <c r="BA220" i="50" s="1"/>
  <c r="AU220" i="50"/>
  <c r="AV220" i="50" s="1"/>
  <c r="AD135" i="50"/>
  <c r="AD198" i="50" s="1"/>
  <c r="AC198" i="50"/>
  <c r="AU148" i="50"/>
  <c r="AV148" i="50" s="1"/>
  <c r="AZ148" i="50"/>
  <c r="BA148" i="50" s="1"/>
  <c r="AZ289" i="50"/>
  <c r="BA289" i="50" s="1"/>
  <c r="AU289" i="50"/>
  <c r="AV289" i="50" s="1"/>
  <c r="AT166" i="50"/>
  <c r="AO166" i="50"/>
  <c r="AP166" i="50" s="1"/>
  <c r="AZ153" i="50"/>
  <c r="BA153" i="50" s="1"/>
  <c r="AU153" i="50"/>
  <c r="AV153" i="50" s="1"/>
  <c r="AZ246" i="50"/>
  <c r="BA246" i="50" s="1"/>
  <c r="AU246" i="50"/>
  <c r="AV246" i="50" s="1"/>
  <c r="AO484" i="50"/>
  <c r="AP484" i="50" s="1"/>
  <c r="AT484" i="50"/>
  <c r="AT459" i="50"/>
  <c r="AO459" i="50"/>
  <c r="AP459" i="50" s="1"/>
  <c r="AZ168" i="50"/>
  <c r="BA168" i="50" s="1"/>
  <c r="AU168" i="50"/>
  <c r="AV168" i="50" s="1"/>
  <c r="AT69" i="50"/>
  <c r="AO69" i="50"/>
  <c r="AP69" i="50" s="1"/>
  <c r="AT276" i="50"/>
  <c r="AO276" i="50"/>
  <c r="AP276" i="50" s="1"/>
  <c r="AZ24" i="50"/>
  <c r="BA24" i="50" s="1"/>
  <c r="AU24" i="50"/>
  <c r="AV24" i="50" s="1"/>
  <c r="AT473" i="50"/>
  <c r="AO473" i="50"/>
  <c r="AP473" i="50" s="1"/>
  <c r="AZ46" i="50"/>
  <c r="BA46" i="50" s="1"/>
  <c r="AU46" i="50"/>
  <c r="AV46" i="50" s="1"/>
  <c r="AZ41" i="50"/>
  <c r="BA41" i="50" s="1"/>
  <c r="AU41" i="50"/>
  <c r="AV41" i="50" s="1"/>
  <c r="AT570" i="50"/>
  <c r="AO570" i="50"/>
  <c r="AP570" i="50" s="1"/>
  <c r="AT317" i="50"/>
  <c r="AO317" i="50"/>
  <c r="AP317" i="50" s="1"/>
  <c r="AT475" i="50"/>
  <c r="AO475" i="50"/>
  <c r="AP475" i="50" s="1"/>
  <c r="AU240" i="50"/>
  <c r="AV240" i="50" s="1"/>
  <c r="AZ240" i="50"/>
  <c r="BA240" i="50" s="1"/>
  <c r="AU291" i="50"/>
  <c r="AV291" i="50" s="1"/>
  <c r="AZ291" i="50"/>
  <c r="BA291" i="50" s="1"/>
  <c r="AZ272" i="50"/>
  <c r="BA272" i="50" s="1"/>
  <c r="AU272" i="50"/>
  <c r="AV272" i="50" s="1"/>
  <c r="AT149" i="50"/>
  <c r="AO149" i="50"/>
  <c r="AP149" i="50" s="1"/>
  <c r="AZ281" i="50"/>
  <c r="BA281" i="50" s="1"/>
  <c r="AU281" i="50"/>
  <c r="AV281" i="50" s="1"/>
  <c r="AZ474" i="50"/>
  <c r="BA474" i="50" s="1"/>
  <c r="AU474" i="50"/>
  <c r="AV474" i="50" s="1"/>
  <c r="AO216" i="50"/>
  <c r="AP216" i="50" s="1"/>
  <c r="AT216" i="50"/>
  <c r="AZ61" i="50"/>
  <c r="BA61" i="50" s="1"/>
  <c r="AU61" i="50"/>
  <c r="AV61" i="50" s="1"/>
  <c r="AU57" i="50"/>
  <c r="AV57" i="50" s="1"/>
  <c r="AZ57" i="50"/>
  <c r="BA57" i="50" s="1"/>
  <c r="AT280" i="50"/>
  <c r="AO280" i="50"/>
  <c r="AP280" i="50" s="1"/>
  <c r="O621" i="50"/>
  <c r="O626" i="50" s="1"/>
  <c r="BE384" i="50"/>
  <c r="BE580" i="50" s="1"/>
  <c r="AZ467" i="50"/>
  <c r="BA467" i="50" s="1"/>
  <c r="AU467" i="50"/>
  <c r="AV467" i="50" s="1"/>
  <c r="AZ28" i="50"/>
  <c r="BA28" i="50" s="1"/>
  <c r="AU28" i="50"/>
  <c r="AV28" i="50" s="1"/>
  <c r="AZ160" i="50"/>
  <c r="BA160" i="50" s="1"/>
  <c r="AU160" i="50"/>
  <c r="AV160" i="50" s="1"/>
  <c r="AT486" i="50"/>
  <c r="AO486" i="50"/>
  <c r="AP486" i="50" s="1"/>
  <c r="AZ74" i="50"/>
  <c r="BA74" i="50" s="1"/>
  <c r="AU74" i="50"/>
  <c r="AV74" i="50" s="1"/>
  <c r="AU248" i="50"/>
  <c r="AV248" i="50" s="1"/>
  <c r="AZ248" i="50"/>
  <c r="BA248" i="50" s="1"/>
  <c r="AU293" i="50"/>
  <c r="AV293" i="50" s="1"/>
  <c r="AZ293" i="50"/>
  <c r="BA293" i="50" s="1"/>
  <c r="AT273" i="50"/>
  <c r="AO273" i="50"/>
  <c r="AP273" i="50" s="1"/>
  <c r="AZ60" i="50"/>
  <c r="BA60" i="50" s="1"/>
  <c r="AU60" i="50"/>
  <c r="AV60" i="50" s="1"/>
  <c r="AZ58" i="50"/>
  <c r="BA58" i="50" s="1"/>
  <c r="AU58" i="50"/>
  <c r="AV58" i="50" s="1"/>
  <c r="AZ472" i="50"/>
  <c r="BA472" i="50" s="1"/>
  <c r="AU472" i="50"/>
  <c r="AV472" i="50" s="1"/>
  <c r="AT42" i="50"/>
  <c r="AO42" i="50"/>
  <c r="AP42" i="50" s="1"/>
  <c r="AU70" i="50"/>
  <c r="AV70" i="50" s="1"/>
  <c r="AZ70" i="50"/>
  <c r="BA70" i="50" s="1"/>
  <c r="AT62" i="50"/>
  <c r="AO62" i="50"/>
  <c r="AP62" i="50" s="1"/>
  <c r="AZ465" i="50"/>
  <c r="BA465" i="50" s="1"/>
  <c r="AU465" i="50"/>
  <c r="AV465" i="50" s="1"/>
  <c r="AT217" i="50"/>
  <c r="AO217" i="50"/>
  <c r="AP217" i="50" s="1"/>
  <c r="AC451" i="50"/>
  <c r="AD386" i="50"/>
  <c r="AD451" i="50" s="1"/>
  <c r="AT277" i="50"/>
  <c r="AO277" i="50"/>
  <c r="AP277" i="50" s="1"/>
  <c r="AZ298" i="50"/>
  <c r="BA298" i="50" s="1"/>
  <c r="AU298" i="50"/>
  <c r="AV298" i="50" s="1"/>
  <c r="AO405" i="50"/>
  <c r="AP405" i="50" s="1"/>
  <c r="AT405" i="50"/>
  <c r="AO564" i="50"/>
  <c r="AP564" i="50" s="1"/>
  <c r="AT564" i="50"/>
  <c r="AZ142" i="50"/>
  <c r="BA142" i="50" s="1"/>
  <c r="AU142" i="50"/>
  <c r="AV142" i="50" s="1"/>
  <c r="AT288" i="50"/>
  <c r="AO288" i="50"/>
  <c r="AP288" i="50" s="1"/>
  <c r="AZ296" i="50"/>
  <c r="BA296" i="50" s="1"/>
  <c r="AU296" i="50"/>
  <c r="AV296" i="50" s="1"/>
  <c r="AC557" i="50"/>
  <c r="AD453" i="50"/>
  <c r="AD557" i="50" s="1"/>
  <c r="AZ38" i="50"/>
  <c r="BA38" i="50" s="1"/>
  <c r="AU38" i="50"/>
  <c r="AV38" i="50" s="1"/>
  <c r="AT275" i="50"/>
  <c r="AO275" i="50"/>
  <c r="AP275" i="50" s="1"/>
  <c r="AU250" i="50"/>
  <c r="AV250" i="50" s="1"/>
  <c r="AZ250" i="50"/>
  <c r="BA250" i="50" s="1"/>
  <c r="AZ141" i="50"/>
  <c r="BA141" i="50" s="1"/>
  <c r="AU141" i="50"/>
  <c r="AV141" i="50" s="1"/>
  <c r="AZ245" i="50"/>
  <c r="BA245" i="50" s="1"/>
  <c r="AU245" i="50"/>
  <c r="AV245" i="50" s="1"/>
  <c r="AU146" i="50"/>
  <c r="AV146" i="50" s="1"/>
  <c r="AZ146" i="50"/>
  <c r="BA146" i="50" s="1"/>
  <c r="AZ143" i="50"/>
  <c r="BA143" i="50" s="1"/>
  <c r="AU143" i="50"/>
  <c r="AV143" i="50" s="1"/>
  <c r="AZ43" i="50"/>
  <c r="BA43" i="50" s="1"/>
  <c r="AU43" i="50"/>
  <c r="AV43" i="50" s="1"/>
  <c r="AZ26" i="50"/>
  <c r="BA26" i="50" s="1"/>
  <c r="AU26" i="50"/>
  <c r="AV26" i="50" s="1"/>
  <c r="AT263" i="50"/>
  <c r="AO263" i="50"/>
  <c r="AP263" i="50" s="1"/>
  <c r="AZ219" i="50"/>
  <c r="BA219" i="50" s="1"/>
  <c r="AU219" i="50"/>
  <c r="AV219" i="50" s="1"/>
  <c r="AT137" i="50"/>
  <c r="AO137" i="50"/>
  <c r="AP137" i="50" s="1"/>
  <c r="AZ456" i="50"/>
  <c r="BA456" i="50" s="1"/>
  <c r="AU456" i="50"/>
  <c r="AV456" i="50" s="1"/>
  <c r="AZ54" i="50"/>
  <c r="BA54" i="50" s="1"/>
  <c r="AU54" i="50"/>
  <c r="AV54" i="50" s="1"/>
  <c r="AT480" i="50"/>
  <c r="AO480" i="50"/>
  <c r="AP480" i="50" s="1"/>
  <c r="AT136" i="50"/>
  <c r="AO136" i="50"/>
  <c r="AP136" i="50" s="1"/>
  <c r="AU490" i="50"/>
  <c r="AV490" i="50" s="1"/>
  <c r="AZ490" i="50"/>
  <c r="BA490" i="50" s="1"/>
  <c r="AZ72" i="50"/>
  <c r="BA72" i="50" s="1"/>
  <c r="AU72" i="50"/>
  <c r="AV72" i="50" s="1"/>
  <c r="AZ207" i="50"/>
  <c r="BA207" i="50" s="1"/>
  <c r="AU207" i="50"/>
  <c r="AV207" i="50" s="1"/>
  <c r="AZ19" i="50"/>
  <c r="BA19" i="50" s="1"/>
  <c r="AU19" i="50"/>
  <c r="AV19" i="50" s="1"/>
  <c r="AT270" i="50"/>
  <c r="AO270" i="50"/>
  <c r="AP270" i="50" s="1"/>
  <c r="AT255" i="50"/>
  <c r="AO255" i="50"/>
  <c r="AP255" i="50" s="1"/>
  <c r="AU399" i="50"/>
  <c r="AV399" i="50" s="1"/>
  <c r="AZ399" i="50"/>
  <c r="BA399" i="50" s="1"/>
  <c r="AU387" i="50"/>
  <c r="AV387" i="50" s="1"/>
  <c r="AZ387" i="50"/>
  <c r="BA387" i="50" s="1"/>
  <c r="AZ290" i="50"/>
  <c r="BA290" i="50" s="1"/>
  <c r="AU290" i="50"/>
  <c r="AV290" i="50" s="1"/>
  <c r="AZ458" i="50"/>
  <c r="BA458" i="50" s="1"/>
  <c r="AU458" i="50"/>
  <c r="AV458" i="50" s="1"/>
  <c r="AT206" i="50"/>
  <c r="AO206" i="50"/>
  <c r="AP206" i="50" s="1"/>
  <c r="AZ404" i="50"/>
  <c r="BA404" i="50" s="1"/>
  <c r="AU404" i="50"/>
  <c r="AV404" i="50" s="1"/>
  <c r="AZ147" i="50"/>
  <c r="BA147" i="50" s="1"/>
  <c r="AU147" i="50"/>
  <c r="AV147" i="50" s="1"/>
  <c r="AU155" i="50"/>
  <c r="AV155" i="50" s="1"/>
  <c r="AZ155" i="50"/>
  <c r="BA155" i="50" s="1"/>
  <c r="AT257" i="50"/>
  <c r="AO257" i="50"/>
  <c r="AP257" i="50" s="1"/>
  <c r="AT235" i="50"/>
  <c r="AO235" i="50"/>
  <c r="AP235" i="50" s="1"/>
  <c r="AZ21" i="50"/>
  <c r="BA21" i="50" s="1"/>
  <c r="AU21" i="50"/>
  <c r="AV21" i="50" s="1"/>
  <c r="AZ17" i="50"/>
  <c r="BA17" i="50" s="1"/>
  <c r="AU17" i="50"/>
  <c r="AV17" i="50" s="1"/>
  <c r="AO264" i="50"/>
  <c r="AP264" i="50" s="1"/>
  <c r="AT264" i="50"/>
  <c r="AZ152" i="50"/>
  <c r="BA152" i="50" s="1"/>
  <c r="AU152" i="50"/>
  <c r="AV152" i="50" s="1"/>
  <c r="AT470" i="50"/>
  <c r="AO470" i="50"/>
  <c r="AP470" i="50" s="1"/>
  <c r="AD384" i="50"/>
  <c r="AT466" i="50"/>
  <c r="AO466" i="50"/>
  <c r="AP466" i="50" s="1"/>
  <c r="AZ302" i="50"/>
  <c r="BA302" i="50" s="1"/>
  <c r="AU302" i="50"/>
  <c r="AV302" i="50" s="1"/>
  <c r="AZ233" i="50"/>
  <c r="BA233" i="50" s="1"/>
  <c r="AU233" i="50"/>
  <c r="AV233" i="50" s="1"/>
  <c r="AH451" i="50"/>
  <c r="AN386" i="50"/>
  <c r="AI386" i="50"/>
  <c r="AZ48" i="50"/>
  <c r="BA48" i="50" s="1"/>
  <c r="AU48" i="50"/>
  <c r="AV48" i="50" s="1"/>
  <c r="AZ139" i="50"/>
  <c r="BA139" i="50" s="1"/>
  <c r="AU139" i="50"/>
  <c r="AV139" i="50" s="1"/>
  <c r="AZ55" i="50"/>
  <c r="BA55" i="50" s="1"/>
  <c r="AU55" i="50"/>
  <c r="AV55" i="50" s="1"/>
  <c r="AJ5" i="50"/>
  <c r="AJ14" i="50" s="1"/>
  <c r="AI14" i="50"/>
  <c r="AZ294" i="50"/>
  <c r="BA294" i="50" s="1"/>
  <c r="AU294" i="50"/>
  <c r="AV294" i="50" s="1"/>
  <c r="AZ395" i="50"/>
  <c r="BA395" i="50" s="1"/>
  <c r="AU395" i="50"/>
  <c r="AV395" i="50" s="1"/>
  <c r="AT392" i="50"/>
  <c r="AO392" i="50"/>
  <c r="AP392" i="50" s="1"/>
  <c r="AT73" i="50"/>
  <c r="AO73" i="50"/>
  <c r="AP73" i="50" s="1"/>
  <c r="AT229" i="50"/>
  <c r="AO229" i="50"/>
  <c r="AP229" i="50" s="1"/>
  <c r="AZ203" i="50"/>
  <c r="BA203" i="50" s="1"/>
  <c r="AU203" i="50"/>
  <c r="AV203" i="50" s="1"/>
  <c r="AZ301" i="50"/>
  <c r="BA301" i="50" s="1"/>
  <c r="AU301" i="50"/>
  <c r="AV301" i="50" s="1"/>
  <c r="AZ463" i="50"/>
  <c r="BA463" i="50" s="1"/>
  <c r="AU463" i="50"/>
  <c r="AV463" i="50" s="1"/>
  <c r="AU256" i="50"/>
  <c r="AV256" i="50" s="1"/>
  <c r="AZ256" i="50"/>
  <c r="BA256" i="50" s="1"/>
  <c r="AT249" i="50"/>
  <c r="AO249" i="50"/>
  <c r="AP249" i="50" s="1"/>
  <c r="AT68" i="50"/>
  <c r="AO68" i="50"/>
  <c r="AP68" i="50" s="1"/>
  <c r="AZ393" i="50"/>
  <c r="BA393" i="50" s="1"/>
  <c r="AU393" i="50"/>
  <c r="AV393" i="50" s="1"/>
  <c r="AT407" i="50"/>
  <c r="AO407" i="50"/>
  <c r="AP407" i="50" s="1"/>
  <c r="AT236" i="50"/>
  <c r="AO236" i="50"/>
  <c r="AP236" i="50" s="1"/>
  <c r="AZ51" i="50"/>
  <c r="BA51" i="50" s="1"/>
  <c r="AU51" i="50"/>
  <c r="AV51" i="50" s="1"/>
  <c r="AD563" i="50"/>
  <c r="AD579" i="50" s="1"/>
  <c r="AC579" i="50"/>
  <c r="AZ279" i="50"/>
  <c r="BA279" i="50" s="1"/>
  <c r="AU279" i="50"/>
  <c r="AV279" i="50" s="1"/>
  <c r="AT253" i="50"/>
  <c r="AO253" i="50"/>
  <c r="AP253" i="50" s="1"/>
  <c r="T618" i="50"/>
  <c r="AT397" i="50"/>
  <c r="AO397" i="50"/>
  <c r="AP397" i="50" s="1"/>
  <c r="AC384" i="50"/>
  <c r="AC1" i="50" s="1"/>
  <c r="AO214" i="50"/>
  <c r="AP214" i="50" s="1"/>
  <c r="AT214" i="50"/>
  <c r="AT286" i="50"/>
  <c r="AO286" i="50"/>
  <c r="AP286" i="50" s="1"/>
  <c r="AZ162" i="50"/>
  <c r="BA162" i="50" s="1"/>
  <c r="AU162" i="50"/>
  <c r="AV162" i="50" s="1"/>
  <c r="AT282" i="50"/>
  <c r="AO282" i="50"/>
  <c r="AP282" i="50" s="1"/>
  <c r="AZ35" i="50"/>
  <c r="BA35" i="50" s="1"/>
  <c r="AU35" i="50"/>
  <c r="AV35" i="50" s="1"/>
  <c r="AT485" i="50"/>
  <c r="AO485" i="50"/>
  <c r="AP485" i="50" s="1"/>
  <c r="AZ27" i="50"/>
  <c r="BA27" i="50" s="1"/>
  <c r="AU27" i="50"/>
  <c r="AV27" i="50" s="1"/>
  <c r="AT402" i="50"/>
  <c r="AO402" i="50"/>
  <c r="AP402" i="50" s="1"/>
  <c r="AZ230" i="50"/>
  <c r="BA230" i="50" s="1"/>
  <c r="AU230" i="50"/>
  <c r="AV230" i="50" s="1"/>
  <c r="AT269" i="50"/>
  <c r="AO269" i="50"/>
  <c r="AP269" i="50" s="1"/>
  <c r="AO394" i="50"/>
  <c r="AP394" i="50" s="1"/>
  <c r="AT394" i="50"/>
  <c r="AT215" i="50"/>
  <c r="AO215" i="50"/>
  <c r="AP215" i="50" s="1"/>
  <c r="AT566" i="50"/>
  <c r="AO566" i="50"/>
  <c r="AP566" i="50" s="1"/>
  <c r="AZ390" i="50"/>
  <c r="BA390" i="50" s="1"/>
  <c r="AU390" i="50"/>
  <c r="AV390" i="50" s="1"/>
  <c r="AZ251" i="50"/>
  <c r="BA251" i="50" s="1"/>
  <c r="AU251" i="50"/>
  <c r="AV251" i="50" s="1"/>
  <c r="AT468" i="50"/>
  <c r="AO468" i="50"/>
  <c r="AP468" i="50" s="1"/>
  <c r="AU388" i="50"/>
  <c r="AV388" i="50" s="1"/>
  <c r="AZ388" i="50"/>
  <c r="BA388" i="50" s="1"/>
  <c r="AZ252" i="50"/>
  <c r="BA252" i="50" s="1"/>
  <c r="AU252" i="50"/>
  <c r="AV252" i="50" s="1"/>
  <c r="AZ218" i="50"/>
  <c r="BA218" i="50" s="1"/>
  <c r="AU218" i="50"/>
  <c r="AV218" i="50" s="1"/>
  <c r="AT265" i="50"/>
  <c r="AO265" i="50"/>
  <c r="AP265" i="50" s="1"/>
  <c r="AO56" i="50"/>
  <c r="AP56" i="50" s="1"/>
  <c r="AT56" i="50"/>
  <c r="AZ509" i="50"/>
  <c r="BA509" i="50" s="1"/>
  <c r="AU509" i="50"/>
  <c r="AV509" i="50" s="1"/>
  <c r="AT227" i="50"/>
  <c r="AO227" i="50"/>
  <c r="AP227" i="50" s="1"/>
  <c r="AT287" i="50"/>
  <c r="AO287" i="50"/>
  <c r="AP287" i="50" s="1"/>
  <c r="AU238" i="50"/>
  <c r="AV238" i="50" s="1"/>
  <c r="AZ238" i="50"/>
  <c r="BA238" i="50" s="1"/>
  <c r="AO561" i="50"/>
  <c r="AP559" i="50"/>
  <c r="AP561" i="50" s="1"/>
  <c r="AZ241" i="50"/>
  <c r="BA241" i="50" s="1"/>
  <c r="AU241" i="50"/>
  <c r="AV241" i="50" s="1"/>
  <c r="AJ200" i="50"/>
  <c r="AJ384" i="50" s="1"/>
  <c r="AT479" i="50"/>
  <c r="AO479" i="50"/>
  <c r="AP479" i="50" s="1"/>
  <c r="AT260" i="50"/>
  <c r="AO260" i="50"/>
  <c r="AP260" i="50" s="1"/>
  <c r="AZ30" i="50"/>
  <c r="BA30" i="50" s="1"/>
  <c r="AU30" i="50"/>
  <c r="AV30" i="50" s="1"/>
  <c r="AZ254" i="50"/>
  <c r="BA254" i="50" s="1"/>
  <c r="AU254" i="50"/>
  <c r="AV254" i="50" s="1"/>
  <c r="AU274" i="50"/>
  <c r="AV274" i="50" s="1"/>
  <c r="AZ274" i="50"/>
  <c r="BA274" i="50" s="1"/>
  <c r="AZ457" i="50"/>
  <c r="BA457" i="50" s="1"/>
  <c r="AU457" i="50"/>
  <c r="AV457" i="50" s="1"/>
  <c r="AZ224" i="50"/>
  <c r="BA224" i="50" s="1"/>
  <c r="AU224" i="50"/>
  <c r="AV224" i="50" s="1"/>
  <c r="AZ37" i="50"/>
  <c r="BA37" i="50" s="1"/>
  <c r="AU37" i="50"/>
  <c r="AV37" i="50" s="1"/>
  <c r="AO159" i="50"/>
  <c r="AP159" i="50" s="1"/>
  <c r="AT159" i="50"/>
  <c r="AC132" i="50"/>
  <c r="AD16" i="50"/>
  <c r="AD132" i="50" s="1"/>
  <c r="AZ559" i="50"/>
  <c r="AT561" i="50"/>
  <c r="AU559" i="50"/>
  <c r="AT228" i="50"/>
  <c r="AO228" i="50"/>
  <c r="AP228" i="50" s="1"/>
  <c r="AT460" i="50"/>
  <c r="AO460" i="50"/>
  <c r="AP460" i="50" s="1"/>
  <c r="AT454" i="50"/>
  <c r="AO454" i="50"/>
  <c r="AP454" i="50" s="1"/>
  <c r="AN510" i="50"/>
  <c r="AI510" i="50"/>
  <c r="AJ510" i="50" s="1"/>
  <c r="AT462" i="50"/>
  <c r="AO462" i="50"/>
  <c r="AP462" i="50" s="1"/>
  <c r="AZ267" i="50"/>
  <c r="BA267" i="50" s="1"/>
  <c r="AU267" i="50"/>
  <c r="AV267" i="50" s="1"/>
  <c r="AZ481" i="50"/>
  <c r="BA481" i="50" s="1"/>
  <c r="AU481" i="50"/>
  <c r="AV481" i="50" s="1"/>
  <c r="AZ569" i="50"/>
  <c r="BA569" i="50" s="1"/>
  <c r="AU569" i="50"/>
  <c r="AV569" i="50" s="1"/>
  <c r="AO167" i="50"/>
  <c r="AP167" i="50" s="1"/>
  <c r="AT167" i="50"/>
  <c r="AZ411" i="50"/>
  <c r="BA411" i="50" s="1"/>
  <c r="AU411" i="50"/>
  <c r="AV411" i="50" s="1"/>
  <c r="AT204" i="50"/>
  <c r="AO204" i="50"/>
  <c r="AP204" i="50" s="1"/>
  <c r="AT396" i="50"/>
  <c r="AO396" i="50"/>
  <c r="AP396" i="50" s="1"/>
  <c r="AO208" i="50"/>
  <c r="AP208" i="50" s="1"/>
  <c r="AT208" i="50"/>
  <c r="AZ455" i="50"/>
  <c r="BA455" i="50" s="1"/>
  <c r="AU455" i="50"/>
  <c r="AV455" i="50" s="1"/>
  <c r="AN202" i="50"/>
  <c r="AI202" i="50"/>
  <c r="AJ202" i="50" s="1"/>
  <c r="AU150" i="50"/>
  <c r="AV150" i="50" s="1"/>
  <c r="AZ150" i="50"/>
  <c r="BA150" i="50" s="1"/>
  <c r="AZ40" i="50"/>
  <c r="BA40" i="50" s="1"/>
  <c r="AU40" i="50"/>
  <c r="AV40" i="50" s="1"/>
  <c r="AU163" i="50"/>
  <c r="AV163" i="50" s="1"/>
  <c r="AZ163" i="50"/>
  <c r="BA163" i="50" s="1"/>
  <c r="AZ243" i="50"/>
  <c r="BA243" i="50" s="1"/>
  <c r="AU243" i="50"/>
  <c r="AV243" i="50" s="1"/>
  <c r="AZ65" i="50"/>
  <c r="BA65" i="50" s="1"/>
  <c r="AU65" i="50"/>
  <c r="AV65" i="50" s="1"/>
  <c r="AT231" i="50"/>
  <c r="AO231" i="50"/>
  <c r="AP231" i="50" s="1"/>
  <c r="AT158" i="50"/>
  <c r="AO158" i="50"/>
  <c r="AP158" i="50" s="1"/>
  <c r="AZ156" i="50"/>
  <c r="BA156" i="50" s="1"/>
  <c r="AU156" i="50"/>
  <c r="AV156" i="50" s="1"/>
  <c r="AZ568" i="50"/>
  <c r="BA568" i="50" s="1"/>
  <c r="AU568" i="50"/>
  <c r="AV568" i="50" s="1"/>
  <c r="AZ464" i="50"/>
  <c r="BA464" i="50" s="1"/>
  <c r="AU464" i="50"/>
  <c r="AV464" i="50" s="1"/>
  <c r="AZ63" i="50"/>
  <c r="BA63" i="50" s="1"/>
  <c r="AU63" i="50"/>
  <c r="AV63" i="50" s="1"/>
  <c r="N609" i="50"/>
  <c r="U609" i="50" s="1"/>
  <c r="L591" i="50"/>
  <c r="AH579" i="50"/>
  <c r="AN563" i="50"/>
  <c r="AI563" i="50"/>
  <c r="AN384" i="50"/>
  <c r="AO200" i="50"/>
  <c r="AT200" i="50"/>
  <c r="AT262" i="50"/>
  <c r="AO262" i="50"/>
  <c r="AP262" i="50" s="1"/>
  <c r="AZ244" i="50"/>
  <c r="BA244" i="50" s="1"/>
  <c r="AU244" i="50"/>
  <c r="AV244" i="50" s="1"/>
  <c r="AT71" i="50"/>
  <c r="AO71" i="50"/>
  <c r="AP71" i="50" s="1"/>
  <c r="AZ247" i="50"/>
  <c r="BA247" i="50" s="1"/>
  <c r="AU247" i="50"/>
  <c r="AV247" i="50" s="1"/>
  <c r="AZ145" i="50"/>
  <c r="BA145" i="50" s="1"/>
  <c r="AU145" i="50"/>
  <c r="AV145" i="50" s="1"/>
  <c r="AZ25" i="50"/>
  <c r="BA25" i="50" s="1"/>
  <c r="AU25" i="50"/>
  <c r="AV25" i="50" s="1"/>
  <c r="AT50" i="50"/>
  <c r="AO50" i="50"/>
  <c r="AP50" i="50" s="1"/>
  <c r="AZ32" i="50"/>
  <c r="BA32" i="50" s="1"/>
  <c r="AU32" i="50"/>
  <c r="AV32" i="50" s="1"/>
  <c r="AU398" i="50"/>
  <c r="AV398" i="50" s="1"/>
  <c r="AZ398" i="50"/>
  <c r="BA398" i="50" s="1"/>
  <c r="AZ144" i="50"/>
  <c r="BA144" i="50" s="1"/>
  <c r="AU144" i="50"/>
  <c r="AV144" i="50" s="1"/>
  <c r="G17" i="8"/>
  <c r="E10" i="22"/>
  <c r="C19" i="10"/>
  <c r="E85" i="7"/>
  <c r="D17" i="3" s="1"/>
  <c r="R579" i="39"/>
  <c r="R582" i="39"/>
  <c r="C61" i="9"/>
  <c r="C257" i="18"/>
  <c r="F42" i="22"/>
  <c r="C185" i="18"/>
  <c r="B34" i="10"/>
  <c r="B316" i="18"/>
  <c r="B10" i="10"/>
  <c r="B103" i="10"/>
  <c r="R583" i="39"/>
  <c r="R577" i="39"/>
  <c r="Q584" i="39"/>
  <c r="N584" i="39"/>
  <c r="M584" i="39"/>
  <c r="I584" i="39"/>
  <c r="R576" i="39"/>
  <c r="AI384" i="50" l="1"/>
  <c r="AZ287" i="50"/>
  <c r="BA287" i="50" s="1"/>
  <c r="AU287" i="50"/>
  <c r="AV287" i="50" s="1"/>
  <c r="AZ265" i="50"/>
  <c r="BA265" i="50" s="1"/>
  <c r="AU265" i="50"/>
  <c r="AV265" i="50" s="1"/>
  <c r="AZ468" i="50"/>
  <c r="BA468" i="50" s="1"/>
  <c r="AU468" i="50"/>
  <c r="AV468" i="50" s="1"/>
  <c r="AZ215" i="50"/>
  <c r="BA215" i="50" s="1"/>
  <c r="AU215" i="50"/>
  <c r="AV215" i="50" s="1"/>
  <c r="AZ402" i="50"/>
  <c r="BA402" i="50" s="1"/>
  <c r="AU402" i="50"/>
  <c r="AV402" i="50" s="1"/>
  <c r="AZ282" i="50"/>
  <c r="BA282" i="50" s="1"/>
  <c r="AU282" i="50"/>
  <c r="AV282" i="50" s="1"/>
  <c r="AZ257" i="50"/>
  <c r="BA257" i="50" s="1"/>
  <c r="AU257" i="50"/>
  <c r="AV257" i="50" s="1"/>
  <c r="AZ206" i="50"/>
  <c r="BA206" i="50" s="1"/>
  <c r="AU206" i="50"/>
  <c r="AV206" i="50" s="1"/>
  <c r="AZ480" i="50"/>
  <c r="BA480" i="50" s="1"/>
  <c r="AU480" i="50"/>
  <c r="AV480" i="50" s="1"/>
  <c r="AZ217" i="50"/>
  <c r="BA217" i="50" s="1"/>
  <c r="AU217" i="50"/>
  <c r="AV217" i="50" s="1"/>
  <c r="AZ42" i="50"/>
  <c r="BA42" i="50" s="1"/>
  <c r="AU42" i="50"/>
  <c r="AV42" i="50" s="1"/>
  <c r="AZ273" i="50"/>
  <c r="BA273" i="50" s="1"/>
  <c r="AU273" i="50"/>
  <c r="AV273" i="50" s="1"/>
  <c r="AZ486" i="50"/>
  <c r="BA486" i="50" s="1"/>
  <c r="AU486" i="50"/>
  <c r="AV486" i="50" s="1"/>
  <c r="AZ317" i="50"/>
  <c r="BA317" i="50" s="1"/>
  <c r="AU317" i="50"/>
  <c r="AV317" i="50" s="1"/>
  <c r="AU473" i="50"/>
  <c r="AV473" i="50" s="1"/>
  <c r="AZ473" i="50"/>
  <c r="BA473" i="50" s="1"/>
  <c r="AZ482" i="50"/>
  <c r="BA482" i="50" s="1"/>
  <c r="AU482" i="50"/>
  <c r="AV482" i="50" s="1"/>
  <c r="AZ396" i="50"/>
  <c r="BA396" i="50" s="1"/>
  <c r="AU396" i="50"/>
  <c r="AV396" i="50" s="1"/>
  <c r="AT510" i="50"/>
  <c r="AO510" i="50"/>
  <c r="AP510" i="50" s="1"/>
  <c r="Q609" i="50"/>
  <c r="R609" i="50" s="1"/>
  <c r="N624" i="50"/>
  <c r="Q624" i="50" s="1"/>
  <c r="AZ394" i="50"/>
  <c r="BA394" i="50" s="1"/>
  <c r="AU394" i="50"/>
  <c r="AV394" i="50" s="1"/>
  <c r="AZ397" i="50"/>
  <c r="BA397" i="50" s="1"/>
  <c r="AU397" i="50"/>
  <c r="AV397" i="50" s="1"/>
  <c r="AZ73" i="50"/>
  <c r="BA73" i="50" s="1"/>
  <c r="AU73" i="50"/>
  <c r="AV73" i="50" s="1"/>
  <c r="AI451" i="50"/>
  <c r="AJ386" i="50"/>
  <c r="AJ451" i="50" s="1"/>
  <c r="AU466" i="50"/>
  <c r="AV466" i="50" s="1"/>
  <c r="AZ466" i="50"/>
  <c r="BA466" i="50" s="1"/>
  <c r="AZ283" i="50"/>
  <c r="BA283" i="50" s="1"/>
  <c r="AU283" i="50"/>
  <c r="AV283" i="50" s="1"/>
  <c r="AZ209" i="50"/>
  <c r="BA209" i="50" s="1"/>
  <c r="AU209" i="50"/>
  <c r="AV209" i="50" s="1"/>
  <c r="AU565" i="50"/>
  <c r="AV565" i="50" s="1"/>
  <c r="AZ565" i="50"/>
  <c r="BA565" i="50" s="1"/>
  <c r="AZ50" i="50"/>
  <c r="BA50" i="50" s="1"/>
  <c r="AU50" i="50"/>
  <c r="AV50" i="50" s="1"/>
  <c r="AZ231" i="50"/>
  <c r="BA231" i="50" s="1"/>
  <c r="AU231" i="50"/>
  <c r="AV231" i="50" s="1"/>
  <c r="AZ288" i="50"/>
  <c r="BA288" i="50" s="1"/>
  <c r="AU288" i="50"/>
  <c r="AV288" i="50" s="1"/>
  <c r="AN132" i="50"/>
  <c r="AT16" i="50"/>
  <c r="AO16" i="50"/>
  <c r="AN1" i="50"/>
  <c r="AQ1" i="50" s="1"/>
  <c r="AZ477" i="50"/>
  <c r="BA477" i="50" s="1"/>
  <c r="AU477" i="50"/>
  <c r="AV477" i="50" s="1"/>
  <c r="AZ208" i="50"/>
  <c r="BA208" i="50" s="1"/>
  <c r="AU208" i="50"/>
  <c r="AV208" i="50" s="1"/>
  <c r="AZ71" i="50"/>
  <c r="BA71" i="50" s="1"/>
  <c r="AU71" i="50"/>
  <c r="AV71" i="50" s="1"/>
  <c r="AU68" i="50"/>
  <c r="AV68" i="50" s="1"/>
  <c r="AZ68" i="50"/>
  <c r="BA68" i="50" s="1"/>
  <c r="AZ49" i="50"/>
  <c r="BA49" i="50" s="1"/>
  <c r="AU49" i="50"/>
  <c r="AV49" i="50" s="1"/>
  <c r="AI132" i="50"/>
  <c r="AJ16" i="50"/>
  <c r="AJ132" i="50" s="1"/>
  <c r="AZ462" i="50"/>
  <c r="BA462" i="50" s="1"/>
  <c r="AU462" i="50"/>
  <c r="AV462" i="50" s="1"/>
  <c r="AN579" i="50"/>
  <c r="AT563" i="50"/>
  <c r="AO563" i="50"/>
  <c r="V591" i="50"/>
  <c r="M591" i="50"/>
  <c r="Q591" i="50" s="1"/>
  <c r="AN451" i="50"/>
  <c r="AT386" i="50"/>
  <c r="AO386" i="50"/>
  <c r="AZ255" i="50"/>
  <c r="BA255" i="50" s="1"/>
  <c r="AU255" i="50"/>
  <c r="AV255" i="50" s="1"/>
  <c r="AZ263" i="50"/>
  <c r="BA263" i="50" s="1"/>
  <c r="AU263" i="50"/>
  <c r="AV263" i="50" s="1"/>
  <c r="AZ570" i="50"/>
  <c r="BA570" i="50" s="1"/>
  <c r="AU570" i="50"/>
  <c r="AV570" i="50" s="1"/>
  <c r="AZ459" i="50"/>
  <c r="BA459" i="50" s="1"/>
  <c r="AU459" i="50"/>
  <c r="AV459" i="50" s="1"/>
  <c r="AZ392" i="50"/>
  <c r="BA392" i="50" s="1"/>
  <c r="AU392" i="50"/>
  <c r="AV392" i="50" s="1"/>
  <c r="AZ484" i="50"/>
  <c r="BA484" i="50" s="1"/>
  <c r="AU484" i="50"/>
  <c r="AV484" i="50" s="1"/>
  <c r="AZ260" i="50"/>
  <c r="BA260" i="50" s="1"/>
  <c r="AU260" i="50"/>
  <c r="AV260" i="50" s="1"/>
  <c r="AZ269" i="50"/>
  <c r="BA269" i="50" s="1"/>
  <c r="AU269" i="50"/>
  <c r="AV269" i="50" s="1"/>
  <c r="AZ485" i="50"/>
  <c r="BA485" i="50" s="1"/>
  <c r="AU485" i="50"/>
  <c r="AV485" i="50" s="1"/>
  <c r="AZ286" i="50"/>
  <c r="BA286" i="50" s="1"/>
  <c r="AU286" i="50"/>
  <c r="AV286" i="50" s="1"/>
  <c r="AZ470" i="50"/>
  <c r="BA470" i="50" s="1"/>
  <c r="AU470" i="50"/>
  <c r="AV470" i="50" s="1"/>
  <c r="AZ270" i="50"/>
  <c r="BA270" i="50" s="1"/>
  <c r="AU270" i="50"/>
  <c r="AV270" i="50" s="1"/>
  <c r="AZ277" i="50"/>
  <c r="BA277" i="50" s="1"/>
  <c r="AU277" i="50"/>
  <c r="AV277" i="50" s="1"/>
  <c r="AZ62" i="50"/>
  <c r="BA62" i="50" s="1"/>
  <c r="AU62" i="50"/>
  <c r="AV62" i="50" s="1"/>
  <c r="AZ276" i="50"/>
  <c r="BA276" i="50" s="1"/>
  <c r="AU276" i="50"/>
  <c r="AV276" i="50" s="1"/>
  <c r="AZ167" i="50"/>
  <c r="BA167" i="50" s="1"/>
  <c r="AU167" i="50"/>
  <c r="AV167" i="50" s="1"/>
  <c r="AZ479" i="50"/>
  <c r="BA479" i="50" s="1"/>
  <c r="AU479" i="50"/>
  <c r="AV479" i="50" s="1"/>
  <c r="AI579" i="50"/>
  <c r="AJ563" i="50"/>
  <c r="AJ579" i="50" s="1"/>
  <c r="AU561" i="50"/>
  <c r="S609" i="50" s="1"/>
  <c r="AV559" i="50"/>
  <c r="AV561" i="50" s="1"/>
  <c r="BC561" i="50" s="1"/>
  <c r="AZ561" i="50"/>
  <c r="BF561" i="50" s="1"/>
  <c r="BA559" i="50"/>
  <c r="BA561" i="50" s="1"/>
  <c r="AZ227" i="50"/>
  <c r="BA227" i="50" s="1"/>
  <c r="AU227" i="50"/>
  <c r="AV227" i="50" s="1"/>
  <c r="AZ275" i="50"/>
  <c r="BA275" i="50" s="1"/>
  <c r="AU275" i="50"/>
  <c r="AV275" i="50" s="1"/>
  <c r="AZ280" i="50"/>
  <c r="BA280" i="50" s="1"/>
  <c r="AU280" i="50"/>
  <c r="AV280" i="50" s="1"/>
  <c r="AZ166" i="50"/>
  <c r="BA166" i="50" s="1"/>
  <c r="AU166" i="50"/>
  <c r="AV166" i="50" s="1"/>
  <c r="AZ262" i="50"/>
  <c r="BA262" i="50" s="1"/>
  <c r="AU262" i="50"/>
  <c r="AV262" i="50" s="1"/>
  <c r="AT202" i="50"/>
  <c r="AO202" i="50"/>
  <c r="AP202" i="50" s="1"/>
  <c r="AZ204" i="50"/>
  <c r="BA204" i="50" s="1"/>
  <c r="AU204" i="50"/>
  <c r="AV204" i="50" s="1"/>
  <c r="AZ454" i="50"/>
  <c r="BA454" i="50" s="1"/>
  <c r="AU454" i="50"/>
  <c r="AV454" i="50" s="1"/>
  <c r="AT384" i="50"/>
  <c r="AZ200" i="50"/>
  <c r="AU200" i="50"/>
  <c r="AO384" i="50"/>
  <c r="AP200" i="50"/>
  <c r="AP384" i="50" s="1"/>
  <c r="AZ158" i="50"/>
  <c r="BA158" i="50" s="1"/>
  <c r="AU158" i="50"/>
  <c r="AV158" i="50" s="1"/>
  <c r="AU460" i="50"/>
  <c r="AV460" i="50" s="1"/>
  <c r="AZ460" i="50"/>
  <c r="BA460" i="50" s="1"/>
  <c r="AZ159" i="50"/>
  <c r="BA159" i="50" s="1"/>
  <c r="AU159" i="50"/>
  <c r="AV159" i="50" s="1"/>
  <c r="AZ56" i="50"/>
  <c r="BA56" i="50" s="1"/>
  <c r="AU56" i="50"/>
  <c r="AV56" i="50" s="1"/>
  <c r="AZ214" i="50"/>
  <c r="BA214" i="50" s="1"/>
  <c r="AU214" i="50"/>
  <c r="AV214" i="50" s="1"/>
  <c r="AZ253" i="50"/>
  <c r="BA253" i="50" s="1"/>
  <c r="AU253" i="50"/>
  <c r="AV253" i="50" s="1"/>
  <c r="AZ236" i="50"/>
  <c r="BA236" i="50" s="1"/>
  <c r="AU236" i="50"/>
  <c r="AV236" i="50" s="1"/>
  <c r="AZ249" i="50"/>
  <c r="BA249" i="50" s="1"/>
  <c r="AU249" i="50"/>
  <c r="AV249" i="50" s="1"/>
  <c r="AZ564" i="50"/>
  <c r="BA564" i="50" s="1"/>
  <c r="AU564" i="50"/>
  <c r="AV564" i="50" s="1"/>
  <c r="AZ469" i="50"/>
  <c r="BA469" i="50" s="1"/>
  <c r="AU469" i="50"/>
  <c r="AV469" i="50" s="1"/>
  <c r="AZ201" i="50"/>
  <c r="BA201" i="50" s="1"/>
  <c r="AU201" i="50"/>
  <c r="AV201" i="50" s="1"/>
  <c r="AZ59" i="50"/>
  <c r="BA59" i="50" s="1"/>
  <c r="AU59" i="50"/>
  <c r="AV59" i="50" s="1"/>
  <c r="AJ135" i="50"/>
  <c r="AJ198" i="50" s="1"/>
  <c r="AI198" i="50"/>
  <c r="AI557" i="50"/>
  <c r="AJ453" i="50"/>
  <c r="AJ557" i="50" s="1"/>
  <c r="AZ137" i="50"/>
  <c r="BA137" i="50" s="1"/>
  <c r="AU137" i="50"/>
  <c r="AV137" i="50" s="1"/>
  <c r="AZ149" i="50"/>
  <c r="BA149" i="50" s="1"/>
  <c r="AU149" i="50"/>
  <c r="AV149" i="50" s="1"/>
  <c r="AZ391" i="50"/>
  <c r="BA391" i="50" s="1"/>
  <c r="AU391" i="50"/>
  <c r="AV391" i="50" s="1"/>
  <c r="AN557" i="50"/>
  <c r="AT453" i="50"/>
  <c r="AO453" i="50"/>
  <c r="L588" i="50"/>
  <c r="N606" i="50"/>
  <c r="U606" i="50" s="1"/>
  <c r="AZ566" i="50"/>
  <c r="BA566" i="50" s="1"/>
  <c r="AU566" i="50"/>
  <c r="AV566" i="50" s="1"/>
  <c r="AZ235" i="50"/>
  <c r="BA235" i="50" s="1"/>
  <c r="AU235" i="50"/>
  <c r="AV235" i="50" s="1"/>
  <c r="AZ136" i="50"/>
  <c r="BA136" i="50" s="1"/>
  <c r="AU136" i="50"/>
  <c r="AV136" i="50" s="1"/>
  <c r="AZ475" i="50"/>
  <c r="BA475" i="50" s="1"/>
  <c r="AU475" i="50"/>
  <c r="AV475" i="50" s="1"/>
  <c r="AZ69" i="50"/>
  <c r="BA69" i="50" s="1"/>
  <c r="AU69" i="50"/>
  <c r="AV69" i="50" s="1"/>
  <c r="AZ228" i="50"/>
  <c r="BA228" i="50" s="1"/>
  <c r="AU228" i="50"/>
  <c r="AV228" i="50" s="1"/>
  <c r="AU407" i="50"/>
  <c r="AV407" i="50" s="1"/>
  <c r="AZ407" i="50"/>
  <c r="BA407" i="50" s="1"/>
  <c r="AZ229" i="50"/>
  <c r="BA229" i="50" s="1"/>
  <c r="AU229" i="50"/>
  <c r="AV229" i="50" s="1"/>
  <c r="AZ264" i="50"/>
  <c r="BA264" i="50" s="1"/>
  <c r="AU264" i="50"/>
  <c r="AV264" i="50" s="1"/>
  <c r="AZ405" i="50"/>
  <c r="BA405" i="50" s="1"/>
  <c r="AU405" i="50"/>
  <c r="AV405" i="50" s="1"/>
  <c r="AZ216" i="50"/>
  <c r="BA216" i="50" s="1"/>
  <c r="AU216" i="50"/>
  <c r="AV216" i="50" s="1"/>
  <c r="AU210" i="50"/>
  <c r="AV210" i="50" s="1"/>
  <c r="AZ210" i="50"/>
  <c r="BA210" i="50" s="1"/>
  <c r="AZ237" i="50"/>
  <c r="BA237" i="50" s="1"/>
  <c r="AU237" i="50"/>
  <c r="AV237" i="50" s="1"/>
  <c r="AZ212" i="50"/>
  <c r="BA212" i="50" s="1"/>
  <c r="AU212" i="50"/>
  <c r="AV212" i="50" s="1"/>
  <c r="AN198" i="50"/>
  <c r="AO135" i="50"/>
  <c r="AT135" i="50"/>
  <c r="R584" i="39"/>
  <c r="C58" i="9"/>
  <c r="C296" i="18"/>
  <c r="C295" i="18"/>
  <c r="C294" i="18"/>
  <c r="C293" i="18"/>
  <c r="C292" i="18"/>
  <c r="C373" i="18"/>
  <c r="C371" i="18"/>
  <c r="C370" i="18"/>
  <c r="C369" i="18"/>
  <c r="C356" i="18"/>
  <c r="C358" i="18"/>
  <c r="C349" i="18"/>
  <c r="C348" i="18"/>
  <c r="C361" i="18"/>
  <c r="C359" i="18"/>
  <c r="C357" i="18"/>
  <c r="C355" i="18"/>
  <c r="C354" i="18"/>
  <c r="C353" i="18"/>
  <c r="C352" i="18"/>
  <c r="C350" i="18"/>
  <c r="C344" i="18"/>
  <c r="C343" i="18"/>
  <c r="C342" i="18"/>
  <c r="C341" i="18"/>
  <c r="C336" i="18"/>
  <c r="C335" i="18"/>
  <c r="C334" i="18"/>
  <c r="C333" i="18"/>
  <c r="C332" i="18"/>
  <c r="C331" i="18"/>
  <c r="C330" i="18"/>
  <c r="C329" i="18"/>
  <c r="C328" i="18"/>
  <c r="C327" i="18"/>
  <c r="C326" i="18"/>
  <c r="C322" i="18"/>
  <c r="C321" i="18"/>
  <c r="C320" i="18"/>
  <c r="C319" i="18"/>
  <c r="C288" i="18"/>
  <c r="C287" i="18"/>
  <c r="C300" i="18"/>
  <c r="C315" i="18"/>
  <c r="C314" i="18"/>
  <c r="C313" i="18"/>
  <c r="C312" i="18"/>
  <c r="C311" i="18"/>
  <c r="C310" i="18"/>
  <c r="C309" i="18"/>
  <c r="C308" i="18"/>
  <c r="C307" i="18"/>
  <c r="C306" i="18"/>
  <c r="C305" i="18"/>
  <c r="C304" i="18"/>
  <c r="C303" i="18"/>
  <c r="C302" i="18"/>
  <c r="C301" i="18"/>
  <c r="C80" i="10"/>
  <c r="C72" i="10"/>
  <c r="C71" i="10"/>
  <c r="C70" i="10"/>
  <c r="C69" i="10"/>
  <c r="C68" i="10"/>
  <c r="C67" i="10"/>
  <c r="C66" i="10"/>
  <c r="C65" i="10"/>
  <c r="C64" i="10"/>
  <c r="C61" i="10"/>
  <c r="C56" i="10"/>
  <c r="C55" i="10"/>
  <c r="C53" i="10"/>
  <c r="C52" i="10"/>
  <c r="C51" i="10"/>
  <c r="C50" i="10"/>
  <c r="C49" i="10"/>
  <c r="C48" i="10"/>
  <c r="C47" i="10"/>
  <c r="C44" i="10"/>
  <c r="C42" i="10"/>
  <c r="C40" i="10"/>
  <c r="C39" i="10"/>
  <c r="C38" i="10"/>
  <c r="C282" i="18"/>
  <c r="C281" i="18"/>
  <c r="C280" i="18"/>
  <c r="C279" i="18"/>
  <c r="C13" i="9"/>
  <c r="C24" i="10"/>
  <c r="C23" i="10"/>
  <c r="C9" i="10"/>
  <c r="C8" i="10"/>
  <c r="E52" i="7"/>
  <c r="D33" i="7"/>
  <c r="B33" i="7"/>
  <c r="D44" i="7"/>
  <c r="B44" i="7"/>
  <c r="BA200" i="50" l="1"/>
  <c r="AT579" i="50"/>
  <c r="AZ563" i="50"/>
  <c r="AU563" i="50"/>
  <c r="Q606" i="50"/>
  <c r="R606" i="50" s="1"/>
  <c r="N621" i="50"/>
  <c r="Q621" i="50" s="1"/>
  <c r="N610" i="50"/>
  <c r="U610" i="50" s="1"/>
  <c r="L592" i="50"/>
  <c r="AO132" i="50"/>
  <c r="AP16" i="50"/>
  <c r="AP132" i="50" s="1"/>
  <c r="AO1" i="50"/>
  <c r="N608" i="50"/>
  <c r="U608" i="50" s="1"/>
  <c r="L590" i="50"/>
  <c r="S624" i="50"/>
  <c r="BG561" i="50"/>
  <c r="AO451" i="50"/>
  <c r="AP386" i="50"/>
  <c r="AP451" i="50" s="1"/>
  <c r="AT132" i="50"/>
  <c r="AZ16" i="50"/>
  <c r="AU16" i="50"/>
  <c r="T624" i="50"/>
  <c r="AT451" i="50"/>
  <c r="AZ386" i="50"/>
  <c r="AU386" i="50"/>
  <c r="L586" i="50"/>
  <c r="N604" i="50"/>
  <c r="L587" i="50"/>
  <c r="N605" i="50"/>
  <c r="U605" i="50" s="1"/>
  <c r="AT557" i="50"/>
  <c r="AZ453" i="50"/>
  <c r="AU453" i="50"/>
  <c r="L589" i="50"/>
  <c r="N607" i="50"/>
  <c r="U607" i="50" s="1"/>
  <c r="AI1" i="50"/>
  <c r="AZ510" i="50"/>
  <c r="BA510" i="50" s="1"/>
  <c r="AU510" i="50"/>
  <c r="AV510" i="50" s="1"/>
  <c r="AP135" i="50"/>
  <c r="AP198" i="50" s="1"/>
  <c r="AO198" i="50"/>
  <c r="AO557" i="50"/>
  <c r="AP453" i="50"/>
  <c r="AP557" i="50" s="1"/>
  <c r="AZ135" i="50"/>
  <c r="AT198" i="50"/>
  <c r="AU135" i="50"/>
  <c r="V588" i="50"/>
  <c r="M588" i="50"/>
  <c r="Q588" i="50" s="1"/>
  <c r="AV200" i="50"/>
  <c r="AU202" i="50"/>
  <c r="AV202" i="50" s="1"/>
  <c r="AZ202" i="50"/>
  <c r="BA202" i="50" s="1"/>
  <c r="AO579" i="50"/>
  <c r="AP563" i="50"/>
  <c r="AP579" i="50" s="1"/>
  <c r="C283" i="18"/>
  <c r="C31" i="10" s="1"/>
  <c r="C366" i="18"/>
  <c r="C323" i="18"/>
  <c r="C46" i="10" s="1"/>
  <c r="C289" i="18"/>
  <c r="C297" i="18"/>
  <c r="C33" i="10" s="1"/>
  <c r="C337" i="18"/>
  <c r="C59" i="10" s="1"/>
  <c r="C316" i="18"/>
  <c r="C41" i="10" s="1"/>
  <c r="C345" i="18"/>
  <c r="C374" i="18"/>
  <c r="C91" i="10" s="1"/>
  <c r="C25" i="10"/>
  <c r="C27" i="10" s="1"/>
  <c r="C10" i="10"/>
  <c r="C109" i="10"/>
  <c r="C103" i="10"/>
  <c r="B23" i="10"/>
  <c r="C8" i="9"/>
  <c r="B51" i="9"/>
  <c r="B52" i="9" s="1"/>
  <c r="E115" i="7"/>
  <c r="E60" i="11"/>
  <c r="C6" i="9"/>
  <c r="G8" i="8"/>
  <c r="E6" i="7"/>
  <c r="C101" i="10" s="1"/>
  <c r="D6" i="7"/>
  <c r="D72" i="7" s="1"/>
  <c r="F5" i="22"/>
  <c r="E5" i="22"/>
  <c r="AZ198" i="50" l="1"/>
  <c r="BF198" i="50" s="1"/>
  <c r="BA135" i="50"/>
  <c r="BA198" i="50" s="1"/>
  <c r="V586" i="50"/>
  <c r="L593" i="50"/>
  <c r="M586" i="50"/>
  <c r="V589" i="50"/>
  <c r="M589" i="50"/>
  <c r="Q589" i="50" s="1"/>
  <c r="AU451" i="50"/>
  <c r="S607" i="50" s="1"/>
  <c r="AV386" i="50"/>
  <c r="AV451" i="50" s="1"/>
  <c r="BC451" i="50" s="1"/>
  <c r="V592" i="50"/>
  <c r="M592" i="50"/>
  <c r="Q592" i="50" s="1"/>
  <c r="AZ384" i="50"/>
  <c r="BF384" i="50" s="1"/>
  <c r="AU557" i="50"/>
  <c r="S608" i="50" s="1"/>
  <c r="AV453" i="50"/>
  <c r="AV557" i="50" s="1"/>
  <c r="BC557" i="50" s="1"/>
  <c r="AZ451" i="50"/>
  <c r="BF451" i="50" s="1"/>
  <c r="BA386" i="50"/>
  <c r="BA451" i="50" s="1"/>
  <c r="AU384" i="50"/>
  <c r="S606" i="50" s="1"/>
  <c r="AZ557" i="50"/>
  <c r="BF557" i="50" s="1"/>
  <c r="BA453" i="50"/>
  <c r="BA557" i="50" s="1"/>
  <c r="Q607" i="50"/>
  <c r="R607" i="50" s="1"/>
  <c r="N622" i="50"/>
  <c r="Q622" i="50" s="1"/>
  <c r="AV135" i="50"/>
  <c r="AV198" i="50" s="1"/>
  <c r="BC198" i="50" s="1"/>
  <c r="AU198" i="50"/>
  <c r="S605" i="50" s="1"/>
  <c r="V587" i="50"/>
  <c r="M587" i="50"/>
  <c r="Q587" i="50" s="1"/>
  <c r="AZ132" i="50"/>
  <c r="BF132" i="50" s="1"/>
  <c r="BA16" i="50"/>
  <c r="BA132" i="50" s="1"/>
  <c r="AZ579" i="50"/>
  <c r="BF579" i="50" s="1"/>
  <c r="BA563" i="50"/>
  <c r="BA579" i="50" s="1"/>
  <c r="BA384" i="50"/>
  <c r="AV384" i="50"/>
  <c r="BC384" i="50" s="1"/>
  <c r="Q608" i="50"/>
  <c r="R608" i="50" s="1"/>
  <c r="N623" i="50"/>
  <c r="Q623" i="50" s="1"/>
  <c r="V590" i="50"/>
  <c r="M590" i="50"/>
  <c r="Q590" i="50" s="1"/>
  <c r="AU132" i="50"/>
  <c r="S604" i="50" s="1"/>
  <c r="AV16" i="50"/>
  <c r="AV132" i="50" s="1"/>
  <c r="BC132" i="50" s="1"/>
  <c r="AU579" i="50"/>
  <c r="S610" i="50" s="1"/>
  <c r="AV563" i="50"/>
  <c r="AV579" i="50" s="1"/>
  <c r="BC579" i="50" s="1"/>
  <c r="N620" i="50"/>
  <c r="Q620" i="50" s="1"/>
  <c r="Q605" i="50"/>
  <c r="R605" i="50" s="1"/>
  <c r="U604" i="50"/>
  <c r="U611" i="50" s="1"/>
  <c r="N611" i="50"/>
  <c r="N619" i="50"/>
  <c r="Q604" i="50"/>
  <c r="N625" i="50"/>
  <c r="Q625" i="50" s="1"/>
  <c r="Q610" i="50"/>
  <c r="R610" i="50" s="1"/>
  <c r="C17" i="9"/>
  <c r="C83" i="10"/>
  <c r="D77" i="7"/>
  <c r="B55" i="9"/>
  <c r="B90" i="10"/>
  <c r="G6" i="11"/>
  <c r="E72" i="7"/>
  <c r="E77" i="7"/>
  <c r="C55" i="9"/>
  <c r="C95" i="10"/>
  <c r="D119" i="7"/>
  <c r="B65" i="9"/>
  <c r="B107" i="10"/>
  <c r="B22" i="10"/>
  <c r="C107" i="10"/>
  <c r="C22" i="10"/>
  <c r="B30" i="10"/>
  <c r="B6" i="9"/>
  <c r="E47" i="7"/>
  <c r="E65" i="7" s="1"/>
  <c r="B12" i="9"/>
  <c r="B83" i="10"/>
  <c r="C34" i="10"/>
  <c r="D112" i="7"/>
  <c r="C12" i="9"/>
  <c r="C65" i="9"/>
  <c r="C30" i="10"/>
  <c r="C90" i="10"/>
  <c r="H6" i="11"/>
  <c r="E112" i="7"/>
  <c r="B17" i="9"/>
  <c r="B6" i="10"/>
  <c r="B37" i="10"/>
  <c r="B95" i="10"/>
  <c r="G27" i="11"/>
  <c r="D47" i="7"/>
  <c r="D65" i="7" s="1"/>
  <c r="B46" i="9"/>
  <c r="B13" i="10"/>
  <c r="B78" i="10"/>
  <c r="B101" i="10"/>
  <c r="C6" i="10"/>
  <c r="C37" i="10"/>
  <c r="H27" i="11"/>
  <c r="E119" i="7"/>
  <c r="C46" i="9"/>
  <c r="C13" i="10"/>
  <c r="C78" i="10"/>
  <c r="L570" i="39"/>
  <c r="M565" i="39"/>
  <c r="M547" i="39"/>
  <c r="M546" i="39"/>
  <c r="M545" i="39"/>
  <c r="L545" i="39"/>
  <c r="B9" i="33"/>
  <c r="T623" i="50" l="1"/>
  <c r="S622" i="50"/>
  <c r="BG451" i="50"/>
  <c r="T625" i="50"/>
  <c r="S621" i="50"/>
  <c r="T621" i="50" s="1"/>
  <c r="BG384" i="50"/>
  <c r="S620" i="50"/>
  <c r="T620" i="50" s="1"/>
  <c r="BG198" i="50"/>
  <c r="BC580" i="50"/>
  <c r="BG579" i="50"/>
  <c r="S625" i="50"/>
  <c r="Q619" i="50"/>
  <c r="R619" i="50" s="1"/>
  <c r="N626" i="50"/>
  <c r="R604" i="50"/>
  <c r="R611" i="50" s="1"/>
  <c r="Q611" i="50"/>
  <c r="S611" i="50"/>
  <c r="T622" i="50"/>
  <c r="Q586" i="50"/>
  <c r="Q593" i="50" s="1"/>
  <c r="M593" i="50"/>
  <c r="S619" i="50"/>
  <c r="S626" i="50" s="1"/>
  <c r="BG132" i="50"/>
  <c r="L596" i="50"/>
  <c r="J594" i="50"/>
  <c r="J596" i="50" s="1"/>
  <c r="BF580" i="50"/>
  <c r="S623" i="50"/>
  <c r="BG557" i="50"/>
  <c r="V593" i="50"/>
  <c r="E62" i="11"/>
  <c r="E61" i="11"/>
  <c r="C109" i="7"/>
  <c r="B109" i="7"/>
  <c r="F96" i="7"/>
  <c r="C57" i="22"/>
  <c r="C58" i="22"/>
  <c r="B45" i="4"/>
  <c r="B44" i="4"/>
  <c r="E39" i="22"/>
  <c r="A65" i="11"/>
  <c r="BG580" i="50" l="1"/>
  <c r="Q626" i="50"/>
  <c r="E23" i="22"/>
  <c r="I7" i="39"/>
  <c r="C31" i="41"/>
  <c r="D31" i="41" s="1"/>
  <c r="D25" i="41" s="1"/>
  <c r="J12" i="47"/>
  <c r="K13" i="47" s="1"/>
  <c r="G13" i="47"/>
  <c r="G15" i="47"/>
  <c r="D17" i="47"/>
  <c r="C182" i="39"/>
  <c r="C62" i="10"/>
  <c r="C43" i="10"/>
  <c r="J7" i="31"/>
  <c r="G20" i="31"/>
  <c r="D12" i="47"/>
  <c r="G12" i="47" s="1"/>
  <c r="T619" i="50" l="1"/>
  <c r="R626" i="50"/>
  <c r="T626" i="50" s="1"/>
  <c r="F20" i="47"/>
  <c r="F19" i="47"/>
  <c r="F26" i="47"/>
  <c r="F25" i="47"/>
  <c r="F18" i="47"/>
  <c r="F17" i="47"/>
  <c r="F16" i="47"/>
  <c r="D57" i="47"/>
  <c r="D53" i="47"/>
  <c r="G20" i="47" s="1"/>
  <c r="K20" i="47" s="1"/>
  <c r="D48" i="47"/>
  <c r="G19" i="47" s="1"/>
  <c r="K19" i="47" s="1"/>
  <c r="D44" i="47"/>
  <c r="D40" i="47"/>
  <c r="G26" i="47" s="1"/>
  <c r="D36" i="47"/>
  <c r="G25" i="47" s="1"/>
  <c r="D30" i="47"/>
  <c r="G18" i="47" s="1"/>
  <c r="K18" i="47" s="1"/>
  <c r="D21" i="47"/>
  <c r="G16" i="47" s="1"/>
  <c r="D25" i="47"/>
  <c r="D26" i="47" s="1"/>
  <c r="G17" i="47" s="1"/>
  <c r="K17" i="47" s="1"/>
  <c r="E12" i="47"/>
  <c r="G14" i="47" s="1"/>
  <c r="G21" i="47" l="1"/>
  <c r="G23" i="47" s="1"/>
  <c r="G28" i="47"/>
  <c r="K16" i="47"/>
  <c r="J15" i="47"/>
  <c r="D77" i="32"/>
  <c r="C77" i="32"/>
  <c r="E76" i="32"/>
  <c r="E75" i="32"/>
  <c r="E74" i="32"/>
  <c r="H26" i="46"/>
  <c r="H25" i="46"/>
  <c r="H27" i="46" s="1"/>
  <c r="E38" i="46"/>
  <c r="F38" i="46" s="1"/>
  <c r="E77" i="32" l="1"/>
  <c r="E37" i="46"/>
  <c r="F37" i="46" s="1"/>
  <c r="E36" i="46" l="1"/>
  <c r="F36" i="46" s="1"/>
  <c r="E35" i="46" l="1"/>
  <c r="F35" i="46" l="1"/>
  <c r="E39" i="46"/>
  <c r="F39" i="46" s="1"/>
  <c r="J27" i="46"/>
  <c r="I27" i="46"/>
  <c r="G27" i="46"/>
  <c r="D30" i="46"/>
  <c r="C30" i="46"/>
  <c r="C27" i="46"/>
  <c r="D26" i="46"/>
  <c r="D25" i="46"/>
  <c r="D23" i="46"/>
  <c r="E17" i="46"/>
  <c r="D17" i="46"/>
  <c r="D18" i="46" s="1"/>
  <c r="C17" i="46"/>
  <c r="C18" i="46" s="1"/>
  <c r="E13" i="46"/>
  <c r="E8" i="46"/>
  <c r="E9" i="46" s="1"/>
  <c r="D8" i="46"/>
  <c r="D9" i="46" s="1"/>
  <c r="C8" i="46"/>
  <c r="C9" i="46" s="1"/>
  <c r="E18" i="46" l="1"/>
  <c r="F18" i="46" s="1"/>
  <c r="F9" i="46"/>
  <c r="D27" i="46"/>
  <c r="F20" i="46" l="1"/>
  <c r="J75" i="32"/>
  <c r="J76" i="32"/>
  <c r="J74" i="32"/>
  <c r="I77" i="32"/>
  <c r="H77" i="32"/>
  <c r="J77" i="32" l="1"/>
  <c r="J18" i="31"/>
  <c r="E146" i="42" l="1"/>
  <c r="E144" i="42"/>
  <c r="E143" i="42"/>
  <c r="E145" i="42" s="1"/>
  <c r="E147" i="42" s="1"/>
  <c r="E241" i="42"/>
  <c r="C9" i="4"/>
  <c r="F20" i="31" l="1"/>
  <c r="T51" i="32"/>
  <c r="S51" i="32"/>
  <c r="Q51" i="32"/>
  <c r="N49" i="32"/>
  <c r="O51" i="32" l="1"/>
  <c r="N51" i="32"/>
  <c r="N63" i="32"/>
  <c r="R51" i="32" l="1"/>
  <c r="U51" i="32"/>
  <c r="S52" i="32"/>
  <c r="S53" i="32" s="1"/>
  <c r="P51" i="32"/>
  <c r="V51" i="32"/>
  <c r="H8" i="31"/>
  <c r="J17" i="31"/>
  <c r="K52" i="32" l="1"/>
  <c r="H19" i="31"/>
  <c r="J19" i="31" s="1"/>
  <c r="I19" i="31"/>
  <c r="J16" i="31"/>
  <c r="J14" i="31"/>
  <c r="J10" i="31"/>
  <c r="H13" i="31"/>
  <c r="J13" i="31" s="1"/>
  <c r="E33" i="33" l="1"/>
  <c r="F78" i="41" l="1"/>
  <c r="F77" i="41"/>
  <c r="F76" i="41"/>
  <c r="E15" i="41"/>
  <c r="G14" i="41"/>
  <c r="C73" i="10"/>
  <c r="C74" i="10" s="1"/>
  <c r="B58" i="9" l="1"/>
  <c r="B62" i="9" s="1"/>
  <c r="B41" i="10"/>
  <c r="B91" i="10"/>
  <c r="B92" i="10" s="1"/>
  <c r="B8" i="9"/>
  <c r="F79" i="41"/>
  <c r="C62" i="9" l="1"/>
  <c r="H15" i="31"/>
  <c r="J15" i="31" s="1"/>
  <c r="H11" i="31"/>
  <c r="J11" i="31" s="1"/>
  <c r="H12" i="31" l="1"/>
  <c r="J12" i="31" s="1"/>
  <c r="H9" i="31"/>
  <c r="J9" i="31" s="1"/>
  <c r="K7" i="31"/>
  <c r="K8" i="31"/>
  <c r="K9" i="31"/>
  <c r="K10" i="31"/>
  <c r="K11" i="31"/>
  <c r="K12" i="31"/>
  <c r="K13" i="31"/>
  <c r="K14" i="31"/>
  <c r="K15" i="31"/>
  <c r="K16" i="31"/>
  <c r="K17" i="31"/>
  <c r="K18" i="31"/>
  <c r="K19" i="31"/>
  <c r="J8" i="31"/>
  <c r="I6" i="31"/>
  <c r="H6" i="31"/>
  <c r="K6" i="31" l="1"/>
  <c r="K20" i="31" s="1"/>
  <c r="I20" i="31"/>
  <c r="J6" i="31"/>
  <c r="J20" i="31" s="1"/>
  <c r="H20" i="31"/>
  <c r="D120" i="7"/>
  <c r="T6" i="31"/>
  <c r="D21" i="42" l="1"/>
  <c r="H14" i="41"/>
  <c r="H22" i="41"/>
  <c r="H23" i="41" s="1"/>
  <c r="G13" i="41"/>
  <c r="G17" i="41" s="1"/>
  <c r="J16" i="41"/>
  <c r="I15" i="41"/>
  <c r="H13" i="41"/>
  <c r="O22" i="36"/>
  <c r="O21" i="36"/>
  <c r="O20" i="36"/>
  <c r="O19" i="36"/>
  <c r="C67" i="36"/>
  <c r="C68" i="36" s="1"/>
  <c r="C42" i="36"/>
  <c r="F42" i="36" s="1"/>
  <c r="C60" i="36"/>
  <c r="C59" i="36"/>
  <c r="C58" i="36"/>
  <c r="F58" i="36" s="1"/>
  <c r="C57" i="36"/>
  <c r="F57" i="36" s="1"/>
  <c r="C56" i="36"/>
  <c r="F56" i="36" s="1"/>
  <c r="C55" i="36"/>
  <c r="F55" i="36" s="1"/>
  <c r="C54" i="36"/>
  <c r="C53" i="36"/>
  <c r="C52" i="36"/>
  <c r="C51" i="36"/>
  <c r="C50" i="36"/>
  <c r="C49" i="36"/>
  <c r="C48" i="36"/>
  <c r="C47" i="36"/>
  <c r="C46" i="36"/>
  <c r="C45" i="36"/>
  <c r="C44" i="36"/>
  <c r="C43" i="36"/>
  <c r="F43" i="36" s="1"/>
  <c r="C41" i="36"/>
  <c r="C40" i="36"/>
  <c r="C39" i="36"/>
  <c r="E39" i="36" s="1"/>
  <c r="C38" i="36"/>
  <c r="E38" i="36" s="1"/>
  <c r="C37" i="36"/>
  <c r="E37" i="36" s="1"/>
  <c r="C36" i="36"/>
  <c r="E36" i="36" s="1"/>
  <c r="C35" i="36"/>
  <c r="E35" i="36" s="1"/>
  <c r="C34" i="36"/>
  <c r="C33" i="36"/>
  <c r="C32" i="36"/>
  <c r="C31" i="36"/>
  <c r="C30" i="36"/>
  <c r="C29" i="36"/>
  <c r="C28" i="36"/>
  <c r="E28" i="36" s="1"/>
  <c r="C27" i="36"/>
  <c r="C26" i="36"/>
  <c r="C25" i="36"/>
  <c r="F25" i="36" s="1"/>
  <c r="C24" i="36"/>
  <c r="C23" i="36"/>
  <c r="C22" i="36"/>
  <c r="C21" i="36"/>
  <c r="F21" i="36" s="1"/>
  <c r="C20" i="36"/>
  <c r="C19" i="36"/>
  <c r="E19" i="36" s="1"/>
  <c r="C18" i="36"/>
  <c r="E18" i="36" s="1"/>
  <c r="C17" i="36"/>
  <c r="C16" i="36"/>
  <c r="C15" i="36"/>
  <c r="C14" i="36"/>
  <c r="C13" i="36"/>
  <c r="C12" i="36"/>
  <c r="C11" i="36"/>
  <c r="C10" i="36"/>
  <c r="C9" i="36"/>
  <c r="C8" i="36"/>
  <c r="C7" i="36"/>
  <c r="C6" i="36"/>
  <c r="C5" i="36"/>
  <c r="C4" i="36"/>
  <c r="F4" i="36" s="1"/>
  <c r="C3" i="36"/>
  <c r="F34" i="41"/>
  <c r="D301" i="30"/>
  <c r="D79" i="30"/>
  <c r="D113" i="30"/>
  <c r="D365" i="30"/>
  <c r="D133" i="30"/>
  <c r="E84" i="24"/>
  <c r="E119" i="24"/>
  <c r="E118" i="24"/>
  <c r="E117" i="24"/>
  <c r="E116" i="24"/>
  <c r="N15" i="36"/>
  <c r="H17" i="41" l="1"/>
  <c r="J13" i="41"/>
  <c r="J14" i="41"/>
  <c r="I13" i="41"/>
  <c r="J15" i="41"/>
  <c r="I16" i="41"/>
  <c r="I14" i="41"/>
  <c r="O23" i="36"/>
  <c r="C62" i="36"/>
  <c r="C69" i="36" s="1"/>
  <c r="C107" i="36" s="1"/>
  <c r="O16" i="36"/>
  <c r="E167" i="24"/>
  <c r="F23" i="41"/>
  <c r="D50" i="7"/>
  <c r="D52" i="7" s="1"/>
  <c r="B20" i="41"/>
  <c r="E23" i="41" s="1"/>
  <c r="B25" i="10" l="1"/>
  <c r="B27" i="10" s="1"/>
  <c r="C15" i="4"/>
  <c r="I18" i="41"/>
  <c r="J18" i="41"/>
  <c r="J28" i="40"/>
  <c r="I28" i="40"/>
  <c r="O26" i="40"/>
  <c r="N26" i="40"/>
  <c r="K26" i="40"/>
  <c r="H26" i="40"/>
  <c r="M25" i="40"/>
  <c r="O24" i="40"/>
  <c r="K24" i="40"/>
  <c r="H24" i="40"/>
  <c r="O22" i="40"/>
  <c r="K22" i="40"/>
  <c r="H22" i="40"/>
  <c r="O20" i="40"/>
  <c r="K20" i="40"/>
  <c r="H20" i="40"/>
  <c r="O18" i="40"/>
  <c r="H18" i="40"/>
  <c r="O16" i="40"/>
  <c r="H16" i="40"/>
  <c r="L16" i="40" s="1"/>
  <c r="O14" i="40"/>
  <c r="K14" i="40"/>
  <c r="O12" i="40"/>
  <c r="K12" i="40"/>
  <c r="K10" i="40"/>
  <c r="H10" i="40"/>
  <c r="E10" i="8"/>
  <c r="L18" i="40" l="1"/>
  <c r="H28" i="40"/>
  <c r="L14" i="40"/>
  <c r="L24" i="40"/>
  <c r="L10" i="40"/>
  <c r="L22" i="40"/>
  <c r="P18" i="40"/>
  <c r="Q18" i="40" s="1"/>
  <c r="P14" i="40"/>
  <c r="O28" i="40"/>
  <c r="L12" i="40"/>
  <c r="P22" i="40"/>
  <c r="L26" i="40"/>
  <c r="P12" i="40"/>
  <c r="K28" i="40"/>
  <c r="P10" i="40"/>
  <c r="Q10" i="40" s="1"/>
  <c r="P16" i="40"/>
  <c r="Q16" i="40" s="1"/>
  <c r="P20" i="40"/>
  <c r="P24" i="40"/>
  <c r="Q24" i="40" s="1"/>
  <c r="P26" i="40"/>
  <c r="L20" i="40"/>
  <c r="N28" i="40"/>
  <c r="Q14" i="40" l="1"/>
  <c r="L28" i="40"/>
  <c r="Q22" i="40"/>
  <c r="Q26" i="40"/>
  <c r="Q12" i="40"/>
  <c r="Q20" i="40"/>
  <c r="B16" i="33"/>
  <c r="U552" i="39"/>
  <c r="R552" i="39"/>
  <c r="P552" i="39"/>
  <c r="L538" i="39"/>
  <c r="K538" i="39"/>
  <c r="I538" i="39"/>
  <c r="AR537" i="39"/>
  <c r="AQ537" i="39"/>
  <c r="AP537" i="39"/>
  <c r="J537" i="39"/>
  <c r="H537" i="39"/>
  <c r="C537" i="39"/>
  <c r="AR536" i="39"/>
  <c r="AQ536" i="39"/>
  <c r="AP536" i="39"/>
  <c r="J536" i="39"/>
  <c r="H536" i="39"/>
  <c r="C536" i="39"/>
  <c r="AR535" i="39"/>
  <c r="AQ535" i="39"/>
  <c r="AP535" i="39"/>
  <c r="J535" i="39"/>
  <c r="H535" i="39"/>
  <c r="C535" i="39"/>
  <c r="AR534" i="39"/>
  <c r="AQ534" i="39"/>
  <c r="AP534" i="39"/>
  <c r="J534" i="39"/>
  <c r="H534" i="39"/>
  <c r="C534" i="39"/>
  <c r="AR533" i="39"/>
  <c r="AQ533" i="39"/>
  <c r="AP533" i="39"/>
  <c r="J533" i="39"/>
  <c r="H533" i="39"/>
  <c r="C533" i="39"/>
  <c r="AQ532" i="39"/>
  <c r="AL532" i="39"/>
  <c r="AK532" i="39"/>
  <c r="J532" i="39"/>
  <c r="U532" i="39" s="1"/>
  <c r="V532" i="39" s="1"/>
  <c r="G532" i="39"/>
  <c r="H532" i="39" s="1"/>
  <c r="AR532" i="39" s="1"/>
  <c r="C532" i="39"/>
  <c r="O532" i="39" s="1"/>
  <c r="P532" i="39" s="1"/>
  <c r="Q532" i="39" s="1"/>
  <c r="AQ531" i="39"/>
  <c r="AL531" i="39"/>
  <c r="AK531" i="39"/>
  <c r="J531" i="39"/>
  <c r="U531" i="39" s="1"/>
  <c r="V531" i="39" s="1"/>
  <c r="G531" i="39"/>
  <c r="H531" i="39" s="1"/>
  <c r="AR531" i="39" s="1"/>
  <c r="C531" i="39"/>
  <c r="O531" i="39" s="1"/>
  <c r="P531" i="39" s="1"/>
  <c r="Q531" i="39" s="1"/>
  <c r="AQ530" i="39"/>
  <c r="AK530" i="39"/>
  <c r="AE530" i="39"/>
  <c r="Y530" i="39"/>
  <c r="S530" i="39"/>
  <c r="N530" i="39"/>
  <c r="M530" i="39"/>
  <c r="J530" i="39"/>
  <c r="G530" i="39"/>
  <c r="H530" i="39" s="1"/>
  <c r="C530" i="39"/>
  <c r="AQ529" i="39"/>
  <c r="AK529" i="39"/>
  <c r="AE529" i="39"/>
  <c r="Y529" i="39"/>
  <c r="S529" i="39"/>
  <c r="N529" i="39"/>
  <c r="M529" i="39"/>
  <c r="J529" i="39"/>
  <c r="G529" i="39"/>
  <c r="H529" i="39" s="1"/>
  <c r="C529" i="39"/>
  <c r="AQ528" i="39"/>
  <c r="AK528" i="39"/>
  <c r="AE528" i="39"/>
  <c r="Y528" i="39"/>
  <c r="S528" i="39"/>
  <c r="N528" i="39"/>
  <c r="M528" i="39"/>
  <c r="J528" i="39"/>
  <c r="G528" i="39"/>
  <c r="H528" i="39" s="1"/>
  <c r="C528" i="39"/>
  <c r="AQ527" i="39"/>
  <c r="AK527" i="39"/>
  <c r="AE527" i="39"/>
  <c r="Y527" i="39"/>
  <c r="S527" i="39"/>
  <c r="N527" i="39"/>
  <c r="M527" i="39"/>
  <c r="J527" i="39"/>
  <c r="G527" i="39"/>
  <c r="H527" i="39" s="1"/>
  <c r="C527" i="39"/>
  <c r="AQ526" i="39"/>
  <c r="AK526" i="39"/>
  <c r="AE526" i="39"/>
  <c r="Y526" i="39"/>
  <c r="S526" i="39"/>
  <c r="N526" i="39"/>
  <c r="M526" i="39"/>
  <c r="J526" i="39"/>
  <c r="G526" i="39"/>
  <c r="H526" i="39" s="1"/>
  <c r="C526" i="39"/>
  <c r="AQ525" i="39"/>
  <c r="AK525" i="39"/>
  <c r="AE525" i="39"/>
  <c r="Y525" i="39"/>
  <c r="S525" i="39"/>
  <c r="N525" i="39"/>
  <c r="M525" i="39"/>
  <c r="J525" i="39"/>
  <c r="G525" i="39"/>
  <c r="H525" i="39" s="1"/>
  <c r="AF525" i="39" s="1"/>
  <c r="C525" i="39"/>
  <c r="AQ524" i="39"/>
  <c r="AK524" i="39"/>
  <c r="AE524" i="39"/>
  <c r="Y524" i="39"/>
  <c r="S524" i="39"/>
  <c r="N524" i="39"/>
  <c r="M524" i="39"/>
  <c r="J524" i="39"/>
  <c r="G524" i="39"/>
  <c r="H524" i="39" s="1"/>
  <c r="C524" i="39"/>
  <c r="AQ523" i="39"/>
  <c r="AK523" i="39"/>
  <c r="AE523" i="39"/>
  <c r="Y523" i="39"/>
  <c r="S523" i="39"/>
  <c r="N523" i="39"/>
  <c r="M523" i="39"/>
  <c r="J523" i="39"/>
  <c r="G523" i="39"/>
  <c r="H523" i="39" s="1"/>
  <c r="AR523" i="39" s="1"/>
  <c r="C523" i="39"/>
  <c r="AQ520" i="39"/>
  <c r="AL520" i="39"/>
  <c r="AK520" i="39"/>
  <c r="J520" i="39"/>
  <c r="G520" i="39"/>
  <c r="H520" i="39" s="1"/>
  <c r="AR520" i="39" s="1"/>
  <c r="C520" i="39"/>
  <c r="AG520" i="39" s="1"/>
  <c r="AH520" i="39" s="1"/>
  <c r="AF519" i="39"/>
  <c r="AF521" i="39" s="1"/>
  <c r="AD519" i="39"/>
  <c r="I519" i="39"/>
  <c r="AK519" i="39" s="1"/>
  <c r="G519" i="39"/>
  <c r="H519" i="39" s="1"/>
  <c r="C519" i="39"/>
  <c r="AR516" i="39"/>
  <c r="AQ516" i="39"/>
  <c r="AP516" i="39"/>
  <c r="J516" i="39"/>
  <c r="H516" i="39"/>
  <c r="C516" i="39"/>
  <c r="AR515" i="39"/>
  <c r="AQ515" i="39"/>
  <c r="AP515" i="39"/>
  <c r="J515" i="39"/>
  <c r="H515" i="39"/>
  <c r="C515" i="39"/>
  <c r="AR514" i="39"/>
  <c r="AQ514" i="39"/>
  <c r="AP514" i="39"/>
  <c r="J514" i="39"/>
  <c r="H514" i="39"/>
  <c r="C514" i="39"/>
  <c r="AR513" i="39"/>
  <c r="AQ513" i="39"/>
  <c r="AP513" i="39"/>
  <c r="J513" i="39"/>
  <c r="H513" i="39"/>
  <c r="C513" i="39"/>
  <c r="AR512" i="39"/>
  <c r="AQ512" i="39"/>
  <c r="AP512" i="39"/>
  <c r="J512" i="39"/>
  <c r="H512" i="39"/>
  <c r="C512" i="39"/>
  <c r="AR511" i="39"/>
  <c r="AQ511" i="39"/>
  <c r="AP511" i="39"/>
  <c r="J511" i="39"/>
  <c r="H511" i="39"/>
  <c r="C511" i="39"/>
  <c r="AR510" i="39"/>
  <c r="AQ510" i="39"/>
  <c r="AP510" i="39"/>
  <c r="J510" i="39"/>
  <c r="H510" i="39"/>
  <c r="C510" i="39"/>
  <c r="AR509" i="39"/>
  <c r="AQ509" i="39"/>
  <c r="AP509" i="39"/>
  <c r="J509" i="39"/>
  <c r="H509" i="39"/>
  <c r="C509" i="39"/>
  <c r="AR508" i="39"/>
  <c r="AQ508" i="39"/>
  <c r="AP508" i="39"/>
  <c r="J508" i="39"/>
  <c r="H508" i="39"/>
  <c r="C508" i="39"/>
  <c r="AR507" i="39"/>
  <c r="AQ507" i="39"/>
  <c r="AP507" i="39"/>
  <c r="J507" i="39"/>
  <c r="H507" i="39"/>
  <c r="C507" i="39"/>
  <c r="AR506" i="39"/>
  <c r="AQ506" i="39"/>
  <c r="AP506" i="39"/>
  <c r="J506" i="39"/>
  <c r="H506" i="39"/>
  <c r="C506" i="39"/>
  <c r="AR505" i="39"/>
  <c r="AQ505" i="39"/>
  <c r="AP505" i="39"/>
  <c r="J505" i="39"/>
  <c r="H505" i="39"/>
  <c r="C505" i="39"/>
  <c r="AR504" i="39"/>
  <c r="AQ504" i="39"/>
  <c r="AP504" i="39"/>
  <c r="J504" i="39"/>
  <c r="H504" i="39"/>
  <c r="C504" i="39"/>
  <c r="AR503" i="39"/>
  <c r="AQ503" i="39"/>
  <c r="AP503" i="39"/>
  <c r="J503" i="39"/>
  <c r="H503" i="39"/>
  <c r="C503" i="39"/>
  <c r="AR502" i="39"/>
  <c r="AQ502" i="39"/>
  <c r="AP502" i="39"/>
  <c r="J502" i="39"/>
  <c r="H502" i="39"/>
  <c r="C502" i="39"/>
  <c r="AR501" i="39"/>
  <c r="AQ501" i="39"/>
  <c r="AP501" i="39"/>
  <c r="J501" i="39"/>
  <c r="H501" i="39"/>
  <c r="C501" i="39"/>
  <c r="AR500" i="39"/>
  <c r="AQ500" i="39"/>
  <c r="AP500" i="39"/>
  <c r="J500" i="39"/>
  <c r="H500" i="39"/>
  <c r="C500" i="39"/>
  <c r="AR499" i="39"/>
  <c r="AQ499" i="39"/>
  <c r="AP499" i="39"/>
  <c r="J499" i="39"/>
  <c r="H499" i="39"/>
  <c r="C499" i="39"/>
  <c r="AR498" i="39"/>
  <c r="AQ498" i="39"/>
  <c r="AP498" i="39"/>
  <c r="J498" i="39"/>
  <c r="H498" i="39"/>
  <c r="C498" i="39"/>
  <c r="AR497" i="39"/>
  <c r="AQ497" i="39"/>
  <c r="AP497" i="39"/>
  <c r="J497" i="39"/>
  <c r="H497" i="39"/>
  <c r="C497" i="39"/>
  <c r="AR496" i="39"/>
  <c r="AQ496" i="39"/>
  <c r="AP496" i="39"/>
  <c r="J496" i="39"/>
  <c r="H496" i="39"/>
  <c r="C496" i="39"/>
  <c r="AR495" i="39"/>
  <c r="AQ495" i="39"/>
  <c r="AP495" i="39"/>
  <c r="J495" i="39"/>
  <c r="H495" i="39"/>
  <c r="C495" i="39"/>
  <c r="AR494" i="39"/>
  <c r="AQ494" i="39"/>
  <c r="AP494" i="39"/>
  <c r="J494" i="39"/>
  <c r="H494" i="39"/>
  <c r="C494" i="39"/>
  <c r="AR493" i="39"/>
  <c r="AQ493" i="39"/>
  <c r="AP493" i="39"/>
  <c r="J493" i="39"/>
  <c r="H493" i="39"/>
  <c r="C493" i="39"/>
  <c r="AR492" i="39"/>
  <c r="AQ492" i="39"/>
  <c r="AP492" i="39"/>
  <c r="J492" i="39"/>
  <c r="H492" i="39"/>
  <c r="C492" i="39"/>
  <c r="AR491" i="39"/>
  <c r="AQ491" i="39"/>
  <c r="AP491" i="39"/>
  <c r="J491" i="39"/>
  <c r="H491" i="39"/>
  <c r="C491" i="39"/>
  <c r="AR490" i="39"/>
  <c r="AQ490" i="39"/>
  <c r="AP490" i="39"/>
  <c r="J490" i="39"/>
  <c r="H490" i="39"/>
  <c r="C490" i="39"/>
  <c r="AR489" i="39"/>
  <c r="AQ489" i="39"/>
  <c r="AP489" i="39"/>
  <c r="J489" i="39"/>
  <c r="H489" i="39"/>
  <c r="C489" i="39"/>
  <c r="AR488" i="39"/>
  <c r="AQ488" i="39"/>
  <c r="AP488" i="39"/>
  <c r="J488" i="39"/>
  <c r="H488" i="39"/>
  <c r="C488" i="39"/>
  <c r="AR487" i="39"/>
  <c r="AQ487" i="39"/>
  <c r="AP487" i="39"/>
  <c r="J487" i="39"/>
  <c r="H487" i="39"/>
  <c r="C487" i="39"/>
  <c r="AR486" i="39"/>
  <c r="AQ486" i="39"/>
  <c r="AP486" i="39"/>
  <c r="J486" i="39"/>
  <c r="H486" i="39"/>
  <c r="C486" i="39"/>
  <c r="AQ485" i="39"/>
  <c r="AL485" i="39"/>
  <c r="AK485" i="39"/>
  <c r="AJ485" i="39"/>
  <c r="J485" i="39"/>
  <c r="G485" i="39"/>
  <c r="H485" i="39" s="1"/>
  <c r="AR485" i="39" s="1"/>
  <c r="C485" i="39"/>
  <c r="AQ484" i="39"/>
  <c r="AL484" i="39"/>
  <c r="AK484" i="39"/>
  <c r="AJ484" i="39"/>
  <c r="J484" i="39"/>
  <c r="G484" i="39"/>
  <c r="H484" i="39" s="1"/>
  <c r="AR484" i="39" s="1"/>
  <c r="C484" i="39"/>
  <c r="AQ483" i="39"/>
  <c r="AL483" i="39"/>
  <c r="AK483" i="39"/>
  <c r="AJ483" i="39"/>
  <c r="J483" i="39"/>
  <c r="G483" i="39"/>
  <c r="H483" i="39" s="1"/>
  <c r="AR483" i="39" s="1"/>
  <c r="C483" i="39"/>
  <c r="AQ482" i="39"/>
  <c r="AL482" i="39"/>
  <c r="AK482" i="39"/>
  <c r="AJ482" i="39"/>
  <c r="J482" i="39"/>
  <c r="G482" i="39"/>
  <c r="H482" i="39" s="1"/>
  <c r="AR482" i="39" s="1"/>
  <c r="C482" i="39"/>
  <c r="AQ481" i="39"/>
  <c r="AL481" i="39"/>
  <c r="AK481" i="39"/>
  <c r="AJ481" i="39"/>
  <c r="J481" i="39"/>
  <c r="G481" i="39"/>
  <c r="H481" i="39" s="1"/>
  <c r="AR481" i="39" s="1"/>
  <c r="C481" i="39"/>
  <c r="AQ480" i="39"/>
  <c r="AL480" i="39"/>
  <c r="AK480" i="39"/>
  <c r="AJ480" i="39"/>
  <c r="J480" i="39"/>
  <c r="G480" i="39"/>
  <c r="H480" i="39" s="1"/>
  <c r="AR480" i="39" s="1"/>
  <c r="C480" i="39"/>
  <c r="AQ479" i="39"/>
  <c r="AL479" i="39"/>
  <c r="AK479" i="39"/>
  <c r="AJ479" i="39"/>
  <c r="J479" i="39"/>
  <c r="G479" i="39"/>
  <c r="H479" i="39" s="1"/>
  <c r="AR479" i="39" s="1"/>
  <c r="C479" i="39"/>
  <c r="AQ478" i="39"/>
  <c r="AL478" i="39"/>
  <c r="AK478" i="39"/>
  <c r="AJ478" i="39"/>
  <c r="J478" i="39"/>
  <c r="G478" i="39"/>
  <c r="H478" i="39" s="1"/>
  <c r="AR478" i="39" s="1"/>
  <c r="C478" i="39"/>
  <c r="AQ477" i="39"/>
  <c r="AL477" i="39"/>
  <c r="AK477" i="39"/>
  <c r="AJ477" i="39"/>
  <c r="J477" i="39"/>
  <c r="G477" i="39"/>
  <c r="H477" i="39" s="1"/>
  <c r="AR477" i="39" s="1"/>
  <c r="C477" i="39"/>
  <c r="AQ476" i="39"/>
  <c r="AL476" i="39"/>
  <c r="AK476" i="39"/>
  <c r="AJ476" i="39"/>
  <c r="J476" i="39"/>
  <c r="G476" i="39"/>
  <c r="H476" i="39" s="1"/>
  <c r="AR476" i="39" s="1"/>
  <c r="C476" i="39"/>
  <c r="AQ475" i="39"/>
  <c r="AL475" i="39"/>
  <c r="AK475" i="39"/>
  <c r="AJ475" i="39"/>
  <c r="J475" i="39"/>
  <c r="G475" i="39"/>
  <c r="H475" i="39" s="1"/>
  <c r="AR475" i="39" s="1"/>
  <c r="C475" i="39"/>
  <c r="AQ474" i="39"/>
  <c r="AL474" i="39"/>
  <c r="AK474" i="39"/>
  <c r="AJ474" i="39"/>
  <c r="J474" i="39"/>
  <c r="G474" i="39"/>
  <c r="H474" i="39" s="1"/>
  <c r="AR474" i="39" s="1"/>
  <c r="C474" i="39"/>
  <c r="AQ473" i="39"/>
  <c r="AL473" i="39"/>
  <c r="AK473" i="39"/>
  <c r="AJ473" i="39"/>
  <c r="J473" i="39"/>
  <c r="G473" i="39"/>
  <c r="H473" i="39" s="1"/>
  <c r="AR473" i="39" s="1"/>
  <c r="C473" i="39"/>
  <c r="N472" i="39"/>
  <c r="I472" i="39"/>
  <c r="AQ472" i="39" s="1"/>
  <c r="H472" i="39"/>
  <c r="AL472" i="39" s="1"/>
  <c r="C472" i="39"/>
  <c r="N471" i="39"/>
  <c r="I471" i="39"/>
  <c r="H471" i="39"/>
  <c r="AL471" i="39" s="1"/>
  <c r="C471" i="39"/>
  <c r="AF470" i="39"/>
  <c r="AD470" i="39"/>
  <c r="I470" i="39"/>
  <c r="AK470" i="39" s="1"/>
  <c r="G470" i="39"/>
  <c r="H470" i="39" s="1"/>
  <c r="C470" i="39"/>
  <c r="AQ469" i="39"/>
  <c r="AK469" i="39"/>
  <c r="AF469" i="39"/>
  <c r="AE469" i="39"/>
  <c r="AD469" i="39"/>
  <c r="J469" i="39"/>
  <c r="G469" i="39"/>
  <c r="H469" i="39" s="1"/>
  <c r="AR469" i="39" s="1"/>
  <c r="C469" i="39"/>
  <c r="AQ468" i="39"/>
  <c r="AK468" i="39"/>
  <c r="AF468" i="39"/>
  <c r="AE468" i="39"/>
  <c r="AD468" i="39"/>
  <c r="J468" i="39"/>
  <c r="G468" i="39"/>
  <c r="H468" i="39" s="1"/>
  <c r="C468" i="39"/>
  <c r="AQ467" i="39"/>
  <c r="AK467" i="39"/>
  <c r="AF467" i="39"/>
  <c r="AE467" i="39"/>
  <c r="AD467" i="39"/>
  <c r="J467" i="39"/>
  <c r="G467" i="39"/>
  <c r="H467" i="39" s="1"/>
  <c r="AR467" i="39" s="1"/>
  <c r="C467" i="39"/>
  <c r="AF466" i="39"/>
  <c r="AD466" i="39"/>
  <c r="I466" i="39"/>
  <c r="AE466" i="39" s="1"/>
  <c r="G466" i="39"/>
  <c r="H466" i="39" s="1"/>
  <c r="AL466" i="39" s="1"/>
  <c r="C466" i="39"/>
  <c r="AQ465" i="39"/>
  <c r="AK465" i="39"/>
  <c r="AF465" i="39"/>
  <c r="AE465" i="39"/>
  <c r="AD465" i="39"/>
  <c r="J465" i="39"/>
  <c r="G465" i="39"/>
  <c r="H465" i="39" s="1"/>
  <c r="AR465" i="39" s="1"/>
  <c r="C465" i="39"/>
  <c r="AF464" i="39"/>
  <c r="AD464" i="39"/>
  <c r="I464" i="39"/>
  <c r="AK464" i="39" s="1"/>
  <c r="G464" i="39"/>
  <c r="H464" i="39" s="1"/>
  <c r="AL464" i="39" s="1"/>
  <c r="C464" i="39"/>
  <c r="AQ463" i="39"/>
  <c r="AK463" i="39"/>
  <c r="AF463" i="39"/>
  <c r="AE463" i="39"/>
  <c r="AD463" i="39"/>
  <c r="J463" i="39"/>
  <c r="G463" i="39"/>
  <c r="H463" i="39" s="1"/>
  <c r="C463" i="39"/>
  <c r="AF462" i="39"/>
  <c r="AD462" i="39"/>
  <c r="I462" i="39"/>
  <c r="AK462" i="39" s="1"/>
  <c r="G462" i="39"/>
  <c r="H462" i="39" s="1"/>
  <c r="AR462" i="39" s="1"/>
  <c r="C462" i="39"/>
  <c r="AQ461" i="39"/>
  <c r="AK461" i="39"/>
  <c r="AF461" i="39"/>
  <c r="AE461" i="39"/>
  <c r="AD461" i="39"/>
  <c r="J461" i="39"/>
  <c r="G461" i="39"/>
  <c r="H461" i="39" s="1"/>
  <c r="C461" i="39"/>
  <c r="AQ460" i="39"/>
  <c r="AK460" i="39"/>
  <c r="AE460" i="39"/>
  <c r="Z460" i="39"/>
  <c r="Y460" i="39"/>
  <c r="X460" i="39"/>
  <c r="J460" i="39"/>
  <c r="G460" i="39"/>
  <c r="H460" i="39" s="1"/>
  <c r="AL460" i="39" s="1"/>
  <c r="C460" i="39"/>
  <c r="AQ459" i="39"/>
  <c r="AK459" i="39"/>
  <c r="AE459" i="39"/>
  <c r="Z459" i="39"/>
  <c r="Y459" i="39"/>
  <c r="X459" i="39"/>
  <c r="J459" i="39"/>
  <c r="G459" i="39"/>
  <c r="H459" i="39" s="1"/>
  <c r="AL459" i="39" s="1"/>
  <c r="C459" i="39"/>
  <c r="AQ458" i="39"/>
  <c r="AK458" i="39"/>
  <c r="AE458" i="39"/>
  <c r="Z458" i="39"/>
  <c r="Y458" i="39"/>
  <c r="X458" i="39"/>
  <c r="J458" i="39"/>
  <c r="G458" i="39"/>
  <c r="H458" i="39" s="1"/>
  <c r="AL458" i="39" s="1"/>
  <c r="C458" i="39"/>
  <c r="AQ457" i="39"/>
  <c r="AK457" i="39"/>
  <c r="AE457" i="39"/>
  <c r="Z457" i="39"/>
  <c r="Y457" i="39"/>
  <c r="J457" i="39"/>
  <c r="G457" i="39"/>
  <c r="H457" i="39" s="1"/>
  <c r="C457" i="39"/>
  <c r="Z456" i="39"/>
  <c r="I456" i="39"/>
  <c r="G456" i="39"/>
  <c r="H456" i="39" s="1"/>
  <c r="C456" i="39"/>
  <c r="Z455" i="39"/>
  <c r="I455" i="39"/>
  <c r="G455" i="39"/>
  <c r="H455" i="39" s="1"/>
  <c r="C455" i="39"/>
  <c r="Z454" i="39"/>
  <c r="I454" i="39"/>
  <c r="J454" i="39" s="1"/>
  <c r="G454" i="39"/>
  <c r="H454" i="39" s="1"/>
  <c r="C454" i="39"/>
  <c r="AQ453" i="39"/>
  <c r="AK453" i="39"/>
  <c r="AE453" i="39"/>
  <c r="Y453" i="39"/>
  <c r="T453" i="39"/>
  <c r="S453" i="39"/>
  <c r="J453" i="39"/>
  <c r="G453" i="39"/>
  <c r="H453" i="39" s="1"/>
  <c r="AR453" i="39" s="1"/>
  <c r="C453" i="39"/>
  <c r="AQ452" i="39"/>
  <c r="AK452" i="39"/>
  <c r="AE452" i="39"/>
  <c r="Y452" i="39"/>
  <c r="T452" i="39"/>
  <c r="S452" i="39"/>
  <c r="J452" i="39"/>
  <c r="G452" i="39"/>
  <c r="H452" i="39" s="1"/>
  <c r="AR452" i="39" s="1"/>
  <c r="C452" i="39"/>
  <c r="AQ451" i="39"/>
  <c r="AK451" i="39"/>
  <c r="AE451" i="39"/>
  <c r="Y451" i="39"/>
  <c r="T451" i="39"/>
  <c r="S451" i="39"/>
  <c r="J451" i="39"/>
  <c r="G451" i="39"/>
  <c r="H451" i="39" s="1"/>
  <c r="C451" i="39"/>
  <c r="AQ450" i="39"/>
  <c r="AK450" i="39"/>
  <c r="AE450" i="39"/>
  <c r="Y450" i="39"/>
  <c r="T450" i="39"/>
  <c r="S450" i="39"/>
  <c r="R450" i="39"/>
  <c r="J450" i="39"/>
  <c r="G450" i="39"/>
  <c r="H450" i="39" s="1"/>
  <c r="C450" i="39"/>
  <c r="AQ449" i="39"/>
  <c r="AK449" i="39"/>
  <c r="AE449" i="39"/>
  <c r="Y449" i="39"/>
  <c r="T449" i="39"/>
  <c r="S449" i="39"/>
  <c r="R449" i="39"/>
  <c r="J449" i="39"/>
  <c r="G449" i="39"/>
  <c r="H449" i="39" s="1"/>
  <c r="C449" i="39"/>
  <c r="T448" i="39"/>
  <c r="R448" i="39"/>
  <c r="I448" i="39"/>
  <c r="AQ448" i="39" s="1"/>
  <c r="G448" i="39"/>
  <c r="H448" i="39" s="1"/>
  <c r="AL448" i="39" s="1"/>
  <c r="C448" i="39"/>
  <c r="T447" i="39"/>
  <c r="R447" i="39"/>
  <c r="I447" i="39"/>
  <c r="G447" i="39"/>
  <c r="H447" i="39" s="1"/>
  <c r="AL447" i="39" s="1"/>
  <c r="C447" i="39"/>
  <c r="AQ446" i="39"/>
  <c r="AK446" i="39"/>
  <c r="AE446" i="39"/>
  <c r="Y446" i="39"/>
  <c r="S446" i="39"/>
  <c r="N446" i="39"/>
  <c r="M446" i="39"/>
  <c r="J446" i="39"/>
  <c r="G446" i="39"/>
  <c r="H446" i="39" s="1"/>
  <c r="C446" i="39"/>
  <c r="AQ445" i="39"/>
  <c r="AK445" i="39"/>
  <c r="AE445" i="39"/>
  <c r="Y445" i="39"/>
  <c r="S445" i="39"/>
  <c r="N445" i="39"/>
  <c r="M445" i="39"/>
  <c r="J445" i="39"/>
  <c r="G445" i="39"/>
  <c r="H445" i="39" s="1"/>
  <c r="Z445" i="39" s="1"/>
  <c r="C445" i="39"/>
  <c r="AQ444" i="39"/>
  <c r="AK444" i="39"/>
  <c r="AE444" i="39"/>
  <c r="Y444" i="39"/>
  <c r="S444" i="39"/>
  <c r="N444" i="39"/>
  <c r="M444" i="39"/>
  <c r="J444" i="39"/>
  <c r="G444" i="39"/>
  <c r="H444" i="39" s="1"/>
  <c r="C444" i="39"/>
  <c r="AQ443" i="39"/>
  <c r="AK443" i="39"/>
  <c r="AE443" i="39"/>
  <c r="Y443" i="39"/>
  <c r="S443" i="39"/>
  <c r="N443" i="39"/>
  <c r="M443" i="39"/>
  <c r="J443" i="39"/>
  <c r="G443" i="39"/>
  <c r="H443" i="39" s="1"/>
  <c r="C443" i="39"/>
  <c r="AQ442" i="39"/>
  <c r="AK442" i="39"/>
  <c r="AE442" i="39"/>
  <c r="Y442" i="39"/>
  <c r="S442" i="39"/>
  <c r="N442" i="39"/>
  <c r="M442" i="39"/>
  <c r="J442" i="39"/>
  <c r="G442" i="39"/>
  <c r="H442" i="39" s="1"/>
  <c r="C442" i="39"/>
  <c r="AQ441" i="39"/>
  <c r="AK441" i="39"/>
  <c r="AE441" i="39"/>
  <c r="Y441" i="39"/>
  <c r="S441" i="39"/>
  <c r="N441" i="39"/>
  <c r="M441" i="39"/>
  <c r="J441" i="39"/>
  <c r="G441" i="39"/>
  <c r="H441" i="39" s="1"/>
  <c r="C441" i="39"/>
  <c r="AQ440" i="39"/>
  <c r="AK440" i="39"/>
  <c r="AE440" i="39"/>
  <c r="Y440" i="39"/>
  <c r="S440" i="39"/>
  <c r="N440" i="39"/>
  <c r="M440" i="39"/>
  <c r="J440" i="39"/>
  <c r="G440" i="39"/>
  <c r="H440" i="39" s="1"/>
  <c r="AL440" i="39" s="1"/>
  <c r="C440" i="39"/>
  <c r="AQ439" i="39"/>
  <c r="AK439" i="39"/>
  <c r="AE439" i="39"/>
  <c r="Y439" i="39"/>
  <c r="S439" i="39"/>
  <c r="N439" i="39"/>
  <c r="M439" i="39"/>
  <c r="J439" i="39"/>
  <c r="G439" i="39"/>
  <c r="H439" i="39" s="1"/>
  <c r="AR439" i="39" s="1"/>
  <c r="C439" i="39"/>
  <c r="AQ438" i="39"/>
  <c r="AK438" i="39"/>
  <c r="AE438" i="39"/>
  <c r="Y438" i="39"/>
  <c r="S438" i="39"/>
  <c r="N438" i="39"/>
  <c r="M438" i="39"/>
  <c r="J438" i="39"/>
  <c r="G438" i="39"/>
  <c r="H438" i="39" s="1"/>
  <c r="C438" i="39"/>
  <c r="AQ437" i="39"/>
  <c r="AK437" i="39"/>
  <c r="AE437" i="39"/>
  <c r="Y437" i="39"/>
  <c r="S437" i="39"/>
  <c r="N437" i="39"/>
  <c r="M437" i="39"/>
  <c r="J437" i="39"/>
  <c r="G437" i="39"/>
  <c r="H437" i="39" s="1"/>
  <c r="AL437" i="39" s="1"/>
  <c r="C437" i="39"/>
  <c r="AQ436" i="39"/>
  <c r="AK436" i="39"/>
  <c r="AE436" i="39"/>
  <c r="Y436" i="39"/>
  <c r="S436" i="39"/>
  <c r="N436" i="39"/>
  <c r="M436" i="39"/>
  <c r="J436" i="39"/>
  <c r="G436" i="39"/>
  <c r="H436" i="39" s="1"/>
  <c r="AR436" i="39" s="1"/>
  <c r="C436" i="39"/>
  <c r="AQ435" i="39"/>
  <c r="AK435" i="39"/>
  <c r="AE435" i="39"/>
  <c r="Y435" i="39"/>
  <c r="S435" i="39"/>
  <c r="N435" i="39"/>
  <c r="M435" i="39"/>
  <c r="J435" i="39"/>
  <c r="G435" i="39"/>
  <c r="H435" i="39" s="1"/>
  <c r="T435" i="39" s="1"/>
  <c r="C435" i="39"/>
  <c r="AQ434" i="39"/>
  <c r="AK434" i="39"/>
  <c r="AE434" i="39"/>
  <c r="Y434" i="39"/>
  <c r="S434" i="39"/>
  <c r="N434" i="39"/>
  <c r="M434" i="39"/>
  <c r="J434" i="39"/>
  <c r="G434" i="39"/>
  <c r="H434" i="39" s="1"/>
  <c r="C434" i="39"/>
  <c r="AQ433" i="39"/>
  <c r="AK433" i="39"/>
  <c r="AE433" i="39"/>
  <c r="Y433" i="39"/>
  <c r="S433" i="39"/>
  <c r="N433" i="39"/>
  <c r="M433" i="39"/>
  <c r="J433" i="39"/>
  <c r="G433" i="39"/>
  <c r="H433" i="39" s="1"/>
  <c r="C433" i="39"/>
  <c r="AQ432" i="39"/>
  <c r="AK432" i="39"/>
  <c r="AE432" i="39"/>
  <c r="Y432" i="39"/>
  <c r="S432" i="39"/>
  <c r="N432" i="39"/>
  <c r="M432" i="39"/>
  <c r="J432" i="39"/>
  <c r="G432" i="39"/>
  <c r="H432" i="39" s="1"/>
  <c r="C432" i="39"/>
  <c r="AQ431" i="39"/>
  <c r="AK431" i="39"/>
  <c r="AE431" i="39"/>
  <c r="Y431" i="39"/>
  <c r="S431" i="39"/>
  <c r="N431" i="39"/>
  <c r="M431" i="39"/>
  <c r="J431" i="39"/>
  <c r="G431" i="39"/>
  <c r="H431" i="39" s="1"/>
  <c r="C431" i="39"/>
  <c r="AQ430" i="39"/>
  <c r="AK430" i="39"/>
  <c r="AE430" i="39"/>
  <c r="Y430" i="39"/>
  <c r="S430" i="39"/>
  <c r="N430" i="39"/>
  <c r="M430" i="39"/>
  <c r="J430" i="39"/>
  <c r="G430" i="39"/>
  <c r="H430" i="39" s="1"/>
  <c r="C430" i="39"/>
  <c r="AQ429" i="39"/>
  <c r="AK429" i="39"/>
  <c r="AE429" i="39"/>
  <c r="Y429" i="39"/>
  <c r="S429" i="39"/>
  <c r="N429" i="39"/>
  <c r="M429" i="39"/>
  <c r="J429" i="39"/>
  <c r="G429" i="39"/>
  <c r="H429" i="39" s="1"/>
  <c r="C429" i="39"/>
  <c r="AQ428" i="39"/>
  <c r="AK428" i="39"/>
  <c r="AE428" i="39"/>
  <c r="Y428" i="39"/>
  <c r="S428" i="39"/>
  <c r="N428" i="39"/>
  <c r="M428" i="39"/>
  <c r="J428" i="39"/>
  <c r="G428" i="39"/>
  <c r="H428" i="39" s="1"/>
  <c r="C428" i="39"/>
  <c r="AQ427" i="39"/>
  <c r="AK427" i="39"/>
  <c r="AE427" i="39"/>
  <c r="Y427" i="39"/>
  <c r="S427" i="39"/>
  <c r="N427" i="39"/>
  <c r="M427" i="39"/>
  <c r="J427" i="39"/>
  <c r="G427" i="39"/>
  <c r="H427" i="39" s="1"/>
  <c r="Z427" i="39" s="1"/>
  <c r="C427" i="39"/>
  <c r="AQ426" i="39"/>
  <c r="AK426" i="39"/>
  <c r="AE426" i="39"/>
  <c r="Y426" i="39"/>
  <c r="S426" i="39"/>
  <c r="N426" i="39"/>
  <c r="M426" i="39"/>
  <c r="J426" i="39"/>
  <c r="G426" i="39"/>
  <c r="H426" i="39" s="1"/>
  <c r="C426" i="39"/>
  <c r="AQ425" i="39"/>
  <c r="AK425" i="39"/>
  <c r="AE425" i="39"/>
  <c r="Y425" i="39"/>
  <c r="S425" i="39"/>
  <c r="N425" i="39"/>
  <c r="M425" i="39"/>
  <c r="J425" i="39"/>
  <c r="G425" i="39"/>
  <c r="H425" i="39" s="1"/>
  <c r="AR425" i="39" s="1"/>
  <c r="C425" i="39"/>
  <c r="AQ424" i="39"/>
  <c r="AK424" i="39"/>
  <c r="AE424" i="39"/>
  <c r="Y424" i="39"/>
  <c r="S424" i="39"/>
  <c r="N424" i="39"/>
  <c r="M424" i="39"/>
  <c r="J424" i="39"/>
  <c r="G424" i="39"/>
  <c r="H424" i="39" s="1"/>
  <c r="C424" i="39"/>
  <c r="AQ423" i="39"/>
  <c r="AK423" i="39"/>
  <c r="AE423" i="39"/>
  <c r="Y423" i="39"/>
  <c r="S423" i="39"/>
  <c r="N423" i="39"/>
  <c r="M423" i="39"/>
  <c r="J423" i="39"/>
  <c r="G423" i="39"/>
  <c r="H423" i="39" s="1"/>
  <c r="AL423" i="39" s="1"/>
  <c r="C423" i="39"/>
  <c r="AQ422" i="39"/>
  <c r="AK422" i="39"/>
  <c r="AE422" i="39"/>
  <c r="Y422" i="39"/>
  <c r="S422" i="39"/>
  <c r="N422" i="39"/>
  <c r="M422" i="39"/>
  <c r="J422" i="39"/>
  <c r="G422" i="39"/>
  <c r="H422" i="39" s="1"/>
  <c r="AR422" i="39" s="1"/>
  <c r="C422" i="39"/>
  <c r="AQ421" i="39"/>
  <c r="AK421" i="39"/>
  <c r="AE421" i="39"/>
  <c r="Y421" i="39"/>
  <c r="S421" i="39"/>
  <c r="N421" i="39"/>
  <c r="M421" i="39"/>
  <c r="J421" i="39"/>
  <c r="G421" i="39"/>
  <c r="H421" i="39" s="1"/>
  <c r="C421" i="39"/>
  <c r="AQ420" i="39"/>
  <c r="AK420" i="39"/>
  <c r="AE420" i="39"/>
  <c r="Y420" i="39"/>
  <c r="S420" i="39"/>
  <c r="N420" i="39"/>
  <c r="M420" i="39"/>
  <c r="J420" i="39"/>
  <c r="G420" i="39"/>
  <c r="H420" i="39" s="1"/>
  <c r="C420" i="39"/>
  <c r="AQ419" i="39"/>
  <c r="AK419" i="39"/>
  <c r="AE419" i="39"/>
  <c r="Y419" i="39"/>
  <c r="S419" i="39"/>
  <c r="N419" i="39"/>
  <c r="M419" i="39"/>
  <c r="J419" i="39"/>
  <c r="G419" i="39"/>
  <c r="H419" i="39" s="1"/>
  <c r="C419" i="39"/>
  <c r="AQ418" i="39"/>
  <c r="AK418" i="39"/>
  <c r="AE418" i="39"/>
  <c r="Y418" i="39"/>
  <c r="S418" i="39"/>
  <c r="N418" i="39"/>
  <c r="M418" i="39"/>
  <c r="J418" i="39"/>
  <c r="G418" i="39"/>
  <c r="H418" i="39" s="1"/>
  <c r="C418" i="39"/>
  <c r="AQ417" i="39"/>
  <c r="AK417" i="39"/>
  <c r="AE417" i="39"/>
  <c r="Y417" i="39"/>
  <c r="S417" i="39"/>
  <c r="N417" i="39"/>
  <c r="M417" i="39"/>
  <c r="J417" i="39"/>
  <c r="G417" i="39"/>
  <c r="H417" i="39" s="1"/>
  <c r="AF417" i="39" s="1"/>
  <c r="C417" i="39"/>
  <c r="AQ416" i="39"/>
  <c r="AK416" i="39"/>
  <c r="AE416" i="39"/>
  <c r="Y416" i="39"/>
  <c r="S416" i="39"/>
  <c r="N416" i="39"/>
  <c r="M416" i="39"/>
  <c r="J416" i="39"/>
  <c r="G416" i="39"/>
  <c r="H416" i="39" s="1"/>
  <c r="Z416" i="39" s="1"/>
  <c r="C416" i="39"/>
  <c r="AQ415" i="39"/>
  <c r="AK415" i="39"/>
  <c r="AE415" i="39"/>
  <c r="Y415" i="39"/>
  <c r="S415" i="39"/>
  <c r="N415" i="39"/>
  <c r="M415" i="39"/>
  <c r="J415" i="39"/>
  <c r="G415" i="39"/>
  <c r="H415" i="39" s="1"/>
  <c r="AL415" i="39" s="1"/>
  <c r="C415" i="39"/>
  <c r="L413" i="39"/>
  <c r="AR412" i="39"/>
  <c r="AQ412" i="39"/>
  <c r="AP412" i="39"/>
  <c r="J412" i="39"/>
  <c r="H412" i="39"/>
  <c r="C412" i="39"/>
  <c r="AR411" i="39"/>
  <c r="AQ411" i="39"/>
  <c r="AP411" i="39"/>
  <c r="J411" i="39"/>
  <c r="H411" i="39"/>
  <c r="C411" i="39"/>
  <c r="AR410" i="39"/>
  <c r="AQ410" i="39"/>
  <c r="AP410" i="39"/>
  <c r="J410" i="39"/>
  <c r="H410" i="39"/>
  <c r="C410" i="39"/>
  <c r="AR409" i="39"/>
  <c r="AQ409" i="39"/>
  <c r="AP409" i="39"/>
  <c r="J409" i="39"/>
  <c r="H409" i="39"/>
  <c r="C409" i="39"/>
  <c r="AR408" i="39"/>
  <c r="AQ408" i="39"/>
  <c r="AP408" i="39"/>
  <c r="J408" i="39"/>
  <c r="H408" i="39"/>
  <c r="C408" i="39"/>
  <c r="AQ407" i="39"/>
  <c r="AL407" i="39"/>
  <c r="AK407" i="39"/>
  <c r="J407" i="39"/>
  <c r="G407" i="39"/>
  <c r="H407" i="39" s="1"/>
  <c r="AR407" i="39" s="1"/>
  <c r="C407" i="39"/>
  <c r="AQ406" i="39"/>
  <c r="AL406" i="39"/>
  <c r="AK406" i="39"/>
  <c r="J406" i="39"/>
  <c r="G406" i="39"/>
  <c r="H406" i="39" s="1"/>
  <c r="AR406" i="39" s="1"/>
  <c r="C406" i="39"/>
  <c r="AQ405" i="39"/>
  <c r="AL405" i="39"/>
  <c r="AK405" i="39"/>
  <c r="J405" i="39"/>
  <c r="G405" i="39"/>
  <c r="H405" i="39" s="1"/>
  <c r="AR405" i="39" s="1"/>
  <c r="C405" i="39"/>
  <c r="AQ404" i="39"/>
  <c r="AL404" i="39"/>
  <c r="AK404" i="39"/>
  <c r="J404" i="39"/>
  <c r="G404" i="39"/>
  <c r="H404" i="39" s="1"/>
  <c r="AR404" i="39" s="1"/>
  <c r="C404" i="39"/>
  <c r="AQ403" i="39"/>
  <c r="AL403" i="39"/>
  <c r="AK403" i="39"/>
  <c r="J403" i="39"/>
  <c r="G403" i="39"/>
  <c r="H403" i="39" s="1"/>
  <c r="AR403" i="39" s="1"/>
  <c r="C403" i="39"/>
  <c r="AQ402" i="39"/>
  <c r="AL402" i="39"/>
  <c r="AK402" i="39"/>
  <c r="J402" i="39"/>
  <c r="G402" i="39"/>
  <c r="H402" i="39" s="1"/>
  <c r="AR402" i="39" s="1"/>
  <c r="C402" i="39"/>
  <c r="AQ401" i="39"/>
  <c r="AL401" i="39"/>
  <c r="AK401" i="39"/>
  <c r="J401" i="39"/>
  <c r="G401" i="39"/>
  <c r="H401" i="39" s="1"/>
  <c r="AR401" i="39" s="1"/>
  <c r="C401" i="39"/>
  <c r="AQ400" i="39"/>
  <c r="AL400" i="39"/>
  <c r="AK400" i="39"/>
  <c r="J400" i="39"/>
  <c r="G400" i="39"/>
  <c r="H400" i="39" s="1"/>
  <c r="AR400" i="39" s="1"/>
  <c r="C400" i="39"/>
  <c r="AQ399" i="39"/>
  <c r="AL399" i="39"/>
  <c r="AK399" i="39"/>
  <c r="AJ399" i="39"/>
  <c r="AD399" i="39"/>
  <c r="J399" i="39"/>
  <c r="G399" i="39"/>
  <c r="H399" i="39" s="1"/>
  <c r="AR399" i="39" s="1"/>
  <c r="C399" i="39"/>
  <c r="AQ398" i="39"/>
  <c r="AL398" i="39"/>
  <c r="AK398" i="39"/>
  <c r="AJ398" i="39"/>
  <c r="AD398" i="39"/>
  <c r="J398" i="39"/>
  <c r="G398" i="39"/>
  <c r="H398" i="39" s="1"/>
  <c r="AR398" i="39" s="1"/>
  <c r="C398" i="39"/>
  <c r="AQ397" i="39"/>
  <c r="AL397" i="39"/>
  <c r="AK397" i="39"/>
  <c r="AJ397" i="39"/>
  <c r="AD397" i="39"/>
  <c r="J397" i="39"/>
  <c r="G397" i="39"/>
  <c r="H397" i="39" s="1"/>
  <c r="AR397" i="39" s="1"/>
  <c r="C397" i="39"/>
  <c r="AQ396" i="39"/>
  <c r="AL396" i="39"/>
  <c r="AK396" i="39"/>
  <c r="AJ396" i="39"/>
  <c r="AD396" i="39"/>
  <c r="J396" i="39"/>
  <c r="G396" i="39"/>
  <c r="H396" i="39" s="1"/>
  <c r="AR396" i="39" s="1"/>
  <c r="C396" i="39"/>
  <c r="AF395" i="39"/>
  <c r="AD395" i="39"/>
  <c r="I395" i="39"/>
  <c r="G395" i="39"/>
  <c r="H395" i="39" s="1"/>
  <c r="AL395" i="39" s="1"/>
  <c r="C395" i="39"/>
  <c r="AQ394" i="39"/>
  <c r="AK394" i="39"/>
  <c r="AF394" i="39"/>
  <c r="AE394" i="39"/>
  <c r="AD394" i="39"/>
  <c r="J394" i="39"/>
  <c r="G394" i="39"/>
  <c r="H394" i="39" s="1"/>
  <c r="AR394" i="39" s="1"/>
  <c r="C394" i="39"/>
  <c r="AF393" i="39"/>
  <c r="AD393" i="39"/>
  <c r="I393" i="39"/>
  <c r="J393" i="39" s="1"/>
  <c r="G393" i="39"/>
  <c r="H393" i="39" s="1"/>
  <c r="AL393" i="39" s="1"/>
  <c r="C393" i="39"/>
  <c r="AQ392" i="39"/>
  <c r="AK392" i="39"/>
  <c r="AF392" i="39"/>
  <c r="AE392" i="39"/>
  <c r="AD392" i="39"/>
  <c r="J392" i="39"/>
  <c r="G392" i="39"/>
  <c r="H392" i="39" s="1"/>
  <c r="AL392" i="39" s="1"/>
  <c r="C392" i="39"/>
  <c r="AF391" i="39"/>
  <c r="AD391" i="39"/>
  <c r="I391" i="39"/>
  <c r="AQ391" i="39" s="1"/>
  <c r="G391" i="39"/>
  <c r="H391" i="39" s="1"/>
  <c r="C391" i="39"/>
  <c r="AF390" i="39"/>
  <c r="AD390" i="39"/>
  <c r="I390" i="39"/>
  <c r="J390" i="39" s="1"/>
  <c r="G390" i="39"/>
  <c r="H390" i="39" s="1"/>
  <c r="AL390" i="39" s="1"/>
  <c r="C390" i="39"/>
  <c r="AF389" i="39"/>
  <c r="AD389" i="39"/>
  <c r="I389" i="39"/>
  <c r="AE389" i="39" s="1"/>
  <c r="G389" i="39"/>
  <c r="H389" i="39" s="1"/>
  <c r="AL389" i="39" s="1"/>
  <c r="C389" i="39"/>
  <c r="AF388" i="39"/>
  <c r="AD388" i="39"/>
  <c r="I388" i="39"/>
  <c r="AK388" i="39" s="1"/>
  <c r="G388" i="39"/>
  <c r="H388" i="39" s="1"/>
  <c r="C388" i="39"/>
  <c r="AQ387" i="39"/>
  <c r="AK387" i="39"/>
  <c r="AE387" i="39"/>
  <c r="Z387" i="39"/>
  <c r="Y387" i="39"/>
  <c r="J387" i="39"/>
  <c r="G387" i="39"/>
  <c r="H387" i="39" s="1"/>
  <c r="AL387" i="39" s="1"/>
  <c r="C387" i="39"/>
  <c r="AQ386" i="39"/>
  <c r="AK386" i="39"/>
  <c r="AE386" i="39"/>
  <c r="Z386" i="39"/>
  <c r="Y386" i="39"/>
  <c r="J386" i="39"/>
  <c r="G386" i="39"/>
  <c r="H386" i="39" s="1"/>
  <c r="C386" i="39"/>
  <c r="AQ385" i="39"/>
  <c r="AK385" i="39"/>
  <c r="AE385" i="39"/>
  <c r="Y385" i="39"/>
  <c r="T385" i="39"/>
  <c r="S385" i="39"/>
  <c r="R385" i="39"/>
  <c r="J385" i="39"/>
  <c r="G385" i="39"/>
  <c r="H385" i="39" s="1"/>
  <c r="C385" i="39"/>
  <c r="AQ384" i="39"/>
  <c r="AK384" i="39"/>
  <c r="AE384" i="39"/>
  <c r="Y384" i="39"/>
  <c r="T384" i="39"/>
  <c r="S384" i="39"/>
  <c r="R384" i="39"/>
  <c r="J384" i="39"/>
  <c r="G384" i="39"/>
  <c r="H384" i="39" s="1"/>
  <c r="Z384" i="39" s="1"/>
  <c r="C384" i="39"/>
  <c r="T383" i="39"/>
  <c r="R383" i="39"/>
  <c r="I383" i="39"/>
  <c r="Y383" i="39" s="1"/>
  <c r="G383" i="39"/>
  <c r="H383" i="39" s="1"/>
  <c r="C383" i="39"/>
  <c r="AQ382" i="39"/>
  <c r="AK382" i="39"/>
  <c r="AE382" i="39"/>
  <c r="Y382" i="39"/>
  <c r="T382" i="39"/>
  <c r="S382" i="39"/>
  <c r="R382" i="39"/>
  <c r="J382" i="39"/>
  <c r="G382" i="39"/>
  <c r="H382" i="39" s="1"/>
  <c r="C382" i="39"/>
  <c r="AQ381" i="39"/>
  <c r="AK381" i="39"/>
  <c r="AE381" i="39"/>
  <c r="Y381" i="39"/>
  <c r="S381" i="39"/>
  <c r="N381" i="39"/>
  <c r="M381" i="39"/>
  <c r="J381" i="39"/>
  <c r="G381" i="39"/>
  <c r="H381" i="39" s="1"/>
  <c r="C381" i="39"/>
  <c r="AQ380" i="39"/>
  <c r="AK380" i="39"/>
  <c r="AE380" i="39"/>
  <c r="Y380" i="39"/>
  <c r="S380" i="39"/>
  <c r="N380" i="39"/>
  <c r="M380" i="39"/>
  <c r="J380" i="39"/>
  <c r="G380" i="39"/>
  <c r="H380" i="39" s="1"/>
  <c r="C380" i="39"/>
  <c r="AQ379" i="39"/>
  <c r="AK379" i="39"/>
  <c r="AE379" i="39"/>
  <c r="Y379" i="39"/>
  <c r="S379" i="39"/>
  <c r="N379" i="39"/>
  <c r="M379" i="39"/>
  <c r="J379" i="39"/>
  <c r="G379" i="39"/>
  <c r="H379" i="39" s="1"/>
  <c r="AL379" i="39" s="1"/>
  <c r="C379" i="39"/>
  <c r="AQ378" i="39"/>
  <c r="AK378" i="39"/>
  <c r="AE378" i="39"/>
  <c r="Y378" i="39"/>
  <c r="S378" i="39"/>
  <c r="N378" i="39"/>
  <c r="M378" i="39"/>
  <c r="J378" i="39"/>
  <c r="G378" i="39"/>
  <c r="H378" i="39" s="1"/>
  <c r="AR378" i="39" s="1"/>
  <c r="C378" i="39"/>
  <c r="AQ377" i="39"/>
  <c r="AK377" i="39"/>
  <c r="AE377" i="39"/>
  <c r="Y377" i="39"/>
  <c r="S377" i="39"/>
  <c r="N377" i="39"/>
  <c r="M377" i="39"/>
  <c r="J377" i="39"/>
  <c r="G377" i="39"/>
  <c r="H377" i="39" s="1"/>
  <c r="AR377" i="39" s="1"/>
  <c r="C377" i="39"/>
  <c r="AQ376" i="39"/>
  <c r="AK376" i="39"/>
  <c r="AE376" i="39"/>
  <c r="Y376" i="39"/>
  <c r="S376" i="39"/>
  <c r="N376" i="39"/>
  <c r="M376" i="39"/>
  <c r="J376" i="39"/>
  <c r="G376" i="39"/>
  <c r="H376" i="39" s="1"/>
  <c r="C376" i="39"/>
  <c r="AQ375" i="39"/>
  <c r="AK375" i="39"/>
  <c r="AE375" i="39"/>
  <c r="Y375" i="39"/>
  <c r="S375" i="39"/>
  <c r="N375" i="39"/>
  <c r="M375" i="39"/>
  <c r="J375" i="39"/>
  <c r="G375" i="39"/>
  <c r="H375" i="39" s="1"/>
  <c r="AL375" i="39" s="1"/>
  <c r="C375" i="39"/>
  <c r="AQ374" i="39"/>
  <c r="AK374" i="39"/>
  <c r="AE374" i="39"/>
  <c r="Y374" i="39"/>
  <c r="S374" i="39"/>
  <c r="N374" i="39"/>
  <c r="M374" i="39"/>
  <c r="J374" i="39"/>
  <c r="G374" i="39"/>
  <c r="H374" i="39" s="1"/>
  <c r="AR374" i="39" s="1"/>
  <c r="C374" i="39"/>
  <c r="AQ373" i="39"/>
  <c r="AK373" i="39"/>
  <c r="AE373" i="39"/>
  <c r="Y373" i="39"/>
  <c r="S373" i="39"/>
  <c r="N373" i="39"/>
  <c r="M373" i="39"/>
  <c r="J373" i="39"/>
  <c r="G373" i="39"/>
  <c r="H373" i="39" s="1"/>
  <c r="AF373" i="39" s="1"/>
  <c r="C373" i="39"/>
  <c r="AQ372" i="39"/>
  <c r="AK372" i="39"/>
  <c r="AE372" i="39"/>
  <c r="Y372" i="39"/>
  <c r="S372" i="39"/>
  <c r="N372" i="39"/>
  <c r="M372" i="39"/>
  <c r="J372" i="39"/>
  <c r="G372" i="39"/>
  <c r="H372" i="39" s="1"/>
  <c r="C372" i="39"/>
  <c r="AQ371" i="39"/>
  <c r="AK371" i="39"/>
  <c r="AE371" i="39"/>
  <c r="Y371" i="39"/>
  <c r="S371" i="39"/>
  <c r="N371" i="39"/>
  <c r="M371" i="39"/>
  <c r="J371" i="39"/>
  <c r="G371" i="39"/>
  <c r="H371" i="39" s="1"/>
  <c r="AL371" i="39" s="1"/>
  <c r="C371" i="39"/>
  <c r="AQ370" i="39"/>
  <c r="AK370" i="39"/>
  <c r="AE370" i="39"/>
  <c r="Y370" i="39"/>
  <c r="S370" i="39"/>
  <c r="N370" i="39"/>
  <c r="M370" i="39"/>
  <c r="J370" i="39"/>
  <c r="G370" i="39"/>
  <c r="H370" i="39" s="1"/>
  <c r="AR370" i="39" s="1"/>
  <c r="C370" i="39"/>
  <c r="AQ369" i="39"/>
  <c r="AK369" i="39"/>
  <c r="AE369" i="39"/>
  <c r="Y369" i="39"/>
  <c r="S369" i="39"/>
  <c r="N369" i="39"/>
  <c r="M369" i="39"/>
  <c r="J369" i="39"/>
  <c r="G369" i="39"/>
  <c r="H369" i="39" s="1"/>
  <c r="AR369" i="39" s="1"/>
  <c r="C369" i="39"/>
  <c r="AQ368" i="39"/>
  <c r="AK368" i="39"/>
  <c r="AE368" i="39"/>
  <c r="Y368" i="39"/>
  <c r="S368" i="39"/>
  <c r="N368" i="39"/>
  <c r="M368" i="39"/>
  <c r="J368" i="39"/>
  <c r="G368" i="39"/>
  <c r="H368" i="39" s="1"/>
  <c r="C368" i="39"/>
  <c r="AQ367" i="39"/>
  <c r="AK367" i="39"/>
  <c r="AE367" i="39"/>
  <c r="Y367" i="39"/>
  <c r="S367" i="39"/>
  <c r="N367" i="39"/>
  <c r="M367" i="39"/>
  <c r="J367" i="39"/>
  <c r="G367" i="39"/>
  <c r="H367" i="39" s="1"/>
  <c r="AL367" i="39" s="1"/>
  <c r="C367" i="39"/>
  <c r="AQ366" i="39"/>
  <c r="AK366" i="39"/>
  <c r="AE366" i="39"/>
  <c r="Y366" i="39"/>
  <c r="S366" i="39"/>
  <c r="N366" i="39"/>
  <c r="M366" i="39"/>
  <c r="J366" i="39"/>
  <c r="G366" i="39"/>
  <c r="H366" i="39" s="1"/>
  <c r="AR366" i="39" s="1"/>
  <c r="C366" i="39"/>
  <c r="AQ365" i="39"/>
  <c r="AK365" i="39"/>
  <c r="AE365" i="39"/>
  <c r="Y365" i="39"/>
  <c r="S365" i="39"/>
  <c r="N365" i="39"/>
  <c r="M365" i="39"/>
  <c r="J365" i="39"/>
  <c r="G365" i="39"/>
  <c r="H365" i="39" s="1"/>
  <c r="AF365" i="39" s="1"/>
  <c r="C365" i="39"/>
  <c r="AQ364" i="39"/>
  <c r="AK364" i="39"/>
  <c r="AE364" i="39"/>
  <c r="Y364" i="39"/>
  <c r="S364" i="39"/>
  <c r="N364" i="39"/>
  <c r="M364" i="39"/>
  <c r="J364" i="39"/>
  <c r="G364" i="39"/>
  <c r="H364" i="39" s="1"/>
  <c r="C364" i="39"/>
  <c r="AQ363" i="39"/>
  <c r="AK363" i="39"/>
  <c r="AE363" i="39"/>
  <c r="Y363" i="39"/>
  <c r="S363" i="39"/>
  <c r="N363" i="39"/>
  <c r="M363" i="39"/>
  <c r="J363" i="39"/>
  <c r="G363" i="39"/>
  <c r="H363" i="39" s="1"/>
  <c r="AL363" i="39" s="1"/>
  <c r="C363" i="39"/>
  <c r="AQ362" i="39"/>
  <c r="AK362" i="39"/>
  <c r="AE362" i="39"/>
  <c r="Y362" i="39"/>
  <c r="S362" i="39"/>
  <c r="N362" i="39"/>
  <c r="M362" i="39"/>
  <c r="J362" i="39"/>
  <c r="G362" i="39"/>
  <c r="H362" i="39" s="1"/>
  <c r="AR362" i="39" s="1"/>
  <c r="C362" i="39"/>
  <c r="AQ361" i="39"/>
  <c r="AK361" i="39"/>
  <c r="AE361" i="39"/>
  <c r="Y361" i="39"/>
  <c r="S361" i="39"/>
  <c r="N361" i="39"/>
  <c r="M361" i="39"/>
  <c r="J361" i="39"/>
  <c r="G361" i="39"/>
  <c r="H361" i="39" s="1"/>
  <c r="AR361" i="39" s="1"/>
  <c r="C361" i="39"/>
  <c r="AQ360" i="39"/>
  <c r="AK360" i="39"/>
  <c r="AE360" i="39"/>
  <c r="Y360" i="39"/>
  <c r="S360" i="39"/>
  <c r="N360" i="39"/>
  <c r="M360" i="39"/>
  <c r="J360" i="39"/>
  <c r="G360" i="39"/>
  <c r="H360" i="39" s="1"/>
  <c r="C360" i="39"/>
  <c r="AQ359" i="39"/>
  <c r="AK359" i="39"/>
  <c r="AE359" i="39"/>
  <c r="Y359" i="39"/>
  <c r="S359" i="39"/>
  <c r="N359" i="39"/>
  <c r="M359" i="39"/>
  <c r="J359" i="39"/>
  <c r="G359" i="39"/>
  <c r="H359" i="39" s="1"/>
  <c r="AL359" i="39" s="1"/>
  <c r="C359" i="39"/>
  <c r="L357" i="39"/>
  <c r="K357" i="39"/>
  <c r="AR356" i="39"/>
  <c r="AQ356" i="39"/>
  <c r="AP356" i="39"/>
  <c r="J356" i="39"/>
  <c r="H356" i="39"/>
  <c r="C356" i="39"/>
  <c r="AR355" i="39"/>
  <c r="AQ355" i="39"/>
  <c r="AP355" i="39"/>
  <c r="J355" i="39"/>
  <c r="H355" i="39"/>
  <c r="C355" i="39"/>
  <c r="AR354" i="39"/>
  <c r="AQ354" i="39"/>
  <c r="AP354" i="39"/>
  <c r="J354" i="39"/>
  <c r="H354" i="39"/>
  <c r="C354" i="39"/>
  <c r="AR353" i="39"/>
  <c r="AQ353" i="39"/>
  <c r="AP353" i="39"/>
  <c r="J353" i="39"/>
  <c r="H353" i="39"/>
  <c r="C353" i="39"/>
  <c r="AR352" i="39"/>
  <c r="AQ352" i="39"/>
  <c r="AP352" i="39"/>
  <c r="J352" i="39"/>
  <c r="H352" i="39"/>
  <c r="C352" i="39"/>
  <c r="AR351" i="39"/>
  <c r="AQ351" i="39"/>
  <c r="AP351" i="39"/>
  <c r="J351" i="39"/>
  <c r="H351" i="39"/>
  <c r="C351" i="39"/>
  <c r="AR350" i="39"/>
  <c r="AQ350" i="39"/>
  <c r="AP350" i="39"/>
  <c r="J350" i="39"/>
  <c r="H350" i="39"/>
  <c r="C350" i="39"/>
  <c r="AR349" i="39"/>
  <c r="AQ349" i="39"/>
  <c r="AP349" i="39"/>
  <c r="J349" i="39"/>
  <c r="H349" i="39"/>
  <c r="C349" i="39"/>
  <c r="AR348" i="39"/>
  <c r="AQ348" i="39"/>
  <c r="AP348" i="39"/>
  <c r="J348" i="39"/>
  <c r="H348" i="39"/>
  <c r="C348" i="39"/>
  <c r="AR347" i="39"/>
  <c r="AQ347" i="39"/>
  <c r="AP347" i="39"/>
  <c r="J347" i="39"/>
  <c r="H347" i="39"/>
  <c r="C347" i="39"/>
  <c r="AR346" i="39"/>
  <c r="AQ346" i="39"/>
  <c r="AP346" i="39"/>
  <c r="J346" i="39"/>
  <c r="H346" i="39"/>
  <c r="C346" i="39"/>
  <c r="AR345" i="39"/>
  <c r="AQ345" i="39"/>
  <c r="AP345" i="39"/>
  <c r="J345" i="39"/>
  <c r="H345" i="39"/>
  <c r="C345" i="39"/>
  <c r="AR344" i="39"/>
  <c r="AQ344" i="39"/>
  <c r="AP344" i="39"/>
  <c r="J344" i="39"/>
  <c r="H344" i="39"/>
  <c r="C344" i="39"/>
  <c r="AR343" i="39"/>
  <c r="AQ343" i="39"/>
  <c r="AP343" i="39"/>
  <c r="J343" i="39"/>
  <c r="H343" i="39"/>
  <c r="C343" i="39"/>
  <c r="AR342" i="39"/>
  <c r="AQ342" i="39"/>
  <c r="AP342" i="39"/>
  <c r="J342" i="39"/>
  <c r="H342" i="39"/>
  <c r="C342" i="39"/>
  <c r="AR341" i="39"/>
  <c r="AQ341" i="39"/>
  <c r="AP341" i="39"/>
  <c r="J341" i="39"/>
  <c r="H341" i="39"/>
  <c r="C341" i="39"/>
  <c r="AR340" i="39"/>
  <c r="AQ340" i="39"/>
  <c r="AP340" i="39"/>
  <c r="J340" i="39"/>
  <c r="H340" i="39"/>
  <c r="C340" i="39"/>
  <c r="AR339" i="39"/>
  <c r="AQ339" i="39"/>
  <c r="AP339" i="39"/>
  <c r="J339" i="39"/>
  <c r="H339" i="39"/>
  <c r="C339" i="39"/>
  <c r="AR338" i="39"/>
  <c r="AQ338" i="39"/>
  <c r="AP338" i="39"/>
  <c r="J338" i="39"/>
  <c r="H338" i="39"/>
  <c r="C338" i="39"/>
  <c r="AR337" i="39"/>
  <c r="AQ337" i="39"/>
  <c r="AP337" i="39"/>
  <c r="J337" i="39"/>
  <c r="H337" i="39"/>
  <c r="C337" i="39"/>
  <c r="AR336" i="39"/>
  <c r="AQ336" i="39"/>
  <c r="AP336" i="39"/>
  <c r="J336" i="39"/>
  <c r="H336" i="39"/>
  <c r="C336" i="39"/>
  <c r="AR335" i="39"/>
  <c r="AQ335" i="39"/>
  <c r="AP335" i="39"/>
  <c r="J335" i="39"/>
  <c r="H335" i="39"/>
  <c r="C335" i="39"/>
  <c r="AR334" i="39"/>
  <c r="AQ334" i="39"/>
  <c r="AP334" i="39"/>
  <c r="J334" i="39"/>
  <c r="H334" i="39"/>
  <c r="C334" i="39"/>
  <c r="AR333" i="39"/>
  <c r="AQ333" i="39"/>
  <c r="AP333" i="39"/>
  <c r="J333" i="39"/>
  <c r="H333" i="39"/>
  <c r="C333" i="39"/>
  <c r="AR332" i="39"/>
  <c r="AQ332" i="39"/>
  <c r="AP332" i="39"/>
  <c r="J332" i="39"/>
  <c r="H332" i="39"/>
  <c r="C332" i="39"/>
  <c r="AR331" i="39"/>
  <c r="AQ331" i="39"/>
  <c r="AP331" i="39"/>
  <c r="J331" i="39"/>
  <c r="H331" i="39"/>
  <c r="C331" i="39"/>
  <c r="AR330" i="39"/>
  <c r="AQ330" i="39"/>
  <c r="AP330" i="39"/>
  <c r="J330" i="39"/>
  <c r="H330" i="39"/>
  <c r="C330" i="39"/>
  <c r="AR329" i="39"/>
  <c r="AQ329" i="39"/>
  <c r="AP329" i="39"/>
  <c r="J329" i="39"/>
  <c r="H329" i="39"/>
  <c r="C329" i="39"/>
  <c r="AQ328" i="39"/>
  <c r="AL328" i="39"/>
  <c r="AK328" i="39"/>
  <c r="AJ328" i="39"/>
  <c r="J328" i="39"/>
  <c r="G328" i="39"/>
  <c r="H328" i="39" s="1"/>
  <c r="AR328" i="39" s="1"/>
  <c r="C328" i="39"/>
  <c r="AQ327" i="39"/>
  <c r="AL327" i="39"/>
  <c r="AK327" i="39"/>
  <c r="AJ327" i="39"/>
  <c r="J327" i="39"/>
  <c r="G327" i="39"/>
  <c r="H327" i="39" s="1"/>
  <c r="AR327" i="39" s="1"/>
  <c r="C327" i="39"/>
  <c r="AQ326" i="39"/>
  <c r="AL326" i="39"/>
  <c r="AK326" i="39"/>
  <c r="AJ326" i="39"/>
  <c r="J326" i="39"/>
  <c r="G326" i="39"/>
  <c r="H326" i="39" s="1"/>
  <c r="AR326" i="39" s="1"/>
  <c r="C326" i="39"/>
  <c r="AQ325" i="39"/>
  <c r="AL325" i="39"/>
  <c r="AK325" i="39"/>
  <c r="AJ325" i="39"/>
  <c r="J325" i="39"/>
  <c r="G325" i="39"/>
  <c r="H325" i="39" s="1"/>
  <c r="AR325" i="39" s="1"/>
  <c r="C325" i="39"/>
  <c r="AQ324" i="39"/>
  <c r="AL324" i="39"/>
  <c r="AK324" i="39"/>
  <c r="AJ324" i="39"/>
  <c r="J324" i="39"/>
  <c r="G324" i="39"/>
  <c r="H324" i="39" s="1"/>
  <c r="AR324" i="39" s="1"/>
  <c r="C324" i="39"/>
  <c r="AQ323" i="39"/>
  <c r="AL323" i="39"/>
  <c r="AK323" i="39"/>
  <c r="AJ323" i="39"/>
  <c r="J323" i="39"/>
  <c r="G323" i="39"/>
  <c r="H323" i="39" s="1"/>
  <c r="AR323" i="39" s="1"/>
  <c r="C323" i="39"/>
  <c r="AQ322" i="39"/>
  <c r="AL322" i="39"/>
  <c r="AK322" i="39"/>
  <c r="AJ322" i="39"/>
  <c r="J322" i="39"/>
  <c r="G322" i="39"/>
  <c r="H322" i="39" s="1"/>
  <c r="AR322" i="39" s="1"/>
  <c r="C322" i="39"/>
  <c r="AQ321" i="39"/>
  <c r="AL321" i="39"/>
  <c r="AK321" i="39"/>
  <c r="AJ321" i="39"/>
  <c r="J321" i="39"/>
  <c r="G321" i="39"/>
  <c r="H321" i="39" s="1"/>
  <c r="AR321" i="39" s="1"/>
  <c r="C321" i="39"/>
  <c r="AQ320" i="39"/>
  <c r="AL320" i="39"/>
  <c r="AK320" i="39"/>
  <c r="AJ320" i="39"/>
  <c r="J320" i="39"/>
  <c r="G320" i="39"/>
  <c r="H320" i="39" s="1"/>
  <c r="AR320" i="39" s="1"/>
  <c r="C320" i="39"/>
  <c r="AQ319" i="39"/>
  <c r="AL319" i="39"/>
  <c r="AK319" i="39"/>
  <c r="AJ319" i="39"/>
  <c r="J319" i="39"/>
  <c r="G319" i="39"/>
  <c r="H319" i="39" s="1"/>
  <c r="AR319" i="39" s="1"/>
  <c r="C319" i="39"/>
  <c r="AQ318" i="39"/>
  <c r="AL318" i="39"/>
  <c r="AK318" i="39"/>
  <c r="AJ318" i="39"/>
  <c r="J318" i="39"/>
  <c r="G318" i="39"/>
  <c r="H318" i="39" s="1"/>
  <c r="AR318" i="39" s="1"/>
  <c r="C318" i="39"/>
  <c r="AQ317" i="39"/>
  <c r="AL317" i="39"/>
  <c r="AK317" i="39"/>
  <c r="AJ317" i="39"/>
  <c r="J317" i="39"/>
  <c r="G317" i="39"/>
  <c r="H317" i="39" s="1"/>
  <c r="AR317" i="39" s="1"/>
  <c r="C317" i="39"/>
  <c r="AQ316" i="39"/>
  <c r="AL316" i="39"/>
  <c r="AK316" i="39"/>
  <c r="AJ316" i="39"/>
  <c r="J316" i="39"/>
  <c r="G316" i="39"/>
  <c r="H316" i="39" s="1"/>
  <c r="AR316" i="39" s="1"/>
  <c r="C316" i="39"/>
  <c r="AQ315" i="39"/>
  <c r="AL315" i="39"/>
  <c r="AK315" i="39"/>
  <c r="AJ315" i="39"/>
  <c r="J315" i="39"/>
  <c r="G315" i="39"/>
  <c r="H315" i="39" s="1"/>
  <c r="AR315" i="39" s="1"/>
  <c r="C315" i="39"/>
  <c r="AQ314" i="39"/>
  <c r="AL314" i="39"/>
  <c r="AK314" i="39"/>
  <c r="AJ314" i="39"/>
  <c r="J314" i="39"/>
  <c r="G314" i="39"/>
  <c r="H314" i="39" s="1"/>
  <c r="AR314" i="39" s="1"/>
  <c r="C314" i="39"/>
  <c r="AQ313" i="39"/>
  <c r="AL313" i="39"/>
  <c r="AK313" i="39"/>
  <c r="AJ313" i="39"/>
  <c r="J313" i="39"/>
  <c r="G313" i="39"/>
  <c r="H313" i="39" s="1"/>
  <c r="AR313" i="39" s="1"/>
  <c r="C313" i="39"/>
  <c r="AQ312" i="39"/>
  <c r="AL312" i="39"/>
  <c r="AK312" i="39"/>
  <c r="AJ312" i="39"/>
  <c r="J312" i="39"/>
  <c r="G312" i="39"/>
  <c r="H312" i="39" s="1"/>
  <c r="AR312" i="39" s="1"/>
  <c r="C312" i="39"/>
  <c r="AQ311" i="39"/>
  <c r="AL311" i="39"/>
  <c r="AK311" i="39"/>
  <c r="AJ311" i="39"/>
  <c r="J311" i="39"/>
  <c r="G311" i="39"/>
  <c r="H311" i="39" s="1"/>
  <c r="AR311" i="39" s="1"/>
  <c r="C311" i="39"/>
  <c r="AQ310" i="39"/>
  <c r="AL310" i="39"/>
  <c r="AK310" i="39"/>
  <c r="AJ310" i="39"/>
  <c r="J310" i="39"/>
  <c r="G310" i="39"/>
  <c r="H310" i="39" s="1"/>
  <c r="AR310" i="39" s="1"/>
  <c r="C310" i="39"/>
  <c r="AQ309" i="39"/>
  <c r="AL309" i="39"/>
  <c r="AK309" i="39"/>
  <c r="AJ309" i="39"/>
  <c r="J309" i="39"/>
  <c r="G309" i="39"/>
  <c r="H309" i="39" s="1"/>
  <c r="AR309" i="39" s="1"/>
  <c r="C309" i="39"/>
  <c r="AQ308" i="39"/>
  <c r="AL308" i="39"/>
  <c r="AK308" i="39"/>
  <c r="AJ308" i="39"/>
  <c r="J308" i="39"/>
  <c r="G308" i="39"/>
  <c r="H308" i="39" s="1"/>
  <c r="AR308" i="39" s="1"/>
  <c r="C308" i="39"/>
  <c r="AQ307" i="39"/>
  <c r="AL307" i="39"/>
  <c r="AK307" i="39"/>
  <c r="AJ307" i="39"/>
  <c r="J307" i="39"/>
  <c r="G307" i="39"/>
  <c r="H307" i="39" s="1"/>
  <c r="AR307" i="39" s="1"/>
  <c r="C307" i="39"/>
  <c r="AQ306" i="39"/>
  <c r="AL306" i="39"/>
  <c r="AK306" i="39"/>
  <c r="AJ306" i="39"/>
  <c r="J306" i="39"/>
  <c r="G306" i="39"/>
  <c r="H306" i="39" s="1"/>
  <c r="AR306" i="39" s="1"/>
  <c r="C306" i="39"/>
  <c r="AQ305" i="39"/>
  <c r="AL305" i="39"/>
  <c r="AK305" i="39"/>
  <c r="AJ305" i="39"/>
  <c r="AD305" i="39"/>
  <c r="J305" i="39"/>
  <c r="G305" i="39"/>
  <c r="H305" i="39" s="1"/>
  <c r="AR305" i="39" s="1"/>
  <c r="C305" i="39"/>
  <c r="AQ304" i="39"/>
  <c r="AK304" i="39"/>
  <c r="AE304" i="39"/>
  <c r="Y304" i="39"/>
  <c r="S304" i="39"/>
  <c r="N304" i="39"/>
  <c r="M304" i="39"/>
  <c r="J304" i="39"/>
  <c r="H304" i="39"/>
  <c r="AL304" i="39" s="1"/>
  <c r="C304" i="39"/>
  <c r="AQ303" i="39"/>
  <c r="AK303" i="39"/>
  <c r="AF303" i="39"/>
  <c r="AE303" i="39"/>
  <c r="AD303" i="39"/>
  <c r="J303" i="39"/>
  <c r="G303" i="39"/>
  <c r="H303" i="39" s="1"/>
  <c r="AR303" i="39" s="1"/>
  <c r="C303" i="39"/>
  <c r="AF302" i="39"/>
  <c r="AD302" i="39"/>
  <c r="I302" i="39"/>
  <c r="G302" i="39"/>
  <c r="H302" i="39" s="1"/>
  <c r="C302" i="39"/>
  <c r="AF301" i="39"/>
  <c r="AD301" i="39"/>
  <c r="I301" i="39"/>
  <c r="AE301" i="39" s="1"/>
  <c r="G301" i="39"/>
  <c r="H301" i="39" s="1"/>
  <c r="C301" i="39"/>
  <c r="AF300" i="39"/>
  <c r="AD300" i="39"/>
  <c r="I300" i="39"/>
  <c r="J300" i="39" s="1"/>
  <c r="G300" i="39"/>
  <c r="H300" i="39" s="1"/>
  <c r="C300" i="39"/>
  <c r="AF299" i="39"/>
  <c r="AD299" i="39"/>
  <c r="I299" i="39"/>
  <c r="AK299" i="39" s="1"/>
  <c r="G299" i="39"/>
  <c r="H299" i="39" s="1"/>
  <c r="AR299" i="39" s="1"/>
  <c r="C299" i="39"/>
  <c r="AQ298" i="39"/>
  <c r="AK298" i="39"/>
  <c r="AF298" i="39"/>
  <c r="AE298" i="39"/>
  <c r="AD298" i="39"/>
  <c r="J298" i="39"/>
  <c r="G298" i="39"/>
  <c r="H298" i="39" s="1"/>
  <c r="C298" i="39"/>
  <c r="AQ297" i="39"/>
  <c r="AK297" i="39"/>
  <c r="AF297" i="39"/>
  <c r="AE297" i="39"/>
  <c r="AD297" i="39"/>
  <c r="J297" i="39"/>
  <c r="G297" i="39"/>
  <c r="H297" i="39" s="1"/>
  <c r="AR297" i="39" s="1"/>
  <c r="C297" i="39"/>
  <c r="AF296" i="39"/>
  <c r="AD296" i="39"/>
  <c r="I296" i="39"/>
  <c r="AQ296" i="39" s="1"/>
  <c r="G296" i="39"/>
  <c r="H296" i="39" s="1"/>
  <c r="AR296" i="39" s="1"/>
  <c r="C296" i="39"/>
  <c r="AQ295" i="39"/>
  <c r="AK295" i="39"/>
  <c r="AE295" i="39"/>
  <c r="Y295" i="39"/>
  <c r="X295" i="39"/>
  <c r="J295" i="39"/>
  <c r="G295" i="39"/>
  <c r="H295" i="39" s="1"/>
  <c r="C295" i="39"/>
  <c r="AQ294" i="39"/>
  <c r="AK294" i="39"/>
  <c r="AE294" i="39"/>
  <c r="Z294" i="39"/>
  <c r="Y294" i="39"/>
  <c r="X294" i="39"/>
  <c r="J294" i="39"/>
  <c r="G294" i="39"/>
  <c r="H294" i="39" s="1"/>
  <c r="AL294" i="39" s="1"/>
  <c r="C294" i="39"/>
  <c r="AQ293" i="39"/>
  <c r="AK293" i="39"/>
  <c r="AE293" i="39"/>
  <c r="Z293" i="39"/>
  <c r="Y293" i="39"/>
  <c r="X293" i="39"/>
  <c r="J293" i="39"/>
  <c r="G293" i="39"/>
  <c r="H293" i="39" s="1"/>
  <c r="C293" i="39"/>
  <c r="AQ292" i="39"/>
  <c r="AK292" i="39"/>
  <c r="AE292" i="39"/>
  <c r="Z292" i="39"/>
  <c r="Y292" i="39"/>
  <c r="X292" i="39"/>
  <c r="J292" i="39"/>
  <c r="G292" i="39"/>
  <c r="H292" i="39" s="1"/>
  <c r="C292" i="39"/>
  <c r="AQ291" i="39"/>
  <c r="AK291" i="39"/>
  <c r="AE291" i="39"/>
  <c r="Z291" i="39"/>
  <c r="Y291" i="39"/>
  <c r="J291" i="39"/>
  <c r="G291" i="39"/>
  <c r="H291" i="39" s="1"/>
  <c r="AL291" i="39" s="1"/>
  <c r="C291" i="39"/>
  <c r="AQ290" i="39"/>
  <c r="AK290" i="39"/>
  <c r="AE290" i="39"/>
  <c r="Z290" i="39"/>
  <c r="Y290" i="39"/>
  <c r="J290" i="39"/>
  <c r="G290" i="39"/>
  <c r="H290" i="39" s="1"/>
  <c r="C290" i="39"/>
  <c r="AQ289" i="39"/>
  <c r="AK289" i="39"/>
  <c r="AE289" i="39"/>
  <c r="Y289" i="39"/>
  <c r="T289" i="39"/>
  <c r="S289" i="39"/>
  <c r="J289" i="39"/>
  <c r="G289" i="39"/>
  <c r="H289" i="39" s="1"/>
  <c r="AL289" i="39" s="1"/>
  <c r="C289" i="39"/>
  <c r="AQ288" i="39"/>
  <c r="AK288" i="39"/>
  <c r="AE288" i="39"/>
  <c r="Y288" i="39"/>
  <c r="T288" i="39"/>
  <c r="S288" i="39"/>
  <c r="J288" i="39"/>
  <c r="G288" i="39"/>
  <c r="H288" i="39" s="1"/>
  <c r="AL288" i="39" s="1"/>
  <c r="C288" i="39"/>
  <c r="AQ287" i="39"/>
  <c r="AK287" i="39"/>
  <c r="AE287" i="39"/>
  <c r="Y287" i="39"/>
  <c r="T287" i="39"/>
  <c r="S287" i="39"/>
  <c r="J287" i="39"/>
  <c r="G287" i="39"/>
  <c r="H287" i="39" s="1"/>
  <c r="AF287" i="39" s="1"/>
  <c r="C287" i="39"/>
  <c r="AQ286" i="39"/>
  <c r="AK286" i="39"/>
  <c r="AE286" i="39"/>
  <c r="Y286" i="39"/>
  <c r="T286" i="39"/>
  <c r="S286" i="39"/>
  <c r="J286" i="39"/>
  <c r="G286" i="39"/>
  <c r="H286" i="39" s="1"/>
  <c r="C286" i="39"/>
  <c r="AQ285" i="39"/>
  <c r="AK285" i="39"/>
  <c r="AE285" i="39"/>
  <c r="Y285" i="39"/>
  <c r="T285" i="39"/>
  <c r="S285" i="39"/>
  <c r="J285" i="39"/>
  <c r="G285" i="39"/>
  <c r="H285" i="39" s="1"/>
  <c r="AL285" i="39" s="1"/>
  <c r="C285" i="39"/>
  <c r="AQ284" i="39"/>
  <c r="AK284" i="39"/>
  <c r="AE284" i="39"/>
  <c r="Y284" i="39"/>
  <c r="T284" i="39"/>
  <c r="S284" i="39"/>
  <c r="J284" i="39"/>
  <c r="G284" i="39"/>
  <c r="H284" i="39" s="1"/>
  <c r="AL284" i="39" s="1"/>
  <c r="C284" i="39"/>
  <c r="AQ283" i="39"/>
  <c r="AK283" i="39"/>
  <c r="AE283" i="39"/>
  <c r="Y283" i="39"/>
  <c r="T283" i="39"/>
  <c r="S283" i="39"/>
  <c r="R283" i="39"/>
  <c r="J283" i="39"/>
  <c r="G283" i="39"/>
  <c r="H283" i="39" s="1"/>
  <c r="C283" i="39"/>
  <c r="AQ282" i="39"/>
  <c r="AK282" i="39"/>
  <c r="AE282" i="39"/>
  <c r="Y282" i="39"/>
  <c r="T282" i="39"/>
  <c r="S282" i="39"/>
  <c r="R282" i="39"/>
  <c r="J282" i="39"/>
  <c r="G282" i="39"/>
  <c r="H282" i="39" s="1"/>
  <c r="C282" i="39"/>
  <c r="T281" i="39"/>
  <c r="R281" i="39"/>
  <c r="I281" i="39"/>
  <c r="G281" i="39"/>
  <c r="H281" i="39" s="1"/>
  <c r="C281" i="39"/>
  <c r="AQ280" i="39"/>
  <c r="AK280" i="39"/>
  <c r="AE280" i="39"/>
  <c r="Y280" i="39"/>
  <c r="S280" i="39"/>
  <c r="N280" i="39"/>
  <c r="M280" i="39"/>
  <c r="J280" i="39"/>
  <c r="G280" i="39"/>
  <c r="H280" i="39" s="1"/>
  <c r="C280" i="39"/>
  <c r="AQ279" i="39"/>
  <c r="AK279" i="39"/>
  <c r="AE279" i="39"/>
  <c r="Y279" i="39"/>
  <c r="S279" i="39"/>
  <c r="N279" i="39"/>
  <c r="M279" i="39"/>
  <c r="J279" i="39"/>
  <c r="G279" i="39"/>
  <c r="H279" i="39" s="1"/>
  <c r="C279" i="39"/>
  <c r="AQ278" i="39"/>
  <c r="AK278" i="39"/>
  <c r="AE278" i="39"/>
  <c r="Y278" i="39"/>
  <c r="S278" i="39"/>
  <c r="N278" i="39"/>
  <c r="M278" i="39"/>
  <c r="J278" i="39"/>
  <c r="G278" i="39"/>
  <c r="H278" i="39" s="1"/>
  <c r="AR278" i="39" s="1"/>
  <c r="C278" i="39"/>
  <c r="AQ277" i="39"/>
  <c r="AK277" i="39"/>
  <c r="AE277" i="39"/>
  <c r="Y277" i="39"/>
  <c r="S277" i="39"/>
  <c r="N277" i="39"/>
  <c r="M277" i="39"/>
  <c r="J277" i="39"/>
  <c r="G277" i="39"/>
  <c r="H277" i="39" s="1"/>
  <c r="T277" i="39" s="1"/>
  <c r="C277" i="39"/>
  <c r="AQ276" i="39"/>
  <c r="AK276" i="39"/>
  <c r="AE276" i="39"/>
  <c r="Y276" i="39"/>
  <c r="S276" i="39"/>
  <c r="N276" i="39"/>
  <c r="M276" i="39"/>
  <c r="J276" i="39"/>
  <c r="G276" i="39"/>
  <c r="H276" i="39" s="1"/>
  <c r="C276" i="39"/>
  <c r="AQ275" i="39"/>
  <c r="AK275" i="39"/>
  <c r="AE275" i="39"/>
  <c r="Y275" i="39"/>
  <c r="S275" i="39"/>
  <c r="N275" i="39"/>
  <c r="M275" i="39"/>
  <c r="J275" i="39"/>
  <c r="G275" i="39"/>
  <c r="H275" i="39" s="1"/>
  <c r="AL275" i="39" s="1"/>
  <c r="C275" i="39"/>
  <c r="AQ274" i="39"/>
  <c r="AK274" i="39"/>
  <c r="AE274" i="39"/>
  <c r="Y274" i="39"/>
  <c r="S274" i="39"/>
  <c r="N274" i="39"/>
  <c r="M274" i="39"/>
  <c r="J274" i="39"/>
  <c r="G274" i="39"/>
  <c r="H274" i="39" s="1"/>
  <c r="AR274" i="39" s="1"/>
  <c r="C274" i="39"/>
  <c r="AQ273" i="39"/>
  <c r="AK273" i="39"/>
  <c r="AE273" i="39"/>
  <c r="Y273" i="39"/>
  <c r="S273" i="39"/>
  <c r="N273" i="39"/>
  <c r="M273" i="39"/>
  <c r="J273" i="39"/>
  <c r="G273" i="39"/>
  <c r="H273" i="39" s="1"/>
  <c r="AR273" i="39" s="1"/>
  <c r="C273" i="39"/>
  <c r="AQ272" i="39"/>
  <c r="AK272" i="39"/>
  <c r="AE272" i="39"/>
  <c r="Y272" i="39"/>
  <c r="S272" i="39"/>
  <c r="N272" i="39"/>
  <c r="M272" i="39"/>
  <c r="J272" i="39"/>
  <c r="G272" i="39"/>
  <c r="H272" i="39" s="1"/>
  <c r="C272" i="39"/>
  <c r="AQ271" i="39"/>
  <c r="AK271" i="39"/>
  <c r="AE271" i="39"/>
  <c r="Y271" i="39"/>
  <c r="S271" i="39"/>
  <c r="N271" i="39"/>
  <c r="M271" i="39"/>
  <c r="J271" i="39"/>
  <c r="G271" i="39"/>
  <c r="H271" i="39" s="1"/>
  <c r="Z271" i="39" s="1"/>
  <c r="C271" i="39"/>
  <c r="AQ270" i="39"/>
  <c r="AK270" i="39"/>
  <c r="AE270" i="39"/>
  <c r="Y270" i="39"/>
  <c r="S270" i="39"/>
  <c r="N270" i="39"/>
  <c r="M270" i="39"/>
  <c r="J270" i="39"/>
  <c r="G270" i="39"/>
  <c r="H270" i="39" s="1"/>
  <c r="C270" i="39"/>
  <c r="AQ269" i="39"/>
  <c r="AK269" i="39"/>
  <c r="AE269" i="39"/>
  <c r="Y269" i="39"/>
  <c r="S269" i="39"/>
  <c r="N269" i="39"/>
  <c r="M269" i="39"/>
  <c r="J269" i="39"/>
  <c r="G269" i="39"/>
  <c r="H269" i="39" s="1"/>
  <c r="C269" i="39"/>
  <c r="AQ268" i="39"/>
  <c r="AK268" i="39"/>
  <c r="AE268" i="39"/>
  <c r="Y268" i="39"/>
  <c r="S268" i="39"/>
  <c r="N268" i="39"/>
  <c r="M268" i="39"/>
  <c r="J268" i="39"/>
  <c r="G268" i="39"/>
  <c r="H268" i="39" s="1"/>
  <c r="C268" i="39"/>
  <c r="AQ267" i="39"/>
  <c r="AK267" i="39"/>
  <c r="AE267" i="39"/>
  <c r="Y267" i="39"/>
  <c r="S267" i="39"/>
  <c r="N267" i="39"/>
  <c r="M267" i="39"/>
  <c r="J267" i="39"/>
  <c r="G267" i="39"/>
  <c r="H267" i="39" s="1"/>
  <c r="AR267" i="39" s="1"/>
  <c r="C267" i="39"/>
  <c r="AQ266" i="39"/>
  <c r="AK266" i="39"/>
  <c r="AE266" i="39"/>
  <c r="Y266" i="39"/>
  <c r="S266" i="39"/>
  <c r="N266" i="39"/>
  <c r="M266" i="39"/>
  <c r="J266" i="39"/>
  <c r="G266" i="39"/>
  <c r="H266" i="39" s="1"/>
  <c r="C266" i="39"/>
  <c r="AQ265" i="39"/>
  <c r="AK265" i="39"/>
  <c r="AE265" i="39"/>
  <c r="Y265" i="39"/>
  <c r="S265" i="39"/>
  <c r="N265" i="39"/>
  <c r="M265" i="39"/>
  <c r="J265" i="39"/>
  <c r="G265" i="39"/>
  <c r="H265" i="39" s="1"/>
  <c r="C265" i="39"/>
  <c r="AQ264" i="39"/>
  <c r="AK264" i="39"/>
  <c r="AE264" i="39"/>
  <c r="Y264" i="39"/>
  <c r="S264" i="39"/>
  <c r="N264" i="39"/>
  <c r="M264" i="39"/>
  <c r="J264" i="39"/>
  <c r="G264" i="39"/>
  <c r="H264" i="39" s="1"/>
  <c r="AL264" i="39" s="1"/>
  <c r="C264" i="39"/>
  <c r="AQ263" i="39"/>
  <c r="AK263" i="39"/>
  <c r="AE263" i="39"/>
  <c r="Y263" i="39"/>
  <c r="S263" i="39"/>
  <c r="N263" i="39"/>
  <c r="M263" i="39"/>
  <c r="J263" i="39"/>
  <c r="G263" i="39"/>
  <c r="H263" i="39" s="1"/>
  <c r="C263" i="39"/>
  <c r="AQ262" i="39"/>
  <c r="AK262" i="39"/>
  <c r="AE262" i="39"/>
  <c r="Y262" i="39"/>
  <c r="S262" i="39"/>
  <c r="N262" i="39"/>
  <c r="M262" i="39"/>
  <c r="J262" i="39"/>
  <c r="G262" i="39"/>
  <c r="H262" i="39" s="1"/>
  <c r="C262" i="39"/>
  <c r="AQ261" i="39"/>
  <c r="AK261" i="39"/>
  <c r="AE261" i="39"/>
  <c r="Y261" i="39"/>
  <c r="S261" i="39"/>
  <c r="N261" i="39"/>
  <c r="M261" i="39"/>
  <c r="J261" i="39"/>
  <c r="G261" i="39"/>
  <c r="H261" i="39" s="1"/>
  <c r="C261" i="39"/>
  <c r="AQ260" i="39"/>
  <c r="AK260" i="39"/>
  <c r="AE260" i="39"/>
  <c r="Y260" i="39"/>
  <c r="S260" i="39"/>
  <c r="N260" i="39"/>
  <c r="M260" i="39"/>
  <c r="J260" i="39"/>
  <c r="G260" i="39"/>
  <c r="H260" i="39" s="1"/>
  <c r="AL260" i="39" s="1"/>
  <c r="C260" i="39"/>
  <c r="AQ259" i="39"/>
  <c r="AK259" i="39"/>
  <c r="AE259" i="39"/>
  <c r="Y259" i="39"/>
  <c r="S259" i="39"/>
  <c r="N259" i="39"/>
  <c r="M259" i="39"/>
  <c r="J259" i="39"/>
  <c r="G259" i="39"/>
  <c r="H259" i="39" s="1"/>
  <c r="C259" i="39"/>
  <c r="AQ258" i="39"/>
  <c r="AK258" i="39"/>
  <c r="AE258" i="39"/>
  <c r="Y258" i="39"/>
  <c r="S258" i="39"/>
  <c r="N258" i="39"/>
  <c r="M258" i="39"/>
  <c r="J258" i="39"/>
  <c r="G258" i="39"/>
  <c r="H258" i="39" s="1"/>
  <c r="Z258" i="39" s="1"/>
  <c r="C258" i="39"/>
  <c r="AQ257" i="39"/>
  <c r="AK257" i="39"/>
  <c r="AE257" i="39"/>
  <c r="Y257" i="39"/>
  <c r="S257" i="39"/>
  <c r="N257" i="39"/>
  <c r="M257" i="39"/>
  <c r="J257" i="39"/>
  <c r="G257" i="39"/>
  <c r="H257" i="39" s="1"/>
  <c r="C257" i="39"/>
  <c r="AQ256" i="39"/>
  <c r="AK256" i="39"/>
  <c r="AE256" i="39"/>
  <c r="Y256" i="39"/>
  <c r="S256" i="39"/>
  <c r="N256" i="39"/>
  <c r="M256" i="39"/>
  <c r="J256" i="39"/>
  <c r="G256" i="39"/>
  <c r="H256" i="39" s="1"/>
  <c r="C256" i="39"/>
  <c r="AQ255" i="39"/>
  <c r="AK255" i="39"/>
  <c r="AE255" i="39"/>
  <c r="Y255" i="39"/>
  <c r="S255" i="39"/>
  <c r="N255" i="39"/>
  <c r="M255" i="39"/>
  <c r="J255" i="39"/>
  <c r="G255" i="39"/>
  <c r="H255" i="39" s="1"/>
  <c r="C255" i="39"/>
  <c r="AQ254" i="39"/>
  <c r="AK254" i="39"/>
  <c r="AE254" i="39"/>
  <c r="Y254" i="39"/>
  <c r="S254" i="39"/>
  <c r="N254" i="39"/>
  <c r="M254" i="39"/>
  <c r="J254" i="39"/>
  <c r="G254" i="39"/>
  <c r="H254" i="39" s="1"/>
  <c r="C254" i="39"/>
  <c r="AQ253" i="39"/>
  <c r="AK253" i="39"/>
  <c r="AE253" i="39"/>
  <c r="Y253" i="39"/>
  <c r="S253" i="39"/>
  <c r="N253" i="39"/>
  <c r="M253" i="39"/>
  <c r="J253" i="39"/>
  <c r="G253" i="39"/>
  <c r="H253" i="39" s="1"/>
  <c r="C253" i="39"/>
  <c r="AQ252" i="39"/>
  <c r="AK252" i="39"/>
  <c r="AE252" i="39"/>
  <c r="Y252" i="39"/>
  <c r="S252" i="39"/>
  <c r="N252" i="39"/>
  <c r="M252" i="39"/>
  <c r="J252" i="39"/>
  <c r="G252" i="39"/>
  <c r="H252" i="39" s="1"/>
  <c r="C252" i="39"/>
  <c r="AQ251" i="39"/>
  <c r="AK251" i="39"/>
  <c r="AE251" i="39"/>
  <c r="Y251" i="39"/>
  <c r="S251" i="39"/>
  <c r="N251" i="39"/>
  <c r="M251" i="39"/>
  <c r="J251" i="39"/>
  <c r="G251" i="39"/>
  <c r="H251" i="39" s="1"/>
  <c r="C251" i="39"/>
  <c r="AQ250" i="39"/>
  <c r="AK250" i="39"/>
  <c r="AE250" i="39"/>
  <c r="Y250" i="39"/>
  <c r="S250" i="39"/>
  <c r="N250" i="39"/>
  <c r="M250" i="39"/>
  <c r="J250" i="39"/>
  <c r="G250" i="39"/>
  <c r="H250" i="39" s="1"/>
  <c r="Z250" i="39" s="1"/>
  <c r="C250" i="39"/>
  <c r="AQ249" i="39"/>
  <c r="AK249" i="39"/>
  <c r="AE249" i="39"/>
  <c r="Y249" i="39"/>
  <c r="S249" i="39"/>
  <c r="N249" i="39"/>
  <c r="M249" i="39"/>
  <c r="J249" i="39"/>
  <c r="G249" i="39"/>
  <c r="H249" i="39" s="1"/>
  <c r="C249" i="39"/>
  <c r="AQ248" i="39"/>
  <c r="AK248" i="39"/>
  <c r="AE248" i="39"/>
  <c r="Y248" i="39"/>
  <c r="S248" i="39"/>
  <c r="N248" i="39"/>
  <c r="M248" i="39"/>
  <c r="J248" i="39"/>
  <c r="G248" i="39"/>
  <c r="H248" i="39" s="1"/>
  <c r="AF248" i="39" s="1"/>
  <c r="C248" i="39"/>
  <c r="AQ247" i="39"/>
  <c r="AK247" i="39"/>
  <c r="AE247" i="39"/>
  <c r="Y247" i="39"/>
  <c r="S247" i="39"/>
  <c r="N247" i="39"/>
  <c r="M247" i="39"/>
  <c r="J247" i="39"/>
  <c r="G247" i="39"/>
  <c r="H247" i="39" s="1"/>
  <c r="C247" i="39"/>
  <c r="AQ246" i="39"/>
  <c r="AK246" i="39"/>
  <c r="AE246" i="39"/>
  <c r="Y246" i="39"/>
  <c r="S246" i="39"/>
  <c r="N246" i="39"/>
  <c r="M246" i="39"/>
  <c r="J246" i="39"/>
  <c r="G246" i="39"/>
  <c r="H246" i="39" s="1"/>
  <c r="C246" i="39"/>
  <c r="AQ245" i="39"/>
  <c r="AK245" i="39"/>
  <c r="AE245" i="39"/>
  <c r="Y245" i="39"/>
  <c r="S245" i="39"/>
  <c r="N245" i="39"/>
  <c r="M245" i="39"/>
  <c r="J245" i="39"/>
  <c r="G245" i="39"/>
  <c r="H245" i="39" s="1"/>
  <c r="C245" i="39"/>
  <c r="AQ244" i="39"/>
  <c r="AK244" i="39"/>
  <c r="AE244" i="39"/>
  <c r="Y244" i="39"/>
  <c r="S244" i="39"/>
  <c r="N244" i="39"/>
  <c r="M244" i="39"/>
  <c r="J244" i="39"/>
  <c r="G244" i="39"/>
  <c r="H244" i="39" s="1"/>
  <c r="C244" i="39"/>
  <c r="AQ243" i="39"/>
  <c r="AK243" i="39"/>
  <c r="AE243" i="39"/>
  <c r="Y243" i="39"/>
  <c r="S243" i="39"/>
  <c r="N243" i="39"/>
  <c r="M243" i="39"/>
  <c r="J243" i="39"/>
  <c r="G243" i="39"/>
  <c r="H243" i="39" s="1"/>
  <c r="C243" i="39"/>
  <c r="AQ242" i="39"/>
  <c r="AK242" i="39"/>
  <c r="AE242" i="39"/>
  <c r="Y242" i="39"/>
  <c r="S242" i="39"/>
  <c r="N242" i="39"/>
  <c r="M242" i="39"/>
  <c r="J242" i="39"/>
  <c r="G242" i="39"/>
  <c r="H242" i="39" s="1"/>
  <c r="Z242" i="39" s="1"/>
  <c r="C242" i="39"/>
  <c r="AQ241" i="39"/>
  <c r="AK241" i="39"/>
  <c r="AE241" i="39"/>
  <c r="Y241" i="39"/>
  <c r="S241" i="39"/>
  <c r="N241" i="39"/>
  <c r="M241" i="39"/>
  <c r="J241" i="39"/>
  <c r="G241" i="39"/>
  <c r="H241" i="39" s="1"/>
  <c r="C241" i="39"/>
  <c r="AQ240" i="39"/>
  <c r="AK240" i="39"/>
  <c r="AE240" i="39"/>
  <c r="Y240" i="39"/>
  <c r="S240" i="39"/>
  <c r="N240" i="39"/>
  <c r="M240" i="39"/>
  <c r="J240" i="39"/>
  <c r="G240" i="39"/>
  <c r="H240" i="39" s="1"/>
  <c r="AF240" i="39" s="1"/>
  <c r="C240" i="39"/>
  <c r="AQ239" i="39"/>
  <c r="AK239" i="39"/>
  <c r="AE239" i="39"/>
  <c r="Y239" i="39"/>
  <c r="S239" i="39"/>
  <c r="N239" i="39"/>
  <c r="M239" i="39"/>
  <c r="J239" i="39"/>
  <c r="G239" i="39"/>
  <c r="H239" i="39" s="1"/>
  <c r="C239" i="39"/>
  <c r="AQ238" i="39"/>
  <c r="AK238" i="39"/>
  <c r="AE238" i="39"/>
  <c r="Y238" i="39"/>
  <c r="S238" i="39"/>
  <c r="N238" i="39"/>
  <c r="M238" i="39"/>
  <c r="J238" i="39"/>
  <c r="G238" i="39"/>
  <c r="H238" i="39" s="1"/>
  <c r="C238" i="39"/>
  <c r="AQ237" i="39"/>
  <c r="AK237" i="39"/>
  <c r="AE237" i="39"/>
  <c r="Y237" i="39"/>
  <c r="S237" i="39"/>
  <c r="N237" i="39"/>
  <c r="M237" i="39"/>
  <c r="J237" i="39"/>
  <c r="G237" i="39"/>
  <c r="H237" i="39" s="1"/>
  <c r="C237" i="39"/>
  <c r="AQ236" i="39"/>
  <c r="AK236" i="39"/>
  <c r="AE236" i="39"/>
  <c r="Y236" i="39"/>
  <c r="S236" i="39"/>
  <c r="N236" i="39"/>
  <c r="M236" i="39"/>
  <c r="J236" i="39"/>
  <c r="G236" i="39"/>
  <c r="H236" i="39" s="1"/>
  <c r="AR236" i="39" s="1"/>
  <c r="C236" i="39"/>
  <c r="AQ235" i="39"/>
  <c r="AK235" i="39"/>
  <c r="AE235" i="39"/>
  <c r="Y235" i="39"/>
  <c r="S235" i="39"/>
  <c r="N235" i="39"/>
  <c r="M235" i="39"/>
  <c r="J235" i="39"/>
  <c r="G235" i="39"/>
  <c r="H235" i="39" s="1"/>
  <c r="C235" i="39"/>
  <c r="AQ234" i="39"/>
  <c r="AK234" i="39"/>
  <c r="AE234" i="39"/>
  <c r="Y234" i="39"/>
  <c r="S234" i="39"/>
  <c r="N234" i="39"/>
  <c r="M234" i="39"/>
  <c r="J234" i="39"/>
  <c r="G234" i="39"/>
  <c r="H234" i="39" s="1"/>
  <c r="C234" i="39"/>
  <c r="AQ233" i="39"/>
  <c r="AK233" i="39"/>
  <c r="AE233" i="39"/>
  <c r="Y233" i="39"/>
  <c r="S233" i="39"/>
  <c r="N233" i="39"/>
  <c r="M233" i="39"/>
  <c r="J233" i="39"/>
  <c r="G233" i="39"/>
  <c r="H233" i="39" s="1"/>
  <c r="C233" i="39"/>
  <c r="AQ232" i="39"/>
  <c r="AK232" i="39"/>
  <c r="AE232" i="39"/>
  <c r="Y232" i="39"/>
  <c r="S232" i="39"/>
  <c r="N232" i="39"/>
  <c r="M232" i="39"/>
  <c r="J232" i="39"/>
  <c r="G232" i="39"/>
  <c r="H232" i="39" s="1"/>
  <c r="AF232" i="39" s="1"/>
  <c r="C232" i="39"/>
  <c r="AQ231" i="39"/>
  <c r="AK231" i="39"/>
  <c r="AE231" i="39"/>
  <c r="Y231" i="39"/>
  <c r="S231" i="39"/>
  <c r="N231" i="39"/>
  <c r="M231" i="39"/>
  <c r="J231" i="39"/>
  <c r="G231" i="39"/>
  <c r="H231" i="39" s="1"/>
  <c r="C231" i="39"/>
  <c r="AQ230" i="39"/>
  <c r="AK230" i="39"/>
  <c r="AE230" i="39"/>
  <c r="Y230" i="39"/>
  <c r="S230" i="39"/>
  <c r="N230" i="39"/>
  <c r="M230" i="39"/>
  <c r="J230" i="39"/>
  <c r="G230" i="39"/>
  <c r="H230" i="39" s="1"/>
  <c r="Z230" i="39" s="1"/>
  <c r="C230" i="39"/>
  <c r="AQ229" i="39"/>
  <c r="AK229" i="39"/>
  <c r="AE229" i="39"/>
  <c r="Y229" i="39"/>
  <c r="S229" i="39"/>
  <c r="N229" i="39"/>
  <c r="M229" i="39"/>
  <c r="J229" i="39"/>
  <c r="G229" i="39"/>
  <c r="H229" i="39" s="1"/>
  <c r="C229" i="39"/>
  <c r="AQ228" i="39"/>
  <c r="AK228" i="39"/>
  <c r="AE228" i="39"/>
  <c r="Y228" i="39"/>
  <c r="S228" i="39"/>
  <c r="N228" i="39"/>
  <c r="M228" i="39"/>
  <c r="J228" i="39"/>
  <c r="G228" i="39"/>
  <c r="H228" i="39" s="1"/>
  <c r="AF228" i="39" s="1"/>
  <c r="C228" i="39"/>
  <c r="AQ227" i="39"/>
  <c r="AK227" i="39"/>
  <c r="AE227" i="39"/>
  <c r="Y227" i="39"/>
  <c r="S227" i="39"/>
  <c r="N227" i="39"/>
  <c r="M227" i="39"/>
  <c r="J227" i="39"/>
  <c r="G227" i="39"/>
  <c r="H227" i="39" s="1"/>
  <c r="C227" i="39"/>
  <c r="AQ226" i="39"/>
  <c r="AK226" i="39"/>
  <c r="AE226" i="39"/>
  <c r="Y226" i="39"/>
  <c r="S226" i="39"/>
  <c r="N226" i="39"/>
  <c r="M226" i="39"/>
  <c r="J226" i="39"/>
  <c r="G226" i="39"/>
  <c r="H226" i="39" s="1"/>
  <c r="AL226" i="39" s="1"/>
  <c r="C226" i="39"/>
  <c r="AQ225" i="39"/>
  <c r="AK225" i="39"/>
  <c r="AE225" i="39"/>
  <c r="Y225" i="39"/>
  <c r="S225" i="39"/>
  <c r="N225" i="39"/>
  <c r="M225" i="39"/>
  <c r="J225" i="39"/>
  <c r="G225" i="39"/>
  <c r="H225" i="39" s="1"/>
  <c r="C225" i="39"/>
  <c r="AQ224" i="39"/>
  <c r="AK224" i="39"/>
  <c r="AE224" i="39"/>
  <c r="Y224" i="39"/>
  <c r="S224" i="39"/>
  <c r="N224" i="39"/>
  <c r="M224" i="39"/>
  <c r="J224" i="39"/>
  <c r="G224" i="39"/>
  <c r="H224" i="39" s="1"/>
  <c r="AF224" i="39" s="1"/>
  <c r="C224" i="39"/>
  <c r="AQ223" i="39"/>
  <c r="AK223" i="39"/>
  <c r="AE223" i="39"/>
  <c r="Y223" i="39"/>
  <c r="S223" i="39"/>
  <c r="N223" i="39"/>
  <c r="M223" i="39"/>
  <c r="J223" i="39"/>
  <c r="G223" i="39"/>
  <c r="H223" i="39" s="1"/>
  <c r="C223" i="39"/>
  <c r="AQ222" i="39"/>
  <c r="AK222" i="39"/>
  <c r="AE222" i="39"/>
  <c r="Y222" i="39"/>
  <c r="S222" i="39"/>
  <c r="N222" i="39"/>
  <c r="M222" i="39"/>
  <c r="J222" i="39"/>
  <c r="G222" i="39"/>
  <c r="H222" i="39" s="1"/>
  <c r="C222" i="39"/>
  <c r="AQ221" i="39"/>
  <c r="AK221" i="39"/>
  <c r="AE221" i="39"/>
  <c r="Y221" i="39"/>
  <c r="S221" i="39"/>
  <c r="N221" i="39"/>
  <c r="M221" i="39"/>
  <c r="J221" i="39"/>
  <c r="G221" i="39"/>
  <c r="H221" i="39" s="1"/>
  <c r="C221" i="39"/>
  <c r="AQ220" i="39"/>
  <c r="AK220" i="39"/>
  <c r="AE220" i="39"/>
  <c r="Y220" i="39"/>
  <c r="S220" i="39"/>
  <c r="N220" i="39"/>
  <c r="M220" i="39"/>
  <c r="J220" i="39"/>
  <c r="G220" i="39"/>
  <c r="H220" i="39" s="1"/>
  <c r="C220" i="39"/>
  <c r="AQ219" i="39"/>
  <c r="AK219" i="39"/>
  <c r="AE219" i="39"/>
  <c r="Y219" i="39"/>
  <c r="S219" i="39"/>
  <c r="N219" i="39"/>
  <c r="M219" i="39"/>
  <c r="J219" i="39"/>
  <c r="G219" i="39"/>
  <c r="H219" i="39" s="1"/>
  <c r="C219" i="39"/>
  <c r="AQ218" i="39"/>
  <c r="AK218" i="39"/>
  <c r="AE218" i="39"/>
  <c r="Y218" i="39"/>
  <c r="S218" i="39"/>
  <c r="N218" i="39"/>
  <c r="M218" i="39"/>
  <c r="J218" i="39"/>
  <c r="G218" i="39"/>
  <c r="H218" i="39" s="1"/>
  <c r="C218" i="39"/>
  <c r="AQ217" i="39"/>
  <c r="AK217" i="39"/>
  <c r="AE217" i="39"/>
  <c r="Y217" i="39"/>
  <c r="S217" i="39"/>
  <c r="N217" i="39"/>
  <c r="M217" i="39"/>
  <c r="J217" i="39"/>
  <c r="G217" i="39"/>
  <c r="H217" i="39" s="1"/>
  <c r="C217" i="39"/>
  <c r="AQ216" i="39"/>
  <c r="AK216" i="39"/>
  <c r="AE216" i="39"/>
  <c r="Y216" i="39"/>
  <c r="S216" i="39"/>
  <c r="N216" i="39"/>
  <c r="M216" i="39"/>
  <c r="J216" i="39"/>
  <c r="G216" i="39"/>
  <c r="H216" i="39" s="1"/>
  <c r="T216" i="39" s="1"/>
  <c r="C216" i="39"/>
  <c r="AQ215" i="39"/>
  <c r="AK215" i="39"/>
  <c r="AE215" i="39"/>
  <c r="Y215" i="39"/>
  <c r="S215" i="39"/>
  <c r="N215" i="39"/>
  <c r="M215" i="39"/>
  <c r="J215" i="39"/>
  <c r="G215" i="39"/>
  <c r="H215" i="39" s="1"/>
  <c r="C215" i="39"/>
  <c r="AQ214" i="39"/>
  <c r="AK214" i="39"/>
  <c r="AE214" i="39"/>
  <c r="Y214" i="39"/>
  <c r="S214" i="39"/>
  <c r="N214" i="39"/>
  <c r="M214" i="39"/>
  <c r="J214" i="39"/>
  <c r="G214" i="39"/>
  <c r="H214" i="39" s="1"/>
  <c r="Z214" i="39" s="1"/>
  <c r="C214" i="39"/>
  <c r="AQ213" i="39"/>
  <c r="AK213" i="39"/>
  <c r="AE213" i="39"/>
  <c r="Y213" i="39"/>
  <c r="S213" i="39"/>
  <c r="N213" i="39"/>
  <c r="M213" i="39"/>
  <c r="J213" i="39"/>
  <c r="G213" i="39"/>
  <c r="H213" i="39" s="1"/>
  <c r="C213" i="39"/>
  <c r="AQ212" i="39"/>
  <c r="AK212" i="39"/>
  <c r="AE212" i="39"/>
  <c r="Y212" i="39"/>
  <c r="S212" i="39"/>
  <c r="N212" i="39"/>
  <c r="M212" i="39"/>
  <c r="J212" i="39"/>
  <c r="G212" i="39"/>
  <c r="H212" i="39" s="1"/>
  <c r="T212" i="39" s="1"/>
  <c r="C212" i="39"/>
  <c r="AQ211" i="39"/>
  <c r="AK211" i="39"/>
  <c r="AE211" i="39"/>
  <c r="Y211" i="39"/>
  <c r="S211" i="39"/>
  <c r="N211" i="39"/>
  <c r="M211" i="39"/>
  <c r="J211" i="39"/>
  <c r="G211" i="39"/>
  <c r="H211" i="39" s="1"/>
  <c r="C211" i="39"/>
  <c r="AQ210" i="39"/>
  <c r="AK210" i="39"/>
  <c r="AE210" i="39"/>
  <c r="Y210" i="39"/>
  <c r="S210" i="39"/>
  <c r="N210" i="39"/>
  <c r="M210" i="39"/>
  <c r="J210" i="39"/>
  <c r="G210" i="39"/>
  <c r="H210" i="39" s="1"/>
  <c r="AL210" i="39" s="1"/>
  <c r="C210" i="39"/>
  <c r="AQ209" i="39"/>
  <c r="AK209" i="39"/>
  <c r="AE209" i="39"/>
  <c r="Y209" i="39"/>
  <c r="S209" i="39"/>
  <c r="N209" i="39"/>
  <c r="M209" i="39"/>
  <c r="J209" i="39"/>
  <c r="G209" i="39"/>
  <c r="H209" i="39" s="1"/>
  <c r="C209" i="39"/>
  <c r="AQ208" i="39"/>
  <c r="AK208" i="39"/>
  <c r="AE208" i="39"/>
  <c r="Y208" i="39"/>
  <c r="S208" i="39"/>
  <c r="N208" i="39"/>
  <c r="M208" i="39"/>
  <c r="J208" i="39"/>
  <c r="G208" i="39"/>
  <c r="H208" i="39" s="1"/>
  <c r="AF208" i="39" s="1"/>
  <c r="C208" i="39"/>
  <c r="AQ207" i="39"/>
  <c r="AK207" i="39"/>
  <c r="AE207" i="39"/>
  <c r="Y207" i="39"/>
  <c r="S207" i="39"/>
  <c r="N207" i="39"/>
  <c r="M207" i="39"/>
  <c r="J207" i="39"/>
  <c r="G207" i="39"/>
  <c r="H207" i="39" s="1"/>
  <c r="C207" i="39"/>
  <c r="AQ206" i="39"/>
  <c r="AK206" i="39"/>
  <c r="AE206" i="39"/>
  <c r="Y206" i="39"/>
  <c r="S206" i="39"/>
  <c r="N206" i="39"/>
  <c r="M206" i="39"/>
  <c r="J206" i="39"/>
  <c r="G206" i="39"/>
  <c r="H206" i="39" s="1"/>
  <c r="C206" i="39"/>
  <c r="AQ205" i="39"/>
  <c r="AK205" i="39"/>
  <c r="AE205" i="39"/>
  <c r="Y205" i="39"/>
  <c r="S205" i="39"/>
  <c r="N205" i="39"/>
  <c r="M205" i="39"/>
  <c r="J205" i="39"/>
  <c r="G205" i="39"/>
  <c r="H205" i="39" s="1"/>
  <c r="C205" i="39"/>
  <c r="AQ204" i="39"/>
  <c r="AK204" i="39"/>
  <c r="AE204" i="39"/>
  <c r="Y204" i="39"/>
  <c r="S204" i="39"/>
  <c r="N204" i="39"/>
  <c r="M204" i="39"/>
  <c r="J204" i="39"/>
  <c r="G204" i="39"/>
  <c r="H204" i="39" s="1"/>
  <c r="AF204" i="39" s="1"/>
  <c r="C204" i="39"/>
  <c r="AQ203" i="39"/>
  <c r="AK203" i="39"/>
  <c r="AE203" i="39"/>
  <c r="Y203" i="39"/>
  <c r="S203" i="39"/>
  <c r="N203" i="39"/>
  <c r="M203" i="39"/>
  <c r="J203" i="39"/>
  <c r="G203" i="39"/>
  <c r="H203" i="39" s="1"/>
  <c r="C203" i="39"/>
  <c r="AQ202" i="39"/>
  <c r="AK202" i="39"/>
  <c r="AE202" i="39"/>
  <c r="Y202" i="39"/>
  <c r="S202" i="39"/>
  <c r="N202" i="39"/>
  <c r="M202" i="39"/>
  <c r="J202" i="39"/>
  <c r="G202" i="39"/>
  <c r="H202" i="39" s="1"/>
  <c r="C202" i="39"/>
  <c r="AQ201" i="39"/>
  <c r="AK201" i="39"/>
  <c r="AE201" i="39"/>
  <c r="Y201" i="39"/>
  <c r="S201" i="39"/>
  <c r="N201" i="39"/>
  <c r="M201" i="39"/>
  <c r="J201" i="39"/>
  <c r="G201" i="39"/>
  <c r="H201" i="39" s="1"/>
  <c r="C201" i="39"/>
  <c r="AQ200" i="39"/>
  <c r="AK200" i="39"/>
  <c r="AE200" i="39"/>
  <c r="Y200" i="39"/>
  <c r="S200" i="39"/>
  <c r="N200" i="39"/>
  <c r="M200" i="39"/>
  <c r="J200" i="39"/>
  <c r="G200" i="39"/>
  <c r="H200" i="39" s="1"/>
  <c r="C200" i="39"/>
  <c r="AQ199" i="39"/>
  <c r="AK199" i="39"/>
  <c r="AE199" i="39"/>
  <c r="Y199" i="39"/>
  <c r="S199" i="39"/>
  <c r="N199" i="39"/>
  <c r="M199" i="39"/>
  <c r="J199" i="39"/>
  <c r="G199" i="39"/>
  <c r="H199" i="39" s="1"/>
  <c r="C199" i="39"/>
  <c r="AQ198" i="39"/>
  <c r="AK198" i="39"/>
  <c r="AE198" i="39"/>
  <c r="Y198" i="39"/>
  <c r="S198" i="39"/>
  <c r="N198" i="39"/>
  <c r="M198" i="39"/>
  <c r="J198" i="39"/>
  <c r="G198" i="39"/>
  <c r="H198" i="39" s="1"/>
  <c r="AL198" i="39" s="1"/>
  <c r="C198" i="39"/>
  <c r="AQ197" i="39"/>
  <c r="AK197" i="39"/>
  <c r="AE197" i="39"/>
  <c r="Y197" i="39"/>
  <c r="S197" i="39"/>
  <c r="N197" i="39"/>
  <c r="M197" i="39"/>
  <c r="J197" i="39"/>
  <c r="G197" i="39"/>
  <c r="H197" i="39" s="1"/>
  <c r="Z197" i="39" s="1"/>
  <c r="C197" i="39"/>
  <c r="AQ196" i="39"/>
  <c r="AK196" i="39"/>
  <c r="AE196" i="39"/>
  <c r="Y196" i="39"/>
  <c r="S196" i="39"/>
  <c r="N196" i="39"/>
  <c r="M196" i="39"/>
  <c r="J196" i="39"/>
  <c r="G196" i="39"/>
  <c r="H196" i="39" s="1"/>
  <c r="AF196" i="39" s="1"/>
  <c r="C196" i="39"/>
  <c r="AQ195" i="39"/>
  <c r="AK195" i="39"/>
  <c r="AE195" i="39"/>
  <c r="Y195" i="39"/>
  <c r="S195" i="39"/>
  <c r="N195" i="39"/>
  <c r="M195" i="39"/>
  <c r="J195" i="39"/>
  <c r="G195" i="39"/>
  <c r="H195" i="39" s="1"/>
  <c r="T195" i="39" s="1"/>
  <c r="C195" i="39"/>
  <c r="AQ194" i="39"/>
  <c r="AK194" i="39"/>
  <c r="AE194" i="39"/>
  <c r="Y194" i="39"/>
  <c r="S194" i="39"/>
  <c r="N194" i="39"/>
  <c r="M194" i="39"/>
  <c r="J194" i="39"/>
  <c r="G194" i="39"/>
  <c r="H194" i="39" s="1"/>
  <c r="C194" i="39"/>
  <c r="AQ193" i="39"/>
  <c r="AK193" i="39"/>
  <c r="AE193" i="39"/>
  <c r="Y193" i="39"/>
  <c r="S193" i="39"/>
  <c r="N193" i="39"/>
  <c r="M193" i="39"/>
  <c r="J193" i="39"/>
  <c r="G193" i="39"/>
  <c r="H193" i="39" s="1"/>
  <c r="C193" i="39"/>
  <c r="AQ192" i="39"/>
  <c r="AK192" i="39"/>
  <c r="AE192" i="39"/>
  <c r="Y192" i="39"/>
  <c r="S192" i="39"/>
  <c r="N192" i="39"/>
  <c r="M192" i="39"/>
  <c r="J192" i="39"/>
  <c r="G192" i="39"/>
  <c r="H192" i="39" s="1"/>
  <c r="C192" i="39"/>
  <c r="AQ191" i="39"/>
  <c r="AK191" i="39"/>
  <c r="AE191" i="39"/>
  <c r="Y191" i="39"/>
  <c r="S191" i="39"/>
  <c r="N191" i="39"/>
  <c r="M191" i="39"/>
  <c r="J191" i="39"/>
  <c r="G191" i="39"/>
  <c r="H191" i="39" s="1"/>
  <c r="C191" i="39"/>
  <c r="AQ190" i="39"/>
  <c r="AK190" i="39"/>
  <c r="AE190" i="39"/>
  <c r="Y190" i="39"/>
  <c r="S190" i="39"/>
  <c r="N190" i="39"/>
  <c r="M190" i="39"/>
  <c r="J190" i="39"/>
  <c r="G190" i="39"/>
  <c r="H190" i="39" s="1"/>
  <c r="AL190" i="39" s="1"/>
  <c r="C190" i="39"/>
  <c r="AQ189" i="39"/>
  <c r="AK189" i="39"/>
  <c r="AE189" i="39"/>
  <c r="Y189" i="39"/>
  <c r="S189" i="39"/>
  <c r="N189" i="39"/>
  <c r="M189" i="39"/>
  <c r="J189" i="39"/>
  <c r="G189" i="39"/>
  <c r="H189" i="39" s="1"/>
  <c r="AR189" i="39" s="1"/>
  <c r="C189" i="39"/>
  <c r="AQ188" i="39"/>
  <c r="AK188" i="39"/>
  <c r="AE188" i="39"/>
  <c r="Y188" i="39"/>
  <c r="S188" i="39"/>
  <c r="N188" i="39"/>
  <c r="M188" i="39"/>
  <c r="J188" i="39"/>
  <c r="G188" i="39"/>
  <c r="H188" i="39" s="1"/>
  <c r="C188" i="39"/>
  <c r="AQ187" i="39"/>
  <c r="AK187" i="39"/>
  <c r="AE187" i="39"/>
  <c r="Y187" i="39"/>
  <c r="S187" i="39"/>
  <c r="N187" i="39"/>
  <c r="M187" i="39"/>
  <c r="J187" i="39"/>
  <c r="G187" i="39"/>
  <c r="H187" i="39" s="1"/>
  <c r="C187" i="39"/>
  <c r="L185" i="39"/>
  <c r="K185" i="39"/>
  <c r="I185" i="39"/>
  <c r="AR184" i="39"/>
  <c r="AQ184" i="39"/>
  <c r="AP184" i="39"/>
  <c r="J184" i="39"/>
  <c r="H184" i="39"/>
  <c r="C184" i="39"/>
  <c r="AR183" i="39"/>
  <c r="AQ183" i="39"/>
  <c r="AP183" i="39"/>
  <c r="J183" i="39"/>
  <c r="H183" i="39"/>
  <c r="C183" i="39"/>
  <c r="AR182" i="39"/>
  <c r="AQ182" i="39"/>
  <c r="AP182" i="39"/>
  <c r="J182" i="39"/>
  <c r="H182" i="39"/>
  <c r="AR181" i="39"/>
  <c r="AQ181" i="39"/>
  <c r="AP181" i="39"/>
  <c r="J181" i="39"/>
  <c r="H181" i="39"/>
  <c r="C181" i="39"/>
  <c r="AR180" i="39"/>
  <c r="AQ180" i="39"/>
  <c r="AP180" i="39"/>
  <c r="J180" i="39"/>
  <c r="H180" i="39"/>
  <c r="C180" i="39"/>
  <c r="AR179" i="39"/>
  <c r="AQ179" i="39"/>
  <c r="AP179" i="39"/>
  <c r="J179" i="39"/>
  <c r="H179" i="39"/>
  <c r="C179" i="39"/>
  <c r="AR178" i="39"/>
  <c r="AQ178" i="39"/>
  <c r="AP178" i="39"/>
  <c r="J178" i="39"/>
  <c r="H178" i="39"/>
  <c r="C178" i="39"/>
  <c r="AR177" i="39"/>
  <c r="AQ177" i="39"/>
  <c r="AP177" i="39"/>
  <c r="J177" i="39"/>
  <c r="H177" i="39"/>
  <c r="C177" i="39"/>
  <c r="AR176" i="39"/>
  <c r="AQ176" i="39"/>
  <c r="AP176" i="39"/>
  <c r="J176" i="39"/>
  <c r="H176" i="39"/>
  <c r="C176" i="39"/>
  <c r="AR175" i="39"/>
  <c r="AQ175" i="39"/>
  <c r="AP175" i="39"/>
  <c r="J175" i="39"/>
  <c r="H175" i="39"/>
  <c r="C175" i="39"/>
  <c r="AR174" i="39"/>
  <c r="AQ174" i="39"/>
  <c r="AP174" i="39"/>
  <c r="J174" i="39"/>
  <c r="H174" i="39"/>
  <c r="C174" i="39"/>
  <c r="AR173" i="39"/>
  <c r="AQ173" i="39"/>
  <c r="AP173" i="39"/>
  <c r="J173" i="39"/>
  <c r="H173" i="39"/>
  <c r="C173" i="39"/>
  <c r="AR172" i="39"/>
  <c r="AQ172" i="39"/>
  <c r="AP172" i="39"/>
  <c r="J172" i="39"/>
  <c r="H172" i="39"/>
  <c r="C172" i="39"/>
  <c r="AR171" i="39"/>
  <c r="AQ171" i="39"/>
  <c r="AP171" i="39"/>
  <c r="J171" i="39"/>
  <c r="H171" i="39"/>
  <c r="C171" i="39"/>
  <c r="AR170" i="39"/>
  <c r="AQ170" i="39"/>
  <c r="AP170" i="39"/>
  <c r="J170" i="39"/>
  <c r="H170" i="39"/>
  <c r="C170" i="39"/>
  <c r="AR169" i="39"/>
  <c r="AQ169" i="39"/>
  <c r="AP169" i="39"/>
  <c r="J169" i="39"/>
  <c r="H169" i="39"/>
  <c r="C169" i="39"/>
  <c r="AR168" i="39"/>
  <c r="AQ168" i="39"/>
  <c r="AP168" i="39"/>
  <c r="J168" i="39"/>
  <c r="H168" i="39"/>
  <c r="C168" i="39"/>
  <c r="AQ167" i="39"/>
  <c r="AL167" i="39"/>
  <c r="AK167" i="39"/>
  <c r="AD167" i="39"/>
  <c r="J167" i="39"/>
  <c r="G167" i="39"/>
  <c r="H167" i="39" s="1"/>
  <c r="AR167" i="39" s="1"/>
  <c r="C167" i="39"/>
  <c r="AG167" i="39" s="1"/>
  <c r="AH167" i="39" s="1"/>
  <c r="AQ166" i="39"/>
  <c r="AL166" i="39"/>
  <c r="AK166" i="39"/>
  <c r="AD166" i="39"/>
  <c r="J166" i="39"/>
  <c r="G166" i="39"/>
  <c r="H166" i="39" s="1"/>
  <c r="AR166" i="39" s="1"/>
  <c r="C166" i="39"/>
  <c r="AG166" i="39" s="1"/>
  <c r="AH166" i="39" s="1"/>
  <c r="AQ165" i="39"/>
  <c r="AL165" i="39"/>
  <c r="AK165" i="39"/>
  <c r="AD165" i="39"/>
  <c r="J165" i="39"/>
  <c r="G165" i="39"/>
  <c r="H165" i="39" s="1"/>
  <c r="AR165" i="39" s="1"/>
  <c r="C165" i="39"/>
  <c r="AG165" i="39" s="1"/>
  <c r="AH165" i="39" s="1"/>
  <c r="AQ164" i="39"/>
  <c r="AK164" i="39"/>
  <c r="AF164" i="39"/>
  <c r="AE164" i="39"/>
  <c r="AD164" i="39"/>
  <c r="J164" i="39"/>
  <c r="G164" i="39"/>
  <c r="H164" i="39" s="1"/>
  <c r="C164" i="39"/>
  <c r="AQ163" i="39"/>
  <c r="AK163" i="39"/>
  <c r="AF163" i="39"/>
  <c r="AE163" i="39"/>
  <c r="AD163" i="39"/>
  <c r="J163" i="39"/>
  <c r="G163" i="39"/>
  <c r="H163" i="39" s="1"/>
  <c r="C163" i="39"/>
  <c r="AQ162" i="39"/>
  <c r="AK162" i="39"/>
  <c r="AF162" i="39"/>
  <c r="AE162" i="39"/>
  <c r="AD162" i="39"/>
  <c r="J162" i="39"/>
  <c r="G162" i="39"/>
  <c r="H162" i="39" s="1"/>
  <c r="C162" i="39"/>
  <c r="AQ161" i="39"/>
  <c r="AK161" i="39"/>
  <c r="AF161" i="39"/>
  <c r="AE161" i="39"/>
  <c r="AD161" i="39"/>
  <c r="J161" i="39"/>
  <c r="G161" i="39"/>
  <c r="H161" i="39" s="1"/>
  <c r="C161" i="39"/>
  <c r="AQ160" i="39"/>
  <c r="AK160" i="39"/>
  <c r="AF160" i="39"/>
  <c r="AE160" i="39"/>
  <c r="AD160" i="39"/>
  <c r="J160" i="39"/>
  <c r="G160" i="39"/>
  <c r="H160" i="39" s="1"/>
  <c r="C160" i="39"/>
  <c r="AQ159" i="39"/>
  <c r="AK159" i="39"/>
  <c r="AE159" i="39"/>
  <c r="Z159" i="39"/>
  <c r="Y159" i="39"/>
  <c r="X159" i="39"/>
  <c r="J159" i="39"/>
  <c r="G159" i="39"/>
  <c r="H159" i="39" s="1"/>
  <c r="C159" i="39"/>
  <c r="AQ158" i="39"/>
  <c r="AK158" i="39"/>
  <c r="AE158" i="39"/>
  <c r="Z158" i="39"/>
  <c r="Y158" i="39"/>
  <c r="X158" i="39"/>
  <c r="J158" i="39"/>
  <c r="G158" i="39"/>
  <c r="H158" i="39" s="1"/>
  <c r="C158" i="39"/>
  <c r="AQ157" i="39"/>
  <c r="AK157" i="39"/>
  <c r="AE157" i="39"/>
  <c r="Y157" i="39"/>
  <c r="S157" i="39"/>
  <c r="N157" i="39"/>
  <c r="M157" i="39"/>
  <c r="J157" i="39"/>
  <c r="G157" i="39"/>
  <c r="H157" i="39" s="1"/>
  <c r="C157" i="39"/>
  <c r="AQ156" i="39"/>
  <c r="AK156" i="39"/>
  <c r="AE156" i="39"/>
  <c r="Y156" i="39"/>
  <c r="S156" i="39"/>
  <c r="N156" i="39"/>
  <c r="M156" i="39"/>
  <c r="J156" i="39"/>
  <c r="G156" i="39"/>
  <c r="H156" i="39" s="1"/>
  <c r="C156" i="39"/>
  <c r="AQ155" i="39"/>
  <c r="AK155" i="39"/>
  <c r="AE155" i="39"/>
  <c r="Y155" i="39"/>
  <c r="S155" i="39"/>
  <c r="N155" i="39"/>
  <c r="M155" i="39"/>
  <c r="J155" i="39"/>
  <c r="G155" i="39"/>
  <c r="H155" i="39" s="1"/>
  <c r="C155" i="39"/>
  <c r="AQ154" i="39"/>
  <c r="AK154" i="39"/>
  <c r="AE154" i="39"/>
  <c r="Y154" i="39"/>
  <c r="S154" i="39"/>
  <c r="N154" i="39"/>
  <c r="M154" i="39"/>
  <c r="J154" i="39"/>
  <c r="G154" i="39"/>
  <c r="H154" i="39" s="1"/>
  <c r="AF154" i="39" s="1"/>
  <c r="C154" i="39"/>
  <c r="AQ153" i="39"/>
  <c r="AK153" i="39"/>
  <c r="AE153" i="39"/>
  <c r="Y153" i="39"/>
  <c r="S153" i="39"/>
  <c r="N153" i="39"/>
  <c r="M153" i="39"/>
  <c r="J153" i="39"/>
  <c r="G153" i="39"/>
  <c r="H153" i="39" s="1"/>
  <c r="C153" i="39"/>
  <c r="AQ152" i="39"/>
  <c r="AK152" i="39"/>
  <c r="AE152" i="39"/>
  <c r="Y152" i="39"/>
  <c r="S152" i="39"/>
  <c r="N152" i="39"/>
  <c r="M152" i="39"/>
  <c r="J152" i="39"/>
  <c r="G152" i="39"/>
  <c r="H152" i="39" s="1"/>
  <c r="Z152" i="39" s="1"/>
  <c r="C152" i="39"/>
  <c r="AQ151" i="39"/>
  <c r="AK151" i="39"/>
  <c r="AE151" i="39"/>
  <c r="Y151" i="39"/>
  <c r="S151" i="39"/>
  <c r="N151" i="39"/>
  <c r="M151" i="39"/>
  <c r="J151" i="39"/>
  <c r="G151" i="39"/>
  <c r="H151" i="39" s="1"/>
  <c r="C151" i="39"/>
  <c r="AQ150" i="39"/>
  <c r="AK150" i="39"/>
  <c r="AE150" i="39"/>
  <c r="Y150" i="39"/>
  <c r="S150" i="39"/>
  <c r="N150" i="39"/>
  <c r="M150" i="39"/>
  <c r="J150" i="39"/>
  <c r="G150" i="39"/>
  <c r="H150" i="39" s="1"/>
  <c r="AF150" i="39" s="1"/>
  <c r="C150" i="39"/>
  <c r="AQ149" i="39"/>
  <c r="AK149" i="39"/>
  <c r="AE149" i="39"/>
  <c r="Y149" i="39"/>
  <c r="S149" i="39"/>
  <c r="N149" i="39"/>
  <c r="M149" i="39"/>
  <c r="J149" i="39"/>
  <c r="G149" i="39"/>
  <c r="H149" i="39" s="1"/>
  <c r="C149" i="39"/>
  <c r="AQ148" i="39"/>
  <c r="AK148" i="39"/>
  <c r="AE148" i="39"/>
  <c r="Y148" i="39"/>
  <c r="S148" i="39"/>
  <c r="N148" i="39"/>
  <c r="M148" i="39"/>
  <c r="J148" i="39"/>
  <c r="G148" i="39"/>
  <c r="H148" i="39" s="1"/>
  <c r="AL148" i="39" s="1"/>
  <c r="C148" i="39"/>
  <c r="AQ147" i="39"/>
  <c r="AK147" i="39"/>
  <c r="AE147" i="39"/>
  <c r="Y147" i="39"/>
  <c r="S147" i="39"/>
  <c r="N147" i="39"/>
  <c r="M147" i="39"/>
  <c r="J147" i="39"/>
  <c r="G147" i="39"/>
  <c r="H147" i="39" s="1"/>
  <c r="C147" i="39"/>
  <c r="AQ146" i="39"/>
  <c r="AK146" i="39"/>
  <c r="AE146" i="39"/>
  <c r="Y146" i="39"/>
  <c r="S146" i="39"/>
  <c r="N146" i="39"/>
  <c r="M146" i="39"/>
  <c r="J146" i="39"/>
  <c r="G146" i="39"/>
  <c r="H146" i="39" s="1"/>
  <c r="AF146" i="39" s="1"/>
  <c r="C146" i="39"/>
  <c r="AQ145" i="39"/>
  <c r="AK145" i="39"/>
  <c r="AE145" i="39"/>
  <c r="Y145" i="39"/>
  <c r="S145" i="39"/>
  <c r="N145" i="39"/>
  <c r="M145" i="39"/>
  <c r="J145" i="39"/>
  <c r="G145" i="39"/>
  <c r="H145" i="39" s="1"/>
  <c r="C145" i="39"/>
  <c r="AQ144" i="39"/>
  <c r="AK144" i="39"/>
  <c r="AE144" i="39"/>
  <c r="Y144" i="39"/>
  <c r="S144" i="39"/>
  <c r="N144" i="39"/>
  <c r="M144" i="39"/>
  <c r="J144" i="39"/>
  <c r="G144" i="39"/>
  <c r="H144" i="39" s="1"/>
  <c r="AL144" i="39" s="1"/>
  <c r="C144" i="39"/>
  <c r="AQ143" i="39"/>
  <c r="AK143" i="39"/>
  <c r="AE143" i="39"/>
  <c r="Y143" i="39"/>
  <c r="S143" i="39"/>
  <c r="N143" i="39"/>
  <c r="M143" i="39"/>
  <c r="J143" i="39"/>
  <c r="G143" i="39"/>
  <c r="H143" i="39" s="1"/>
  <c r="C143" i="39"/>
  <c r="AQ142" i="39"/>
  <c r="AK142" i="39"/>
  <c r="AE142" i="39"/>
  <c r="Y142" i="39"/>
  <c r="S142" i="39"/>
  <c r="N142" i="39"/>
  <c r="M142" i="39"/>
  <c r="J142" i="39"/>
  <c r="G142" i="39"/>
  <c r="H142" i="39" s="1"/>
  <c r="AR142" i="39" s="1"/>
  <c r="C142" i="39"/>
  <c r="AQ141" i="39"/>
  <c r="AK141" i="39"/>
  <c r="AE141" i="39"/>
  <c r="Y141" i="39"/>
  <c r="S141" i="39"/>
  <c r="N141" i="39"/>
  <c r="M141" i="39"/>
  <c r="J141" i="39"/>
  <c r="G141" i="39"/>
  <c r="H141" i="39" s="1"/>
  <c r="C141" i="39"/>
  <c r="AQ140" i="39"/>
  <c r="AK140" i="39"/>
  <c r="AE140" i="39"/>
  <c r="Y140" i="39"/>
  <c r="S140" i="39"/>
  <c r="N140" i="39"/>
  <c r="M140" i="39"/>
  <c r="J140" i="39"/>
  <c r="G140" i="39"/>
  <c r="H140" i="39" s="1"/>
  <c r="C140" i="39"/>
  <c r="AQ139" i="39"/>
  <c r="AK139" i="39"/>
  <c r="AE139" i="39"/>
  <c r="Y139" i="39"/>
  <c r="S139" i="39"/>
  <c r="M139" i="39"/>
  <c r="J139" i="39"/>
  <c r="G139" i="39"/>
  <c r="H139" i="39" s="1"/>
  <c r="C139" i="39"/>
  <c r="AQ138" i="39"/>
  <c r="AK138" i="39"/>
  <c r="AE138" i="39"/>
  <c r="Y138" i="39"/>
  <c r="S138" i="39"/>
  <c r="M138" i="39"/>
  <c r="J138" i="39"/>
  <c r="G138" i="39"/>
  <c r="H138" i="39" s="1"/>
  <c r="Z138" i="39" s="1"/>
  <c r="C138" i="39"/>
  <c r="AQ137" i="39"/>
  <c r="AK137" i="39"/>
  <c r="AE137" i="39"/>
  <c r="Y137" i="39"/>
  <c r="S137" i="39"/>
  <c r="N137" i="39"/>
  <c r="M137" i="39"/>
  <c r="J137" i="39"/>
  <c r="G137" i="39"/>
  <c r="H137" i="39" s="1"/>
  <c r="AR137" i="39" s="1"/>
  <c r="C137" i="39"/>
  <c r="AQ136" i="39"/>
  <c r="AK136" i="39"/>
  <c r="AE136" i="39"/>
  <c r="Y136" i="39"/>
  <c r="S136" i="39"/>
  <c r="N136" i="39"/>
  <c r="M136" i="39"/>
  <c r="J136" i="39"/>
  <c r="G136" i="39"/>
  <c r="H136" i="39" s="1"/>
  <c r="C136" i="39"/>
  <c r="AQ135" i="39"/>
  <c r="AK135" i="39"/>
  <c r="AE135" i="39"/>
  <c r="Y135" i="39"/>
  <c r="S135" i="39"/>
  <c r="N135" i="39"/>
  <c r="M135" i="39"/>
  <c r="J135" i="39"/>
  <c r="G135" i="39"/>
  <c r="H135" i="39" s="1"/>
  <c r="C135" i="39"/>
  <c r="AQ134" i="39"/>
  <c r="AK134" i="39"/>
  <c r="AE134" i="39"/>
  <c r="Y134" i="39"/>
  <c r="S134" i="39"/>
  <c r="N134" i="39"/>
  <c r="M134" i="39"/>
  <c r="J134" i="39"/>
  <c r="G134" i="39"/>
  <c r="H134" i="39" s="1"/>
  <c r="C134" i="39"/>
  <c r="AQ133" i="39"/>
  <c r="AK133" i="39"/>
  <c r="AE133" i="39"/>
  <c r="Y133" i="39"/>
  <c r="S133" i="39"/>
  <c r="N133" i="39"/>
  <c r="M133" i="39"/>
  <c r="J133" i="39"/>
  <c r="G133" i="39"/>
  <c r="H133" i="39" s="1"/>
  <c r="AF133" i="39" s="1"/>
  <c r="C133" i="39"/>
  <c r="AQ132" i="39"/>
  <c r="AK132" i="39"/>
  <c r="AE132" i="39"/>
  <c r="Y132" i="39"/>
  <c r="S132" i="39"/>
  <c r="N132" i="39"/>
  <c r="M132" i="39"/>
  <c r="J132" i="39"/>
  <c r="G132" i="39"/>
  <c r="H132" i="39" s="1"/>
  <c r="C132" i="39"/>
  <c r="AQ131" i="39"/>
  <c r="AK131" i="39"/>
  <c r="AE131" i="39"/>
  <c r="Y131" i="39"/>
  <c r="S131" i="39"/>
  <c r="N131" i="39"/>
  <c r="M131" i="39"/>
  <c r="J131" i="39"/>
  <c r="G131" i="39"/>
  <c r="H131" i="39" s="1"/>
  <c r="Z131" i="39" s="1"/>
  <c r="C131" i="39"/>
  <c r="AQ130" i="39"/>
  <c r="AK130" i="39"/>
  <c r="AE130" i="39"/>
  <c r="Y130" i="39"/>
  <c r="S130" i="39"/>
  <c r="N130" i="39"/>
  <c r="M130" i="39"/>
  <c r="J130" i="39"/>
  <c r="G130" i="39"/>
  <c r="H130" i="39" s="1"/>
  <c r="C130" i="39"/>
  <c r="AQ129" i="39"/>
  <c r="AK129" i="39"/>
  <c r="AE129" i="39"/>
  <c r="Y129" i="39"/>
  <c r="S129" i="39"/>
  <c r="N129" i="39"/>
  <c r="M129" i="39"/>
  <c r="J129" i="39"/>
  <c r="G129" i="39"/>
  <c r="H129" i="39" s="1"/>
  <c r="T129" i="39" s="1"/>
  <c r="C129" i="39"/>
  <c r="AQ128" i="39"/>
  <c r="AK128" i="39"/>
  <c r="AE128" i="39"/>
  <c r="Y128" i="39"/>
  <c r="S128" i="39"/>
  <c r="N128" i="39"/>
  <c r="M128" i="39"/>
  <c r="J128" i="39"/>
  <c r="G128" i="39"/>
  <c r="H128" i="39" s="1"/>
  <c r="C128" i="39"/>
  <c r="AQ127" i="39"/>
  <c r="AK127" i="39"/>
  <c r="AE127" i="39"/>
  <c r="Y127" i="39"/>
  <c r="S127" i="39"/>
  <c r="N127" i="39"/>
  <c r="M127" i="39"/>
  <c r="J127" i="39"/>
  <c r="G127" i="39"/>
  <c r="H127" i="39" s="1"/>
  <c r="AL127" i="39" s="1"/>
  <c r="C127" i="39"/>
  <c r="AQ126" i="39"/>
  <c r="AK126" i="39"/>
  <c r="AE126" i="39"/>
  <c r="Y126" i="39"/>
  <c r="S126" i="39"/>
  <c r="N126" i="39"/>
  <c r="M126" i="39"/>
  <c r="J126" i="39"/>
  <c r="G126" i="39"/>
  <c r="H126" i="39" s="1"/>
  <c r="C126" i="39"/>
  <c r="AQ125" i="39"/>
  <c r="AK125" i="39"/>
  <c r="AE125" i="39"/>
  <c r="Y125" i="39"/>
  <c r="S125" i="39"/>
  <c r="N125" i="39"/>
  <c r="M125" i="39"/>
  <c r="J125" i="39"/>
  <c r="G125" i="39"/>
  <c r="H125" i="39" s="1"/>
  <c r="AF125" i="39" s="1"/>
  <c r="C125" i="39"/>
  <c r="AQ124" i="39"/>
  <c r="AK124" i="39"/>
  <c r="AE124" i="39"/>
  <c r="Y124" i="39"/>
  <c r="S124" i="39"/>
  <c r="N124" i="39"/>
  <c r="M124" i="39"/>
  <c r="J124" i="39"/>
  <c r="G124" i="39"/>
  <c r="H124" i="39" s="1"/>
  <c r="C124" i="39"/>
  <c r="L121" i="39"/>
  <c r="K121" i="39"/>
  <c r="AR120" i="39"/>
  <c r="AQ120" i="39"/>
  <c r="L563" i="39" s="1"/>
  <c r="AP120" i="39"/>
  <c r="J120" i="39"/>
  <c r="H120" i="39"/>
  <c r="C120" i="39"/>
  <c r="AR119" i="39"/>
  <c r="AQ119" i="39"/>
  <c r="AP119" i="39"/>
  <c r="J119" i="39"/>
  <c r="H119" i="39"/>
  <c r="C119" i="39"/>
  <c r="AR118" i="39"/>
  <c r="AQ118" i="39"/>
  <c r="AP118" i="39"/>
  <c r="J118" i="39"/>
  <c r="H118" i="39"/>
  <c r="C118" i="39"/>
  <c r="AR117" i="39"/>
  <c r="AQ117" i="39"/>
  <c r="AP117" i="39"/>
  <c r="J117" i="39"/>
  <c r="H117" i="39"/>
  <c r="C117" i="39"/>
  <c r="AR116" i="39"/>
  <c r="AQ116" i="39"/>
  <c r="AP116" i="39"/>
  <c r="J116" i="39"/>
  <c r="H116" i="39"/>
  <c r="C116" i="39"/>
  <c r="AR115" i="39"/>
  <c r="AQ115" i="39"/>
  <c r="AP115" i="39"/>
  <c r="J115" i="39"/>
  <c r="H115" i="39"/>
  <c r="C115" i="39"/>
  <c r="AR114" i="39"/>
  <c r="AQ114" i="39"/>
  <c r="AP114" i="39"/>
  <c r="J114" i="39"/>
  <c r="H114" i="39"/>
  <c r="C114" i="39"/>
  <c r="AR113" i="39"/>
  <c r="AQ113" i="39"/>
  <c r="AP113" i="39"/>
  <c r="J113" i="39"/>
  <c r="H113" i="39"/>
  <c r="C113" i="39"/>
  <c r="AR112" i="39"/>
  <c r="AQ112" i="39"/>
  <c r="AP112" i="39"/>
  <c r="J112" i="39"/>
  <c r="H112" i="39"/>
  <c r="C112" i="39"/>
  <c r="AR111" i="39"/>
  <c r="AQ111" i="39"/>
  <c r="AP111" i="39"/>
  <c r="J111" i="39"/>
  <c r="H111" i="39"/>
  <c r="C111" i="39"/>
  <c r="AR110" i="39"/>
  <c r="AQ110" i="39"/>
  <c r="AP110" i="39"/>
  <c r="J110" i="39"/>
  <c r="H110" i="39"/>
  <c r="C110" i="39"/>
  <c r="AR109" i="39"/>
  <c r="AQ109" i="39"/>
  <c r="AP109" i="39"/>
  <c r="J109" i="39"/>
  <c r="H109" i="39"/>
  <c r="C109" i="39"/>
  <c r="AR108" i="39"/>
  <c r="AQ108" i="39"/>
  <c r="AP108" i="39"/>
  <c r="J108" i="39"/>
  <c r="H108" i="39"/>
  <c r="C108" i="39"/>
  <c r="AR107" i="39"/>
  <c r="AQ107" i="39"/>
  <c r="AP107" i="39"/>
  <c r="J107" i="39"/>
  <c r="H107" i="39"/>
  <c r="C107" i="39"/>
  <c r="AQ106" i="39"/>
  <c r="AL106" i="39"/>
  <c r="AK106" i="39"/>
  <c r="AJ106" i="39"/>
  <c r="AD106" i="39"/>
  <c r="J106" i="39"/>
  <c r="G106" i="39"/>
  <c r="H106" i="39" s="1"/>
  <c r="AR106" i="39" s="1"/>
  <c r="C106" i="39"/>
  <c r="AQ105" i="39"/>
  <c r="AL105" i="39"/>
  <c r="AK105" i="39"/>
  <c r="AJ105" i="39"/>
  <c r="AD105" i="39"/>
  <c r="J105" i="39"/>
  <c r="G105" i="39"/>
  <c r="H105" i="39" s="1"/>
  <c r="AR105" i="39" s="1"/>
  <c r="C105" i="39"/>
  <c r="AQ104" i="39"/>
  <c r="AL104" i="39"/>
  <c r="AK104" i="39"/>
  <c r="AJ104" i="39"/>
  <c r="AD104" i="39"/>
  <c r="J104" i="39"/>
  <c r="G104" i="39"/>
  <c r="H104" i="39" s="1"/>
  <c r="AR104" i="39" s="1"/>
  <c r="C104" i="39"/>
  <c r="AQ103" i="39"/>
  <c r="AL103" i="39"/>
  <c r="AK103" i="39"/>
  <c r="AJ103" i="39"/>
  <c r="AD103" i="39"/>
  <c r="J103" i="39"/>
  <c r="G103" i="39"/>
  <c r="H103" i="39" s="1"/>
  <c r="AR103" i="39" s="1"/>
  <c r="C103" i="39"/>
  <c r="AQ102" i="39"/>
  <c r="AL102" i="39"/>
  <c r="AK102" i="39"/>
  <c r="AJ102" i="39"/>
  <c r="AD102" i="39"/>
  <c r="J102" i="39"/>
  <c r="G102" i="39"/>
  <c r="H102" i="39" s="1"/>
  <c r="AR102" i="39" s="1"/>
  <c r="C102" i="39"/>
  <c r="AQ101" i="39"/>
  <c r="AL101" i="39"/>
  <c r="AK101" i="39"/>
  <c r="AJ101" i="39"/>
  <c r="AD101" i="39"/>
  <c r="J101" i="39"/>
  <c r="G101" i="39"/>
  <c r="H101" i="39" s="1"/>
  <c r="AR101" i="39" s="1"/>
  <c r="C101" i="39"/>
  <c r="AQ100" i="39"/>
  <c r="AL100" i="39"/>
  <c r="AK100" i="39"/>
  <c r="AJ100" i="39"/>
  <c r="AD100" i="39"/>
  <c r="J100" i="39"/>
  <c r="G100" i="39"/>
  <c r="H100" i="39" s="1"/>
  <c r="AR100" i="39" s="1"/>
  <c r="C100" i="39"/>
  <c r="AQ99" i="39"/>
  <c r="AL99" i="39"/>
  <c r="AK99" i="39"/>
  <c r="AJ99" i="39"/>
  <c r="AD99" i="39"/>
  <c r="J99" i="39"/>
  <c r="G99" i="39"/>
  <c r="H99" i="39" s="1"/>
  <c r="AR99" i="39" s="1"/>
  <c r="C99" i="39"/>
  <c r="AQ98" i="39"/>
  <c r="AL98" i="39"/>
  <c r="AK98" i="39"/>
  <c r="AJ98" i="39"/>
  <c r="AD98" i="39"/>
  <c r="J98" i="39"/>
  <c r="G98" i="39"/>
  <c r="H98" i="39" s="1"/>
  <c r="AR98" i="39" s="1"/>
  <c r="C98" i="39"/>
  <c r="AQ97" i="39"/>
  <c r="AL97" i="39"/>
  <c r="AK97" i="39"/>
  <c r="AJ97" i="39"/>
  <c r="AD97" i="39"/>
  <c r="J97" i="39"/>
  <c r="G97" i="39"/>
  <c r="H97" i="39" s="1"/>
  <c r="AR97" i="39" s="1"/>
  <c r="C97" i="39"/>
  <c r="AQ96" i="39"/>
  <c r="AL96" i="39"/>
  <c r="AK96" i="39"/>
  <c r="AJ96" i="39"/>
  <c r="AD96" i="39"/>
  <c r="J96" i="39"/>
  <c r="G96" i="39"/>
  <c r="H96" i="39" s="1"/>
  <c r="AR96" i="39" s="1"/>
  <c r="C96" i="39"/>
  <c r="AQ95" i="39"/>
  <c r="AL95" i="39"/>
  <c r="AK95" i="39"/>
  <c r="AJ95" i="39"/>
  <c r="AD95" i="39"/>
  <c r="J95" i="39"/>
  <c r="G95" i="39"/>
  <c r="H95" i="39" s="1"/>
  <c r="AR95" i="39" s="1"/>
  <c r="C95" i="39"/>
  <c r="AQ94" i="39"/>
  <c r="AL94" i="39"/>
  <c r="AK94" i="39"/>
  <c r="AJ94" i="39"/>
  <c r="AD94" i="39"/>
  <c r="J94" i="39"/>
  <c r="G94" i="39"/>
  <c r="H94" i="39" s="1"/>
  <c r="AR94" i="39" s="1"/>
  <c r="C94" i="39"/>
  <c r="AQ93" i="39"/>
  <c r="AL93" i="39"/>
  <c r="AK93" i="39"/>
  <c r="AJ93" i="39"/>
  <c r="AD93" i="39"/>
  <c r="J93" i="39"/>
  <c r="G93" i="39"/>
  <c r="H93" i="39" s="1"/>
  <c r="AR93" i="39" s="1"/>
  <c r="C93" i="39"/>
  <c r="AQ92" i="39"/>
  <c r="AL92" i="39"/>
  <c r="AK92" i="39"/>
  <c r="AJ92" i="39"/>
  <c r="AD92" i="39"/>
  <c r="J92" i="39"/>
  <c r="G92" i="39"/>
  <c r="H92" i="39" s="1"/>
  <c r="AR92" i="39" s="1"/>
  <c r="C92" i="39"/>
  <c r="AQ91" i="39"/>
  <c r="AL91" i="39"/>
  <c r="AK91" i="39"/>
  <c r="AJ91" i="39"/>
  <c r="AD91" i="39"/>
  <c r="J91" i="39"/>
  <c r="G91" i="39"/>
  <c r="H91" i="39" s="1"/>
  <c r="AR91" i="39" s="1"/>
  <c r="C91" i="39"/>
  <c r="AQ90" i="39"/>
  <c r="AK90" i="39"/>
  <c r="AF90" i="39"/>
  <c r="AE90" i="39"/>
  <c r="AD90" i="39"/>
  <c r="J90" i="39"/>
  <c r="H90" i="39"/>
  <c r="C90" i="39"/>
  <c r="AF89" i="39"/>
  <c r="AD89" i="39"/>
  <c r="I89" i="39"/>
  <c r="H89" i="39"/>
  <c r="AL89" i="39" s="1"/>
  <c r="C89" i="39"/>
  <c r="AF88" i="39"/>
  <c r="AD88" i="39"/>
  <c r="I88" i="39"/>
  <c r="AE88" i="39" s="1"/>
  <c r="H88" i="39"/>
  <c r="C88" i="39"/>
  <c r="AF87" i="39"/>
  <c r="AD87" i="39"/>
  <c r="I87" i="39"/>
  <c r="H87" i="39"/>
  <c r="AL87" i="39" s="1"/>
  <c r="C87" i="39"/>
  <c r="AF86" i="39"/>
  <c r="AD86" i="39"/>
  <c r="I86" i="39"/>
  <c r="J86" i="39" s="1"/>
  <c r="H86" i="39"/>
  <c r="C86" i="39"/>
  <c r="AF85" i="39"/>
  <c r="AD85" i="39"/>
  <c r="I85" i="39"/>
  <c r="H85" i="39"/>
  <c r="AL85" i="39" s="1"/>
  <c r="C85" i="39"/>
  <c r="AQ84" i="39"/>
  <c r="AK84" i="39"/>
  <c r="AF84" i="39"/>
  <c r="AE84" i="39"/>
  <c r="AD84" i="39"/>
  <c r="J84" i="39"/>
  <c r="H84" i="39"/>
  <c r="AR84" i="39" s="1"/>
  <c r="C84" i="39"/>
  <c r="AF83" i="39"/>
  <c r="AD83" i="39"/>
  <c r="I83" i="39"/>
  <c r="AK83" i="39" s="1"/>
  <c r="H83" i="39"/>
  <c r="C83" i="39"/>
  <c r="AF82" i="39"/>
  <c r="AD82" i="39"/>
  <c r="I82" i="39"/>
  <c r="AQ82" i="39" s="1"/>
  <c r="H82" i="39"/>
  <c r="AR82" i="39" s="1"/>
  <c r="C82" i="39"/>
  <c r="AQ81" i="39"/>
  <c r="AK81" i="39"/>
  <c r="AE81" i="39"/>
  <c r="Z81" i="39"/>
  <c r="Y81" i="39"/>
  <c r="X81" i="39"/>
  <c r="J81" i="39"/>
  <c r="H81" i="39"/>
  <c r="C81" i="39"/>
  <c r="AQ80" i="39"/>
  <c r="AK80" i="39"/>
  <c r="AE80" i="39"/>
  <c r="Z80" i="39"/>
  <c r="Y80" i="39"/>
  <c r="X80" i="39"/>
  <c r="J80" i="39"/>
  <c r="H80" i="39"/>
  <c r="AL80" i="39" s="1"/>
  <c r="C80" i="39"/>
  <c r="AQ79" i="39"/>
  <c r="AK79" i="39"/>
  <c r="AE79" i="39"/>
  <c r="Z79" i="39"/>
  <c r="Y79" i="39"/>
  <c r="X79" i="39"/>
  <c r="J79" i="39"/>
  <c r="H79" i="39"/>
  <c r="AR79" i="39" s="1"/>
  <c r="C79" i="39"/>
  <c r="AQ78" i="39"/>
  <c r="AK78" i="39"/>
  <c r="AE78" i="39"/>
  <c r="Z78" i="39"/>
  <c r="Y78" i="39"/>
  <c r="X78" i="39"/>
  <c r="J78" i="39"/>
  <c r="H78" i="39"/>
  <c r="C78" i="39"/>
  <c r="AQ77" i="39"/>
  <c r="AK77" i="39"/>
  <c r="AE77" i="39"/>
  <c r="Z77" i="39"/>
  <c r="Y77" i="39"/>
  <c r="X77" i="39"/>
  <c r="J77" i="39"/>
  <c r="H77" i="39"/>
  <c r="C77" i="39"/>
  <c r="AQ76" i="39"/>
  <c r="AK76" i="39"/>
  <c r="AE76" i="39"/>
  <c r="Z76" i="39"/>
  <c r="Y76" i="39"/>
  <c r="X76" i="39"/>
  <c r="J76" i="39"/>
  <c r="H76" i="39"/>
  <c r="AL76" i="39" s="1"/>
  <c r="C76" i="39"/>
  <c r="AQ75" i="39"/>
  <c r="AK75" i="39"/>
  <c r="AE75" i="39"/>
  <c r="Z75" i="39"/>
  <c r="Y75" i="39"/>
  <c r="X75" i="39"/>
  <c r="J75" i="39"/>
  <c r="H75" i="39"/>
  <c r="AR75" i="39" s="1"/>
  <c r="C75" i="39"/>
  <c r="T74" i="39"/>
  <c r="R74" i="39"/>
  <c r="I74" i="39"/>
  <c r="H74" i="39"/>
  <c r="AR74" i="39" s="1"/>
  <c r="C74" i="39"/>
  <c r="AQ73" i="39"/>
  <c r="AK73" i="39"/>
  <c r="AE73" i="39"/>
  <c r="Y73" i="39"/>
  <c r="S73" i="39"/>
  <c r="N73" i="39"/>
  <c r="M73" i="39"/>
  <c r="J73" i="39"/>
  <c r="H73" i="39"/>
  <c r="AR73" i="39" s="1"/>
  <c r="C73" i="39"/>
  <c r="AQ72" i="39"/>
  <c r="AK72" i="39"/>
  <c r="AE72" i="39"/>
  <c r="Y72" i="39"/>
  <c r="S72" i="39"/>
  <c r="N72" i="39"/>
  <c r="M72" i="39"/>
  <c r="J72" i="39"/>
  <c r="H72" i="39"/>
  <c r="AL72" i="39" s="1"/>
  <c r="C72" i="39"/>
  <c r="AQ71" i="39"/>
  <c r="AK71" i="39"/>
  <c r="AE71" i="39"/>
  <c r="Y71" i="39"/>
  <c r="S71" i="39"/>
  <c r="N71" i="39"/>
  <c r="M71" i="39"/>
  <c r="J71" i="39"/>
  <c r="H71" i="39"/>
  <c r="Z71" i="39" s="1"/>
  <c r="C71" i="39"/>
  <c r="AQ70" i="39"/>
  <c r="AK70" i="39"/>
  <c r="AE70" i="39"/>
  <c r="Y70" i="39"/>
  <c r="S70" i="39"/>
  <c r="N70" i="39"/>
  <c r="M70" i="39"/>
  <c r="J70" i="39"/>
  <c r="H70" i="39"/>
  <c r="AL70" i="39" s="1"/>
  <c r="C70" i="39"/>
  <c r="AQ69" i="39"/>
  <c r="AK69" i="39"/>
  <c r="AE69" i="39"/>
  <c r="Y69" i="39"/>
  <c r="S69" i="39"/>
  <c r="N69" i="39"/>
  <c r="M69" i="39"/>
  <c r="J69" i="39"/>
  <c r="H69" i="39"/>
  <c r="AR69" i="39" s="1"/>
  <c r="C69" i="39"/>
  <c r="AQ68" i="39"/>
  <c r="AK68" i="39"/>
  <c r="AE68" i="39"/>
  <c r="Y68" i="39"/>
  <c r="S68" i="39"/>
  <c r="N68" i="39"/>
  <c r="M68" i="39"/>
  <c r="J68" i="39"/>
  <c r="H68" i="39"/>
  <c r="AF68" i="39" s="1"/>
  <c r="C68" i="39"/>
  <c r="AQ67" i="39"/>
  <c r="AK67" i="39"/>
  <c r="AE67" i="39"/>
  <c r="Y67" i="39"/>
  <c r="S67" i="39"/>
  <c r="N67" i="39"/>
  <c r="M67" i="39"/>
  <c r="J67" i="39"/>
  <c r="H67" i="39"/>
  <c r="C67" i="39"/>
  <c r="AQ66" i="39"/>
  <c r="AK66" i="39"/>
  <c r="AE66" i="39"/>
  <c r="Y66" i="39"/>
  <c r="S66" i="39"/>
  <c r="N66" i="39"/>
  <c r="M66" i="39"/>
  <c r="J66" i="39"/>
  <c r="H66" i="39"/>
  <c r="AL66" i="39" s="1"/>
  <c r="C66" i="39"/>
  <c r="AQ65" i="39"/>
  <c r="AK65" i="39"/>
  <c r="AE65" i="39"/>
  <c r="Y65" i="39"/>
  <c r="S65" i="39"/>
  <c r="N65" i="39"/>
  <c r="M65" i="39"/>
  <c r="J65" i="39"/>
  <c r="H65" i="39"/>
  <c r="C65" i="39"/>
  <c r="AQ64" i="39"/>
  <c r="AK64" i="39"/>
  <c r="AE64" i="39"/>
  <c r="Y64" i="39"/>
  <c r="S64" i="39"/>
  <c r="N64" i="39"/>
  <c r="M64" i="39"/>
  <c r="J64" i="39"/>
  <c r="H64" i="39"/>
  <c r="Z64" i="39" s="1"/>
  <c r="C64" i="39"/>
  <c r="AQ63" i="39"/>
  <c r="AK63" i="39"/>
  <c r="AE63" i="39"/>
  <c r="Y63" i="39"/>
  <c r="S63" i="39"/>
  <c r="N63" i="39"/>
  <c r="M63" i="39"/>
  <c r="J63" i="39"/>
  <c r="H63" i="39"/>
  <c r="AR63" i="39" s="1"/>
  <c r="C63" i="39"/>
  <c r="AQ62" i="39"/>
  <c r="AK62" i="39"/>
  <c r="AE62" i="39"/>
  <c r="Y62" i="39"/>
  <c r="S62" i="39"/>
  <c r="N62" i="39"/>
  <c r="M62" i="39"/>
  <c r="J62" i="39"/>
  <c r="H62" i="39"/>
  <c r="C62" i="39"/>
  <c r="AQ61" i="39"/>
  <c r="AK61" i="39"/>
  <c r="AE61" i="39"/>
  <c r="Y61" i="39"/>
  <c r="S61" i="39"/>
  <c r="N61" i="39"/>
  <c r="M61" i="39"/>
  <c r="J61" i="39"/>
  <c r="H61" i="39"/>
  <c r="C61" i="39"/>
  <c r="AQ60" i="39"/>
  <c r="AK60" i="39"/>
  <c r="AE60" i="39"/>
  <c r="Y60" i="39"/>
  <c r="S60" i="39"/>
  <c r="N60" i="39"/>
  <c r="M60" i="39"/>
  <c r="J60" i="39"/>
  <c r="H60" i="39"/>
  <c r="Z60" i="39" s="1"/>
  <c r="C60" i="39"/>
  <c r="AQ59" i="39"/>
  <c r="AK59" i="39"/>
  <c r="AE59" i="39"/>
  <c r="Y59" i="39"/>
  <c r="S59" i="39"/>
  <c r="N59" i="39"/>
  <c r="M59" i="39"/>
  <c r="J59" i="39"/>
  <c r="H59" i="39"/>
  <c r="Z59" i="39" s="1"/>
  <c r="C59" i="39"/>
  <c r="AQ58" i="39"/>
  <c r="AK58" i="39"/>
  <c r="AE58" i="39"/>
  <c r="Y58" i="39"/>
  <c r="S58" i="39"/>
  <c r="N58" i="39"/>
  <c r="M58" i="39"/>
  <c r="J58" i="39"/>
  <c r="H58" i="39"/>
  <c r="Z58" i="39" s="1"/>
  <c r="C58" i="39"/>
  <c r="AQ57" i="39"/>
  <c r="AK57" i="39"/>
  <c r="AE57" i="39"/>
  <c r="Y57" i="39"/>
  <c r="S57" i="39"/>
  <c r="N57" i="39"/>
  <c r="M57" i="39"/>
  <c r="J57" i="39"/>
  <c r="H57" i="39"/>
  <c r="AR57" i="39" s="1"/>
  <c r="C57" i="39"/>
  <c r="AQ56" i="39"/>
  <c r="AK56" i="39"/>
  <c r="AE56" i="39"/>
  <c r="Y56" i="39"/>
  <c r="S56" i="39"/>
  <c r="N56" i="39"/>
  <c r="M56" i="39"/>
  <c r="J56" i="39"/>
  <c r="H56" i="39"/>
  <c r="Z56" i="39" s="1"/>
  <c r="C56" i="39"/>
  <c r="AQ55" i="39"/>
  <c r="AK55" i="39"/>
  <c r="AE55" i="39"/>
  <c r="Y55" i="39"/>
  <c r="S55" i="39"/>
  <c r="N55" i="39"/>
  <c r="M55" i="39"/>
  <c r="J55" i="39"/>
  <c r="H55" i="39"/>
  <c r="AR55" i="39" s="1"/>
  <c r="C55" i="39"/>
  <c r="AQ54" i="39"/>
  <c r="AK54" i="39"/>
  <c r="AE54" i="39"/>
  <c r="Y54" i="39"/>
  <c r="S54" i="39"/>
  <c r="N54" i="39"/>
  <c r="M54" i="39"/>
  <c r="J54" i="39"/>
  <c r="H54" i="39"/>
  <c r="AL54" i="39" s="1"/>
  <c r="C54" i="39"/>
  <c r="AQ53" i="39"/>
  <c r="AK53" i="39"/>
  <c r="AE53" i="39"/>
  <c r="Y53" i="39"/>
  <c r="S53" i="39"/>
  <c r="N53" i="39"/>
  <c r="M53" i="39"/>
  <c r="J53" i="39"/>
  <c r="H53" i="39"/>
  <c r="Z53" i="39" s="1"/>
  <c r="C53" i="39"/>
  <c r="AQ52" i="39"/>
  <c r="AK52" i="39"/>
  <c r="AE52" i="39"/>
  <c r="Y52" i="39"/>
  <c r="S52" i="39"/>
  <c r="N52" i="39"/>
  <c r="M52" i="39"/>
  <c r="J52" i="39"/>
  <c r="H52" i="39"/>
  <c r="AL52" i="39" s="1"/>
  <c r="C52" i="39"/>
  <c r="AQ51" i="39"/>
  <c r="AK51" i="39"/>
  <c r="AE51" i="39"/>
  <c r="Y51" i="39"/>
  <c r="S51" i="39"/>
  <c r="N51" i="39"/>
  <c r="M51" i="39"/>
  <c r="J51" i="39"/>
  <c r="H51" i="39"/>
  <c r="AR51" i="39" s="1"/>
  <c r="C51" i="39"/>
  <c r="AQ50" i="39"/>
  <c r="AK50" i="39"/>
  <c r="AE50" i="39"/>
  <c r="Y50" i="39"/>
  <c r="S50" i="39"/>
  <c r="N50" i="39"/>
  <c r="M50" i="39"/>
  <c r="J50" i="39"/>
  <c r="H50" i="39"/>
  <c r="Z50" i="39" s="1"/>
  <c r="C50" i="39"/>
  <c r="AQ49" i="39"/>
  <c r="AK49" i="39"/>
  <c r="AE49" i="39"/>
  <c r="Y49" i="39"/>
  <c r="S49" i="39"/>
  <c r="N49" i="39"/>
  <c r="M49" i="39"/>
  <c r="J49" i="39"/>
  <c r="H49" i="39"/>
  <c r="AR49" i="39" s="1"/>
  <c r="C49" i="39"/>
  <c r="AQ48" i="39"/>
  <c r="AK48" i="39"/>
  <c r="AE48" i="39"/>
  <c r="Y48" i="39"/>
  <c r="S48" i="39"/>
  <c r="N48" i="39"/>
  <c r="M48" i="39"/>
  <c r="J48" i="39"/>
  <c r="H48" i="39"/>
  <c r="AR48" i="39" s="1"/>
  <c r="C48" i="39"/>
  <c r="AQ47" i="39"/>
  <c r="AK47" i="39"/>
  <c r="AE47" i="39"/>
  <c r="Y47" i="39"/>
  <c r="S47" i="39"/>
  <c r="N47" i="39"/>
  <c r="M47" i="39"/>
  <c r="J47" i="39"/>
  <c r="H47" i="39"/>
  <c r="AL47" i="39" s="1"/>
  <c r="C47" i="39"/>
  <c r="AQ46" i="39"/>
  <c r="AK46" i="39"/>
  <c r="AE46" i="39"/>
  <c r="Y46" i="39"/>
  <c r="S46" i="39"/>
  <c r="N46" i="39"/>
  <c r="M46" i="39"/>
  <c r="J46" i="39"/>
  <c r="H46" i="39"/>
  <c r="Z46" i="39" s="1"/>
  <c r="C46" i="39"/>
  <c r="AQ45" i="39"/>
  <c r="AK45" i="39"/>
  <c r="AE45" i="39"/>
  <c r="Y45" i="39"/>
  <c r="S45" i="39"/>
  <c r="N45" i="39"/>
  <c r="M45" i="39"/>
  <c r="J45" i="39"/>
  <c r="H45" i="39"/>
  <c r="AL45" i="39" s="1"/>
  <c r="C45" i="39"/>
  <c r="AQ44" i="39"/>
  <c r="AK44" i="39"/>
  <c r="AE44" i="39"/>
  <c r="Y44" i="39"/>
  <c r="S44" i="39"/>
  <c r="N44" i="39"/>
  <c r="M44" i="39"/>
  <c r="J44" i="39"/>
  <c r="H44" i="39"/>
  <c r="T44" i="39" s="1"/>
  <c r="C44" i="39"/>
  <c r="AQ43" i="39"/>
  <c r="AK43" i="39"/>
  <c r="AE43" i="39"/>
  <c r="Y43" i="39"/>
  <c r="S43" i="39"/>
  <c r="N43" i="39"/>
  <c r="M43" i="39"/>
  <c r="J43" i="39"/>
  <c r="H43" i="39"/>
  <c r="AL43" i="39" s="1"/>
  <c r="C43" i="39"/>
  <c r="AQ42" i="39"/>
  <c r="AK42" i="39"/>
  <c r="AE42" i="39"/>
  <c r="Y42" i="39"/>
  <c r="S42" i="39"/>
  <c r="N42" i="39"/>
  <c r="M42" i="39"/>
  <c r="J42" i="39"/>
  <c r="H42" i="39"/>
  <c r="AR42" i="39" s="1"/>
  <c r="C42" i="39"/>
  <c r="AQ41" i="39"/>
  <c r="AK41" i="39"/>
  <c r="AE41" i="39"/>
  <c r="Y41" i="39"/>
  <c r="S41" i="39"/>
  <c r="N41" i="39"/>
  <c r="M41" i="39"/>
  <c r="J41" i="39"/>
  <c r="H41" i="39"/>
  <c r="C41" i="39"/>
  <c r="AQ40" i="39"/>
  <c r="AK40" i="39"/>
  <c r="AE40" i="39"/>
  <c r="Y40" i="39"/>
  <c r="S40" i="39"/>
  <c r="N40" i="39"/>
  <c r="M40" i="39"/>
  <c r="J40" i="39"/>
  <c r="H40" i="39"/>
  <c r="AF40" i="39" s="1"/>
  <c r="C40" i="39"/>
  <c r="AQ39" i="39"/>
  <c r="AK39" i="39"/>
  <c r="AE39" i="39"/>
  <c r="Y39" i="39"/>
  <c r="S39" i="39"/>
  <c r="N39" i="39"/>
  <c r="M39" i="39"/>
  <c r="J39" i="39"/>
  <c r="H39" i="39"/>
  <c r="AF39" i="39" s="1"/>
  <c r="C39" i="39"/>
  <c r="AQ38" i="39"/>
  <c r="AK38" i="39"/>
  <c r="AE38" i="39"/>
  <c r="Y38" i="39"/>
  <c r="S38" i="39"/>
  <c r="N38" i="39"/>
  <c r="M38" i="39"/>
  <c r="J38" i="39"/>
  <c r="H38" i="39"/>
  <c r="AR38" i="39" s="1"/>
  <c r="C38" i="39"/>
  <c r="AQ37" i="39"/>
  <c r="AK37" i="39"/>
  <c r="AE37" i="39"/>
  <c r="Y37" i="39"/>
  <c r="S37" i="39"/>
  <c r="N37" i="39"/>
  <c r="M37" i="39"/>
  <c r="J37" i="39"/>
  <c r="H37" i="39"/>
  <c r="AR37" i="39" s="1"/>
  <c r="C37" i="39"/>
  <c r="AQ36" i="39"/>
  <c r="AK36" i="39"/>
  <c r="AE36" i="39"/>
  <c r="Y36" i="39"/>
  <c r="S36" i="39"/>
  <c r="N36" i="39"/>
  <c r="M36" i="39"/>
  <c r="J36" i="39"/>
  <c r="H36" i="39"/>
  <c r="C36" i="39"/>
  <c r="AQ35" i="39"/>
  <c r="AK35" i="39"/>
  <c r="AE35" i="39"/>
  <c r="Y35" i="39"/>
  <c r="S35" i="39"/>
  <c r="N35" i="39"/>
  <c r="M35" i="39"/>
  <c r="J35" i="39"/>
  <c r="H35" i="39"/>
  <c r="AL35" i="39" s="1"/>
  <c r="C35" i="39"/>
  <c r="AQ34" i="39"/>
  <c r="AK34" i="39"/>
  <c r="AE34" i="39"/>
  <c r="Y34" i="39"/>
  <c r="S34" i="39"/>
  <c r="N34" i="39"/>
  <c r="M34" i="39"/>
  <c r="J34" i="39"/>
  <c r="H34" i="39"/>
  <c r="Z34" i="39" s="1"/>
  <c r="C34" i="39"/>
  <c r="AQ33" i="39"/>
  <c r="AK33" i="39"/>
  <c r="AE33" i="39"/>
  <c r="Y33" i="39"/>
  <c r="S33" i="39"/>
  <c r="N33" i="39"/>
  <c r="M33" i="39"/>
  <c r="J33" i="39"/>
  <c r="H33" i="39"/>
  <c r="T33" i="39" s="1"/>
  <c r="C33" i="39"/>
  <c r="AQ32" i="39"/>
  <c r="AK32" i="39"/>
  <c r="AE32" i="39"/>
  <c r="Y32" i="39"/>
  <c r="S32" i="39"/>
  <c r="N32" i="39"/>
  <c r="M32" i="39"/>
  <c r="J32" i="39"/>
  <c r="H32" i="39"/>
  <c r="Z32" i="39" s="1"/>
  <c r="C32" i="39"/>
  <c r="AQ31" i="39"/>
  <c r="AK31" i="39"/>
  <c r="AE31" i="39"/>
  <c r="Y31" i="39"/>
  <c r="S31" i="39"/>
  <c r="N31" i="39"/>
  <c r="M31" i="39"/>
  <c r="J31" i="39"/>
  <c r="H31" i="39"/>
  <c r="Z31" i="39" s="1"/>
  <c r="C31" i="39"/>
  <c r="AQ30" i="39"/>
  <c r="AK30" i="39"/>
  <c r="AE30" i="39"/>
  <c r="Y30" i="39"/>
  <c r="S30" i="39"/>
  <c r="N30" i="39"/>
  <c r="M30" i="39"/>
  <c r="J30" i="39"/>
  <c r="H30" i="39"/>
  <c r="AR30" i="39" s="1"/>
  <c r="C30" i="39"/>
  <c r="AQ29" i="39"/>
  <c r="AK29" i="39"/>
  <c r="AE29" i="39"/>
  <c r="Y29" i="39"/>
  <c r="S29" i="39"/>
  <c r="N29" i="39"/>
  <c r="M29" i="39"/>
  <c r="J29" i="39"/>
  <c r="H29" i="39"/>
  <c r="AR29" i="39" s="1"/>
  <c r="C29" i="39"/>
  <c r="AQ28" i="39"/>
  <c r="AK28" i="39"/>
  <c r="AE28" i="39"/>
  <c r="Y28" i="39"/>
  <c r="S28" i="39"/>
  <c r="N28" i="39"/>
  <c r="M28" i="39"/>
  <c r="J28" i="39"/>
  <c r="H28" i="39"/>
  <c r="AF28" i="39" s="1"/>
  <c r="C28" i="39"/>
  <c r="AQ27" i="39"/>
  <c r="AK27" i="39"/>
  <c r="AE27" i="39"/>
  <c r="Y27" i="39"/>
  <c r="S27" i="39"/>
  <c r="N27" i="39"/>
  <c r="M27" i="39"/>
  <c r="J27" i="39"/>
  <c r="H27" i="39"/>
  <c r="AF27" i="39" s="1"/>
  <c r="C27" i="39"/>
  <c r="AQ26" i="39"/>
  <c r="AK26" i="39"/>
  <c r="AE26" i="39"/>
  <c r="Y26" i="39"/>
  <c r="S26" i="39"/>
  <c r="N26" i="39"/>
  <c r="M26" i="39"/>
  <c r="J26" i="39"/>
  <c r="H26" i="39"/>
  <c r="Z26" i="39" s="1"/>
  <c r="C26" i="39"/>
  <c r="AQ25" i="39"/>
  <c r="AK25" i="39"/>
  <c r="AE25" i="39"/>
  <c r="Y25" i="39"/>
  <c r="S25" i="39"/>
  <c r="N25" i="39"/>
  <c r="M25" i="39"/>
  <c r="J25" i="39"/>
  <c r="H25" i="39"/>
  <c r="AF25" i="39" s="1"/>
  <c r="C25" i="39"/>
  <c r="AQ24" i="39"/>
  <c r="AK24" i="39"/>
  <c r="AE24" i="39"/>
  <c r="Y24" i="39"/>
  <c r="S24" i="39"/>
  <c r="N24" i="39"/>
  <c r="M24" i="39"/>
  <c r="J24" i="39"/>
  <c r="H24" i="39"/>
  <c r="AR24" i="39" s="1"/>
  <c r="C24" i="39"/>
  <c r="AQ23" i="39"/>
  <c r="AK23" i="39"/>
  <c r="AE23" i="39"/>
  <c r="Y23" i="39"/>
  <c r="S23" i="39"/>
  <c r="N23" i="39"/>
  <c r="M23" i="39"/>
  <c r="J23" i="39"/>
  <c r="H23" i="39"/>
  <c r="Z23" i="39" s="1"/>
  <c r="C23" i="39"/>
  <c r="AQ22" i="39"/>
  <c r="AK22" i="39"/>
  <c r="AE22" i="39"/>
  <c r="Y22" i="39"/>
  <c r="S22" i="39"/>
  <c r="N22" i="39"/>
  <c r="M22" i="39"/>
  <c r="J22" i="39"/>
  <c r="H22" i="39"/>
  <c r="Z22" i="39" s="1"/>
  <c r="C22" i="39"/>
  <c r="AQ21" i="39"/>
  <c r="AK21" i="39"/>
  <c r="AE21" i="39"/>
  <c r="Y21" i="39"/>
  <c r="S21" i="39"/>
  <c r="N21" i="39"/>
  <c r="M21" i="39"/>
  <c r="J21" i="39"/>
  <c r="H21" i="39"/>
  <c r="AR21" i="39" s="1"/>
  <c r="C21" i="39"/>
  <c r="AQ20" i="39"/>
  <c r="AK20" i="39"/>
  <c r="AE20" i="39"/>
  <c r="Y20" i="39"/>
  <c r="S20" i="39"/>
  <c r="N20" i="39"/>
  <c r="M20" i="39"/>
  <c r="J20" i="39"/>
  <c r="H20" i="39"/>
  <c r="AF20" i="39" s="1"/>
  <c r="C20" i="39"/>
  <c r="AQ19" i="39"/>
  <c r="AK19" i="39"/>
  <c r="AE19" i="39"/>
  <c r="Y19" i="39"/>
  <c r="S19" i="39"/>
  <c r="N19" i="39"/>
  <c r="M19" i="39"/>
  <c r="J19" i="39"/>
  <c r="H19" i="39"/>
  <c r="AF19" i="39" s="1"/>
  <c r="C19" i="39"/>
  <c r="AQ18" i="39"/>
  <c r="AK18" i="39"/>
  <c r="AE18" i="39"/>
  <c r="Y18" i="39"/>
  <c r="S18" i="39"/>
  <c r="N18" i="39"/>
  <c r="M18" i="39"/>
  <c r="J18" i="39"/>
  <c r="H18" i="39"/>
  <c r="AF18" i="39" s="1"/>
  <c r="C18" i="39"/>
  <c r="AQ17" i="39"/>
  <c r="AK17" i="39"/>
  <c r="AE17" i="39"/>
  <c r="Y17" i="39"/>
  <c r="S17" i="39"/>
  <c r="N17" i="39"/>
  <c r="M17" i="39"/>
  <c r="J17" i="39"/>
  <c r="H17" i="39"/>
  <c r="AF17" i="39" s="1"/>
  <c r="C17" i="39"/>
  <c r="AQ16" i="39"/>
  <c r="AK16" i="39"/>
  <c r="AE16" i="39"/>
  <c r="Y16" i="39"/>
  <c r="S16" i="39"/>
  <c r="N16" i="39"/>
  <c r="M16" i="39"/>
  <c r="J16" i="39"/>
  <c r="H16" i="39"/>
  <c r="AR16" i="39" s="1"/>
  <c r="C16" i="39"/>
  <c r="AQ15" i="39"/>
  <c r="AK15" i="39"/>
  <c r="AE15" i="39"/>
  <c r="Y15" i="39"/>
  <c r="S15" i="39"/>
  <c r="N15" i="39"/>
  <c r="M15" i="39"/>
  <c r="J15" i="39"/>
  <c r="H15" i="39"/>
  <c r="Z15" i="39" s="1"/>
  <c r="C15" i="39"/>
  <c r="AQ14" i="39"/>
  <c r="AK14" i="39"/>
  <c r="AE14" i="39"/>
  <c r="Y14" i="39"/>
  <c r="S14" i="39"/>
  <c r="N14" i="39"/>
  <c r="M14" i="39"/>
  <c r="J14" i="39"/>
  <c r="H14" i="39"/>
  <c r="Z14" i="39" s="1"/>
  <c r="C14" i="39"/>
  <c r="L12" i="39"/>
  <c r="K12" i="39"/>
  <c r="AR11" i="39"/>
  <c r="AQ11" i="39"/>
  <c r="AP11" i="39"/>
  <c r="J11" i="39"/>
  <c r="H11" i="39"/>
  <c r="C11" i="39"/>
  <c r="AR10" i="39"/>
  <c r="AQ10" i="39"/>
  <c r="AP10" i="39"/>
  <c r="J10" i="39"/>
  <c r="H10" i="39"/>
  <c r="C10" i="39"/>
  <c r="AR9" i="39"/>
  <c r="AQ9" i="39"/>
  <c r="AP9" i="39"/>
  <c r="J9" i="39"/>
  <c r="H9" i="39"/>
  <c r="C9" i="39"/>
  <c r="AR8" i="39"/>
  <c r="AQ8" i="39"/>
  <c r="AP8" i="39"/>
  <c r="J8" i="39"/>
  <c r="H8" i="39"/>
  <c r="C8" i="39"/>
  <c r="AR7" i="39"/>
  <c r="AP7" i="39"/>
  <c r="J562" i="39"/>
  <c r="H7" i="39"/>
  <c r="C7" i="39"/>
  <c r="AQ6" i="39"/>
  <c r="AK6" i="39"/>
  <c r="AN6" i="39" s="1"/>
  <c r="AE6" i="39"/>
  <c r="Y6" i="39"/>
  <c r="S6" i="39"/>
  <c r="N6" i="39"/>
  <c r="M6" i="39"/>
  <c r="J6" i="39"/>
  <c r="H6" i="39"/>
  <c r="C6" i="39"/>
  <c r="AQ5" i="39"/>
  <c r="AK5" i="39"/>
  <c r="AE5" i="39"/>
  <c r="Y5" i="39"/>
  <c r="S5" i="39"/>
  <c r="N5" i="39"/>
  <c r="M5" i="39"/>
  <c r="J5" i="39"/>
  <c r="H5" i="39"/>
  <c r="C5" i="39"/>
  <c r="D8" i="44" l="1"/>
  <c r="Z423" i="39"/>
  <c r="AS79" i="39"/>
  <c r="J383" i="39"/>
  <c r="C6" i="44"/>
  <c r="AF23" i="39"/>
  <c r="AS42" i="39"/>
  <c r="AF35" i="39"/>
  <c r="AG35" i="39" s="1"/>
  <c r="AR304" i="39"/>
  <c r="Z29" i="39"/>
  <c r="AF43" i="39"/>
  <c r="AG43" i="39" s="1"/>
  <c r="O157" i="39"/>
  <c r="P157" i="39" s="1"/>
  <c r="Q157" i="39" s="1"/>
  <c r="R157" i="39" s="1"/>
  <c r="AM314" i="39"/>
  <c r="AN314" i="39" s="1"/>
  <c r="O255" i="39"/>
  <c r="P255" i="39" s="1"/>
  <c r="O220" i="39"/>
  <c r="P220" i="39" s="1"/>
  <c r="Q220" i="39" s="1"/>
  <c r="R220" i="39" s="1"/>
  <c r="AM458" i="39"/>
  <c r="AS537" i="39"/>
  <c r="AT537" i="39" s="1"/>
  <c r="U289" i="39"/>
  <c r="V289" i="39" s="1"/>
  <c r="O369" i="39"/>
  <c r="P369" i="39" s="1"/>
  <c r="Q369" i="39" s="1"/>
  <c r="R369" i="39" s="1"/>
  <c r="AL29" i="39"/>
  <c r="AM29" i="39" s="1"/>
  <c r="AF304" i="39"/>
  <c r="AS536" i="39"/>
  <c r="AT536" i="39" s="1"/>
  <c r="AA77" i="39"/>
  <c r="AB77" i="39" s="1"/>
  <c r="AC77" i="39" s="1"/>
  <c r="AD77" i="39" s="1"/>
  <c r="J82" i="39"/>
  <c r="AR271" i="39"/>
  <c r="O441" i="39"/>
  <c r="P441" i="39" s="1"/>
  <c r="N12" i="39"/>
  <c r="T29" i="39"/>
  <c r="U29" i="39" s="1"/>
  <c r="AF29" i="39"/>
  <c r="Z69" i="39"/>
  <c r="AA69" i="39" s="1"/>
  <c r="O144" i="39"/>
  <c r="P144" i="39" s="1"/>
  <c r="Q144" i="39" s="1"/>
  <c r="R144" i="39" s="1"/>
  <c r="O201" i="39"/>
  <c r="P201" i="39" s="1"/>
  <c r="Q201" i="39" s="1"/>
  <c r="R201" i="39" s="1"/>
  <c r="O227" i="39"/>
  <c r="P227" i="39" s="1"/>
  <c r="O424" i="39"/>
  <c r="P424" i="39" s="1"/>
  <c r="AA445" i="39"/>
  <c r="AQ470" i="39"/>
  <c r="AS484" i="39"/>
  <c r="AK448" i="39"/>
  <c r="O259" i="39"/>
  <c r="P259" i="39" s="1"/>
  <c r="Q259" i="39" s="1"/>
  <c r="R259" i="39" s="1"/>
  <c r="U286" i="39"/>
  <c r="V286" i="39" s="1"/>
  <c r="W286" i="39" s="1"/>
  <c r="X286" i="39" s="1"/>
  <c r="AL443" i="39"/>
  <c r="T443" i="39"/>
  <c r="U443" i="39" s="1"/>
  <c r="AS116" i="39"/>
  <c r="AT116" i="39" s="1"/>
  <c r="O247" i="39"/>
  <c r="P247" i="39" s="1"/>
  <c r="Q247" i="39" s="1"/>
  <c r="R247" i="39" s="1"/>
  <c r="AL58" i="39"/>
  <c r="AQ88" i="39"/>
  <c r="AM148" i="39"/>
  <c r="AF472" i="39"/>
  <c r="T66" i="39"/>
  <c r="AR56" i="39"/>
  <c r="AS56" i="39" s="1"/>
  <c r="Z57" i="39"/>
  <c r="AA57" i="39" s="1"/>
  <c r="AS97" i="39"/>
  <c r="AS98" i="39"/>
  <c r="O145" i="39"/>
  <c r="P145" i="39" s="1"/>
  <c r="Q145" i="39" s="1"/>
  <c r="R145" i="39" s="1"/>
  <c r="AE300" i="39"/>
  <c r="AG300" i="39" s="1"/>
  <c r="AH300" i="39" s="1"/>
  <c r="AM325" i="39"/>
  <c r="AN325" i="39" s="1"/>
  <c r="AO325" i="39" s="1"/>
  <c r="AP325" i="39" s="1"/>
  <c r="AM363" i="39"/>
  <c r="AM371" i="39"/>
  <c r="AS398" i="39"/>
  <c r="AS410" i="39"/>
  <c r="AT410" i="39" s="1"/>
  <c r="AU410" i="39" s="1"/>
  <c r="AM318" i="39"/>
  <c r="AN318" i="39" s="1"/>
  <c r="AR26" i="39"/>
  <c r="AS26" i="39" s="1"/>
  <c r="AS93" i="39"/>
  <c r="AM144" i="39"/>
  <c r="AS9" i="39"/>
  <c r="AT9" i="39" s="1"/>
  <c r="AU9" i="39" s="1"/>
  <c r="AR20" i="39"/>
  <c r="AS20" i="39" s="1"/>
  <c r="T38" i="39"/>
  <c r="U38" i="39" s="1"/>
  <c r="T45" i="39"/>
  <c r="U45" i="39" s="1"/>
  <c r="AR58" i="39"/>
  <c r="O215" i="39"/>
  <c r="P215" i="39" s="1"/>
  <c r="Q215" i="39" s="1"/>
  <c r="R215" i="39" s="1"/>
  <c r="AM323" i="39"/>
  <c r="AN323" i="39" s="1"/>
  <c r="AO323" i="39" s="1"/>
  <c r="AP323" i="39" s="1"/>
  <c r="AA457" i="39"/>
  <c r="AB457" i="39" s="1"/>
  <c r="AC457" i="39" s="1"/>
  <c r="AD457" i="39" s="1"/>
  <c r="AA458" i="39"/>
  <c r="AB458" i="39" s="1"/>
  <c r="T20" i="39"/>
  <c r="U20" i="39" s="1"/>
  <c r="AL57" i="39"/>
  <c r="O276" i="39"/>
  <c r="P276" i="39" s="1"/>
  <c r="Q276" i="39" s="1"/>
  <c r="R276" i="39" s="1"/>
  <c r="AM307" i="39"/>
  <c r="AN307" i="39" s="1"/>
  <c r="O446" i="39"/>
  <c r="P446" i="39" s="1"/>
  <c r="Q446" i="39" s="1"/>
  <c r="R446" i="39" s="1"/>
  <c r="T56" i="39"/>
  <c r="U56" i="39" s="1"/>
  <c r="J88" i="39"/>
  <c r="O149" i="39"/>
  <c r="P149" i="39" s="1"/>
  <c r="O191" i="39"/>
  <c r="P191" i="39" s="1"/>
  <c r="Q191" i="39" s="1"/>
  <c r="R191" i="39" s="1"/>
  <c r="T196" i="39"/>
  <c r="U196" i="39" s="1"/>
  <c r="AA230" i="39"/>
  <c r="J472" i="39"/>
  <c r="T58" i="39"/>
  <c r="AF45" i="39"/>
  <c r="AG45" i="39" s="1"/>
  <c r="Z20" i="39"/>
  <c r="AA20" i="39" s="1"/>
  <c r="T50" i="39"/>
  <c r="AS183" i="39"/>
  <c r="AT183" i="39" s="1"/>
  <c r="AU183" i="39" s="1"/>
  <c r="AF277" i="39"/>
  <c r="O445" i="39"/>
  <c r="P445" i="39" s="1"/>
  <c r="Q445" i="39" s="1"/>
  <c r="R445" i="39" s="1"/>
  <c r="O524" i="39"/>
  <c r="P524" i="39" s="1"/>
  <c r="AF283" i="39"/>
  <c r="AR283" i="39"/>
  <c r="AS283" i="39" s="1"/>
  <c r="AL292" i="39"/>
  <c r="AM292" i="39" s="1"/>
  <c r="AF292" i="39"/>
  <c r="AR292" i="39"/>
  <c r="Z434" i="39"/>
  <c r="AA434" i="39" s="1"/>
  <c r="AR434" i="39"/>
  <c r="AS434" i="39" s="1"/>
  <c r="AL28" i="39"/>
  <c r="AM28" i="39" s="1"/>
  <c r="AR43" i="39"/>
  <c r="AS43" i="39" s="1"/>
  <c r="AR45" i="39"/>
  <c r="AS45" i="39" s="1"/>
  <c r="AM80" i="39"/>
  <c r="AA81" i="39"/>
  <c r="AB81" i="39" s="1"/>
  <c r="AS180" i="39"/>
  <c r="AT180" i="39" s="1"/>
  <c r="J296" i="39"/>
  <c r="AM310" i="39"/>
  <c r="AN310" i="39" s="1"/>
  <c r="AO310" i="39" s="1"/>
  <c r="AP310" i="39" s="1"/>
  <c r="O368" i="39"/>
  <c r="P368" i="39" s="1"/>
  <c r="O376" i="39"/>
  <c r="P376" i="39" s="1"/>
  <c r="O421" i="39"/>
  <c r="P421" i="39" s="1"/>
  <c r="Q421" i="39" s="1"/>
  <c r="R421" i="39" s="1"/>
  <c r="AS478" i="39"/>
  <c r="AM54" i="39"/>
  <c r="AL20" i="39"/>
  <c r="AM20" i="39" s="1"/>
  <c r="T35" i="39"/>
  <c r="U35" i="39" s="1"/>
  <c r="AR35" i="39"/>
  <c r="AS35" i="39" s="1"/>
  <c r="AR52" i="39"/>
  <c r="AS52" i="39" s="1"/>
  <c r="AL63" i="39"/>
  <c r="AL69" i="39"/>
  <c r="AA78" i="39"/>
  <c r="AB78" i="39" s="1"/>
  <c r="AC78" i="39" s="1"/>
  <c r="AD78" i="39" s="1"/>
  <c r="AG84" i="39"/>
  <c r="AH84" i="39" s="1"/>
  <c r="AR89" i="39"/>
  <c r="O129" i="39"/>
  <c r="P129" i="39" s="1"/>
  <c r="Q129" i="39" s="1"/>
  <c r="R129" i="39" s="1"/>
  <c r="O148" i="39"/>
  <c r="P148" i="39" s="1"/>
  <c r="Q148" i="39" s="1"/>
  <c r="R148" i="39" s="1"/>
  <c r="O206" i="39"/>
  <c r="P206" i="39" s="1"/>
  <c r="Q206" i="39" s="1"/>
  <c r="R206" i="39" s="1"/>
  <c r="O272" i="39"/>
  <c r="P272" i="39" s="1"/>
  <c r="AS409" i="39"/>
  <c r="AT409" i="39" s="1"/>
  <c r="AU409" i="39" s="1"/>
  <c r="AA460" i="39"/>
  <c r="AB460" i="39" s="1"/>
  <c r="AC460" i="39" s="1"/>
  <c r="AD460" i="39" s="1"/>
  <c r="AR464" i="39"/>
  <c r="AS480" i="39"/>
  <c r="J7" i="39"/>
  <c r="J12" i="39" s="1"/>
  <c r="O52" i="39"/>
  <c r="P52" i="39" s="1"/>
  <c r="Q52" i="39" s="1"/>
  <c r="R52" i="39" s="1"/>
  <c r="AR85" i="39"/>
  <c r="AM105" i="39"/>
  <c r="AN105" i="39" s="1"/>
  <c r="AO105" i="39" s="1"/>
  <c r="AP105" i="39" s="1"/>
  <c r="AG160" i="39"/>
  <c r="AH160" i="39" s="1"/>
  <c r="AI160" i="39" s="1"/>
  <c r="AJ160" i="39" s="1"/>
  <c r="AG164" i="39"/>
  <c r="AH164" i="39" s="1"/>
  <c r="AI164" i="39" s="1"/>
  <c r="AJ164" i="39" s="1"/>
  <c r="AF212" i="39"/>
  <c r="AE296" i="39"/>
  <c r="AM319" i="39"/>
  <c r="AN319" i="39" s="1"/>
  <c r="AO319" i="39" s="1"/>
  <c r="AP319" i="39" s="1"/>
  <c r="AM396" i="39"/>
  <c r="AN396" i="39" s="1"/>
  <c r="O433" i="39"/>
  <c r="P433" i="39" s="1"/>
  <c r="AS476" i="39"/>
  <c r="Z21" i="39"/>
  <c r="AA21" i="39" s="1"/>
  <c r="Z24" i="39"/>
  <c r="AA24" i="39" s="1"/>
  <c r="Z35" i="39"/>
  <c r="O38" i="39"/>
  <c r="P38" i="39" s="1"/>
  <c r="Q38" i="39" s="1"/>
  <c r="R38" i="39" s="1"/>
  <c r="Z43" i="39"/>
  <c r="AA43" i="39" s="1"/>
  <c r="Z45" i="39"/>
  <c r="AA45" i="39" s="1"/>
  <c r="T54" i="39"/>
  <c r="U54" i="39" s="1"/>
  <c r="AS174" i="39"/>
  <c r="AT174" i="39" s="1"/>
  <c r="AU174" i="39" s="1"/>
  <c r="AS182" i="39"/>
  <c r="AT182" i="39" s="1"/>
  <c r="AU182" i="39" s="1"/>
  <c r="T228" i="39"/>
  <c r="U228" i="39" s="1"/>
  <c r="AS278" i="39"/>
  <c r="AS346" i="39"/>
  <c r="AT346" i="39" s="1"/>
  <c r="AU346" i="39" s="1"/>
  <c r="AS354" i="39"/>
  <c r="AT354" i="39" s="1"/>
  <c r="AU354" i="39" s="1"/>
  <c r="AS500" i="39"/>
  <c r="AT500" i="39" s="1"/>
  <c r="AU500" i="39" s="1"/>
  <c r="AS508" i="39"/>
  <c r="AT508" i="39" s="1"/>
  <c r="AL37" i="39"/>
  <c r="AM37" i="39" s="1"/>
  <c r="AR68" i="39"/>
  <c r="AS68" i="39" s="1"/>
  <c r="AQ7" i="39"/>
  <c r="AS7" i="39" s="1"/>
  <c r="AT7" i="39" s="1"/>
  <c r="AU7" i="39" s="1"/>
  <c r="AL19" i="39"/>
  <c r="AF37" i="39"/>
  <c r="AR50" i="39"/>
  <c r="AS50" i="39" s="1"/>
  <c r="AM102" i="39"/>
  <c r="AN102" i="39" s="1"/>
  <c r="AO102" i="39" s="1"/>
  <c r="AP102" i="39" s="1"/>
  <c r="AM103" i="39"/>
  <c r="AN103" i="39" s="1"/>
  <c r="O273" i="39"/>
  <c r="P273" i="39" s="1"/>
  <c r="Q273" i="39" s="1"/>
  <c r="R273" i="39" s="1"/>
  <c r="AF291" i="39"/>
  <c r="AM315" i="39"/>
  <c r="AN315" i="39" s="1"/>
  <c r="AO315" i="39" s="1"/>
  <c r="AP315" i="39" s="1"/>
  <c r="AM407" i="39"/>
  <c r="AN407" i="39" s="1"/>
  <c r="O417" i="39"/>
  <c r="P417" i="39" s="1"/>
  <c r="O442" i="39"/>
  <c r="P442" i="39" s="1"/>
  <c r="Q442" i="39" s="1"/>
  <c r="R442" i="39" s="1"/>
  <c r="O219" i="39"/>
  <c r="P219" i="39" s="1"/>
  <c r="Q219" i="39" s="1"/>
  <c r="R219" i="39" s="1"/>
  <c r="AS491" i="39"/>
  <c r="AT491" i="39" s="1"/>
  <c r="AS495" i="39"/>
  <c r="AT495" i="39" s="1"/>
  <c r="AU495" i="39" s="1"/>
  <c r="AS499" i="39"/>
  <c r="AT499" i="39" s="1"/>
  <c r="AU499" i="39" s="1"/>
  <c r="AS507" i="39"/>
  <c r="AT507" i="39" s="1"/>
  <c r="AS511" i="39"/>
  <c r="AT511" i="39" s="1"/>
  <c r="AS515" i="39"/>
  <c r="AT515" i="39" s="1"/>
  <c r="Q28" i="40"/>
  <c r="T26" i="39"/>
  <c r="U26" i="39" s="1"/>
  <c r="U50" i="39"/>
  <c r="AK82" i="39"/>
  <c r="AS108" i="39"/>
  <c r="AT108" i="39" s="1"/>
  <c r="AU108" i="39" s="1"/>
  <c r="O194" i="39"/>
  <c r="P194" i="39" s="1"/>
  <c r="Q194" i="39" s="1"/>
  <c r="R194" i="39" s="1"/>
  <c r="AM322" i="39"/>
  <c r="AN322" i="39" s="1"/>
  <c r="AO322" i="39" s="1"/>
  <c r="AP322" i="39" s="1"/>
  <c r="O363" i="39"/>
  <c r="P363" i="39" s="1"/>
  <c r="AS492" i="39"/>
  <c r="AT492" i="39" s="1"/>
  <c r="AR525" i="39"/>
  <c r="AS525" i="39" s="1"/>
  <c r="AL526" i="39"/>
  <c r="T526" i="39"/>
  <c r="U526" i="39" s="1"/>
  <c r="T438" i="39"/>
  <c r="U438" i="39" s="1"/>
  <c r="AF438" i="39"/>
  <c r="AG438" i="39" s="1"/>
  <c r="T203" i="39"/>
  <c r="U203" i="39" s="1"/>
  <c r="AF203" i="39"/>
  <c r="AL418" i="39"/>
  <c r="T418" i="39"/>
  <c r="U418" i="39" s="1"/>
  <c r="AF32" i="39"/>
  <c r="AG32" i="39" s="1"/>
  <c r="AL27" i="39"/>
  <c r="AM27" i="39" s="1"/>
  <c r="AL39" i="39"/>
  <c r="AM39" i="39" s="1"/>
  <c r="AM94" i="39"/>
  <c r="AN94" i="39" s="1"/>
  <c r="AO94" i="39" s="1"/>
  <c r="AP94" i="39" s="1"/>
  <c r="O132" i="39"/>
  <c r="P132" i="39" s="1"/>
  <c r="Q132" i="39" s="1"/>
  <c r="R132" i="39" s="1"/>
  <c r="O137" i="39"/>
  <c r="P137" i="39" s="1"/>
  <c r="O154" i="39"/>
  <c r="P154" i="39" s="1"/>
  <c r="Q154" i="39" s="1"/>
  <c r="R154" i="39" s="1"/>
  <c r="O228" i="39"/>
  <c r="P228" i="39" s="1"/>
  <c r="Q228" i="39" s="1"/>
  <c r="R228" i="39" s="1"/>
  <c r="O241" i="39"/>
  <c r="P241" i="39" s="1"/>
  <c r="Q241" i="39" s="1"/>
  <c r="R241" i="39" s="1"/>
  <c r="AG297" i="39"/>
  <c r="AH297" i="39" s="1"/>
  <c r="AI297" i="39" s="1"/>
  <c r="AJ297" i="39" s="1"/>
  <c r="AG304" i="39"/>
  <c r="AS329" i="39"/>
  <c r="AT329" i="39" s="1"/>
  <c r="AU329" i="39" s="1"/>
  <c r="O360" i="39"/>
  <c r="P360" i="39" s="1"/>
  <c r="Q360" i="39" s="1"/>
  <c r="R360" i="39" s="1"/>
  <c r="AF471" i="39"/>
  <c r="O525" i="39"/>
  <c r="P525" i="39" s="1"/>
  <c r="Q525" i="39" s="1"/>
  <c r="R525" i="39" s="1"/>
  <c r="AF15" i="39"/>
  <c r="AG15" i="39" s="1"/>
  <c r="T19" i="39"/>
  <c r="U19" i="39" s="1"/>
  <c r="O24" i="39"/>
  <c r="P24" i="39" s="1"/>
  <c r="Q24" i="39" s="1"/>
  <c r="R24" i="39" s="1"/>
  <c r="AL24" i="39"/>
  <c r="AM24" i="39" s="1"/>
  <c r="AL26" i="39"/>
  <c r="AM26" i="39" s="1"/>
  <c r="T28" i="39"/>
  <c r="U28" i="39" s="1"/>
  <c r="T34" i="39"/>
  <c r="Z37" i="39"/>
  <c r="AA37" i="39" s="1"/>
  <c r="T40" i="39"/>
  <c r="U40" i="39" s="1"/>
  <c r="AL42" i="39"/>
  <c r="AM42" i="39" s="1"/>
  <c r="T43" i="39"/>
  <c r="U43" i="39" s="1"/>
  <c r="AL50" i="39"/>
  <c r="AM50" i="39" s="1"/>
  <c r="O54" i="39"/>
  <c r="P54" i="39" s="1"/>
  <c r="Q54" i="39" s="1"/>
  <c r="R54" i="39" s="1"/>
  <c r="Z55" i="39"/>
  <c r="AA55" i="39" s="1"/>
  <c r="AF58" i="39"/>
  <c r="AA80" i="39"/>
  <c r="AB80" i="39" s="1"/>
  <c r="AC80" i="39" s="1"/>
  <c r="AD80" i="39" s="1"/>
  <c r="AR87" i="39"/>
  <c r="AK88" i="39"/>
  <c r="AS117" i="39"/>
  <c r="AT117" i="39" s="1"/>
  <c r="AU117" i="39" s="1"/>
  <c r="T133" i="39"/>
  <c r="U133" i="39" s="1"/>
  <c r="T150" i="39"/>
  <c r="U150" i="39" s="1"/>
  <c r="AM190" i="39"/>
  <c r="O199" i="39"/>
  <c r="P199" i="39" s="1"/>
  <c r="O223" i="39"/>
  <c r="P223" i="39" s="1"/>
  <c r="Q223" i="39" s="1"/>
  <c r="R223" i="39" s="1"/>
  <c r="AM226" i="39"/>
  <c r="T271" i="39"/>
  <c r="O277" i="39"/>
  <c r="P277" i="39" s="1"/>
  <c r="AM305" i="39"/>
  <c r="AN305" i="39" s="1"/>
  <c r="AO305" i="39" s="1"/>
  <c r="AP305" i="39" s="1"/>
  <c r="AM306" i="39"/>
  <c r="AN306" i="39" s="1"/>
  <c r="AO306" i="39" s="1"/>
  <c r="AP306" i="39" s="1"/>
  <c r="O367" i="39"/>
  <c r="P367" i="39" s="1"/>
  <c r="Q367" i="39" s="1"/>
  <c r="R367" i="39" s="1"/>
  <c r="O372" i="39"/>
  <c r="P372" i="39" s="1"/>
  <c r="T373" i="39"/>
  <c r="U373" i="39" s="1"/>
  <c r="AR390" i="39"/>
  <c r="AM399" i="39"/>
  <c r="AN399" i="39" s="1"/>
  <c r="AM460" i="39"/>
  <c r="AE470" i="39"/>
  <c r="AG470" i="39" s="1"/>
  <c r="AH470" i="39" s="1"/>
  <c r="AR471" i="39"/>
  <c r="AK472" i="39"/>
  <c r="AM472" i="39" s="1"/>
  <c r="AM479" i="39"/>
  <c r="AN479" i="39" s="1"/>
  <c r="AO479" i="39" s="1"/>
  <c r="AP479" i="39" s="1"/>
  <c r="AS482" i="39"/>
  <c r="AS503" i="39"/>
  <c r="AT503" i="39" s="1"/>
  <c r="AU503" i="39" s="1"/>
  <c r="T523" i="39"/>
  <c r="AF16" i="39"/>
  <c r="AL18" i="39"/>
  <c r="AM18" i="39" s="1"/>
  <c r="AR32" i="39"/>
  <c r="AS32" i="39" s="1"/>
  <c r="AM66" i="39"/>
  <c r="AE86" i="39"/>
  <c r="AL17" i="39"/>
  <c r="AM17" i="39" s="1"/>
  <c r="T18" i="39"/>
  <c r="U18" i="39" s="1"/>
  <c r="AR18" i="39"/>
  <c r="AS18" i="39" s="1"/>
  <c r="T27" i="39"/>
  <c r="U27" i="39" s="1"/>
  <c r="AR27" i="39"/>
  <c r="AS27" i="39" s="1"/>
  <c r="T32" i="39"/>
  <c r="U32" i="39" s="1"/>
  <c r="T39" i="39"/>
  <c r="U39" i="39" s="1"/>
  <c r="AR39" i="39"/>
  <c r="AL48" i="39"/>
  <c r="AM48" i="39" s="1"/>
  <c r="O58" i="39"/>
  <c r="P58" i="39" s="1"/>
  <c r="Q58" i="39" s="1"/>
  <c r="R58" i="39" s="1"/>
  <c r="AM58" i="39"/>
  <c r="AR66" i="39"/>
  <c r="T70" i="39"/>
  <c r="U70" i="39" s="1"/>
  <c r="AE83" i="39"/>
  <c r="AG83" i="39" s="1"/>
  <c r="AH83" i="39" s="1"/>
  <c r="AK86" i="39"/>
  <c r="O124" i="39"/>
  <c r="T204" i="39"/>
  <c r="U204" i="39" s="1"/>
  <c r="Z289" i="39"/>
  <c r="AA289" i="39" s="1"/>
  <c r="AB289" i="39" s="1"/>
  <c r="AS304" i="39"/>
  <c r="AS355" i="39"/>
  <c r="AT355" i="39" s="1"/>
  <c r="AU355" i="39" s="1"/>
  <c r="AE388" i="39"/>
  <c r="AG388" i="39" s="1"/>
  <c r="AH388" i="39" s="1"/>
  <c r="AS405" i="39"/>
  <c r="AA416" i="39"/>
  <c r="AE454" i="39"/>
  <c r="Z51" i="39"/>
  <c r="Z440" i="39"/>
  <c r="AA440" i="39" s="1"/>
  <c r="AK454" i="39"/>
  <c r="J569" i="39"/>
  <c r="Z16" i="39"/>
  <c r="AA16" i="39" s="1"/>
  <c r="AM72" i="39"/>
  <c r="AL84" i="39"/>
  <c r="AM84" i="39" s="1"/>
  <c r="AN84" i="39" s="1"/>
  <c r="AO84" i="39" s="1"/>
  <c r="AP84" i="39" s="1"/>
  <c r="AQ86" i="39"/>
  <c r="AM95" i="39"/>
  <c r="AN95" i="39" s="1"/>
  <c r="AO95" i="39" s="1"/>
  <c r="AP95" i="39" s="1"/>
  <c r="O207" i="39"/>
  <c r="P207" i="39" s="1"/>
  <c r="Q207" i="39" s="1"/>
  <c r="R207" i="39" s="1"/>
  <c r="AS311" i="39"/>
  <c r="O5" i="39"/>
  <c r="P5" i="39" s="1"/>
  <c r="Z18" i="39"/>
  <c r="AA18" i="39" s="1"/>
  <c r="AL25" i="39"/>
  <c r="AM25" i="39" s="1"/>
  <c r="Z27" i="39"/>
  <c r="AF34" i="39"/>
  <c r="AG34" i="39" s="1"/>
  <c r="Z39" i="39"/>
  <c r="AA39" i="39" s="1"/>
  <c r="O44" i="39"/>
  <c r="P44" i="39" s="1"/>
  <c r="Q44" i="39" s="1"/>
  <c r="R44" i="39" s="1"/>
  <c r="AR44" i="39"/>
  <c r="AS44" i="39" s="1"/>
  <c r="AL55" i="39"/>
  <c r="AM55" i="39" s="1"/>
  <c r="AM106" i="39"/>
  <c r="AN106" i="39" s="1"/>
  <c r="AO106" i="39" s="1"/>
  <c r="AP106" i="39" s="1"/>
  <c r="O128" i="39"/>
  <c r="P128" i="39" s="1"/>
  <c r="Q128" i="39" s="1"/>
  <c r="R128" i="39" s="1"/>
  <c r="O135" i="39"/>
  <c r="P135" i="39" s="1"/>
  <c r="O141" i="39"/>
  <c r="P141" i="39" s="1"/>
  <c r="Q141" i="39" s="1"/>
  <c r="R141" i="39" s="1"/>
  <c r="O146" i="39"/>
  <c r="P146" i="39" s="1"/>
  <c r="O152" i="39"/>
  <c r="P152" i="39" s="1"/>
  <c r="Q152" i="39" s="1"/>
  <c r="R152" i="39" s="1"/>
  <c r="AM198" i="39"/>
  <c r="O213" i="39"/>
  <c r="P213" i="39" s="1"/>
  <c r="Q213" i="39" s="1"/>
  <c r="R213" i="39" s="1"/>
  <c r="O216" i="39"/>
  <c r="P216" i="39" s="1"/>
  <c r="Q216" i="39" s="1"/>
  <c r="R216" i="39" s="1"/>
  <c r="O226" i="39"/>
  <c r="P226" i="39" s="1"/>
  <c r="Q226" i="39" s="1"/>
  <c r="R226" i="39" s="1"/>
  <c r="O239" i="39"/>
  <c r="P239" i="39" s="1"/>
  <c r="Q239" i="39" s="1"/>
  <c r="R239" i="39" s="1"/>
  <c r="O256" i="39"/>
  <c r="P256" i="39" s="1"/>
  <c r="Q256" i="39" s="1"/>
  <c r="R256" i="39" s="1"/>
  <c r="AF271" i="39"/>
  <c r="AM284" i="39"/>
  <c r="AM311" i="39"/>
  <c r="AN311" i="39" s="1"/>
  <c r="AT311" i="39" s="1"/>
  <c r="AU311" i="39" s="1"/>
  <c r="O375" i="39"/>
  <c r="P375" i="39" s="1"/>
  <c r="Q375" i="39" s="1"/>
  <c r="R375" i="39" s="1"/>
  <c r="AQ388" i="39"/>
  <c r="AS397" i="39"/>
  <c r="AM402" i="39"/>
  <c r="AN402" i="39" s="1"/>
  <c r="O425" i="39"/>
  <c r="P425" i="39" s="1"/>
  <c r="Q425" i="39" s="1"/>
  <c r="R425" i="39" s="1"/>
  <c r="O427" i="39"/>
  <c r="P427" i="39" s="1"/>
  <c r="O434" i="39"/>
  <c r="P434" i="39" s="1"/>
  <c r="Q434" i="39" s="1"/>
  <c r="R434" i="39" s="1"/>
  <c r="AM475" i="39"/>
  <c r="AN475" i="39" s="1"/>
  <c r="AL49" i="39"/>
  <c r="AM49" i="39" s="1"/>
  <c r="AL51" i="39"/>
  <c r="AM51" i="39" s="1"/>
  <c r="AG68" i="39"/>
  <c r="O72" i="39"/>
  <c r="P72" i="39" s="1"/>
  <c r="AL73" i="39"/>
  <c r="AM73" i="39" s="1"/>
  <c r="AG90" i="39"/>
  <c r="AH90" i="39" s="1"/>
  <c r="AI90" i="39" s="1"/>
  <c r="AJ90" i="39" s="1"/>
  <c r="AM127" i="39"/>
  <c r="AA158" i="39"/>
  <c r="AB158" i="39" s="1"/>
  <c r="AC158" i="39" s="1"/>
  <c r="AD158" i="39" s="1"/>
  <c r="T232" i="39"/>
  <c r="U232" i="39" s="1"/>
  <c r="AA258" i="39"/>
  <c r="O263" i="39"/>
  <c r="P263" i="39" s="1"/>
  <c r="Q263" i="39" s="1"/>
  <c r="R263" i="39" s="1"/>
  <c r="AL271" i="39"/>
  <c r="AS274" i="39"/>
  <c r="AM326" i="39"/>
  <c r="AN326" i="39" s="1"/>
  <c r="AS334" i="39"/>
  <c r="AT334" i="39" s="1"/>
  <c r="AU334" i="39" s="1"/>
  <c r="AS338" i="39"/>
  <c r="AT338" i="39" s="1"/>
  <c r="AU338" i="39" s="1"/>
  <c r="AM367" i="39"/>
  <c r="AE383" i="39"/>
  <c r="AM403" i="39"/>
  <c r="AN403" i="39" s="1"/>
  <c r="AO403" i="39" s="1"/>
  <c r="AP403" i="39" s="1"/>
  <c r="AR417" i="39"/>
  <c r="Z436" i="39"/>
  <c r="AA436" i="39" s="1"/>
  <c r="U451" i="39"/>
  <c r="V451" i="39" s="1"/>
  <c r="AM483" i="39"/>
  <c r="AN483" i="39" s="1"/>
  <c r="AO483" i="39" s="1"/>
  <c r="AP483" i="39" s="1"/>
  <c r="AS487" i="39"/>
  <c r="AT487" i="39" s="1"/>
  <c r="AU487" i="39" s="1"/>
  <c r="AS516" i="39"/>
  <c r="AT516" i="39" s="1"/>
  <c r="O528" i="39"/>
  <c r="P528" i="39" s="1"/>
  <c r="O28" i="39"/>
  <c r="P28" i="39" s="1"/>
  <c r="Q28" i="39" s="1"/>
  <c r="R28" i="39" s="1"/>
  <c r="Z30" i="39"/>
  <c r="AA30" i="39" s="1"/>
  <c r="O16" i="39"/>
  <c r="P16" i="39" s="1"/>
  <c r="Q16" i="39" s="1"/>
  <c r="R16" i="39" s="1"/>
  <c r="AL16" i="39"/>
  <c r="AM16" i="39" s="1"/>
  <c r="AR19" i="39"/>
  <c r="AS19" i="39" s="1"/>
  <c r="AF24" i="39"/>
  <c r="AG24" i="39" s="1"/>
  <c r="AF26" i="39"/>
  <c r="AG26" i="39" s="1"/>
  <c r="AR28" i="39"/>
  <c r="AS28" i="39" s="1"/>
  <c r="O32" i="39"/>
  <c r="P32" i="39" s="1"/>
  <c r="Q32" i="39" s="1"/>
  <c r="R32" i="39" s="1"/>
  <c r="AR34" i="39"/>
  <c r="AS34" i="39" s="1"/>
  <c r="T37" i="39"/>
  <c r="U37" i="39" s="1"/>
  <c r="O46" i="39"/>
  <c r="P46" i="39" s="1"/>
  <c r="Q46" i="39" s="1"/>
  <c r="R46" i="39" s="1"/>
  <c r="AF54" i="39"/>
  <c r="AG54" i="39" s="1"/>
  <c r="AF56" i="39"/>
  <c r="O70" i="39"/>
  <c r="P70" i="39" s="1"/>
  <c r="Q70" i="39" s="1"/>
  <c r="R70" i="39" s="1"/>
  <c r="AR70" i="39"/>
  <c r="AS70" i="39" s="1"/>
  <c r="AM76" i="39"/>
  <c r="AS109" i="39"/>
  <c r="AT109" i="39" s="1"/>
  <c r="AU109" i="39" s="1"/>
  <c r="AA131" i="39"/>
  <c r="O136" i="39"/>
  <c r="P136" i="39" s="1"/>
  <c r="Q136" i="39" s="1"/>
  <c r="R136" i="39" s="1"/>
  <c r="O147" i="39"/>
  <c r="P147" i="39" s="1"/>
  <c r="Q147" i="39" s="1"/>
  <c r="R147" i="39" s="1"/>
  <c r="AA152" i="39"/>
  <c r="AA159" i="39"/>
  <c r="AB159" i="39" s="1"/>
  <c r="AC159" i="39" s="1"/>
  <c r="AD159" i="39" s="1"/>
  <c r="AS170" i="39"/>
  <c r="AT170" i="39" s="1"/>
  <c r="AS171" i="39"/>
  <c r="AT171" i="39" s="1"/>
  <c r="AU171" i="39" s="1"/>
  <c r="O188" i="39"/>
  <c r="P188" i="39" s="1"/>
  <c r="Q188" i="39" s="1"/>
  <c r="R188" i="39" s="1"/>
  <c r="O195" i="39"/>
  <c r="P195" i="39" s="1"/>
  <c r="Q195" i="39" s="1"/>
  <c r="R195" i="39" s="1"/>
  <c r="O203" i="39"/>
  <c r="P203" i="39" s="1"/>
  <c r="Q203" i="39" s="1"/>
  <c r="R203" i="39" s="1"/>
  <c r="O235" i="39"/>
  <c r="P235" i="39" s="1"/>
  <c r="Q235" i="39" s="1"/>
  <c r="R235" i="39" s="1"/>
  <c r="O243" i="39"/>
  <c r="P243" i="39" s="1"/>
  <c r="Q243" i="39" s="1"/>
  <c r="R243" i="39" s="1"/>
  <c r="O264" i="39"/>
  <c r="P264" i="39" s="1"/>
  <c r="Q264" i="39" s="1"/>
  <c r="R264" i="39" s="1"/>
  <c r="AR294" i="39"/>
  <c r="AK296" i="39"/>
  <c r="AK383" i="39"/>
  <c r="U385" i="39"/>
  <c r="V385" i="39" s="1"/>
  <c r="W385" i="39" s="1"/>
  <c r="X385" i="39" s="1"/>
  <c r="O437" i="39"/>
  <c r="P437" i="39" s="1"/>
  <c r="Q437" i="39" s="1"/>
  <c r="R437" i="39" s="1"/>
  <c r="AR447" i="39"/>
  <c r="AQ462" i="39"/>
  <c r="AS462" i="39" s="1"/>
  <c r="Y472" i="39"/>
  <c r="AS474" i="39"/>
  <c r="AR60" i="39"/>
  <c r="AS60" i="39" s="1"/>
  <c r="T60" i="39"/>
  <c r="U60" i="39" s="1"/>
  <c r="AR67" i="39"/>
  <c r="AS67" i="39" s="1"/>
  <c r="AL67" i="39"/>
  <c r="AM67" i="39" s="1"/>
  <c r="Z67" i="39"/>
  <c r="AA67" i="39" s="1"/>
  <c r="AL77" i="39"/>
  <c r="AM77" i="39" s="1"/>
  <c r="AF77" i="39"/>
  <c r="AG77" i="39" s="1"/>
  <c r="AH77" i="39" s="1"/>
  <c r="AR77" i="39"/>
  <c r="AS77" i="39" s="1"/>
  <c r="AL295" i="39"/>
  <c r="AM295" i="39" s="1"/>
  <c r="AF295" i="39"/>
  <c r="AG295" i="39" s="1"/>
  <c r="AR295" i="39"/>
  <c r="AS295" i="39" s="1"/>
  <c r="AR47" i="39"/>
  <c r="AS47" i="39" s="1"/>
  <c r="Z47" i="39"/>
  <c r="AA47" i="39" s="1"/>
  <c r="AL81" i="39"/>
  <c r="AM81" i="39" s="1"/>
  <c r="AF81" i="39"/>
  <c r="AG81" i="39" s="1"/>
  <c r="AH81" i="39" s="1"/>
  <c r="AS11" i="39"/>
  <c r="AT11" i="39" s="1"/>
  <c r="AU11" i="39" s="1"/>
  <c r="M121" i="39"/>
  <c r="AL15" i="39"/>
  <c r="AM15" i="39" s="1"/>
  <c r="T17" i="39"/>
  <c r="U17" i="39" s="1"/>
  <c r="AR17" i="39"/>
  <c r="Z19" i="39"/>
  <c r="AA19" i="39" s="1"/>
  <c r="AF21" i="39"/>
  <c r="AG21" i="39" s="1"/>
  <c r="O22" i="39"/>
  <c r="P22" i="39" s="1"/>
  <c r="Q22" i="39" s="1"/>
  <c r="R22" i="39" s="1"/>
  <c r="AL23" i="39"/>
  <c r="AM23" i="39" s="1"/>
  <c r="T25" i="39"/>
  <c r="U25" i="39" s="1"/>
  <c r="AR25" i="39"/>
  <c r="AS25" i="39" s="1"/>
  <c r="Z28" i="39"/>
  <c r="AA28" i="39" s="1"/>
  <c r="AF30" i="39"/>
  <c r="AG30" i="39" s="1"/>
  <c r="AR33" i="39"/>
  <c r="AS33" i="39" s="1"/>
  <c r="AA34" i="39"/>
  <c r="O36" i="39"/>
  <c r="P36" i="39" s="1"/>
  <c r="Q36" i="39" s="1"/>
  <c r="R36" i="39" s="1"/>
  <c r="AL40" i="39"/>
  <c r="AM40" i="39" s="1"/>
  <c r="T52" i="39"/>
  <c r="U52" i="39" s="1"/>
  <c r="V52" i="39" s="1"/>
  <c r="W52" i="39" s="1"/>
  <c r="X52" i="39" s="1"/>
  <c r="AF60" i="39"/>
  <c r="AG60" i="39" s="1"/>
  <c r="AR65" i="39"/>
  <c r="AS65" i="39" s="1"/>
  <c r="Z65" i="39"/>
  <c r="AA65" i="39" s="1"/>
  <c r="AL65" i="39"/>
  <c r="AM65" i="39" s="1"/>
  <c r="U66" i="39"/>
  <c r="AR88" i="39"/>
  <c r="AL88" i="39"/>
  <c r="AS112" i="39"/>
  <c r="AT112" i="39" s="1"/>
  <c r="AU112" i="39" s="1"/>
  <c r="AM210" i="39"/>
  <c r="O229" i="39"/>
  <c r="P229" i="39" s="1"/>
  <c r="Q229" i="39" s="1"/>
  <c r="R229" i="39" s="1"/>
  <c r="AL252" i="39"/>
  <c r="AM252" i="39" s="1"/>
  <c r="AR252" i="39"/>
  <c r="AS252" i="39" s="1"/>
  <c r="AF252" i="39"/>
  <c r="AG252" i="39" s="1"/>
  <c r="T252" i="39"/>
  <c r="U252" i="39" s="1"/>
  <c r="AL256" i="39"/>
  <c r="AM256" i="39" s="1"/>
  <c r="AR256" i="39"/>
  <c r="AS256" i="39" s="1"/>
  <c r="T256" i="39"/>
  <c r="AF256" i="39"/>
  <c r="Z530" i="39"/>
  <c r="AA530" i="39" s="1"/>
  <c r="AL530" i="39"/>
  <c r="AM530" i="39" s="1"/>
  <c r="AF22" i="39"/>
  <c r="AG22" i="39" s="1"/>
  <c r="AR62" i="39"/>
  <c r="AS62" i="39" s="1"/>
  <c r="T62" i="39"/>
  <c r="U62" i="39" s="1"/>
  <c r="AF62" i="39"/>
  <c r="AG62" i="39" s="1"/>
  <c r="Z62" i="39"/>
  <c r="AA62" i="39" s="1"/>
  <c r="AL14" i="39"/>
  <c r="AM14" i="39" s="1"/>
  <c r="T16" i="39"/>
  <c r="U16" i="39" s="1"/>
  <c r="AL22" i="39"/>
  <c r="AM22" i="39" s="1"/>
  <c r="T24" i="39"/>
  <c r="U24" i="39" s="1"/>
  <c r="AA26" i="39"/>
  <c r="O30" i="39"/>
  <c r="P30" i="39" s="1"/>
  <c r="Q30" i="39" s="1"/>
  <c r="R30" i="39" s="1"/>
  <c r="AL31" i="39"/>
  <c r="AM31" i="39" s="1"/>
  <c r="AL32" i="39"/>
  <c r="AM32" i="39" s="1"/>
  <c r="U33" i="39"/>
  <c r="AL38" i="39"/>
  <c r="AM38" i="39" s="1"/>
  <c r="Z38" i="39"/>
  <c r="AA38" i="39" s="1"/>
  <c r="AF38" i="39"/>
  <c r="AG38" i="39" s="1"/>
  <c r="Z44" i="39"/>
  <c r="AA44" i="39" s="1"/>
  <c r="AL44" i="39"/>
  <c r="AM44" i="39" s="1"/>
  <c r="AF44" i="39"/>
  <c r="AG44" i="39" s="1"/>
  <c r="AF50" i="39"/>
  <c r="AG50" i="39" s="1"/>
  <c r="AR53" i="39"/>
  <c r="AL53" i="39"/>
  <c r="AM53" i="39" s="1"/>
  <c r="O60" i="39"/>
  <c r="P60" i="39" s="1"/>
  <c r="V60" i="39" s="1"/>
  <c r="W60" i="39" s="1"/>
  <c r="X60" i="39" s="1"/>
  <c r="AL68" i="39"/>
  <c r="AM68" i="39" s="1"/>
  <c r="T68" i="39"/>
  <c r="U68" i="39" s="1"/>
  <c r="AR81" i="39"/>
  <c r="AS81" i="39" s="1"/>
  <c r="AL82" i="39"/>
  <c r="AR86" i="39"/>
  <c r="AL86" i="39"/>
  <c r="J563" i="39"/>
  <c r="AU116" i="39"/>
  <c r="AL240" i="39"/>
  <c r="T240" i="39"/>
  <c r="U240" i="39" s="1"/>
  <c r="AR240" i="39"/>
  <c r="AS240" i="39" s="1"/>
  <c r="AF36" i="39"/>
  <c r="AG36" i="39" s="1"/>
  <c r="AR36" i="39"/>
  <c r="AS36" i="39" s="1"/>
  <c r="T36" i="39"/>
  <c r="U36" i="39" s="1"/>
  <c r="O231" i="39"/>
  <c r="P231" i="39" s="1"/>
  <c r="Q231" i="39" s="1"/>
  <c r="R231" i="39" s="1"/>
  <c r="AF14" i="39"/>
  <c r="AG14" i="39" s="1"/>
  <c r="AL36" i="39"/>
  <c r="AM36" i="39" s="1"/>
  <c r="AL62" i="39"/>
  <c r="AM62" i="39" s="1"/>
  <c r="AS92" i="39"/>
  <c r="Y12" i="39"/>
  <c r="T15" i="39"/>
  <c r="U15" i="39" s="1"/>
  <c r="AR15" i="39"/>
  <c r="AS15" i="39" s="1"/>
  <c r="Z17" i="39"/>
  <c r="AA17" i="39" s="1"/>
  <c r="O20" i="39"/>
  <c r="P20" i="39" s="1"/>
  <c r="AL21" i="39"/>
  <c r="T23" i="39"/>
  <c r="U23" i="39" s="1"/>
  <c r="AR23" i="39"/>
  <c r="AS23" i="39" s="1"/>
  <c r="Z25" i="39"/>
  <c r="AL30" i="39"/>
  <c r="AM30" i="39" s="1"/>
  <c r="AR40" i="39"/>
  <c r="AS40" i="39" s="1"/>
  <c r="AS48" i="39"/>
  <c r="Z52" i="39"/>
  <c r="AA52" i="39" s="1"/>
  <c r="AA56" i="39"/>
  <c r="U58" i="39"/>
  <c r="AS58" i="39"/>
  <c r="AL60" i="39"/>
  <c r="AM60" i="39" s="1"/>
  <c r="AL78" i="39"/>
  <c r="AM78" i="39" s="1"/>
  <c r="AR78" i="39"/>
  <c r="AS78" i="39" s="1"/>
  <c r="AF78" i="39"/>
  <c r="AG78" i="39" s="1"/>
  <c r="AC81" i="39"/>
  <c r="AD81" i="39" s="1"/>
  <c r="AF129" i="39"/>
  <c r="AG162" i="39"/>
  <c r="AH162" i="39" s="1"/>
  <c r="AI162" i="39" s="1"/>
  <c r="AJ162" i="39" s="1"/>
  <c r="AG163" i="39"/>
  <c r="AH163" i="39" s="1"/>
  <c r="AI163" i="39" s="1"/>
  <c r="AJ163" i="39" s="1"/>
  <c r="AR450" i="39"/>
  <c r="AL450" i="39"/>
  <c r="AM450" i="39" s="1"/>
  <c r="Z450" i="39"/>
  <c r="AA450" i="39" s="1"/>
  <c r="T14" i="39"/>
  <c r="U14" i="39" s="1"/>
  <c r="AR22" i="39"/>
  <c r="AS22" i="39" s="1"/>
  <c r="AR31" i="39"/>
  <c r="AS31" i="39" s="1"/>
  <c r="AS104" i="39"/>
  <c r="AS179" i="39"/>
  <c r="AT179" i="39" s="1"/>
  <c r="AU179" i="39" s="1"/>
  <c r="O249" i="39"/>
  <c r="P249" i="39" s="1"/>
  <c r="AR14" i="39"/>
  <c r="AS14" i="39" s="1"/>
  <c r="T22" i="39"/>
  <c r="U22" i="39" s="1"/>
  <c r="T31" i="39"/>
  <c r="U31" i="39" s="1"/>
  <c r="AS8" i="39"/>
  <c r="AT8" i="39" s="1"/>
  <c r="AU8" i="39" s="1"/>
  <c r="O18" i="39"/>
  <c r="P18" i="39" s="1"/>
  <c r="Q18" i="39" s="1"/>
  <c r="R18" i="39" s="1"/>
  <c r="T21" i="39"/>
  <c r="U21" i="39" s="1"/>
  <c r="AA22" i="39"/>
  <c r="O26" i="39"/>
  <c r="P26" i="39" s="1"/>
  <c r="Q26" i="39" s="1"/>
  <c r="R26" i="39" s="1"/>
  <c r="T30" i="39"/>
  <c r="U30" i="39" s="1"/>
  <c r="O34" i="39"/>
  <c r="P34" i="39" s="1"/>
  <c r="Q34" i="39" s="1"/>
  <c r="R34" i="39" s="1"/>
  <c r="Z36" i="39"/>
  <c r="AA36" i="39" s="1"/>
  <c r="AR41" i="39"/>
  <c r="AS41" i="39" s="1"/>
  <c r="T41" i="39"/>
  <c r="U41" i="39" s="1"/>
  <c r="AF41" i="39"/>
  <c r="AG41" i="39" s="1"/>
  <c r="Z41" i="39"/>
  <c r="AA41" i="39" s="1"/>
  <c r="AL41" i="39"/>
  <c r="AM41" i="39" s="1"/>
  <c r="AF46" i="39"/>
  <c r="AG46" i="39" s="1"/>
  <c r="AR46" i="39"/>
  <c r="AS46" i="39" s="1"/>
  <c r="T46" i="39"/>
  <c r="U46" i="39" s="1"/>
  <c r="AL46" i="39"/>
  <c r="AM46" i="39" s="1"/>
  <c r="AF52" i="39"/>
  <c r="AG52" i="39" s="1"/>
  <c r="AR59" i="39"/>
  <c r="AS59" i="39" s="1"/>
  <c r="AL59" i="39"/>
  <c r="AM59" i="39" s="1"/>
  <c r="AL244" i="39"/>
  <c r="AM244" i="39" s="1"/>
  <c r="AR244" i="39"/>
  <c r="AF244" i="39"/>
  <c r="AG244" i="39" s="1"/>
  <c r="T244" i="39"/>
  <c r="U244" i="39" s="1"/>
  <c r="AF31" i="39"/>
  <c r="AG31" i="39" s="1"/>
  <c r="Z33" i="39"/>
  <c r="AL33" i="39"/>
  <c r="AM33" i="39" s="1"/>
  <c r="AF33" i="39"/>
  <c r="AG33" i="39" s="1"/>
  <c r="Z40" i="39"/>
  <c r="AA40" i="39" s="1"/>
  <c r="AA60" i="39"/>
  <c r="AR61" i="39"/>
  <c r="AS61" i="39" s="1"/>
  <c r="AL61" i="39"/>
  <c r="AM61" i="39" s="1"/>
  <c r="Z61" i="39"/>
  <c r="AA61" i="39" s="1"/>
  <c r="AF64" i="39"/>
  <c r="AG64" i="39" s="1"/>
  <c r="AR64" i="39"/>
  <c r="AS64" i="39" s="1"/>
  <c r="T64" i="39"/>
  <c r="U64" i="39" s="1"/>
  <c r="AL64" i="39"/>
  <c r="AM64" i="39" s="1"/>
  <c r="AR71" i="39"/>
  <c r="AL71" i="39"/>
  <c r="AM71" i="39" s="1"/>
  <c r="AL74" i="39"/>
  <c r="AF74" i="39"/>
  <c r="AS105" i="39"/>
  <c r="AS297" i="39"/>
  <c r="AF381" i="39"/>
  <c r="AG381" i="39" s="1"/>
  <c r="T381" i="39"/>
  <c r="U381" i="39" s="1"/>
  <c r="Q149" i="39"/>
  <c r="R149" i="39" s="1"/>
  <c r="AF216" i="39"/>
  <c r="AG216" i="39" s="1"/>
  <c r="AA242" i="39"/>
  <c r="AL302" i="39"/>
  <c r="AR302" i="39"/>
  <c r="AL430" i="39"/>
  <c r="AM430" i="39" s="1"/>
  <c r="T430" i="39"/>
  <c r="U430" i="39" s="1"/>
  <c r="AR430" i="39"/>
  <c r="AS430" i="39" s="1"/>
  <c r="AF430" i="39"/>
  <c r="AG430" i="39" s="1"/>
  <c r="Z441" i="39"/>
  <c r="AA441" i="39" s="1"/>
  <c r="AL441" i="39"/>
  <c r="AM441" i="39" s="1"/>
  <c r="AM482" i="39"/>
  <c r="AN482" i="39" s="1"/>
  <c r="AR529" i="39"/>
  <c r="AS529" i="39" s="1"/>
  <c r="AF529" i="39"/>
  <c r="AG529" i="39" s="1"/>
  <c r="Z42" i="39"/>
  <c r="AA42" i="39" s="1"/>
  <c r="Z48" i="39"/>
  <c r="AA48" i="39" s="1"/>
  <c r="AR54" i="39"/>
  <c r="AS54" i="39" s="1"/>
  <c r="O56" i="39"/>
  <c r="P56" i="39" s="1"/>
  <c r="Q56" i="39" s="1"/>
  <c r="R56" i="39" s="1"/>
  <c r="AG56" i="39"/>
  <c r="AA58" i="39"/>
  <c r="AF66" i="39"/>
  <c r="AG66" i="39" s="1"/>
  <c r="T72" i="39"/>
  <c r="U72" i="39" s="1"/>
  <c r="AA76" i="39"/>
  <c r="AB76" i="39" s="1"/>
  <c r="AC76" i="39" s="1"/>
  <c r="AD76" i="39" s="1"/>
  <c r="AQ83" i="39"/>
  <c r="AM91" i="39"/>
  <c r="AN91" i="39" s="1"/>
  <c r="AO91" i="39" s="1"/>
  <c r="AP91" i="39" s="1"/>
  <c r="AS100" i="39"/>
  <c r="AS115" i="39"/>
  <c r="AT115" i="39" s="1"/>
  <c r="AU115" i="39" s="1"/>
  <c r="O126" i="39"/>
  <c r="P126" i="39" s="1"/>
  <c r="Q126" i="39" s="1"/>
  <c r="R126" i="39" s="1"/>
  <c r="O131" i="39"/>
  <c r="P131" i="39" s="1"/>
  <c r="Q131" i="39" s="1"/>
  <c r="R131" i="39" s="1"/>
  <c r="O139" i="39"/>
  <c r="P139" i="39" s="1"/>
  <c r="O142" i="39"/>
  <c r="P142" i="39" s="1"/>
  <c r="AS165" i="39"/>
  <c r="AS166" i="39"/>
  <c r="AS167" i="39"/>
  <c r="AS176" i="39"/>
  <c r="AT176" i="39" s="1"/>
  <c r="AU176" i="39" s="1"/>
  <c r="O192" i="39"/>
  <c r="P192" i="39" s="1"/>
  <c r="Q192" i="39" s="1"/>
  <c r="R192" i="39" s="1"/>
  <c r="AF195" i="39"/>
  <c r="AG195" i="39" s="1"/>
  <c r="AA214" i="39"/>
  <c r="O218" i="39"/>
  <c r="P218" i="39" s="1"/>
  <c r="O224" i="39"/>
  <c r="P224" i="39" s="1"/>
  <c r="Q224" i="39" s="1"/>
  <c r="R224" i="39" s="1"/>
  <c r="O236" i="39"/>
  <c r="P236" i="39" s="1"/>
  <c r="Q236" i="39" s="1"/>
  <c r="R236" i="39" s="1"/>
  <c r="O246" i="39"/>
  <c r="P246" i="39" s="1"/>
  <c r="Q246" i="39" s="1"/>
  <c r="R246" i="39" s="1"/>
  <c r="AF260" i="39"/>
  <c r="AG260" i="39" s="1"/>
  <c r="AK302" i="39"/>
  <c r="J302" i="39"/>
  <c r="AS307" i="39"/>
  <c r="AT307" i="39" s="1"/>
  <c r="AU307" i="39" s="1"/>
  <c r="AM316" i="39"/>
  <c r="AN316" i="39" s="1"/>
  <c r="AO316" i="39" s="1"/>
  <c r="AP316" i="39" s="1"/>
  <c r="AM320" i="39"/>
  <c r="AN320" i="39" s="1"/>
  <c r="AO320" i="39" s="1"/>
  <c r="AP320" i="39" s="1"/>
  <c r="AM324" i="39"/>
  <c r="AN324" i="39" s="1"/>
  <c r="AO324" i="39" s="1"/>
  <c r="AP324" i="39" s="1"/>
  <c r="AS342" i="39"/>
  <c r="AT342" i="39" s="1"/>
  <c r="AU342" i="39" s="1"/>
  <c r="AS404" i="39"/>
  <c r="O416" i="39"/>
  <c r="P416" i="39" s="1"/>
  <c r="Q416" i="39" s="1"/>
  <c r="R416" i="39" s="1"/>
  <c r="AL422" i="39"/>
  <c r="AM422" i="39" s="1"/>
  <c r="AF422" i="39"/>
  <c r="AG422" i="39" s="1"/>
  <c r="T422" i="39"/>
  <c r="U422" i="39" s="1"/>
  <c r="AL439" i="39"/>
  <c r="AM439" i="39" s="1"/>
  <c r="AF439" i="39"/>
  <c r="AG439" i="39" s="1"/>
  <c r="T439" i="39"/>
  <c r="U439" i="39" s="1"/>
  <c r="AM459" i="39"/>
  <c r="AM481" i="39"/>
  <c r="AN481" i="39" s="1"/>
  <c r="AO481" i="39" s="1"/>
  <c r="AP481" i="39" s="1"/>
  <c r="AL34" i="39"/>
  <c r="AM34" i="39" s="1"/>
  <c r="O42" i="39"/>
  <c r="P42" i="39" s="1"/>
  <c r="Q42" i="39" s="1"/>
  <c r="R42" i="39" s="1"/>
  <c r="AF42" i="39"/>
  <c r="AG42" i="39" s="1"/>
  <c r="O48" i="39"/>
  <c r="P48" i="39" s="1"/>
  <c r="Q48" i="39" s="1"/>
  <c r="R48" i="39" s="1"/>
  <c r="AF48" i="39"/>
  <c r="AG48" i="39" s="1"/>
  <c r="AA50" i="39"/>
  <c r="AM52" i="39"/>
  <c r="Z54" i="39"/>
  <c r="AA54" i="39" s="1"/>
  <c r="AL56" i="39"/>
  <c r="AM56" i="39" s="1"/>
  <c r="O66" i="39"/>
  <c r="P66" i="39" s="1"/>
  <c r="Q66" i="39" s="1"/>
  <c r="R66" i="39" s="1"/>
  <c r="AF70" i="39"/>
  <c r="AG70" i="39" s="1"/>
  <c r="AS75" i="39"/>
  <c r="AS101" i="39"/>
  <c r="AS119" i="39"/>
  <c r="AT119" i="39" s="1"/>
  <c r="AU119" i="39" s="1"/>
  <c r="AS120" i="39"/>
  <c r="P563" i="39" s="1"/>
  <c r="N185" i="39"/>
  <c r="AK185" i="39"/>
  <c r="I564" i="39" s="1"/>
  <c r="O150" i="39"/>
  <c r="P150" i="39" s="1"/>
  <c r="Q150" i="39" s="1"/>
  <c r="R150" i="39" s="1"/>
  <c r="T154" i="39"/>
  <c r="U154" i="39" s="1"/>
  <c r="AS175" i="39"/>
  <c r="AT175" i="39" s="1"/>
  <c r="AU175" i="39" s="1"/>
  <c r="AS184" i="39"/>
  <c r="AT184" i="39" s="1"/>
  <c r="AU184" i="39" s="1"/>
  <c r="O190" i="39"/>
  <c r="P190" i="39" s="1"/>
  <c r="Q190" i="39" s="1"/>
  <c r="R190" i="39" s="1"/>
  <c r="O209" i="39"/>
  <c r="P209" i="39" s="1"/>
  <c r="Q209" i="39" s="1"/>
  <c r="R209" i="39" s="1"/>
  <c r="O211" i="39"/>
  <c r="P211" i="39" s="1"/>
  <c r="Q211" i="39" s="1"/>
  <c r="R211" i="39" s="1"/>
  <c r="Q227" i="39"/>
  <c r="R227" i="39" s="1"/>
  <c r="AA250" i="39"/>
  <c r="O251" i="39"/>
  <c r="P251" i="39" s="1"/>
  <c r="Q251" i="39" s="1"/>
  <c r="R251" i="39" s="1"/>
  <c r="AF294" i="39"/>
  <c r="AG294" i="39" s="1"/>
  <c r="AQ300" i="39"/>
  <c r="AK300" i="39"/>
  <c r="AS315" i="39"/>
  <c r="J456" i="39"/>
  <c r="AK456" i="39"/>
  <c r="Y456" i="39"/>
  <c r="AA456" i="39" s="1"/>
  <c r="AB456" i="39" s="1"/>
  <c r="AC456" i="39" s="1"/>
  <c r="AD456" i="39" s="1"/>
  <c r="AM478" i="39"/>
  <c r="AN478" i="39" s="1"/>
  <c r="O40" i="39"/>
  <c r="P40" i="39" s="1"/>
  <c r="Q40" i="39" s="1"/>
  <c r="R40" i="39" s="1"/>
  <c r="AA46" i="39"/>
  <c r="AG58" i="39"/>
  <c r="O62" i="39"/>
  <c r="P62" i="39" s="1"/>
  <c r="AA64" i="39"/>
  <c r="AS66" i="39"/>
  <c r="O68" i="39"/>
  <c r="P68" i="39" s="1"/>
  <c r="Q68" i="39" s="1"/>
  <c r="R68" i="39" s="1"/>
  <c r="AM70" i="39"/>
  <c r="AF72" i="39"/>
  <c r="AG72" i="39" s="1"/>
  <c r="AM98" i="39"/>
  <c r="AN98" i="39" s="1"/>
  <c r="AT98" i="39" s="1"/>
  <c r="AU98" i="39" s="1"/>
  <c r="O127" i="39"/>
  <c r="P127" i="39" s="1"/>
  <c r="Q127" i="39" s="1"/>
  <c r="R127" i="39" s="1"/>
  <c r="J564" i="39"/>
  <c r="AS178" i="39"/>
  <c r="AT178" i="39" s="1"/>
  <c r="AU178" i="39" s="1"/>
  <c r="O193" i="39"/>
  <c r="P193" i="39" s="1"/>
  <c r="Q193" i="39" s="1"/>
  <c r="R193" i="39" s="1"/>
  <c r="O202" i="39"/>
  <c r="P202" i="39" s="1"/>
  <c r="O212" i="39"/>
  <c r="P212" i="39" s="1"/>
  <c r="Q212" i="39" s="1"/>
  <c r="R212" i="39" s="1"/>
  <c r="O214" i="39"/>
  <c r="P214" i="39" s="1"/>
  <c r="Q214" i="39" s="1"/>
  <c r="R214" i="39" s="1"/>
  <c r="O222" i="39"/>
  <c r="P222" i="39" s="1"/>
  <c r="Q222" i="39" s="1"/>
  <c r="R222" i="39" s="1"/>
  <c r="O234" i="39"/>
  <c r="P234" i="39" s="1"/>
  <c r="Q234" i="39" s="1"/>
  <c r="R234" i="39" s="1"/>
  <c r="AR260" i="39"/>
  <c r="AS260" i="39" s="1"/>
  <c r="Q277" i="39"/>
  <c r="R277" i="39" s="1"/>
  <c r="AR282" i="39"/>
  <c r="AS282" i="39" s="1"/>
  <c r="Z282" i="39"/>
  <c r="AL282" i="39"/>
  <c r="AM282" i="39" s="1"/>
  <c r="AL293" i="39"/>
  <c r="AM293" i="39" s="1"/>
  <c r="AF293" i="39"/>
  <c r="AG293" i="39" s="1"/>
  <c r="AR293" i="39"/>
  <c r="AS293" i="39" s="1"/>
  <c r="AR382" i="39"/>
  <c r="AS382" i="39" s="1"/>
  <c r="AL382" i="39"/>
  <c r="AM382" i="39" s="1"/>
  <c r="Z382" i="39"/>
  <c r="AA382" i="39" s="1"/>
  <c r="O429" i="39"/>
  <c r="P429" i="39" s="1"/>
  <c r="AM477" i="39"/>
  <c r="AN477" i="39" s="1"/>
  <c r="AO477" i="39" s="1"/>
  <c r="AP477" i="39" s="1"/>
  <c r="O125" i="39"/>
  <c r="P125" i="39" s="1"/>
  <c r="Q125" i="39" s="1"/>
  <c r="R125" i="39" s="1"/>
  <c r="AM165" i="39"/>
  <c r="AN165" i="39" s="1"/>
  <c r="AM166" i="39"/>
  <c r="AN166" i="39" s="1"/>
  <c r="AM167" i="39"/>
  <c r="AN167" i="39" s="1"/>
  <c r="AO167" i="39" s="1"/>
  <c r="AP167" i="39" s="1"/>
  <c r="AS168" i="39"/>
  <c r="AT168" i="39" s="1"/>
  <c r="AU168" i="39" s="1"/>
  <c r="O200" i="39"/>
  <c r="P200" i="39" s="1"/>
  <c r="Q200" i="39" s="1"/>
  <c r="R200" i="39" s="1"/>
  <c r="O225" i="39"/>
  <c r="P225" i="39" s="1"/>
  <c r="Q225" i="39" s="1"/>
  <c r="R225" i="39" s="1"/>
  <c r="AL248" i="39"/>
  <c r="AM248" i="39" s="1"/>
  <c r="T248" i="39"/>
  <c r="U248" i="39" s="1"/>
  <c r="AR248" i="39"/>
  <c r="AS248" i="39" s="1"/>
  <c r="U384" i="39"/>
  <c r="V384" i="39" s="1"/>
  <c r="W384" i="39" s="1"/>
  <c r="X384" i="39" s="1"/>
  <c r="AM99" i="39"/>
  <c r="AN99" i="39" s="1"/>
  <c r="AO99" i="39" s="1"/>
  <c r="AP99" i="39" s="1"/>
  <c r="AS113" i="39"/>
  <c r="AT113" i="39" s="1"/>
  <c r="AU113" i="39" s="1"/>
  <c r="O156" i="39"/>
  <c r="P156" i="39" s="1"/>
  <c r="Q156" i="39" s="1"/>
  <c r="R156" i="39" s="1"/>
  <c r="O210" i="39"/>
  <c r="P210" i="39" s="1"/>
  <c r="Q210" i="39" s="1"/>
  <c r="R210" i="39" s="1"/>
  <c r="O230" i="39"/>
  <c r="P230" i="39" s="1"/>
  <c r="Q230" i="39" s="1"/>
  <c r="R230" i="39" s="1"/>
  <c r="T260" i="39"/>
  <c r="U260" i="39" s="1"/>
  <c r="O280" i="39"/>
  <c r="P280" i="39" s="1"/>
  <c r="Q280" i="39" s="1"/>
  <c r="R280" i="39" s="1"/>
  <c r="J299" i="39"/>
  <c r="AM308" i="39"/>
  <c r="AN308" i="39" s="1"/>
  <c r="AO308" i="39" s="1"/>
  <c r="AP308" i="39" s="1"/>
  <c r="T421" i="39"/>
  <c r="U421" i="39" s="1"/>
  <c r="AF421" i="39"/>
  <c r="AG421" i="39" s="1"/>
  <c r="T446" i="39"/>
  <c r="U446" i="39" s="1"/>
  <c r="AR446" i="39"/>
  <c r="AS446" i="39" s="1"/>
  <c r="AF446" i="39"/>
  <c r="AG446" i="39" s="1"/>
  <c r="AS467" i="39"/>
  <c r="AG467" i="39"/>
  <c r="AH467" i="39" s="1"/>
  <c r="AI467" i="39" s="1"/>
  <c r="AJ467" i="39" s="1"/>
  <c r="AM474" i="39"/>
  <c r="AN474" i="39" s="1"/>
  <c r="AO474" i="39" s="1"/>
  <c r="AP474" i="39" s="1"/>
  <c r="AA32" i="39"/>
  <c r="AS39" i="39"/>
  <c r="T42" i="39"/>
  <c r="U42" i="39" s="1"/>
  <c r="T48" i="39"/>
  <c r="U48" i="39" s="1"/>
  <c r="Z49" i="39"/>
  <c r="AA49" i="39" s="1"/>
  <c r="O50" i="39"/>
  <c r="P50" i="39" s="1"/>
  <c r="Z63" i="39"/>
  <c r="AA63" i="39" s="1"/>
  <c r="O64" i="39"/>
  <c r="P64" i="39" s="1"/>
  <c r="AR72" i="39"/>
  <c r="AS72" i="39" s="1"/>
  <c r="Z73" i="39"/>
  <c r="AA73" i="39" s="1"/>
  <c r="AM101" i="39"/>
  <c r="AN101" i="39" s="1"/>
  <c r="AO101" i="39" s="1"/>
  <c r="AP101" i="39" s="1"/>
  <c r="O133" i="39"/>
  <c r="P133" i="39" s="1"/>
  <c r="Q133" i="39" s="1"/>
  <c r="R133" i="39" s="1"/>
  <c r="O153" i="39"/>
  <c r="P153" i="39" s="1"/>
  <c r="Q153" i="39" s="1"/>
  <c r="R153" i="39" s="1"/>
  <c r="AS172" i="39"/>
  <c r="AT172" i="39" s="1"/>
  <c r="AU172" i="39" s="1"/>
  <c r="O198" i="39"/>
  <c r="P198" i="39" s="1"/>
  <c r="Q198" i="39" s="1"/>
  <c r="R198" i="39" s="1"/>
  <c r="O208" i="39"/>
  <c r="P208" i="39" s="1"/>
  <c r="Q208" i="39" s="1"/>
  <c r="R208" i="39" s="1"/>
  <c r="O238" i="39"/>
  <c r="P238" i="39" s="1"/>
  <c r="Q238" i="39" s="1"/>
  <c r="R238" i="39" s="1"/>
  <c r="O257" i="39"/>
  <c r="P257" i="39" s="1"/>
  <c r="Q257" i="39" s="1"/>
  <c r="R257" i="39" s="1"/>
  <c r="O266" i="39"/>
  <c r="P266" i="39" s="1"/>
  <c r="Q266" i="39" s="1"/>
  <c r="R266" i="39" s="1"/>
  <c r="AA290" i="39"/>
  <c r="AB290" i="39" s="1"/>
  <c r="AC290" i="39" s="1"/>
  <c r="AD290" i="39" s="1"/>
  <c r="AM312" i="39"/>
  <c r="AN312" i="39" s="1"/>
  <c r="AO312" i="39" s="1"/>
  <c r="AP312" i="39" s="1"/>
  <c r="O380" i="39"/>
  <c r="P380" i="39" s="1"/>
  <c r="Q380" i="39" s="1"/>
  <c r="R380" i="39" s="1"/>
  <c r="AL426" i="39"/>
  <c r="T426" i="39"/>
  <c r="U426" i="39" s="1"/>
  <c r="AR426" i="39"/>
  <c r="AS426" i="39" s="1"/>
  <c r="AF426" i="39"/>
  <c r="AG426" i="39" s="1"/>
  <c r="O435" i="39"/>
  <c r="P435" i="39" s="1"/>
  <c r="Q435" i="39" s="1"/>
  <c r="R435" i="39" s="1"/>
  <c r="AM473" i="39"/>
  <c r="AN473" i="39" s="1"/>
  <c r="AO473" i="39" s="1"/>
  <c r="AP473" i="39" s="1"/>
  <c r="AS319" i="39"/>
  <c r="AS323" i="39"/>
  <c r="AS347" i="39"/>
  <c r="AT347" i="39" s="1"/>
  <c r="AU347" i="39" s="1"/>
  <c r="O371" i="39"/>
  <c r="P371" i="39" s="1"/>
  <c r="Q371" i="39" s="1"/>
  <c r="R371" i="39" s="1"/>
  <c r="AL394" i="39"/>
  <c r="AM394" i="39" s="1"/>
  <c r="O438" i="39"/>
  <c r="P438" i="39" s="1"/>
  <c r="Q438" i="39" s="1"/>
  <c r="R438" i="39" s="1"/>
  <c r="Q441" i="39"/>
  <c r="R441" i="39" s="1"/>
  <c r="AS496" i="39"/>
  <c r="AT496" i="39" s="1"/>
  <c r="AU496" i="39" s="1"/>
  <c r="AS512" i="39"/>
  <c r="AT512" i="39" s="1"/>
  <c r="AU512" i="39" s="1"/>
  <c r="AS533" i="39"/>
  <c r="AT533" i="39" s="1"/>
  <c r="AU533" i="39" s="1"/>
  <c r="O269" i="39"/>
  <c r="P269" i="39" s="1"/>
  <c r="AM288" i="39"/>
  <c r="AM291" i="39"/>
  <c r="AG296" i="39"/>
  <c r="AH296" i="39" s="1"/>
  <c r="AI296" i="39" s="1"/>
  <c r="AJ296" i="39" s="1"/>
  <c r="AS333" i="39"/>
  <c r="AT333" i="39" s="1"/>
  <c r="AS345" i="39"/>
  <c r="AT345" i="39" s="1"/>
  <c r="AU345" i="39" s="1"/>
  <c r="AS351" i="39"/>
  <c r="AT351" i="39" s="1"/>
  <c r="AU351" i="39" s="1"/>
  <c r="AS370" i="39"/>
  <c r="AM375" i="39"/>
  <c r="AQ383" i="39"/>
  <c r="AR389" i="39"/>
  <c r="AK390" i="39"/>
  <c r="AM390" i="39" s="1"/>
  <c r="AK391" i="39"/>
  <c r="T417" i="39"/>
  <c r="U417" i="39" s="1"/>
  <c r="V417" i="39" s="1"/>
  <c r="T425" i="39"/>
  <c r="U425" i="39" s="1"/>
  <c r="V425" i="39" s="1"/>
  <c r="AS436" i="39"/>
  <c r="AF436" i="39"/>
  <c r="AG436" i="39" s="1"/>
  <c r="AF447" i="39"/>
  <c r="Y448" i="39"/>
  <c r="AS453" i="39"/>
  <c r="J462" i="39"/>
  <c r="AR472" i="39"/>
  <c r="AS472" i="39" s="1"/>
  <c r="Z523" i="39"/>
  <c r="AA523" i="39" s="1"/>
  <c r="T525" i="39"/>
  <c r="U525" i="39" s="1"/>
  <c r="AS337" i="39"/>
  <c r="AT337" i="39" s="1"/>
  <c r="AU337" i="39" s="1"/>
  <c r="O364" i="39"/>
  <c r="P364" i="39" s="1"/>
  <c r="Q364" i="39" s="1"/>
  <c r="R364" i="39" s="1"/>
  <c r="O419" i="39"/>
  <c r="P419" i="39" s="1"/>
  <c r="Q419" i="39" s="1"/>
  <c r="R419" i="39" s="1"/>
  <c r="AF443" i="39"/>
  <c r="AG443" i="39" s="1"/>
  <c r="O527" i="39"/>
  <c r="P527" i="39" s="1"/>
  <c r="Q527" i="39" s="1"/>
  <c r="R527" i="39" s="1"/>
  <c r="O232" i="39"/>
  <c r="P232" i="39" s="1"/>
  <c r="Q232" i="39" s="1"/>
  <c r="R232" i="39" s="1"/>
  <c r="O240" i="39"/>
  <c r="P240" i="39" s="1"/>
  <c r="Q240" i="39" s="1"/>
  <c r="R240" i="39" s="1"/>
  <c r="O248" i="39"/>
  <c r="P248" i="39" s="1"/>
  <c r="Q248" i="39" s="1"/>
  <c r="R248" i="39" s="1"/>
  <c r="O252" i="39"/>
  <c r="P252" i="39" s="1"/>
  <c r="Q252" i="39" s="1"/>
  <c r="R252" i="39" s="1"/>
  <c r="O258" i="39"/>
  <c r="P258" i="39" s="1"/>
  <c r="Q258" i="39" s="1"/>
  <c r="R258" i="39" s="1"/>
  <c r="O260" i="39"/>
  <c r="P260" i="39" s="1"/>
  <c r="Q260" i="39" s="1"/>
  <c r="R260" i="39" s="1"/>
  <c r="T304" i="39"/>
  <c r="U304" i="39" s="1"/>
  <c r="AM309" i="39"/>
  <c r="AN309" i="39" s="1"/>
  <c r="AM313" i="39"/>
  <c r="AN313" i="39" s="1"/>
  <c r="AO314" i="39"/>
  <c r="AP314" i="39" s="1"/>
  <c r="AM317" i="39"/>
  <c r="AN317" i="39" s="1"/>
  <c r="AO317" i="39" s="1"/>
  <c r="AP317" i="39" s="1"/>
  <c r="AO318" i="39"/>
  <c r="AP318" i="39" s="1"/>
  <c r="AM321" i="39"/>
  <c r="AN321" i="39" s="1"/>
  <c r="AO321" i="39" s="1"/>
  <c r="AP321" i="39" s="1"/>
  <c r="J565" i="39"/>
  <c r="AS335" i="39"/>
  <c r="AT335" i="39" s="1"/>
  <c r="AU335" i="39" s="1"/>
  <c r="AS341" i="39"/>
  <c r="AT341" i="39" s="1"/>
  <c r="AU341" i="39" s="1"/>
  <c r="AS349" i="39"/>
  <c r="AT349" i="39" s="1"/>
  <c r="AU349" i="39" s="1"/>
  <c r="AS350" i="39"/>
  <c r="AT350" i="39" s="1"/>
  <c r="AU350" i="39" s="1"/>
  <c r="O365" i="39"/>
  <c r="P365" i="39" s="1"/>
  <c r="Q365" i="39" s="1"/>
  <c r="R365" i="39" s="1"/>
  <c r="AS366" i="39"/>
  <c r="Q372" i="39"/>
  <c r="R372" i="39" s="1"/>
  <c r="O377" i="39"/>
  <c r="P377" i="39" s="1"/>
  <c r="Q377" i="39" s="1"/>
  <c r="R377" i="39" s="1"/>
  <c r="AS401" i="39"/>
  <c r="AM406" i="39"/>
  <c r="AN406" i="39" s="1"/>
  <c r="AO406" i="39" s="1"/>
  <c r="AP406" i="39" s="1"/>
  <c r="J566" i="39"/>
  <c r="AF418" i="39"/>
  <c r="AG418" i="39" s="1"/>
  <c r="O436" i="39"/>
  <c r="P436" i="39" s="1"/>
  <c r="Q436" i="39" s="1"/>
  <c r="R436" i="39" s="1"/>
  <c r="AG461" i="39"/>
  <c r="AH461" i="39" s="1"/>
  <c r="AI461" i="39" s="1"/>
  <c r="AJ461" i="39" s="1"/>
  <c r="AE462" i="39"/>
  <c r="AG462" i="39" s="1"/>
  <c r="AH462" i="39" s="1"/>
  <c r="M472" i="39"/>
  <c r="O472" i="39" s="1"/>
  <c r="P472" i="39" s="1"/>
  <c r="AF526" i="39"/>
  <c r="AG526" i="39" s="1"/>
  <c r="O242" i="39"/>
  <c r="P242" i="39" s="1"/>
  <c r="Q242" i="39" s="1"/>
  <c r="R242" i="39" s="1"/>
  <c r="O244" i="39"/>
  <c r="P244" i="39" s="1"/>
  <c r="Q244" i="39" s="1"/>
  <c r="R244" i="39" s="1"/>
  <c r="O250" i="39"/>
  <c r="P250" i="39" s="1"/>
  <c r="Q250" i="39" s="1"/>
  <c r="R250" i="39" s="1"/>
  <c r="O254" i="39"/>
  <c r="P254" i="39" s="1"/>
  <c r="Q254" i="39" s="1"/>
  <c r="R254" i="39" s="1"/>
  <c r="O262" i="39"/>
  <c r="P262" i="39" s="1"/>
  <c r="Q262" i="39" s="1"/>
  <c r="R262" i="39" s="1"/>
  <c r="O270" i="39"/>
  <c r="P270" i="39" s="1"/>
  <c r="Q270" i="39" s="1"/>
  <c r="R270" i="39" s="1"/>
  <c r="AA291" i="39"/>
  <c r="AB291" i="39" s="1"/>
  <c r="AC291" i="39" s="1"/>
  <c r="AD291" i="39" s="1"/>
  <c r="AS309" i="39"/>
  <c r="AS313" i="39"/>
  <c r="AS317" i="39"/>
  <c r="AS321" i="39"/>
  <c r="AM327" i="39"/>
  <c r="AN327" i="39" s="1"/>
  <c r="AO327" i="39" s="1"/>
  <c r="AP327" i="39" s="1"/>
  <c r="AM328" i="39"/>
  <c r="AN328" i="39" s="1"/>
  <c r="AS330" i="39"/>
  <c r="AT330" i="39" s="1"/>
  <c r="AU330" i="39" s="1"/>
  <c r="AS339" i="39"/>
  <c r="AT339" i="39" s="1"/>
  <c r="AU339" i="39" s="1"/>
  <c r="AS353" i="39"/>
  <c r="AT353" i="39" s="1"/>
  <c r="AU353" i="39" s="1"/>
  <c r="AS378" i="39"/>
  <c r="S383" i="39"/>
  <c r="U383" i="39" s="1"/>
  <c r="V383" i="39" s="1"/>
  <c r="AA386" i="39"/>
  <c r="AB386" i="39" s="1"/>
  <c r="AM392" i="39"/>
  <c r="N517" i="39"/>
  <c r="O428" i="39"/>
  <c r="P428" i="39" s="1"/>
  <c r="Q428" i="39" s="1"/>
  <c r="R428" i="39" s="1"/>
  <c r="T434" i="39"/>
  <c r="U434" i="39" s="1"/>
  <c r="Z438" i="39"/>
  <c r="AA438" i="39" s="1"/>
  <c r="AG463" i="39"/>
  <c r="AH463" i="39" s="1"/>
  <c r="AI463" i="39" s="1"/>
  <c r="AJ463" i="39" s="1"/>
  <c r="AG468" i="39"/>
  <c r="AH468" i="39" s="1"/>
  <c r="AI468" i="39" s="1"/>
  <c r="AJ468" i="39" s="1"/>
  <c r="T471" i="39"/>
  <c r="AS473" i="39"/>
  <c r="AS477" i="39"/>
  <c r="AS481" i="39"/>
  <c r="AS488" i="39"/>
  <c r="AT488" i="39" s="1"/>
  <c r="AU488" i="39" s="1"/>
  <c r="AS504" i="39"/>
  <c r="AT504" i="39" s="1"/>
  <c r="AU504" i="39" s="1"/>
  <c r="AS531" i="39"/>
  <c r="AS532" i="39"/>
  <c r="AS306" i="39"/>
  <c r="AS328" i="39"/>
  <c r="O361" i="39"/>
  <c r="P361" i="39" s="1"/>
  <c r="Q361" i="39" s="1"/>
  <c r="R361" i="39" s="1"/>
  <c r="AA459" i="39"/>
  <c r="AB459" i="39" s="1"/>
  <c r="AC459" i="39" s="1"/>
  <c r="AD459" i="39" s="1"/>
  <c r="T472" i="39"/>
  <c r="AS475" i="39"/>
  <c r="AS479" i="39"/>
  <c r="AT479" i="39" s="1"/>
  <c r="AU479" i="39" s="1"/>
  <c r="AS483" i="39"/>
  <c r="O265" i="39"/>
  <c r="P265" i="39" s="1"/>
  <c r="Q265" i="39" s="1"/>
  <c r="R265" i="39" s="1"/>
  <c r="U285" i="39"/>
  <c r="V285" i="39" s="1"/>
  <c r="W285" i="39" s="1"/>
  <c r="X285" i="39" s="1"/>
  <c r="W289" i="39"/>
  <c r="X289" i="39" s="1"/>
  <c r="AS310" i="39"/>
  <c r="AS314" i="39"/>
  <c r="AT314" i="39" s="1"/>
  <c r="AU314" i="39" s="1"/>
  <c r="AS318" i="39"/>
  <c r="AT318" i="39" s="1"/>
  <c r="AU318" i="39" s="1"/>
  <c r="AS322" i="39"/>
  <c r="AS343" i="39"/>
  <c r="AT343" i="39" s="1"/>
  <c r="AU343" i="39" s="1"/>
  <c r="AS362" i="39"/>
  <c r="T365" i="39"/>
  <c r="U365" i="39" s="1"/>
  <c r="V365" i="39" s="1"/>
  <c r="O373" i="39"/>
  <c r="P373" i="39" s="1"/>
  <c r="Q373" i="39" s="1"/>
  <c r="R373" i="39" s="1"/>
  <c r="AS374" i="39"/>
  <c r="J391" i="39"/>
  <c r="AS400" i="39"/>
  <c r="AM401" i="39"/>
  <c r="AN401" i="39" s="1"/>
  <c r="AO401" i="39" s="1"/>
  <c r="AP401" i="39" s="1"/>
  <c r="AR418" i="39"/>
  <c r="AS418" i="39" s="1"/>
  <c r="O420" i="39"/>
  <c r="P420" i="39" s="1"/>
  <c r="Q420" i="39" s="1"/>
  <c r="R420" i="39" s="1"/>
  <c r="AR443" i="39"/>
  <c r="AS443" i="39" s="1"/>
  <c r="J448" i="39"/>
  <c r="AR466" i="39"/>
  <c r="J567" i="39"/>
  <c r="AR526" i="39"/>
  <c r="AS526" i="39" s="1"/>
  <c r="AA531" i="39"/>
  <c r="AB531" i="39" s="1"/>
  <c r="AC531" i="39" s="1"/>
  <c r="AA532" i="39"/>
  <c r="AB532" i="39" s="1"/>
  <c r="AC532" i="39" s="1"/>
  <c r="O138" i="39"/>
  <c r="P138" i="39" s="1"/>
  <c r="AR151" i="39"/>
  <c r="AS151" i="39" s="1"/>
  <c r="AF151" i="39"/>
  <c r="AG151" i="39" s="1"/>
  <c r="T151" i="39"/>
  <c r="U151" i="39" s="1"/>
  <c r="AL151" i="39"/>
  <c r="AM151" i="39" s="1"/>
  <c r="Z151" i="39"/>
  <c r="AA151" i="39" s="1"/>
  <c r="O261" i="39"/>
  <c r="P261" i="39" s="1"/>
  <c r="Q261" i="39" s="1"/>
  <c r="R261" i="39" s="1"/>
  <c r="O268" i="39"/>
  <c r="P268" i="39" s="1"/>
  <c r="Q268" i="39" s="1"/>
  <c r="R268" i="39" s="1"/>
  <c r="AR433" i="39"/>
  <c r="AS433" i="39" s="1"/>
  <c r="AF433" i="39"/>
  <c r="AG433" i="39" s="1"/>
  <c r="T433" i="39"/>
  <c r="U433" i="39" s="1"/>
  <c r="V433" i="39" s="1"/>
  <c r="AL433" i="39"/>
  <c r="AM433" i="39" s="1"/>
  <c r="Z433" i="39"/>
  <c r="AA433" i="39" s="1"/>
  <c r="AA27" i="39"/>
  <c r="O27" i="39"/>
  <c r="P27" i="39" s="1"/>
  <c r="Q27" i="39" s="1"/>
  <c r="R27" i="39" s="1"/>
  <c r="AG27" i="39"/>
  <c r="AS49" i="39"/>
  <c r="AA53" i="39"/>
  <c r="O53" i="39"/>
  <c r="P53" i="39" s="1"/>
  <c r="Q53" i="39" s="1"/>
  <c r="R53" i="39" s="1"/>
  <c r="AS53" i="39"/>
  <c r="O65" i="39"/>
  <c r="P65" i="39" s="1"/>
  <c r="Q65" i="39" s="1"/>
  <c r="R65" i="39" s="1"/>
  <c r="O67" i="39"/>
  <c r="P67" i="39" s="1"/>
  <c r="Q67" i="39" s="1"/>
  <c r="R67" i="39" s="1"/>
  <c r="AM69" i="39"/>
  <c r="O69" i="39"/>
  <c r="P69" i="39" s="1"/>
  <c r="Q69" i="39" s="1"/>
  <c r="R69" i="39" s="1"/>
  <c r="O73" i="39"/>
  <c r="P73" i="39" s="1"/>
  <c r="Q73" i="39" s="1"/>
  <c r="R73" i="39" s="1"/>
  <c r="AS73" i="39"/>
  <c r="AQ87" i="39"/>
  <c r="AE87" i="39"/>
  <c r="AK87" i="39"/>
  <c r="J87" i="39"/>
  <c r="AM100" i="39"/>
  <c r="AN100" i="39" s="1"/>
  <c r="AI167" i="39"/>
  <c r="AJ167" i="39" s="1"/>
  <c r="O205" i="39"/>
  <c r="P205" i="39" s="1"/>
  <c r="Q205" i="39" s="1"/>
  <c r="R205" i="39" s="1"/>
  <c r="S12" i="39"/>
  <c r="O6" i="39"/>
  <c r="P6" i="39" s="1"/>
  <c r="N121" i="39"/>
  <c r="AS24" i="39"/>
  <c r="AA29" i="39"/>
  <c r="O29" i="39"/>
  <c r="P29" i="39" s="1"/>
  <c r="Q29" i="39" s="1"/>
  <c r="R29" i="39" s="1"/>
  <c r="O37" i="39"/>
  <c r="P37" i="39" s="1"/>
  <c r="Q37" i="39" s="1"/>
  <c r="R37" i="39" s="1"/>
  <c r="AG37" i="39"/>
  <c r="AM45" i="39"/>
  <c r="O45" i="39"/>
  <c r="P45" i="39" s="1"/>
  <c r="Q45" i="39" s="1"/>
  <c r="R45" i="39" s="1"/>
  <c r="AA75" i="39"/>
  <c r="AB75" i="39" s="1"/>
  <c r="AC75" i="39" s="1"/>
  <c r="AD75" i="39" s="1"/>
  <c r="AA79" i="39"/>
  <c r="AB79" i="39" s="1"/>
  <c r="AC79" i="39" s="1"/>
  <c r="AD79" i="39" s="1"/>
  <c r="AQ89" i="39"/>
  <c r="AE89" i="39"/>
  <c r="AK89" i="39"/>
  <c r="J89" i="39"/>
  <c r="AR131" i="39"/>
  <c r="AS131" i="39" s="1"/>
  <c r="AF131" i="39"/>
  <c r="AG131" i="39" s="1"/>
  <c r="T131" i="39"/>
  <c r="U131" i="39" s="1"/>
  <c r="AL131" i="39"/>
  <c r="AM131" i="39" s="1"/>
  <c r="AL137" i="39"/>
  <c r="AM137" i="39" s="1"/>
  <c r="Z137" i="39"/>
  <c r="AA137" i="39" s="1"/>
  <c r="AF137" i="39"/>
  <c r="AG137" i="39" s="1"/>
  <c r="T137" i="39"/>
  <c r="U137" i="39" s="1"/>
  <c r="V137" i="39" s="1"/>
  <c r="AL141" i="39"/>
  <c r="AM141" i="39" s="1"/>
  <c r="Z141" i="39"/>
  <c r="AA141" i="39" s="1"/>
  <c r="AR141" i="39"/>
  <c r="AS141" i="39" s="1"/>
  <c r="AF141" i="39"/>
  <c r="AG141" i="39" s="1"/>
  <c r="T141" i="39"/>
  <c r="U141" i="39" s="1"/>
  <c r="O143" i="39"/>
  <c r="P143" i="39" s="1"/>
  <c r="Q143" i="39" s="1"/>
  <c r="R143" i="39" s="1"/>
  <c r="AR152" i="39"/>
  <c r="AS152" i="39" s="1"/>
  <c r="AF152" i="39"/>
  <c r="AG152" i="39" s="1"/>
  <c r="T152" i="39"/>
  <c r="U152" i="39" s="1"/>
  <c r="AL152" i="39"/>
  <c r="AM152" i="39" s="1"/>
  <c r="AL158" i="39"/>
  <c r="AM158" i="39" s="1"/>
  <c r="AR158" i="39"/>
  <c r="AS158" i="39" s="1"/>
  <c r="AF158" i="39"/>
  <c r="AG158" i="39" s="1"/>
  <c r="AR162" i="39"/>
  <c r="AS162" i="39" s="1"/>
  <c r="AL162" i="39"/>
  <c r="AM162" i="39" s="1"/>
  <c r="AL191" i="39"/>
  <c r="AM191" i="39" s="1"/>
  <c r="Z191" i="39"/>
  <c r="AA191" i="39" s="1"/>
  <c r="T191" i="39"/>
  <c r="U191" i="39" s="1"/>
  <c r="AF191" i="39"/>
  <c r="AG191" i="39" s="1"/>
  <c r="AR191" i="39"/>
  <c r="AS191" i="39" s="1"/>
  <c r="O61" i="39"/>
  <c r="P61" i="39" s="1"/>
  <c r="Q61" i="39" s="1"/>
  <c r="R61" i="39" s="1"/>
  <c r="AL83" i="39"/>
  <c r="AM83" i="39" s="1"/>
  <c r="AR83" i="39"/>
  <c r="AL90" i="39"/>
  <c r="AM90" i="39" s="1"/>
  <c r="AR90" i="39"/>
  <c r="AS90" i="39" s="1"/>
  <c r="AR130" i="39"/>
  <c r="AS130" i="39" s="1"/>
  <c r="AF130" i="39"/>
  <c r="AG130" i="39" s="1"/>
  <c r="T130" i="39"/>
  <c r="U130" i="39" s="1"/>
  <c r="AL130" i="39"/>
  <c r="AM130" i="39" s="1"/>
  <c r="Z130" i="39"/>
  <c r="AA130" i="39" s="1"/>
  <c r="AL136" i="39"/>
  <c r="AM136" i="39" s="1"/>
  <c r="Z136" i="39"/>
  <c r="AA136" i="39" s="1"/>
  <c r="AR136" i="39"/>
  <c r="AS136" i="39" s="1"/>
  <c r="AF136" i="39"/>
  <c r="AG136" i="39" s="1"/>
  <c r="T136" i="39"/>
  <c r="U136" i="39" s="1"/>
  <c r="AI165" i="39"/>
  <c r="AJ165" i="39" s="1"/>
  <c r="M12" i="39"/>
  <c r="AL6" i="39"/>
  <c r="AM6" i="39" s="1"/>
  <c r="Z6" i="39"/>
  <c r="AA6" i="39" s="1"/>
  <c r="AR6" i="39"/>
  <c r="AS6" i="39" s="1"/>
  <c r="AT6" i="39" s="1"/>
  <c r="AU6" i="39" s="1"/>
  <c r="AF6" i="39"/>
  <c r="AG6" i="39" s="1"/>
  <c r="T6" i="39"/>
  <c r="U6" i="39" s="1"/>
  <c r="AS16" i="39"/>
  <c r="AG16" i="39"/>
  <c r="AG18" i="39"/>
  <c r="AG20" i="39"/>
  <c r="AG29" i="39"/>
  <c r="AK12" i="39"/>
  <c r="I562" i="39" s="1"/>
  <c r="AN5" i="39"/>
  <c r="AO6" i="39"/>
  <c r="AP6" i="39" s="1"/>
  <c r="AS10" i="39"/>
  <c r="AT10" i="39" s="1"/>
  <c r="AU10" i="39" s="1"/>
  <c r="AG17" i="39"/>
  <c r="AS17" i="39"/>
  <c r="AG19" i="39"/>
  <c r="AS21" i="39"/>
  <c r="AG23" i="39"/>
  <c r="AG25" i="39"/>
  <c r="AS30" i="39"/>
  <c r="AA31" i="39"/>
  <c r="O31" i="39"/>
  <c r="P31" i="39" s="1"/>
  <c r="AS38" i="39"/>
  <c r="O39" i="39"/>
  <c r="P39" i="39" s="1"/>
  <c r="AG39" i="39"/>
  <c r="AM47" i="39"/>
  <c r="O47" i="39"/>
  <c r="P47" i="39" s="1"/>
  <c r="Q47" i="39" s="1"/>
  <c r="R47" i="39" s="1"/>
  <c r="AA51" i="39"/>
  <c r="O51" i="39"/>
  <c r="P51" i="39" s="1"/>
  <c r="AS51" i="39"/>
  <c r="O55" i="39"/>
  <c r="P55" i="39" s="1"/>
  <c r="AS55" i="39"/>
  <c r="AA59" i="39"/>
  <c r="O59" i="39"/>
  <c r="P59" i="39" s="1"/>
  <c r="AM63" i="39"/>
  <c r="O63" i="39"/>
  <c r="P63" i="39" s="1"/>
  <c r="AS63" i="39"/>
  <c r="AS82" i="39"/>
  <c r="AG86" i="39"/>
  <c r="AH86" i="39" s="1"/>
  <c r="AS94" i="39"/>
  <c r="AM96" i="39"/>
  <c r="AN96" i="39" s="1"/>
  <c r="AS96" i="39"/>
  <c r="AS99" i="39"/>
  <c r="AS111" i="39"/>
  <c r="AT111" i="39" s="1"/>
  <c r="AU111" i="39" s="1"/>
  <c r="AL139" i="39"/>
  <c r="AM139" i="39" s="1"/>
  <c r="Z139" i="39"/>
  <c r="AA139" i="39" s="1"/>
  <c r="AR139" i="39"/>
  <c r="AS139" i="39" s="1"/>
  <c r="AF139" i="39"/>
  <c r="AG139" i="39" s="1"/>
  <c r="T139" i="39"/>
  <c r="U139" i="39" s="1"/>
  <c r="AL142" i="39"/>
  <c r="AM142" i="39" s="1"/>
  <c r="Z142" i="39"/>
  <c r="AA142" i="39" s="1"/>
  <c r="AF142" i="39"/>
  <c r="AG142" i="39" s="1"/>
  <c r="T142" i="39"/>
  <c r="U142" i="39" s="1"/>
  <c r="AS169" i="39"/>
  <c r="AT169" i="39" s="1"/>
  <c r="AU169" i="39" s="1"/>
  <c r="N357" i="39"/>
  <c r="O187" i="39"/>
  <c r="AR193" i="39"/>
  <c r="AS193" i="39" s="1"/>
  <c r="AF193" i="39"/>
  <c r="AG193" i="39" s="1"/>
  <c r="T193" i="39"/>
  <c r="U193" i="39" s="1"/>
  <c r="Z193" i="39"/>
  <c r="AA193" i="39" s="1"/>
  <c r="AL193" i="39"/>
  <c r="AM193" i="39" s="1"/>
  <c r="AL220" i="39"/>
  <c r="AM220" i="39" s="1"/>
  <c r="Z220" i="39"/>
  <c r="AA220" i="39" s="1"/>
  <c r="AF220" i="39"/>
  <c r="AG220" i="39" s="1"/>
  <c r="T220" i="39"/>
  <c r="U220" i="39" s="1"/>
  <c r="AR220" i="39"/>
  <c r="AS220" i="39" s="1"/>
  <c r="AR241" i="39"/>
  <c r="AS241" i="39" s="1"/>
  <c r="AF241" i="39"/>
  <c r="AG241" i="39" s="1"/>
  <c r="T241" i="39"/>
  <c r="U241" i="39" s="1"/>
  <c r="AL241" i="39"/>
  <c r="AM241" i="39" s="1"/>
  <c r="Z241" i="39"/>
  <c r="AA241" i="39" s="1"/>
  <c r="AM35" i="39"/>
  <c r="AA35" i="39"/>
  <c r="O35" i="39"/>
  <c r="P35" i="39" s="1"/>
  <c r="AM43" i="39"/>
  <c r="O43" i="39"/>
  <c r="P43" i="39" s="1"/>
  <c r="O49" i="39"/>
  <c r="P49" i="39" s="1"/>
  <c r="Q49" i="39" s="1"/>
  <c r="R49" i="39" s="1"/>
  <c r="AM57" i="39"/>
  <c r="O57" i="39"/>
  <c r="P57" i="39" s="1"/>
  <c r="Q57" i="39" s="1"/>
  <c r="R57" i="39" s="1"/>
  <c r="AS57" i="39"/>
  <c r="AS69" i="39"/>
  <c r="AA71" i="39"/>
  <c r="O71" i="39"/>
  <c r="P71" i="39" s="1"/>
  <c r="Q71" i="39" s="1"/>
  <c r="R71" i="39" s="1"/>
  <c r="AS71" i="39"/>
  <c r="I121" i="39"/>
  <c r="AQ74" i="39"/>
  <c r="AE74" i="39"/>
  <c r="S74" i="39"/>
  <c r="S121" i="39" s="1"/>
  <c r="AK74" i="39"/>
  <c r="Y74" i="39"/>
  <c r="Y121" i="39" s="1"/>
  <c r="J74" i="39"/>
  <c r="AL157" i="39"/>
  <c r="AM157" i="39" s="1"/>
  <c r="Z157" i="39"/>
  <c r="AA157" i="39" s="1"/>
  <c r="AR157" i="39"/>
  <c r="AS157" i="39" s="1"/>
  <c r="AF157" i="39"/>
  <c r="AG157" i="39" s="1"/>
  <c r="T157" i="39"/>
  <c r="U157" i="39" s="1"/>
  <c r="AR5" i="39"/>
  <c r="AF5" i="39"/>
  <c r="T5" i="39"/>
  <c r="AL5" i="39"/>
  <c r="Z5" i="39"/>
  <c r="AE12" i="39"/>
  <c r="AA15" i="39"/>
  <c r="O15" i="39"/>
  <c r="P15" i="39" s="1"/>
  <c r="O17" i="39"/>
  <c r="P17" i="39" s="1"/>
  <c r="AM19" i="39"/>
  <c r="O19" i="39"/>
  <c r="P19" i="39" s="1"/>
  <c r="AM21" i="39"/>
  <c r="O21" i="39"/>
  <c r="P21" i="39" s="1"/>
  <c r="AA23" i="39"/>
  <c r="O23" i="39"/>
  <c r="P23" i="39" s="1"/>
  <c r="AA25" i="39"/>
  <c r="O25" i="39"/>
  <c r="P25" i="39" s="1"/>
  <c r="AS29" i="39"/>
  <c r="AA33" i="39"/>
  <c r="O33" i="39"/>
  <c r="P33" i="39" s="1"/>
  <c r="AS37" i="39"/>
  <c r="O41" i="39"/>
  <c r="P41" i="39" s="1"/>
  <c r="AR76" i="39"/>
  <c r="AS76" i="39" s="1"/>
  <c r="AF76" i="39"/>
  <c r="AG76" i="39" s="1"/>
  <c r="AR80" i="39"/>
  <c r="AS80" i="39" s="1"/>
  <c r="AF80" i="39"/>
  <c r="AG80" i="39" s="1"/>
  <c r="AS84" i="39"/>
  <c r="AQ85" i="39"/>
  <c r="AE85" i="39"/>
  <c r="AK85" i="39"/>
  <c r="J85" i="39"/>
  <c r="AG88" i="39"/>
  <c r="AH88" i="39" s="1"/>
  <c r="AM92" i="39"/>
  <c r="AN92" i="39" s="1"/>
  <c r="AG161" i="39"/>
  <c r="AH161" i="39" s="1"/>
  <c r="AI161" i="39" s="1"/>
  <c r="AJ161" i="39" s="1"/>
  <c r="AL188" i="39"/>
  <c r="AM188" i="39" s="1"/>
  <c r="Z188" i="39"/>
  <c r="AA188" i="39" s="1"/>
  <c r="AR188" i="39"/>
  <c r="AS188" i="39" s="1"/>
  <c r="AF188" i="39"/>
  <c r="AG188" i="39" s="1"/>
  <c r="T188" i="39"/>
  <c r="U188" i="39" s="1"/>
  <c r="O245" i="39"/>
  <c r="P245" i="39" s="1"/>
  <c r="Q245" i="39" s="1"/>
  <c r="R245" i="39" s="1"/>
  <c r="AR257" i="39"/>
  <c r="AS257" i="39" s="1"/>
  <c r="AF257" i="39"/>
  <c r="AG257" i="39" s="1"/>
  <c r="T257" i="39"/>
  <c r="U257" i="39" s="1"/>
  <c r="AL257" i="39"/>
  <c r="AM257" i="39" s="1"/>
  <c r="Z257" i="39"/>
  <c r="AA257" i="39" s="1"/>
  <c r="Q20" i="39"/>
  <c r="R20" i="39" s="1"/>
  <c r="AG28" i="39"/>
  <c r="U34" i="39"/>
  <c r="AG40" i="39"/>
  <c r="U44" i="39"/>
  <c r="Q72" i="39"/>
  <c r="R72" i="39" s="1"/>
  <c r="AL75" i="39"/>
  <c r="AL79" i="39"/>
  <c r="AM79" i="39" s="1"/>
  <c r="AI84" i="39"/>
  <c r="AJ84" i="39" s="1"/>
  <c r="AS95" i="39"/>
  <c r="AT95" i="39" s="1"/>
  <c r="AU95" i="39" s="1"/>
  <c r="AS102" i="39"/>
  <c r="AO103" i="39"/>
  <c r="AP103" i="39" s="1"/>
  <c r="AS103" i="39"/>
  <c r="AT103" i="39" s="1"/>
  <c r="AU103" i="39" s="1"/>
  <c r="AS110" i="39"/>
  <c r="AT110" i="39" s="1"/>
  <c r="AU110" i="39" s="1"/>
  <c r="AL124" i="39"/>
  <c r="Z124" i="39"/>
  <c r="AR124" i="39"/>
  <c r="AS124" i="39" s="1"/>
  <c r="AF124" i="39"/>
  <c r="AG124" i="39" s="1"/>
  <c r="T124" i="39"/>
  <c r="U124" i="39" s="1"/>
  <c r="P124" i="39"/>
  <c r="Q124" i="39" s="1"/>
  <c r="AL125" i="39"/>
  <c r="AM125" i="39" s="1"/>
  <c r="Z125" i="39"/>
  <c r="AA125" i="39" s="1"/>
  <c r="AR125" i="39"/>
  <c r="AS125" i="39" s="1"/>
  <c r="AR134" i="39"/>
  <c r="AS134" i="39" s="1"/>
  <c r="AF134" i="39"/>
  <c r="AG134" i="39" s="1"/>
  <c r="T134" i="39"/>
  <c r="U134" i="39" s="1"/>
  <c r="AL134" i="39"/>
  <c r="AM134" i="39" s="1"/>
  <c r="Z134" i="39"/>
  <c r="AA134" i="39" s="1"/>
  <c r="AR135" i="39"/>
  <c r="AS135" i="39" s="1"/>
  <c r="AF135" i="39"/>
  <c r="AG135" i="39" s="1"/>
  <c r="T135" i="39"/>
  <c r="U135" i="39" s="1"/>
  <c r="V135" i="39" s="1"/>
  <c r="Z135" i="39"/>
  <c r="AA135" i="39" s="1"/>
  <c r="AA138" i="39"/>
  <c r="T140" i="39"/>
  <c r="AR140" i="39"/>
  <c r="AS140" i="39" s="1"/>
  <c r="AF140" i="39"/>
  <c r="AG140" i="39" s="1"/>
  <c r="Z140" i="39"/>
  <c r="AA140" i="39" s="1"/>
  <c r="AL145" i="39"/>
  <c r="AM145" i="39" s="1"/>
  <c r="Z145" i="39"/>
  <c r="AA145" i="39" s="1"/>
  <c r="AR145" i="39"/>
  <c r="AS145" i="39" s="1"/>
  <c r="AF145" i="39"/>
  <c r="AG145" i="39" s="1"/>
  <c r="T145" i="39"/>
  <c r="U145" i="39" s="1"/>
  <c r="V145" i="39" s="1"/>
  <c r="AL146" i="39"/>
  <c r="AM146" i="39" s="1"/>
  <c r="Z146" i="39"/>
  <c r="AA146" i="39" s="1"/>
  <c r="AR146" i="39"/>
  <c r="AS146" i="39" s="1"/>
  <c r="AR155" i="39"/>
  <c r="AS155" i="39" s="1"/>
  <c r="AF155" i="39"/>
  <c r="AG155" i="39" s="1"/>
  <c r="T155" i="39"/>
  <c r="U155" i="39" s="1"/>
  <c r="AL155" i="39"/>
  <c r="AM155" i="39" s="1"/>
  <c r="Z155" i="39"/>
  <c r="AA155" i="39" s="1"/>
  <c r="AR156" i="39"/>
  <c r="AS156" i="39" s="1"/>
  <c r="AF156" i="39"/>
  <c r="AG156" i="39" s="1"/>
  <c r="T156" i="39"/>
  <c r="U156" i="39" s="1"/>
  <c r="Z156" i="39"/>
  <c r="AA156" i="39" s="1"/>
  <c r="AL159" i="39"/>
  <c r="AM159" i="39" s="1"/>
  <c r="AR159" i="39"/>
  <c r="AS159" i="39" s="1"/>
  <c r="AF159" i="39"/>
  <c r="AG159" i="39" s="1"/>
  <c r="AL161" i="39"/>
  <c r="AM161" i="39" s="1"/>
  <c r="AR161" i="39"/>
  <c r="AS161" i="39" s="1"/>
  <c r="AS181" i="39"/>
  <c r="AT181" i="39" s="1"/>
  <c r="AU181" i="39" s="1"/>
  <c r="AR187" i="39"/>
  <c r="AS187" i="39" s="1"/>
  <c r="AF187" i="39"/>
  <c r="AG187" i="39" s="1"/>
  <c r="T187" i="39"/>
  <c r="U187" i="39" s="1"/>
  <c r="Z187" i="39"/>
  <c r="AR194" i="39"/>
  <c r="AS194" i="39" s="1"/>
  <c r="AF194" i="39"/>
  <c r="AG194" i="39" s="1"/>
  <c r="T194" i="39"/>
  <c r="U194" i="39" s="1"/>
  <c r="Z194" i="39"/>
  <c r="AA194" i="39" s="1"/>
  <c r="AL194" i="39"/>
  <c r="AM194" i="39" s="1"/>
  <c r="U195" i="39"/>
  <c r="O196" i="39"/>
  <c r="P196" i="39" s="1"/>
  <c r="AL199" i="39"/>
  <c r="AM199" i="39" s="1"/>
  <c r="Z199" i="39"/>
  <c r="AA199" i="39" s="1"/>
  <c r="T199" i="39"/>
  <c r="U199" i="39" s="1"/>
  <c r="V199" i="39" s="1"/>
  <c r="AF199" i="39"/>
  <c r="AG199" i="39" s="1"/>
  <c r="AR199" i="39"/>
  <c r="AS199" i="39" s="1"/>
  <c r="AR201" i="39"/>
  <c r="AS201" i="39" s="1"/>
  <c r="AF201" i="39"/>
  <c r="AG201" i="39" s="1"/>
  <c r="T201" i="39"/>
  <c r="U201" i="39" s="1"/>
  <c r="Z201" i="39"/>
  <c r="AA201" i="39" s="1"/>
  <c r="AL201" i="39"/>
  <c r="AM201" i="39" s="1"/>
  <c r="AR229" i="39"/>
  <c r="AS229" i="39" s="1"/>
  <c r="AF229" i="39"/>
  <c r="AG229" i="39" s="1"/>
  <c r="T229" i="39"/>
  <c r="U229" i="39" s="1"/>
  <c r="V229" i="39" s="1"/>
  <c r="AL229" i="39"/>
  <c r="AM229" i="39" s="1"/>
  <c r="Z229" i="39"/>
  <c r="AA229" i="39" s="1"/>
  <c r="AR242" i="39"/>
  <c r="AS242" i="39" s="1"/>
  <c r="AF242" i="39"/>
  <c r="AG242" i="39" s="1"/>
  <c r="T242" i="39"/>
  <c r="U242" i="39" s="1"/>
  <c r="AL242" i="39"/>
  <c r="AM242" i="39" s="1"/>
  <c r="AR258" i="39"/>
  <c r="AS258" i="39" s="1"/>
  <c r="AF258" i="39"/>
  <c r="AG258" i="39" s="1"/>
  <c r="T258" i="39"/>
  <c r="U258" i="39" s="1"/>
  <c r="AL258" i="39"/>
  <c r="AM258" i="39" s="1"/>
  <c r="T47" i="39"/>
  <c r="U47" i="39" s="1"/>
  <c r="AF47" i="39"/>
  <c r="T49" i="39"/>
  <c r="U49" i="39" s="1"/>
  <c r="AF49" i="39"/>
  <c r="AG49" i="39" s="1"/>
  <c r="T51" i="39"/>
  <c r="U51" i="39" s="1"/>
  <c r="AF51" i="39"/>
  <c r="AG51" i="39" s="1"/>
  <c r="T53" i="39"/>
  <c r="U53" i="39" s="1"/>
  <c r="AF53" i="39"/>
  <c r="AG53" i="39" s="1"/>
  <c r="T55" i="39"/>
  <c r="U55" i="39" s="1"/>
  <c r="AF55" i="39"/>
  <c r="AG55" i="39" s="1"/>
  <c r="T57" i="39"/>
  <c r="U57" i="39" s="1"/>
  <c r="AF57" i="39"/>
  <c r="AG57" i="39" s="1"/>
  <c r="T59" i="39"/>
  <c r="U59" i="39" s="1"/>
  <c r="AF59" i="39"/>
  <c r="AG59" i="39" s="1"/>
  <c r="T61" i="39"/>
  <c r="U61" i="39" s="1"/>
  <c r="AF61" i="39"/>
  <c r="AG61" i="39" s="1"/>
  <c r="T63" i="39"/>
  <c r="U63" i="39" s="1"/>
  <c r="AF63" i="39"/>
  <c r="AG63" i="39" s="1"/>
  <c r="T65" i="39"/>
  <c r="U65" i="39" s="1"/>
  <c r="AF65" i="39"/>
  <c r="AG65" i="39" s="1"/>
  <c r="Z66" i="39"/>
  <c r="T67" i="39"/>
  <c r="U67" i="39" s="1"/>
  <c r="AF67" i="39"/>
  <c r="AG67" i="39" s="1"/>
  <c r="Z68" i="39"/>
  <c r="AA68" i="39" s="1"/>
  <c r="T69" i="39"/>
  <c r="U69" i="39" s="1"/>
  <c r="AF69" i="39"/>
  <c r="AG69" i="39" s="1"/>
  <c r="Z70" i="39"/>
  <c r="AA70" i="39" s="1"/>
  <c r="T71" i="39"/>
  <c r="U71" i="39" s="1"/>
  <c r="AF71" i="39"/>
  <c r="AG71" i="39" s="1"/>
  <c r="Z72" i="39"/>
  <c r="AA72" i="39" s="1"/>
  <c r="T73" i="39"/>
  <c r="U73" i="39" s="1"/>
  <c r="AF73" i="39"/>
  <c r="AG73" i="39" s="1"/>
  <c r="Z74" i="39"/>
  <c r="AE82" i="39"/>
  <c r="J83" i="39"/>
  <c r="AS91" i="39"/>
  <c r="AM97" i="39"/>
  <c r="AN97" i="39" s="1"/>
  <c r="AM104" i="39"/>
  <c r="AN104" i="39" s="1"/>
  <c r="AS107" i="39"/>
  <c r="AT107" i="39" s="1"/>
  <c r="AU107" i="39" s="1"/>
  <c r="AS118" i="39"/>
  <c r="AT118" i="39" s="1"/>
  <c r="AU118" i="39" s="1"/>
  <c r="J185" i="39"/>
  <c r="S185" i="39"/>
  <c r="AE185" i="39"/>
  <c r="AQ185" i="39"/>
  <c r="M564" i="39" s="1"/>
  <c r="AL128" i="39"/>
  <c r="AM128" i="39" s="1"/>
  <c r="Z128" i="39"/>
  <c r="AA128" i="39" s="1"/>
  <c r="AR128" i="39"/>
  <c r="AS128" i="39" s="1"/>
  <c r="AF128" i="39"/>
  <c r="AG128" i="39" s="1"/>
  <c r="T128" i="39"/>
  <c r="U128" i="39" s="1"/>
  <c r="AL129" i="39"/>
  <c r="AM129" i="39" s="1"/>
  <c r="Z129" i="39"/>
  <c r="AA129" i="39" s="1"/>
  <c r="AR129" i="39"/>
  <c r="AS129" i="39" s="1"/>
  <c r="O130" i="39"/>
  <c r="P130" i="39" s="1"/>
  <c r="AL135" i="39"/>
  <c r="AM135" i="39" s="1"/>
  <c r="AR138" i="39"/>
  <c r="AS138" i="39" s="1"/>
  <c r="AF138" i="39"/>
  <c r="AG138" i="39" s="1"/>
  <c r="T138" i="39"/>
  <c r="U138" i="39" s="1"/>
  <c r="AL138" i="39"/>
  <c r="AM138" i="39" s="1"/>
  <c r="AL140" i="39"/>
  <c r="AM140" i="39" s="1"/>
  <c r="AR143" i="39"/>
  <c r="AS143" i="39" s="1"/>
  <c r="AF143" i="39"/>
  <c r="AG143" i="39" s="1"/>
  <c r="T143" i="39"/>
  <c r="U143" i="39" s="1"/>
  <c r="AL143" i="39"/>
  <c r="AM143" i="39" s="1"/>
  <c r="Z143" i="39"/>
  <c r="AA143" i="39" s="1"/>
  <c r="AR144" i="39"/>
  <c r="AS144" i="39" s="1"/>
  <c r="AF144" i="39"/>
  <c r="AG144" i="39" s="1"/>
  <c r="T144" i="39"/>
  <c r="U144" i="39" s="1"/>
  <c r="Z144" i="39"/>
  <c r="AA144" i="39" s="1"/>
  <c r="AL149" i="39"/>
  <c r="AM149" i="39" s="1"/>
  <c r="Z149" i="39"/>
  <c r="AA149" i="39" s="1"/>
  <c r="AR149" i="39"/>
  <c r="AS149" i="39" s="1"/>
  <c r="AF149" i="39"/>
  <c r="AG149" i="39" s="1"/>
  <c r="T149" i="39"/>
  <c r="U149" i="39" s="1"/>
  <c r="V149" i="39" s="1"/>
  <c r="AL150" i="39"/>
  <c r="AM150" i="39" s="1"/>
  <c r="Z150" i="39"/>
  <c r="AA150" i="39" s="1"/>
  <c r="AR150" i="39"/>
  <c r="AS150" i="39" s="1"/>
  <c r="O151" i="39"/>
  <c r="P151" i="39" s="1"/>
  <c r="AL156" i="39"/>
  <c r="AM156" i="39" s="1"/>
  <c r="AR160" i="39"/>
  <c r="AS160" i="39" s="1"/>
  <c r="AL160" i="39"/>
  <c r="AM160" i="39" s="1"/>
  <c r="AR164" i="39"/>
  <c r="AS164" i="39" s="1"/>
  <c r="AL164" i="39"/>
  <c r="AM164" i="39" s="1"/>
  <c r="AI166" i="39"/>
  <c r="AJ166" i="39" s="1"/>
  <c r="AS177" i="39"/>
  <c r="AT177" i="39" s="1"/>
  <c r="AU177" i="39" s="1"/>
  <c r="Y185" i="39"/>
  <c r="AL187" i="39"/>
  <c r="AM187" i="39" s="1"/>
  <c r="AS189" i="39"/>
  <c r="AR190" i="39"/>
  <c r="AS190" i="39" s="1"/>
  <c r="AF190" i="39"/>
  <c r="AG190" i="39" s="1"/>
  <c r="T190" i="39"/>
  <c r="U190" i="39" s="1"/>
  <c r="Z190" i="39"/>
  <c r="AA190" i="39" s="1"/>
  <c r="AL192" i="39"/>
  <c r="AM192" i="39" s="1"/>
  <c r="Z192" i="39"/>
  <c r="AA192" i="39" s="1"/>
  <c r="T192" i="39"/>
  <c r="U192" i="39" s="1"/>
  <c r="AF192" i="39"/>
  <c r="AG192" i="39" s="1"/>
  <c r="AR192" i="39"/>
  <c r="AS192" i="39" s="1"/>
  <c r="AR202" i="39"/>
  <c r="AS202" i="39" s="1"/>
  <c r="AF202" i="39"/>
  <c r="AG202" i="39" s="1"/>
  <c r="T202" i="39"/>
  <c r="U202" i="39" s="1"/>
  <c r="V202" i="39" s="1"/>
  <c r="Z202" i="39"/>
  <c r="AA202" i="39" s="1"/>
  <c r="AL202" i="39"/>
  <c r="AM202" i="39" s="1"/>
  <c r="O204" i="39"/>
  <c r="P204" i="39" s="1"/>
  <c r="Q204" i="39" s="1"/>
  <c r="R204" i="39" s="1"/>
  <c r="AR213" i="39"/>
  <c r="AS213" i="39" s="1"/>
  <c r="AF213" i="39"/>
  <c r="AG213" i="39" s="1"/>
  <c r="T213" i="39"/>
  <c r="U213" i="39" s="1"/>
  <c r="AL213" i="39"/>
  <c r="AM213" i="39" s="1"/>
  <c r="Z213" i="39"/>
  <c r="AA213" i="39" s="1"/>
  <c r="AR230" i="39"/>
  <c r="AS230" i="39" s="1"/>
  <c r="AF230" i="39"/>
  <c r="AG230" i="39" s="1"/>
  <c r="T230" i="39"/>
  <c r="U230" i="39" s="1"/>
  <c r="AL230" i="39"/>
  <c r="AM230" i="39" s="1"/>
  <c r="AL235" i="39"/>
  <c r="AM235" i="39" s="1"/>
  <c r="Z235" i="39"/>
  <c r="AA235" i="39" s="1"/>
  <c r="AR235" i="39"/>
  <c r="AS235" i="39" s="1"/>
  <c r="AF235" i="39"/>
  <c r="AG235" i="39" s="1"/>
  <c r="T235" i="39"/>
  <c r="U235" i="39" s="1"/>
  <c r="O237" i="39"/>
  <c r="P237" i="39" s="1"/>
  <c r="Q237" i="39" s="1"/>
  <c r="R237" i="39" s="1"/>
  <c r="AR249" i="39"/>
  <c r="AS249" i="39" s="1"/>
  <c r="AF249" i="39"/>
  <c r="AG249" i="39" s="1"/>
  <c r="T249" i="39"/>
  <c r="U249" i="39" s="1"/>
  <c r="AL249" i="39"/>
  <c r="AM249" i="39" s="1"/>
  <c r="Z249" i="39"/>
  <c r="AA249" i="39" s="1"/>
  <c r="O253" i="39"/>
  <c r="P253" i="39" s="1"/>
  <c r="Q253" i="39" s="1"/>
  <c r="R253" i="39" s="1"/>
  <c r="AL272" i="39"/>
  <c r="AM272" i="39" s="1"/>
  <c r="Z272" i="39"/>
  <c r="AA272" i="39" s="1"/>
  <c r="AR272" i="39"/>
  <c r="AS272" i="39" s="1"/>
  <c r="AF272" i="39"/>
  <c r="AG272" i="39" s="1"/>
  <c r="T272" i="39"/>
  <c r="U272" i="39" s="1"/>
  <c r="AL280" i="39"/>
  <c r="AM280" i="39" s="1"/>
  <c r="Z280" i="39"/>
  <c r="AA280" i="39" s="1"/>
  <c r="AR280" i="39"/>
  <c r="AS280" i="39" s="1"/>
  <c r="AF280" i="39"/>
  <c r="AG280" i="39" s="1"/>
  <c r="T280" i="39"/>
  <c r="U280" i="39" s="1"/>
  <c r="I12" i="39"/>
  <c r="O14" i="39"/>
  <c r="AA14" i="39"/>
  <c r="AF75" i="39"/>
  <c r="AG75" i="39" s="1"/>
  <c r="AF79" i="39"/>
  <c r="AG79" i="39" s="1"/>
  <c r="AM93" i="39"/>
  <c r="AN93" i="39" s="1"/>
  <c r="AS106" i="39"/>
  <c r="AS114" i="39"/>
  <c r="AT114" i="39" s="1"/>
  <c r="AU114" i="39" s="1"/>
  <c r="T125" i="39"/>
  <c r="U125" i="39" s="1"/>
  <c r="AR126" i="39"/>
  <c r="AS126" i="39" s="1"/>
  <c r="AF126" i="39"/>
  <c r="AG126" i="39" s="1"/>
  <c r="T126" i="39"/>
  <c r="U126" i="39" s="1"/>
  <c r="AL126" i="39"/>
  <c r="AM126" i="39" s="1"/>
  <c r="Z126" i="39"/>
  <c r="AA126" i="39" s="1"/>
  <c r="AR127" i="39"/>
  <c r="AS127" i="39" s="1"/>
  <c r="AF127" i="39"/>
  <c r="AG127" i="39" s="1"/>
  <c r="T127" i="39"/>
  <c r="U127" i="39" s="1"/>
  <c r="Z127" i="39"/>
  <c r="AA127" i="39" s="1"/>
  <c r="AL132" i="39"/>
  <c r="AM132" i="39" s="1"/>
  <c r="Z132" i="39"/>
  <c r="AA132" i="39" s="1"/>
  <c r="AR132" i="39"/>
  <c r="AS132" i="39" s="1"/>
  <c r="AF132" i="39"/>
  <c r="AG132" i="39" s="1"/>
  <c r="T132" i="39"/>
  <c r="U132" i="39" s="1"/>
  <c r="AL133" i="39"/>
  <c r="AM133" i="39" s="1"/>
  <c r="Z133" i="39"/>
  <c r="AA133" i="39" s="1"/>
  <c r="AR133" i="39"/>
  <c r="AS133" i="39" s="1"/>
  <c r="O134" i="39"/>
  <c r="P134" i="39" s="1"/>
  <c r="Q135" i="39"/>
  <c r="R135" i="39" s="1"/>
  <c r="AS137" i="39"/>
  <c r="O140" i="39"/>
  <c r="P140" i="39" s="1"/>
  <c r="AS142" i="39"/>
  <c r="T146" i="39"/>
  <c r="U146" i="39" s="1"/>
  <c r="V146" i="39" s="1"/>
  <c r="AR147" i="39"/>
  <c r="AS147" i="39" s="1"/>
  <c r="AF147" i="39"/>
  <c r="AG147" i="39" s="1"/>
  <c r="T147" i="39"/>
  <c r="U147" i="39" s="1"/>
  <c r="AL147" i="39"/>
  <c r="AM147" i="39" s="1"/>
  <c r="Z147" i="39"/>
  <c r="AA147" i="39" s="1"/>
  <c r="AR148" i="39"/>
  <c r="AS148" i="39" s="1"/>
  <c r="AF148" i="39"/>
  <c r="AG148" i="39" s="1"/>
  <c r="T148" i="39"/>
  <c r="U148" i="39" s="1"/>
  <c r="Z148" i="39"/>
  <c r="AA148" i="39" s="1"/>
  <c r="AL153" i="39"/>
  <c r="AM153" i="39" s="1"/>
  <c r="Z153" i="39"/>
  <c r="AA153" i="39" s="1"/>
  <c r="AR153" i="39"/>
  <c r="AS153" i="39" s="1"/>
  <c r="AF153" i="39"/>
  <c r="AG153" i="39" s="1"/>
  <c r="T153" i="39"/>
  <c r="U153" i="39" s="1"/>
  <c r="AL154" i="39"/>
  <c r="AM154" i="39" s="1"/>
  <c r="Z154" i="39"/>
  <c r="AA154" i="39" s="1"/>
  <c r="AR154" i="39"/>
  <c r="AS154" i="39" s="1"/>
  <c r="O155" i="39"/>
  <c r="P155" i="39" s="1"/>
  <c r="AL163" i="39"/>
  <c r="AM163" i="39" s="1"/>
  <c r="AR163" i="39"/>
  <c r="AS163" i="39" s="1"/>
  <c r="AS173" i="39"/>
  <c r="AT173" i="39" s="1"/>
  <c r="AU173" i="39" s="1"/>
  <c r="AU180" i="39"/>
  <c r="M185" i="39"/>
  <c r="O197" i="39"/>
  <c r="P197" i="39" s="1"/>
  <c r="Q197" i="39" s="1"/>
  <c r="R197" i="39" s="1"/>
  <c r="AR198" i="39"/>
  <c r="AS198" i="39" s="1"/>
  <c r="AF198" i="39"/>
  <c r="AG198" i="39" s="1"/>
  <c r="T198" i="39"/>
  <c r="U198" i="39" s="1"/>
  <c r="Z198" i="39"/>
  <c r="AA198" i="39" s="1"/>
  <c r="AL200" i="39"/>
  <c r="AM200" i="39" s="1"/>
  <c r="Z200" i="39"/>
  <c r="AA200" i="39" s="1"/>
  <c r="T200" i="39"/>
  <c r="U200" i="39" s="1"/>
  <c r="AF200" i="39"/>
  <c r="AG200" i="39" s="1"/>
  <c r="AR200" i="39"/>
  <c r="AS200" i="39" s="1"/>
  <c r="AR214" i="39"/>
  <c r="AS214" i="39" s="1"/>
  <c r="AF214" i="39"/>
  <c r="AG214" i="39" s="1"/>
  <c r="T214" i="39"/>
  <c r="U214" i="39" s="1"/>
  <c r="AL214" i="39"/>
  <c r="AM214" i="39" s="1"/>
  <c r="AL219" i="39"/>
  <c r="AM219" i="39" s="1"/>
  <c r="Z219" i="39"/>
  <c r="AA219" i="39" s="1"/>
  <c r="AR219" i="39"/>
  <c r="AS219" i="39" s="1"/>
  <c r="AF219" i="39"/>
  <c r="AG219" i="39" s="1"/>
  <c r="T219" i="39"/>
  <c r="U219" i="39" s="1"/>
  <c r="O221" i="39"/>
  <c r="P221" i="39" s="1"/>
  <c r="Q221" i="39" s="1"/>
  <c r="R221" i="39" s="1"/>
  <c r="AL236" i="39"/>
  <c r="AM236" i="39" s="1"/>
  <c r="Z236" i="39"/>
  <c r="AA236" i="39" s="1"/>
  <c r="AF236" i="39"/>
  <c r="AG236" i="39" s="1"/>
  <c r="T236" i="39"/>
  <c r="U236" i="39" s="1"/>
  <c r="AR250" i="39"/>
  <c r="AS250" i="39" s="1"/>
  <c r="AF250" i="39"/>
  <c r="AG250" i="39" s="1"/>
  <c r="T250" i="39"/>
  <c r="U250" i="39" s="1"/>
  <c r="AL250" i="39"/>
  <c r="AM250" i="39" s="1"/>
  <c r="AS312" i="39"/>
  <c r="AG125" i="39"/>
  <c r="U129" i="39"/>
  <c r="AG129" i="39"/>
  <c r="AG133" i="39"/>
  <c r="Q137" i="39"/>
  <c r="R137" i="39" s="1"/>
  <c r="Q142" i="39"/>
  <c r="R142" i="39" s="1"/>
  <c r="Q146" i="39"/>
  <c r="R146" i="39" s="1"/>
  <c r="AG146" i="39"/>
  <c r="AG150" i="39"/>
  <c r="AG154" i="39"/>
  <c r="AU170" i="39"/>
  <c r="T189" i="39"/>
  <c r="U189" i="39" s="1"/>
  <c r="AG196" i="39"/>
  <c r="AG204" i="39"/>
  <c r="AL207" i="39"/>
  <c r="AM207" i="39" s="1"/>
  <c r="Z207" i="39"/>
  <c r="AA207" i="39" s="1"/>
  <c r="AR207" i="39"/>
  <c r="AS207" i="39" s="1"/>
  <c r="AF207" i="39"/>
  <c r="AG207" i="39" s="1"/>
  <c r="T207" i="39"/>
  <c r="U207" i="39" s="1"/>
  <c r="AL208" i="39"/>
  <c r="AM208" i="39" s="1"/>
  <c r="Z208" i="39"/>
  <c r="AA208" i="39" s="1"/>
  <c r="AR208" i="39"/>
  <c r="AS208" i="39" s="1"/>
  <c r="AR217" i="39"/>
  <c r="AS217" i="39" s="1"/>
  <c r="AF217" i="39"/>
  <c r="AG217" i="39" s="1"/>
  <c r="T217" i="39"/>
  <c r="U217" i="39" s="1"/>
  <c r="AL217" i="39"/>
  <c r="AM217" i="39" s="1"/>
  <c r="Z217" i="39"/>
  <c r="AA217" i="39" s="1"/>
  <c r="AR218" i="39"/>
  <c r="AS218" i="39" s="1"/>
  <c r="AF218" i="39"/>
  <c r="AG218" i="39" s="1"/>
  <c r="T218" i="39"/>
  <c r="U218" i="39" s="1"/>
  <c r="Z218" i="39"/>
  <c r="AA218" i="39" s="1"/>
  <c r="AL223" i="39"/>
  <c r="AM223" i="39" s="1"/>
  <c r="Z223" i="39"/>
  <c r="AA223" i="39" s="1"/>
  <c r="AR223" i="39"/>
  <c r="AS223" i="39" s="1"/>
  <c r="AF223" i="39"/>
  <c r="AG223" i="39" s="1"/>
  <c r="T223" i="39"/>
  <c r="U223" i="39" s="1"/>
  <c r="AL224" i="39"/>
  <c r="AM224" i="39" s="1"/>
  <c r="Z224" i="39"/>
  <c r="AA224" i="39" s="1"/>
  <c r="AR224" i="39"/>
  <c r="AS224" i="39" s="1"/>
  <c r="AR233" i="39"/>
  <c r="AS233" i="39" s="1"/>
  <c r="AF233" i="39"/>
  <c r="AG233" i="39" s="1"/>
  <c r="T233" i="39"/>
  <c r="U233" i="39" s="1"/>
  <c r="AL233" i="39"/>
  <c r="AM233" i="39" s="1"/>
  <c r="Z233" i="39"/>
  <c r="AA233" i="39" s="1"/>
  <c r="AR234" i="39"/>
  <c r="AS234" i="39" s="1"/>
  <c r="AF234" i="39"/>
  <c r="AG234" i="39" s="1"/>
  <c r="T234" i="39"/>
  <c r="U234" i="39" s="1"/>
  <c r="Z234" i="39"/>
  <c r="AA234" i="39" s="1"/>
  <c r="AL239" i="39"/>
  <c r="AM239" i="39" s="1"/>
  <c r="Z239" i="39"/>
  <c r="AA239" i="39" s="1"/>
  <c r="AR239" i="39"/>
  <c r="AS239" i="39" s="1"/>
  <c r="AF239" i="39"/>
  <c r="AG239" i="39" s="1"/>
  <c r="T239" i="39"/>
  <c r="U239" i="39" s="1"/>
  <c r="AL247" i="39"/>
  <c r="AM247" i="39" s="1"/>
  <c r="Z247" i="39"/>
  <c r="AA247" i="39" s="1"/>
  <c r="AR247" i="39"/>
  <c r="AS247" i="39" s="1"/>
  <c r="AF247" i="39"/>
  <c r="AG247" i="39" s="1"/>
  <c r="T247" i="39"/>
  <c r="U247" i="39" s="1"/>
  <c r="AL255" i="39"/>
  <c r="AM255" i="39" s="1"/>
  <c r="Z255" i="39"/>
  <c r="AA255" i="39" s="1"/>
  <c r="AR255" i="39"/>
  <c r="AS255" i="39" s="1"/>
  <c r="AF255" i="39"/>
  <c r="AG255" i="39" s="1"/>
  <c r="T255" i="39"/>
  <c r="U255" i="39" s="1"/>
  <c r="V255" i="39" s="1"/>
  <c r="AM260" i="39"/>
  <c r="AL263" i="39"/>
  <c r="AM263" i="39" s="1"/>
  <c r="Z263" i="39"/>
  <c r="AA263" i="39" s="1"/>
  <c r="AR263" i="39"/>
  <c r="AS263" i="39" s="1"/>
  <c r="AF263" i="39"/>
  <c r="AG263" i="39" s="1"/>
  <c r="T263" i="39"/>
  <c r="U263" i="39" s="1"/>
  <c r="AR265" i="39"/>
  <c r="AS265" i="39" s="1"/>
  <c r="AL265" i="39"/>
  <c r="AM265" i="39" s="1"/>
  <c r="AF265" i="39"/>
  <c r="AG265" i="39" s="1"/>
  <c r="Z265" i="39"/>
  <c r="AA265" i="39" s="1"/>
  <c r="T265" i="39"/>
  <c r="U265" i="39" s="1"/>
  <c r="AL273" i="39"/>
  <c r="AM273" i="39" s="1"/>
  <c r="Z273" i="39"/>
  <c r="AA273" i="39" s="1"/>
  <c r="AF273" i="39"/>
  <c r="AG273" i="39" s="1"/>
  <c r="T273" i="39"/>
  <c r="U273" i="39" s="1"/>
  <c r="V273" i="39" s="1"/>
  <c r="AL281" i="39"/>
  <c r="Z281" i="39"/>
  <c r="AF281" i="39"/>
  <c r="AR281" i="39"/>
  <c r="AS352" i="39"/>
  <c r="AT352" i="39" s="1"/>
  <c r="AU352" i="39" s="1"/>
  <c r="Z189" i="39"/>
  <c r="AA189" i="39" s="1"/>
  <c r="AL195" i="39"/>
  <c r="AM195" i="39" s="1"/>
  <c r="Z195" i="39"/>
  <c r="AA195" i="39" s="1"/>
  <c r="AL196" i="39"/>
  <c r="AM196" i="39" s="1"/>
  <c r="Z196" i="39"/>
  <c r="AA196" i="39" s="1"/>
  <c r="AR197" i="39"/>
  <c r="AS197" i="39" s="1"/>
  <c r="AF197" i="39"/>
  <c r="AG197" i="39" s="1"/>
  <c r="T197" i="39"/>
  <c r="U197" i="39" s="1"/>
  <c r="Q199" i="39"/>
  <c r="R199" i="39" s="1"/>
  <c r="AL203" i="39"/>
  <c r="AM203" i="39" s="1"/>
  <c r="Z203" i="39"/>
  <c r="AA203" i="39" s="1"/>
  <c r="AL204" i="39"/>
  <c r="AM204" i="39" s="1"/>
  <c r="Z204" i="39"/>
  <c r="AA204" i="39" s="1"/>
  <c r="AR205" i="39"/>
  <c r="AS205" i="39" s="1"/>
  <c r="AF205" i="39"/>
  <c r="AG205" i="39" s="1"/>
  <c r="T205" i="39"/>
  <c r="U205" i="39" s="1"/>
  <c r="AL205" i="39"/>
  <c r="AM205" i="39" s="1"/>
  <c r="Z205" i="39"/>
  <c r="AA205" i="39" s="1"/>
  <c r="AR206" i="39"/>
  <c r="AS206" i="39" s="1"/>
  <c r="AF206" i="39"/>
  <c r="AG206" i="39" s="1"/>
  <c r="T206" i="39"/>
  <c r="U206" i="39" s="1"/>
  <c r="V206" i="39" s="1"/>
  <c r="Z206" i="39"/>
  <c r="AA206" i="39" s="1"/>
  <c r="AL211" i="39"/>
  <c r="AM211" i="39" s="1"/>
  <c r="Z211" i="39"/>
  <c r="AA211" i="39" s="1"/>
  <c r="AR211" i="39"/>
  <c r="AS211" i="39" s="1"/>
  <c r="AF211" i="39"/>
  <c r="AG211" i="39" s="1"/>
  <c r="T211" i="39"/>
  <c r="U211" i="39" s="1"/>
  <c r="AL212" i="39"/>
  <c r="AM212" i="39" s="1"/>
  <c r="Z212" i="39"/>
  <c r="AA212" i="39" s="1"/>
  <c r="AR212" i="39"/>
  <c r="AS212" i="39" s="1"/>
  <c r="AL218" i="39"/>
  <c r="AM218" i="39" s="1"/>
  <c r="AR221" i="39"/>
  <c r="AS221" i="39" s="1"/>
  <c r="AF221" i="39"/>
  <c r="AG221" i="39" s="1"/>
  <c r="T221" i="39"/>
  <c r="U221" i="39" s="1"/>
  <c r="AL221" i="39"/>
  <c r="AM221" i="39" s="1"/>
  <c r="Z221" i="39"/>
  <c r="AA221" i="39" s="1"/>
  <c r="AR222" i="39"/>
  <c r="AS222" i="39" s="1"/>
  <c r="AF222" i="39"/>
  <c r="AG222" i="39" s="1"/>
  <c r="T222" i="39"/>
  <c r="U222" i="39" s="1"/>
  <c r="Z222" i="39"/>
  <c r="AA222" i="39" s="1"/>
  <c r="AL227" i="39"/>
  <c r="AM227" i="39" s="1"/>
  <c r="Z227" i="39"/>
  <c r="AA227" i="39" s="1"/>
  <c r="AR227" i="39"/>
  <c r="AS227" i="39" s="1"/>
  <c r="AF227" i="39"/>
  <c r="AG227" i="39" s="1"/>
  <c r="T227" i="39"/>
  <c r="U227" i="39" s="1"/>
  <c r="V227" i="39" s="1"/>
  <c r="AL228" i="39"/>
  <c r="AM228" i="39" s="1"/>
  <c r="Z228" i="39"/>
  <c r="AA228" i="39" s="1"/>
  <c r="AR228" i="39"/>
  <c r="AS228" i="39" s="1"/>
  <c r="AL234" i="39"/>
  <c r="AM234" i="39" s="1"/>
  <c r="AR237" i="39"/>
  <c r="AS237" i="39" s="1"/>
  <c r="AF237" i="39"/>
  <c r="AG237" i="39" s="1"/>
  <c r="T237" i="39"/>
  <c r="U237" i="39" s="1"/>
  <c r="AL237" i="39"/>
  <c r="AM237" i="39" s="1"/>
  <c r="Z237" i="39"/>
  <c r="AA237" i="39" s="1"/>
  <c r="AR238" i="39"/>
  <c r="AS238" i="39" s="1"/>
  <c r="AF238" i="39"/>
  <c r="AG238" i="39" s="1"/>
  <c r="T238" i="39"/>
  <c r="U238" i="39" s="1"/>
  <c r="Z238" i="39"/>
  <c r="AA238" i="39" s="1"/>
  <c r="AS244" i="39"/>
  <c r="AR245" i="39"/>
  <c r="AS245" i="39" s="1"/>
  <c r="AF245" i="39"/>
  <c r="AG245" i="39" s="1"/>
  <c r="T245" i="39"/>
  <c r="U245" i="39" s="1"/>
  <c r="AL245" i="39"/>
  <c r="AM245" i="39" s="1"/>
  <c r="Z245" i="39"/>
  <c r="AA245" i="39" s="1"/>
  <c r="AR246" i="39"/>
  <c r="AS246" i="39" s="1"/>
  <c r="AF246" i="39"/>
  <c r="AG246" i="39" s="1"/>
  <c r="T246" i="39"/>
  <c r="U246" i="39" s="1"/>
  <c r="Z246" i="39"/>
  <c r="AA246" i="39" s="1"/>
  <c r="AR253" i="39"/>
  <c r="AS253" i="39" s="1"/>
  <c r="AF253" i="39"/>
  <c r="AG253" i="39" s="1"/>
  <c r="T253" i="39"/>
  <c r="U253" i="39" s="1"/>
  <c r="AL253" i="39"/>
  <c r="AM253" i="39" s="1"/>
  <c r="Z253" i="39"/>
  <c r="AA253" i="39" s="1"/>
  <c r="AR254" i="39"/>
  <c r="AS254" i="39" s="1"/>
  <c r="AF254" i="39"/>
  <c r="AG254" i="39" s="1"/>
  <c r="T254" i="39"/>
  <c r="U254" i="39" s="1"/>
  <c r="Z254" i="39"/>
  <c r="AA254" i="39" s="1"/>
  <c r="AR261" i="39"/>
  <c r="AS261" i="39" s="1"/>
  <c r="AF261" i="39"/>
  <c r="AG261" i="39" s="1"/>
  <c r="T261" i="39"/>
  <c r="U261" i="39" s="1"/>
  <c r="AL261" i="39"/>
  <c r="AM261" i="39" s="1"/>
  <c r="Z261" i="39"/>
  <c r="AA261" i="39" s="1"/>
  <c r="AR262" i="39"/>
  <c r="AS262" i="39" s="1"/>
  <c r="AF262" i="39"/>
  <c r="AG262" i="39" s="1"/>
  <c r="T262" i="39"/>
  <c r="U262" i="39" s="1"/>
  <c r="V262" i="39" s="1"/>
  <c r="Z262" i="39"/>
  <c r="AA262" i="39" s="1"/>
  <c r="AR269" i="39"/>
  <c r="AS269" i="39" s="1"/>
  <c r="AL269" i="39"/>
  <c r="AM269" i="39" s="1"/>
  <c r="AF269" i="39"/>
  <c r="AG269" i="39" s="1"/>
  <c r="Z269" i="39"/>
  <c r="AA269" i="39" s="1"/>
  <c r="T269" i="39"/>
  <c r="U269" i="39" s="1"/>
  <c r="V269" i="39" s="1"/>
  <c r="AL287" i="39"/>
  <c r="AM287" i="39" s="1"/>
  <c r="Z287" i="39"/>
  <c r="AA287" i="39" s="1"/>
  <c r="AR287" i="39"/>
  <c r="AS287" i="39" s="1"/>
  <c r="M357" i="39"/>
  <c r="O189" i="39"/>
  <c r="P189" i="39" s="1"/>
  <c r="AF189" i="39"/>
  <c r="AG189" i="39" s="1"/>
  <c r="AL189" i="39"/>
  <c r="AM189" i="39" s="1"/>
  <c r="AR195" i="39"/>
  <c r="AS195" i="39" s="1"/>
  <c r="AR196" i="39"/>
  <c r="AS196" i="39" s="1"/>
  <c r="AA197" i="39"/>
  <c r="AL197" i="39"/>
  <c r="AM197" i="39" s="1"/>
  <c r="Q202" i="39"/>
  <c r="R202" i="39" s="1"/>
  <c r="AG203" i="39"/>
  <c r="AR203" i="39"/>
  <c r="AS203" i="39" s="1"/>
  <c r="AR204" i="39"/>
  <c r="AS204" i="39" s="1"/>
  <c r="AL206" i="39"/>
  <c r="AM206" i="39" s="1"/>
  <c r="T208" i="39"/>
  <c r="U208" i="39" s="1"/>
  <c r="AR209" i="39"/>
  <c r="AS209" i="39" s="1"/>
  <c r="AF209" i="39"/>
  <c r="AG209" i="39" s="1"/>
  <c r="T209" i="39"/>
  <c r="U209" i="39" s="1"/>
  <c r="V209" i="39" s="1"/>
  <c r="AL209" i="39"/>
  <c r="AM209" i="39" s="1"/>
  <c r="Z209" i="39"/>
  <c r="AA209" i="39" s="1"/>
  <c r="AR210" i="39"/>
  <c r="AS210" i="39" s="1"/>
  <c r="AF210" i="39"/>
  <c r="AG210" i="39" s="1"/>
  <c r="T210" i="39"/>
  <c r="U210" i="39" s="1"/>
  <c r="V210" i="39" s="1"/>
  <c r="W210" i="39" s="1"/>
  <c r="X210" i="39" s="1"/>
  <c r="Z210" i="39"/>
  <c r="AA210" i="39" s="1"/>
  <c r="AL215" i="39"/>
  <c r="AM215" i="39" s="1"/>
  <c r="Z215" i="39"/>
  <c r="AA215" i="39" s="1"/>
  <c r="AR215" i="39"/>
  <c r="AS215" i="39" s="1"/>
  <c r="AF215" i="39"/>
  <c r="AG215" i="39" s="1"/>
  <c r="T215" i="39"/>
  <c r="U215" i="39" s="1"/>
  <c r="V215" i="39" s="1"/>
  <c r="AL216" i="39"/>
  <c r="AM216" i="39" s="1"/>
  <c r="Z216" i="39"/>
  <c r="AA216" i="39" s="1"/>
  <c r="AR216" i="39"/>
  <c r="AS216" i="39" s="1"/>
  <c r="O217" i="39"/>
  <c r="P217" i="39" s="1"/>
  <c r="Q218" i="39"/>
  <c r="R218" i="39" s="1"/>
  <c r="AL222" i="39"/>
  <c r="AM222" i="39" s="1"/>
  <c r="T224" i="39"/>
  <c r="U224" i="39" s="1"/>
  <c r="AR225" i="39"/>
  <c r="AS225" i="39" s="1"/>
  <c r="AF225" i="39"/>
  <c r="AG225" i="39" s="1"/>
  <c r="T225" i="39"/>
  <c r="U225" i="39" s="1"/>
  <c r="V225" i="39" s="1"/>
  <c r="AL225" i="39"/>
  <c r="AM225" i="39" s="1"/>
  <c r="Z225" i="39"/>
  <c r="AA225" i="39" s="1"/>
  <c r="AR226" i="39"/>
  <c r="AS226" i="39" s="1"/>
  <c r="AF226" i="39"/>
  <c r="AG226" i="39" s="1"/>
  <c r="T226" i="39"/>
  <c r="U226" i="39" s="1"/>
  <c r="Z226" i="39"/>
  <c r="AA226" i="39" s="1"/>
  <c r="AL231" i="39"/>
  <c r="AM231" i="39" s="1"/>
  <c r="Z231" i="39"/>
  <c r="AA231" i="39" s="1"/>
  <c r="AR231" i="39"/>
  <c r="AS231" i="39" s="1"/>
  <c r="AF231" i="39"/>
  <c r="AG231" i="39" s="1"/>
  <c r="T231" i="39"/>
  <c r="U231" i="39" s="1"/>
  <c r="AL232" i="39"/>
  <c r="AM232" i="39" s="1"/>
  <c r="Z232" i="39"/>
  <c r="AA232" i="39" s="1"/>
  <c r="AR232" i="39"/>
  <c r="AS232" i="39" s="1"/>
  <c r="O233" i="39"/>
  <c r="P233" i="39" s="1"/>
  <c r="AS236" i="39"/>
  <c r="AL238" i="39"/>
  <c r="AM238" i="39" s="1"/>
  <c r="AM240" i="39"/>
  <c r="AL243" i="39"/>
  <c r="AM243" i="39" s="1"/>
  <c r="Z243" i="39"/>
  <c r="AA243" i="39" s="1"/>
  <c r="AR243" i="39"/>
  <c r="AS243" i="39" s="1"/>
  <c r="AF243" i="39"/>
  <c r="AG243" i="39" s="1"/>
  <c r="T243" i="39"/>
  <c r="U243" i="39" s="1"/>
  <c r="AL246" i="39"/>
  <c r="AM246" i="39" s="1"/>
  <c r="AL251" i="39"/>
  <c r="AM251" i="39" s="1"/>
  <c r="Z251" i="39"/>
  <c r="AA251" i="39" s="1"/>
  <c r="AR251" i="39"/>
  <c r="AS251" i="39" s="1"/>
  <c r="AF251" i="39"/>
  <c r="AG251" i="39" s="1"/>
  <c r="T251" i="39"/>
  <c r="U251" i="39" s="1"/>
  <c r="AL254" i="39"/>
  <c r="AM254" i="39" s="1"/>
  <c r="Q255" i="39"/>
  <c r="R255" i="39" s="1"/>
  <c r="AL259" i="39"/>
  <c r="AM259" i="39" s="1"/>
  <c r="Z259" i="39"/>
  <c r="AA259" i="39" s="1"/>
  <c r="AR259" i="39"/>
  <c r="AS259" i="39" s="1"/>
  <c r="AF259" i="39"/>
  <c r="AG259" i="39" s="1"/>
  <c r="T259" i="39"/>
  <c r="U259" i="39" s="1"/>
  <c r="AL262" i="39"/>
  <c r="AM262" i="39" s="1"/>
  <c r="AS271" i="39"/>
  <c r="AG208" i="39"/>
  <c r="U212" i="39"/>
  <c r="AG212" i="39"/>
  <c r="U216" i="39"/>
  <c r="AG224" i="39"/>
  <c r="AG228" i="39"/>
  <c r="AG232" i="39"/>
  <c r="AG240" i="39"/>
  <c r="AG248" i="39"/>
  <c r="U256" i="39"/>
  <c r="V256" i="39" s="1"/>
  <c r="AG256" i="39"/>
  <c r="AM264" i="39"/>
  <c r="AR266" i="39"/>
  <c r="AS266" i="39" s="1"/>
  <c r="AF266" i="39"/>
  <c r="AG266" i="39" s="1"/>
  <c r="T266" i="39"/>
  <c r="U266" i="39" s="1"/>
  <c r="V266" i="39" s="1"/>
  <c r="AL266" i="39"/>
  <c r="AM266" i="39" s="1"/>
  <c r="Z266" i="39"/>
  <c r="AA266" i="39" s="1"/>
  <c r="O274" i="39"/>
  <c r="P274" i="39" s="1"/>
  <c r="Q274" i="39" s="1"/>
  <c r="R274" i="39" s="1"/>
  <c r="AR279" i="39"/>
  <c r="AS279" i="39" s="1"/>
  <c r="AF279" i="39"/>
  <c r="AG279" i="39" s="1"/>
  <c r="T279" i="39"/>
  <c r="U279" i="39" s="1"/>
  <c r="Z279" i="39"/>
  <c r="AA279" i="39" s="1"/>
  <c r="I357" i="39"/>
  <c r="AQ281" i="39"/>
  <c r="AE281" i="39"/>
  <c r="S281" i="39"/>
  <c r="AK281" i="39"/>
  <c r="Y281" i="39"/>
  <c r="J281" i="39"/>
  <c r="U284" i="39"/>
  <c r="V284" i="39" s="1"/>
  <c r="AR285" i="39"/>
  <c r="AS285" i="39" s="1"/>
  <c r="AF285" i="39"/>
  <c r="AG285" i="39" s="1"/>
  <c r="AM294" i="39"/>
  <c r="AA294" i="39"/>
  <c r="AB294" i="39" s="1"/>
  <c r="AC294" i="39" s="1"/>
  <c r="AD294" i="39" s="1"/>
  <c r="AS296" i="39"/>
  <c r="AR300" i="39"/>
  <c r="AL300" i="39"/>
  <c r="AS316" i="39"/>
  <c r="AT316" i="39" s="1"/>
  <c r="AU316" i="39" s="1"/>
  <c r="AS326" i="39"/>
  <c r="AS336" i="39"/>
  <c r="AT336" i="39" s="1"/>
  <c r="AU336" i="39" s="1"/>
  <c r="AL360" i="39"/>
  <c r="AM360" i="39" s="1"/>
  <c r="Z360" i="39"/>
  <c r="AA360" i="39" s="1"/>
  <c r="AR360" i="39"/>
  <c r="AS360" i="39" s="1"/>
  <c r="AF360" i="39"/>
  <c r="AG360" i="39" s="1"/>
  <c r="T360" i="39"/>
  <c r="U360" i="39" s="1"/>
  <c r="AL368" i="39"/>
  <c r="AM368" i="39" s="1"/>
  <c r="Z368" i="39"/>
  <c r="AA368" i="39" s="1"/>
  <c r="AR368" i="39"/>
  <c r="AS368" i="39" s="1"/>
  <c r="AF368" i="39"/>
  <c r="AG368" i="39" s="1"/>
  <c r="T368" i="39"/>
  <c r="U368" i="39" s="1"/>
  <c r="V368" i="39" s="1"/>
  <c r="AL376" i="39"/>
  <c r="AM376" i="39" s="1"/>
  <c r="Z376" i="39"/>
  <c r="AA376" i="39" s="1"/>
  <c r="AR376" i="39"/>
  <c r="AS376" i="39" s="1"/>
  <c r="AF376" i="39"/>
  <c r="AG376" i="39" s="1"/>
  <c r="T376" i="39"/>
  <c r="U376" i="39" s="1"/>
  <c r="Z240" i="39"/>
  <c r="AA240" i="39" s="1"/>
  <c r="Z244" i="39"/>
  <c r="AA244" i="39" s="1"/>
  <c r="Z248" i="39"/>
  <c r="AA248" i="39" s="1"/>
  <c r="Z252" i="39"/>
  <c r="AA252" i="39" s="1"/>
  <c r="Z256" i="39"/>
  <c r="AA256" i="39" s="1"/>
  <c r="Z260" i="39"/>
  <c r="AA260" i="39" s="1"/>
  <c r="AS267" i="39"/>
  <c r="T267" i="39"/>
  <c r="U267" i="39" s="1"/>
  <c r="Z267" i="39"/>
  <c r="AA267" i="39" s="1"/>
  <c r="AF267" i="39"/>
  <c r="AG267" i="39" s="1"/>
  <c r="AL267" i="39"/>
  <c r="AM267" i="39" s="1"/>
  <c r="AL268" i="39"/>
  <c r="AM268" i="39" s="1"/>
  <c r="Z268" i="39"/>
  <c r="AA268" i="39" s="1"/>
  <c r="AR268" i="39"/>
  <c r="AS268" i="39" s="1"/>
  <c r="AF268" i="39"/>
  <c r="AG268" i="39" s="1"/>
  <c r="T268" i="39"/>
  <c r="U268" i="39" s="1"/>
  <c r="Q269" i="39"/>
  <c r="R269" i="39" s="1"/>
  <c r="Q272" i="39"/>
  <c r="R272" i="39" s="1"/>
  <c r="AL276" i="39"/>
  <c r="AM276" i="39" s="1"/>
  <c r="Z276" i="39"/>
  <c r="AA276" i="39" s="1"/>
  <c r="AR276" i="39"/>
  <c r="AS276" i="39" s="1"/>
  <c r="AF276" i="39"/>
  <c r="AG276" i="39" s="1"/>
  <c r="T276" i="39"/>
  <c r="U276" i="39" s="1"/>
  <c r="AL277" i="39"/>
  <c r="AM277" i="39" s="1"/>
  <c r="Z277" i="39"/>
  <c r="AA277" i="39" s="1"/>
  <c r="AR277" i="39"/>
  <c r="AS277" i="39" s="1"/>
  <c r="AL279" i="39"/>
  <c r="AM279" i="39" s="1"/>
  <c r="U282" i="39"/>
  <c r="V282" i="39" s="1"/>
  <c r="AL283" i="39"/>
  <c r="AM283" i="39" s="1"/>
  <c r="Z283" i="39"/>
  <c r="AA283" i="39" s="1"/>
  <c r="AR286" i="39"/>
  <c r="AS286" i="39" s="1"/>
  <c r="AF286" i="39"/>
  <c r="AG286" i="39" s="1"/>
  <c r="AL286" i="39"/>
  <c r="AM286" i="39" s="1"/>
  <c r="Z286" i="39"/>
  <c r="AA286" i="39" s="1"/>
  <c r="U288" i="39"/>
  <c r="V288" i="39" s="1"/>
  <c r="AR289" i="39"/>
  <c r="AS289" i="39" s="1"/>
  <c r="AF289" i="39"/>
  <c r="AG289" i="39" s="1"/>
  <c r="AR291" i="39"/>
  <c r="AS291" i="39" s="1"/>
  <c r="AA293" i="39"/>
  <c r="AB293" i="39" s="1"/>
  <c r="AC293" i="39" s="1"/>
  <c r="AD293" i="39" s="1"/>
  <c r="AG298" i="39"/>
  <c r="AH298" i="39" s="1"/>
  <c r="AI298" i="39" s="1"/>
  <c r="AJ298" i="39" s="1"/>
  <c r="AL301" i="39"/>
  <c r="AR301" i="39"/>
  <c r="AS320" i="39"/>
  <c r="AU333" i="39"/>
  <c r="AL361" i="39"/>
  <c r="AM361" i="39" s="1"/>
  <c r="Z361" i="39"/>
  <c r="AA361" i="39" s="1"/>
  <c r="AF361" i="39"/>
  <c r="AG361" i="39" s="1"/>
  <c r="T361" i="39"/>
  <c r="U361" i="39" s="1"/>
  <c r="AL369" i="39"/>
  <c r="AM369" i="39" s="1"/>
  <c r="Z369" i="39"/>
  <c r="AA369" i="39" s="1"/>
  <c r="AF369" i="39"/>
  <c r="AG369" i="39" s="1"/>
  <c r="T369" i="39"/>
  <c r="U369" i="39" s="1"/>
  <c r="AL377" i="39"/>
  <c r="AM377" i="39" s="1"/>
  <c r="Z377" i="39"/>
  <c r="AA377" i="39" s="1"/>
  <c r="AF377" i="39"/>
  <c r="AG377" i="39" s="1"/>
  <c r="T377" i="39"/>
  <c r="U377" i="39" s="1"/>
  <c r="AR264" i="39"/>
  <c r="AS264" i="39" s="1"/>
  <c r="AF264" i="39"/>
  <c r="AG264" i="39" s="1"/>
  <c r="T264" i="39"/>
  <c r="U264" i="39" s="1"/>
  <c r="Z264" i="39"/>
  <c r="AA264" i="39" s="1"/>
  <c r="AR270" i="39"/>
  <c r="AS270" i="39" s="1"/>
  <c r="AF270" i="39"/>
  <c r="AG270" i="39" s="1"/>
  <c r="T270" i="39"/>
  <c r="U270" i="39" s="1"/>
  <c r="AL270" i="39"/>
  <c r="AM270" i="39" s="1"/>
  <c r="Z270" i="39"/>
  <c r="AA270" i="39" s="1"/>
  <c r="AR275" i="39"/>
  <c r="AS275" i="39" s="1"/>
  <c r="AF275" i="39"/>
  <c r="AG275" i="39" s="1"/>
  <c r="T275" i="39"/>
  <c r="U275" i="39" s="1"/>
  <c r="Z275" i="39"/>
  <c r="AA275" i="39" s="1"/>
  <c r="O278" i="39"/>
  <c r="P278" i="39" s="1"/>
  <c r="Z285" i="39"/>
  <c r="AA285" i="39" s="1"/>
  <c r="AL290" i="39"/>
  <c r="AM290" i="39" s="1"/>
  <c r="AR290" i="39"/>
  <c r="AS290" i="39" s="1"/>
  <c r="AF290" i="39"/>
  <c r="AG290" i="39" s="1"/>
  <c r="AA292" i="39"/>
  <c r="AB292" i="39" s="1"/>
  <c r="AL298" i="39"/>
  <c r="AM298" i="39" s="1"/>
  <c r="AR298" i="39"/>
  <c r="AS298" i="39" s="1"/>
  <c r="O304" i="39"/>
  <c r="P304" i="39" s="1"/>
  <c r="AS308" i="39"/>
  <c r="AS324" i="39"/>
  <c r="N413" i="39"/>
  <c r="O359" i="39"/>
  <c r="AG394" i="39"/>
  <c r="AH394" i="39" s="1"/>
  <c r="AI394" i="39" s="1"/>
  <c r="AJ394" i="39" s="1"/>
  <c r="O267" i="39"/>
  <c r="P267" i="39" s="1"/>
  <c r="O271" i="39"/>
  <c r="P271" i="39" s="1"/>
  <c r="Q271" i="39" s="1"/>
  <c r="R271" i="39" s="1"/>
  <c r="AA271" i="39"/>
  <c r="AM271" i="39"/>
  <c r="AS273" i="39"/>
  <c r="Z274" i="39"/>
  <c r="AA274" i="39" s="1"/>
  <c r="AL274" i="39"/>
  <c r="AM274" i="39" s="1"/>
  <c r="O275" i="39"/>
  <c r="P275" i="39" s="1"/>
  <c r="Q275" i="39" s="1"/>
  <c r="R275" i="39" s="1"/>
  <c r="AM275" i="39"/>
  <c r="U277" i="39"/>
  <c r="AG277" i="39"/>
  <c r="Z278" i="39"/>
  <c r="AA278" i="39" s="1"/>
  <c r="AL278" i="39"/>
  <c r="AM278" i="39" s="1"/>
  <c r="O279" i="39"/>
  <c r="P279" i="39" s="1"/>
  <c r="Q279" i="39" s="1"/>
  <c r="R279" i="39" s="1"/>
  <c r="AA282" i="39"/>
  <c r="U283" i="39"/>
  <c r="V283" i="39" s="1"/>
  <c r="AG283" i="39"/>
  <c r="AF284" i="39"/>
  <c r="AG284" i="39" s="1"/>
  <c r="AR284" i="39"/>
  <c r="AS284" i="39" s="1"/>
  <c r="AM285" i="39"/>
  <c r="U287" i="39"/>
  <c r="V287" i="39" s="1"/>
  <c r="W287" i="39" s="1"/>
  <c r="X287" i="39" s="1"/>
  <c r="AG287" i="39"/>
  <c r="AF288" i="39"/>
  <c r="AG288" i="39" s="1"/>
  <c r="AR288" i="39"/>
  <c r="AS288" i="39" s="1"/>
  <c r="AM289" i="39"/>
  <c r="AG291" i="39"/>
  <c r="AG292" i="39"/>
  <c r="AS292" i="39"/>
  <c r="AS294" i="39"/>
  <c r="AL296" i="39"/>
  <c r="AK301" i="39"/>
  <c r="J301" i="39"/>
  <c r="AQ301" i="39"/>
  <c r="AS332" i="39"/>
  <c r="AT332" i="39" s="1"/>
  <c r="AU332" i="39" s="1"/>
  <c r="AS348" i="39"/>
  <c r="AT348" i="39" s="1"/>
  <c r="AU348" i="39" s="1"/>
  <c r="AR359" i="39"/>
  <c r="AS359" i="39" s="1"/>
  <c r="AF359" i="39"/>
  <c r="AG359" i="39" s="1"/>
  <c r="T359" i="39"/>
  <c r="U359" i="39" s="1"/>
  <c r="Z359" i="39"/>
  <c r="O362" i="39"/>
  <c r="P362" i="39" s="1"/>
  <c r="Q363" i="39"/>
  <c r="R363" i="39" s="1"/>
  <c r="AR367" i="39"/>
  <c r="AS367" i="39" s="1"/>
  <c r="AF367" i="39"/>
  <c r="AG367" i="39" s="1"/>
  <c r="T367" i="39"/>
  <c r="U367" i="39" s="1"/>
  <c r="Z367" i="39"/>
  <c r="AA367" i="39" s="1"/>
  <c r="O370" i="39"/>
  <c r="P370" i="39" s="1"/>
  <c r="AR375" i="39"/>
  <c r="AS375" i="39" s="1"/>
  <c r="AF375" i="39"/>
  <c r="AG375" i="39" s="1"/>
  <c r="T375" i="39"/>
  <c r="U375" i="39" s="1"/>
  <c r="Z375" i="39"/>
  <c r="AA375" i="39" s="1"/>
  <c r="O378" i="39"/>
  <c r="P378" i="39" s="1"/>
  <c r="AG389" i="39"/>
  <c r="AH389" i="39" s="1"/>
  <c r="AK395" i="39"/>
  <c r="J395" i="39"/>
  <c r="AQ395" i="39"/>
  <c r="AE395" i="39"/>
  <c r="AS396" i="39"/>
  <c r="AS399" i="39"/>
  <c r="AT399" i="39" s="1"/>
  <c r="AU399" i="39" s="1"/>
  <c r="AF282" i="39"/>
  <c r="AG282" i="39" s="1"/>
  <c r="Z295" i="39"/>
  <c r="AA295" i="39" s="1"/>
  <c r="AB295" i="39" s="1"/>
  <c r="AG303" i="39"/>
  <c r="AH303" i="39" s="1"/>
  <c r="AS303" i="39"/>
  <c r="AS305" i="39"/>
  <c r="AO307" i="39"/>
  <c r="AP307" i="39" s="1"/>
  <c r="AS325" i="39"/>
  <c r="AS327" i="39"/>
  <c r="AS344" i="39"/>
  <c r="AT344" i="39" s="1"/>
  <c r="AU344" i="39" s="1"/>
  <c r="AM359" i="39"/>
  <c r="AL364" i="39"/>
  <c r="AM364" i="39" s="1"/>
  <c r="Z364" i="39"/>
  <c r="AA364" i="39" s="1"/>
  <c r="AR364" i="39"/>
  <c r="AS364" i="39" s="1"/>
  <c r="AF364" i="39"/>
  <c r="AG364" i="39" s="1"/>
  <c r="T364" i="39"/>
  <c r="U364" i="39" s="1"/>
  <c r="AL365" i="39"/>
  <c r="AM365" i="39" s="1"/>
  <c r="Z365" i="39"/>
  <c r="AA365" i="39" s="1"/>
  <c r="AR365" i="39"/>
  <c r="AS365" i="39" s="1"/>
  <c r="Q368" i="39"/>
  <c r="R368" i="39" s="1"/>
  <c r="AL372" i="39"/>
  <c r="AM372" i="39" s="1"/>
  <c r="Z372" i="39"/>
  <c r="AA372" i="39" s="1"/>
  <c r="AR372" i="39"/>
  <c r="AS372" i="39" s="1"/>
  <c r="AF372" i="39"/>
  <c r="AG372" i="39" s="1"/>
  <c r="T372" i="39"/>
  <c r="U372" i="39" s="1"/>
  <c r="V372" i="39" s="1"/>
  <c r="AL373" i="39"/>
  <c r="AM373" i="39" s="1"/>
  <c r="Z373" i="39"/>
  <c r="AA373" i="39" s="1"/>
  <c r="AR373" i="39"/>
  <c r="AS373" i="39" s="1"/>
  <c r="Q376" i="39"/>
  <c r="R376" i="39" s="1"/>
  <c r="AL380" i="39"/>
  <c r="AM380" i="39" s="1"/>
  <c r="Z380" i="39"/>
  <c r="AA380" i="39" s="1"/>
  <c r="AR380" i="39"/>
  <c r="AS380" i="39" s="1"/>
  <c r="AF380" i="39"/>
  <c r="AG380" i="39" s="1"/>
  <c r="T380" i="39"/>
  <c r="U380" i="39" s="1"/>
  <c r="AL381" i="39"/>
  <c r="AM381" i="39" s="1"/>
  <c r="Z381" i="39"/>
  <c r="AA381" i="39" s="1"/>
  <c r="AR381" i="39"/>
  <c r="AS381" i="39" s="1"/>
  <c r="AL385" i="39"/>
  <c r="AM385" i="39" s="1"/>
  <c r="Z385" i="39"/>
  <c r="AA385" i="39" s="1"/>
  <c r="AF385" i="39"/>
  <c r="AG385" i="39" s="1"/>
  <c r="AR385" i="39"/>
  <c r="AS385" i="39" s="1"/>
  <c r="AR388" i="39"/>
  <c r="AL388" i="39"/>
  <c r="AM388" i="39" s="1"/>
  <c r="U271" i="39"/>
  <c r="AG271" i="39"/>
  <c r="T274" i="39"/>
  <c r="U274" i="39" s="1"/>
  <c r="AF274" i="39"/>
  <c r="AG274" i="39" s="1"/>
  <c r="T278" i="39"/>
  <c r="U278" i="39" s="1"/>
  <c r="AF278" i="39"/>
  <c r="AG278" i="39" s="1"/>
  <c r="Z284" i="39"/>
  <c r="AA284" i="39" s="1"/>
  <c r="Z288" i="39"/>
  <c r="AA288" i="39" s="1"/>
  <c r="AL297" i="39"/>
  <c r="AM297" i="39" s="1"/>
  <c r="AN297" i="39" s="1"/>
  <c r="AQ299" i="39"/>
  <c r="AE299" i="39"/>
  <c r="AL299" i="39"/>
  <c r="AM299" i="39" s="1"/>
  <c r="AG301" i="39"/>
  <c r="AH301" i="39" s="1"/>
  <c r="AQ302" i="39"/>
  <c r="AE302" i="39"/>
  <c r="AL303" i="39"/>
  <c r="AM303" i="39" s="1"/>
  <c r="AM304" i="39"/>
  <c r="AS331" i="39"/>
  <c r="AT331" i="39" s="1"/>
  <c r="AU331" i="39" s="1"/>
  <c r="AS340" i="39"/>
  <c r="AT340" i="39" s="1"/>
  <c r="AU340" i="39" s="1"/>
  <c r="AS356" i="39"/>
  <c r="AT356" i="39" s="1"/>
  <c r="AU356" i="39" s="1"/>
  <c r="AS361" i="39"/>
  <c r="AR363" i="39"/>
  <c r="AS363" i="39" s="1"/>
  <c r="AF363" i="39"/>
  <c r="AG363" i="39" s="1"/>
  <c r="T363" i="39"/>
  <c r="U363" i="39" s="1"/>
  <c r="V363" i="39" s="1"/>
  <c r="Z363" i="39"/>
  <c r="AA363" i="39" s="1"/>
  <c r="O366" i="39"/>
  <c r="P366" i="39" s="1"/>
  <c r="AS369" i="39"/>
  <c r="AR371" i="39"/>
  <c r="AS371" i="39" s="1"/>
  <c r="AF371" i="39"/>
  <c r="AG371" i="39" s="1"/>
  <c r="T371" i="39"/>
  <c r="U371" i="39" s="1"/>
  <c r="Z371" i="39"/>
  <c r="AA371" i="39" s="1"/>
  <c r="O374" i="39"/>
  <c r="P374" i="39" s="1"/>
  <c r="Q374" i="39" s="1"/>
  <c r="R374" i="39" s="1"/>
  <c r="AS377" i="39"/>
  <c r="AR379" i="39"/>
  <c r="AS379" i="39" s="1"/>
  <c r="AF379" i="39"/>
  <c r="AG379" i="39" s="1"/>
  <c r="T379" i="39"/>
  <c r="U379" i="39" s="1"/>
  <c r="Z379" i="39"/>
  <c r="AA379" i="39" s="1"/>
  <c r="U382" i="39"/>
  <c r="V382" i="39" s="1"/>
  <c r="AL383" i="39"/>
  <c r="Z383" i="39"/>
  <c r="AA383" i="39" s="1"/>
  <c r="AR383" i="39"/>
  <c r="AF383" i="39"/>
  <c r="AR384" i="39"/>
  <c r="AS384" i="39" s="1"/>
  <c r="AL384" i="39"/>
  <c r="AM384" i="39" s="1"/>
  <c r="AF384" i="39"/>
  <c r="AG384" i="39" s="1"/>
  <c r="AL386" i="39"/>
  <c r="AM386" i="39" s="1"/>
  <c r="AF386" i="39"/>
  <c r="AG386" i="39" s="1"/>
  <c r="AR386" i="39"/>
  <c r="AS386" i="39" s="1"/>
  <c r="Z362" i="39"/>
  <c r="AA362" i="39" s="1"/>
  <c r="AL362" i="39"/>
  <c r="AM362" i="39" s="1"/>
  <c r="AG365" i="39"/>
  <c r="Z366" i="39"/>
  <c r="AA366" i="39" s="1"/>
  <c r="AL366" i="39"/>
  <c r="AM366" i="39" s="1"/>
  <c r="Z370" i="39"/>
  <c r="AA370" i="39" s="1"/>
  <c r="AL370" i="39"/>
  <c r="AM370" i="39" s="1"/>
  <c r="AG373" i="39"/>
  <c r="Z374" i="39"/>
  <c r="AA374" i="39" s="1"/>
  <c r="AL374" i="39"/>
  <c r="AM374" i="39" s="1"/>
  <c r="Z378" i="39"/>
  <c r="AA378" i="39" s="1"/>
  <c r="AL378" i="39"/>
  <c r="AM378" i="39" s="1"/>
  <c r="O379" i="39"/>
  <c r="P379" i="39" s="1"/>
  <c r="AM379" i="39"/>
  <c r="I413" i="39"/>
  <c r="AC386" i="39"/>
  <c r="AD386" i="39" s="1"/>
  <c r="AR387" i="39"/>
  <c r="AS387" i="39" s="1"/>
  <c r="AF387" i="39"/>
  <c r="AG387" i="39" s="1"/>
  <c r="AQ390" i="39"/>
  <c r="AE390" i="39"/>
  <c r="AR391" i="39"/>
  <c r="AS391" i="39" s="1"/>
  <c r="AL391" i="39"/>
  <c r="AM391" i="39" s="1"/>
  <c r="AG392" i="39"/>
  <c r="AH392" i="39" s="1"/>
  <c r="AO399" i="39"/>
  <c r="AP399" i="39" s="1"/>
  <c r="AM400" i="39"/>
  <c r="AN400" i="39" s="1"/>
  <c r="AS403" i="39"/>
  <c r="AG417" i="39"/>
  <c r="AR419" i="39"/>
  <c r="AS419" i="39" s="1"/>
  <c r="AF419" i="39"/>
  <c r="AG419" i="39" s="1"/>
  <c r="T419" i="39"/>
  <c r="U419" i="39" s="1"/>
  <c r="Z419" i="39"/>
  <c r="AA419" i="39" s="1"/>
  <c r="AL419" i="39"/>
  <c r="AM419" i="39" s="1"/>
  <c r="O426" i="39"/>
  <c r="P426" i="39" s="1"/>
  <c r="Q426" i="39" s="1"/>
  <c r="R426" i="39" s="1"/>
  <c r="Z304" i="39"/>
  <c r="AA304" i="39" s="1"/>
  <c r="AF382" i="39"/>
  <c r="AG382" i="39" s="1"/>
  <c r="AM387" i="39"/>
  <c r="AS394" i="39"/>
  <c r="AS412" i="39"/>
  <c r="AT412" i="39" s="1"/>
  <c r="AU412" i="39" s="1"/>
  <c r="AR420" i="39"/>
  <c r="AS420" i="39" s="1"/>
  <c r="AF420" i="39"/>
  <c r="AG420" i="39" s="1"/>
  <c r="T420" i="39"/>
  <c r="U420" i="39" s="1"/>
  <c r="Z420" i="39"/>
  <c r="AA420" i="39" s="1"/>
  <c r="AL420" i="39"/>
  <c r="AM420" i="39" s="1"/>
  <c r="AA423" i="39"/>
  <c r="M413" i="39"/>
  <c r="Y413" i="39"/>
  <c r="T362" i="39"/>
  <c r="U362" i="39" s="1"/>
  <c r="AF362" i="39"/>
  <c r="AG362" i="39" s="1"/>
  <c r="T366" i="39"/>
  <c r="U366" i="39" s="1"/>
  <c r="AF366" i="39"/>
  <c r="AG366" i="39" s="1"/>
  <c r="T370" i="39"/>
  <c r="U370" i="39" s="1"/>
  <c r="AF370" i="39"/>
  <c r="AG370" i="39" s="1"/>
  <c r="T374" i="39"/>
  <c r="U374" i="39" s="1"/>
  <c r="AF374" i="39"/>
  <c r="AG374" i="39" s="1"/>
  <c r="T378" i="39"/>
  <c r="U378" i="39" s="1"/>
  <c r="AF378" i="39"/>
  <c r="AG378" i="39" s="1"/>
  <c r="O381" i="39"/>
  <c r="P381" i="39" s="1"/>
  <c r="AA384" i="39"/>
  <c r="AA387" i="39"/>
  <c r="AB387" i="39" s="1"/>
  <c r="AK389" i="39"/>
  <c r="J389" i="39"/>
  <c r="AQ389" i="39"/>
  <c r="AR392" i="39"/>
  <c r="AS392" i="39" s="1"/>
  <c r="AQ393" i="39"/>
  <c r="AE393" i="39"/>
  <c r="AK393" i="39"/>
  <c r="AR393" i="39"/>
  <c r="AM398" i="39"/>
  <c r="AN398" i="39" s="1"/>
  <c r="AS406" i="39"/>
  <c r="AS408" i="39"/>
  <c r="AT408" i="39" s="1"/>
  <c r="AU408" i="39" s="1"/>
  <c r="AR424" i="39"/>
  <c r="AS424" i="39" s="1"/>
  <c r="AF424" i="39"/>
  <c r="AG424" i="39" s="1"/>
  <c r="T424" i="39"/>
  <c r="U424" i="39" s="1"/>
  <c r="V424" i="39" s="1"/>
  <c r="Z424" i="39"/>
  <c r="AA424" i="39" s="1"/>
  <c r="AL424" i="39"/>
  <c r="AM424" i="39" s="1"/>
  <c r="AR428" i="39"/>
  <c r="AS428" i="39" s="1"/>
  <c r="AF428" i="39"/>
  <c r="AG428" i="39" s="1"/>
  <c r="T428" i="39"/>
  <c r="U428" i="39" s="1"/>
  <c r="Z428" i="39"/>
  <c r="AA428" i="39" s="1"/>
  <c r="AL428" i="39"/>
  <c r="AM428" i="39" s="1"/>
  <c r="AL429" i="39"/>
  <c r="AM429" i="39" s="1"/>
  <c r="Z429" i="39"/>
  <c r="AA429" i="39" s="1"/>
  <c r="AL432" i="39"/>
  <c r="AM432" i="39" s="1"/>
  <c r="AF432" i="39"/>
  <c r="AG432" i="39" s="1"/>
  <c r="AL442" i="39"/>
  <c r="AM442" i="39" s="1"/>
  <c r="Z442" i="39"/>
  <c r="AA442" i="39" s="1"/>
  <c r="T442" i="39"/>
  <c r="U442" i="39" s="1"/>
  <c r="AF442" i="39"/>
  <c r="AG442" i="39" s="1"/>
  <c r="AS450" i="39"/>
  <c r="U450" i="39"/>
  <c r="V450" i="39" s="1"/>
  <c r="W450" i="39" s="1"/>
  <c r="X450" i="39" s="1"/>
  <c r="AR455" i="39"/>
  <c r="AF455" i="39"/>
  <c r="AL455" i="39"/>
  <c r="AM404" i="39"/>
  <c r="AN404" i="39" s="1"/>
  <c r="AO407" i="39"/>
  <c r="AP407" i="39" s="1"/>
  <c r="AS407" i="39"/>
  <c r="AT407" i="39" s="1"/>
  <c r="AU407" i="39" s="1"/>
  <c r="AR415" i="39"/>
  <c r="AF415" i="39"/>
  <c r="AG415" i="39" s="1"/>
  <c r="T415" i="39"/>
  <c r="AM415" i="39"/>
  <c r="Q417" i="39"/>
  <c r="R417" i="39" s="1"/>
  <c r="AM418" i="39"/>
  <c r="O422" i="39"/>
  <c r="P422" i="39" s="1"/>
  <c r="AS422" i="39"/>
  <c r="O423" i="39"/>
  <c r="P423" i="39" s="1"/>
  <c r="Q423" i="39" s="1"/>
  <c r="R423" i="39" s="1"/>
  <c r="AL425" i="39"/>
  <c r="AM425" i="39" s="1"/>
  <c r="Z425" i="39"/>
  <c r="AA425" i="39" s="1"/>
  <c r="AS425" i="39"/>
  <c r="AR429" i="39"/>
  <c r="AS429" i="39" s="1"/>
  <c r="AL431" i="39"/>
  <c r="AM431" i="39" s="1"/>
  <c r="AF431" i="39"/>
  <c r="AG431" i="39" s="1"/>
  <c r="T431" i="39"/>
  <c r="U431" i="39" s="1"/>
  <c r="AR431" i="39"/>
  <c r="AS431" i="39" s="1"/>
  <c r="Q433" i="39"/>
  <c r="R433" i="39" s="1"/>
  <c r="AR437" i="39"/>
  <c r="AS437" i="39" s="1"/>
  <c r="AF437" i="39"/>
  <c r="AG437" i="39" s="1"/>
  <c r="T437" i="39"/>
  <c r="U437" i="39" s="1"/>
  <c r="O439" i="39"/>
  <c r="P439" i="39" s="1"/>
  <c r="I517" i="39"/>
  <c r="AQ447" i="39"/>
  <c r="AE447" i="39"/>
  <c r="S447" i="39"/>
  <c r="Y447" i="39"/>
  <c r="J447" i="39"/>
  <c r="AK447" i="39"/>
  <c r="AL449" i="39"/>
  <c r="AM449" i="39" s="1"/>
  <c r="Z449" i="39"/>
  <c r="AA449" i="39" s="1"/>
  <c r="AF449" i="39"/>
  <c r="AG449" i="39" s="1"/>
  <c r="AR449" i="39"/>
  <c r="AS449" i="39" s="1"/>
  <c r="U453" i="39"/>
  <c r="V453" i="39" s="1"/>
  <c r="W453" i="39" s="1"/>
  <c r="X453" i="39" s="1"/>
  <c r="AR416" i="39"/>
  <c r="AS416" i="39" s="1"/>
  <c r="AF416" i="39"/>
  <c r="AG416" i="39" s="1"/>
  <c r="T416" i="39"/>
  <c r="U416" i="39" s="1"/>
  <c r="O418" i="39"/>
  <c r="P418" i="39" s="1"/>
  <c r="AL421" i="39"/>
  <c r="AM421" i="39" s="1"/>
  <c r="Z421" i="39"/>
  <c r="AA421" i="39" s="1"/>
  <c r="Q424" i="39"/>
  <c r="R424" i="39" s="1"/>
  <c r="AR427" i="39"/>
  <c r="AS427" i="39" s="1"/>
  <c r="AF427" i="39"/>
  <c r="AG427" i="39" s="1"/>
  <c r="T427" i="39"/>
  <c r="U427" i="39" s="1"/>
  <c r="V427" i="39" s="1"/>
  <c r="Q427" i="39"/>
  <c r="R427" i="39" s="1"/>
  <c r="Q429" i="39"/>
  <c r="R429" i="39" s="1"/>
  <c r="AF429" i="39"/>
  <c r="AG429" i="39" s="1"/>
  <c r="Z432" i="39"/>
  <c r="AA432" i="39" s="1"/>
  <c r="AL435" i="39"/>
  <c r="AM435" i="39" s="1"/>
  <c r="Z435" i="39"/>
  <c r="AA435" i="39" s="1"/>
  <c r="AR435" i="39"/>
  <c r="AS435" i="39" s="1"/>
  <c r="AF435" i="39"/>
  <c r="AG435" i="39" s="1"/>
  <c r="AR444" i="39"/>
  <c r="AS444" i="39" s="1"/>
  <c r="AF444" i="39"/>
  <c r="AG444" i="39" s="1"/>
  <c r="T444" i="39"/>
  <c r="U444" i="39" s="1"/>
  <c r="Z444" i="39"/>
  <c r="AA444" i="39" s="1"/>
  <c r="AL444" i="39"/>
  <c r="AM444" i="39" s="1"/>
  <c r="AR451" i="39"/>
  <c r="AS451" i="39" s="1"/>
  <c r="AF451" i="39"/>
  <c r="AG451" i="39" s="1"/>
  <c r="AL451" i="39"/>
  <c r="AM451" i="39" s="1"/>
  <c r="Z451" i="39"/>
  <c r="AA451" i="39" s="1"/>
  <c r="AB451" i="39" s="1"/>
  <c r="AR454" i="39"/>
  <c r="AF454" i="39"/>
  <c r="AL454" i="39"/>
  <c r="AR470" i="39"/>
  <c r="AL470" i="39"/>
  <c r="AM470" i="39" s="1"/>
  <c r="AR395" i="39"/>
  <c r="AM397" i="39"/>
  <c r="AN397" i="39" s="1"/>
  <c r="AO402" i="39"/>
  <c r="AP402" i="39" s="1"/>
  <c r="AS402" i="39"/>
  <c r="AT402" i="39" s="1"/>
  <c r="AU402" i="39" s="1"/>
  <c r="AM405" i="39"/>
  <c r="AN405" i="39" s="1"/>
  <c r="AS411" i="39"/>
  <c r="AT411" i="39" s="1"/>
  <c r="AU411" i="39" s="1"/>
  <c r="O415" i="39"/>
  <c r="Z415" i="39"/>
  <c r="AA415" i="39" s="1"/>
  <c r="AL416" i="39"/>
  <c r="AM416" i="39" s="1"/>
  <c r="AL417" i="39"/>
  <c r="AM417" i="39" s="1"/>
  <c r="Z417" i="39"/>
  <c r="AA417" i="39" s="1"/>
  <c r="AS417" i="39"/>
  <c r="AR421" i="39"/>
  <c r="AS421" i="39" s="1"/>
  <c r="AR423" i="39"/>
  <c r="AS423" i="39" s="1"/>
  <c r="AF423" i="39"/>
  <c r="AG423" i="39" s="1"/>
  <c r="T423" i="39"/>
  <c r="U423" i="39" s="1"/>
  <c r="AM423" i="39"/>
  <c r="AF425" i="39"/>
  <c r="AG425" i="39" s="1"/>
  <c r="AM426" i="39"/>
  <c r="AA427" i="39"/>
  <c r="AL427" i="39"/>
  <c r="AM427" i="39" s="1"/>
  <c r="T429" i="39"/>
  <c r="U429" i="39" s="1"/>
  <c r="V429" i="39" s="1"/>
  <c r="O430" i="39"/>
  <c r="P430" i="39" s="1"/>
  <c r="O431" i="39"/>
  <c r="P431" i="39" s="1"/>
  <c r="Z431" i="39"/>
  <c r="AA431" i="39" s="1"/>
  <c r="T432" i="39"/>
  <c r="U432" i="39" s="1"/>
  <c r="AR432" i="39"/>
  <c r="AS432" i="39" s="1"/>
  <c r="AL434" i="39"/>
  <c r="AM434" i="39" s="1"/>
  <c r="AF434" i="39"/>
  <c r="AG434" i="39" s="1"/>
  <c r="U435" i="39"/>
  <c r="Z437" i="39"/>
  <c r="AA437" i="39" s="1"/>
  <c r="AM437" i="39"/>
  <c r="AS439" i="39"/>
  <c r="O440" i="39"/>
  <c r="P440" i="39" s="1"/>
  <c r="AR442" i="39"/>
  <c r="AS442" i="39" s="1"/>
  <c r="AR445" i="39"/>
  <c r="AS445" i="39" s="1"/>
  <c r="AF445" i="39"/>
  <c r="AG445" i="39" s="1"/>
  <c r="T445" i="39"/>
  <c r="U445" i="39" s="1"/>
  <c r="AL445" i="39"/>
  <c r="AM445" i="39" s="1"/>
  <c r="AM448" i="39"/>
  <c r="AL519" i="39"/>
  <c r="AL521" i="39" s="1"/>
  <c r="AR519" i="39"/>
  <c r="AR521" i="39" s="1"/>
  <c r="AE391" i="39"/>
  <c r="Z418" i="39"/>
  <c r="AA418" i="39" s="1"/>
  <c r="Z422" i="39"/>
  <c r="AA422" i="39" s="1"/>
  <c r="Z426" i="39"/>
  <c r="AA426" i="39" s="1"/>
  <c r="Z430" i="39"/>
  <c r="AA430" i="39" s="1"/>
  <c r="O432" i="39"/>
  <c r="P432" i="39" s="1"/>
  <c r="AL436" i="39"/>
  <c r="AM436" i="39" s="1"/>
  <c r="AL438" i="39"/>
  <c r="AM438" i="39" s="1"/>
  <c r="AR438" i="39"/>
  <c r="AS438" i="39" s="1"/>
  <c r="AR440" i="39"/>
  <c r="AS440" i="39" s="1"/>
  <c r="AF440" i="39"/>
  <c r="AG440" i="39" s="1"/>
  <c r="T440" i="39"/>
  <c r="U440" i="39" s="1"/>
  <c r="AM440" i="39"/>
  <c r="AM443" i="39"/>
  <c r="J455" i="39"/>
  <c r="AQ455" i="39"/>
  <c r="AE455" i="39"/>
  <c r="AK455" i="39"/>
  <c r="Y455" i="39"/>
  <c r="AL461" i="39"/>
  <c r="AM461" i="39" s="1"/>
  <c r="AR461" i="39"/>
  <c r="AS461" i="39" s="1"/>
  <c r="AM464" i="39"/>
  <c r="AG466" i="39"/>
  <c r="AH466" i="39" s="1"/>
  <c r="AI466" i="39" s="1"/>
  <c r="AJ466" i="39" s="1"/>
  <c r="AS493" i="39"/>
  <c r="AT493" i="39" s="1"/>
  <c r="AU493" i="39" s="1"/>
  <c r="J388" i="39"/>
  <c r="T436" i="39"/>
  <c r="U436" i="39" s="1"/>
  <c r="AR441" i="39"/>
  <c r="AS441" i="39" s="1"/>
  <c r="AF441" i="39"/>
  <c r="AG441" i="39" s="1"/>
  <c r="T441" i="39"/>
  <c r="U441" i="39" s="1"/>
  <c r="V441" i="39" s="1"/>
  <c r="O443" i="39"/>
  <c r="P443" i="39" s="1"/>
  <c r="O444" i="39"/>
  <c r="P444" i="39" s="1"/>
  <c r="AL446" i="39"/>
  <c r="AM446" i="39" s="1"/>
  <c r="Z446" i="39"/>
  <c r="AA446" i="39" s="1"/>
  <c r="AR448" i="39"/>
  <c r="AS448" i="39" s="1"/>
  <c r="AF448" i="39"/>
  <c r="Z448" i="39"/>
  <c r="U449" i="39"/>
  <c r="V449" i="39" s="1"/>
  <c r="W451" i="39"/>
  <c r="X451" i="39" s="1"/>
  <c r="AL452" i="39"/>
  <c r="AM452" i="39" s="1"/>
  <c r="Z452" i="39"/>
  <c r="AA452" i="39" s="1"/>
  <c r="AF452" i="39"/>
  <c r="AG452" i="39" s="1"/>
  <c r="AL468" i="39"/>
  <c r="AM468" i="39" s="1"/>
  <c r="AR468" i="39"/>
  <c r="AS468" i="39" s="1"/>
  <c r="AQ471" i="39"/>
  <c r="AK471" i="39"/>
  <c r="Y471" i="39"/>
  <c r="M471" i="39"/>
  <c r="AE471" i="39"/>
  <c r="S471" i="39"/>
  <c r="J471" i="39"/>
  <c r="AS509" i="39"/>
  <c r="AT509" i="39" s="1"/>
  <c r="AU509" i="39" s="1"/>
  <c r="AR456" i="39"/>
  <c r="AF456" i="39"/>
  <c r="AL456" i="39"/>
  <c r="AR457" i="39"/>
  <c r="AS457" i="39" s="1"/>
  <c r="AF457" i="39"/>
  <c r="AG457" i="39" s="1"/>
  <c r="AL457" i="39"/>
  <c r="AM457" i="39" s="1"/>
  <c r="AL463" i="39"/>
  <c r="AM463" i="39" s="1"/>
  <c r="AR463" i="39"/>
  <c r="AS463" i="39" s="1"/>
  <c r="AG469" i="39"/>
  <c r="AH469" i="39" s="1"/>
  <c r="AS469" i="39"/>
  <c r="AM476" i="39"/>
  <c r="AN476" i="39" s="1"/>
  <c r="AT476" i="39" s="1"/>
  <c r="AU476" i="39" s="1"/>
  <c r="AM480" i="39"/>
  <c r="AN480" i="39" s="1"/>
  <c r="AT480" i="39" s="1"/>
  <c r="AU480" i="39" s="1"/>
  <c r="AM484" i="39"/>
  <c r="AN484" i="39" s="1"/>
  <c r="AT484" i="39" s="1"/>
  <c r="AU484" i="39" s="1"/>
  <c r="AS520" i="39"/>
  <c r="Z439" i="39"/>
  <c r="AA439" i="39" s="1"/>
  <c r="Z443" i="39"/>
  <c r="AA443" i="39" s="1"/>
  <c r="Z447" i="39"/>
  <c r="S448" i="39"/>
  <c r="AE448" i="39"/>
  <c r="U452" i="39"/>
  <c r="V452" i="39" s="1"/>
  <c r="AS452" i="39"/>
  <c r="AF453" i="39"/>
  <c r="AG453" i="39" s="1"/>
  <c r="AQ454" i="39"/>
  <c r="AR460" i="39"/>
  <c r="AS460" i="39" s="1"/>
  <c r="AF460" i="39"/>
  <c r="AG460" i="39" s="1"/>
  <c r="AG465" i="39"/>
  <c r="AH465" i="39" s="1"/>
  <c r="AS465" i="39"/>
  <c r="AL469" i="39"/>
  <c r="AM469" i="39" s="1"/>
  <c r="AM485" i="39"/>
  <c r="AN485" i="39" s="1"/>
  <c r="AO485" i="39" s="1"/>
  <c r="AP485" i="39" s="1"/>
  <c r="AI520" i="39"/>
  <c r="AJ520" i="39" s="1"/>
  <c r="Q524" i="39"/>
  <c r="R524" i="39" s="1"/>
  <c r="AF450" i="39"/>
  <c r="AG450" i="39" s="1"/>
  <c r="AC458" i="39"/>
  <c r="AD458" i="39" s="1"/>
  <c r="AR459" i="39"/>
  <c r="AS459" i="39" s="1"/>
  <c r="AF459" i="39"/>
  <c r="AG459" i="39" s="1"/>
  <c r="AQ464" i="39"/>
  <c r="AE464" i="39"/>
  <c r="AL465" i="39"/>
  <c r="AM465" i="39" s="1"/>
  <c r="AS501" i="39"/>
  <c r="AT501" i="39" s="1"/>
  <c r="AU501" i="39" s="1"/>
  <c r="AR524" i="39"/>
  <c r="AF524" i="39"/>
  <c r="AG524" i="39" s="1"/>
  <c r="T524" i="39"/>
  <c r="U524" i="39" s="1"/>
  <c r="V524" i="39" s="1"/>
  <c r="AL524" i="39"/>
  <c r="AM524" i="39" s="1"/>
  <c r="Z524" i="39"/>
  <c r="Z453" i="39"/>
  <c r="AA453" i="39" s="1"/>
  <c r="AL453" i="39"/>
  <c r="AM453" i="39" s="1"/>
  <c r="Y454" i="39"/>
  <c r="AR458" i="39"/>
  <c r="AS458" i="39" s="1"/>
  <c r="AF458" i="39"/>
  <c r="AG458" i="39" s="1"/>
  <c r="AH458" i="39" s="1"/>
  <c r="AL462" i="39"/>
  <c r="AM462" i="39" s="1"/>
  <c r="J464" i="39"/>
  <c r="AK466" i="39"/>
  <c r="J466" i="39"/>
  <c r="AQ466" i="39"/>
  <c r="AL467" i="39"/>
  <c r="AM467" i="39" s="1"/>
  <c r="AS485" i="39"/>
  <c r="AE456" i="39"/>
  <c r="AQ456" i="39"/>
  <c r="Z472" i="39"/>
  <c r="AS490" i="39"/>
  <c r="AT490" i="39" s="1"/>
  <c r="AU490" i="39" s="1"/>
  <c r="AU491" i="39"/>
  <c r="AU492" i="39"/>
  <c r="AS498" i="39"/>
  <c r="AT498" i="39" s="1"/>
  <c r="AU498" i="39" s="1"/>
  <c r="AS506" i="39"/>
  <c r="AT506" i="39" s="1"/>
  <c r="AU506" i="39" s="1"/>
  <c r="AU507" i="39"/>
  <c r="AU508" i="39"/>
  <c r="AS514" i="39"/>
  <c r="AT514" i="39" s="1"/>
  <c r="AU514" i="39" s="1"/>
  <c r="AU515" i="39"/>
  <c r="AU516" i="39"/>
  <c r="AQ519" i="39"/>
  <c r="AE519" i="39"/>
  <c r="AM520" i="39"/>
  <c r="AN520" i="39" s="1"/>
  <c r="J470" i="39"/>
  <c r="Z471" i="39"/>
  <c r="S472" i="39"/>
  <c r="AE472" i="39"/>
  <c r="AS489" i="39"/>
  <c r="AT489" i="39" s="1"/>
  <c r="AU489" i="39" s="1"/>
  <c r="AS497" i="39"/>
  <c r="AT497" i="39" s="1"/>
  <c r="AU497" i="39" s="1"/>
  <c r="AS505" i="39"/>
  <c r="AT505" i="39" s="1"/>
  <c r="AU505" i="39" s="1"/>
  <c r="AS513" i="39"/>
  <c r="AT513" i="39" s="1"/>
  <c r="AU513" i="39" s="1"/>
  <c r="J519" i="39"/>
  <c r="J521" i="39" s="1"/>
  <c r="I521" i="39"/>
  <c r="I550" i="39" s="1"/>
  <c r="AL523" i="39"/>
  <c r="AF523" i="39"/>
  <c r="AG523" i="39" s="1"/>
  <c r="U523" i="39"/>
  <c r="AS523" i="39"/>
  <c r="AG525" i="39"/>
  <c r="AM526" i="39"/>
  <c r="AR527" i="39"/>
  <c r="AS527" i="39" s="1"/>
  <c r="AF527" i="39"/>
  <c r="AG527" i="39" s="1"/>
  <c r="T527" i="39"/>
  <c r="U527" i="39" s="1"/>
  <c r="V527" i="39" s="1"/>
  <c r="W527" i="39" s="1"/>
  <c r="X527" i="39" s="1"/>
  <c r="Z527" i="39"/>
  <c r="AA527" i="39" s="1"/>
  <c r="AL527" i="39"/>
  <c r="AM527" i="39" s="1"/>
  <c r="O530" i="39"/>
  <c r="P530" i="39" s="1"/>
  <c r="Q530" i="39" s="1"/>
  <c r="R530" i="39" s="1"/>
  <c r="AS486" i="39"/>
  <c r="AT486" i="39" s="1"/>
  <c r="AU486" i="39" s="1"/>
  <c r="AS494" i="39"/>
  <c r="AT494" i="39" s="1"/>
  <c r="AU494" i="39" s="1"/>
  <c r="AS502" i="39"/>
  <c r="AT502" i="39" s="1"/>
  <c r="AU502" i="39" s="1"/>
  <c r="AS510" i="39"/>
  <c r="AT510" i="39" s="1"/>
  <c r="AU510" i="39" s="1"/>
  <c r="AU511" i="39"/>
  <c r="AK521" i="39"/>
  <c r="I568" i="39" s="1"/>
  <c r="J538" i="39"/>
  <c r="Y538" i="39"/>
  <c r="AF528" i="39"/>
  <c r="AG528" i="39" s="1"/>
  <c r="T528" i="39"/>
  <c r="U528" i="39" s="1"/>
  <c r="Z528" i="39"/>
  <c r="AA528" i="39" s="1"/>
  <c r="AL528" i="39"/>
  <c r="AM528" i="39" s="1"/>
  <c r="AR528" i="39"/>
  <c r="AS528" i="39" s="1"/>
  <c r="M538" i="39"/>
  <c r="O523" i="39"/>
  <c r="AK538" i="39"/>
  <c r="I569" i="39" s="1"/>
  <c r="O526" i="39"/>
  <c r="P526" i="39" s="1"/>
  <c r="O529" i="39"/>
  <c r="P529" i="39" s="1"/>
  <c r="N538" i="39"/>
  <c r="AL525" i="39"/>
  <c r="AM525" i="39" s="1"/>
  <c r="Z525" i="39"/>
  <c r="AA525" i="39" s="1"/>
  <c r="Q528" i="39"/>
  <c r="R528" i="39" s="1"/>
  <c r="AS535" i="39"/>
  <c r="AT535" i="39" s="1"/>
  <c r="AU535" i="39" s="1"/>
  <c r="S538" i="39"/>
  <c r="AE538" i="39"/>
  <c r="AQ538" i="39"/>
  <c r="M569" i="39" s="1"/>
  <c r="Z526" i="39"/>
  <c r="AA526" i="39" s="1"/>
  <c r="AL529" i="39"/>
  <c r="AM529" i="39" s="1"/>
  <c r="Z529" i="39"/>
  <c r="AA529" i="39" s="1"/>
  <c r="T529" i="39"/>
  <c r="U529" i="39" s="1"/>
  <c r="AR530" i="39"/>
  <c r="AS530" i="39" s="1"/>
  <c r="AF530" i="39"/>
  <c r="AG530" i="39" s="1"/>
  <c r="T530" i="39"/>
  <c r="U530" i="39" s="1"/>
  <c r="AG531" i="39"/>
  <c r="AH531" i="39" s="1"/>
  <c r="W531" i="39"/>
  <c r="AG532" i="39"/>
  <c r="AH532" i="39" s="1"/>
  <c r="W532" i="39"/>
  <c r="AU536" i="39"/>
  <c r="AU537" i="39"/>
  <c r="AM531" i="39"/>
  <c r="AM532" i="39"/>
  <c r="AS534" i="39"/>
  <c r="AT534" i="39" s="1"/>
  <c r="AU534" i="39" s="1"/>
  <c r="V436" i="39" l="1"/>
  <c r="AS300" i="39"/>
  <c r="AT327" i="39"/>
  <c r="AU327" i="39" s="1"/>
  <c r="V156" i="39"/>
  <c r="AB156" i="39" s="1"/>
  <c r="V254" i="39"/>
  <c r="AT400" i="39"/>
  <c r="AU400" i="39" s="1"/>
  <c r="V280" i="39"/>
  <c r="AB280" i="39" s="1"/>
  <c r="AN90" i="39"/>
  <c r="AT90" i="39" s="1"/>
  <c r="AU90" i="39" s="1"/>
  <c r="AH291" i="39"/>
  <c r="V236" i="39"/>
  <c r="AT477" i="39"/>
  <c r="AU477" i="39" s="1"/>
  <c r="V214" i="39"/>
  <c r="W214" i="39" s="1"/>
  <c r="X214" i="39" s="1"/>
  <c r="V420" i="39"/>
  <c r="AH386" i="39"/>
  <c r="AI386" i="39" s="1"/>
  <c r="AJ386" i="39" s="1"/>
  <c r="AT324" i="39"/>
  <c r="AU324" i="39" s="1"/>
  <c r="AT396" i="39"/>
  <c r="AU396" i="39" s="1"/>
  <c r="V40" i="39"/>
  <c r="AO396" i="39"/>
  <c r="AP396" i="39" s="1"/>
  <c r="V126" i="39"/>
  <c r="AB126" i="39" s="1"/>
  <c r="AT403" i="39"/>
  <c r="AU403" i="39" s="1"/>
  <c r="V153" i="39"/>
  <c r="V230" i="39"/>
  <c r="W230" i="39" s="1"/>
  <c r="X230" i="39" s="1"/>
  <c r="V276" i="39"/>
  <c r="AB276" i="39" s="1"/>
  <c r="V211" i="39"/>
  <c r="AB211" i="39" s="1"/>
  <c r="AT99" i="39"/>
  <c r="AU99" i="39" s="1"/>
  <c r="AT310" i="39"/>
  <c r="AU310" i="39" s="1"/>
  <c r="AT481" i="39"/>
  <c r="AU481" i="39" s="1"/>
  <c r="V435" i="39"/>
  <c r="W435" i="39" s="1"/>
  <c r="X435" i="39" s="1"/>
  <c r="V148" i="39"/>
  <c r="W148" i="39" s="1"/>
  <c r="X148" i="39" s="1"/>
  <c r="AT102" i="39"/>
  <c r="AU102" i="39" s="1"/>
  <c r="V157" i="39"/>
  <c r="W157" i="39" s="1"/>
  <c r="X157" i="39" s="1"/>
  <c r="V445" i="39"/>
  <c r="AB445" i="39" s="1"/>
  <c r="AC445" i="39" s="1"/>
  <c r="AD445" i="39" s="1"/>
  <c r="AS470" i="39"/>
  <c r="V428" i="39"/>
  <c r="V377" i="39"/>
  <c r="W377" i="39" s="1"/>
  <c r="X377" i="39" s="1"/>
  <c r="V265" i="39"/>
  <c r="AB265" i="39" s="1"/>
  <c r="AH265" i="39" s="1"/>
  <c r="V247" i="39"/>
  <c r="V219" i="39"/>
  <c r="W219" i="39" s="1"/>
  <c r="X219" i="39" s="1"/>
  <c r="V235" i="39"/>
  <c r="W235" i="39" s="1"/>
  <c r="X235" i="39" s="1"/>
  <c r="V194" i="39"/>
  <c r="W194" i="39" s="1"/>
  <c r="X194" i="39" s="1"/>
  <c r="AS83" i="39"/>
  <c r="V152" i="39"/>
  <c r="AB152" i="39" s="1"/>
  <c r="AQ12" i="39"/>
  <c r="K562" i="39" s="1"/>
  <c r="V42" i="39"/>
  <c r="W42" i="39" s="1"/>
  <c r="X42" i="39" s="1"/>
  <c r="AM302" i="39"/>
  <c r="AT92" i="39"/>
  <c r="AU92" i="39" s="1"/>
  <c r="V58" i="39"/>
  <c r="W58" i="39" s="1"/>
  <c r="X58" i="39" s="1"/>
  <c r="V64" i="39"/>
  <c r="W64" i="39" s="1"/>
  <c r="X64" i="39" s="1"/>
  <c r="AB262" i="39"/>
  <c r="V416" i="39"/>
  <c r="AB416" i="39" s="1"/>
  <c r="V259" i="39"/>
  <c r="V192" i="39"/>
  <c r="W192" i="39" s="1"/>
  <c r="X192" i="39" s="1"/>
  <c r="V195" i="39"/>
  <c r="W195" i="39" s="1"/>
  <c r="X195" i="39" s="1"/>
  <c r="V220" i="39"/>
  <c r="V525" i="39"/>
  <c r="W525" i="39" s="1"/>
  <c r="X525" i="39" s="1"/>
  <c r="AG454" i="39"/>
  <c r="V222" i="39"/>
  <c r="AB222" i="39" s="1"/>
  <c r="AC222" i="39" s="1"/>
  <c r="AD222" i="39" s="1"/>
  <c r="V144" i="39"/>
  <c r="W144" i="39" s="1"/>
  <c r="X144" i="39" s="1"/>
  <c r="V141" i="39"/>
  <c r="W141" i="39" s="1"/>
  <c r="X141" i="39" s="1"/>
  <c r="V36" i="39"/>
  <c r="W36" i="39" s="1"/>
  <c r="X36" i="39" s="1"/>
  <c r="V16" i="39"/>
  <c r="AB16" i="39" s="1"/>
  <c r="AA472" i="39"/>
  <c r="AT398" i="39"/>
  <c r="AU398" i="39" s="1"/>
  <c r="V369" i="39"/>
  <c r="W369" i="39" s="1"/>
  <c r="X369" i="39" s="1"/>
  <c r="AT120" i="39"/>
  <c r="AU120" i="39" s="1"/>
  <c r="V70" i="39"/>
  <c r="W70" i="39" s="1"/>
  <c r="X70" i="39" s="1"/>
  <c r="AS86" i="39"/>
  <c r="V32" i="39"/>
  <c r="AB32" i="39" s="1"/>
  <c r="AN462" i="39"/>
  <c r="AO462" i="39" s="1"/>
  <c r="AP462" i="39" s="1"/>
  <c r="V224" i="39"/>
  <c r="AS388" i="39"/>
  <c r="V243" i="39"/>
  <c r="AB243" i="39" s="1"/>
  <c r="V257" i="39"/>
  <c r="AB257" i="39" s="1"/>
  <c r="AT94" i="39"/>
  <c r="AU94" i="39" s="1"/>
  <c r="AT320" i="39"/>
  <c r="AU320" i="39" s="1"/>
  <c r="AT306" i="39"/>
  <c r="AU306" i="39" s="1"/>
  <c r="AH159" i="39"/>
  <c r="AI159" i="39" s="1"/>
  <c r="AJ159" i="39" s="1"/>
  <c r="AN467" i="39"/>
  <c r="AT467" i="39" s="1"/>
  <c r="AU467" i="39" s="1"/>
  <c r="V528" i="39"/>
  <c r="AB528" i="39" s="1"/>
  <c r="AB286" i="39"/>
  <c r="AC286" i="39" s="1"/>
  <c r="AD286" i="39" s="1"/>
  <c r="V260" i="39"/>
  <c r="AB260" i="39" s="1"/>
  <c r="V201" i="39"/>
  <c r="W201" i="39" s="1"/>
  <c r="X201" i="39" s="1"/>
  <c r="AN83" i="39"/>
  <c r="AT83" i="39" s="1"/>
  <c r="AU83" i="39" s="1"/>
  <c r="AG383" i="39"/>
  <c r="AB144" i="39"/>
  <c r="AC144" i="39" s="1"/>
  <c r="AD144" i="39" s="1"/>
  <c r="V216" i="39"/>
  <c r="AB216" i="39" s="1"/>
  <c r="AI83" i="39"/>
  <c r="AJ83" i="39" s="1"/>
  <c r="V20" i="39"/>
  <c r="AB20" i="39" s="1"/>
  <c r="AA448" i="39"/>
  <c r="V270" i="39"/>
  <c r="AB270" i="39" s="1"/>
  <c r="V264" i="39"/>
  <c r="AB264" i="39" s="1"/>
  <c r="AM300" i="39"/>
  <c r="AN300" i="39" s="1"/>
  <c r="AT300" i="39" s="1"/>
  <c r="AU300" i="39" s="1"/>
  <c r="AB254" i="39"/>
  <c r="AH254" i="39" s="1"/>
  <c r="V263" i="39"/>
  <c r="AB263" i="39" s="1"/>
  <c r="V218" i="39"/>
  <c r="AB218" i="39" s="1"/>
  <c r="AH218" i="39" s="1"/>
  <c r="V128" i="39"/>
  <c r="AO98" i="39"/>
  <c r="AP98" i="39" s="1"/>
  <c r="V38" i="39"/>
  <c r="W38" i="39" s="1"/>
  <c r="X38" i="39" s="1"/>
  <c r="V26" i="39"/>
  <c r="AB26" i="39" s="1"/>
  <c r="AH26" i="39" s="1"/>
  <c r="AT105" i="39"/>
  <c r="AU105" i="39" s="1"/>
  <c r="V46" i="39"/>
  <c r="AB46" i="39" s="1"/>
  <c r="AH46" i="39" s="1"/>
  <c r="AN46" i="39" s="1"/>
  <c r="AT46" i="39" s="1"/>
  <c r="AU46" i="39" s="1"/>
  <c r="AM88" i="39"/>
  <c r="AN88" i="39" s="1"/>
  <c r="V226" i="39"/>
  <c r="AB226" i="39" s="1"/>
  <c r="V208" i="39"/>
  <c r="W208" i="39" s="1"/>
  <c r="X208" i="39" s="1"/>
  <c r="AT91" i="39"/>
  <c r="AU91" i="39" s="1"/>
  <c r="V241" i="39"/>
  <c r="V142" i="39"/>
  <c r="AB142" i="39" s="1"/>
  <c r="V50" i="39"/>
  <c r="W50" i="39" s="1"/>
  <c r="X50" i="39" s="1"/>
  <c r="V446" i="39"/>
  <c r="W446" i="39" s="1"/>
  <c r="X446" i="39" s="1"/>
  <c r="AS88" i="39"/>
  <c r="V438" i="39"/>
  <c r="W438" i="39" s="1"/>
  <c r="X438" i="39" s="1"/>
  <c r="V228" i="39"/>
  <c r="W228" i="39" s="1"/>
  <c r="X228" i="39" s="1"/>
  <c r="AI462" i="39"/>
  <c r="AJ462" i="39" s="1"/>
  <c r="V443" i="39"/>
  <c r="W443" i="39" s="1"/>
  <c r="X443" i="39" s="1"/>
  <c r="V371" i="39"/>
  <c r="W371" i="39" s="1"/>
  <c r="X371" i="39" s="1"/>
  <c r="V376" i="39"/>
  <c r="AB376" i="39" s="1"/>
  <c r="AB269" i="39"/>
  <c r="AH269" i="39" s="1"/>
  <c r="V272" i="39"/>
  <c r="AB272" i="39" s="1"/>
  <c r="V136" i="39"/>
  <c r="AB136" i="39" s="1"/>
  <c r="AC136" i="39" s="1"/>
  <c r="AD136" i="39" s="1"/>
  <c r="V191" i="39"/>
  <c r="AB191" i="39" s="1"/>
  <c r="V30" i="39"/>
  <c r="AB30" i="39" s="1"/>
  <c r="AT475" i="39"/>
  <c r="AU475" i="39" s="1"/>
  <c r="AI300" i="39"/>
  <c r="AJ300" i="39" s="1"/>
  <c r="W152" i="39"/>
  <c r="X152" i="39" s="1"/>
  <c r="AT483" i="39"/>
  <c r="AU483" i="39" s="1"/>
  <c r="AN463" i="39"/>
  <c r="AT463" i="39" s="1"/>
  <c r="AU463" i="39" s="1"/>
  <c r="AM383" i="39"/>
  <c r="AT93" i="39"/>
  <c r="AU93" i="39" s="1"/>
  <c r="V193" i="39"/>
  <c r="W193" i="39" s="1"/>
  <c r="X193" i="39" s="1"/>
  <c r="V22" i="39"/>
  <c r="AB22" i="39" s="1"/>
  <c r="V24" i="39"/>
  <c r="AB24" i="39" s="1"/>
  <c r="AH262" i="39"/>
  <c r="AN262" i="39" s="1"/>
  <c r="AT262" i="39" s="1"/>
  <c r="AU262" i="39" s="1"/>
  <c r="V43" i="39"/>
  <c r="W43" i="39" s="1"/>
  <c r="X43" i="39" s="1"/>
  <c r="AN468" i="39"/>
  <c r="AT468" i="39" s="1"/>
  <c r="AU468" i="39" s="1"/>
  <c r="AH460" i="39"/>
  <c r="AN460" i="39" s="1"/>
  <c r="AO460" i="39" s="1"/>
  <c r="AP460" i="39" s="1"/>
  <c r="AT305" i="39"/>
  <c r="AU305" i="39" s="1"/>
  <c r="V277" i="39"/>
  <c r="W277" i="39" s="1"/>
  <c r="X277" i="39" s="1"/>
  <c r="AN164" i="39"/>
  <c r="AT164" i="39" s="1"/>
  <c r="AU164" i="39" s="1"/>
  <c r="V44" i="39"/>
  <c r="V434" i="39"/>
  <c r="AB434" i="39" s="1"/>
  <c r="AT323" i="39"/>
  <c r="AU323" i="39" s="1"/>
  <c r="V421" i="39"/>
  <c r="AB421" i="39" s="1"/>
  <c r="V56" i="39"/>
  <c r="W56" i="39" s="1"/>
  <c r="X56" i="39" s="1"/>
  <c r="V54" i="39"/>
  <c r="W54" i="39" s="1"/>
  <c r="X54" i="39" s="1"/>
  <c r="AT478" i="39"/>
  <c r="AU478" i="39" s="1"/>
  <c r="V250" i="39"/>
  <c r="AB250" i="39" s="1"/>
  <c r="AC250" i="39" s="1"/>
  <c r="AD250" i="39" s="1"/>
  <c r="AT167" i="39"/>
  <c r="AU167" i="39" s="1"/>
  <c r="AT101" i="39"/>
  <c r="AU101" i="39" s="1"/>
  <c r="V62" i="39"/>
  <c r="AB62" i="39" s="1"/>
  <c r="AH62" i="39" s="1"/>
  <c r="V373" i="39"/>
  <c r="AB373" i="39" s="1"/>
  <c r="V252" i="39"/>
  <c r="AB252" i="39" s="1"/>
  <c r="AH457" i="39"/>
  <c r="AI457" i="39" s="1"/>
  <c r="AJ457" i="39" s="1"/>
  <c r="AM454" i="39"/>
  <c r="AI470" i="39"/>
  <c r="AJ470" i="39" s="1"/>
  <c r="AB384" i="39"/>
  <c r="AH384" i="39" s="1"/>
  <c r="AT401" i="39"/>
  <c r="AU401" i="39" s="1"/>
  <c r="AB385" i="39"/>
  <c r="AC385" i="39" s="1"/>
  <c r="AD385" i="39" s="1"/>
  <c r="V364" i="39"/>
  <c r="AB364" i="39" s="1"/>
  <c r="AN163" i="39"/>
  <c r="AT163" i="39" s="1"/>
  <c r="AU163" i="39" s="1"/>
  <c r="AN160" i="39"/>
  <c r="AT160" i="39" s="1"/>
  <c r="AU160" i="39" s="1"/>
  <c r="AH78" i="39"/>
  <c r="AI78" i="39" s="1"/>
  <c r="AJ78" i="39" s="1"/>
  <c r="AT315" i="39"/>
  <c r="AU315" i="39" s="1"/>
  <c r="AM82" i="39"/>
  <c r="AT325" i="39"/>
  <c r="AU325" i="39" s="1"/>
  <c r="V207" i="39"/>
  <c r="AB207" i="39" s="1"/>
  <c r="AM86" i="39"/>
  <c r="AN86" i="39" s="1"/>
  <c r="V28" i="39"/>
  <c r="AB28" i="39" s="1"/>
  <c r="AH295" i="39"/>
  <c r="AN295" i="39" s="1"/>
  <c r="AO295" i="39" s="1"/>
  <c r="AP295" i="39" s="1"/>
  <c r="V72" i="39"/>
  <c r="W72" i="39" s="1"/>
  <c r="X72" i="39" s="1"/>
  <c r="W272" i="39"/>
  <c r="X272" i="39" s="1"/>
  <c r="AB230" i="39"/>
  <c r="AC230" i="39" s="1"/>
  <c r="AD230" i="39" s="1"/>
  <c r="V439" i="39"/>
  <c r="W439" i="39" s="1"/>
  <c r="X439" i="39" s="1"/>
  <c r="AT406" i="39"/>
  <c r="AU406" i="39" s="1"/>
  <c r="AI388" i="39"/>
  <c r="AJ388" i="39" s="1"/>
  <c r="AT312" i="39"/>
  <c r="AU312" i="39" s="1"/>
  <c r="V442" i="39"/>
  <c r="AK121" i="39"/>
  <c r="I563" i="39" s="1"/>
  <c r="AT319" i="39"/>
  <c r="AU319" i="39" s="1"/>
  <c r="V68" i="39"/>
  <c r="W68" i="39" s="1"/>
  <c r="X68" i="39" s="1"/>
  <c r="V232" i="39"/>
  <c r="AB232" i="39" s="1"/>
  <c r="AO311" i="39"/>
  <c r="AP311" i="39" s="1"/>
  <c r="V129" i="39"/>
  <c r="AB129" i="39" s="1"/>
  <c r="AH158" i="39"/>
  <c r="AH76" i="39"/>
  <c r="V35" i="39"/>
  <c r="AN162" i="39"/>
  <c r="AO162" i="39" s="1"/>
  <c r="AP162" i="39" s="1"/>
  <c r="AT313" i="39"/>
  <c r="AU313" i="39" s="1"/>
  <c r="V249" i="39"/>
  <c r="AB249" i="39" s="1"/>
  <c r="V367" i="39"/>
  <c r="W367" i="39" s="1"/>
  <c r="X367" i="39" s="1"/>
  <c r="V131" i="39"/>
  <c r="AB131" i="39" s="1"/>
  <c r="AC131" i="39" s="1"/>
  <c r="AD131" i="39" s="1"/>
  <c r="AQ121" i="39"/>
  <c r="M563" i="39" s="1"/>
  <c r="AM456" i="39"/>
  <c r="V48" i="39"/>
  <c r="W48" i="39" s="1"/>
  <c r="X48" i="39" s="1"/>
  <c r="AT326" i="39"/>
  <c r="AU326" i="39" s="1"/>
  <c r="V39" i="39"/>
  <c r="W39" i="39" s="1"/>
  <c r="X39" i="39" s="1"/>
  <c r="AO475" i="39"/>
  <c r="AP475" i="39" s="1"/>
  <c r="Q50" i="39"/>
  <c r="R50" i="39" s="1"/>
  <c r="AT328" i="39"/>
  <c r="AU328" i="39" s="1"/>
  <c r="AN388" i="39"/>
  <c r="AO388" i="39" s="1"/>
  <c r="AP388" i="39" s="1"/>
  <c r="AT322" i="39"/>
  <c r="AU322" i="39" s="1"/>
  <c r="V360" i="39"/>
  <c r="W360" i="39" s="1"/>
  <c r="X360" i="39" s="1"/>
  <c r="V246" i="39"/>
  <c r="AB246" i="39" s="1"/>
  <c r="AH246" i="39" s="1"/>
  <c r="AN246" i="39" s="1"/>
  <c r="V242" i="39"/>
  <c r="W242" i="39" s="1"/>
  <c r="X242" i="39" s="1"/>
  <c r="O12" i="39"/>
  <c r="V132" i="39"/>
  <c r="W132" i="39" s="1"/>
  <c r="X132" i="39" s="1"/>
  <c r="V139" i="39"/>
  <c r="W139" i="39" s="1"/>
  <c r="X139" i="39" s="1"/>
  <c r="V240" i="39"/>
  <c r="W280" i="39"/>
  <c r="X280" i="39" s="1"/>
  <c r="AB206" i="39"/>
  <c r="AC206" i="39" s="1"/>
  <c r="AD206" i="39" s="1"/>
  <c r="W206" i="39"/>
  <c r="X206" i="39" s="1"/>
  <c r="AI81" i="39"/>
  <c r="AJ81" i="39" s="1"/>
  <c r="AN81" i="39"/>
  <c r="AT81" i="39" s="1"/>
  <c r="AU81" i="39" s="1"/>
  <c r="AI77" i="39"/>
  <c r="AJ77" i="39" s="1"/>
  <c r="AN77" i="39"/>
  <c r="AT77" i="39" s="1"/>
  <c r="AU77" i="39" s="1"/>
  <c r="AO476" i="39"/>
  <c r="AP476" i="39" s="1"/>
  <c r="AO326" i="39"/>
  <c r="AP326" i="39" s="1"/>
  <c r="V212" i="39"/>
  <c r="V231" i="39"/>
  <c r="AB231" i="39" s="1"/>
  <c r="V239" i="39"/>
  <c r="W239" i="39" s="1"/>
  <c r="X239" i="39" s="1"/>
  <c r="Q139" i="39"/>
  <c r="R139" i="39" s="1"/>
  <c r="AE121" i="39"/>
  <c r="V31" i="39"/>
  <c r="W31" i="39" s="1"/>
  <c r="X31" i="39" s="1"/>
  <c r="AT309" i="39"/>
  <c r="AU309" i="39" s="1"/>
  <c r="AT482" i="39"/>
  <c r="AU482" i="39" s="1"/>
  <c r="V234" i="39"/>
  <c r="AB234" i="39" s="1"/>
  <c r="V125" i="39"/>
  <c r="W125" i="39" s="1"/>
  <c r="X125" i="39" s="1"/>
  <c r="V127" i="39"/>
  <c r="W127" i="39" s="1"/>
  <c r="X127" i="39" s="1"/>
  <c r="V213" i="39"/>
  <c r="W213" i="39" s="1"/>
  <c r="X213" i="39" s="1"/>
  <c r="Q62" i="39"/>
  <c r="R62" i="39" s="1"/>
  <c r="J121" i="39"/>
  <c r="V154" i="39"/>
  <c r="W154" i="39" s="1"/>
  <c r="X154" i="39" s="1"/>
  <c r="V198" i="39"/>
  <c r="W198" i="39" s="1"/>
  <c r="X198" i="39" s="1"/>
  <c r="V188" i="39"/>
  <c r="AB188" i="39" s="1"/>
  <c r="Q60" i="39"/>
  <c r="R60" i="39" s="1"/>
  <c r="AB383" i="39"/>
  <c r="AC383" i="39" s="1"/>
  <c r="AD383" i="39" s="1"/>
  <c r="AM519" i="39"/>
  <c r="AM521" i="39" s="1"/>
  <c r="J550" i="39" s="1"/>
  <c r="S550" i="39" s="1"/>
  <c r="AH459" i="39"/>
  <c r="AN459" i="39" s="1"/>
  <c r="M517" i="39"/>
  <c r="M1" i="39" s="1"/>
  <c r="V437" i="39"/>
  <c r="W437" i="39" s="1"/>
  <c r="X437" i="39" s="1"/>
  <c r="AN392" i="39"/>
  <c r="AT392" i="39" s="1"/>
  <c r="AU392" i="39" s="1"/>
  <c r="W262" i="39"/>
  <c r="X262" i="39" s="1"/>
  <c r="V258" i="39"/>
  <c r="AB258" i="39" s="1"/>
  <c r="AI88" i="39"/>
  <c r="AJ88" i="39" s="1"/>
  <c r="V18" i="39"/>
  <c r="AB18" i="39" s="1"/>
  <c r="AB137" i="39"/>
  <c r="AC137" i="39" s="1"/>
  <c r="AD137" i="39" s="1"/>
  <c r="I546" i="39"/>
  <c r="AB50" i="39"/>
  <c r="AC50" i="39" s="1"/>
  <c r="AD50" i="39" s="1"/>
  <c r="V248" i="39"/>
  <c r="AB248" i="39" s="1"/>
  <c r="Q249" i="39"/>
  <c r="R249" i="39" s="1"/>
  <c r="Q43" i="39"/>
  <c r="R43" i="39" s="1"/>
  <c r="AB236" i="39"/>
  <c r="AH236" i="39" s="1"/>
  <c r="V223" i="39"/>
  <c r="V147" i="39"/>
  <c r="AB147" i="39" s="1"/>
  <c r="V204" i="39"/>
  <c r="AB204" i="39" s="1"/>
  <c r="AB141" i="39"/>
  <c r="AC141" i="39" s="1"/>
  <c r="AD141" i="39" s="1"/>
  <c r="AB433" i="39"/>
  <c r="AC433" i="39" s="1"/>
  <c r="AD433" i="39" s="1"/>
  <c r="AT474" i="39"/>
  <c r="AU474" i="39" s="1"/>
  <c r="V418" i="39"/>
  <c r="W418" i="39" s="1"/>
  <c r="X418" i="39" s="1"/>
  <c r="V375" i="39"/>
  <c r="AB375" i="39" s="1"/>
  <c r="AM296" i="39"/>
  <c r="AN296" i="39" s="1"/>
  <c r="AT296" i="39" s="1"/>
  <c r="AU296" i="39" s="1"/>
  <c r="AH290" i="39"/>
  <c r="AN290" i="39" s="1"/>
  <c r="AB282" i="39"/>
  <c r="AC282" i="39" s="1"/>
  <c r="AD282" i="39" s="1"/>
  <c r="V244" i="39"/>
  <c r="W244" i="39" s="1"/>
  <c r="X244" i="39" s="1"/>
  <c r="W226" i="39"/>
  <c r="X226" i="39" s="1"/>
  <c r="V150" i="39"/>
  <c r="AB150" i="39" s="1"/>
  <c r="V200" i="39"/>
  <c r="W200" i="39" s="1"/>
  <c r="X200" i="39" s="1"/>
  <c r="AT106" i="39"/>
  <c r="AU106" i="39" s="1"/>
  <c r="V203" i="39"/>
  <c r="W203" i="39" s="1"/>
  <c r="X203" i="39" s="1"/>
  <c r="AB44" i="39"/>
  <c r="AH44" i="39" s="1"/>
  <c r="AI44" i="39" s="1"/>
  <c r="AJ44" i="39" s="1"/>
  <c r="AH80" i="39"/>
  <c r="AB198" i="39"/>
  <c r="AH198" i="39" s="1"/>
  <c r="AT165" i="39"/>
  <c r="AU165" i="39" s="1"/>
  <c r="AO165" i="39"/>
  <c r="AP165" i="39" s="1"/>
  <c r="AB58" i="39"/>
  <c r="I541" i="39"/>
  <c r="S413" i="39"/>
  <c r="V380" i="39"/>
  <c r="AB380" i="39" s="1"/>
  <c r="AR121" i="39"/>
  <c r="AT84" i="39"/>
  <c r="AU84" i="39" s="1"/>
  <c r="V41" i="39"/>
  <c r="AT321" i="39"/>
  <c r="AU321" i="39" s="1"/>
  <c r="AO313" i="39"/>
  <c r="AP313" i="39" s="1"/>
  <c r="P570" i="39"/>
  <c r="I17" i="8"/>
  <c r="V66" i="39"/>
  <c r="W66" i="39" s="1"/>
  <c r="X66" i="39" s="1"/>
  <c r="AB52" i="39"/>
  <c r="AT460" i="39"/>
  <c r="AU460" i="39" s="1"/>
  <c r="AT473" i="39"/>
  <c r="AU473" i="39" s="1"/>
  <c r="AO484" i="39"/>
  <c r="AP484" i="39" s="1"/>
  <c r="J413" i="39"/>
  <c r="AN461" i="39"/>
  <c r="AO461" i="39" s="1"/>
  <c r="AP461" i="39" s="1"/>
  <c r="V267" i="39"/>
  <c r="AB267" i="39" s="1"/>
  <c r="AH267" i="39" s="1"/>
  <c r="AN267" i="39" s="1"/>
  <c r="V251" i="39"/>
  <c r="W251" i="39" s="1"/>
  <c r="X251" i="39" s="1"/>
  <c r="AB210" i="39"/>
  <c r="AC210" i="39" s="1"/>
  <c r="AD210" i="39" s="1"/>
  <c r="V133" i="39"/>
  <c r="AB133" i="39" s="1"/>
  <c r="AC133" i="39" s="1"/>
  <c r="AD133" i="39" s="1"/>
  <c r="AO309" i="39"/>
  <c r="AP309" i="39" s="1"/>
  <c r="U569" i="39"/>
  <c r="V569" i="39" s="1"/>
  <c r="AL538" i="39"/>
  <c r="AN470" i="39"/>
  <c r="AO470" i="39" s="1"/>
  <c r="AP470" i="39" s="1"/>
  <c r="J517" i="39"/>
  <c r="AN469" i="39"/>
  <c r="AT469" i="39" s="1"/>
  <c r="AU469" i="39" s="1"/>
  <c r="AO398" i="39"/>
  <c r="AP398" i="39" s="1"/>
  <c r="V381" i="39"/>
  <c r="AB381" i="39" s="1"/>
  <c r="AH381" i="39" s="1"/>
  <c r="AN381" i="39" s="1"/>
  <c r="AT381" i="39" s="1"/>
  <c r="AU381" i="39" s="1"/>
  <c r="J357" i="39"/>
  <c r="W254" i="39"/>
  <c r="X254" i="39" s="1"/>
  <c r="AB36" i="39"/>
  <c r="AH36" i="39" s="1"/>
  <c r="AN36" i="39" s="1"/>
  <c r="AT317" i="39"/>
  <c r="AU317" i="39" s="1"/>
  <c r="AB56" i="39"/>
  <c r="F10" i="8"/>
  <c r="K10" i="8" s="1"/>
  <c r="AO480" i="39"/>
  <c r="AP480" i="39" s="1"/>
  <c r="V419" i="39"/>
  <c r="W419" i="39" s="1"/>
  <c r="X419" i="39" s="1"/>
  <c r="AT295" i="39"/>
  <c r="AU295" i="39" s="1"/>
  <c r="AB285" i="39"/>
  <c r="AC285" i="39" s="1"/>
  <c r="AD285" i="39" s="1"/>
  <c r="V238" i="39"/>
  <c r="AH50" i="39"/>
  <c r="AO478" i="39"/>
  <c r="AP478" i="39" s="1"/>
  <c r="AO482" i="39"/>
  <c r="AP482" i="39" s="1"/>
  <c r="J570" i="39"/>
  <c r="AB60" i="39"/>
  <c r="AL413" i="39"/>
  <c r="AT308" i="39"/>
  <c r="AU308" i="39" s="1"/>
  <c r="W383" i="39"/>
  <c r="X383" i="39" s="1"/>
  <c r="AK357" i="39"/>
  <c r="I565" i="39" s="1"/>
  <c r="AO328" i="39"/>
  <c r="AP328" i="39" s="1"/>
  <c r="AB450" i="39"/>
  <c r="AC450" i="39" s="1"/>
  <c r="AD450" i="39" s="1"/>
  <c r="AB219" i="39"/>
  <c r="AC219" i="39" s="1"/>
  <c r="AD219" i="39" s="1"/>
  <c r="V190" i="39"/>
  <c r="AI86" i="39"/>
  <c r="AJ86" i="39" s="1"/>
  <c r="Q64" i="39"/>
  <c r="R64" i="39" s="1"/>
  <c r="U564" i="39"/>
  <c r="V564" i="39" s="1"/>
  <c r="U562" i="39"/>
  <c r="U568" i="39"/>
  <c r="AK413" i="39"/>
  <c r="I566" i="39" s="1"/>
  <c r="V361" i="39"/>
  <c r="W361" i="39" s="1"/>
  <c r="X361" i="39" s="1"/>
  <c r="AS383" i="39"/>
  <c r="AN394" i="39"/>
  <c r="AO394" i="39" s="1"/>
  <c r="AP394" i="39" s="1"/>
  <c r="V304" i="39"/>
  <c r="W304" i="39" s="1"/>
  <c r="X304" i="39" s="1"/>
  <c r="AB242" i="39"/>
  <c r="AC242" i="39" s="1"/>
  <c r="AD242" i="39" s="1"/>
  <c r="V196" i="39"/>
  <c r="W196" i="39" s="1"/>
  <c r="X196" i="39" s="1"/>
  <c r="V34" i="39"/>
  <c r="AB34" i="39" s="1"/>
  <c r="Q35" i="39"/>
  <c r="R35" i="39" s="1"/>
  <c r="W524" i="39"/>
  <c r="X524" i="39" s="1"/>
  <c r="AT520" i="39"/>
  <c r="AU520" i="39" s="1"/>
  <c r="AO520" i="39"/>
  <c r="AP520" i="39" s="1"/>
  <c r="AN386" i="39"/>
  <c r="AM523" i="39"/>
  <c r="AM538" i="39" s="1"/>
  <c r="J551" i="39" s="1"/>
  <c r="S551" i="39" s="1"/>
  <c r="AE521" i="39"/>
  <c r="AG519" i="39"/>
  <c r="AG456" i="39"/>
  <c r="AH456" i="39" s="1"/>
  <c r="AN456" i="39" s="1"/>
  <c r="AS466" i="39"/>
  <c r="AI469" i="39"/>
  <c r="AJ469" i="39" s="1"/>
  <c r="AB436" i="39"/>
  <c r="W436" i="39"/>
  <c r="X436" i="39" s="1"/>
  <c r="Q472" i="39"/>
  <c r="R472" i="39" s="1"/>
  <c r="W416" i="39"/>
  <c r="X416" i="39" s="1"/>
  <c r="AB428" i="39"/>
  <c r="W428" i="39"/>
  <c r="X428" i="39" s="1"/>
  <c r="AB446" i="39"/>
  <c r="AB365" i="39"/>
  <c r="W365" i="39"/>
  <c r="X365" i="39" s="1"/>
  <c r="AT297" i="39"/>
  <c r="AU297" i="39" s="1"/>
  <c r="AO297" i="39"/>
  <c r="AP297" i="39" s="1"/>
  <c r="AB372" i="39"/>
  <c r="W372" i="39"/>
  <c r="X372" i="39" s="1"/>
  <c r="AB277" i="39"/>
  <c r="AB273" i="39"/>
  <c r="W273" i="39"/>
  <c r="X273" i="39" s="1"/>
  <c r="W270" i="39"/>
  <c r="X270" i="39" s="1"/>
  <c r="AB363" i="39"/>
  <c r="W363" i="39"/>
  <c r="X363" i="39" s="1"/>
  <c r="AB360" i="39"/>
  <c r="AN531" i="39"/>
  <c r="AI531" i="39"/>
  <c r="AJ531" i="39" s="1"/>
  <c r="U472" i="39"/>
  <c r="V472" i="39" s="1"/>
  <c r="AM466" i="39"/>
  <c r="AN466" i="39" s="1"/>
  <c r="AB435" i="39"/>
  <c r="AB420" i="39"/>
  <c r="W420" i="39"/>
  <c r="X420" i="39" s="1"/>
  <c r="AB427" i="39"/>
  <c r="W427" i="39"/>
  <c r="X427" i="39" s="1"/>
  <c r="AB417" i="39"/>
  <c r="W417" i="39"/>
  <c r="X417" i="39" s="1"/>
  <c r="AB368" i="39"/>
  <c r="W368" i="39"/>
  <c r="X368" i="39" s="1"/>
  <c r="AB527" i="39"/>
  <c r="U538" i="39"/>
  <c r="AB525" i="39"/>
  <c r="T538" i="39"/>
  <c r="AA454" i="39"/>
  <c r="AB454" i="39" s="1"/>
  <c r="Z538" i="39"/>
  <c r="AA524" i="39"/>
  <c r="AB524" i="39" s="1"/>
  <c r="AR538" i="39"/>
  <c r="AS524" i="39"/>
  <c r="AS538" i="39" s="1"/>
  <c r="O569" i="39" s="1"/>
  <c r="AO467" i="39"/>
  <c r="AP467" i="39" s="1"/>
  <c r="AS464" i="39"/>
  <c r="AA471" i="39"/>
  <c r="W449" i="39"/>
  <c r="X449" i="39" s="1"/>
  <c r="AB449" i="39"/>
  <c r="Q444" i="39"/>
  <c r="R444" i="39" s="1"/>
  <c r="V444" i="39"/>
  <c r="AB441" i="39"/>
  <c r="W441" i="39"/>
  <c r="X441" i="39" s="1"/>
  <c r="AM455" i="39"/>
  <c r="AB429" i="39"/>
  <c r="W429" i="39"/>
  <c r="X429" i="39" s="1"/>
  <c r="W421" i="39"/>
  <c r="X421" i="39" s="1"/>
  <c r="AN291" i="39"/>
  <c r="AI291" i="39"/>
  <c r="AJ291" i="39" s="1"/>
  <c r="AI290" i="39"/>
  <c r="AJ290" i="39" s="1"/>
  <c r="AH286" i="39"/>
  <c r="AB266" i="39"/>
  <c r="W266" i="39"/>
  <c r="X266" i="39" s="1"/>
  <c r="AB224" i="39"/>
  <c r="W224" i="39"/>
  <c r="X224" i="39" s="1"/>
  <c r="AB227" i="39"/>
  <c r="W227" i="39"/>
  <c r="X227" i="39" s="1"/>
  <c r="AB225" i="39"/>
  <c r="W225" i="39"/>
  <c r="X225" i="39" s="1"/>
  <c r="AB247" i="39"/>
  <c r="W247" i="39"/>
  <c r="X247" i="39" s="1"/>
  <c r="O538" i="39"/>
  <c r="P523" i="39"/>
  <c r="AB425" i="39"/>
  <c r="W425" i="39"/>
  <c r="X425" i="39" s="1"/>
  <c r="V529" i="39"/>
  <c r="Q529" i="39"/>
  <c r="R529" i="39" s="1"/>
  <c r="AN458" i="39"/>
  <c r="AI458" i="39"/>
  <c r="AJ458" i="39" s="1"/>
  <c r="AG448" i="39"/>
  <c r="AE517" i="39"/>
  <c r="S517" i="39"/>
  <c r="AB215" i="39"/>
  <c r="W215" i="39"/>
  <c r="X215" i="39" s="1"/>
  <c r="AB255" i="39"/>
  <c r="W255" i="39"/>
  <c r="X255" i="39" s="1"/>
  <c r="V526" i="39"/>
  <c r="Q526" i="39"/>
  <c r="R526" i="39" s="1"/>
  <c r="AN465" i="39"/>
  <c r="AI465" i="39"/>
  <c r="AJ465" i="39" s="1"/>
  <c r="AG471" i="39"/>
  <c r="AS471" i="39"/>
  <c r="AH451" i="39"/>
  <c r="AC451" i="39"/>
  <c r="AD451" i="39" s="1"/>
  <c r="AB424" i="39"/>
  <c r="W424" i="39"/>
  <c r="X424" i="39" s="1"/>
  <c r="AK517" i="39"/>
  <c r="I567" i="39" s="1"/>
  <c r="AB367" i="39"/>
  <c r="AH289" i="39"/>
  <c r="AC289" i="39"/>
  <c r="AD289" i="39" s="1"/>
  <c r="AB371" i="39"/>
  <c r="AS455" i="39"/>
  <c r="V440" i="39"/>
  <c r="P415" i="39"/>
  <c r="AS447" i="39"/>
  <c r="AR517" i="39"/>
  <c r="AT404" i="39"/>
  <c r="AU404" i="39" s="1"/>
  <c r="AO404" i="39"/>
  <c r="AP404" i="39" s="1"/>
  <c r="AG393" i="39"/>
  <c r="AH393" i="39" s="1"/>
  <c r="AI393" i="39" s="1"/>
  <c r="AJ393" i="39" s="1"/>
  <c r="AS415" i="39"/>
  <c r="I551" i="39"/>
  <c r="V530" i="39"/>
  <c r="AG538" i="39"/>
  <c r="AQ521" i="39"/>
  <c r="M568" i="39" s="1"/>
  <c r="AS519" i="39"/>
  <c r="AS521" i="39" s="1"/>
  <c r="O568" i="39" s="1"/>
  <c r="AG464" i="39"/>
  <c r="AH464" i="39" s="1"/>
  <c r="AN464" i="39" s="1"/>
  <c r="U471" i="39"/>
  <c r="AM471" i="39"/>
  <c r="AB443" i="39"/>
  <c r="AA455" i="39"/>
  <c r="AB455" i="39" s="1"/>
  <c r="AC455" i="39" s="1"/>
  <c r="AD455" i="39" s="1"/>
  <c r="AQ517" i="39"/>
  <c r="M567" i="39" s="1"/>
  <c r="AT405" i="39"/>
  <c r="AU405" i="39" s="1"/>
  <c r="AO405" i="39"/>
  <c r="AP405" i="39" s="1"/>
  <c r="AT397" i="39"/>
  <c r="AU397" i="39" s="1"/>
  <c r="AO397" i="39"/>
  <c r="AP397" i="39" s="1"/>
  <c r="AL517" i="39"/>
  <c r="AB453" i="39"/>
  <c r="AA447" i="39"/>
  <c r="Q439" i="39"/>
  <c r="R439" i="39" s="1"/>
  <c r="AS393" i="39"/>
  <c r="AS389" i="39"/>
  <c r="AH387" i="39"/>
  <c r="U413" i="39"/>
  <c r="V426" i="39"/>
  <c r="AO400" i="39"/>
  <c r="AP400" i="39" s="1"/>
  <c r="AI392" i="39"/>
  <c r="AJ392" i="39" s="1"/>
  <c r="AG390" i="39"/>
  <c r="AH390" i="39" s="1"/>
  <c r="AN390" i="39" s="1"/>
  <c r="AN303" i="39"/>
  <c r="V370" i="39"/>
  <c r="Q370" i="39"/>
  <c r="R370" i="39" s="1"/>
  <c r="AR413" i="39"/>
  <c r="AM301" i="39"/>
  <c r="AN301" i="39" s="1"/>
  <c r="AH292" i="39"/>
  <c r="W264" i="39"/>
  <c r="X264" i="39" s="1"/>
  <c r="AB288" i="39"/>
  <c r="W288" i="39"/>
  <c r="X288" i="39" s="1"/>
  <c r="W269" i="39"/>
  <c r="X269" i="39" s="1"/>
  <c r="AH294" i="39"/>
  <c r="U281" i="39"/>
  <c r="V281" i="39" s="1"/>
  <c r="W281" i="39" s="1"/>
  <c r="X281" i="39" s="1"/>
  <c r="S357" i="39"/>
  <c r="AB256" i="39"/>
  <c r="AB240" i="39"/>
  <c r="W232" i="39"/>
  <c r="X232" i="39" s="1"/>
  <c r="AB220" i="39"/>
  <c r="W220" i="39"/>
  <c r="X220" i="39" s="1"/>
  <c r="AB212" i="39"/>
  <c r="AC292" i="39"/>
  <c r="AD292" i="39" s="1"/>
  <c r="W256" i="39"/>
  <c r="X256" i="39" s="1"/>
  <c r="W240" i="39"/>
  <c r="X240" i="39" s="1"/>
  <c r="V233" i="39"/>
  <c r="Q233" i="39"/>
  <c r="R233" i="39" s="1"/>
  <c r="AB209" i="39"/>
  <c r="W209" i="39"/>
  <c r="X209" i="39" s="1"/>
  <c r="AB241" i="39"/>
  <c r="AB229" i="39"/>
  <c r="W229" i="39"/>
  <c r="X229" i="39" s="1"/>
  <c r="W241" i="39"/>
  <c r="X241" i="39" s="1"/>
  <c r="AB145" i="39"/>
  <c r="W145" i="39"/>
  <c r="X145" i="39" s="1"/>
  <c r="AG391" i="39"/>
  <c r="AH391" i="39" s="1"/>
  <c r="AN391" i="39" s="1"/>
  <c r="U447" i="39"/>
  <c r="V447" i="39" s="1"/>
  <c r="V422" i="39"/>
  <c r="Q422" i="39"/>
  <c r="R422" i="39" s="1"/>
  <c r="V379" i="39"/>
  <c r="AG302" i="39"/>
  <c r="AH302" i="39" s="1"/>
  <c r="AN302" i="39" s="1"/>
  <c r="AG299" i="39"/>
  <c r="AH299" i="39" s="1"/>
  <c r="AN299" i="39" s="1"/>
  <c r="AM395" i="39"/>
  <c r="V378" i="39"/>
  <c r="Q378" i="39"/>
  <c r="R378" i="39" s="1"/>
  <c r="Z413" i="39"/>
  <c r="AA359" i="39"/>
  <c r="AA413" i="39" s="1"/>
  <c r="V278" i="39"/>
  <c r="Q278" i="39"/>
  <c r="R278" i="39" s="1"/>
  <c r="W276" i="39"/>
  <c r="X276" i="39" s="1"/>
  <c r="AB284" i="39"/>
  <c r="AG281" i="39"/>
  <c r="AE357" i="39"/>
  <c r="AB259" i="39"/>
  <c r="W259" i="39"/>
  <c r="X259" i="39" s="1"/>
  <c r="W243" i="39"/>
  <c r="X243" i="39" s="1"/>
  <c r="AB202" i="39"/>
  <c r="W202" i="39"/>
  <c r="X202" i="39" s="1"/>
  <c r="V189" i="39"/>
  <c r="Q189" i="39"/>
  <c r="R189" i="39" s="1"/>
  <c r="AB146" i="39"/>
  <c r="W146" i="39"/>
  <c r="X146" i="39" s="1"/>
  <c r="AB153" i="39"/>
  <c r="W153" i="39"/>
  <c r="X153" i="39" s="1"/>
  <c r="AB149" i="39"/>
  <c r="W149" i="39"/>
  <c r="X149" i="39" s="1"/>
  <c r="AB128" i="39"/>
  <c r="W128" i="39"/>
  <c r="X128" i="39" s="1"/>
  <c r="W442" i="39"/>
  <c r="X442" i="39" s="1"/>
  <c r="AB442" i="39"/>
  <c r="V430" i="39"/>
  <c r="Q430" i="39"/>
  <c r="R430" i="39" s="1"/>
  <c r="V423" i="39"/>
  <c r="T517" i="39"/>
  <c r="U415" i="39"/>
  <c r="AS390" i="39"/>
  <c r="AE413" i="39"/>
  <c r="AN532" i="39"/>
  <c r="AI532" i="39"/>
  <c r="AJ532" i="39" s="1"/>
  <c r="AF538" i="39"/>
  <c r="AG472" i="39"/>
  <c r="AS456" i="39"/>
  <c r="AT485" i="39"/>
  <c r="AU485" i="39" s="1"/>
  <c r="AS454" i="39"/>
  <c r="AB452" i="39"/>
  <c r="U448" i="39"/>
  <c r="V448" i="39" s="1"/>
  <c r="O471" i="39"/>
  <c r="P471" i="39" s="1"/>
  <c r="Q471" i="39" s="1"/>
  <c r="R471" i="39" s="1"/>
  <c r="AG455" i="39"/>
  <c r="V432" i="39"/>
  <c r="Q432" i="39"/>
  <c r="R432" i="39" s="1"/>
  <c r="Q440" i="39"/>
  <c r="R440" i="39" s="1"/>
  <c r="V431" i="39"/>
  <c r="Q431" i="39"/>
  <c r="R431" i="39" s="1"/>
  <c r="Z517" i="39"/>
  <c r="Y517" i="39"/>
  <c r="AM447" i="39"/>
  <c r="AG447" i="39"/>
  <c r="AF517" i="39"/>
  <c r="W452" i="39"/>
  <c r="X452" i="39" s="1"/>
  <c r="Q443" i="39"/>
  <c r="R443" i="39" s="1"/>
  <c r="W433" i="39"/>
  <c r="X433" i="39" s="1"/>
  <c r="AM393" i="39"/>
  <c r="AM389" i="39"/>
  <c r="AN389" i="39" s="1"/>
  <c r="Q418" i="39"/>
  <c r="R418" i="39" s="1"/>
  <c r="V374" i="39"/>
  <c r="AS302" i="39"/>
  <c r="AS299" i="39"/>
  <c r="AG395" i="39"/>
  <c r="AH395" i="39" s="1"/>
  <c r="Q379" i="39"/>
  <c r="R379" i="39" s="1"/>
  <c r="T413" i="39"/>
  <c r="AS301" i="39"/>
  <c r="AB283" i="39"/>
  <c r="Q381" i="39"/>
  <c r="R381" i="39" s="1"/>
  <c r="W282" i="39"/>
  <c r="X282" i="39" s="1"/>
  <c r="AI303" i="39"/>
  <c r="AJ303" i="39" s="1"/>
  <c r="AC295" i="39"/>
  <c r="AD295" i="39" s="1"/>
  <c r="AA281" i="39"/>
  <c r="AS281" i="39"/>
  <c r="AQ357" i="39"/>
  <c r="Q267" i="39"/>
  <c r="R267" i="39" s="1"/>
  <c r="AN254" i="39"/>
  <c r="V217" i="39"/>
  <c r="Q217" i="39"/>
  <c r="R217" i="39" s="1"/>
  <c r="W212" i="39"/>
  <c r="X212" i="39" s="1"/>
  <c r="W191" i="39"/>
  <c r="X191" i="39" s="1"/>
  <c r="AC262" i="39"/>
  <c r="AD262" i="39" s="1"/>
  <c r="W260" i="39"/>
  <c r="X260" i="39" s="1"/>
  <c r="W257" i="39"/>
  <c r="X257" i="39" s="1"/>
  <c r="AB125" i="39"/>
  <c r="AN158" i="39"/>
  <c r="AI158" i="39"/>
  <c r="AJ158" i="39" s="1"/>
  <c r="AQ413" i="39"/>
  <c r="M566" i="39" s="1"/>
  <c r="AB382" i="39"/>
  <c r="V366" i="39"/>
  <c r="AO392" i="39"/>
  <c r="AP392" i="39" s="1"/>
  <c r="AS395" i="39"/>
  <c r="AI389" i="39"/>
  <c r="AJ389" i="39" s="1"/>
  <c r="V362" i="39"/>
  <c r="Q362" i="39"/>
  <c r="R362" i="39" s="1"/>
  <c r="AF413" i="39"/>
  <c r="AB287" i="39"/>
  <c r="V279" i="39"/>
  <c r="V275" i="39"/>
  <c r="V271" i="39"/>
  <c r="AC387" i="39"/>
  <c r="AD387" i="39" s="1"/>
  <c r="O413" i="39"/>
  <c r="P359" i="39"/>
  <c r="Q304" i="39"/>
  <c r="R304" i="39" s="1"/>
  <c r="W284" i="39"/>
  <c r="X284" i="39" s="1"/>
  <c r="AN298" i="39"/>
  <c r="AH293" i="39"/>
  <c r="AC269" i="39"/>
  <c r="AD269" i="39" s="1"/>
  <c r="W382" i="39"/>
  <c r="X382" i="39" s="1"/>
  <c r="AI301" i="39"/>
  <c r="AJ301" i="39" s="1"/>
  <c r="W283" i="39"/>
  <c r="X283" i="39" s="1"/>
  <c r="AM281" i="39"/>
  <c r="V274" i="39"/>
  <c r="AI254" i="39"/>
  <c r="AJ254" i="39" s="1"/>
  <c r="Y357" i="39"/>
  <c r="AO262" i="39"/>
  <c r="AP262" i="39" s="1"/>
  <c r="AH234" i="39"/>
  <c r="AC234" i="39"/>
  <c r="AD234" i="39" s="1"/>
  <c r="AB213" i="39"/>
  <c r="W199" i="39"/>
  <c r="X199" i="39" s="1"/>
  <c r="AB199" i="39"/>
  <c r="Q366" i="39"/>
  <c r="R366" i="39" s="1"/>
  <c r="AH250" i="39"/>
  <c r="W236" i="39"/>
  <c r="X236" i="39" s="1"/>
  <c r="AN159" i="39"/>
  <c r="AB135" i="39"/>
  <c r="W135" i="39"/>
  <c r="X135" i="39" s="1"/>
  <c r="V221" i="39"/>
  <c r="V197" i="39"/>
  <c r="V140" i="39"/>
  <c r="Q140" i="39"/>
  <c r="R140" i="39" s="1"/>
  <c r="R124" i="39"/>
  <c r="V237" i="39"/>
  <c r="AS185" i="39"/>
  <c r="O564" i="39" s="1"/>
  <c r="U185" i="39"/>
  <c r="AO104" i="39"/>
  <c r="AP104" i="39" s="1"/>
  <c r="AT104" i="39"/>
  <c r="AU104" i="39" s="1"/>
  <c r="AG82" i="39"/>
  <c r="AH82" i="39" s="1"/>
  <c r="AF121" i="39"/>
  <c r="AG47" i="39"/>
  <c r="Q196" i="39"/>
  <c r="R196" i="39" s="1"/>
  <c r="AR357" i="39"/>
  <c r="P185" i="39"/>
  <c r="V124" i="39"/>
  <c r="AR185" i="39"/>
  <c r="AL121" i="39"/>
  <c r="AM75" i="39"/>
  <c r="AC46" i="39"/>
  <c r="AD46" i="39" s="1"/>
  <c r="AS85" i="39"/>
  <c r="V23" i="39"/>
  <c r="Q23" i="39"/>
  <c r="R23" i="39" s="1"/>
  <c r="V15" i="39"/>
  <c r="Q15" i="39"/>
  <c r="R15" i="39" s="1"/>
  <c r="Q5" i="39"/>
  <c r="P12" i="39"/>
  <c r="AF12" i="39"/>
  <c r="AG5" i="39"/>
  <c r="U74" i="39"/>
  <c r="V74" i="39" s="1"/>
  <c r="O357" i="39"/>
  <c r="P187" i="39"/>
  <c r="AT96" i="39"/>
  <c r="AU96" i="39" s="1"/>
  <c r="AO96" i="39"/>
  <c r="AP96" i="39" s="1"/>
  <c r="I544" i="39"/>
  <c r="V155" i="39"/>
  <c r="Q155" i="39"/>
  <c r="R155" i="39" s="1"/>
  <c r="O121" i="39"/>
  <c r="P14" i="39"/>
  <c r="V253" i="39"/>
  <c r="V151" i="39"/>
  <c r="Q151" i="39"/>
  <c r="R151" i="39" s="1"/>
  <c r="AT97" i="39"/>
  <c r="AU97" i="39" s="1"/>
  <c r="AO97" i="39"/>
  <c r="AP97" i="39" s="1"/>
  <c r="Z121" i="39"/>
  <c r="T121" i="39"/>
  <c r="Z357" i="39"/>
  <c r="AA187" i="39"/>
  <c r="O185" i="39"/>
  <c r="Z185" i="39"/>
  <c r="AA124" i="39"/>
  <c r="AA185" i="39" s="1"/>
  <c r="AN44" i="39"/>
  <c r="AB42" i="39"/>
  <c r="AB40" i="39"/>
  <c r="W40" i="39"/>
  <c r="X40" i="39" s="1"/>
  <c r="AB38" i="39"/>
  <c r="W34" i="39"/>
  <c r="X34" i="39" s="1"/>
  <c r="W32" i="39"/>
  <c r="X32" i="39" s="1"/>
  <c r="W30" i="39"/>
  <c r="X30" i="39" s="1"/>
  <c r="I545" i="39"/>
  <c r="V245" i="39"/>
  <c r="V25" i="39"/>
  <c r="Q25" i="39"/>
  <c r="R25" i="39" s="1"/>
  <c r="V17" i="39"/>
  <c r="Q17" i="39"/>
  <c r="R17" i="39" s="1"/>
  <c r="Z12" i="39"/>
  <c r="AA5" i="39"/>
  <c r="AR12" i="39"/>
  <c r="AS5" i="39"/>
  <c r="AS12" i="39" s="1"/>
  <c r="O562" i="39" s="1"/>
  <c r="AG74" i="39"/>
  <c r="V71" i="39"/>
  <c r="V57" i="39"/>
  <c r="V49" i="39"/>
  <c r="W133" i="39"/>
  <c r="X133" i="39" s="1"/>
  <c r="V61" i="39"/>
  <c r="I1" i="39"/>
  <c r="AG185" i="39"/>
  <c r="T357" i="39"/>
  <c r="W137" i="39"/>
  <c r="X137" i="39" s="1"/>
  <c r="T185" i="39"/>
  <c r="AL185" i="39"/>
  <c r="AM124" i="39"/>
  <c r="AM185" i="39" s="1"/>
  <c r="J546" i="39" s="1"/>
  <c r="S546" i="39" s="1"/>
  <c r="AN161" i="39"/>
  <c r="AO92" i="39"/>
  <c r="AP92" i="39" s="1"/>
  <c r="AM85" i="39"/>
  <c r="W44" i="39"/>
  <c r="X44" i="39" s="1"/>
  <c r="V33" i="39"/>
  <c r="Q33" i="39"/>
  <c r="R33" i="39" s="1"/>
  <c r="V19" i="39"/>
  <c r="Q19" i="39"/>
  <c r="R19" i="39" s="1"/>
  <c r="AM5" i="39"/>
  <c r="AL12" i="39"/>
  <c r="AA74" i="39"/>
  <c r="AS74" i="39"/>
  <c r="V59" i="39"/>
  <c r="Q59" i="39"/>
  <c r="R59" i="39" s="1"/>
  <c r="V51" i="39"/>
  <c r="Q51" i="39"/>
  <c r="R51" i="39" s="1"/>
  <c r="Q41" i="39"/>
  <c r="R41" i="39" s="1"/>
  <c r="AB148" i="39"/>
  <c r="AH144" i="39"/>
  <c r="V134" i="39"/>
  <c r="Q134" i="39"/>
  <c r="R134" i="39" s="1"/>
  <c r="AT166" i="39"/>
  <c r="AU166" i="39" s="1"/>
  <c r="AO166" i="39"/>
  <c r="AP166" i="39" s="1"/>
  <c r="V130" i="39"/>
  <c r="Q130" i="39"/>
  <c r="R130" i="39" s="1"/>
  <c r="AF357" i="39"/>
  <c r="AF185" i="39"/>
  <c r="AG85" i="39"/>
  <c r="AH85" i="39" s="1"/>
  <c r="AA66" i="39"/>
  <c r="V21" i="39"/>
  <c r="Q21" i="39"/>
  <c r="R21" i="39" s="1"/>
  <c r="T12" i="39"/>
  <c r="U5" i="39"/>
  <c r="V5" i="39" s="1"/>
  <c r="AO90" i="39"/>
  <c r="AP90" i="39" s="1"/>
  <c r="AM74" i="39"/>
  <c r="AO93" i="39"/>
  <c r="AP93" i="39" s="1"/>
  <c r="V63" i="39"/>
  <c r="Q63" i="39"/>
  <c r="R63" i="39" s="1"/>
  <c r="W26" i="39"/>
  <c r="X26" i="39" s="1"/>
  <c r="W46" i="39"/>
  <c r="X46" i="39" s="1"/>
  <c r="V55" i="39"/>
  <c r="AN12" i="39"/>
  <c r="N562" i="39" s="1"/>
  <c r="AO5" i="39"/>
  <c r="AS87" i="39"/>
  <c r="V73" i="39"/>
  <c r="V69" i="39"/>
  <c r="AM89" i="39"/>
  <c r="AH79" i="39"/>
  <c r="Q39" i="39"/>
  <c r="R39" i="39" s="1"/>
  <c r="Q31" i="39"/>
  <c r="R31" i="39" s="1"/>
  <c r="V67" i="39"/>
  <c r="V65" i="39"/>
  <c r="V268" i="39"/>
  <c r="V47" i="39"/>
  <c r="AG89" i="39"/>
  <c r="AH89" i="39" s="1"/>
  <c r="AH75" i="39"/>
  <c r="V29" i="39"/>
  <c r="V6" i="39"/>
  <c r="AT100" i="39"/>
  <c r="AU100" i="39" s="1"/>
  <c r="AO100" i="39"/>
  <c r="AP100" i="39" s="1"/>
  <c r="AM87" i="39"/>
  <c r="V27" i="39"/>
  <c r="V138" i="39"/>
  <c r="V143" i="39"/>
  <c r="AS89" i="39"/>
  <c r="Q55" i="39"/>
  <c r="R55" i="39" s="1"/>
  <c r="V45" i="39"/>
  <c r="V37" i="39"/>
  <c r="V205" i="39"/>
  <c r="AG87" i="39"/>
  <c r="AH87" i="39" s="1"/>
  <c r="V53" i="39"/>
  <c r="V261" i="39"/>
  <c r="Q138" i="39"/>
  <c r="R138" i="39" s="1"/>
  <c r="Q6" i="39"/>
  <c r="R6" i="39" s="1"/>
  <c r="AC280" i="39" l="1"/>
  <c r="AD280" i="39" s="1"/>
  <c r="AH280" i="39"/>
  <c r="AT88" i="39"/>
  <c r="AU88" i="39" s="1"/>
  <c r="AO88" i="39"/>
  <c r="AP88" i="39" s="1"/>
  <c r="W216" i="39"/>
  <c r="X216" i="39" s="1"/>
  <c r="AH383" i="39"/>
  <c r="AB214" i="39"/>
  <c r="AC214" i="39" s="1"/>
  <c r="AD214" i="39" s="1"/>
  <c r="AB64" i="39"/>
  <c r="AH64" i="39" s="1"/>
  <c r="AN64" i="39" s="1"/>
  <c r="AT64" i="39" s="1"/>
  <c r="AU64" i="39" s="1"/>
  <c r="AB192" i="39"/>
  <c r="AB194" i="39"/>
  <c r="W156" i="39"/>
  <c r="X156" i="39" s="1"/>
  <c r="AB154" i="39"/>
  <c r="AC154" i="39" s="1"/>
  <c r="AD154" i="39" s="1"/>
  <c r="W263" i="39"/>
  <c r="X263" i="39" s="1"/>
  <c r="AB369" i="39"/>
  <c r="U563" i="39"/>
  <c r="AH131" i="39"/>
  <c r="AN131" i="39" s="1"/>
  <c r="W265" i="39"/>
  <c r="X265" i="39" s="1"/>
  <c r="AH454" i="39"/>
  <c r="AB127" i="39"/>
  <c r="AB139" i="39"/>
  <c r="AH139" i="39" s="1"/>
  <c r="W129" i="39"/>
  <c r="X129" i="39" s="1"/>
  <c r="AH206" i="39"/>
  <c r="AC246" i="39"/>
  <c r="AD246" i="39" s="1"/>
  <c r="AO463" i="39"/>
  <c r="AP463" i="39" s="1"/>
  <c r="W445" i="39"/>
  <c r="X445" i="39" s="1"/>
  <c r="W62" i="39"/>
  <c r="X62" i="39" s="1"/>
  <c r="W16" i="39"/>
  <c r="X16" i="39" s="1"/>
  <c r="AC254" i="39"/>
  <c r="AD254" i="39" s="1"/>
  <c r="AC265" i="39"/>
  <c r="AD265" i="39" s="1"/>
  <c r="AC384" i="39"/>
  <c r="AD384" i="39" s="1"/>
  <c r="W207" i="39"/>
  <c r="X207" i="39" s="1"/>
  <c r="W528" i="39"/>
  <c r="X528" i="39" s="1"/>
  <c r="AC44" i="39"/>
  <c r="AD44" i="39" s="1"/>
  <c r="W204" i="39"/>
  <c r="X204" i="39" s="1"/>
  <c r="AH137" i="39"/>
  <c r="AN137" i="39" s="1"/>
  <c r="W142" i="39"/>
  <c r="X142" i="39" s="1"/>
  <c r="W211" i="39"/>
  <c r="X211" i="39" s="1"/>
  <c r="W249" i="39"/>
  <c r="X249" i="39" s="1"/>
  <c r="AB195" i="39"/>
  <c r="AH195" i="39" s="1"/>
  <c r="AB31" i="39"/>
  <c r="AC31" i="39" s="1"/>
  <c r="AD31" i="39" s="1"/>
  <c r="W147" i="39"/>
  <c r="X147" i="39" s="1"/>
  <c r="AH282" i="39"/>
  <c r="AI282" i="39" s="1"/>
  <c r="AJ282" i="39" s="1"/>
  <c r="AB43" i="39"/>
  <c r="AH43" i="39" s="1"/>
  <c r="AN43" i="39" s="1"/>
  <c r="W24" i="39"/>
  <c r="X24" i="39" s="1"/>
  <c r="AN82" i="39"/>
  <c r="AI246" i="39"/>
  <c r="AJ246" i="39" s="1"/>
  <c r="AH385" i="39"/>
  <c r="AN385" i="39" s="1"/>
  <c r="AH242" i="39"/>
  <c r="AI242" i="39" s="1"/>
  <c r="AJ242" i="39" s="1"/>
  <c r="AT246" i="39"/>
  <c r="AU246" i="39" s="1"/>
  <c r="AO246" i="39"/>
  <c r="AP246" i="39" s="1"/>
  <c r="W434" i="39"/>
  <c r="X434" i="39" s="1"/>
  <c r="W126" i="39"/>
  <c r="X126" i="39" s="1"/>
  <c r="W188" i="39"/>
  <c r="X188" i="39" s="1"/>
  <c r="AB377" i="39"/>
  <c r="AH377" i="39" s="1"/>
  <c r="W28" i="39"/>
  <c r="X28" i="39" s="1"/>
  <c r="AI262" i="39"/>
  <c r="AJ262" i="39" s="1"/>
  <c r="AT162" i="39"/>
  <c r="AU162" i="39" s="1"/>
  <c r="W376" i="39"/>
  <c r="X376" i="39" s="1"/>
  <c r="AB70" i="39"/>
  <c r="AH70" i="39" s="1"/>
  <c r="W246" i="39"/>
  <c r="X246" i="39" s="1"/>
  <c r="AB54" i="39"/>
  <c r="AH54" i="39" s="1"/>
  <c r="AH450" i="39"/>
  <c r="AN450" i="39" s="1"/>
  <c r="AT470" i="39"/>
  <c r="AU470" i="39" s="1"/>
  <c r="AB244" i="39"/>
  <c r="W375" i="39"/>
  <c r="X375" i="39" s="1"/>
  <c r="AB361" i="39"/>
  <c r="AH361" i="39" s="1"/>
  <c r="AH141" i="39"/>
  <c r="AN141" i="39" s="1"/>
  <c r="AC152" i="39"/>
  <c r="AD152" i="39" s="1"/>
  <c r="AH152" i="39"/>
  <c r="AI152" i="39" s="1"/>
  <c r="AJ152" i="39" s="1"/>
  <c r="AC272" i="39"/>
  <c r="AD272" i="39" s="1"/>
  <c r="AH272" i="39"/>
  <c r="AC434" i="39"/>
  <c r="AD434" i="39" s="1"/>
  <c r="AH434" i="39"/>
  <c r="AN434" i="39" s="1"/>
  <c r="AI62" i="39"/>
  <c r="AJ62" i="39" s="1"/>
  <c r="AN62" i="39"/>
  <c r="AO62" i="39" s="1"/>
  <c r="AP62" i="39" s="1"/>
  <c r="AC381" i="39"/>
  <c r="AD381" i="39" s="1"/>
  <c r="W18" i="39"/>
  <c r="X18" i="39" s="1"/>
  <c r="AI381" i="39"/>
  <c r="AJ381" i="39" s="1"/>
  <c r="AB203" i="39"/>
  <c r="AC203" i="39" s="1"/>
  <c r="AD203" i="39" s="1"/>
  <c r="AH445" i="39"/>
  <c r="V562" i="39"/>
  <c r="W136" i="39"/>
  <c r="X136" i="39" s="1"/>
  <c r="AB235" i="39"/>
  <c r="AB438" i="39"/>
  <c r="AH438" i="39" s="1"/>
  <c r="AB39" i="39"/>
  <c r="AC39" i="39" s="1"/>
  <c r="AD39" i="39" s="1"/>
  <c r="W218" i="39"/>
  <c r="X218" i="39" s="1"/>
  <c r="AB157" i="39"/>
  <c r="AN265" i="39"/>
  <c r="AI265" i="39"/>
  <c r="AJ265" i="39" s="1"/>
  <c r="AO296" i="39"/>
  <c r="AP296" i="39" s="1"/>
  <c r="AT462" i="39"/>
  <c r="AU462" i="39" s="1"/>
  <c r="W131" i="39"/>
  <c r="X131" i="39" s="1"/>
  <c r="AB72" i="39"/>
  <c r="AE1" i="39"/>
  <c r="W373" i="39"/>
  <c r="X373" i="39" s="1"/>
  <c r="W234" i="39"/>
  <c r="X234" i="39" s="1"/>
  <c r="W222" i="39"/>
  <c r="X222" i="39" s="1"/>
  <c r="W248" i="39"/>
  <c r="X248" i="39" s="1"/>
  <c r="AO468" i="39"/>
  <c r="AP468" i="39" s="1"/>
  <c r="AH136" i="39"/>
  <c r="AI136" i="39" s="1"/>
  <c r="AJ136" i="39" s="1"/>
  <c r="AH285" i="39"/>
  <c r="AN285" i="39" s="1"/>
  <c r="AB251" i="39"/>
  <c r="AH251" i="39" s="1"/>
  <c r="AC226" i="39"/>
  <c r="AD226" i="39" s="1"/>
  <c r="AH226" i="39"/>
  <c r="AN226" i="39" s="1"/>
  <c r="Y1" i="39"/>
  <c r="AN457" i="39"/>
  <c r="AO457" i="39" s="1"/>
  <c r="AP457" i="39" s="1"/>
  <c r="AB208" i="39"/>
  <c r="AC208" i="39" s="1"/>
  <c r="AD208" i="39" s="1"/>
  <c r="AT388" i="39"/>
  <c r="AU388" i="39" s="1"/>
  <c r="AB48" i="39"/>
  <c r="AH48" i="39" s="1"/>
  <c r="AB228" i="39"/>
  <c r="AH228" i="39" s="1"/>
  <c r="AI228" i="39" s="1"/>
  <c r="AJ228" i="39" s="1"/>
  <c r="AB201" i="39"/>
  <c r="AC201" i="39" s="1"/>
  <c r="AD201" i="39" s="1"/>
  <c r="W252" i="39"/>
  <c r="X252" i="39" s="1"/>
  <c r="AO83" i="39"/>
  <c r="AP83" i="39" s="1"/>
  <c r="AC70" i="39"/>
  <c r="AD70" i="39" s="1"/>
  <c r="AO469" i="39"/>
  <c r="AP469" i="39" s="1"/>
  <c r="AC62" i="39"/>
  <c r="AD62" i="39" s="1"/>
  <c r="AO163" i="39"/>
  <c r="AP163" i="39" s="1"/>
  <c r="AH222" i="39"/>
  <c r="AN222" i="39" s="1"/>
  <c r="W20" i="39"/>
  <c r="X20" i="39" s="1"/>
  <c r="AH133" i="39"/>
  <c r="AN133" i="39" s="1"/>
  <c r="AB448" i="39"/>
  <c r="AH448" i="39" s="1"/>
  <c r="AO46" i="39"/>
  <c r="AP46" i="39" s="1"/>
  <c r="AI460" i="39"/>
  <c r="AJ460" i="39" s="1"/>
  <c r="AM357" i="39"/>
  <c r="J547" i="39" s="1"/>
  <c r="S547" i="39" s="1"/>
  <c r="W364" i="39"/>
  <c r="X364" i="39" s="1"/>
  <c r="AH219" i="39"/>
  <c r="AI219" i="39" s="1"/>
  <c r="AJ219" i="39" s="1"/>
  <c r="AK1" i="39"/>
  <c r="AI46" i="39"/>
  <c r="AJ46" i="39" s="1"/>
  <c r="AH230" i="39"/>
  <c r="AN230" i="39" s="1"/>
  <c r="S1" i="39"/>
  <c r="AN87" i="39"/>
  <c r="AT87" i="39" s="1"/>
  <c r="AU87" i="39" s="1"/>
  <c r="AH28" i="39"/>
  <c r="AC28" i="39"/>
  <c r="AD28" i="39" s="1"/>
  <c r="AT86" i="39"/>
  <c r="AU86" i="39" s="1"/>
  <c r="AO86" i="39"/>
  <c r="AP86" i="39" s="1"/>
  <c r="AT461" i="39"/>
  <c r="AU461" i="39" s="1"/>
  <c r="W250" i="39"/>
  <c r="X250" i="39" s="1"/>
  <c r="AS357" i="39"/>
  <c r="O565" i="39" s="1"/>
  <c r="AB132" i="39"/>
  <c r="AH132" i="39" s="1"/>
  <c r="AI295" i="39"/>
  <c r="AJ295" i="39" s="1"/>
  <c r="W231" i="39"/>
  <c r="X231" i="39" s="1"/>
  <c r="AO300" i="39"/>
  <c r="AP300" i="39" s="1"/>
  <c r="AN78" i="39"/>
  <c r="AB193" i="39"/>
  <c r="AH193" i="39" s="1"/>
  <c r="AB439" i="39"/>
  <c r="AH439" i="39" s="1"/>
  <c r="AO160" i="39"/>
  <c r="AP160" i="39" s="1"/>
  <c r="AO164" i="39"/>
  <c r="AP164" i="39" s="1"/>
  <c r="W258" i="39"/>
  <c r="X258" i="39" s="1"/>
  <c r="AN89" i="39"/>
  <c r="AO89" i="39" s="1"/>
  <c r="AP89" i="39" s="1"/>
  <c r="AC267" i="39"/>
  <c r="AD267" i="39" s="1"/>
  <c r="AI267" i="39"/>
  <c r="AJ267" i="39" s="1"/>
  <c r="W22" i="39"/>
  <c r="X22" i="39" s="1"/>
  <c r="AB66" i="39"/>
  <c r="AH66" i="39" s="1"/>
  <c r="W150" i="39"/>
  <c r="X150" i="39" s="1"/>
  <c r="V563" i="39"/>
  <c r="AC36" i="39"/>
  <c r="AD36" i="39" s="1"/>
  <c r="AT5" i="39"/>
  <c r="AT12" i="39" s="1"/>
  <c r="Q562" i="39" s="1"/>
  <c r="AB68" i="39"/>
  <c r="AC129" i="39"/>
  <c r="AD129" i="39" s="1"/>
  <c r="AH129" i="39"/>
  <c r="AN129" i="39" s="1"/>
  <c r="AC258" i="39"/>
  <c r="AD258" i="39" s="1"/>
  <c r="AH258" i="39"/>
  <c r="AN258" i="39" s="1"/>
  <c r="AN395" i="39"/>
  <c r="AO395" i="39" s="1"/>
  <c r="AP395" i="39" s="1"/>
  <c r="AB35" i="39"/>
  <c r="W35" i="39"/>
  <c r="X35" i="39" s="1"/>
  <c r="AN76" i="39"/>
  <c r="AI76" i="39"/>
  <c r="AJ76" i="39" s="1"/>
  <c r="U121" i="39"/>
  <c r="AN26" i="39"/>
  <c r="AT26" i="39" s="1"/>
  <c r="AU26" i="39" s="1"/>
  <c r="AI26" i="39"/>
  <c r="AJ26" i="39" s="1"/>
  <c r="AN236" i="39"/>
  <c r="AO236" i="39" s="1"/>
  <c r="AP236" i="39" s="1"/>
  <c r="AI236" i="39"/>
  <c r="AJ236" i="39" s="1"/>
  <c r="AB239" i="39"/>
  <c r="AC239" i="39" s="1"/>
  <c r="AD239" i="39" s="1"/>
  <c r="AO77" i="39"/>
  <c r="AP77" i="39" s="1"/>
  <c r="AB196" i="39"/>
  <c r="AC196" i="39" s="1"/>
  <c r="AD196" i="39" s="1"/>
  <c r="AB418" i="39"/>
  <c r="AH418" i="39" s="1"/>
  <c r="AI299" i="39"/>
  <c r="AJ299" i="39" s="1"/>
  <c r="AC26" i="39"/>
  <c r="AD26" i="39" s="1"/>
  <c r="AC198" i="39"/>
  <c r="AD198" i="39" s="1"/>
  <c r="AC218" i="39"/>
  <c r="AD218" i="39" s="1"/>
  <c r="AI302" i="39"/>
  <c r="AJ302" i="39" s="1"/>
  <c r="AI391" i="39"/>
  <c r="AJ391" i="39" s="1"/>
  <c r="I547" i="39"/>
  <c r="AB419" i="39"/>
  <c r="AH419" i="39" s="1"/>
  <c r="AN80" i="39"/>
  <c r="AI80" i="39"/>
  <c r="AJ80" i="39" s="1"/>
  <c r="AO81" i="39"/>
  <c r="AP81" i="39" s="1"/>
  <c r="AB304" i="39"/>
  <c r="AH304" i="39" s="1"/>
  <c r="W380" i="39"/>
  <c r="X380" i="39" s="1"/>
  <c r="AO381" i="39"/>
  <c r="AP381" i="39" s="1"/>
  <c r="AB437" i="39"/>
  <c r="AC437" i="39" s="1"/>
  <c r="AD437" i="39" s="1"/>
  <c r="AN136" i="39"/>
  <c r="AC236" i="39"/>
  <c r="AD236" i="39" s="1"/>
  <c r="AG517" i="39"/>
  <c r="AI459" i="39"/>
  <c r="AJ459" i="39" s="1"/>
  <c r="AA357" i="39"/>
  <c r="AB200" i="39"/>
  <c r="AH200" i="39" s="1"/>
  <c r="W381" i="39"/>
  <c r="X381" i="39" s="1"/>
  <c r="AI395" i="39"/>
  <c r="AJ395" i="39" s="1"/>
  <c r="AH433" i="39"/>
  <c r="AN433" i="39" s="1"/>
  <c r="V568" i="39"/>
  <c r="AB223" i="39"/>
  <c r="W223" i="39"/>
  <c r="X223" i="39" s="1"/>
  <c r="AT466" i="39"/>
  <c r="AU466" i="39" s="1"/>
  <c r="AO466" i="39"/>
  <c r="AP466" i="39" s="1"/>
  <c r="AH201" i="39"/>
  <c r="W267" i="39"/>
  <c r="X267" i="39" s="1"/>
  <c r="AB190" i="39"/>
  <c r="W190" i="39"/>
  <c r="X190" i="39" s="1"/>
  <c r="AH60" i="39"/>
  <c r="AC60" i="39"/>
  <c r="AD60" i="39" s="1"/>
  <c r="F11" i="8"/>
  <c r="AB41" i="39"/>
  <c r="W41" i="39"/>
  <c r="X41" i="39" s="1"/>
  <c r="AS413" i="39"/>
  <c r="O566" i="39" s="1"/>
  <c r="AG413" i="39"/>
  <c r="W562" i="39"/>
  <c r="F12" i="8"/>
  <c r="AM517" i="39"/>
  <c r="J549" i="39" s="1"/>
  <c r="S549" i="39" s="1"/>
  <c r="AM413" i="39"/>
  <c r="J548" i="39" s="1"/>
  <c r="S548" i="39" s="1"/>
  <c r="AG357" i="39"/>
  <c r="AA517" i="39"/>
  <c r="U357" i="39"/>
  <c r="AH52" i="39"/>
  <c r="AC52" i="39"/>
  <c r="AD52" i="39" s="1"/>
  <c r="AA121" i="39"/>
  <c r="AI36" i="39"/>
  <c r="AJ36" i="39" s="1"/>
  <c r="AT301" i="39"/>
  <c r="AU301" i="39" s="1"/>
  <c r="AT394" i="39"/>
  <c r="AU394" i="39" s="1"/>
  <c r="AT62" i="39"/>
  <c r="AU62" i="39" s="1"/>
  <c r="U565" i="39"/>
  <c r="V565" i="39" s="1"/>
  <c r="F13" i="8"/>
  <c r="I570" i="39"/>
  <c r="U567" i="39"/>
  <c r="V567" i="39" s="1"/>
  <c r="U566" i="39"/>
  <c r="V566" i="39" s="1"/>
  <c r="AN50" i="39"/>
  <c r="AI50" i="39"/>
  <c r="AJ50" i="39" s="1"/>
  <c r="AB238" i="39"/>
  <c r="W238" i="39"/>
  <c r="X238" i="39" s="1"/>
  <c r="AM121" i="39"/>
  <c r="J545" i="39" s="1"/>
  <c r="S545" i="39" s="1"/>
  <c r="AI82" i="39"/>
  <c r="AJ82" i="39" s="1"/>
  <c r="AH210" i="39"/>
  <c r="AN210" i="39" s="1"/>
  <c r="AH56" i="39"/>
  <c r="AC56" i="39"/>
  <c r="AD56" i="39" s="1"/>
  <c r="AN85" i="39"/>
  <c r="I548" i="39"/>
  <c r="AH58" i="39"/>
  <c r="AC58" i="39"/>
  <c r="AD58" i="39" s="1"/>
  <c r="AT389" i="39"/>
  <c r="AU389" i="39" s="1"/>
  <c r="AO389" i="39"/>
  <c r="AP389" i="39" s="1"/>
  <c r="AH524" i="39"/>
  <c r="AC524" i="39"/>
  <c r="AD524" i="39" s="1"/>
  <c r="AB472" i="39"/>
  <c r="W472" i="39"/>
  <c r="X472" i="39" s="1"/>
  <c r="AB261" i="39"/>
  <c r="W261" i="39"/>
  <c r="X261" i="39" s="1"/>
  <c r="AB205" i="39"/>
  <c r="W205" i="39"/>
  <c r="X205" i="39" s="1"/>
  <c r="AB45" i="39"/>
  <c r="W45" i="39"/>
  <c r="X45" i="39" s="1"/>
  <c r="AB27" i="39"/>
  <c r="W27" i="39"/>
  <c r="X27" i="39" s="1"/>
  <c r="AB47" i="39"/>
  <c r="W47" i="39"/>
  <c r="X47" i="39" s="1"/>
  <c r="AB19" i="39"/>
  <c r="W19" i="39"/>
  <c r="X19" i="39" s="1"/>
  <c r="AB245" i="39"/>
  <c r="W245" i="39"/>
  <c r="X245" i="39" s="1"/>
  <c r="AB253" i="39"/>
  <c r="W253" i="39"/>
  <c r="X253" i="39" s="1"/>
  <c r="AH16" i="39"/>
  <c r="AC16" i="39"/>
  <c r="AD16" i="39" s="1"/>
  <c r="AB74" i="39"/>
  <c r="R185" i="39"/>
  <c r="AB197" i="39"/>
  <c r="W197" i="39"/>
  <c r="X197" i="39" s="1"/>
  <c r="AH135" i="39"/>
  <c r="AC135" i="39"/>
  <c r="AD135" i="39" s="1"/>
  <c r="P413" i="39"/>
  <c r="V359" i="39"/>
  <c r="Q359" i="39"/>
  <c r="AB275" i="39"/>
  <c r="W275" i="39"/>
  <c r="X275" i="39" s="1"/>
  <c r="AB366" i="39"/>
  <c r="W366" i="39"/>
  <c r="X366" i="39" s="1"/>
  <c r="AH156" i="39"/>
  <c r="AC156" i="39"/>
  <c r="AD156" i="39" s="1"/>
  <c r="AN198" i="39"/>
  <c r="AI198" i="39"/>
  <c r="AJ198" i="39" s="1"/>
  <c r="AN218" i="39"/>
  <c r="AI218" i="39"/>
  <c r="AJ218" i="39" s="1"/>
  <c r="AB217" i="39"/>
  <c r="W217" i="39"/>
  <c r="X217" i="39" s="1"/>
  <c r="AT254" i="39"/>
  <c r="AU254" i="39" s="1"/>
  <c r="AO254" i="39"/>
  <c r="AP254" i="39" s="1"/>
  <c r="AB431" i="39"/>
  <c r="W431" i="39"/>
  <c r="X431" i="39" s="1"/>
  <c r="AH452" i="39"/>
  <c r="AC452" i="39"/>
  <c r="AD452" i="39" s="1"/>
  <c r="AO456" i="39"/>
  <c r="AP456" i="39" s="1"/>
  <c r="AT456" i="39"/>
  <c r="AU456" i="39" s="1"/>
  <c r="AH442" i="39"/>
  <c r="AC442" i="39"/>
  <c r="AD442" i="39" s="1"/>
  <c r="AN219" i="39"/>
  <c r="AH284" i="39"/>
  <c r="AC284" i="39"/>
  <c r="AD284" i="39" s="1"/>
  <c r="AB422" i="39"/>
  <c r="W422" i="39"/>
  <c r="X422" i="39" s="1"/>
  <c r="AH257" i="39"/>
  <c r="AC257" i="39"/>
  <c r="AD257" i="39" s="1"/>
  <c r="AH209" i="39"/>
  <c r="AC209" i="39"/>
  <c r="AD209" i="39" s="1"/>
  <c r="AH240" i="39"/>
  <c r="AC240" i="39"/>
  <c r="AD240" i="39" s="1"/>
  <c r="AH252" i="39"/>
  <c r="AC252" i="39"/>
  <c r="AD252" i="39" s="1"/>
  <c r="AH264" i="39"/>
  <c r="AC264" i="39"/>
  <c r="AD264" i="39" s="1"/>
  <c r="AT303" i="39"/>
  <c r="AU303" i="39" s="1"/>
  <c r="AO303" i="39"/>
  <c r="AP303" i="39" s="1"/>
  <c r="AN387" i="39"/>
  <c r="AI387" i="39"/>
  <c r="AJ387" i="39" s="1"/>
  <c r="AH443" i="39"/>
  <c r="AC443" i="39"/>
  <c r="AD443" i="39" s="1"/>
  <c r="P517" i="39"/>
  <c r="V415" i="39"/>
  <c r="Q415" i="39"/>
  <c r="AC438" i="39"/>
  <c r="AD438" i="39" s="1"/>
  <c r="AH263" i="39"/>
  <c r="AC263" i="39"/>
  <c r="AD263" i="39" s="1"/>
  <c r="AH424" i="39"/>
  <c r="AC424" i="39"/>
  <c r="AD424" i="39" s="1"/>
  <c r="AB529" i="39"/>
  <c r="W529" i="39"/>
  <c r="X529" i="39" s="1"/>
  <c r="P538" i="39"/>
  <c r="V523" i="39"/>
  <c r="Q523" i="39"/>
  <c r="AB444" i="39"/>
  <c r="W444" i="39"/>
  <c r="X444" i="39" s="1"/>
  <c r="AA538" i="39"/>
  <c r="AH376" i="39"/>
  <c r="AC376" i="39"/>
  <c r="AD376" i="39" s="1"/>
  <c r="AH417" i="39"/>
  <c r="AC417" i="39"/>
  <c r="AD417" i="39" s="1"/>
  <c r="AH420" i="39"/>
  <c r="AC420" i="39"/>
  <c r="AD420" i="39" s="1"/>
  <c r="AT531" i="39"/>
  <c r="AU531" i="39" s="1"/>
  <c r="AO531" i="39"/>
  <c r="AP531" i="39" s="1"/>
  <c r="AH363" i="39"/>
  <c r="AC363" i="39"/>
  <c r="AD363" i="39" s="1"/>
  <c r="AH273" i="39"/>
  <c r="AC273" i="39"/>
  <c r="AD273" i="39" s="1"/>
  <c r="AH519" i="39"/>
  <c r="AG521" i="39"/>
  <c r="L544" i="39"/>
  <c r="AB134" i="39"/>
  <c r="W134" i="39"/>
  <c r="X134" i="39" s="1"/>
  <c r="AB71" i="39"/>
  <c r="W71" i="39"/>
  <c r="X71" i="39" s="1"/>
  <c r="AB17" i="39"/>
  <c r="W17" i="39"/>
  <c r="X17" i="39" s="1"/>
  <c r="AI87" i="39"/>
  <c r="AJ87" i="39" s="1"/>
  <c r="AB37" i="39"/>
  <c r="W37" i="39"/>
  <c r="X37" i="39" s="1"/>
  <c r="AB6" i="39"/>
  <c r="W6" i="39"/>
  <c r="X6" i="39" s="1"/>
  <c r="AI89" i="39"/>
  <c r="AJ89" i="39" s="1"/>
  <c r="AB268" i="39"/>
  <c r="W268" i="39"/>
  <c r="X268" i="39" s="1"/>
  <c r="AB69" i="39"/>
  <c r="W69" i="39"/>
  <c r="X69" i="39" s="1"/>
  <c r="AH24" i="39"/>
  <c r="AC24" i="39"/>
  <c r="AD24" i="39" s="1"/>
  <c r="AB63" i="39"/>
  <c r="W63" i="39"/>
  <c r="X63" i="39" s="1"/>
  <c r="AH20" i="39"/>
  <c r="AC20" i="39"/>
  <c r="AD20" i="39" s="1"/>
  <c r="AB51" i="39"/>
  <c r="W51" i="39"/>
  <c r="X51" i="39" s="1"/>
  <c r="AS121" i="39"/>
  <c r="O563" i="39" s="1"/>
  <c r="AN152" i="39"/>
  <c r="AB61" i="39"/>
  <c r="W61" i="39"/>
  <c r="X61" i="39" s="1"/>
  <c r="AA12" i="39"/>
  <c r="AH30" i="39"/>
  <c r="AC30" i="39"/>
  <c r="AD30" i="39" s="1"/>
  <c r="AH34" i="39"/>
  <c r="AC34" i="39"/>
  <c r="AD34" i="39" s="1"/>
  <c r="AH38" i="39"/>
  <c r="AC38" i="39"/>
  <c r="AD38" i="39" s="1"/>
  <c r="AH42" i="39"/>
  <c r="AC42" i="39"/>
  <c r="AD42" i="39" s="1"/>
  <c r="P121" i="39"/>
  <c r="V14" i="39"/>
  <c r="Q14" i="39"/>
  <c r="AB155" i="39"/>
  <c r="W155" i="39"/>
  <c r="X155" i="39" s="1"/>
  <c r="W74" i="39"/>
  <c r="X74" i="39" s="1"/>
  <c r="Q12" i="39"/>
  <c r="R5" i="39"/>
  <c r="R12" i="39" s="1"/>
  <c r="AB15" i="39"/>
  <c r="W15" i="39"/>
  <c r="X15" i="39" s="1"/>
  <c r="AT82" i="39"/>
  <c r="AU82" i="39" s="1"/>
  <c r="AO82" i="39"/>
  <c r="AP82" i="39" s="1"/>
  <c r="AH204" i="39"/>
  <c r="AC204" i="39"/>
  <c r="AD204" i="39" s="1"/>
  <c r="AB221" i="39"/>
  <c r="W221" i="39"/>
  <c r="X221" i="39" s="1"/>
  <c r="AH213" i="39"/>
  <c r="AC213" i="39"/>
  <c r="AD213" i="39" s="1"/>
  <c r="AN234" i="39"/>
  <c r="AI234" i="39"/>
  <c r="AJ234" i="39" s="1"/>
  <c r="AT298" i="39"/>
  <c r="AU298" i="39" s="1"/>
  <c r="AO298" i="39"/>
  <c r="AP298" i="39" s="1"/>
  <c r="AB279" i="39"/>
  <c r="W279" i="39"/>
  <c r="X279" i="39" s="1"/>
  <c r="AB362" i="39"/>
  <c r="W362" i="39"/>
  <c r="X362" i="39" s="1"/>
  <c r="AI385" i="39"/>
  <c r="AJ385" i="39" s="1"/>
  <c r="AN242" i="39"/>
  <c r="AH191" i="39"/>
  <c r="AC191" i="39"/>
  <c r="AD191" i="39" s="1"/>
  <c r="AN206" i="39"/>
  <c r="AI206" i="39"/>
  <c r="AJ206" i="39" s="1"/>
  <c r="AB423" i="39"/>
  <c r="W423" i="39"/>
  <c r="X423" i="39" s="1"/>
  <c r="AH126" i="39"/>
  <c r="AC126" i="39"/>
  <c r="AD126" i="39" s="1"/>
  <c r="AH149" i="39"/>
  <c r="AC149" i="39"/>
  <c r="AD149" i="39" s="1"/>
  <c r="AH142" i="39"/>
  <c r="AC142" i="39"/>
  <c r="AD142" i="39" s="1"/>
  <c r="AH150" i="39"/>
  <c r="AC150" i="39"/>
  <c r="AD150" i="39" s="1"/>
  <c r="AB189" i="39"/>
  <c r="W189" i="39"/>
  <c r="X189" i="39" s="1"/>
  <c r="AH243" i="39"/>
  <c r="AC243" i="39"/>
  <c r="AD243" i="39" s="1"/>
  <c r="AB278" i="39"/>
  <c r="W278" i="39"/>
  <c r="X278" i="39" s="1"/>
  <c r="AT299" i="39"/>
  <c r="AU299" i="39" s="1"/>
  <c r="AO299" i="39"/>
  <c r="AP299" i="39" s="1"/>
  <c r="AB379" i="39"/>
  <c r="W379" i="39"/>
  <c r="X379" i="39" s="1"/>
  <c r="AT391" i="39"/>
  <c r="AU391" i="39" s="1"/>
  <c r="AO391" i="39"/>
  <c r="AP391" i="39" s="1"/>
  <c r="AH188" i="39"/>
  <c r="AC188" i="39"/>
  <c r="AD188" i="39" s="1"/>
  <c r="AN70" i="39"/>
  <c r="AI70" i="39"/>
  <c r="AJ70" i="39" s="1"/>
  <c r="AH216" i="39"/>
  <c r="AC216" i="39"/>
  <c r="AD216" i="39" s="1"/>
  <c r="AH244" i="39"/>
  <c r="AC244" i="39"/>
  <c r="AD244" i="39" s="1"/>
  <c r="AH256" i="39"/>
  <c r="AC256" i="39"/>
  <c r="AD256" i="39" s="1"/>
  <c r="AB281" i="39"/>
  <c r="AN292" i="39"/>
  <c r="AI292" i="39"/>
  <c r="AJ292" i="39" s="1"/>
  <c r="AN383" i="39"/>
  <c r="AI383" i="39"/>
  <c r="AJ383" i="39" s="1"/>
  <c r="AH437" i="39"/>
  <c r="AH453" i="39"/>
  <c r="AC453" i="39"/>
  <c r="AD453" i="39" s="1"/>
  <c r="O517" i="39"/>
  <c r="O1" i="39" s="1"/>
  <c r="AH371" i="39"/>
  <c r="AC371" i="39"/>
  <c r="AD371" i="39" s="1"/>
  <c r="AH367" i="39"/>
  <c r="AC367" i="39"/>
  <c r="AD367" i="39" s="1"/>
  <c r="AH380" i="39"/>
  <c r="AC380" i="39"/>
  <c r="AD380" i="39" s="1"/>
  <c r="AH373" i="39"/>
  <c r="AC373" i="39"/>
  <c r="AD373" i="39" s="1"/>
  <c r="AT465" i="39"/>
  <c r="AU465" i="39" s="1"/>
  <c r="AO465" i="39"/>
  <c r="AP465" i="39" s="1"/>
  <c r="AH255" i="39"/>
  <c r="AC255" i="39"/>
  <c r="AD255" i="39" s="1"/>
  <c r="AH215" i="39"/>
  <c r="AC215" i="39"/>
  <c r="AD215" i="39" s="1"/>
  <c r="AH247" i="39"/>
  <c r="AC247" i="39"/>
  <c r="AD247" i="39" s="1"/>
  <c r="AH227" i="39"/>
  <c r="AC227" i="39"/>
  <c r="AD227" i="39" s="1"/>
  <c r="AH208" i="39"/>
  <c r="AH266" i="39"/>
  <c r="AC266" i="39"/>
  <c r="AD266" i="39" s="1"/>
  <c r="AN286" i="39"/>
  <c r="AI286" i="39"/>
  <c r="AJ286" i="39" s="1"/>
  <c r="AT291" i="39"/>
  <c r="AU291" i="39" s="1"/>
  <c r="AO291" i="39"/>
  <c r="AP291" i="39" s="1"/>
  <c r="AH429" i="39"/>
  <c r="AC429" i="39"/>
  <c r="AD429" i="39" s="1"/>
  <c r="AH428" i="39"/>
  <c r="AC428" i="39"/>
  <c r="AD428" i="39" s="1"/>
  <c r="AT386" i="39"/>
  <c r="AU386" i="39" s="1"/>
  <c r="AO386" i="39"/>
  <c r="AP386" i="39" s="1"/>
  <c r="AT459" i="39"/>
  <c r="AU459" i="39" s="1"/>
  <c r="AO459" i="39"/>
  <c r="AP459" i="39" s="1"/>
  <c r="AH528" i="39"/>
  <c r="AC528" i="39"/>
  <c r="AD528" i="39" s="1"/>
  <c r="AI434" i="39"/>
  <c r="AJ434" i="39" s="1"/>
  <c r="AH364" i="39"/>
  <c r="AC364" i="39"/>
  <c r="AD364" i="39" s="1"/>
  <c r="AN384" i="39"/>
  <c r="AI384" i="39"/>
  <c r="AJ384" i="39" s="1"/>
  <c r="AH276" i="39"/>
  <c r="AC276" i="39"/>
  <c r="AD276" i="39" s="1"/>
  <c r="AT267" i="39"/>
  <c r="AU267" i="39" s="1"/>
  <c r="AO267" i="39"/>
  <c r="AP267" i="39" s="1"/>
  <c r="AB378" i="39"/>
  <c r="W378" i="39"/>
  <c r="X378" i="39" s="1"/>
  <c r="AB447" i="39"/>
  <c r="AH229" i="39"/>
  <c r="AC229" i="39"/>
  <c r="AD229" i="39" s="1"/>
  <c r="AB233" i="39"/>
  <c r="W233" i="39"/>
  <c r="X233" i="39" s="1"/>
  <c r="AH248" i="39"/>
  <c r="AC248" i="39"/>
  <c r="AD248" i="39" s="1"/>
  <c r="AH260" i="39"/>
  <c r="AC260" i="39"/>
  <c r="AD260" i="39" s="1"/>
  <c r="AH288" i="39"/>
  <c r="AC288" i="39"/>
  <c r="AD288" i="39" s="1"/>
  <c r="AB370" i="39"/>
  <c r="W370" i="39"/>
  <c r="X370" i="39" s="1"/>
  <c r="AT390" i="39"/>
  <c r="AU390" i="39" s="1"/>
  <c r="AO390" i="39"/>
  <c r="AP390" i="39" s="1"/>
  <c r="AB426" i="39"/>
  <c r="W426" i="39"/>
  <c r="X426" i="39" s="1"/>
  <c r="AH455" i="39"/>
  <c r="AT464" i="39"/>
  <c r="AU464" i="39" s="1"/>
  <c r="AO464" i="39"/>
  <c r="AP464" i="39" s="1"/>
  <c r="AS517" i="39"/>
  <c r="O567" i="39" s="1"/>
  <c r="AB440" i="39"/>
  <c r="W440" i="39"/>
  <c r="X440" i="39" s="1"/>
  <c r="I549" i="39"/>
  <c r="AN451" i="39"/>
  <c r="AI451" i="39"/>
  <c r="AJ451" i="39" s="1"/>
  <c r="AT458" i="39"/>
  <c r="AU458" i="39" s="1"/>
  <c r="AO458" i="39"/>
  <c r="AP458" i="39" s="1"/>
  <c r="AH425" i="39"/>
  <c r="AC425" i="39"/>
  <c r="AD425" i="39" s="1"/>
  <c r="AH449" i="39"/>
  <c r="AC449" i="39"/>
  <c r="AD449" i="39" s="1"/>
  <c r="AN454" i="39"/>
  <c r="AI454" i="39"/>
  <c r="AJ454" i="39" s="1"/>
  <c r="AH525" i="39"/>
  <c r="AC525" i="39"/>
  <c r="AD525" i="39" s="1"/>
  <c r="AH527" i="39"/>
  <c r="AC527" i="39"/>
  <c r="AD527" i="39" s="1"/>
  <c r="AH368" i="39"/>
  <c r="AC368" i="39"/>
  <c r="AD368" i="39" s="1"/>
  <c r="AH427" i="39"/>
  <c r="AC427" i="39"/>
  <c r="AD427" i="39" s="1"/>
  <c r="AH435" i="39"/>
  <c r="AC435" i="39"/>
  <c r="AD435" i="39" s="1"/>
  <c r="AH360" i="39"/>
  <c r="AC360" i="39"/>
  <c r="AD360" i="39" s="1"/>
  <c r="AH270" i="39"/>
  <c r="AC270" i="39"/>
  <c r="AD270" i="39" s="1"/>
  <c r="AH277" i="39"/>
  <c r="AC277" i="39"/>
  <c r="AD277" i="39" s="1"/>
  <c r="AH372" i="39"/>
  <c r="AC372" i="39"/>
  <c r="AD372" i="39" s="1"/>
  <c r="AH365" i="39"/>
  <c r="AC365" i="39"/>
  <c r="AD365" i="39" s="1"/>
  <c r="AB29" i="39"/>
  <c r="W29" i="39"/>
  <c r="X29" i="39" s="1"/>
  <c r="AB65" i="39"/>
  <c r="W65" i="39"/>
  <c r="X65" i="39" s="1"/>
  <c r="AN79" i="39"/>
  <c r="AI79" i="39"/>
  <c r="AJ79" i="39" s="1"/>
  <c r="AB73" i="39"/>
  <c r="W73" i="39"/>
  <c r="X73" i="39" s="1"/>
  <c r="AH31" i="39"/>
  <c r="AH22" i="39"/>
  <c r="AC22" i="39"/>
  <c r="AD22" i="39" s="1"/>
  <c r="AB21" i="39"/>
  <c r="W21" i="39"/>
  <c r="X21" i="39" s="1"/>
  <c r="AB130" i="39"/>
  <c r="W130" i="39"/>
  <c r="X130" i="39" s="1"/>
  <c r="AN144" i="39"/>
  <c r="AI144" i="39"/>
  <c r="AJ144" i="39" s="1"/>
  <c r="AM12" i="39"/>
  <c r="J544" i="39" s="1"/>
  <c r="AB49" i="39"/>
  <c r="W49" i="39"/>
  <c r="X49" i="39" s="1"/>
  <c r="AB25" i="39"/>
  <c r="W25" i="39"/>
  <c r="X25" i="39" s="1"/>
  <c r="AB151" i="39"/>
  <c r="W151" i="39"/>
  <c r="X151" i="39" s="1"/>
  <c r="P357" i="39"/>
  <c r="V187" i="39"/>
  <c r="Q187" i="39"/>
  <c r="AG12" i="39"/>
  <c r="AB5" i="39"/>
  <c r="W5" i="39"/>
  <c r="V12" i="39"/>
  <c r="AB237" i="39"/>
  <c r="W237" i="39"/>
  <c r="X237" i="39" s="1"/>
  <c r="AB140" i="39"/>
  <c r="W140" i="39"/>
  <c r="X140" i="39" s="1"/>
  <c r="AT159" i="39"/>
  <c r="AU159" i="39" s="1"/>
  <c r="AO159" i="39"/>
  <c r="AP159" i="39" s="1"/>
  <c r="AN250" i="39"/>
  <c r="AI250" i="39"/>
  <c r="AJ250" i="39" s="1"/>
  <c r="AH199" i="39"/>
  <c r="AC199" i="39"/>
  <c r="AD199" i="39" s="1"/>
  <c r="AH287" i="39"/>
  <c r="AC287" i="39"/>
  <c r="AD287" i="39" s="1"/>
  <c r="AH382" i="39"/>
  <c r="AC382" i="39"/>
  <c r="AD382" i="39" s="1"/>
  <c r="AT158" i="39"/>
  <c r="AU158" i="39" s="1"/>
  <c r="AO158" i="39"/>
  <c r="AP158" i="39" s="1"/>
  <c r="AH125" i="39"/>
  <c r="AC125" i="39"/>
  <c r="AD125" i="39" s="1"/>
  <c r="AH249" i="39"/>
  <c r="AC249" i="39"/>
  <c r="AD249" i="39" s="1"/>
  <c r="AN269" i="39"/>
  <c r="AI269" i="39"/>
  <c r="AJ269" i="39" s="1"/>
  <c r="AB53" i="39"/>
  <c r="W53" i="39"/>
  <c r="X53" i="39" s="1"/>
  <c r="AB143" i="39"/>
  <c r="W143" i="39"/>
  <c r="X143" i="39" s="1"/>
  <c r="AB138" i="39"/>
  <c r="W138" i="39"/>
  <c r="X138" i="39" s="1"/>
  <c r="AN75" i="39"/>
  <c r="AI75" i="39"/>
  <c r="AJ75" i="39" s="1"/>
  <c r="AG121" i="39"/>
  <c r="AB67" i="39"/>
  <c r="W67" i="39"/>
  <c r="X67" i="39" s="1"/>
  <c r="AO12" i="39"/>
  <c r="AP12" i="39" s="1"/>
  <c r="AP5" i="39"/>
  <c r="AB55" i="39"/>
  <c r="W55" i="39"/>
  <c r="X55" i="39" s="1"/>
  <c r="U12" i="39"/>
  <c r="AI85" i="39"/>
  <c r="AJ85" i="39" s="1"/>
  <c r="AH148" i="39"/>
  <c r="AC148" i="39"/>
  <c r="AD148" i="39" s="1"/>
  <c r="AB59" i="39"/>
  <c r="W59" i="39"/>
  <c r="X59" i="39" s="1"/>
  <c r="AB33" i="39"/>
  <c r="W33" i="39"/>
  <c r="X33" i="39" s="1"/>
  <c r="AT161" i="39"/>
  <c r="AU161" i="39" s="1"/>
  <c r="AO161" i="39"/>
  <c r="AP161" i="39" s="1"/>
  <c r="AH18" i="39"/>
  <c r="AC18" i="39"/>
  <c r="AD18" i="39" s="1"/>
  <c r="AB57" i="39"/>
  <c r="W57" i="39"/>
  <c r="X57" i="39" s="1"/>
  <c r="AH32" i="39"/>
  <c r="AC32" i="39"/>
  <c r="AD32" i="39" s="1"/>
  <c r="AT36" i="39"/>
  <c r="AU36" i="39" s="1"/>
  <c r="AO36" i="39"/>
  <c r="AP36" i="39" s="1"/>
  <c r="AH40" i="39"/>
  <c r="AC40" i="39"/>
  <c r="AD40" i="39" s="1"/>
  <c r="AT44" i="39"/>
  <c r="AU44" i="39" s="1"/>
  <c r="AO44" i="39"/>
  <c r="AP44" i="39" s="1"/>
  <c r="AH192" i="39"/>
  <c r="AC192" i="39"/>
  <c r="AD192" i="39" s="1"/>
  <c r="M544" i="39"/>
  <c r="AB23" i="39"/>
  <c r="W23" i="39"/>
  <c r="X23" i="39" s="1"/>
  <c r="V185" i="39"/>
  <c r="AB124" i="39"/>
  <c r="W124" i="39"/>
  <c r="Q185" i="39"/>
  <c r="AH194" i="39"/>
  <c r="AC194" i="39"/>
  <c r="AD194" i="39" s="1"/>
  <c r="AB274" i="39"/>
  <c r="W274" i="39"/>
  <c r="X274" i="39" s="1"/>
  <c r="AN293" i="39"/>
  <c r="AI293" i="39"/>
  <c r="AJ293" i="39" s="1"/>
  <c r="AB271" i="39"/>
  <c r="W271" i="39"/>
  <c r="X271" i="39" s="1"/>
  <c r="AN280" i="39"/>
  <c r="AI280" i="39"/>
  <c r="AJ280" i="39" s="1"/>
  <c r="AH283" i="39"/>
  <c r="AC283" i="39"/>
  <c r="AD283" i="39" s="1"/>
  <c r="AB374" i="39"/>
  <c r="W374" i="39"/>
  <c r="X374" i="39" s="1"/>
  <c r="AB432" i="39"/>
  <c r="W432" i="39"/>
  <c r="X432" i="39" s="1"/>
  <c r="V471" i="39"/>
  <c r="W448" i="39"/>
  <c r="X448" i="39" s="1"/>
  <c r="AT532" i="39"/>
  <c r="AU532" i="39" s="1"/>
  <c r="AO532" i="39"/>
  <c r="AP532" i="39" s="1"/>
  <c r="U517" i="39"/>
  <c r="AB430" i="39"/>
  <c r="W430" i="39"/>
  <c r="X430" i="39" s="1"/>
  <c r="AH128" i="39"/>
  <c r="AC128" i="39"/>
  <c r="AD128" i="39" s="1"/>
  <c r="AH147" i="39"/>
  <c r="AC147" i="39"/>
  <c r="AD147" i="39" s="1"/>
  <c r="AH153" i="39"/>
  <c r="AC153" i="39"/>
  <c r="AD153" i="39" s="1"/>
  <c r="AH146" i="39"/>
  <c r="AC146" i="39"/>
  <c r="AD146" i="39" s="1"/>
  <c r="AH202" i="39"/>
  <c r="AC202" i="39"/>
  <c r="AD202" i="39" s="1"/>
  <c r="AH259" i="39"/>
  <c r="AC259" i="39"/>
  <c r="AD259" i="39" s="1"/>
  <c r="AN282" i="39"/>
  <c r="AT302" i="39"/>
  <c r="AU302" i="39" s="1"/>
  <c r="AO302" i="39"/>
  <c r="AP302" i="39" s="1"/>
  <c r="W447" i="39"/>
  <c r="X447" i="39" s="1"/>
  <c r="AH145" i="39"/>
  <c r="AC145" i="39"/>
  <c r="AD145" i="39" s="1"/>
  <c r="AH203" i="39"/>
  <c r="AH241" i="39"/>
  <c r="AC241" i="39"/>
  <c r="AD241" i="39" s="1"/>
  <c r="AH212" i="39"/>
  <c r="AC212" i="39"/>
  <c r="AD212" i="39" s="1"/>
  <c r="AH220" i="39"/>
  <c r="AC220" i="39"/>
  <c r="AD220" i="39" s="1"/>
  <c r="AH232" i="39"/>
  <c r="AC232" i="39"/>
  <c r="AD232" i="39" s="1"/>
  <c r="AN294" i="39"/>
  <c r="AI294" i="39"/>
  <c r="AJ294" i="39" s="1"/>
  <c r="AC304" i="39"/>
  <c r="AD304" i="39" s="1"/>
  <c r="AO301" i="39"/>
  <c r="AP301" i="39" s="1"/>
  <c r="AI390" i="39"/>
  <c r="AJ390" i="39" s="1"/>
  <c r="AN445" i="39"/>
  <c r="AI445" i="39"/>
  <c r="AJ445" i="39" s="1"/>
  <c r="AI464" i="39"/>
  <c r="AJ464" i="39" s="1"/>
  <c r="AB530" i="39"/>
  <c r="W530" i="39"/>
  <c r="X530" i="39" s="1"/>
  <c r="AN393" i="39"/>
  <c r="AN289" i="39"/>
  <c r="AI289" i="39"/>
  <c r="AJ289" i="39" s="1"/>
  <c r="AH375" i="39"/>
  <c r="AC375" i="39"/>
  <c r="AD375" i="39" s="1"/>
  <c r="AH369" i="39"/>
  <c r="AC369" i="39"/>
  <c r="AD369" i="39" s="1"/>
  <c r="AB526" i="39"/>
  <c r="W526" i="39"/>
  <c r="X526" i="39" s="1"/>
  <c r="AH211" i="39"/>
  <c r="AC211" i="39"/>
  <c r="AD211" i="39" s="1"/>
  <c r="AH207" i="39"/>
  <c r="AC207" i="39"/>
  <c r="AD207" i="39" s="1"/>
  <c r="AH225" i="39"/>
  <c r="AC225" i="39"/>
  <c r="AD225" i="39" s="1"/>
  <c r="AH231" i="39"/>
  <c r="AC231" i="39"/>
  <c r="AD231" i="39" s="1"/>
  <c r="AH224" i="39"/>
  <c r="AC224" i="39"/>
  <c r="AD224" i="39" s="1"/>
  <c r="AT290" i="39"/>
  <c r="AU290" i="39" s="1"/>
  <c r="AO290" i="39"/>
  <c r="AP290" i="39" s="1"/>
  <c r="AH421" i="39"/>
  <c r="AC421" i="39"/>
  <c r="AD421" i="39" s="1"/>
  <c r="AH441" i="39"/>
  <c r="AC441" i="39"/>
  <c r="AD441" i="39" s="1"/>
  <c r="AC454" i="39"/>
  <c r="AD454" i="39" s="1"/>
  <c r="AH446" i="39"/>
  <c r="AC446" i="39"/>
  <c r="AD446" i="39" s="1"/>
  <c r="AH416" i="39"/>
  <c r="AC416" i="39"/>
  <c r="AD416" i="39" s="1"/>
  <c r="AH436" i="39"/>
  <c r="AC436" i="39"/>
  <c r="AD436" i="39" s="1"/>
  <c r="AI456" i="39"/>
  <c r="AJ456" i="39" s="1"/>
  <c r="AI131" i="39" l="1"/>
  <c r="AJ131" i="39" s="1"/>
  <c r="AI64" i="39"/>
  <c r="AJ64" i="39" s="1"/>
  <c r="AH214" i="39"/>
  <c r="AH127" i="39"/>
  <c r="AC127" i="39"/>
  <c r="AD127" i="39" s="1"/>
  <c r="AC377" i="39"/>
  <c r="AD377" i="39" s="1"/>
  <c r="AC195" i="39"/>
  <c r="AD195" i="39" s="1"/>
  <c r="AH154" i="39"/>
  <c r="AN154" i="39" s="1"/>
  <c r="AI450" i="39"/>
  <c r="AJ450" i="39" s="1"/>
  <c r="AC139" i="39"/>
  <c r="AD139" i="39" s="1"/>
  <c r="AI43" i="39"/>
  <c r="AJ43" i="39" s="1"/>
  <c r="AI137" i="39"/>
  <c r="AJ137" i="39" s="1"/>
  <c r="AC54" i="39"/>
  <c r="AD54" i="39" s="1"/>
  <c r="AO64" i="39"/>
  <c r="AP64" i="39" s="1"/>
  <c r="AC64" i="39"/>
  <c r="AD64" i="39" s="1"/>
  <c r="AH196" i="39"/>
  <c r="AN196" i="39" s="1"/>
  <c r="AC43" i="39"/>
  <c r="AD43" i="39" s="1"/>
  <c r="AC448" i="39"/>
  <c r="AD448" i="39" s="1"/>
  <c r="AC193" i="39"/>
  <c r="AD193" i="39" s="1"/>
  <c r="AI285" i="39"/>
  <c r="AJ285" i="39" s="1"/>
  <c r="AH39" i="39"/>
  <c r="AC361" i="39"/>
  <c r="AD361" i="39" s="1"/>
  <c r="AT457" i="39"/>
  <c r="AU457" i="39" s="1"/>
  <c r="AH239" i="39"/>
  <c r="AN239" i="39" s="1"/>
  <c r="AU5" i="39"/>
  <c r="AU12" i="39" s="1"/>
  <c r="S562" i="39" s="1"/>
  <c r="AC251" i="39"/>
  <c r="AD251" i="39" s="1"/>
  <c r="AJ1" i="39"/>
  <c r="AC200" i="39"/>
  <c r="AD200" i="39" s="1"/>
  <c r="AI141" i="39"/>
  <c r="AJ141" i="39" s="1"/>
  <c r="AD1" i="39"/>
  <c r="AC66" i="39"/>
  <c r="AD66" i="39" s="1"/>
  <c r="AC439" i="39"/>
  <c r="AD439" i="39" s="1"/>
  <c r="AI230" i="39"/>
  <c r="AJ230" i="39" s="1"/>
  <c r="R562" i="39"/>
  <c r="AN272" i="39"/>
  <c r="AI272" i="39"/>
  <c r="AJ272" i="39" s="1"/>
  <c r="M570" i="39"/>
  <c r="AC157" i="39"/>
  <c r="AD157" i="39" s="1"/>
  <c r="AH157" i="39"/>
  <c r="AH235" i="39"/>
  <c r="AC235" i="39"/>
  <c r="AD235" i="39" s="1"/>
  <c r="AI226" i="39"/>
  <c r="AJ226" i="39" s="1"/>
  <c r="AO87" i="39"/>
  <c r="AP87" i="39" s="1"/>
  <c r="AC72" i="39"/>
  <c r="AD72" i="39" s="1"/>
  <c r="AH72" i="39"/>
  <c r="AI133" i="39"/>
  <c r="AJ133" i="39" s="1"/>
  <c r="AO265" i="39"/>
  <c r="AP265" i="39" s="1"/>
  <c r="AT265" i="39"/>
  <c r="AU265" i="39" s="1"/>
  <c r="X1" i="39"/>
  <c r="AI258" i="39"/>
  <c r="AJ258" i="39" s="1"/>
  <c r="AC48" i="39"/>
  <c r="AD48" i="39" s="1"/>
  <c r="AC228" i="39"/>
  <c r="AD228" i="39" s="1"/>
  <c r="AI222" i="39"/>
  <c r="AJ222" i="39" s="1"/>
  <c r="AT236" i="39"/>
  <c r="AU236" i="39" s="1"/>
  <c r="AT89" i="39"/>
  <c r="AU89" i="39" s="1"/>
  <c r="U1" i="39"/>
  <c r="AI433" i="39"/>
  <c r="AJ433" i="39" s="1"/>
  <c r="AN228" i="39"/>
  <c r="AT395" i="39"/>
  <c r="AU395" i="39" s="1"/>
  <c r="AO26" i="39"/>
  <c r="AP26" i="39" s="1"/>
  <c r="AC418" i="39"/>
  <c r="AD418" i="39" s="1"/>
  <c r="AA1" i="39"/>
  <c r="AC68" i="39"/>
  <c r="AD68" i="39" s="1"/>
  <c r="AH68" i="39"/>
  <c r="AI129" i="39"/>
  <c r="AJ129" i="39" s="1"/>
  <c r="AC419" i="39"/>
  <c r="AD419" i="39" s="1"/>
  <c r="AO78" i="39"/>
  <c r="AP78" i="39" s="1"/>
  <c r="AT78" i="39"/>
  <c r="AU78" i="39" s="1"/>
  <c r="AC132" i="39"/>
  <c r="AD132" i="39" s="1"/>
  <c r="AN28" i="39"/>
  <c r="AI28" i="39"/>
  <c r="AJ28" i="39" s="1"/>
  <c r="AO76" i="39"/>
  <c r="AP76" i="39" s="1"/>
  <c r="AT76" i="39"/>
  <c r="AU76" i="39" s="1"/>
  <c r="AH35" i="39"/>
  <c r="AC35" i="39"/>
  <c r="AD35" i="39" s="1"/>
  <c r="P1" i="39"/>
  <c r="AO136" i="39"/>
  <c r="AP136" i="39" s="1"/>
  <c r="AT136" i="39"/>
  <c r="AU136" i="39" s="1"/>
  <c r="I552" i="39"/>
  <c r="I554" i="39" s="1"/>
  <c r="AH223" i="39"/>
  <c r="AC223" i="39"/>
  <c r="AD223" i="39" s="1"/>
  <c r="AO80" i="39"/>
  <c r="AP80" i="39" s="1"/>
  <c r="AT80" i="39"/>
  <c r="AU80" i="39" s="1"/>
  <c r="AG1" i="39"/>
  <c r="AT85" i="39"/>
  <c r="AU85" i="39" s="1"/>
  <c r="AO85" i="39"/>
  <c r="AP85" i="39" s="1"/>
  <c r="AT50" i="39"/>
  <c r="AU50" i="39" s="1"/>
  <c r="AO50" i="39"/>
  <c r="AP50" i="39" s="1"/>
  <c r="AN52" i="39"/>
  <c r="AI52" i="39"/>
  <c r="AJ52" i="39" s="1"/>
  <c r="O570" i="39"/>
  <c r="AH41" i="39"/>
  <c r="AC41" i="39"/>
  <c r="AD41" i="39" s="1"/>
  <c r="AN56" i="39"/>
  <c r="AI56" i="39"/>
  <c r="AJ56" i="39" s="1"/>
  <c r="X562" i="39"/>
  <c r="AH190" i="39"/>
  <c r="AC190" i="39"/>
  <c r="AD190" i="39" s="1"/>
  <c r="AI210" i="39"/>
  <c r="AJ210" i="39" s="1"/>
  <c r="AI39" i="39"/>
  <c r="AJ39" i="39" s="1"/>
  <c r="AN39" i="39"/>
  <c r="AN54" i="39"/>
  <c r="AI54" i="39"/>
  <c r="AJ54" i="39" s="1"/>
  <c r="AN201" i="39"/>
  <c r="AI201" i="39"/>
  <c r="AJ201" i="39" s="1"/>
  <c r="AN58" i="39"/>
  <c r="AI58" i="39"/>
  <c r="AJ58" i="39" s="1"/>
  <c r="AN60" i="39"/>
  <c r="AI60" i="39"/>
  <c r="AJ60" i="39" s="1"/>
  <c r="AN48" i="39"/>
  <c r="AI48" i="39"/>
  <c r="AJ48" i="39" s="1"/>
  <c r="AH238" i="39"/>
  <c r="AC238" i="39"/>
  <c r="AD238" i="39" s="1"/>
  <c r="AN446" i="39"/>
  <c r="AI446" i="39"/>
  <c r="AJ446" i="39" s="1"/>
  <c r="AT294" i="39"/>
  <c r="AU294" i="39" s="1"/>
  <c r="AO294" i="39"/>
  <c r="AP294" i="39" s="1"/>
  <c r="AN203" i="39"/>
  <c r="AI203" i="39"/>
  <c r="AJ203" i="39" s="1"/>
  <c r="AH374" i="39"/>
  <c r="AC374" i="39"/>
  <c r="AD374" i="39" s="1"/>
  <c r="AN192" i="39"/>
  <c r="AI192" i="39"/>
  <c r="AJ192" i="39" s="1"/>
  <c r="AH59" i="39"/>
  <c r="AC59" i="39"/>
  <c r="AD59" i="39" s="1"/>
  <c r="AH138" i="39"/>
  <c r="AC138" i="39"/>
  <c r="AD138" i="39" s="1"/>
  <c r="AN125" i="39"/>
  <c r="AI125" i="39"/>
  <c r="AJ125" i="39" s="1"/>
  <c r="AN382" i="39"/>
  <c r="AI382" i="39"/>
  <c r="AJ382" i="39" s="1"/>
  <c r="AT129" i="39"/>
  <c r="AU129" i="39" s="1"/>
  <c r="AO129" i="39"/>
  <c r="AP129" i="39" s="1"/>
  <c r="V357" i="39"/>
  <c r="AB187" i="39"/>
  <c r="W187" i="39"/>
  <c r="AH25" i="39"/>
  <c r="AC25" i="39"/>
  <c r="AD25" i="39" s="1"/>
  <c r="AH21" i="39"/>
  <c r="AC21" i="39"/>
  <c r="AD21" i="39" s="1"/>
  <c r="AH51" i="39"/>
  <c r="AC51" i="39"/>
  <c r="AD51" i="39" s="1"/>
  <c r="AN139" i="39"/>
  <c r="AI139" i="39"/>
  <c r="AJ139" i="39" s="1"/>
  <c r="AH63" i="39"/>
  <c r="AC63" i="39"/>
  <c r="AD63" i="39" s="1"/>
  <c r="AH268" i="39"/>
  <c r="AC268" i="39"/>
  <c r="AD268" i="39" s="1"/>
  <c r="AH37" i="39"/>
  <c r="AC37" i="39"/>
  <c r="AD37" i="39" s="1"/>
  <c r="AH17" i="39"/>
  <c r="AC17" i="39"/>
  <c r="AD17" i="39" s="1"/>
  <c r="AT43" i="39"/>
  <c r="AU43" i="39" s="1"/>
  <c r="AO43" i="39"/>
  <c r="AP43" i="39" s="1"/>
  <c r="AN273" i="39"/>
  <c r="AI273" i="39"/>
  <c r="AJ273" i="39" s="1"/>
  <c r="AN251" i="39"/>
  <c r="AI251" i="39"/>
  <c r="AJ251" i="39" s="1"/>
  <c r="AN420" i="39"/>
  <c r="AI420" i="39"/>
  <c r="AJ420" i="39" s="1"/>
  <c r="AN376" i="39"/>
  <c r="AI376" i="39"/>
  <c r="AJ376" i="39" s="1"/>
  <c r="Q538" i="39"/>
  <c r="R523" i="39"/>
  <c r="R538" i="39" s="1"/>
  <c r="AH529" i="39"/>
  <c r="AC529" i="39"/>
  <c r="AD529" i="39" s="1"/>
  <c r="AN263" i="39"/>
  <c r="AI263" i="39"/>
  <c r="AJ263" i="39" s="1"/>
  <c r="V517" i="39"/>
  <c r="AB415" i="39"/>
  <c r="W415" i="39"/>
  <c r="AH275" i="39"/>
  <c r="AC275" i="39"/>
  <c r="AD275" i="39" s="1"/>
  <c r="AH47" i="39"/>
  <c r="AC47" i="39"/>
  <c r="AD47" i="39" s="1"/>
  <c r="AH45" i="39"/>
  <c r="AC45" i="39"/>
  <c r="AD45" i="39" s="1"/>
  <c r="AH261" i="39"/>
  <c r="AC261" i="39"/>
  <c r="AD261" i="39" s="1"/>
  <c r="AN421" i="39"/>
  <c r="AI421" i="39"/>
  <c r="AJ421" i="39" s="1"/>
  <c r="AN231" i="39"/>
  <c r="AI231" i="39"/>
  <c r="AJ231" i="39" s="1"/>
  <c r="AN207" i="39"/>
  <c r="AI207" i="39"/>
  <c r="AJ207" i="39" s="1"/>
  <c r="AN211" i="39"/>
  <c r="AI211" i="39"/>
  <c r="AJ211" i="39" s="1"/>
  <c r="AN369" i="39"/>
  <c r="AI369" i="39"/>
  <c r="AJ369" i="39" s="1"/>
  <c r="AT289" i="39"/>
  <c r="AU289" i="39" s="1"/>
  <c r="AO289" i="39"/>
  <c r="AP289" i="39" s="1"/>
  <c r="AC530" i="39"/>
  <c r="AD530" i="39" s="1"/>
  <c r="AH530" i="39"/>
  <c r="AT282" i="39"/>
  <c r="AU282" i="39" s="1"/>
  <c r="AO282" i="39"/>
  <c r="AP282" i="39" s="1"/>
  <c r="AN202" i="39"/>
  <c r="AI202" i="39"/>
  <c r="AJ202" i="39" s="1"/>
  <c r="AN146" i="39"/>
  <c r="AI146" i="39"/>
  <c r="AJ146" i="39" s="1"/>
  <c r="AN147" i="39"/>
  <c r="AI147" i="39"/>
  <c r="AJ147" i="39" s="1"/>
  <c r="AN66" i="39"/>
  <c r="AI66" i="39"/>
  <c r="AJ66" i="39" s="1"/>
  <c r="AH55" i="39"/>
  <c r="AC55" i="39"/>
  <c r="AD55" i="39" s="1"/>
  <c r="AN200" i="39"/>
  <c r="AI200" i="39"/>
  <c r="AJ200" i="39" s="1"/>
  <c r="AT79" i="39"/>
  <c r="AU79" i="39" s="1"/>
  <c r="AO79" i="39"/>
  <c r="AP79" i="39" s="1"/>
  <c r="AH29" i="39"/>
  <c r="AC29" i="39"/>
  <c r="AD29" i="39" s="1"/>
  <c r="AN372" i="39"/>
  <c r="AI372" i="39"/>
  <c r="AJ372" i="39" s="1"/>
  <c r="AN270" i="39"/>
  <c r="AI270" i="39"/>
  <c r="AJ270" i="39" s="1"/>
  <c r="AI239" i="39"/>
  <c r="AJ239" i="39" s="1"/>
  <c r="AN427" i="39"/>
  <c r="AI427" i="39"/>
  <c r="AJ427" i="39" s="1"/>
  <c r="AN527" i="39"/>
  <c r="AI527" i="39"/>
  <c r="AJ527" i="39" s="1"/>
  <c r="AT454" i="39"/>
  <c r="AU454" i="39" s="1"/>
  <c r="AO454" i="39"/>
  <c r="AP454" i="39" s="1"/>
  <c r="AN425" i="39"/>
  <c r="AI425" i="39"/>
  <c r="AJ425" i="39" s="1"/>
  <c r="AT451" i="39"/>
  <c r="AU451" i="39" s="1"/>
  <c r="AO451" i="39"/>
  <c r="AP451" i="39" s="1"/>
  <c r="AH426" i="39"/>
  <c r="AC426" i="39"/>
  <c r="AD426" i="39" s="1"/>
  <c r="AH370" i="39"/>
  <c r="AC370" i="39"/>
  <c r="AD370" i="39" s="1"/>
  <c r="AN260" i="39"/>
  <c r="AI260" i="39"/>
  <c r="AJ260" i="39" s="1"/>
  <c r="AH233" i="39"/>
  <c r="AC233" i="39"/>
  <c r="AD233" i="39" s="1"/>
  <c r="AN429" i="39"/>
  <c r="AI429" i="39"/>
  <c r="AJ429" i="39" s="1"/>
  <c r="AN266" i="39"/>
  <c r="AI266" i="39"/>
  <c r="AJ266" i="39" s="1"/>
  <c r="AN227" i="39"/>
  <c r="AI227" i="39"/>
  <c r="AJ227" i="39" s="1"/>
  <c r="AN215" i="39"/>
  <c r="AI215" i="39"/>
  <c r="AJ215" i="39" s="1"/>
  <c r="AN380" i="39"/>
  <c r="AI380" i="39"/>
  <c r="AJ380" i="39" s="1"/>
  <c r="AN371" i="39"/>
  <c r="AI371" i="39"/>
  <c r="AJ371" i="39" s="1"/>
  <c r="AN256" i="39"/>
  <c r="AI256" i="39"/>
  <c r="AJ256" i="39" s="1"/>
  <c r="AT210" i="39"/>
  <c r="AU210" i="39" s="1"/>
  <c r="AO210" i="39"/>
  <c r="AP210" i="39" s="1"/>
  <c r="AT70" i="39"/>
  <c r="AU70" i="39" s="1"/>
  <c r="AO70" i="39"/>
  <c r="AP70" i="39" s="1"/>
  <c r="AH379" i="39"/>
  <c r="AC379" i="39"/>
  <c r="AD379" i="39" s="1"/>
  <c r="AH278" i="39"/>
  <c r="AC278" i="39"/>
  <c r="AD278" i="39" s="1"/>
  <c r="AH189" i="39"/>
  <c r="AC189" i="39"/>
  <c r="AD189" i="39" s="1"/>
  <c r="AN150" i="39"/>
  <c r="AI150" i="39"/>
  <c r="AJ150" i="39" s="1"/>
  <c r="AN149" i="39"/>
  <c r="AI149" i="39"/>
  <c r="AJ149" i="39" s="1"/>
  <c r="AN126" i="39"/>
  <c r="AI126" i="39"/>
  <c r="AJ126" i="39" s="1"/>
  <c r="AN418" i="39"/>
  <c r="AI418" i="39"/>
  <c r="AJ418" i="39" s="1"/>
  <c r="AH155" i="39"/>
  <c r="AC155" i="39"/>
  <c r="AD155" i="39" s="1"/>
  <c r="AT152" i="39"/>
  <c r="AU152" i="39" s="1"/>
  <c r="AO152" i="39"/>
  <c r="AP152" i="39" s="1"/>
  <c r="V538" i="39"/>
  <c r="AB523" i="39"/>
  <c r="W523" i="39"/>
  <c r="AN443" i="39"/>
  <c r="AI443" i="39"/>
  <c r="AJ443" i="39" s="1"/>
  <c r="AO387" i="39"/>
  <c r="AP387" i="39" s="1"/>
  <c r="AT387" i="39"/>
  <c r="AU387" i="39" s="1"/>
  <c r="AN264" i="39"/>
  <c r="AI264" i="39"/>
  <c r="AJ264" i="39" s="1"/>
  <c r="AN240" i="39"/>
  <c r="AI240" i="39"/>
  <c r="AJ240" i="39" s="1"/>
  <c r="AN257" i="39"/>
  <c r="AI257" i="39"/>
  <c r="AJ257" i="39" s="1"/>
  <c r="AN284" i="39"/>
  <c r="AI284" i="39"/>
  <c r="AJ284" i="39" s="1"/>
  <c r="AN442" i="39"/>
  <c r="AI442" i="39"/>
  <c r="AJ442" i="39" s="1"/>
  <c r="AN452" i="39"/>
  <c r="AI452" i="39"/>
  <c r="AJ452" i="39" s="1"/>
  <c r="AH217" i="39"/>
  <c r="AC217" i="39"/>
  <c r="AD217" i="39" s="1"/>
  <c r="AT198" i="39"/>
  <c r="AU198" i="39" s="1"/>
  <c r="AO198" i="39"/>
  <c r="AP198" i="39" s="1"/>
  <c r="Q413" i="39"/>
  <c r="R359" i="39"/>
  <c r="R413" i="39" s="1"/>
  <c r="AT258" i="39"/>
  <c r="AU258" i="39" s="1"/>
  <c r="AO258" i="39"/>
  <c r="AP258" i="39" s="1"/>
  <c r="AT137" i="39"/>
  <c r="AU137" i="39" s="1"/>
  <c r="AO137" i="39"/>
  <c r="AP137" i="39" s="1"/>
  <c r="AH74" i="39"/>
  <c r="AC74" i="39"/>
  <c r="AD74" i="39" s="1"/>
  <c r="AH253" i="39"/>
  <c r="AC253" i="39"/>
  <c r="AD253" i="39" s="1"/>
  <c r="AN524" i="39"/>
  <c r="AI524" i="39"/>
  <c r="AJ524" i="39" s="1"/>
  <c r="AN220" i="39"/>
  <c r="AI220" i="39"/>
  <c r="AJ220" i="39" s="1"/>
  <c r="AT280" i="39"/>
  <c r="AU280" i="39" s="1"/>
  <c r="AO280" i="39"/>
  <c r="AP280" i="39" s="1"/>
  <c r="AH274" i="39"/>
  <c r="AC274" i="39"/>
  <c r="AD274" i="39" s="1"/>
  <c r="AN193" i="39"/>
  <c r="AI193" i="39"/>
  <c r="AJ193" i="39" s="1"/>
  <c r="AT269" i="39"/>
  <c r="AU269" i="39" s="1"/>
  <c r="AO269" i="39"/>
  <c r="AP269" i="39" s="1"/>
  <c r="AN199" i="39"/>
  <c r="AI199" i="39"/>
  <c r="AJ199" i="39" s="1"/>
  <c r="AH5" i="39"/>
  <c r="AB12" i="39"/>
  <c r="AC5" i="39"/>
  <c r="AT144" i="39"/>
  <c r="AU144" i="39" s="1"/>
  <c r="AO144" i="39"/>
  <c r="AP144" i="39" s="1"/>
  <c r="AT450" i="39"/>
  <c r="AU450" i="39" s="1"/>
  <c r="AO450" i="39"/>
  <c r="AP450" i="39" s="1"/>
  <c r="AO384" i="39"/>
  <c r="AP384" i="39" s="1"/>
  <c r="AT384" i="39"/>
  <c r="AU384" i="39" s="1"/>
  <c r="AH143" i="39"/>
  <c r="AC143" i="39"/>
  <c r="AD143" i="39" s="1"/>
  <c r="AH447" i="39"/>
  <c r="AC447" i="39"/>
  <c r="AD447" i="39" s="1"/>
  <c r="AH378" i="39"/>
  <c r="AC378" i="39"/>
  <c r="AD378" i="39" s="1"/>
  <c r="AN276" i="39"/>
  <c r="AI276" i="39"/>
  <c r="AJ276" i="39" s="1"/>
  <c r="AN364" i="39"/>
  <c r="AI364" i="39"/>
  <c r="AJ364" i="39" s="1"/>
  <c r="AT434" i="39"/>
  <c r="AU434" i="39" s="1"/>
  <c r="AO434" i="39"/>
  <c r="AP434" i="39" s="1"/>
  <c r="AN428" i="39"/>
  <c r="AI428" i="39"/>
  <c r="AJ428" i="39" s="1"/>
  <c r="AN437" i="39"/>
  <c r="AI437" i="39"/>
  <c r="AJ437" i="39" s="1"/>
  <c r="AT292" i="39"/>
  <c r="AU292" i="39" s="1"/>
  <c r="AO292" i="39"/>
  <c r="AP292" i="39" s="1"/>
  <c r="AT206" i="39"/>
  <c r="AU206" i="39" s="1"/>
  <c r="AO206" i="39"/>
  <c r="AP206" i="39" s="1"/>
  <c r="AT242" i="39"/>
  <c r="AU242" i="39" s="1"/>
  <c r="AO242" i="39"/>
  <c r="AP242" i="39" s="1"/>
  <c r="AH362" i="39"/>
  <c r="AC362" i="39"/>
  <c r="AD362" i="39" s="1"/>
  <c r="AN213" i="39"/>
  <c r="AI213" i="39"/>
  <c r="AJ213" i="39" s="1"/>
  <c r="AN204" i="39"/>
  <c r="AI204" i="39"/>
  <c r="AJ204" i="39" s="1"/>
  <c r="AH15" i="39"/>
  <c r="AC15" i="39"/>
  <c r="AD15" i="39" s="1"/>
  <c r="Q121" i="39"/>
  <c r="R14" i="39"/>
  <c r="R121" i="39" s="1"/>
  <c r="AN42" i="39"/>
  <c r="AI42" i="39"/>
  <c r="AJ42" i="39" s="1"/>
  <c r="AN34" i="39"/>
  <c r="AI34" i="39"/>
  <c r="AJ34" i="39" s="1"/>
  <c r="AH61" i="39"/>
  <c r="AC61" i="39"/>
  <c r="AD61" i="39" s="1"/>
  <c r="AN20" i="39"/>
  <c r="AI20" i="39"/>
  <c r="AJ20" i="39" s="1"/>
  <c r="AT141" i="39"/>
  <c r="AU141" i="39" s="1"/>
  <c r="AO141" i="39"/>
  <c r="AP141" i="39" s="1"/>
  <c r="AN24" i="39"/>
  <c r="AI24" i="39"/>
  <c r="AJ24" i="39" s="1"/>
  <c r="AH69" i="39"/>
  <c r="AC69" i="39"/>
  <c r="AD69" i="39" s="1"/>
  <c r="AH71" i="39"/>
  <c r="AC71" i="39"/>
  <c r="AD71" i="39" s="1"/>
  <c r="AH134" i="39"/>
  <c r="AC134" i="39"/>
  <c r="AD134" i="39" s="1"/>
  <c r="AN361" i="39"/>
  <c r="AI361" i="39"/>
  <c r="AJ361" i="39" s="1"/>
  <c r="AN363" i="39"/>
  <c r="AI363" i="39"/>
  <c r="AJ363" i="39" s="1"/>
  <c r="AN417" i="39"/>
  <c r="AI417" i="39"/>
  <c r="AJ417" i="39" s="1"/>
  <c r="AN424" i="39"/>
  <c r="AI424" i="39"/>
  <c r="AJ424" i="39" s="1"/>
  <c r="AN438" i="39"/>
  <c r="AI438" i="39"/>
  <c r="AJ438" i="39" s="1"/>
  <c r="AH366" i="39"/>
  <c r="AC366" i="39"/>
  <c r="AD366" i="39" s="1"/>
  <c r="V413" i="39"/>
  <c r="AB359" i="39"/>
  <c r="W359" i="39"/>
  <c r="AH19" i="39"/>
  <c r="AC19" i="39"/>
  <c r="AD19" i="39" s="1"/>
  <c r="AH27" i="39"/>
  <c r="AC27" i="39"/>
  <c r="AD27" i="39" s="1"/>
  <c r="AH205" i="39"/>
  <c r="AC205" i="39"/>
  <c r="AD205" i="39" s="1"/>
  <c r="AH472" i="39"/>
  <c r="AC472" i="39"/>
  <c r="AD472" i="39" s="1"/>
  <c r="AN436" i="39"/>
  <c r="AI436" i="39"/>
  <c r="AJ436" i="39" s="1"/>
  <c r="AT222" i="39"/>
  <c r="AU222" i="39" s="1"/>
  <c r="AO222" i="39"/>
  <c r="AP222" i="39" s="1"/>
  <c r="AN195" i="39"/>
  <c r="AI195" i="39"/>
  <c r="AJ195" i="39" s="1"/>
  <c r="AB471" i="39"/>
  <c r="W471" i="39"/>
  <c r="X471" i="39" s="1"/>
  <c r="AH271" i="39"/>
  <c r="AC271" i="39"/>
  <c r="AD271" i="39" s="1"/>
  <c r="AH57" i="39"/>
  <c r="AC57" i="39"/>
  <c r="AD57" i="39" s="1"/>
  <c r="AH237" i="39"/>
  <c r="AC237" i="39"/>
  <c r="AD237" i="39" s="1"/>
  <c r="S544" i="39"/>
  <c r="S552" i="39" s="1"/>
  <c r="J552" i="39"/>
  <c r="AN31" i="39"/>
  <c r="AI31" i="39"/>
  <c r="AJ31" i="39" s="1"/>
  <c r="AN448" i="39"/>
  <c r="AI448" i="39"/>
  <c r="AJ448" i="39" s="1"/>
  <c r="AN528" i="39"/>
  <c r="AI528" i="39"/>
  <c r="AJ528" i="39" s="1"/>
  <c r="AT433" i="39"/>
  <c r="AU433" i="39" s="1"/>
  <c r="AO433" i="39"/>
  <c r="AP433" i="39" s="1"/>
  <c r="AN453" i="39"/>
  <c r="AI453" i="39"/>
  <c r="AJ453" i="39" s="1"/>
  <c r="AT383" i="39"/>
  <c r="AU383" i="39" s="1"/>
  <c r="AO383" i="39"/>
  <c r="AP383" i="39" s="1"/>
  <c r="AT226" i="39"/>
  <c r="AU226" i="39" s="1"/>
  <c r="AO226" i="39"/>
  <c r="AP226" i="39" s="1"/>
  <c r="AN191" i="39"/>
  <c r="AI191" i="39"/>
  <c r="AJ191" i="39" s="1"/>
  <c r="AT385" i="39"/>
  <c r="AU385" i="39" s="1"/>
  <c r="AO385" i="39"/>
  <c r="AP385" i="39" s="1"/>
  <c r="AH279" i="39"/>
  <c r="AC279" i="39"/>
  <c r="AD279" i="39" s="1"/>
  <c r="AT234" i="39"/>
  <c r="AU234" i="39" s="1"/>
  <c r="AO234" i="39"/>
  <c r="AP234" i="39" s="1"/>
  <c r="AH221" i="39"/>
  <c r="AC221" i="39"/>
  <c r="AD221" i="39" s="1"/>
  <c r="AN38" i="39"/>
  <c r="AI38" i="39"/>
  <c r="AJ38" i="39" s="1"/>
  <c r="AN30" i="39"/>
  <c r="AI30" i="39"/>
  <c r="AJ30" i="39" s="1"/>
  <c r="AN416" i="39"/>
  <c r="AI416" i="39"/>
  <c r="AJ416" i="39" s="1"/>
  <c r="AT445" i="39"/>
  <c r="AU445" i="39" s="1"/>
  <c r="AO445" i="39"/>
  <c r="AP445" i="39" s="1"/>
  <c r="AN304" i="39"/>
  <c r="AI304" i="39"/>
  <c r="AJ304" i="39" s="1"/>
  <c r="AN232" i="39"/>
  <c r="AI232" i="39"/>
  <c r="AJ232" i="39" s="1"/>
  <c r="AN212" i="39"/>
  <c r="AI212" i="39"/>
  <c r="AJ212" i="39" s="1"/>
  <c r="AN241" i="39"/>
  <c r="AI241" i="39"/>
  <c r="AJ241" i="39" s="1"/>
  <c r="AN145" i="39"/>
  <c r="AI145" i="39"/>
  <c r="AJ145" i="39" s="1"/>
  <c r="AH432" i="39"/>
  <c r="AC432" i="39"/>
  <c r="AD432" i="39" s="1"/>
  <c r="AN283" i="39"/>
  <c r="AI283" i="39"/>
  <c r="AJ283" i="39" s="1"/>
  <c r="AT293" i="39"/>
  <c r="AU293" i="39" s="1"/>
  <c r="AO293" i="39"/>
  <c r="AP293" i="39" s="1"/>
  <c r="AN194" i="39"/>
  <c r="AI194" i="39"/>
  <c r="AJ194" i="39" s="1"/>
  <c r="AT133" i="39"/>
  <c r="AU133" i="39" s="1"/>
  <c r="AO133" i="39"/>
  <c r="AP133" i="39" s="1"/>
  <c r="W185" i="39"/>
  <c r="X124" i="39"/>
  <c r="X185" i="39" s="1"/>
  <c r="AH23" i="39"/>
  <c r="AC23" i="39"/>
  <c r="AD23" i="39" s="1"/>
  <c r="AT131" i="39"/>
  <c r="AU131" i="39" s="1"/>
  <c r="AO131" i="39"/>
  <c r="AP131" i="39" s="1"/>
  <c r="AN40" i="39"/>
  <c r="AI40" i="39"/>
  <c r="AJ40" i="39" s="1"/>
  <c r="AN32" i="39"/>
  <c r="AI32" i="39"/>
  <c r="AJ32" i="39" s="1"/>
  <c r="AN18" i="39"/>
  <c r="AI18" i="39"/>
  <c r="AJ18" i="39" s="1"/>
  <c r="AH33" i="39"/>
  <c r="AC33" i="39"/>
  <c r="AD33" i="39" s="1"/>
  <c r="AN148" i="39"/>
  <c r="AI148" i="39"/>
  <c r="AJ148" i="39" s="1"/>
  <c r="AT75" i="39"/>
  <c r="AU75" i="39" s="1"/>
  <c r="AO75" i="39"/>
  <c r="AP75" i="39" s="1"/>
  <c r="AH53" i="39"/>
  <c r="AC53" i="39"/>
  <c r="AD53" i="39" s="1"/>
  <c r="AN249" i="39"/>
  <c r="AI249" i="39"/>
  <c r="AJ249" i="39" s="1"/>
  <c r="AN287" i="39"/>
  <c r="AI287" i="39"/>
  <c r="AJ287" i="39" s="1"/>
  <c r="AT250" i="39"/>
  <c r="AU250" i="39" s="1"/>
  <c r="AO250" i="39"/>
  <c r="AP250" i="39" s="1"/>
  <c r="AH140" i="39"/>
  <c r="AC140" i="39"/>
  <c r="AD140" i="39" s="1"/>
  <c r="X5" i="39"/>
  <c r="X12" i="39" s="1"/>
  <c r="W12" i="39"/>
  <c r="AH49" i="39"/>
  <c r="AC49" i="39"/>
  <c r="AD49" i="39" s="1"/>
  <c r="AH130" i="39"/>
  <c r="AC130" i="39"/>
  <c r="AD130" i="39" s="1"/>
  <c r="AN22" i="39"/>
  <c r="AI22" i="39"/>
  <c r="AJ22" i="39" s="1"/>
  <c r="AN441" i="39"/>
  <c r="AI441" i="39"/>
  <c r="AJ441" i="39" s="1"/>
  <c r="AN377" i="39"/>
  <c r="AI377" i="39"/>
  <c r="AJ377" i="39" s="1"/>
  <c r="AN224" i="39"/>
  <c r="AI224" i="39"/>
  <c r="AJ224" i="39" s="1"/>
  <c r="AN225" i="39"/>
  <c r="AI225" i="39"/>
  <c r="AJ225" i="39" s="1"/>
  <c r="AT285" i="39"/>
  <c r="AU285" i="39" s="1"/>
  <c r="AO285" i="39"/>
  <c r="AP285" i="39" s="1"/>
  <c r="AH526" i="39"/>
  <c r="AC526" i="39"/>
  <c r="AD526" i="39" s="1"/>
  <c r="AN375" i="39"/>
  <c r="AI375" i="39"/>
  <c r="AJ375" i="39" s="1"/>
  <c r="AT393" i="39"/>
  <c r="AU393" i="39" s="1"/>
  <c r="AO393" i="39"/>
  <c r="AP393" i="39" s="1"/>
  <c r="AN259" i="39"/>
  <c r="AI259" i="39"/>
  <c r="AJ259" i="39" s="1"/>
  <c r="AN153" i="39"/>
  <c r="AI153" i="39"/>
  <c r="AJ153" i="39" s="1"/>
  <c r="AN128" i="39"/>
  <c r="AI128" i="39"/>
  <c r="AJ128" i="39" s="1"/>
  <c r="AH430" i="39"/>
  <c r="AC430" i="39"/>
  <c r="AD430" i="39" s="1"/>
  <c r="AB185" i="39"/>
  <c r="AH124" i="39"/>
  <c r="AC124" i="39"/>
  <c r="Q544" i="39"/>
  <c r="AH67" i="39"/>
  <c r="AC67" i="39"/>
  <c r="AD67" i="39" s="1"/>
  <c r="Q357" i="39"/>
  <c r="R187" i="39"/>
  <c r="R357" i="39" s="1"/>
  <c r="AH151" i="39"/>
  <c r="AC151" i="39"/>
  <c r="AD151" i="39" s="1"/>
  <c r="AM1" i="39"/>
  <c r="AH73" i="39"/>
  <c r="AC73" i="39"/>
  <c r="AD73" i="39" s="1"/>
  <c r="AH65" i="39"/>
  <c r="AC65" i="39"/>
  <c r="AD65" i="39" s="1"/>
  <c r="AN365" i="39"/>
  <c r="AI365" i="39"/>
  <c r="AJ365" i="39" s="1"/>
  <c r="AN277" i="39"/>
  <c r="AI277" i="39"/>
  <c r="AJ277" i="39" s="1"/>
  <c r="AN360" i="39"/>
  <c r="AI360" i="39"/>
  <c r="AJ360" i="39" s="1"/>
  <c r="AN435" i="39"/>
  <c r="AI435" i="39"/>
  <c r="AJ435" i="39" s="1"/>
  <c r="AN368" i="39"/>
  <c r="AI368" i="39"/>
  <c r="AJ368" i="39" s="1"/>
  <c r="AN525" i="39"/>
  <c r="AI525" i="39"/>
  <c r="AJ525" i="39" s="1"/>
  <c r="AI449" i="39"/>
  <c r="AJ449" i="39" s="1"/>
  <c r="AN449" i="39"/>
  <c r="AC440" i="39"/>
  <c r="AD440" i="39" s="1"/>
  <c r="AH440" i="39"/>
  <c r="AN455" i="39"/>
  <c r="AI455" i="39"/>
  <c r="AJ455" i="39" s="1"/>
  <c r="AN288" i="39"/>
  <c r="AI288" i="39"/>
  <c r="AJ288" i="39" s="1"/>
  <c r="AN248" i="39"/>
  <c r="AI248" i="39"/>
  <c r="AJ248" i="39" s="1"/>
  <c r="AN229" i="39"/>
  <c r="AI229" i="39"/>
  <c r="AJ229" i="39" s="1"/>
  <c r="AN419" i="39"/>
  <c r="AI419" i="39"/>
  <c r="AJ419" i="39" s="1"/>
  <c r="AT286" i="39"/>
  <c r="AU286" i="39" s="1"/>
  <c r="AO286" i="39"/>
  <c r="AP286" i="39" s="1"/>
  <c r="AN208" i="39"/>
  <c r="AI208" i="39"/>
  <c r="AJ208" i="39" s="1"/>
  <c r="AN247" i="39"/>
  <c r="AI247" i="39"/>
  <c r="AJ247" i="39" s="1"/>
  <c r="AN255" i="39"/>
  <c r="AI255" i="39"/>
  <c r="AJ255" i="39" s="1"/>
  <c r="AN373" i="39"/>
  <c r="AI373" i="39"/>
  <c r="AJ373" i="39" s="1"/>
  <c r="AN367" i="39"/>
  <c r="AI367" i="39"/>
  <c r="AJ367" i="39" s="1"/>
  <c r="AH281" i="39"/>
  <c r="AC281" i="39"/>
  <c r="AD281" i="39" s="1"/>
  <c r="AN244" i="39"/>
  <c r="AI244" i="39"/>
  <c r="AJ244" i="39" s="1"/>
  <c r="AN216" i="39"/>
  <c r="AI216" i="39"/>
  <c r="AJ216" i="39" s="1"/>
  <c r="AN188" i="39"/>
  <c r="AI188" i="39"/>
  <c r="AJ188" i="39" s="1"/>
  <c r="AN439" i="39"/>
  <c r="AI439" i="39"/>
  <c r="AJ439" i="39" s="1"/>
  <c r="AN243" i="39"/>
  <c r="AI243" i="39"/>
  <c r="AJ243" i="39" s="1"/>
  <c r="AT230" i="39"/>
  <c r="AU230" i="39" s="1"/>
  <c r="AO230" i="39"/>
  <c r="AP230" i="39" s="1"/>
  <c r="AN142" i="39"/>
  <c r="AI142" i="39"/>
  <c r="AJ142" i="39" s="1"/>
  <c r="AN132" i="39"/>
  <c r="AI132" i="39"/>
  <c r="AJ132" i="39" s="1"/>
  <c r="AH423" i="39"/>
  <c r="AC423" i="39"/>
  <c r="AD423" i="39" s="1"/>
  <c r="V121" i="39"/>
  <c r="AB14" i="39"/>
  <c r="W14" i="39"/>
  <c r="AH6" i="39"/>
  <c r="AI6" i="39" s="1"/>
  <c r="AJ6" i="39" s="1"/>
  <c r="AC6" i="39"/>
  <c r="AD6" i="39" s="1"/>
  <c r="V544" i="39"/>
  <c r="AH521" i="39"/>
  <c r="AN519" i="39"/>
  <c r="AI519" i="39"/>
  <c r="AC444" i="39"/>
  <c r="AD444" i="39" s="1"/>
  <c r="AH444" i="39"/>
  <c r="Q517" i="39"/>
  <c r="R415" i="39"/>
  <c r="R517" i="39" s="1"/>
  <c r="AN252" i="39"/>
  <c r="AI252" i="39"/>
  <c r="AJ252" i="39" s="1"/>
  <c r="AN209" i="39"/>
  <c r="AI209" i="39"/>
  <c r="AJ209" i="39" s="1"/>
  <c r="AH422" i="39"/>
  <c r="AC422" i="39"/>
  <c r="AD422" i="39" s="1"/>
  <c r="AT219" i="39"/>
  <c r="AU219" i="39" s="1"/>
  <c r="AO219" i="39"/>
  <c r="AP219" i="39" s="1"/>
  <c r="AH431" i="39"/>
  <c r="AC431" i="39"/>
  <c r="AD431" i="39" s="1"/>
  <c r="AT218" i="39"/>
  <c r="AU218" i="39" s="1"/>
  <c r="AO218" i="39"/>
  <c r="AP218" i="39" s="1"/>
  <c r="AN156" i="39"/>
  <c r="AI156" i="39"/>
  <c r="AJ156" i="39" s="1"/>
  <c r="AN135" i="39"/>
  <c r="AI135" i="39"/>
  <c r="AJ135" i="39" s="1"/>
  <c r="AH197" i="39"/>
  <c r="AC197" i="39"/>
  <c r="AD197" i="39" s="1"/>
  <c r="AN16" i="39"/>
  <c r="AI16" i="39"/>
  <c r="AJ16" i="39" s="1"/>
  <c r="AH245" i="39"/>
  <c r="AC245" i="39"/>
  <c r="AD245" i="39" s="1"/>
  <c r="G156" i="30"/>
  <c r="F156" i="30"/>
  <c r="AI127" i="39" l="1"/>
  <c r="AJ127" i="39" s="1"/>
  <c r="AN127" i="39"/>
  <c r="AI154" i="39"/>
  <c r="AJ154" i="39" s="1"/>
  <c r="AI214" i="39"/>
  <c r="AJ214" i="39" s="1"/>
  <c r="AN214" i="39"/>
  <c r="AI196" i="39"/>
  <c r="AJ196" i="39" s="1"/>
  <c r="T562" i="39"/>
  <c r="AN235" i="39"/>
  <c r="AI235" i="39"/>
  <c r="AJ235" i="39" s="1"/>
  <c r="AN157" i="39"/>
  <c r="AI157" i="39"/>
  <c r="AJ157" i="39" s="1"/>
  <c r="AT272" i="39"/>
  <c r="AU272" i="39" s="1"/>
  <c r="AO272" i="39"/>
  <c r="AP272" i="39" s="1"/>
  <c r="AN72" i="39"/>
  <c r="AI72" i="39"/>
  <c r="AJ72" i="39" s="1"/>
  <c r="AT228" i="39"/>
  <c r="AU228" i="39" s="1"/>
  <c r="AO228" i="39"/>
  <c r="AP228" i="39" s="1"/>
  <c r="AN68" i="39"/>
  <c r="AI68" i="39"/>
  <c r="AJ68" i="39" s="1"/>
  <c r="V1" i="39"/>
  <c r="AT28" i="39"/>
  <c r="AU28" i="39" s="1"/>
  <c r="AO28" i="39"/>
  <c r="AP28" i="39" s="1"/>
  <c r="AN35" i="39"/>
  <c r="AI35" i="39"/>
  <c r="AJ35" i="39" s="1"/>
  <c r="H156" i="30"/>
  <c r="AN223" i="39"/>
  <c r="AI223" i="39"/>
  <c r="AJ223" i="39" s="1"/>
  <c r="AT48" i="39"/>
  <c r="AU48" i="39" s="1"/>
  <c r="AO48" i="39"/>
  <c r="AP48" i="39" s="1"/>
  <c r="Q1" i="39"/>
  <c r="AO39" i="39"/>
  <c r="AP39" i="39" s="1"/>
  <c r="AT39" i="39"/>
  <c r="AU39" i="39" s="1"/>
  <c r="AT52" i="39"/>
  <c r="AU52" i="39" s="1"/>
  <c r="AO52" i="39"/>
  <c r="AP52" i="39" s="1"/>
  <c r="AT60" i="39"/>
  <c r="AU60" i="39" s="1"/>
  <c r="AO60" i="39"/>
  <c r="AP60" i="39" s="1"/>
  <c r="AT56" i="39"/>
  <c r="AU56" i="39" s="1"/>
  <c r="AO56" i="39"/>
  <c r="AP56" i="39" s="1"/>
  <c r="AI190" i="39"/>
  <c r="AJ190" i="39" s="1"/>
  <c r="AN190" i="39"/>
  <c r="AT54" i="39"/>
  <c r="AU54" i="39" s="1"/>
  <c r="AO54" i="39"/>
  <c r="AP54" i="39" s="1"/>
  <c r="AT58" i="39"/>
  <c r="AU58" i="39" s="1"/>
  <c r="AO58" i="39"/>
  <c r="AP58" i="39" s="1"/>
  <c r="AN41" i="39"/>
  <c r="AI41" i="39"/>
  <c r="AJ41" i="39" s="1"/>
  <c r="AN238" i="39"/>
  <c r="AI238" i="39"/>
  <c r="AJ238" i="39" s="1"/>
  <c r="AT201" i="39"/>
  <c r="AU201" i="39" s="1"/>
  <c r="AO201" i="39"/>
  <c r="AP201" i="39" s="1"/>
  <c r="AD124" i="39"/>
  <c r="AD185" i="39" s="1"/>
  <c r="AC185" i="39"/>
  <c r="AT153" i="39"/>
  <c r="AU153" i="39" s="1"/>
  <c r="AO153" i="39"/>
  <c r="AP153" i="39" s="1"/>
  <c r="AT225" i="39"/>
  <c r="AU225" i="39" s="1"/>
  <c r="AO225" i="39"/>
  <c r="AP225" i="39" s="1"/>
  <c r="AT283" i="39"/>
  <c r="AU283" i="39" s="1"/>
  <c r="AO283" i="39"/>
  <c r="AP283" i="39" s="1"/>
  <c r="AT416" i="39"/>
  <c r="AU416" i="39" s="1"/>
  <c r="AO416" i="39"/>
  <c r="AP416" i="39" s="1"/>
  <c r="AT453" i="39"/>
  <c r="AU453" i="39" s="1"/>
  <c r="AO453" i="39"/>
  <c r="AP453" i="39" s="1"/>
  <c r="AT528" i="39"/>
  <c r="AU528" i="39" s="1"/>
  <c r="AO528" i="39"/>
  <c r="AP528" i="39" s="1"/>
  <c r="AT438" i="39"/>
  <c r="AU438" i="39" s="1"/>
  <c r="AO438" i="39"/>
  <c r="AP438" i="39" s="1"/>
  <c r="AT361" i="39"/>
  <c r="AU361" i="39" s="1"/>
  <c r="AO361" i="39"/>
  <c r="AP361" i="39" s="1"/>
  <c r="AT24" i="39"/>
  <c r="AU24" i="39" s="1"/>
  <c r="AO24" i="39"/>
  <c r="AP24" i="39" s="1"/>
  <c r="AT34" i="39"/>
  <c r="AU34" i="39" s="1"/>
  <c r="AO34" i="39"/>
  <c r="AP34" i="39" s="1"/>
  <c r="AT204" i="39"/>
  <c r="AU204" i="39" s="1"/>
  <c r="AO204" i="39"/>
  <c r="AP204" i="39" s="1"/>
  <c r="AN447" i="39"/>
  <c r="AI447" i="39"/>
  <c r="AJ447" i="39" s="1"/>
  <c r="AN274" i="39"/>
  <c r="AI274" i="39"/>
  <c r="AJ274" i="39" s="1"/>
  <c r="AN217" i="39"/>
  <c r="AI217" i="39"/>
  <c r="AJ217" i="39" s="1"/>
  <c r="AN155" i="39"/>
  <c r="AI155" i="39"/>
  <c r="AJ155" i="39" s="1"/>
  <c r="AT380" i="39"/>
  <c r="AU380" i="39" s="1"/>
  <c r="AO380" i="39"/>
  <c r="AP380" i="39" s="1"/>
  <c r="AT429" i="39"/>
  <c r="AU429" i="39" s="1"/>
  <c r="AO429" i="39"/>
  <c r="AP429" i="39" s="1"/>
  <c r="AN370" i="39"/>
  <c r="AI370" i="39"/>
  <c r="AJ370" i="39" s="1"/>
  <c r="AT427" i="39"/>
  <c r="AU427" i="39" s="1"/>
  <c r="AO427" i="39"/>
  <c r="AP427" i="39" s="1"/>
  <c r="AT196" i="39"/>
  <c r="AU196" i="39" s="1"/>
  <c r="AO196" i="39"/>
  <c r="AP196" i="39" s="1"/>
  <c r="AN55" i="39"/>
  <c r="AI55" i="39"/>
  <c r="AJ55" i="39" s="1"/>
  <c r="AT211" i="39"/>
  <c r="AU211" i="39" s="1"/>
  <c r="AO211" i="39"/>
  <c r="AP211" i="39" s="1"/>
  <c r="AN261" i="39"/>
  <c r="AI261" i="39"/>
  <c r="AJ261" i="39" s="1"/>
  <c r="AB517" i="39"/>
  <c r="AC415" i="39"/>
  <c r="AH415" i="39"/>
  <c r="AT382" i="39"/>
  <c r="AU382" i="39" s="1"/>
  <c r="AO382" i="39"/>
  <c r="AP382" i="39" s="1"/>
  <c r="AN138" i="39"/>
  <c r="AI138" i="39"/>
  <c r="AJ138" i="39" s="1"/>
  <c r="AN374" i="39"/>
  <c r="AI374" i="39"/>
  <c r="AJ374" i="39" s="1"/>
  <c r="AN197" i="39"/>
  <c r="AI197" i="39"/>
  <c r="AJ197" i="39" s="1"/>
  <c r="AT156" i="39"/>
  <c r="AU156" i="39" s="1"/>
  <c r="AO156" i="39"/>
  <c r="AP156" i="39" s="1"/>
  <c r="AN431" i="39"/>
  <c r="AI431" i="39"/>
  <c r="AJ431" i="39" s="1"/>
  <c r="AN422" i="39"/>
  <c r="AI422" i="39"/>
  <c r="AJ422" i="39" s="1"/>
  <c r="AT252" i="39"/>
  <c r="AU252" i="39" s="1"/>
  <c r="AO252" i="39"/>
  <c r="AP252" i="39" s="1"/>
  <c r="AN444" i="39"/>
  <c r="AI444" i="39"/>
  <c r="AJ444" i="39" s="1"/>
  <c r="AT229" i="39"/>
  <c r="AU229" i="39" s="1"/>
  <c r="AO229" i="39"/>
  <c r="AP229" i="39" s="1"/>
  <c r="AT288" i="39"/>
  <c r="AU288" i="39" s="1"/>
  <c r="AO288" i="39"/>
  <c r="AP288" i="39" s="1"/>
  <c r="AT525" i="39"/>
  <c r="AU525" i="39" s="1"/>
  <c r="AO525" i="39"/>
  <c r="AP525" i="39" s="1"/>
  <c r="AT435" i="39"/>
  <c r="AU435" i="39" s="1"/>
  <c r="AO435" i="39"/>
  <c r="AP435" i="39" s="1"/>
  <c r="AT277" i="39"/>
  <c r="AU277" i="39" s="1"/>
  <c r="AO277" i="39"/>
  <c r="AP277" i="39" s="1"/>
  <c r="AN65" i="39"/>
  <c r="AI65" i="39"/>
  <c r="AJ65" i="39" s="1"/>
  <c r="AH185" i="39"/>
  <c r="AN124" i="39"/>
  <c r="AI124" i="39"/>
  <c r="AT249" i="39"/>
  <c r="AU249" i="39" s="1"/>
  <c r="AO249" i="39"/>
  <c r="AP249" i="39" s="1"/>
  <c r="AN33" i="39"/>
  <c r="AI33" i="39"/>
  <c r="AJ33" i="39" s="1"/>
  <c r="AT32" i="39"/>
  <c r="AU32" i="39" s="1"/>
  <c r="AO32" i="39"/>
  <c r="AP32" i="39" s="1"/>
  <c r="AN23" i="39"/>
  <c r="AI23" i="39"/>
  <c r="AJ23" i="39" s="1"/>
  <c r="AT31" i="39"/>
  <c r="AU31" i="39" s="1"/>
  <c r="AO31" i="39"/>
  <c r="AP31" i="39" s="1"/>
  <c r="AN237" i="39"/>
  <c r="AI237" i="39"/>
  <c r="AJ237" i="39" s="1"/>
  <c r="AN271" i="39"/>
  <c r="AI271" i="39"/>
  <c r="AJ271" i="39" s="1"/>
  <c r="AT195" i="39"/>
  <c r="AU195" i="39" s="1"/>
  <c r="AO195" i="39"/>
  <c r="AP195" i="39" s="1"/>
  <c r="AT436" i="39"/>
  <c r="AU436" i="39" s="1"/>
  <c r="AO436" i="39"/>
  <c r="AP436" i="39" s="1"/>
  <c r="AN205" i="39"/>
  <c r="AI205" i="39"/>
  <c r="AJ205" i="39" s="1"/>
  <c r="AN19" i="39"/>
  <c r="AI19" i="39"/>
  <c r="AJ19" i="39" s="1"/>
  <c r="AC12" i="39"/>
  <c r="AD5" i="39"/>
  <c r="AD12" i="39" s="1"/>
  <c r="AT442" i="39"/>
  <c r="AU442" i="39" s="1"/>
  <c r="AO442" i="39"/>
  <c r="AP442" i="39" s="1"/>
  <c r="AT257" i="39"/>
  <c r="AU257" i="39" s="1"/>
  <c r="AO257" i="39"/>
  <c r="AP257" i="39" s="1"/>
  <c r="AT264" i="39"/>
  <c r="AU264" i="39" s="1"/>
  <c r="AO264" i="39"/>
  <c r="AP264" i="39" s="1"/>
  <c r="AT443" i="39"/>
  <c r="AU443" i="39" s="1"/>
  <c r="AO443" i="39"/>
  <c r="AP443" i="39" s="1"/>
  <c r="AN530" i="39"/>
  <c r="AI530" i="39"/>
  <c r="AJ530" i="39" s="1"/>
  <c r="AI529" i="39"/>
  <c r="AJ529" i="39" s="1"/>
  <c r="AN529" i="39"/>
  <c r="AT376" i="39"/>
  <c r="AU376" i="39" s="1"/>
  <c r="AO376" i="39"/>
  <c r="AP376" i="39" s="1"/>
  <c r="AT251" i="39"/>
  <c r="AU251" i="39" s="1"/>
  <c r="AO251" i="39"/>
  <c r="AP251" i="39" s="1"/>
  <c r="AN17" i="39"/>
  <c r="AI17" i="39"/>
  <c r="AJ17" i="39" s="1"/>
  <c r="AN268" i="39"/>
  <c r="AI268" i="39"/>
  <c r="AJ268" i="39" s="1"/>
  <c r="AT139" i="39"/>
  <c r="AU139" i="39" s="1"/>
  <c r="AO139" i="39"/>
  <c r="AP139" i="39" s="1"/>
  <c r="AN21" i="39"/>
  <c r="AI21" i="39"/>
  <c r="AJ21" i="39" s="1"/>
  <c r="AN25" i="39"/>
  <c r="AI25" i="39"/>
  <c r="AJ25" i="39" s="1"/>
  <c r="AT519" i="39"/>
  <c r="AN521" i="39"/>
  <c r="N568" i="39" s="1"/>
  <c r="AO519" i="39"/>
  <c r="AB121" i="39"/>
  <c r="AH14" i="39"/>
  <c r="AC14" i="39"/>
  <c r="AT142" i="39"/>
  <c r="AU142" i="39" s="1"/>
  <c r="AO142" i="39"/>
  <c r="AP142" i="39" s="1"/>
  <c r="AT216" i="39"/>
  <c r="AU216" i="39" s="1"/>
  <c r="AO216" i="39"/>
  <c r="AP216" i="39" s="1"/>
  <c r="AT247" i="39"/>
  <c r="AU247" i="39" s="1"/>
  <c r="AO247" i="39"/>
  <c r="AP247" i="39" s="1"/>
  <c r="AT377" i="39"/>
  <c r="AU377" i="39" s="1"/>
  <c r="AO377" i="39"/>
  <c r="AP377" i="39" s="1"/>
  <c r="AT304" i="39"/>
  <c r="AU304" i="39" s="1"/>
  <c r="AO304" i="39"/>
  <c r="AP304" i="39" s="1"/>
  <c r="AT417" i="39"/>
  <c r="AU417" i="39" s="1"/>
  <c r="AO417" i="39"/>
  <c r="AP417" i="39" s="1"/>
  <c r="AN71" i="39"/>
  <c r="AI71" i="39"/>
  <c r="AJ71" i="39" s="1"/>
  <c r="AT20" i="39"/>
  <c r="AU20" i="39" s="1"/>
  <c r="AO20" i="39"/>
  <c r="AP20" i="39" s="1"/>
  <c r="AT276" i="39"/>
  <c r="AU276" i="39" s="1"/>
  <c r="AO276" i="39"/>
  <c r="AP276" i="39" s="1"/>
  <c r="AH12" i="39"/>
  <c r="AI5" i="39"/>
  <c r="AT220" i="39"/>
  <c r="AU220" i="39" s="1"/>
  <c r="AO220" i="39"/>
  <c r="AP220" i="39" s="1"/>
  <c r="AN253" i="39"/>
  <c r="AI253" i="39"/>
  <c r="AJ253" i="39" s="1"/>
  <c r="AT150" i="39"/>
  <c r="AU150" i="39" s="1"/>
  <c r="AO150" i="39"/>
  <c r="AP150" i="39" s="1"/>
  <c r="AT270" i="39"/>
  <c r="AU270" i="39" s="1"/>
  <c r="AO270" i="39"/>
  <c r="AP270" i="39" s="1"/>
  <c r="AT146" i="39"/>
  <c r="AU146" i="39" s="1"/>
  <c r="AO146" i="39"/>
  <c r="AP146" i="39" s="1"/>
  <c r="AN245" i="39"/>
  <c r="AI245" i="39"/>
  <c r="AJ245" i="39" s="1"/>
  <c r="AT132" i="39"/>
  <c r="AU132" i="39" s="1"/>
  <c r="AO132" i="39"/>
  <c r="AP132" i="39" s="1"/>
  <c r="AT439" i="39"/>
  <c r="AU439" i="39" s="1"/>
  <c r="AO439" i="39"/>
  <c r="AP439" i="39" s="1"/>
  <c r="AT244" i="39"/>
  <c r="AU244" i="39" s="1"/>
  <c r="AO244" i="39"/>
  <c r="AP244" i="39" s="1"/>
  <c r="AT367" i="39"/>
  <c r="AU367" i="39" s="1"/>
  <c r="AO367" i="39"/>
  <c r="AP367" i="39" s="1"/>
  <c r="AT255" i="39"/>
  <c r="AU255" i="39" s="1"/>
  <c r="AO255" i="39"/>
  <c r="AP255" i="39" s="1"/>
  <c r="AT208" i="39"/>
  <c r="AU208" i="39" s="1"/>
  <c r="AO208" i="39"/>
  <c r="AP208" i="39" s="1"/>
  <c r="AT419" i="39"/>
  <c r="AU419" i="39" s="1"/>
  <c r="AO419" i="39"/>
  <c r="AP419" i="39" s="1"/>
  <c r="AT449" i="39"/>
  <c r="AU449" i="39" s="1"/>
  <c r="AO449" i="39"/>
  <c r="AP449" i="39" s="1"/>
  <c r="AN151" i="39"/>
  <c r="AI151" i="39"/>
  <c r="AJ151" i="39" s="1"/>
  <c r="AT128" i="39"/>
  <c r="AU128" i="39" s="1"/>
  <c r="AO128" i="39"/>
  <c r="AP128" i="39" s="1"/>
  <c r="AT154" i="39"/>
  <c r="AU154" i="39" s="1"/>
  <c r="AO154" i="39"/>
  <c r="AP154" i="39" s="1"/>
  <c r="AT375" i="39"/>
  <c r="AU375" i="39" s="1"/>
  <c r="AO375" i="39"/>
  <c r="AP375" i="39" s="1"/>
  <c r="AT224" i="39"/>
  <c r="AU224" i="39" s="1"/>
  <c r="AO224" i="39"/>
  <c r="AP224" i="39" s="1"/>
  <c r="AT441" i="39"/>
  <c r="AU441" i="39" s="1"/>
  <c r="AO441" i="39"/>
  <c r="AP441" i="39" s="1"/>
  <c r="AN130" i="39"/>
  <c r="AI130" i="39"/>
  <c r="AJ130" i="39" s="1"/>
  <c r="AN49" i="39"/>
  <c r="AI49" i="39"/>
  <c r="AJ49" i="39" s="1"/>
  <c r="AN432" i="39"/>
  <c r="AI432" i="39"/>
  <c r="AJ432" i="39" s="1"/>
  <c r="AT241" i="39"/>
  <c r="AU241" i="39" s="1"/>
  <c r="AO241" i="39"/>
  <c r="AP241" i="39" s="1"/>
  <c r="AT232" i="39"/>
  <c r="AU232" i="39" s="1"/>
  <c r="AO232" i="39"/>
  <c r="AP232" i="39" s="1"/>
  <c r="AT30" i="39"/>
  <c r="AU30" i="39" s="1"/>
  <c r="AO30" i="39"/>
  <c r="AP30" i="39" s="1"/>
  <c r="AN221" i="39"/>
  <c r="AI221" i="39"/>
  <c r="AJ221" i="39" s="1"/>
  <c r="AN279" i="39"/>
  <c r="AI279" i="39"/>
  <c r="AJ279" i="39" s="1"/>
  <c r="AT191" i="39"/>
  <c r="AU191" i="39" s="1"/>
  <c r="AO191" i="39"/>
  <c r="AP191" i="39" s="1"/>
  <c r="AT448" i="39"/>
  <c r="AU448" i="39" s="1"/>
  <c r="AO448" i="39"/>
  <c r="AP448" i="39" s="1"/>
  <c r="W413" i="39"/>
  <c r="X359" i="39"/>
  <c r="X413" i="39" s="1"/>
  <c r="AN366" i="39"/>
  <c r="AI366" i="39"/>
  <c r="AJ366" i="39" s="1"/>
  <c r="AT424" i="39"/>
  <c r="AU424" i="39" s="1"/>
  <c r="AO424" i="39"/>
  <c r="AP424" i="39" s="1"/>
  <c r="AT363" i="39"/>
  <c r="AU363" i="39" s="1"/>
  <c r="AO363" i="39"/>
  <c r="AP363" i="39" s="1"/>
  <c r="AN134" i="39"/>
  <c r="AI134" i="39"/>
  <c r="AJ134" i="39" s="1"/>
  <c r="AN69" i="39"/>
  <c r="AI69" i="39"/>
  <c r="AJ69" i="39" s="1"/>
  <c r="AN61" i="39"/>
  <c r="AI61" i="39"/>
  <c r="AJ61" i="39" s="1"/>
  <c r="AT42" i="39"/>
  <c r="AU42" i="39" s="1"/>
  <c r="AO42" i="39"/>
  <c r="AP42" i="39" s="1"/>
  <c r="AN15" i="39"/>
  <c r="AI15" i="39"/>
  <c r="AJ15" i="39" s="1"/>
  <c r="AT213" i="39"/>
  <c r="AU213" i="39" s="1"/>
  <c r="AO213" i="39"/>
  <c r="AP213" i="39" s="1"/>
  <c r="AT428" i="39"/>
  <c r="AU428" i="39" s="1"/>
  <c r="AO428" i="39"/>
  <c r="AP428" i="39" s="1"/>
  <c r="AT364" i="39"/>
  <c r="AU364" i="39" s="1"/>
  <c r="AO364" i="39"/>
  <c r="AP364" i="39" s="1"/>
  <c r="AN378" i="39"/>
  <c r="AI378" i="39"/>
  <c r="AJ378" i="39" s="1"/>
  <c r="AN143" i="39"/>
  <c r="AI143" i="39"/>
  <c r="AJ143" i="39" s="1"/>
  <c r="AT199" i="39"/>
  <c r="AU199" i="39" s="1"/>
  <c r="AO199" i="39"/>
  <c r="AP199" i="39" s="1"/>
  <c r="AT193" i="39"/>
  <c r="AU193" i="39" s="1"/>
  <c r="AO193" i="39"/>
  <c r="AP193" i="39" s="1"/>
  <c r="AT524" i="39"/>
  <c r="AU524" i="39" s="1"/>
  <c r="AO524" i="39"/>
  <c r="AP524" i="39" s="1"/>
  <c r="AN74" i="39"/>
  <c r="AI74" i="39"/>
  <c r="AJ74" i="39" s="1"/>
  <c r="W538" i="39"/>
  <c r="X523" i="39"/>
  <c r="X538" i="39" s="1"/>
  <c r="AT418" i="39"/>
  <c r="AU418" i="39" s="1"/>
  <c r="AO418" i="39"/>
  <c r="AP418" i="39" s="1"/>
  <c r="AT149" i="39"/>
  <c r="AU149" i="39" s="1"/>
  <c r="AO149" i="39"/>
  <c r="AP149" i="39" s="1"/>
  <c r="AN189" i="39"/>
  <c r="AI189" i="39"/>
  <c r="AJ189" i="39" s="1"/>
  <c r="AN379" i="39"/>
  <c r="AI379" i="39"/>
  <c r="AJ379" i="39" s="1"/>
  <c r="AT371" i="39"/>
  <c r="AU371" i="39" s="1"/>
  <c r="AO371" i="39"/>
  <c r="AP371" i="39" s="1"/>
  <c r="AT215" i="39"/>
  <c r="AU215" i="39" s="1"/>
  <c r="AO215" i="39"/>
  <c r="AP215" i="39" s="1"/>
  <c r="AT266" i="39"/>
  <c r="AU266" i="39" s="1"/>
  <c r="AO266" i="39"/>
  <c r="AP266" i="39" s="1"/>
  <c r="AT260" i="39"/>
  <c r="AU260" i="39" s="1"/>
  <c r="AO260" i="39"/>
  <c r="AP260" i="39" s="1"/>
  <c r="AN426" i="39"/>
  <c r="AI426" i="39"/>
  <c r="AJ426" i="39" s="1"/>
  <c r="AT425" i="39"/>
  <c r="AU425" i="39" s="1"/>
  <c r="AO425" i="39"/>
  <c r="AP425" i="39" s="1"/>
  <c r="AT527" i="39"/>
  <c r="AU527" i="39" s="1"/>
  <c r="AO527" i="39"/>
  <c r="AP527" i="39" s="1"/>
  <c r="AT239" i="39"/>
  <c r="AU239" i="39" s="1"/>
  <c r="AO239" i="39"/>
  <c r="AP239" i="39" s="1"/>
  <c r="AT372" i="39"/>
  <c r="AU372" i="39" s="1"/>
  <c r="AO372" i="39"/>
  <c r="AP372" i="39" s="1"/>
  <c r="AT200" i="39"/>
  <c r="AU200" i="39" s="1"/>
  <c r="AO200" i="39"/>
  <c r="AP200" i="39" s="1"/>
  <c r="AT66" i="39"/>
  <c r="AU66" i="39" s="1"/>
  <c r="AO66" i="39"/>
  <c r="AP66" i="39" s="1"/>
  <c r="AT147" i="39"/>
  <c r="AU147" i="39" s="1"/>
  <c r="AO147" i="39"/>
  <c r="AP147" i="39" s="1"/>
  <c r="AT202" i="39"/>
  <c r="AU202" i="39" s="1"/>
  <c r="AO202" i="39"/>
  <c r="AP202" i="39" s="1"/>
  <c r="AT369" i="39"/>
  <c r="AU369" i="39" s="1"/>
  <c r="AO369" i="39"/>
  <c r="AP369" i="39" s="1"/>
  <c r="AT207" i="39"/>
  <c r="AU207" i="39" s="1"/>
  <c r="AO207" i="39"/>
  <c r="AP207" i="39" s="1"/>
  <c r="AT421" i="39"/>
  <c r="AU421" i="39" s="1"/>
  <c r="AO421" i="39"/>
  <c r="AP421" i="39" s="1"/>
  <c r="AN45" i="39"/>
  <c r="AI45" i="39"/>
  <c r="AJ45" i="39" s="1"/>
  <c r="AN275" i="39"/>
  <c r="AI275" i="39"/>
  <c r="AJ275" i="39" s="1"/>
  <c r="W357" i="39"/>
  <c r="X187" i="39"/>
  <c r="X357" i="39" s="1"/>
  <c r="AT125" i="39"/>
  <c r="AU125" i="39" s="1"/>
  <c r="AO125" i="39"/>
  <c r="AP125" i="39" s="1"/>
  <c r="AN59" i="39"/>
  <c r="AI59" i="39"/>
  <c r="AJ59" i="39" s="1"/>
  <c r="AT203" i="39"/>
  <c r="AU203" i="39" s="1"/>
  <c r="AO203" i="39"/>
  <c r="AP203" i="39" s="1"/>
  <c r="AT446" i="39"/>
  <c r="AU446" i="39" s="1"/>
  <c r="AO446" i="39"/>
  <c r="AP446" i="39" s="1"/>
  <c r="AN423" i="39"/>
  <c r="AI423" i="39"/>
  <c r="AJ423" i="39" s="1"/>
  <c r="AT243" i="39"/>
  <c r="AU243" i="39" s="1"/>
  <c r="AO243" i="39"/>
  <c r="AP243" i="39" s="1"/>
  <c r="AT188" i="39"/>
  <c r="AU188" i="39" s="1"/>
  <c r="AO188" i="39"/>
  <c r="AP188" i="39" s="1"/>
  <c r="AN281" i="39"/>
  <c r="AI281" i="39"/>
  <c r="AJ281" i="39" s="1"/>
  <c r="AT373" i="39"/>
  <c r="AU373" i="39" s="1"/>
  <c r="AO373" i="39"/>
  <c r="AP373" i="39" s="1"/>
  <c r="AN440" i="39"/>
  <c r="AI440" i="39"/>
  <c r="AJ440" i="39" s="1"/>
  <c r="AN67" i="39"/>
  <c r="AI67" i="39"/>
  <c r="AJ67" i="39" s="1"/>
  <c r="AN430" i="39"/>
  <c r="AI430" i="39"/>
  <c r="AJ430" i="39" s="1"/>
  <c r="AT259" i="39"/>
  <c r="AU259" i="39" s="1"/>
  <c r="AO259" i="39"/>
  <c r="AP259" i="39" s="1"/>
  <c r="AN526" i="39"/>
  <c r="AI526" i="39"/>
  <c r="AJ526" i="39" s="1"/>
  <c r="AT22" i="39"/>
  <c r="AU22" i="39" s="1"/>
  <c r="AO22" i="39"/>
  <c r="AP22" i="39" s="1"/>
  <c r="AT145" i="39"/>
  <c r="AU145" i="39" s="1"/>
  <c r="AO145" i="39"/>
  <c r="AP145" i="39" s="1"/>
  <c r="AT212" i="39"/>
  <c r="AU212" i="39" s="1"/>
  <c r="AO212" i="39"/>
  <c r="AP212" i="39" s="1"/>
  <c r="AT38" i="39"/>
  <c r="AU38" i="39" s="1"/>
  <c r="AO38" i="39"/>
  <c r="AP38" i="39" s="1"/>
  <c r="AN362" i="39"/>
  <c r="AI362" i="39"/>
  <c r="AJ362" i="39" s="1"/>
  <c r="AT437" i="39"/>
  <c r="AU437" i="39" s="1"/>
  <c r="AO437" i="39"/>
  <c r="AP437" i="39" s="1"/>
  <c r="AT126" i="39"/>
  <c r="AU126" i="39" s="1"/>
  <c r="AO126" i="39"/>
  <c r="AP126" i="39" s="1"/>
  <c r="AN278" i="39"/>
  <c r="AI278" i="39"/>
  <c r="AJ278" i="39" s="1"/>
  <c r="AT256" i="39"/>
  <c r="AU256" i="39" s="1"/>
  <c r="AO256" i="39"/>
  <c r="AP256" i="39" s="1"/>
  <c r="AT227" i="39"/>
  <c r="AU227" i="39" s="1"/>
  <c r="AO227" i="39"/>
  <c r="AP227" i="39" s="1"/>
  <c r="AN233" i="39"/>
  <c r="AI233" i="39"/>
  <c r="AJ233" i="39" s="1"/>
  <c r="AN29" i="39"/>
  <c r="AI29" i="39"/>
  <c r="AJ29" i="39" s="1"/>
  <c r="AT231" i="39"/>
  <c r="AU231" i="39" s="1"/>
  <c r="AO231" i="39"/>
  <c r="AP231" i="39" s="1"/>
  <c r="AN47" i="39"/>
  <c r="AI47" i="39"/>
  <c r="AJ47" i="39" s="1"/>
  <c r="AT192" i="39"/>
  <c r="AU192" i="39" s="1"/>
  <c r="AO192" i="39"/>
  <c r="AP192" i="39" s="1"/>
  <c r="AT16" i="39"/>
  <c r="AU16" i="39" s="1"/>
  <c r="AO16" i="39"/>
  <c r="AP16" i="39" s="1"/>
  <c r="AT135" i="39"/>
  <c r="AU135" i="39" s="1"/>
  <c r="AO135" i="39"/>
  <c r="AP135" i="39" s="1"/>
  <c r="AT209" i="39"/>
  <c r="AU209" i="39" s="1"/>
  <c r="AO209" i="39"/>
  <c r="AP209" i="39" s="1"/>
  <c r="AJ519" i="39"/>
  <c r="AJ521" i="39" s="1"/>
  <c r="AI521" i="39"/>
  <c r="W121" i="39"/>
  <c r="X14" i="39"/>
  <c r="X121" i="39" s="1"/>
  <c r="AT248" i="39"/>
  <c r="AU248" i="39" s="1"/>
  <c r="AO248" i="39"/>
  <c r="AP248" i="39" s="1"/>
  <c r="AT455" i="39"/>
  <c r="AU455" i="39" s="1"/>
  <c r="AO455" i="39"/>
  <c r="AP455" i="39" s="1"/>
  <c r="AT368" i="39"/>
  <c r="AU368" i="39" s="1"/>
  <c r="AO368" i="39"/>
  <c r="AP368" i="39" s="1"/>
  <c r="AT360" i="39"/>
  <c r="AU360" i="39" s="1"/>
  <c r="AO360" i="39"/>
  <c r="AP360" i="39" s="1"/>
  <c r="AT365" i="39"/>
  <c r="AU365" i="39" s="1"/>
  <c r="AO365" i="39"/>
  <c r="AP365" i="39" s="1"/>
  <c r="AN73" i="39"/>
  <c r="AI73" i="39"/>
  <c r="AJ73" i="39" s="1"/>
  <c r="AN140" i="39"/>
  <c r="AI140" i="39"/>
  <c r="AJ140" i="39" s="1"/>
  <c r="AT287" i="39"/>
  <c r="AU287" i="39" s="1"/>
  <c r="AO287" i="39"/>
  <c r="AP287" i="39" s="1"/>
  <c r="AN53" i="39"/>
  <c r="AI53" i="39"/>
  <c r="AJ53" i="39" s="1"/>
  <c r="AT148" i="39"/>
  <c r="AU148" i="39" s="1"/>
  <c r="AO148" i="39"/>
  <c r="AP148" i="39" s="1"/>
  <c r="AT18" i="39"/>
  <c r="AU18" i="39" s="1"/>
  <c r="AO18" i="39"/>
  <c r="AP18" i="39" s="1"/>
  <c r="AT40" i="39"/>
  <c r="AU40" i="39" s="1"/>
  <c r="AO40" i="39"/>
  <c r="AP40" i="39" s="1"/>
  <c r="AT194" i="39"/>
  <c r="AU194" i="39" s="1"/>
  <c r="AO194" i="39"/>
  <c r="AP194" i="39" s="1"/>
  <c r="AN57" i="39"/>
  <c r="AI57" i="39"/>
  <c r="AJ57" i="39" s="1"/>
  <c r="AH471" i="39"/>
  <c r="AC471" i="39"/>
  <c r="AD471" i="39" s="1"/>
  <c r="AN472" i="39"/>
  <c r="AI472" i="39"/>
  <c r="AJ472" i="39" s="1"/>
  <c r="AN27" i="39"/>
  <c r="AI27" i="39"/>
  <c r="AJ27" i="39" s="1"/>
  <c r="AB413" i="39"/>
  <c r="AH359" i="39"/>
  <c r="AC359" i="39"/>
  <c r="AT452" i="39"/>
  <c r="AU452" i="39" s="1"/>
  <c r="AO452" i="39"/>
  <c r="AP452" i="39" s="1"/>
  <c r="AT284" i="39"/>
  <c r="AU284" i="39" s="1"/>
  <c r="AO284" i="39"/>
  <c r="AP284" i="39" s="1"/>
  <c r="AT240" i="39"/>
  <c r="AU240" i="39" s="1"/>
  <c r="AO240" i="39"/>
  <c r="AP240" i="39" s="1"/>
  <c r="AB538" i="39"/>
  <c r="AH523" i="39"/>
  <c r="AC523" i="39"/>
  <c r="W517" i="39"/>
  <c r="X415" i="39"/>
  <c r="X517" i="39" s="1"/>
  <c r="AT263" i="39"/>
  <c r="AU263" i="39" s="1"/>
  <c r="AO263" i="39"/>
  <c r="AP263" i="39" s="1"/>
  <c r="AT420" i="39"/>
  <c r="AU420" i="39" s="1"/>
  <c r="AO420" i="39"/>
  <c r="AP420" i="39" s="1"/>
  <c r="AT273" i="39"/>
  <c r="AU273" i="39" s="1"/>
  <c r="AO273" i="39"/>
  <c r="AP273" i="39" s="1"/>
  <c r="AN37" i="39"/>
  <c r="AI37" i="39"/>
  <c r="AJ37" i="39" s="1"/>
  <c r="AN63" i="39"/>
  <c r="AI63" i="39"/>
  <c r="AJ63" i="39" s="1"/>
  <c r="AN51" i="39"/>
  <c r="AI51" i="39"/>
  <c r="AJ51" i="39" s="1"/>
  <c r="AB357" i="39"/>
  <c r="AH187" i="39"/>
  <c r="AC187" i="39"/>
  <c r="AT127" i="39" l="1"/>
  <c r="AU127" i="39" s="1"/>
  <c r="AO127" i="39"/>
  <c r="AP127" i="39" s="1"/>
  <c r="AO214" i="39"/>
  <c r="AP214" i="39" s="1"/>
  <c r="AT214" i="39"/>
  <c r="AU214" i="39" s="1"/>
  <c r="AO157" i="39"/>
  <c r="AP157" i="39" s="1"/>
  <c r="AT157" i="39"/>
  <c r="AU157" i="39" s="1"/>
  <c r="AT235" i="39"/>
  <c r="AU235" i="39" s="1"/>
  <c r="AO235" i="39"/>
  <c r="AP235" i="39" s="1"/>
  <c r="AT72" i="39"/>
  <c r="AU72" i="39" s="1"/>
  <c r="AO72" i="39"/>
  <c r="AP72" i="39" s="1"/>
  <c r="AT68" i="39"/>
  <c r="AU68" i="39" s="1"/>
  <c r="AO68" i="39"/>
  <c r="AP68" i="39" s="1"/>
  <c r="AT35" i="39"/>
  <c r="AU35" i="39" s="1"/>
  <c r="AO35" i="39"/>
  <c r="AP35" i="39" s="1"/>
  <c r="AO223" i="39"/>
  <c r="AP223" i="39" s="1"/>
  <c r="AT223" i="39"/>
  <c r="AU223" i="39" s="1"/>
  <c r="W568" i="39"/>
  <c r="AO190" i="39"/>
  <c r="AP190" i="39" s="1"/>
  <c r="AT190" i="39"/>
  <c r="AU190" i="39" s="1"/>
  <c r="AO238" i="39"/>
  <c r="AP238" i="39" s="1"/>
  <c r="AT238" i="39"/>
  <c r="AU238" i="39" s="1"/>
  <c r="W1" i="39"/>
  <c r="AO41" i="39"/>
  <c r="AP41" i="39" s="1"/>
  <c r="AT41" i="39"/>
  <c r="AU41" i="39" s="1"/>
  <c r="AB1" i="39"/>
  <c r="AC413" i="39"/>
  <c r="AD359" i="39"/>
  <c r="AD413" i="39" s="1"/>
  <c r="AN471" i="39"/>
  <c r="AI471" i="39"/>
  <c r="AJ471" i="39" s="1"/>
  <c r="AT53" i="39"/>
  <c r="AU53" i="39" s="1"/>
  <c r="AO53" i="39"/>
  <c r="AP53" i="39" s="1"/>
  <c r="AC357" i="39"/>
  <c r="AD187" i="39"/>
  <c r="AD357" i="39" s="1"/>
  <c r="AT37" i="39"/>
  <c r="AU37" i="39" s="1"/>
  <c r="AO37" i="39"/>
  <c r="AP37" i="39" s="1"/>
  <c r="AT472" i="39"/>
  <c r="AU472" i="39" s="1"/>
  <c r="AO472" i="39"/>
  <c r="AP472" i="39" s="1"/>
  <c r="AH357" i="39"/>
  <c r="AN187" i="39"/>
  <c r="AI187" i="39"/>
  <c r="AC538" i="39"/>
  <c r="AD523" i="39"/>
  <c r="AD538" i="39" s="1"/>
  <c r="AT73" i="39"/>
  <c r="AU73" i="39" s="1"/>
  <c r="AO73" i="39"/>
  <c r="AP73" i="39" s="1"/>
  <c r="AT47" i="39"/>
  <c r="AU47" i="39" s="1"/>
  <c r="AO47" i="39"/>
  <c r="AP47" i="39" s="1"/>
  <c r="AT29" i="39"/>
  <c r="AU29" i="39" s="1"/>
  <c r="AO29" i="39"/>
  <c r="AP29" i="39" s="1"/>
  <c r="AT278" i="39"/>
  <c r="AU278" i="39" s="1"/>
  <c r="AO278" i="39"/>
  <c r="AP278" i="39" s="1"/>
  <c r="AT526" i="39"/>
  <c r="AU526" i="39" s="1"/>
  <c r="AO526" i="39"/>
  <c r="AP526" i="39" s="1"/>
  <c r="AT430" i="39"/>
  <c r="AU430" i="39" s="1"/>
  <c r="AO430" i="39"/>
  <c r="AP430" i="39" s="1"/>
  <c r="AO440" i="39"/>
  <c r="AP440" i="39" s="1"/>
  <c r="AT440" i="39"/>
  <c r="AU440" i="39" s="1"/>
  <c r="AT281" i="39"/>
  <c r="AU281" i="39" s="1"/>
  <c r="AO281" i="39"/>
  <c r="AP281" i="39" s="1"/>
  <c r="AT59" i="39"/>
  <c r="AU59" i="39" s="1"/>
  <c r="AO59" i="39"/>
  <c r="AP59" i="39" s="1"/>
  <c r="AT45" i="39"/>
  <c r="AU45" i="39" s="1"/>
  <c r="AO45" i="39"/>
  <c r="AP45" i="39" s="1"/>
  <c r="AT426" i="39"/>
  <c r="AU426" i="39" s="1"/>
  <c r="AO426" i="39"/>
  <c r="AP426" i="39" s="1"/>
  <c r="AO189" i="39"/>
  <c r="AP189" i="39" s="1"/>
  <c r="AT189" i="39"/>
  <c r="AU189" i="39" s="1"/>
  <c r="AT74" i="39"/>
  <c r="AU74" i="39" s="1"/>
  <c r="AO74" i="39"/>
  <c r="AP74" i="39" s="1"/>
  <c r="AT143" i="39"/>
  <c r="AU143" i="39" s="1"/>
  <c r="AO143" i="39"/>
  <c r="AP143" i="39" s="1"/>
  <c r="AT69" i="39"/>
  <c r="AU69" i="39" s="1"/>
  <c r="AO69" i="39"/>
  <c r="AP69" i="39" s="1"/>
  <c r="AT366" i="39"/>
  <c r="AU366" i="39" s="1"/>
  <c r="AO366" i="39"/>
  <c r="AP366" i="39" s="1"/>
  <c r="AT279" i="39"/>
  <c r="AU279" i="39" s="1"/>
  <c r="AO279" i="39"/>
  <c r="AP279" i="39" s="1"/>
  <c r="AT49" i="39"/>
  <c r="AU49" i="39" s="1"/>
  <c r="AO49" i="39"/>
  <c r="AP49" i="39" s="1"/>
  <c r="AJ5" i="39"/>
  <c r="AJ12" i="39" s="1"/>
  <c r="AI12" i="39"/>
  <c r="AT71" i="39"/>
  <c r="AU71" i="39" s="1"/>
  <c r="AO71" i="39"/>
  <c r="AP71" i="39" s="1"/>
  <c r="AO521" i="39"/>
  <c r="AP519" i="39"/>
  <c r="AP521" i="39" s="1"/>
  <c r="AT25" i="39"/>
  <c r="AU25" i="39" s="1"/>
  <c r="AO25" i="39"/>
  <c r="AP25" i="39" s="1"/>
  <c r="AT17" i="39"/>
  <c r="AU17" i="39" s="1"/>
  <c r="AO17" i="39"/>
  <c r="AP17" i="39" s="1"/>
  <c r="AT530" i="39"/>
  <c r="AU530" i="39" s="1"/>
  <c r="AO530" i="39"/>
  <c r="AP530" i="39" s="1"/>
  <c r="AT431" i="39"/>
  <c r="AU431" i="39" s="1"/>
  <c r="AO431" i="39"/>
  <c r="AP431" i="39" s="1"/>
  <c r="AO197" i="39"/>
  <c r="AP197" i="39" s="1"/>
  <c r="AT197" i="39"/>
  <c r="AU197" i="39" s="1"/>
  <c r="AT138" i="39"/>
  <c r="AU138" i="39" s="1"/>
  <c r="AO138" i="39"/>
  <c r="AP138" i="39" s="1"/>
  <c r="AC517" i="39"/>
  <c r="AD415" i="39"/>
  <c r="AD517" i="39" s="1"/>
  <c r="AT245" i="39"/>
  <c r="AU245" i="39" s="1"/>
  <c r="AO245" i="39"/>
  <c r="AP245" i="39" s="1"/>
  <c r="AT253" i="39"/>
  <c r="AU253" i="39" s="1"/>
  <c r="AO253" i="39"/>
  <c r="AP253" i="39" s="1"/>
  <c r="AC121" i="39"/>
  <c r="AD14" i="39"/>
  <c r="AD121" i="39" s="1"/>
  <c r="L550" i="39"/>
  <c r="AT529" i="39"/>
  <c r="AU529" i="39" s="1"/>
  <c r="AO529" i="39"/>
  <c r="AP529" i="39" s="1"/>
  <c r="AT19" i="39"/>
  <c r="AU19" i="39" s="1"/>
  <c r="AO19" i="39"/>
  <c r="AP19" i="39" s="1"/>
  <c r="AT271" i="39"/>
  <c r="AU271" i="39" s="1"/>
  <c r="AO271" i="39"/>
  <c r="AP271" i="39" s="1"/>
  <c r="AT370" i="39"/>
  <c r="AU370" i="39" s="1"/>
  <c r="AO370" i="39"/>
  <c r="AP370" i="39" s="1"/>
  <c r="AT217" i="39"/>
  <c r="AU217" i="39" s="1"/>
  <c r="AO217" i="39"/>
  <c r="AP217" i="39" s="1"/>
  <c r="AT447" i="39"/>
  <c r="AU447" i="39" s="1"/>
  <c r="AO447" i="39"/>
  <c r="AP447" i="39" s="1"/>
  <c r="AH538" i="39"/>
  <c r="AN523" i="39"/>
  <c r="AI523" i="39"/>
  <c r="AT27" i="39"/>
  <c r="AU27" i="39" s="1"/>
  <c r="AO27" i="39"/>
  <c r="AP27" i="39" s="1"/>
  <c r="AH413" i="39"/>
  <c r="AN359" i="39"/>
  <c r="AI359" i="39"/>
  <c r="AT233" i="39"/>
  <c r="AU233" i="39" s="1"/>
  <c r="AO233" i="39"/>
  <c r="AP233" i="39" s="1"/>
  <c r="AT362" i="39"/>
  <c r="AU362" i="39" s="1"/>
  <c r="AO362" i="39"/>
  <c r="AP362" i="39" s="1"/>
  <c r="AT67" i="39"/>
  <c r="AU67" i="39" s="1"/>
  <c r="AO67" i="39"/>
  <c r="AP67" i="39" s="1"/>
  <c r="AT423" i="39"/>
  <c r="AU423" i="39" s="1"/>
  <c r="AO423" i="39"/>
  <c r="AP423" i="39" s="1"/>
  <c r="AT275" i="39"/>
  <c r="AU275" i="39" s="1"/>
  <c r="AO275" i="39"/>
  <c r="AP275" i="39" s="1"/>
  <c r="AT379" i="39"/>
  <c r="AU379" i="39" s="1"/>
  <c r="AO379" i="39"/>
  <c r="AP379" i="39" s="1"/>
  <c r="AT378" i="39"/>
  <c r="AU378" i="39" s="1"/>
  <c r="AO378" i="39"/>
  <c r="AP378" i="39" s="1"/>
  <c r="AT15" i="39"/>
  <c r="AU15" i="39" s="1"/>
  <c r="AO15" i="39"/>
  <c r="AP15" i="39" s="1"/>
  <c r="AT61" i="39"/>
  <c r="AU61" i="39" s="1"/>
  <c r="AO61" i="39"/>
  <c r="AP61" i="39" s="1"/>
  <c r="AT134" i="39"/>
  <c r="AU134" i="39" s="1"/>
  <c r="AO134" i="39"/>
  <c r="AP134" i="39" s="1"/>
  <c r="AT221" i="39"/>
  <c r="AU221" i="39" s="1"/>
  <c r="AO221" i="39"/>
  <c r="AP221" i="39" s="1"/>
  <c r="AT432" i="39"/>
  <c r="AU432" i="39" s="1"/>
  <c r="AO432" i="39"/>
  <c r="AP432" i="39" s="1"/>
  <c r="AT130" i="39"/>
  <c r="AU130" i="39" s="1"/>
  <c r="AO130" i="39"/>
  <c r="AP130" i="39" s="1"/>
  <c r="AT151" i="39"/>
  <c r="AU151" i="39" s="1"/>
  <c r="AO151" i="39"/>
  <c r="AP151" i="39" s="1"/>
  <c r="AH121" i="39"/>
  <c r="AN14" i="39"/>
  <c r="AI14" i="39"/>
  <c r="AT521" i="39"/>
  <c r="Q568" i="39" s="1"/>
  <c r="R568" i="39" s="1"/>
  <c r="AU519" i="39"/>
  <c r="AT21" i="39"/>
  <c r="AU21" i="39" s="1"/>
  <c r="AO21" i="39"/>
  <c r="AP21" i="39" s="1"/>
  <c r="AT268" i="39"/>
  <c r="AU268" i="39" s="1"/>
  <c r="AO268" i="39"/>
  <c r="AP268" i="39" s="1"/>
  <c r="AI185" i="39"/>
  <c r="AJ124" i="39"/>
  <c r="AJ185" i="39" s="1"/>
  <c r="AT65" i="39"/>
  <c r="AU65" i="39" s="1"/>
  <c r="AO65" i="39"/>
  <c r="AP65" i="39" s="1"/>
  <c r="AT444" i="39"/>
  <c r="AU444" i="39" s="1"/>
  <c r="AO444" i="39"/>
  <c r="AP444" i="39" s="1"/>
  <c r="AT422" i="39"/>
  <c r="AU422" i="39" s="1"/>
  <c r="AO422" i="39"/>
  <c r="AP422" i="39" s="1"/>
  <c r="AT374" i="39"/>
  <c r="AU374" i="39" s="1"/>
  <c r="AO374" i="39"/>
  <c r="AP374" i="39" s="1"/>
  <c r="AT63" i="39"/>
  <c r="AU63" i="39" s="1"/>
  <c r="AO63" i="39"/>
  <c r="AP63" i="39" s="1"/>
  <c r="AT140" i="39"/>
  <c r="AU140" i="39" s="1"/>
  <c r="AO140" i="39"/>
  <c r="AP140" i="39" s="1"/>
  <c r="AT51" i="39"/>
  <c r="AU51" i="39" s="1"/>
  <c r="AO51" i="39"/>
  <c r="AP51" i="39" s="1"/>
  <c r="AT57" i="39"/>
  <c r="AU57" i="39" s="1"/>
  <c r="AO57" i="39"/>
  <c r="AP57" i="39" s="1"/>
  <c r="AT205" i="39"/>
  <c r="AU205" i="39" s="1"/>
  <c r="AO205" i="39"/>
  <c r="AP205" i="39" s="1"/>
  <c r="AT237" i="39"/>
  <c r="AU237" i="39" s="1"/>
  <c r="AO237" i="39"/>
  <c r="AP237" i="39" s="1"/>
  <c r="AT23" i="39"/>
  <c r="AU23" i="39" s="1"/>
  <c r="AO23" i="39"/>
  <c r="AP23" i="39" s="1"/>
  <c r="AT33" i="39"/>
  <c r="AU33" i="39" s="1"/>
  <c r="AO33" i="39"/>
  <c r="AP33" i="39" s="1"/>
  <c r="AN185" i="39"/>
  <c r="N564" i="39" s="1"/>
  <c r="AT124" i="39"/>
  <c r="AO124" i="39"/>
  <c r="AH517" i="39"/>
  <c r="AN415" i="39"/>
  <c r="AI415" i="39"/>
  <c r="AT261" i="39"/>
  <c r="AU261" i="39" s="1"/>
  <c r="AO261" i="39"/>
  <c r="AP261" i="39" s="1"/>
  <c r="AT55" i="39"/>
  <c r="AU55" i="39" s="1"/>
  <c r="AO55" i="39"/>
  <c r="AP55" i="39" s="1"/>
  <c r="AT155" i="39"/>
  <c r="AU155" i="39" s="1"/>
  <c r="AO155" i="39"/>
  <c r="AP155" i="39" s="1"/>
  <c r="AT274" i="39"/>
  <c r="AU274" i="39" s="1"/>
  <c r="AO274" i="39"/>
  <c r="AP274" i="39" s="1"/>
  <c r="AC1" i="39" l="1"/>
  <c r="W564" i="39"/>
  <c r="L12" i="8"/>
  <c r="AH1" i="39"/>
  <c r="X568" i="39"/>
  <c r="AI517" i="39"/>
  <c r="AJ415" i="39"/>
  <c r="AJ517" i="39" s="1"/>
  <c r="AN517" i="39"/>
  <c r="N567" i="39" s="1"/>
  <c r="AT415" i="39"/>
  <c r="AO415" i="39"/>
  <c r="AP415" i="39" s="1"/>
  <c r="L546" i="39"/>
  <c r="AU521" i="39"/>
  <c r="S568" i="39" s="1"/>
  <c r="T568" i="39" s="1"/>
  <c r="AI413" i="39"/>
  <c r="AJ359" i="39"/>
  <c r="AJ413" i="39" s="1"/>
  <c r="AI357" i="39"/>
  <c r="AJ187" i="39"/>
  <c r="AJ357" i="39" s="1"/>
  <c r="AT471" i="39"/>
  <c r="AU471" i="39" s="1"/>
  <c r="AO471" i="39"/>
  <c r="AP471" i="39" s="1"/>
  <c r="AI121" i="39"/>
  <c r="AJ14" i="39"/>
  <c r="AJ121" i="39" s="1"/>
  <c r="AN413" i="39"/>
  <c r="N566" i="39" s="1"/>
  <c r="AT359" i="39"/>
  <c r="AO359" i="39"/>
  <c r="AP359" i="39" s="1"/>
  <c r="AI538" i="39"/>
  <c r="AJ523" i="39"/>
  <c r="AJ538" i="39" s="1"/>
  <c r="V550" i="39"/>
  <c r="M550" i="39"/>
  <c r="Q550" i="39" s="1"/>
  <c r="AN357" i="39"/>
  <c r="N565" i="39" s="1"/>
  <c r="AT187" i="39"/>
  <c r="AO187" i="39"/>
  <c r="AP187" i="39" s="1"/>
  <c r="AT185" i="39"/>
  <c r="Q564" i="39" s="1"/>
  <c r="R564" i="39" s="1"/>
  <c r="AU124" i="39"/>
  <c r="AP124" i="39"/>
  <c r="AP185" i="39" s="1"/>
  <c r="AO185" i="39"/>
  <c r="AN121" i="39"/>
  <c r="N563" i="39" s="1"/>
  <c r="AT14" i="39"/>
  <c r="AO14" i="39"/>
  <c r="AN538" i="39"/>
  <c r="N569" i="39" s="1"/>
  <c r="AT523" i="39"/>
  <c r="AO523" i="39"/>
  <c r="AP523" i="39" s="1"/>
  <c r="AI1" i="39" l="1"/>
  <c r="W567" i="39"/>
  <c r="W565" i="39"/>
  <c r="W569" i="39"/>
  <c r="W566" i="39"/>
  <c r="L11" i="8"/>
  <c r="W563" i="39"/>
  <c r="N570" i="39"/>
  <c r="X564" i="39"/>
  <c r="AO121" i="39"/>
  <c r="AP121" i="39" s="1"/>
  <c r="AU185" i="39"/>
  <c r="S564" i="39" s="1"/>
  <c r="T564" i="39" s="1"/>
  <c r="AT517" i="39"/>
  <c r="Q567" i="39" s="1"/>
  <c r="R567" i="39" s="1"/>
  <c r="AU415" i="39"/>
  <c r="AN1" i="39"/>
  <c r="AQ1" i="39" s="1"/>
  <c r="AT413" i="39"/>
  <c r="Q566" i="39" s="1"/>
  <c r="R566" i="39" s="1"/>
  <c r="AU359" i="39"/>
  <c r="L549" i="39"/>
  <c r="AO517" i="39"/>
  <c r="AP517" i="39" s="1"/>
  <c r="L551" i="39"/>
  <c r="AO538" i="39"/>
  <c r="AP538" i="39" s="1"/>
  <c r="AT357" i="39"/>
  <c r="Q565" i="39" s="1"/>
  <c r="R565" i="39" s="1"/>
  <c r="AU187" i="39"/>
  <c r="L548" i="39"/>
  <c r="AO413" i="39"/>
  <c r="AP413" i="39" s="1"/>
  <c r="V546" i="39"/>
  <c r="Q546" i="39"/>
  <c r="AP14" i="39"/>
  <c r="AT538" i="39"/>
  <c r="Q569" i="39" s="1"/>
  <c r="R569" i="39" s="1"/>
  <c r="AU523" i="39"/>
  <c r="AU14" i="39"/>
  <c r="AT121" i="39"/>
  <c r="Q563" i="39" s="1"/>
  <c r="L547" i="39"/>
  <c r="AO357" i="39"/>
  <c r="AP357" i="39" s="1"/>
  <c r="C36" i="33"/>
  <c r="B19" i="34"/>
  <c r="C19" i="34" s="1"/>
  <c r="A2" i="33"/>
  <c r="A1" i="33"/>
  <c r="X569" i="39" l="1"/>
  <c r="Q570" i="39"/>
  <c r="K571" i="39" s="1"/>
  <c r="R563" i="39"/>
  <c r="X565" i="39"/>
  <c r="X563" i="39"/>
  <c r="AO1" i="39"/>
  <c r="X566" i="39"/>
  <c r="X567" i="39"/>
  <c r="V551" i="39"/>
  <c r="M551" i="39"/>
  <c r="Q551" i="39" s="1"/>
  <c r="V547" i="39"/>
  <c r="Q547" i="39"/>
  <c r="AU357" i="39"/>
  <c r="S565" i="39" s="1"/>
  <c r="T565" i="39" s="1"/>
  <c r="AU517" i="39"/>
  <c r="S567" i="39" s="1"/>
  <c r="T567" i="39" s="1"/>
  <c r="V545" i="39"/>
  <c r="L552" i="39"/>
  <c r="AU538" i="39"/>
  <c r="S569" i="39" s="1"/>
  <c r="T569" i="39" s="1"/>
  <c r="AU121" i="39"/>
  <c r="S563" i="39" s="1"/>
  <c r="V548" i="39"/>
  <c r="M548" i="39"/>
  <c r="Q548" i="39" s="1"/>
  <c r="V549" i="39"/>
  <c r="M549" i="39"/>
  <c r="Q549" i="39" s="1"/>
  <c r="AU413" i="39"/>
  <c r="S566" i="39" s="1"/>
  <c r="T566" i="39" s="1"/>
  <c r="E26" i="27"/>
  <c r="E25" i="27"/>
  <c r="E24" i="27"/>
  <c r="E23" i="27"/>
  <c r="E22" i="27"/>
  <c r="E20" i="27"/>
  <c r="E19" i="27"/>
  <c r="E18" i="27"/>
  <c r="E17" i="27"/>
  <c r="E15" i="27"/>
  <c r="E14" i="27"/>
  <c r="E32" i="27"/>
  <c r="E31" i="27"/>
  <c r="E30" i="27"/>
  <c r="E29" i="27"/>
  <c r="E28" i="27"/>
  <c r="E27" i="27"/>
  <c r="E16" i="27"/>
  <c r="F68" i="24"/>
  <c r="G30" i="11"/>
  <c r="C52" i="9"/>
  <c r="D34" i="3" s="1"/>
  <c r="F28" i="22"/>
  <c r="F29" i="22" s="1"/>
  <c r="C20" i="8"/>
  <c r="C22" i="8" s="1"/>
  <c r="D12" i="7"/>
  <c r="E12" i="7"/>
  <c r="G22" i="27"/>
  <c r="D35" i="3"/>
  <c r="E41" i="22"/>
  <c r="T563" i="39" l="1"/>
  <c r="R570" i="39"/>
  <c r="Q545" i="39"/>
  <c r="Q552" i="39" s="1"/>
  <c r="M552" i="39"/>
  <c r="V552" i="39"/>
  <c r="J553" i="39"/>
  <c r="J555" i="39" s="1"/>
  <c r="L555" i="39"/>
  <c r="D32" i="9"/>
  <c r="C32" i="9"/>
  <c r="B20" i="9" l="1"/>
  <c r="B32" i="9"/>
  <c r="B19" i="9" s="1"/>
  <c r="G27" i="9"/>
  <c r="D19" i="3"/>
  <c r="B21" i="9" l="1"/>
  <c r="C33" i="3" s="1"/>
  <c r="C37" i="3" s="1"/>
  <c r="E13" i="22"/>
  <c r="J8" i="8"/>
  <c r="K8" i="8" s="1"/>
  <c r="L8" i="8"/>
  <c r="F60" i="36"/>
  <c r="F59" i="36"/>
  <c r="F54" i="36"/>
  <c r="F53" i="36"/>
  <c r="F52" i="36"/>
  <c r="F51" i="36"/>
  <c r="F50" i="36"/>
  <c r="F49" i="36"/>
  <c r="F48" i="36"/>
  <c r="F47" i="36"/>
  <c r="F46" i="36"/>
  <c r="F45" i="36"/>
  <c r="F44" i="36"/>
  <c r="F41" i="36"/>
  <c r="F40" i="36"/>
  <c r="F34" i="36"/>
  <c r="F33" i="36"/>
  <c r="F32" i="36"/>
  <c r="F31" i="36"/>
  <c r="F30" i="36"/>
  <c r="F29" i="36"/>
  <c r="F27" i="36"/>
  <c r="F26" i="36"/>
  <c r="F24" i="36"/>
  <c r="F23" i="36"/>
  <c r="F22" i="36"/>
  <c r="F17" i="36"/>
  <c r="F16" i="36"/>
  <c r="F15" i="36"/>
  <c r="F14" i="36"/>
  <c r="F13" i="36"/>
  <c r="F11" i="36"/>
  <c r="F6" i="36"/>
  <c r="F3" i="36"/>
  <c r="F12" i="36"/>
  <c r="F5" i="36"/>
  <c r="F20" i="36" l="1"/>
  <c r="F92" i="7" l="1"/>
  <c r="F91" i="7"/>
  <c r="F97" i="7" l="1"/>
  <c r="D80" i="7" s="1"/>
  <c r="D85" i="7" s="1"/>
  <c r="C17" i="3" s="1"/>
  <c r="E20" i="22" s="1"/>
  <c r="C34" i="33"/>
  <c r="D15" i="4"/>
  <c r="D109" i="7" l="1"/>
  <c r="E109" i="7"/>
  <c r="L10" i="8" l="1"/>
  <c r="D8" i="19" l="1"/>
  <c r="D13" i="3" l="1"/>
  <c r="D15" i="3" s="1"/>
  <c r="K63" i="32"/>
  <c r="C27" i="32"/>
  <c r="J22" i="32"/>
  <c r="K62" i="32"/>
  <c r="H62" i="32"/>
  <c r="G62" i="32"/>
  <c r="F62" i="32"/>
  <c r="L21" i="32"/>
  <c r="J21" i="32"/>
  <c r="K61" i="32"/>
  <c r="H61" i="32"/>
  <c r="G61" i="32"/>
  <c r="L20" i="32"/>
  <c r="J20" i="32"/>
  <c r="H60" i="32"/>
  <c r="G60" i="32"/>
  <c r="L19" i="32"/>
  <c r="J19" i="32"/>
  <c r="K59" i="32"/>
  <c r="H59" i="32"/>
  <c r="G59" i="32"/>
  <c r="J18" i="32"/>
  <c r="K58" i="32"/>
  <c r="G58" i="32"/>
  <c r="N58" i="32" s="1"/>
  <c r="J17" i="32"/>
  <c r="K57" i="32"/>
  <c r="G57" i="32"/>
  <c r="N57" i="32" s="1"/>
  <c r="J16" i="32"/>
  <c r="K56" i="32"/>
  <c r="G56" i="32"/>
  <c r="F56" i="32"/>
  <c r="K15" i="32"/>
  <c r="J15" i="32"/>
  <c r="F55" i="32"/>
  <c r="N55" i="32" s="1"/>
  <c r="J14" i="32"/>
  <c r="K54" i="32"/>
  <c r="F54" i="32"/>
  <c r="N54" i="32" s="1"/>
  <c r="L13" i="32"/>
  <c r="J13" i="32"/>
  <c r="K53" i="32"/>
  <c r="H53" i="32"/>
  <c r="G53" i="32"/>
  <c r="L12" i="32"/>
  <c r="J12" i="32"/>
  <c r="H52" i="32"/>
  <c r="G52" i="32"/>
  <c r="J11" i="32"/>
  <c r="E22" i="32"/>
  <c r="C22" i="32"/>
  <c r="F17" i="32"/>
  <c r="G17" i="32" s="1"/>
  <c r="H17" i="32" s="1"/>
  <c r="C17" i="32"/>
  <c r="F16" i="32"/>
  <c r="G16" i="32" s="1"/>
  <c r="C16" i="32"/>
  <c r="G18" i="32"/>
  <c r="G19" i="32"/>
  <c r="G20" i="32"/>
  <c r="G21" i="32"/>
  <c r="G22" i="32"/>
  <c r="F15" i="32"/>
  <c r="C15" i="32"/>
  <c r="F14" i="32"/>
  <c r="E14" i="32"/>
  <c r="C14" i="32"/>
  <c r="C11" i="32"/>
  <c r="F11" i="32"/>
  <c r="G11" i="32" s="1"/>
  <c r="N56" i="32" l="1"/>
  <c r="N62" i="32"/>
  <c r="N52" i="32"/>
  <c r="N53" i="32"/>
  <c r="N60" i="32"/>
  <c r="N59" i="32"/>
  <c r="N61" i="32"/>
  <c r="I17" i="32"/>
  <c r="H65" i="32"/>
  <c r="G65" i="32"/>
  <c r="F65" i="32"/>
  <c r="E62" i="32"/>
  <c r="D62" i="32"/>
  <c r="C62" i="32"/>
  <c r="C61" i="32"/>
  <c r="E60" i="32"/>
  <c r="D60" i="32"/>
  <c r="C60" i="32"/>
  <c r="E59" i="32"/>
  <c r="D59" i="32"/>
  <c r="C59" i="32"/>
  <c r="E58" i="32"/>
  <c r="D58" i="32"/>
  <c r="C58" i="32"/>
  <c r="E57" i="32"/>
  <c r="D57" i="32"/>
  <c r="C57" i="32"/>
  <c r="D56" i="32"/>
  <c r="C56" i="32"/>
  <c r="C55" i="32"/>
  <c r="C54" i="32"/>
  <c r="C53" i="32"/>
  <c r="J65" i="32"/>
  <c r="C52" i="32"/>
  <c r="AB46" i="32"/>
  <c r="W46" i="32"/>
  <c r="O46" i="32"/>
  <c r="N46" i="32"/>
  <c r="M46" i="32"/>
  <c r="K46" i="32"/>
  <c r="J46" i="32"/>
  <c r="I46" i="32"/>
  <c r="F46" i="32"/>
  <c r="E46" i="32"/>
  <c r="D46" i="32"/>
  <c r="C46" i="32"/>
  <c r="AD44" i="32"/>
  <c r="AC44" i="32"/>
  <c r="Z44" i="32"/>
  <c r="Y44" i="32"/>
  <c r="X44" i="32"/>
  <c r="T44" i="32"/>
  <c r="S44" i="32"/>
  <c r="R44" i="32"/>
  <c r="P44" i="32"/>
  <c r="AE44" i="32" s="1"/>
  <c r="L44" i="32"/>
  <c r="G44" i="32"/>
  <c r="H44" i="32" s="1"/>
  <c r="AD43" i="32"/>
  <c r="AC43" i="32"/>
  <c r="Z43" i="32"/>
  <c r="Y43" i="32"/>
  <c r="X43" i="32"/>
  <c r="T43" i="32"/>
  <c r="S43" i="32"/>
  <c r="R43" i="32"/>
  <c r="P43" i="32"/>
  <c r="U43" i="32" s="1"/>
  <c r="L43" i="32"/>
  <c r="G43" i="32"/>
  <c r="AD42" i="32"/>
  <c r="AC42" i="32"/>
  <c r="Z42" i="32"/>
  <c r="Y42" i="32"/>
  <c r="X42" i="32"/>
  <c r="T42" i="32"/>
  <c r="S42" i="32"/>
  <c r="R42" i="32"/>
  <c r="P42" i="32"/>
  <c r="L42" i="32"/>
  <c r="G42" i="32"/>
  <c r="H42" i="32" s="1"/>
  <c r="AD41" i="32"/>
  <c r="AC41" i="32"/>
  <c r="Z41" i="32"/>
  <c r="Y41" i="32"/>
  <c r="X41" i="32"/>
  <c r="T41" i="32"/>
  <c r="S41" i="32"/>
  <c r="R41" i="32"/>
  <c r="P41" i="32"/>
  <c r="U41" i="32" s="1"/>
  <c r="L41" i="32"/>
  <c r="G41" i="32"/>
  <c r="H41" i="32" s="1"/>
  <c r="AD40" i="32"/>
  <c r="AC40" i="32"/>
  <c r="Z40" i="32"/>
  <c r="Y40" i="32"/>
  <c r="X40" i="32"/>
  <c r="T40" i="32"/>
  <c r="S40" i="32"/>
  <c r="R40" i="32"/>
  <c r="P40" i="32"/>
  <c r="L40" i="32"/>
  <c r="G40" i="32"/>
  <c r="H40" i="32" s="1"/>
  <c r="AD39" i="32"/>
  <c r="AC39" i="32"/>
  <c r="Z39" i="32"/>
  <c r="Y39" i="32"/>
  <c r="X39" i="32"/>
  <c r="T39" i="32"/>
  <c r="S39" i="32"/>
  <c r="R39" i="32"/>
  <c r="P39" i="32"/>
  <c r="AE39" i="32" s="1"/>
  <c r="L39" i="32"/>
  <c r="G39" i="32"/>
  <c r="H39" i="32" s="1"/>
  <c r="AD38" i="32"/>
  <c r="AC38" i="32"/>
  <c r="Z38" i="32"/>
  <c r="Y38" i="32"/>
  <c r="X38" i="32"/>
  <c r="T38" i="32"/>
  <c r="S38" i="32"/>
  <c r="R38" i="32"/>
  <c r="P38" i="32"/>
  <c r="L38" i="32"/>
  <c r="G38" i="32"/>
  <c r="H38" i="32" s="1"/>
  <c r="AD37" i="32"/>
  <c r="AC37" i="32"/>
  <c r="Z37" i="32"/>
  <c r="Y37" i="32"/>
  <c r="X37" i="32"/>
  <c r="T37" i="32"/>
  <c r="S37" i="32"/>
  <c r="R37" i="32"/>
  <c r="P37" i="32"/>
  <c r="AE37" i="32" s="1"/>
  <c r="L37" i="32"/>
  <c r="G37" i="32"/>
  <c r="H37" i="32" s="1"/>
  <c r="AD36" i="32"/>
  <c r="AC36" i="32"/>
  <c r="Z36" i="32"/>
  <c r="Y36" i="32"/>
  <c r="X36" i="32"/>
  <c r="T36" i="32"/>
  <c r="S36" i="32"/>
  <c r="R36" i="32"/>
  <c r="P36" i="32"/>
  <c r="L36" i="32"/>
  <c r="G36" i="32"/>
  <c r="H36" i="32" s="1"/>
  <c r="AD35" i="32"/>
  <c r="AC35" i="32"/>
  <c r="Z35" i="32"/>
  <c r="Y35" i="32"/>
  <c r="X35" i="32"/>
  <c r="T35" i="32"/>
  <c r="S35" i="32"/>
  <c r="R35" i="32"/>
  <c r="P35" i="32"/>
  <c r="U35" i="32" s="1"/>
  <c r="L35" i="32"/>
  <c r="G35" i="32"/>
  <c r="H35" i="32" s="1"/>
  <c r="AD34" i="32"/>
  <c r="AC34" i="32"/>
  <c r="Z34" i="32"/>
  <c r="Y34" i="32"/>
  <c r="X34" i="32"/>
  <c r="T34" i="32"/>
  <c r="S34" i="32"/>
  <c r="R34" i="32"/>
  <c r="P34" i="32"/>
  <c r="L34" i="32"/>
  <c r="G34" i="32"/>
  <c r="H34" i="32" s="1"/>
  <c r="AD33" i="32"/>
  <c r="AC33" i="32"/>
  <c r="Z33" i="32"/>
  <c r="Y33" i="32"/>
  <c r="X33" i="32"/>
  <c r="T33" i="32"/>
  <c r="S33" i="32"/>
  <c r="R33" i="32"/>
  <c r="P33" i="32"/>
  <c r="U33" i="32" s="1"/>
  <c r="L33" i="32"/>
  <c r="G33" i="32"/>
  <c r="H33" i="32" s="1"/>
  <c r="K24" i="32"/>
  <c r="D24" i="32"/>
  <c r="R22" i="32"/>
  <c r="P22" i="32"/>
  <c r="M22" i="32"/>
  <c r="J24" i="32"/>
  <c r="D63" i="32"/>
  <c r="D67" i="32" s="1"/>
  <c r="R21" i="32"/>
  <c r="Q21" i="32"/>
  <c r="P21" i="32"/>
  <c r="M21" i="32"/>
  <c r="N21" i="32" s="1"/>
  <c r="O21" i="32" s="1"/>
  <c r="H21" i="32"/>
  <c r="I21" i="32" s="1"/>
  <c r="Q20" i="32"/>
  <c r="M20" i="32"/>
  <c r="N20" i="32" s="1"/>
  <c r="O20" i="32" s="1"/>
  <c r="E61" i="32"/>
  <c r="R19" i="32"/>
  <c r="Q19" i="32"/>
  <c r="P19" i="32"/>
  <c r="M19" i="32"/>
  <c r="H19" i="32"/>
  <c r="I19" i="32" s="1"/>
  <c r="R18" i="32"/>
  <c r="Q18" i="32"/>
  <c r="P18" i="32"/>
  <c r="M18" i="32"/>
  <c r="N18" i="32" s="1"/>
  <c r="O18" i="32" s="1"/>
  <c r="H18" i="32"/>
  <c r="I18" i="32" s="1"/>
  <c r="R17" i="32"/>
  <c r="Q17" i="32"/>
  <c r="P17" i="32"/>
  <c r="O17" i="32"/>
  <c r="M17" i="32"/>
  <c r="R16" i="32"/>
  <c r="Q16" i="32"/>
  <c r="P16" i="32"/>
  <c r="M16" i="32"/>
  <c r="N16" i="32" s="1"/>
  <c r="O16" i="32" s="1"/>
  <c r="H16" i="32"/>
  <c r="I16" i="32" s="1"/>
  <c r="R15" i="32"/>
  <c r="Q15" i="32"/>
  <c r="M15" i="32"/>
  <c r="G15" i="32"/>
  <c r="H15" i="32" s="1"/>
  <c r="I15" i="32" s="1"/>
  <c r="P15" i="32"/>
  <c r="Q14" i="32"/>
  <c r="M14" i="32"/>
  <c r="D55" i="32"/>
  <c r="R13" i="32"/>
  <c r="Q13" i="32"/>
  <c r="P13" i="32"/>
  <c r="M13" i="32"/>
  <c r="G13" i="32"/>
  <c r="D54" i="32"/>
  <c r="Q12" i="32"/>
  <c r="M12" i="32"/>
  <c r="N12" i="32" s="1"/>
  <c r="O12" i="32" s="1"/>
  <c r="P12" i="32"/>
  <c r="Q11" i="32"/>
  <c r="P11" i="32"/>
  <c r="M11" i="32"/>
  <c r="H11" i="32"/>
  <c r="I11" i="32" s="1"/>
  <c r="D52" i="32"/>
  <c r="AA38" i="32" l="1"/>
  <c r="AA33" i="32"/>
  <c r="Q43" i="32"/>
  <c r="AF43" i="32" s="1"/>
  <c r="AA41" i="32"/>
  <c r="AA43" i="32"/>
  <c r="AD46" i="32"/>
  <c r="L62" i="32"/>
  <c r="R46" i="32"/>
  <c r="Z46" i="32"/>
  <c r="AA36" i="32"/>
  <c r="AA34" i="32"/>
  <c r="Q35" i="32"/>
  <c r="AF35" i="32" s="1"/>
  <c r="L58" i="32"/>
  <c r="AA35" i="32"/>
  <c r="AA42" i="32"/>
  <c r="N22" i="32"/>
  <c r="O22" i="32" s="1"/>
  <c r="S17" i="32"/>
  <c r="S18" i="32"/>
  <c r="Q22" i="32"/>
  <c r="Q24" i="32" s="1"/>
  <c r="AA44" i="32"/>
  <c r="AE33" i="32"/>
  <c r="AE35" i="32"/>
  <c r="AA40" i="32"/>
  <c r="AE41" i="32"/>
  <c r="AE43" i="32"/>
  <c r="Q33" i="32"/>
  <c r="AF33" i="32" s="1"/>
  <c r="AA37" i="32"/>
  <c r="AA39" i="32"/>
  <c r="Q41" i="32"/>
  <c r="AF41" i="32" s="1"/>
  <c r="N19" i="32"/>
  <c r="O19" i="32" s="1"/>
  <c r="S21" i="32"/>
  <c r="S46" i="32"/>
  <c r="K65" i="32"/>
  <c r="F69" i="32" s="1"/>
  <c r="N15" i="32"/>
  <c r="O15" i="32" s="1"/>
  <c r="N13" i="32"/>
  <c r="O13" i="32" s="1"/>
  <c r="S11" i="32"/>
  <c r="L57" i="32"/>
  <c r="L60" i="32"/>
  <c r="S13" i="32"/>
  <c r="P14" i="32"/>
  <c r="AE42" i="32"/>
  <c r="U42" i="32"/>
  <c r="Q42" i="32"/>
  <c r="G46" i="32"/>
  <c r="G12" i="32"/>
  <c r="H12" i="32" s="1"/>
  <c r="I12" i="32" s="1"/>
  <c r="D53" i="32"/>
  <c r="N14" i="32"/>
  <c r="O14" i="32" s="1"/>
  <c r="AC46" i="32"/>
  <c r="X46" i="32"/>
  <c r="AE36" i="32"/>
  <c r="U36" i="32"/>
  <c r="Q36" i="32"/>
  <c r="Q37" i="32"/>
  <c r="AF37" i="32" s="1"/>
  <c r="U37" i="32"/>
  <c r="H43" i="32"/>
  <c r="L59" i="32"/>
  <c r="P20" i="32"/>
  <c r="S22" i="32"/>
  <c r="C24" i="32"/>
  <c r="M24" i="32"/>
  <c r="AE34" i="32"/>
  <c r="U34" i="32"/>
  <c r="Q34" i="32"/>
  <c r="R12" i="32"/>
  <c r="H13" i="32"/>
  <c r="I13" i="32" s="1"/>
  <c r="R20" i="32"/>
  <c r="F24" i="32"/>
  <c r="R11" i="32"/>
  <c r="N11" i="32"/>
  <c r="G14" i="32"/>
  <c r="H14" i="32" s="1"/>
  <c r="I14" i="32" s="1"/>
  <c r="R14" i="32"/>
  <c r="E56" i="32"/>
  <c r="L56" i="32" s="1"/>
  <c r="S15" i="32"/>
  <c r="H20" i="32"/>
  <c r="I20" i="32" s="1"/>
  <c r="S20" i="32"/>
  <c r="H22" i="32"/>
  <c r="I22" i="32" s="1"/>
  <c r="C63" i="32"/>
  <c r="E24" i="32"/>
  <c r="P46" i="32"/>
  <c r="T46" i="32"/>
  <c r="Y46" i="32"/>
  <c r="AE38" i="32"/>
  <c r="U38" i="32"/>
  <c r="Q38" i="32"/>
  <c r="AF38" i="32" s="1"/>
  <c r="Q39" i="32"/>
  <c r="AF39" i="32" s="1"/>
  <c r="U39" i="32"/>
  <c r="E52" i="32"/>
  <c r="L52" i="32" s="1"/>
  <c r="E54" i="32"/>
  <c r="L54" i="32" s="1"/>
  <c r="D61" i="32"/>
  <c r="L61" i="32" s="1"/>
  <c r="E63" i="32"/>
  <c r="E67" i="32" s="1"/>
  <c r="S16" i="32"/>
  <c r="S19" i="32"/>
  <c r="L24" i="32"/>
  <c r="L46" i="32"/>
  <c r="AE40" i="32"/>
  <c r="U40" i="32"/>
  <c r="Q40" i="32"/>
  <c r="AF40" i="32" s="1"/>
  <c r="I65" i="32"/>
  <c r="Q44" i="32"/>
  <c r="U44" i="32"/>
  <c r="C68" i="32" l="1"/>
  <c r="V33" i="32"/>
  <c r="C26" i="32"/>
  <c r="C29" i="32"/>
  <c r="V43" i="32"/>
  <c r="V35" i="32"/>
  <c r="H46" i="32"/>
  <c r="V41" i="32"/>
  <c r="AA46" i="32"/>
  <c r="V38" i="32"/>
  <c r="U46" i="32"/>
  <c r="AE46" i="32"/>
  <c r="P24" i="32"/>
  <c r="L63" i="32"/>
  <c r="H24" i="32"/>
  <c r="AF34" i="32"/>
  <c r="V34" i="32"/>
  <c r="AF42" i="32"/>
  <c r="V42" i="32"/>
  <c r="AF44" i="32"/>
  <c r="V44" i="32"/>
  <c r="Q46" i="32"/>
  <c r="V36" i="32"/>
  <c r="AF36" i="32"/>
  <c r="E53" i="32"/>
  <c r="L53" i="32" s="1"/>
  <c r="S12" i="32"/>
  <c r="G24" i="32"/>
  <c r="S14" i="32"/>
  <c r="E55" i="32"/>
  <c r="L55" i="32" s="1"/>
  <c r="N24" i="32"/>
  <c r="O11" i="32"/>
  <c r="O24" i="32" s="1"/>
  <c r="I24" i="32"/>
  <c r="V40" i="32"/>
  <c r="C65" i="32"/>
  <c r="V37" i="32"/>
  <c r="R24" i="32"/>
  <c r="D65" i="32"/>
  <c r="V39" i="32"/>
  <c r="T21" i="31" l="1"/>
  <c r="T22" i="31" s="1"/>
  <c r="J26" i="32"/>
  <c r="C28" i="32"/>
  <c r="L65" i="32"/>
  <c r="E65" i="32"/>
  <c r="E69" i="32" s="1"/>
  <c r="F70" i="32" s="1"/>
  <c r="V46" i="32"/>
  <c r="AF46" i="32"/>
  <c r="S24" i="32"/>
  <c r="T7" i="31" l="1"/>
  <c r="G34" i="31"/>
  <c r="D34" i="27" s="1"/>
  <c r="F34" i="31"/>
  <c r="C34" i="27" s="1"/>
  <c r="C35" i="27" s="1"/>
  <c r="G27" i="31"/>
  <c r="C35" i="33" s="1"/>
  <c r="F27" i="31"/>
  <c r="B8" i="31"/>
  <c r="B9" i="31" s="1"/>
  <c r="B10" i="31" s="1"/>
  <c r="B11" i="31" s="1"/>
  <c r="B12" i="31" s="1"/>
  <c r="B13" i="31" s="1"/>
  <c r="B14" i="31" s="1"/>
  <c r="B15" i="31" s="1"/>
  <c r="B16" i="31" s="1"/>
  <c r="B17" i="31" s="1"/>
  <c r="B18" i="31" s="1"/>
  <c r="B19" i="31" s="1"/>
  <c r="T8" i="31" l="1"/>
  <c r="C17" i="4" l="1"/>
  <c r="T20" i="31" l="1"/>
  <c r="N23" i="31" s="1"/>
  <c r="E40" i="22" l="1"/>
  <c r="E42" i="22" s="1"/>
  <c r="D121" i="28"/>
  <c r="H83" i="24" l="1"/>
  <c r="G84" i="24" s="1"/>
  <c r="F76" i="24"/>
  <c r="I74" i="24"/>
  <c r="F79" i="24"/>
  <c r="G73" i="24" s="1"/>
  <c r="F81" i="24"/>
  <c r="E28" i="22" l="1"/>
  <c r="G78" i="24"/>
  <c r="I75" i="24"/>
  <c r="G76" i="24"/>
  <c r="H76" i="24" s="1"/>
  <c r="J11" i="8" l="1"/>
  <c r="K11" i="8" s="1"/>
  <c r="A63" i="11" l="1"/>
  <c r="A59" i="22"/>
  <c r="A46" i="4"/>
  <c r="B2" i="6"/>
  <c r="A2" i="4"/>
  <c r="A2" i="22" s="1"/>
  <c r="A3" i="7"/>
  <c r="A3" i="8" s="1"/>
  <c r="A3" i="9" s="1"/>
  <c r="A3" i="10" s="1"/>
  <c r="A3" i="11" s="1"/>
  <c r="A60" i="11"/>
  <c r="E56" i="11"/>
  <c r="A56" i="11"/>
  <c r="C56" i="22"/>
  <c r="B43" i="4"/>
  <c r="A43" i="4"/>
  <c r="A56" i="22" s="1"/>
  <c r="B37" i="4"/>
  <c r="A37" i="4"/>
  <c r="A50" i="22" s="1"/>
  <c r="A61" i="22"/>
  <c r="E14" i="19"/>
  <c r="C8" i="19" l="1"/>
  <c r="E22" i="21"/>
  <c r="B22" i="21"/>
  <c r="B27" i="21" s="1"/>
  <c r="C12" i="21"/>
  <c r="D9" i="21"/>
  <c r="D22" i="21" s="1"/>
  <c r="C7" i="21"/>
  <c r="C22" i="21" l="1"/>
  <c r="D25" i="21" s="1"/>
  <c r="C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7" i="20"/>
  <c r="F6" i="20"/>
  <c r="F5" i="20"/>
  <c r="F4" i="20"/>
  <c r="F3" i="20"/>
  <c r="E25" i="21" l="1"/>
  <c r="F19" i="19" l="1"/>
  <c r="C98" i="10" l="1"/>
  <c r="C32" i="3" l="1"/>
  <c r="F82" i="24" l="1"/>
  <c r="C14" i="9"/>
  <c r="D32" i="3" s="1"/>
  <c r="D37" i="3" l="1"/>
  <c r="E14" i="22"/>
  <c r="C14" i="4"/>
  <c r="L19" i="8"/>
  <c r="L20" i="8" s="1"/>
  <c r="D27" i="3" s="1"/>
  <c r="L16" i="8"/>
  <c r="L15" i="8"/>
  <c r="L14" i="8"/>
  <c r="L13" i="8"/>
  <c r="J19" i="8"/>
  <c r="J16" i="8"/>
  <c r="J15" i="8"/>
  <c r="J14" i="8"/>
  <c r="J13" i="8"/>
  <c r="K13" i="8" s="1"/>
  <c r="J12" i="8"/>
  <c r="K12" i="8" s="1"/>
  <c r="F19" i="8"/>
  <c r="F20" i="8" s="1"/>
  <c r="F16" i="8"/>
  <c r="F15" i="8"/>
  <c r="F14" i="8"/>
  <c r="I20" i="8"/>
  <c r="I22" i="8" s="1"/>
  <c r="G20" i="8"/>
  <c r="G22" i="8" s="1"/>
  <c r="E20" i="8"/>
  <c r="B221" i="16"/>
  <c r="B214" i="16"/>
  <c r="C43" i="9"/>
  <c r="F43" i="9"/>
  <c r="E43" i="9"/>
  <c r="D43" i="9"/>
  <c r="G42" i="9"/>
  <c r="G41" i="9"/>
  <c r="G39" i="9"/>
  <c r="G31" i="9"/>
  <c r="G30" i="9"/>
  <c r="G28" i="9"/>
  <c r="F32" i="9"/>
  <c r="E32" i="9"/>
  <c r="C21" i="9"/>
  <c r="D33" i="3" s="1"/>
  <c r="E116" i="7"/>
  <c r="D18" i="3" s="1"/>
  <c r="D20" i="3" l="1"/>
  <c r="D4" i="19" s="1"/>
  <c r="E21" i="22"/>
  <c r="K16" i="8"/>
  <c r="K15" i="8"/>
  <c r="K14" i="8"/>
  <c r="G32" i="9"/>
  <c r="B34" i="27"/>
  <c r="B35" i="27" s="1"/>
  <c r="C24" i="19"/>
  <c r="D24" i="19"/>
  <c r="J20" i="8"/>
  <c r="K19" i="8"/>
  <c r="K20" i="8" s="1"/>
  <c r="C27" i="3" s="1"/>
  <c r="C13" i="4"/>
  <c r="C8" i="4"/>
  <c r="K22" i="8" l="1"/>
  <c r="C23" i="19"/>
  <c r="B43" i="9"/>
  <c r="G38" i="9"/>
  <c r="G43" i="9" s="1"/>
  <c r="D13" i="4"/>
  <c r="C26" i="3" l="1"/>
  <c r="D8" i="4"/>
  <c r="C33" i="19"/>
  <c r="C40" i="19" s="1"/>
  <c r="C25" i="19"/>
  <c r="D46" i="11" s="1"/>
  <c r="C251" i="16"/>
  <c r="B251" i="16"/>
  <c r="E32" i="7"/>
  <c r="E31" i="7"/>
  <c r="E30" i="7"/>
  <c r="E29" i="7"/>
  <c r="E28" i="7"/>
  <c r="H9" i="11"/>
  <c r="C92" i="10"/>
  <c r="D17" i="4" s="1"/>
  <c r="B87" i="10"/>
  <c r="D14" i="4"/>
  <c r="D9" i="4"/>
  <c r="E17" i="8"/>
  <c r="E22" i="8" s="1"/>
  <c r="J17" i="8"/>
  <c r="J22" i="8" s="1"/>
  <c r="H17" i="8"/>
  <c r="H22" i="8" s="1"/>
  <c r="L17" i="8"/>
  <c r="L22" i="8" s="1"/>
  <c r="C13" i="3"/>
  <c r="E32" i="22" s="1"/>
  <c r="D48" i="7"/>
  <c r="D25" i="7"/>
  <c r="D37" i="7" s="1"/>
  <c r="B25" i="7"/>
  <c r="B37" i="7" s="1"/>
  <c r="D19" i="7"/>
  <c r="E18" i="7"/>
  <c r="E19" i="7" s="1"/>
  <c r="A2" i="7"/>
  <c r="A2" i="8" s="1"/>
  <c r="A2" i="9" s="1"/>
  <c r="A2" i="10" s="1"/>
  <c r="A2" i="11" s="1"/>
  <c r="A1" i="4"/>
  <c r="B1" i="6" s="1"/>
  <c r="D26" i="3" l="1"/>
  <c r="E26" i="22"/>
  <c r="E33" i="7"/>
  <c r="C14" i="19"/>
  <c r="D18" i="4"/>
  <c r="E33" i="22"/>
  <c r="D33" i="4"/>
  <c r="C252" i="16"/>
  <c r="D10" i="4"/>
  <c r="D23" i="19"/>
  <c r="E23" i="19"/>
  <c r="E33" i="19" s="1"/>
  <c r="E40" i="19" s="1"/>
  <c r="A1" i="8"/>
  <c r="A1" i="9" s="1"/>
  <c r="A1" i="10" s="1"/>
  <c r="A1" i="11" s="1"/>
  <c r="A1" i="7"/>
  <c r="E8" i="19"/>
  <c r="B18" i="7"/>
  <c r="C32" i="7" s="1"/>
  <c r="E43" i="7"/>
  <c r="E40" i="7"/>
  <c r="E42" i="7"/>
  <c r="E41" i="7"/>
  <c r="C67" i="9"/>
  <c r="D36" i="3" s="1"/>
  <c r="C9" i="9"/>
  <c r="D29" i="3" s="1"/>
  <c r="B9" i="9"/>
  <c r="C29" i="3" s="1"/>
  <c r="C30" i="3" s="1"/>
  <c r="C36" i="3"/>
  <c r="E15" i="22" s="1"/>
  <c r="B79" i="10" l="1"/>
  <c r="D30" i="3"/>
  <c r="D38" i="3" s="1"/>
  <c r="E18" i="22"/>
  <c r="E44" i="7"/>
  <c r="E29" i="22"/>
  <c r="I39" i="8"/>
  <c r="I42" i="8" s="1"/>
  <c r="D19" i="4"/>
  <c r="B19" i="7"/>
  <c r="C33" i="4" s="1"/>
  <c r="E24" i="19"/>
  <c r="E25" i="19" s="1"/>
  <c r="C31" i="7"/>
  <c r="C28" i="7"/>
  <c r="C29" i="7"/>
  <c r="C18" i="7"/>
  <c r="C19" i="7" s="1"/>
  <c r="C30" i="7"/>
  <c r="E4" i="19"/>
  <c r="C35" i="3"/>
  <c r="C10" i="4"/>
  <c r="H80" i="24"/>
  <c r="F17" i="8"/>
  <c r="H79" i="24"/>
  <c r="D33" i="19"/>
  <c r="D40" i="19" s="1"/>
  <c r="C34" i="3"/>
  <c r="G39" i="8" l="1"/>
  <c r="K39" i="8" s="1"/>
  <c r="F22" i="8"/>
  <c r="E9" i="22"/>
  <c r="C7" i="44"/>
  <c r="C8" i="44" s="1"/>
  <c r="C10" i="44" s="1"/>
  <c r="C18" i="4"/>
  <c r="C33" i="7"/>
  <c r="C38" i="3"/>
  <c r="E16" i="22"/>
  <c r="D28" i="4"/>
  <c r="D31" i="4" s="1"/>
  <c r="F7" i="22"/>
  <c r="F11" i="22" s="1"/>
  <c r="F22" i="22" s="1"/>
  <c r="F24" i="22" s="1"/>
  <c r="F34" i="22" s="1"/>
  <c r="F36" i="22" s="1"/>
  <c r="E3" i="19"/>
  <c r="E5" i="19" s="1"/>
  <c r="B10" i="34"/>
  <c r="B13" i="34" s="1"/>
  <c r="B13" i="33"/>
  <c r="B80" i="10"/>
  <c r="D13" i="19"/>
  <c r="D44" i="19"/>
  <c r="C43" i="7"/>
  <c r="C42" i="7"/>
  <c r="C41" i="7"/>
  <c r="C40" i="7"/>
  <c r="C44" i="7" s="1"/>
  <c r="D3" i="19"/>
  <c r="H81" i="24"/>
  <c r="F80" i="24"/>
  <c r="G79" i="24" s="1"/>
  <c r="G74" i="24" s="1"/>
  <c r="H74" i="24" s="1"/>
  <c r="E44" i="19"/>
  <c r="E13" i="19"/>
  <c r="E15" i="19" s="1"/>
  <c r="D25" i="19"/>
  <c r="D73" i="7" l="1"/>
  <c r="D74" i="7" s="1"/>
  <c r="C14" i="3" s="1"/>
  <c r="C15" i="3" s="1"/>
  <c r="E34" i="19"/>
  <c r="E35" i="19" s="1"/>
  <c r="E35" i="22"/>
  <c r="H42" i="22"/>
  <c r="C10" i="34"/>
  <c r="E56" i="7"/>
  <c r="E58" i="7" s="1"/>
  <c r="E60" i="7" s="1"/>
  <c r="E62" i="7" s="1"/>
  <c r="D18" i="19"/>
  <c r="C3" i="19"/>
  <c r="D34" i="19"/>
  <c r="D5" i="19"/>
  <c r="H7" i="11"/>
  <c r="H12" i="11" s="1"/>
  <c r="E18" i="19"/>
  <c r="E39" i="19" s="1"/>
  <c r="E41" i="19" s="1"/>
  <c r="C23" i="4" l="1"/>
  <c r="D10" i="3"/>
  <c r="D11" i="3" s="1"/>
  <c r="D21" i="3" s="1"/>
  <c r="G3" i="3" s="1"/>
  <c r="D55" i="7"/>
  <c r="C44" i="19"/>
  <c r="B8" i="33"/>
  <c r="B14" i="33" s="1"/>
  <c r="C17" i="33" s="1"/>
  <c r="C21" i="33" s="1"/>
  <c r="E7" i="22"/>
  <c r="E11" i="22" s="1"/>
  <c r="C13" i="19"/>
  <c r="C15" i="19" s="1"/>
  <c r="D15" i="19"/>
  <c r="C26" i="4" l="1"/>
  <c r="C28" i="4" s="1"/>
  <c r="C18" i="19" s="1"/>
  <c r="C39" i="19" s="1"/>
  <c r="C41" i="19" s="1"/>
  <c r="D49" i="11" s="1"/>
  <c r="B14" i="34"/>
  <c r="D9" i="19"/>
  <c r="D10" i="19" s="1"/>
  <c r="D45" i="19"/>
  <c r="E9" i="19"/>
  <c r="E10" i="19" s="1"/>
  <c r="C31" i="4" l="1"/>
  <c r="D56" i="7"/>
  <c r="D58" i="7" s="1"/>
  <c r="D60" i="7" s="1"/>
  <c r="D62" i="7" s="1"/>
  <c r="C10" i="3" s="1"/>
  <c r="C11" i="3" s="1"/>
  <c r="C6" i="34"/>
  <c r="C11" i="34" s="1"/>
  <c r="C20" i="34" s="1"/>
  <c r="C21" i="34" s="1"/>
  <c r="C23" i="33"/>
  <c r="E45" i="19"/>
  <c r="E46" i="19" s="1"/>
  <c r="E19" i="19"/>
  <c r="E20" i="19" s="1"/>
  <c r="C22" i="34" l="1"/>
  <c r="C23" i="34" s="1"/>
  <c r="C30" i="33" s="1"/>
  <c r="C45" i="19"/>
  <c r="C25" i="33"/>
  <c r="C26" i="33" s="1"/>
  <c r="C27" i="33" s="1"/>
  <c r="D121" i="7"/>
  <c r="C19" i="3"/>
  <c r="E19" i="22" s="1"/>
  <c r="E22" i="22" s="1"/>
  <c r="D39" i="19"/>
  <c r="D41" i="19" s="1"/>
  <c r="G7" i="11"/>
  <c r="G12" i="11" s="1"/>
  <c r="C28" i="33" l="1"/>
  <c r="C29" i="33" s="1"/>
  <c r="C31" i="33" s="1"/>
  <c r="C33" i="33" s="1"/>
  <c r="C20" i="3"/>
  <c r="C21" i="3" s="1"/>
  <c r="F3" i="3" s="1"/>
  <c r="C37" i="33" l="1"/>
  <c r="B40" i="33" s="1"/>
  <c r="E24" i="22"/>
  <c r="E34" i="22" s="1"/>
  <c r="E36" i="22" s="1"/>
  <c r="G42" i="22" s="1"/>
  <c r="C4" i="19"/>
  <c r="C19" i="19"/>
  <c r="C20" i="19" s="1"/>
  <c r="D44" i="11" s="1"/>
  <c r="D19" i="19"/>
  <c r="C46" i="19"/>
  <c r="D50" i="11" s="1"/>
  <c r="C9" i="19"/>
  <c r="C10" i="19" s="1"/>
  <c r="D42" i="11" s="1"/>
  <c r="D35" i="19"/>
  <c r="C34" i="19" l="1"/>
  <c r="C35" i="19" s="1"/>
  <c r="D48" i="11" s="1"/>
  <c r="C5" i="19"/>
  <c r="D41" i="11" s="1"/>
  <c r="B41" i="33"/>
  <c r="C42" i="33" s="1"/>
  <c r="C43" i="33" s="1"/>
  <c r="C45" i="33" s="1"/>
  <c r="D46" i="19"/>
  <c r="D20"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D38" authorId="0" shapeId="0" xr:uid="{00000000-0006-0000-0200-000001000000}">
      <text>
        <r>
          <rPr>
            <b/>
            <sz val="9"/>
            <color indexed="81"/>
            <rFont val="Tahoma"/>
            <family val="2"/>
          </rPr>
          <t>Admin: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64" authorId="0" shapeId="0" xr:uid="{1C9F51A6-B23E-436E-8C71-32C230D5A8A0}">
      <text>
        <r>
          <rPr>
            <b/>
            <sz val="9"/>
            <color indexed="81"/>
            <rFont val="Tahoma"/>
            <family val="2"/>
          </rPr>
          <t>Author:</t>
        </r>
        <r>
          <rPr>
            <sz val="9"/>
            <color indexed="81"/>
            <rFont val="Tahoma"/>
            <family val="2"/>
          </rPr>
          <t xml:space="preserve">
SINK TYPE TROLLY 4 BIO ANALYTICAL DEPARTMENT WASH ROOM SINK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51" authorId="0" shapeId="0" xr:uid="{00000000-0006-0000-1900-000001000000}">
      <text>
        <r>
          <rPr>
            <b/>
            <sz val="9"/>
            <color indexed="81"/>
            <rFont val="Tahoma"/>
            <family val="2"/>
          </rPr>
          <t>Author:</t>
        </r>
        <r>
          <rPr>
            <sz val="9"/>
            <color indexed="81"/>
            <rFont val="Tahoma"/>
            <family val="2"/>
          </rPr>
          <t xml:space="preserve">
SINK TYPE TROLLY 4 BIO ANALYTICAL DEPARTMENT WASH ROOM SINK
</t>
        </r>
      </text>
    </comment>
  </commentList>
</comments>
</file>

<file path=xl/sharedStrings.xml><?xml version="1.0" encoding="utf-8"?>
<sst xmlns="http://schemas.openxmlformats.org/spreadsheetml/2006/main" count="7994" uniqueCount="1863">
  <si>
    <t>Particulars</t>
  </si>
  <si>
    <t>Depreciation</t>
  </si>
  <si>
    <t>Additions</t>
  </si>
  <si>
    <t>q</t>
  </si>
  <si>
    <t>Notes</t>
  </si>
  <si>
    <t>Equity and liabilities</t>
  </si>
  <si>
    <t>Shareholders' funds</t>
  </si>
  <si>
    <t>Share capital</t>
  </si>
  <si>
    <t>Reserves and surplus</t>
  </si>
  <si>
    <t>Non-Current liabilities</t>
  </si>
  <si>
    <t>Long term borrowings</t>
  </si>
  <si>
    <t>Current liabilities</t>
  </si>
  <si>
    <t>Trade payables</t>
  </si>
  <si>
    <t>Other current liabilities</t>
  </si>
  <si>
    <t>Short term provisions</t>
  </si>
  <si>
    <t>TOTAL</t>
  </si>
  <si>
    <t>Assets</t>
  </si>
  <si>
    <t>Non-current assets</t>
  </si>
  <si>
    <t>Fixed assets</t>
  </si>
  <si>
    <t>Tangible assets</t>
  </si>
  <si>
    <t>Intangible assets</t>
  </si>
  <si>
    <t>Long Term Loans and Advances</t>
  </si>
  <si>
    <t>Current assets</t>
  </si>
  <si>
    <t>Trade receivables</t>
  </si>
  <si>
    <t>Cash and bank balances</t>
  </si>
  <si>
    <t>Short-term loans and advances</t>
  </si>
  <si>
    <t>Other current assets</t>
  </si>
  <si>
    <t>The accompanying notes are an integral part of the financial statements.</t>
  </si>
  <si>
    <t>As per my report of even date.</t>
  </si>
  <si>
    <t>For and on behalf of the Board of Directors</t>
  </si>
  <si>
    <t>Income</t>
  </si>
  <si>
    <t>Revenue from operations (net)</t>
  </si>
  <si>
    <t>Other income</t>
  </si>
  <si>
    <t>Total revenue (i)</t>
  </si>
  <si>
    <t>Expenses</t>
  </si>
  <si>
    <t>Employee benefit expense</t>
  </si>
  <si>
    <t>Other expenses</t>
  </si>
  <si>
    <t>Depreciation and amortisation expense</t>
  </si>
  <si>
    <t>Finance costs</t>
  </si>
  <si>
    <t>Total Expenses(ii)</t>
  </si>
  <si>
    <t>Profit before Tax[(i) - (ii)]</t>
  </si>
  <si>
    <t>Prior period adjustments</t>
  </si>
  <si>
    <t>Tax Expense :</t>
  </si>
  <si>
    <t>Current Tax</t>
  </si>
  <si>
    <t>Deferred Tax Liability/(Asset)</t>
  </si>
  <si>
    <t>Income Tax relating to Prior Year</t>
  </si>
  <si>
    <t>MAT Credit (Entitlement) / Utilisation</t>
  </si>
  <si>
    <t>Profit after Tax</t>
  </si>
  <si>
    <t>Earnings per share</t>
  </si>
  <si>
    <t xml:space="preserve">Basic and diluted </t>
  </si>
  <si>
    <t>Nominal value</t>
  </si>
  <si>
    <t>Weighted average number of equity shares</t>
  </si>
  <si>
    <t>Cash on hand</t>
  </si>
  <si>
    <t>Ref No.</t>
  </si>
  <si>
    <t>Note 1</t>
  </si>
  <si>
    <t>Significant accounting policies</t>
  </si>
  <si>
    <t>AS 1.1</t>
  </si>
  <si>
    <t>a.</t>
  </si>
  <si>
    <t>Basis of preparation of Financial Statements:</t>
  </si>
  <si>
    <t>These financial statements have been prepared under historical cost convention from books of accounts maintained on an accrual basis (unless otherwise stated hereinafter) in conformity with accounting principles generally accepted in India and comply with the Accounting Standards issued by the Institute of Chartered Accountants of India and referred to Sec 129 &amp; 133 of the Companies Act, 2013, of India. The accounting policies applied by the company are consistent with those used in previous year.</t>
  </si>
  <si>
    <t>The  Company  generally  follows  mercantile   system   of   accounting   and   recognises significant items of income and expenditure on accrual basis.</t>
  </si>
  <si>
    <t>b.</t>
  </si>
  <si>
    <t>Use of Estimates:</t>
  </si>
  <si>
    <t>The preparation of financial statements in conformity with Indian GAAP requires the management to make estimates and assumptions that affect the reported amount of assets and liabilities on the date of the financial statements and the reported amount of revenues and expenses during the reporting period. Difference between the actual result and estimates are recognised in the year in which the results are known/ materialised.</t>
  </si>
  <si>
    <t>c.</t>
  </si>
  <si>
    <t>Revenue Recognition:</t>
  </si>
  <si>
    <t>d.</t>
  </si>
  <si>
    <t>Fixed Assets:</t>
  </si>
  <si>
    <t>a. Tangible Assets:</t>
  </si>
  <si>
    <t>Tangible fixed assets are stated at cost less accumulated depreciation/impairment losses, if any. Cost includes original cost of acquisition, including incidental expenses related to such acquisition and installation.</t>
  </si>
  <si>
    <t>b. Intangible Assets:</t>
  </si>
  <si>
    <t>Intangible assets are stated at cost less accumulated depreciation/amortisation, if any.</t>
  </si>
  <si>
    <t>e.</t>
  </si>
  <si>
    <t>Depreciation / Amortisation:</t>
  </si>
  <si>
    <t>Depreciation has been provided based on life assigned to each asset in accordance with Schedule II of the Companies Act, 2013.</t>
  </si>
  <si>
    <t>f.</t>
  </si>
  <si>
    <t>Investments:</t>
  </si>
  <si>
    <t>Investments are classified as long term investments and current investments. Quoted and Unquoted Current Investments are valued at cost.</t>
  </si>
  <si>
    <t>g.</t>
  </si>
  <si>
    <t>Borrowing Costs:</t>
  </si>
  <si>
    <t>All borrowing costs are charged to the statement of Profit and Loss under the head "Finance Costs".</t>
  </si>
  <si>
    <t>h.</t>
  </si>
  <si>
    <t>Employee Benefits:</t>
  </si>
  <si>
    <t>AS 6.29
AS 26.63
AS 26.78
AS 26.90.a
AS 26.90.b
AS 26.94.a</t>
  </si>
  <si>
    <t xml:space="preserve">The Company's contribution to Provident Fund is charged to the Statement of Profit and Loss. </t>
  </si>
  <si>
    <t>i.</t>
  </si>
  <si>
    <t>Taxes on Income:</t>
  </si>
  <si>
    <t>Current tax is determined as the tax payable in respect of taxable income for the year and is computed in accordance with relevant tax regulations.</t>
  </si>
  <si>
    <t xml:space="preserve">Deferred tax is recognised, subject to consideration of prudence, on timing differences, being  the difference between taxable income and accounting income that originate in one period and are capable of reversal in one or more subsequent periods. </t>
  </si>
  <si>
    <t>j.</t>
  </si>
  <si>
    <t>Provisions and Contingent Liabilities :</t>
  </si>
  <si>
    <t>Provisions involving substantial degree of estimation in measurement are recognized when there is a permanent obligation as a result of past events and it is probable that there will be an outflow of resources. Contingent liabilities are not recognised but are disclosed in the notes.</t>
  </si>
  <si>
    <t>k.</t>
  </si>
  <si>
    <t>Earning Per Share</t>
  </si>
  <si>
    <t>Basic earnings per share is calculated by dividing the net profit or loss for the year attributable to equity shareholders by the weighted average number of equity share holders outstanding during the year. The weighted average number of equity shares outstanding during the year is adjusted for events such as bonus issue, bonus elements in a right issue, share split, and reverse share split (consolidation of shares) that have changed the number of equity shares outstanding, without a corresponding change in resources.</t>
  </si>
  <si>
    <t>For the purpose of calculating diluted earnings per share, the net profit or loss for the year attributable to equity shareholders and the weighted average number of shares outstanding during the year are adjusted for the effects of all dilutive potential equity shares.</t>
  </si>
  <si>
    <t>2. Share capital</t>
  </si>
  <si>
    <t>Authorised shares</t>
  </si>
  <si>
    <t>Issued, subscribed and fully paid-up shares</t>
  </si>
  <si>
    <t>Total issued, subscribed and fully paid-up share capital</t>
  </si>
  <si>
    <t>(a) Reconciliation of the equity shares outstanding at the beginning and at the end of the year</t>
  </si>
  <si>
    <t>No's</t>
  </si>
  <si>
    <t>Amount</t>
  </si>
  <si>
    <t>Equity shares of ₹ 10/- each fully paid</t>
  </si>
  <si>
    <t>At the beginning of the year</t>
  </si>
  <si>
    <t>Outstanding at the end of the year</t>
  </si>
  <si>
    <t>(b) Terms/ rights attached to equity shares</t>
  </si>
  <si>
    <t>(c) Details of share holders holding more than 5% shares in the Company</t>
  </si>
  <si>
    <t>Name of the shareholder</t>
  </si>
  <si>
    <t>% holding</t>
  </si>
  <si>
    <t>As per records of the Company, including its register of shareholders/ members and other declarations received from shareholders regarding beneficial interest, the above shareholding represents both legal and beneficial ownerships of shares.</t>
  </si>
  <si>
    <t>(d) Disclosure of Shareholding of Promoters</t>
  </si>
  <si>
    <t>Name of the Promoter</t>
  </si>
  <si>
    <t>No. of shares</t>
  </si>
  <si>
    <t>3. Reserves and surplus</t>
  </si>
  <si>
    <t xml:space="preserve">  Balance as per the last financial statements</t>
  </si>
  <si>
    <t xml:space="preserve">  Closing Balance</t>
  </si>
  <si>
    <t>Surplus in the statement of profit and loss</t>
  </si>
  <si>
    <t>Balance, at the beginning of the year</t>
  </si>
  <si>
    <t>Add: Profit for the Year</t>
  </si>
  <si>
    <t>Net Surplus in the Statement of Profit &amp; Loss</t>
  </si>
  <si>
    <t>Balance, at the end of the year</t>
  </si>
  <si>
    <t>5. Deferred Tax Liability / (Asset)</t>
  </si>
  <si>
    <t>4. Long-Term Borrowings</t>
  </si>
  <si>
    <t>Current Maturities of Long Term Borrowings</t>
  </si>
  <si>
    <t>Outstanding Liabilities for Expenses</t>
  </si>
  <si>
    <t>Statutory dues</t>
  </si>
  <si>
    <t>Provision for Taxation</t>
  </si>
  <si>
    <t>Gross Carrying Value</t>
  </si>
  <si>
    <t>Accumulated Depreciation</t>
  </si>
  <si>
    <t>Net Carrying Value</t>
  </si>
  <si>
    <t>Deletion</t>
  </si>
  <si>
    <t>For the year</t>
  </si>
  <si>
    <t>Furniture &amp; Fixtures</t>
  </si>
  <si>
    <t>Unsecured, considered good</t>
  </si>
  <si>
    <t>Outstanding for a period exceeding six months from the date they are due for payment</t>
  </si>
  <si>
    <t>Other receivables</t>
  </si>
  <si>
    <t>Cash and cash equivalents</t>
  </si>
  <si>
    <t>Balances with banks in current accounts</t>
  </si>
  <si>
    <t>Other Bank Balances</t>
  </si>
  <si>
    <t>Prepaid Expenses</t>
  </si>
  <si>
    <t>Other Advances</t>
  </si>
  <si>
    <t>Other loans and advances</t>
  </si>
  <si>
    <t>Advance tax</t>
  </si>
  <si>
    <t>Balances with statutory/government authorities</t>
  </si>
  <si>
    <t>Interest accrued on fixed deposits</t>
  </si>
  <si>
    <t>Interest income</t>
  </si>
  <si>
    <t>Salaries, wages and bonus</t>
  </si>
  <si>
    <t>Staff welfare expenses</t>
  </si>
  <si>
    <t>Rent</t>
  </si>
  <si>
    <t>Postage &amp; Communication Cost</t>
  </si>
  <si>
    <t>Printing and stationery</t>
  </si>
  <si>
    <t>Travelling and Conveyance</t>
  </si>
  <si>
    <t>Electricity Charges</t>
  </si>
  <si>
    <t>Repairs and maintenance</t>
  </si>
  <si>
    <t>- Office</t>
  </si>
  <si>
    <t>Professional &amp; Consultancy Fees</t>
  </si>
  <si>
    <t>Loss on Sale of Fixed Assets</t>
  </si>
  <si>
    <t>Payment to Auditors*</t>
  </si>
  <si>
    <t>Bad Debts Written Off</t>
  </si>
  <si>
    <t>Miscellaneous expenses</t>
  </si>
  <si>
    <t xml:space="preserve">     * Fees is net of GST which is taken as input tax credit.</t>
  </si>
  <si>
    <t>Short Term Loss on Sale of Investments (Non Derivative Loss)</t>
  </si>
  <si>
    <t>Long term loss on sale of investments</t>
  </si>
  <si>
    <t>Bank &amp; Finance Charges</t>
  </si>
  <si>
    <t>- For Audit fee</t>
  </si>
  <si>
    <t>- For Tax Audit / Certification Fees</t>
  </si>
  <si>
    <t xml:space="preserve">i) Profit after tax </t>
  </si>
  <si>
    <t>Basic &amp; Diluted</t>
  </si>
  <si>
    <t xml:space="preserve">ii) Weighted average number of equity shares of ₹ 10/- each </t>
  </si>
  <si>
    <t xml:space="preserve">    outstanding during the year</t>
  </si>
  <si>
    <t>As per Accounting Standard 18, the disclosures of related parties as defined in the Accounting Standard are given below</t>
  </si>
  <si>
    <t>Subsidiary Company:</t>
  </si>
  <si>
    <t>R.L.P Commodity &amp; Derivatives Private Limited</t>
  </si>
  <si>
    <t>Key Management Personnel:</t>
  </si>
  <si>
    <t>S No</t>
  </si>
  <si>
    <t xml:space="preserve">Name of the Official </t>
  </si>
  <si>
    <t>Designation</t>
  </si>
  <si>
    <t>ii</t>
  </si>
  <si>
    <t>Transactions with Related Parties:</t>
  </si>
  <si>
    <t>Remuneration</t>
  </si>
  <si>
    <t>Pursuant to the enactment of the Companies Act, 2013 (the Act), the company has adopted esimated useful life of fixed assets as stipulated by Schedule II to the Act, applicable for accounting period commencing on 01.04.2014.</t>
  </si>
  <si>
    <t>More than 3 Years</t>
  </si>
  <si>
    <t>Total</t>
  </si>
  <si>
    <t>(i) Current Ratio</t>
  </si>
  <si>
    <t>(ii) Debt-Equity Ratio</t>
  </si>
  <si>
    <t>(iii) Debt Service Coverage Ratio</t>
  </si>
  <si>
    <t>(iv) Return on Equity Ratio</t>
  </si>
  <si>
    <t>(v) Inventory Turnover Ratio</t>
  </si>
  <si>
    <t>(vi) Trade Receivables Turnover Ratio</t>
  </si>
  <si>
    <t>(vii) Trade Payables Turnover Ratio</t>
  </si>
  <si>
    <t>(viii) Net Capital Turnover Ratio</t>
  </si>
  <si>
    <t>(ix) Net Profit Ratio</t>
  </si>
  <si>
    <t>(x) Return on Capital Employed</t>
  </si>
  <si>
    <t>Debit</t>
  </si>
  <si>
    <t>Credit</t>
  </si>
  <si>
    <t>Tangible Assets</t>
  </si>
  <si>
    <t/>
  </si>
  <si>
    <t>Staff Welfare Expenses</t>
  </si>
  <si>
    <t>Trial Balance</t>
  </si>
  <si>
    <t>Closing Balance</t>
  </si>
  <si>
    <t>Retained Earnings</t>
  </si>
  <si>
    <t>Salaries Payable</t>
  </si>
  <si>
    <t>Grand Total</t>
  </si>
  <si>
    <t>ZENRISE CLINICAL RESEARCH PVT LTD 2022-23</t>
  </si>
  <si>
    <t>PLOT NO 201,MADINAGUDA,</t>
  </si>
  <si>
    <t>MIYAPUR, HYDERABAD</t>
  </si>
  <si>
    <t>CIN: U73100TG2017PTC118411</t>
  </si>
  <si>
    <t>Opening Stock</t>
  </si>
  <si>
    <t>18% IGST Out Put Tax</t>
  </si>
  <si>
    <t>9% CGST Input Tax Credit</t>
  </si>
  <si>
    <t>9% CGST OUTPUT TAX</t>
  </si>
  <si>
    <t>9% SGST Input Tax Credit</t>
  </si>
  <si>
    <t>9% SGSTOUTPUT TAX</t>
  </si>
  <si>
    <t>AB SCIEX API 3200</t>
  </si>
  <si>
    <t>ACCESS CONTROL EQUIPMENT - IT DEPT</t>
  </si>
  <si>
    <t>Acs Installation Charges</t>
  </si>
  <si>
    <t>Adavnce to Ebiztechnix.Com Pvt Ltd</t>
  </si>
  <si>
    <t>Adishwar Auto Diagnostics P Ltd</t>
  </si>
  <si>
    <t>Advance to Infinium Global Tech</t>
  </si>
  <si>
    <t>Advance to Perennail Code IT Conslultants Pvt Ltd</t>
  </si>
  <si>
    <t>AGR Corporate Consultants LLP</t>
  </si>
  <si>
    <t>AIR CONDITIONERS - Admin Dept</t>
  </si>
  <si>
    <t>AKIRA ANALYTICAL SOLUTIONS P LTD</t>
  </si>
  <si>
    <t>Akshaya Scientific Pvt Ltd</t>
  </si>
  <si>
    <t>Ambulance Service Charges</t>
  </si>
  <si>
    <t>Annual Maintenance Charges</t>
  </si>
  <si>
    <t>ANTHEA PHARMA PVT LTD</t>
  </si>
  <si>
    <t>APL Research Centre</t>
  </si>
  <si>
    <t>Appco Pharma LLC, USA</t>
  </si>
  <si>
    <t>Arnav Health Care</t>
  </si>
  <si>
    <t>Audit Fee</t>
  </si>
  <si>
    <t>Audit Fee Payable</t>
  </si>
  <si>
    <t>AURO PHARMA INC</t>
  </si>
  <si>
    <t>Aventiva Solutions (OPC) Pvt Ltd</t>
  </si>
  <si>
    <t>Axis Bank KUKATPALLY A/C</t>
  </si>
  <si>
    <t>AXIS BANK ,MIYAPUR A/C</t>
  </si>
  <si>
    <t>Axis Clinicals Limited</t>
  </si>
  <si>
    <t>Ayyappa Amubulance Service</t>
  </si>
  <si>
    <t>AYYAPPA MANAGEMENT SERVICES</t>
  </si>
  <si>
    <t>BA/BE NOC Charges</t>
  </si>
  <si>
    <t>BADAL KUMAR MAHOPATRA</t>
  </si>
  <si>
    <t>BA Expenses</t>
  </si>
  <si>
    <t>Bank Charges</t>
  </si>
  <si>
    <t>Bar Code Scanner and Printer</t>
  </si>
  <si>
    <t>BE Center-Consultancy Charges</t>
  </si>
  <si>
    <t>Beetal Phone</t>
  </si>
  <si>
    <t>BHARATHI AIRTEL LTD</t>
  </si>
  <si>
    <t>Bharat Science Apparatus Workshops</t>
  </si>
  <si>
    <t>BhavyaSree EnterPrises</t>
  </si>
  <si>
    <t>Bio Medical Waste Disposal Charges</t>
  </si>
  <si>
    <t>Bio Organics &amp; Applied Materials Pvt Ltd</t>
  </si>
  <si>
    <t>BPL Multipara Monitors</t>
  </si>
  <si>
    <t>B SATYA ANNAPURNA</t>
  </si>
  <si>
    <t>Business Development Expenses</t>
  </si>
  <si>
    <t>C. Abhay kumar &amp; Co.</t>
  </si>
  <si>
    <t>Calibration Charges</t>
  </si>
  <si>
    <t>Calling Buttons - CP Dept</t>
  </si>
  <si>
    <t>Car Insurance</t>
  </si>
  <si>
    <t>Cash</t>
  </si>
  <si>
    <t>CCTV CAMERAS -IT DEPT</t>
  </si>
  <si>
    <t>CDM AND CDISC SERVICES</t>
  </si>
  <si>
    <t>CFO FEE FOR Five Years</t>
  </si>
  <si>
    <t>Choudhary Marketing</t>
  </si>
  <si>
    <t>Chromatography Solutions</t>
  </si>
  <si>
    <t>CHROME SOURCE</t>
  </si>
  <si>
    <t>Civil Works</t>
  </si>
  <si>
    <t>CLEARSYNTH LABS LTD</t>
  </si>
  <si>
    <t>Clinical Equipments - Cp Dept</t>
  </si>
  <si>
    <t>CLINICAL TRAIL INSURANCE</t>
  </si>
  <si>
    <t>Clinvend Clinical Research Solutions</t>
  </si>
  <si>
    <t>Cold Storage Charges-Freezer</t>
  </si>
  <si>
    <t>Commission</t>
  </si>
  <si>
    <t>Commission Payable</t>
  </si>
  <si>
    <t>COnsultancy Charges</t>
  </si>
  <si>
    <t>CONTRACT PHARMACAL CORPORATION USA</t>
  </si>
  <si>
    <t>Cooling Chambers - BA Dept</t>
  </si>
  <si>
    <t>Cooling Chambers - CP Dept</t>
  </si>
  <si>
    <t>Courier and Postage Charges</t>
  </si>
  <si>
    <t>CRO Splendid Lab Pvt Ltd</t>
  </si>
  <si>
    <t>CSR Fund Allocation/expenses</t>
  </si>
  <si>
    <t>Customs Duty Payment</t>
  </si>
  <si>
    <t>DAIMLER FINANCIAL SERVICES INDIA PVT LTD</t>
  </si>
  <si>
    <t>Deferred Tax Liability</t>
  </si>
  <si>
    <t>Deposit to G J MULTICLAVE INDIA PVT LTD</t>
  </si>
  <si>
    <t>DESKTOPS AND LAPTOPS</t>
  </si>
  <si>
    <t>DHR Holding India Pvt Ltd</t>
  </si>
  <si>
    <t>Diesel Expences For Vehicle(Car)</t>
  </si>
  <si>
    <t>Dietician Charges</t>
  </si>
  <si>
    <t>Dr A T Bapuji</t>
  </si>
  <si>
    <t>Dr Reddy's Laboartories Limited</t>
  </si>
  <si>
    <t>DVR AND HDD - IT DEPT</t>
  </si>
  <si>
    <t>ECG MACHINES</t>
  </si>
  <si>
    <t>ECG PAYMENT</t>
  </si>
  <si>
    <t>Electrical Cables-Admin Dept</t>
  </si>
  <si>
    <t>Electrical Deposit</t>
  </si>
  <si>
    <t>ELECTRICAL EXPENSES</t>
  </si>
  <si>
    <t>Electrical Gadgets- CP Dept</t>
  </si>
  <si>
    <t>Electrical Transformer and Pannels</t>
  </si>
  <si>
    <t>Emergency Medicines</t>
  </si>
  <si>
    <t>ENDPOINT DATA ANALYTICS PVT LTD</t>
  </si>
  <si>
    <t>EPF Contribution A/c</t>
  </si>
  <si>
    <t>Esic Contribution</t>
  </si>
  <si>
    <t>EUGIA PHARMA SPECIALITIES LIMITED</t>
  </si>
  <si>
    <t>Evgenis Pharma Pvt Ltd</t>
  </si>
  <si>
    <t>Expenses of Car</t>
  </si>
  <si>
    <t>Fabric Blinds</t>
  </si>
  <si>
    <t>Fire Extingushiers Refilling Charges</t>
  </si>
  <si>
    <t>Fixed Deposit 058813017503</t>
  </si>
  <si>
    <t>Fixed Deposit 058813019674</t>
  </si>
  <si>
    <t>Fixed Deposit 058813022834</t>
  </si>
  <si>
    <t>Food Expenses for Guests</t>
  </si>
  <si>
    <t>Forex Card 5554491100927730</t>
  </si>
  <si>
    <t>Forex Gain / Loss</t>
  </si>
  <si>
    <t>Furniture - Admin Dept</t>
  </si>
  <si>
    <t>Furniture - CP Dept</t>
  </si>
  <si>
    <t>GENERATOR</t>
  </si>
  <si>
    <t>Generator -Diesel Expenses</t>
  </si>
  <si>
    <t>G J Multiclave (India) Pvt Ltd</t>
  </si>
  <si>
    <t>GK ANALYTICS</t>
  </si>
  <si>
    <t>GPS CLOCKS</t>
  </si>
  <si>
    <t>GRAVITI PHARMACEUTICALS</t>
  </si>
  <si>
    <t>Group Health Insurance Premium</t>
  </si>
  <si>
    <t>Group Health Insurence for Emp</t>
  </si>
  <si>
    <t>GST Payable on RCM</t>
  </si>
  <si>
    <t>HAEMO SERVICE LABORATORIES</t>
  </si>
  <si>
    <t>HANUMAN TIFFEN CENTRE</t>
  </si>
  <si>
    <t>Health Care Needs</t>
  </si>
  <si>
    <t>HIMALA WATER SUPPLY</t>
  </si>
  <si>
    <t>HOUSE KEEPING CHARGES</t>
  </si>
  <si>
    <t>House Keeping Materials</t>
  </si>
  <si>
    <t>HRMS Software</t>
  </si>
  <si>
    <t>Humidity Chamber - CP Dept</t>
  </si>
  <si>
    <t>Hyderabad Metro Water Service Board</t>
  </si>
  <si>
    <t>ICICI BANK CHANDANAGAR 058805003515</t>
  </si>
  <si>
    <t>Icici Bank-Chandanagar-058805004234</t>
  </si>
  <si>
    <t>ICICI LOMBARD GIC LTD</t>
  </si>
  <si>
    <t>ICU Equipments - CP Dept</t>
  </si>
  <si>
    <t>Incentives to Staff</t>
  </si>
  <si>
    <t>Inductive Quotient Analytics India Pvt Ltd</t>
  </si>
  <si>
    <t>Innosyn Life Sciences Pvt. Ltd.</t>
  </si>
  <si>
    <t>INSTANT PRINT SOLUTIONS INDIA P LTD</t>
  </si>
  <si>
    <t>INSURANCE FOR ASSETS BUGLARY</t>
  </si>
  <si>
    <t>INSURANCE FOR ASSETS FIRE POLICY</t>
  </si>
  <si>
    <t>Interest of Car Loan</t>
  </si>
  <si>
    <t>Interest on APSFC Loan</t>
  </si>
  <si>
    <t>Interest on FD</t>
  </si>
  <si>
    <t>Interest on FD Receivable</t>
  </si>
  <si>
    <t>Interest on Income Tax Refund</t>
  </si>
  <si>
    <t>Interest on Loan From SBI</t>
  </si>
  <si>
    <t>Interest on TDS</t>
  </si>
  <si>
    <t>Interest Payable on APSFC LOAN</t>
  </si>
  <si>
    <t>INTERNET CHARGES</t>
  </si>
  <si>
    <t>IP PBX</t>
  </si>
  <si>
    <t>IT Expenses</t>
  </si>
  <si>
    <t>JAYA SIRI ENTERPRISES</t>
  </si>
  <si>
    <t>K.G.N Medi Care</t>
  </si>
  <si>
    <t>Kireeti Indenting &amp; Exim Services Pvt Ltd</t>
  </si>
  <si>
    <t>LAB EQUIPMENT-BA Dept</t>
  </si>
  <si>
    <t>Lab Equipment-Cp Dept</t>
  </si>
  <si>
    <t>Lab Modulure Furniture BA Dept</t>
  </si>
  <si>
    <t>Lab Needs Private Limited</t>
  </si>
  <si>
    <t>Labour Licence</t>
  </si>
  <si>
    <t>Lab Testing Charges</t>
  </si>
  <si>
    <t>Lan Cable Network - IT Dept</t>
  </si>
  <si>
    <t>LAURUS LABS LIMITED</t>
  </si>
  <si>
    <t>LCGC Chrom Consumables LLP</t>
  </si>
  <si>
    <t>LCMS SYSTEM</t>
  </si>
  <si>
    <t>Loan From APSFC HYDERABAD</t>
  </si>
  <si>
    <t>LOAN FROM SBI SME HYDERABAD 40392204781</t>
  </si>
  <si>
    <t>Maddi Bhanu Kiran Reddy</t>
  </si>
  <si>
    <t>Mankind Pharma Limited</t>
  </si>
  <si>
    <t>MARG INDEPENDENT ETHICS COMMITTEE</t>
  </si>
  <si>
    <t>Maxwell PHARMA</t>
  </si>
  <si>
    <t>MDS BIO ANALYTICS PVT LTD</t>
  </si>
  <si>
    <t>MEDILINK ENTERPRISES P LTD</t>
  </si>
  <si>
    <t>MERCEDES-BENZ CAR</t>
  </si>
  <si>
    <t>M Jyothi Madhav</t>
  </si>
  <si>
    <t>M JYOTHI MADHAV RENT DEPOSIT</t>
  </si>
  <si>
    <t>Mokshy Surgicals</t>
  </si>
  <si>
    <t>Mylan Laboratories Limited</t>
  </si>
  <si>
    <t>Non GST</t>
  </si>
  <si>
    <t>Novel Laboratories Inc D/B/A Lupin</t>
  </si>
  <si>
    <t>Office Expenses</t>
  </si>
  <si>
    <t>Oncall Nurse/ Plebhos Charges</t>
  </si>
  <si>
    <t>Oncall Phisian Charges</t>
  </si>
  <si>
    <t>OPERATING SOFWARE KEYS</t>
  </si>
  <si>
    <t>Opulent Furniture</t>
  </si>
  <si>
    <t>Others Payble Account</t>
  </si>
  <si>
    <t>Pantry Expenses</t>
  </si>
  <si>
    <t>Pavani Consultancy</t>
  </si>
  <si>
    <t>Payable to Srinivas</t>
  </si>
  <si>
    <t>Pest Control Charges</t>
  </si>
  <si>
    <t>Pest Control Technics</t>
  </si>
  <si>
    <t>Phenomenex India Pvt Ltd</t>
  </si>
  <si>
    <t>Phones - IT Dept</t>
  </si>
  <si>
    <t>PK And Statastical Analysis Charges</t>
  </si>
  <si>
    <t>Plasma (K2EDTA)</t>
  </si>
  <si>
    <t>Plumbing Expenses</t>
  </si>
  <si>
    <t>Plumbing Material</t>
  </si>
  <si>
    <t>P Navya</t>
  </si>
  <si>
    <t>Prasoft IT Services Private Limited</t>
  </si>
  <si>
    <t>Pre-Operative Expenses Capitalised As FF</t>
  </si>
  <si>
    <t>Pre-Operative Expenses Capitalised As P&amp;M</t>
  </si>
  <si>
    <t>PRINTERS - IT Dept</t>
  </si>
  <si>
    <t>PRINTING AND STATIONERY</t>
  </si>
  <si>
    <t>Priority Advertising</t>
  </si>
  <si>
    <t>Professional &amp; Consultancy Fee</t>
  </si>
  <si>
    <t>Profit &amp; Loss A/c</t>
  </si>
  <si>
    <t>Prof Tax</t>
  </si>
  <si>
    <t>Projector and Screen - IT Dept</t>
  </si>
  <si>
    <t>Protocol Review/IEC Charges</t>
  </si>
  <si>
    <t>Provision for Income Tax</t>
  </si>
  <si>
    <t>Purchase GST</t>
  </si>
  <si>
    <t>Ramanvita Solutions</t>
  </si>
  <si>
    <t>RAMSON GENSYSTEM SERVICES</t>
  </si>
  <si>
    <t>Raptor Safety</t>
  </si>
  <si>
    <t>Refundable Advance</t>
  </si>
  <si>
    <t>Remuniration to Directors</t>
  </si>
  <si>
    <t>Rent of the Premises</t>
  </si>
  <si>
    <t>Repairs and Maintenance</t>
  </si>
  <si>
    <t>Retainership Fees</t>
  </si>
  <si>
    <t>RG Health care</t>
  </si>
  <si>
    <t>RICON PHARMA LLC</t>
  </si>
  <si>
    <t>Riki Global Trading Pvt Ltd</t>
  </si>
  <si>
    <t>Rising Pharmaceuticals</t>
  </si>
  <si>
    <t>Round Off</t>
  </si>
  <si>
    <t>R R Building Products</t>
  </si>
  <si>
    <t>R Sumana</t>
  </si>
  <si>
    <t>Salary</t>
  </si>
  <si>
    <t>Sana Fabrication</t>
  </si>
  <si>
    <t>Saphire Scientific Company</t>
  </si>
  <si>
    <t>Satya Devaya Clinic Lab</t>
  </si>
  <si>
    <t>SBI SME HYD ACCOUNT</t>
  </si>
  <si>
    <t>Security Deposit to DFS Financials</t>
  </si>
  <si>
    <t>SECURITY SERVICES</t>
  </si>
  <si>
    <t>Service Charges</t>
  </si>
  <si>
    <t>Servicing of BA/BE PROJECTS EXPORT</t>
  </si>
  <si>
    <t>Servicing of BA/BE PROJECTS-Inter State</t>
  </si>
  <si>
    <t>Servicing of BA/BE PROJECTS-Intra State</t>
  </si>
  <si>
    <t>SERVICING OF BA PROJECTS EXPORT</t>
  </si>
  <si>
    <t>SERVICING OF BA PROJECTS-Inter State</t>
  </si>
  <si>
    <t>SERVICING OF BA PROJECTS-Intra State</t>
  </si>
  <si>
    <t>SERVICING OF ONLY CLINICAL INTER STATE</t>
  </si>
  <si>
    <t>SERVICING OF ONLY CLINICAL INTRA STATE</t>
  </si>
  <si>
    <t>SHANTHI ENGINEERING</t>
  </si>
  <si>
    <t>Share Capital Account of KOTA PARVATHINI</t>
  </si>
  <si>
    <t>Share Capital Indira Prasanna</t>
  </si>
  <si>
    <t>Share Capital of Apteka RX Inc</t>
  </si>
  <si>
    <t>Share Capital  of Dr A T Bapuji Director</t>
  </si>
  <si>
    <t>Share Capital of K Anil Venkata Reddy</t>
  </si>
  <si>
    <t>Share Capital Of R Srinivas -Director</t>
  </si>
  <si>
    <t>Share Capital of S Rajesh Kumar Director</t>
  </si>
  <si>
    <t>Share Capital of T CH Sarma Garu</t>
  </si>
  <si>
    <t>Share Premium Account</t>
  </si>
  <si>
    <t>Shares of Mrs Vishnu Bhotla Sunitha</t>
  </si>
  <si>
    <t>SHRI BALAZEE CATERING SERVICES</t>
  </si>
  <si>
    <t>Simco Calibration Laboratory</t>
  </si>
  <si>
    <t>SIMSON PHARMA</t>
  </si>
  <si>
    <t>SLAYBACK PHARMA INDIA LLP</t>
  </si>
  <si>
    <t>Smoke Detectors and Fire Alaram Expenses</t>
  </si>
  <si>
    <t>SMR Sales And Services</t>
  </si>
  <si>
    <t>Snowman Logistics Limited</t>
  </si>
  <si>
    <t>SOFTWARE RENEWAL FEES</t>
  </si>
  <si>
    <t>Spark Scientific Pvt Ltd</t>
  </si>
  <si>
    <t>SPEAKERS - IT DEPT</t>
  </si>
  <si>
    <t>Sri Karyasiddhi Veeranjaneya Services</t>
  </si>
  <si>
    <t>Sri Laxmi Dry Ice &amp; Gases</t>
  </si>
  <si>
    <t>SRI SURYA PRABHA HARD WARE</t>
  </si>
  <si>
    <t>S S ANALYTICALS</t>
  </si>
  <si>
    <t>S S RACKS</t>
  </si>
  <si>
    <t>Staff Comp Offs and OTs</t>
  </si>
  <si>
    <t>Staff Food Expenses</t>
  </si>
  <si>
    <t>Staff Training Expenses</t>
  </si>
  <si>
    <t>Stamp Duty</t>
  </si>
  <si>
    <t>Storage Charges</t>
  </si>
  <si>
    <t>STP TANK</t>
  </si>
  <si>
    <t>Study Expenses</t>
  </si>
  <si>
    <t>Study Food Expences</t>
  </si>
  <si>
    <t>Suntec Medical Systems</t>
  </si>
  <si>
    <t>System Software Server</t>
  </si>
  <si>
    <t>Tables &amp; Chairs - Admin Dept</t>
  </si>
  <si>
    <t>T CHANDRA SEKHARA SARMA</t>
  </si>
  <si>
    <t>TCS RECEIVABLES</t>
  </si>
  <si>
    <t>TDS Advance Tax Paid SEC 100</t>
  </si>
  <si>
    <t>TDS ON INTERESTOTHER THAN SECURITIES SEC 194A</t>
  </si>
  <si>
    <t>Tds on Professional Services Sec194 , 94J</t>
  </si>
  <si>
    <t>TDS ON RENT SEC 194, 94I</t>
  </si>
  <si>
    <t>TDS ON SALARIES SEC 192 92B</t>
  </si>
  <si>
    <t>TDS PAYMENT CONTRACT 194 C</t>
  </si>
  <si>
    <t>Tds Receivables</t>
  </si>
  <si>
    <t>TDS SEC 195</t>
  </si>
  <si>
    <t>Telephone  and Internet Charges</t>
  </si>
  <si>
    <t>T GARGEYA</t>
  </si>
  <si>
    <t>Thermo Fisher Certrifuge Apparatus - BA Dept</t>
  </si>
  <si>
    <t>T.Leela Rent</t>
  </si>
  <si>
    <t>T Leela Rent Deposit</t>
  </si>
  <si>
    <t>TOUGHENED GLASS DOORS - Admin Dept</t>
  </si>
  <si>
    <t>Trade License Expenses</t>
  </si>
  <si>
    <t>Translation Charges</t>
  </si>
  <si>
    <t>Transportation and Unloading Charges</t>
  </si>
  <si>
    <t>Travelling Expences</t>
  </si>
  <si>
    <t>Trolleys</t>
  </si>
  <si>
    <t>T Sridhar (Poojari)</t>
  </si>
  <si>
    <t>TSSPDCL</t>
  </si>
  <si>
    <t>TVS AND FRIDGES</t>
  </si>
  <si>
    <t>Universal Instruments</t>
  </si>
  <si>
    <t>UPS SYSTEM</t>
  </si>
  <si>
    <t>U Srinivasulu (Dietician)</t>
  </si>
  <si>
    <t>Vasavi Hospital</t>
  </si>
  <si>
    <t>Vijaya Textiles</t>
  </si>
  <si>
    <t>Vinayaka Foods</t>
  </si>
  <si>
    <t>Vivan Life Sciences Pvt Ltd</t>
  </si>
  <si>
    <t>Volunteer BEDS - CP Dept</t>
  </si>
  <si>
    <t>Volunteers Screening Payments</t>
  </si>
  <si>
    <t>Volunteers Study  Payments</t>
  </si>
  <si>
    <t>Wages for Contract Employees</t>
  </si>
  <si>
    <t>WALL PANEL SYSTEM-Admin Dept</t>
  </si>
  <si>
    <t>Water Cans Expenses</t>
  </si>
  <si>
    <t>Water Charges (Hyderabad Metropolitan</t>
  </si>
  <si>
    <t>Weighing Balances on Rent</t>
  </si>
  <si>
    <t>Weighing Machines-BA Dept</t>
  </si>
  <si>
    <t>Weighing Machines - CP Dept</t>
  </si>
  <si>
    <t>WIPRO G E HEALTHCARE PVT LTD</t>
  </si>
  <si>
    <t>Wooden Partitions and Cupboards</t>
  </si>
  <si>
    <t>Wooden Work Expenses</t>
  </si>
  <si>
    <t>Working Standards - Export</t>
  </si>
  <si>
    <t>Working Standards-Inter State</t>
  </si>
  <si>
    <t>Working Standards-Intra State</t>
  </si>
  <si>
    <t>Writers Business Services Pvt Ltd</t>
  </si>
  <si>
    <t>X-RAY CHARGES</t>
  </si>
  <si>
    <t>Zef Scientific India Pvt Ltd</t>
  </si>
  <si>
    <t>ZODIAC LIFE SCIENCES PVT LTD</t>
  </si>
  <si>
    <t>Mr. Srinivas Ravuri</t>
  </si>
  <si>
    <t>Akula Indira Prasanna</t>
  </si>
  <si>
    <t>Mr. Akula Thukaram Bapuji</t>
  </si>
  <si>
    <t>Mrs. Akula Indira Prasanna</t>
  </si>
  <si>
    <t>Mr. Rajesh Kumar Suvvaru</t>
  </si>
  <si>
    <t>Mrs. Paithrini Kota</t>
  </si>
  <si>
    <t>Securities Premium</t>
  </si>
  <si>
    <t xml:space="preserve">  Add / Less : Changes during the year</t>
  </si>
  <si>
    <t>1-Apr-21 to 31-Mar-22</t>
  </si>
  <si>
    <t>18% IGST INPUT TAX CREDIT</t>
  </si>
  <si>
    <t>Advance Given to K ANIL KUMAR</t>
  </si>
  <si>
    <t>Akashya Patra Foundation</t>
  </si>
  <si>
    <t>Aleor Dermaceuticals Ltd R&amp;D</t>
  </si>
  <si>
    <t>AMIS ENGINEERS</t>
  </si>
  <si>
    <t>Appco Pharma LLC INR</t>
  </si>
  <si>
    <t>Auro Pharma Inc $INR</t>
  </si>
  <si>
    <t>Caltronix Healthcare Solutions</t>
  </si>
  <si>
    <t>Chemtopes</t>
  </si>
  <si>
    <t>Comptech Equipments Limited</t>
  </si>
  <si>
    <t>Contract Pharmacal Coorporation India Pvt Ltd</t>
  </si>
  <si>
    <t>CONTRACT PHARMACAL CORPORATION INR$</t>
  </si>
  <si>
    <t>Core Pharma LLC INR</t>
  </si>
  <si>
    <t>EXTROVIS PRIVATE LIMITED</t>
  </si>
  <si>
    <t>Fixed Depisit 058810010688</t>
  </si>
  <si>
    <t>Fixed Deposit 058810010322</t>
  </si>
  <si>
    <t>Fixed Deposit 058810010340</t>
  </si>
  <si>
    <t>Fixed Deposit 058810010797</t>
  </si>
  <si>
    <t>Fixed Deposit 058810011345</t>
  </si>
  <si>
    <t>Fixed Deposit 058810011454</t>
  </si>
  <si>
    <t>Fixed Deposit 058810011458</t>
  </si>
  <si>
    <t>Fixed DEPOSIT 058810011874</t>
  </si>
  <si>
    <t>Fixed DEPOSIT 058810011876</t>
  </si>
  <si>
    <t>Fixed DEPOSIT 058810011879</t>
  </si>
  <si>
    <t>GRANULES INDIA LIMITED</t>
  </si>
  <si>
    <t>Hyderabad Calibration Services</t>
  </si>
  <si>
    <t>ICICI CHANDANAGAR 058805004807</t>
  </si>
  <si>
    <t>I CLEAN TECHNOLOGIES PVT LTD</t>
  </si>
  <si>
    <t>Income Tax Refund</t>
  </si>
  <si>
    <t>Kemven Industries</t>
  </si>
  <si>
    <t>LabNeeds</t>
  </si>
  <si>
    <t>LCGC Bioanalytic Solutions LLP</t>
  </si>
  <si>
    <t>Likhitha Diagnostics and Speciality Lab</t>
  </si>
  <si>
    <t>MSP LAB INSTRUMENTS</t>
  </si>
  <si>
    <t>Multi Language Tanslations</t>
  </si>
  <si>
    <t>Narmada Fine Chemicals</t>
  </si>
  <si>
    <t>NATCO PHARMA LIMITED</t>
  </si>
  <si>
    <t>Newtronics Lifecare Equipments Pvt Ltd</t>
  </si>
  <si>
    <t>Orbicular Pharmaceutical Technologies Pvt Ltd</t>
  </si>
  <si>
    <t>Pace Solutions (Hyd)</t>
  </si>
  <si>
    <t>RAMDEV MARKETING</t>
  </si>
  <si>
    <t>RubiconResearch Pvt Ltd</t>
  </si>
  <si>
    <t>Sai Baba Business Solutions Pvt Ltd</t>
  </si>
  <si>
    <t>Sannova Analytical Inc INR</t>
  </si>
  <si>
    <t>SR HOSPITALITY SERVIICES</t>
  </si>
  <si>
    <t>Sri Calibrations Services</t>
  </si>
  <si>
    <t>Strides Pharma Science Limited</t>
  </si>
  <si>
    <t>Suhrut Multibusiness Solutions Pvt Ltd</t>
  </si>
  <si>
    <t>SV Aircon</t>
  </si>
  <si>
    <t>SynChem Chromatography Technologies</t>
  </si>
  <si>
    <t>TecPharma</t>
  </si>
  <si>
    <t>Tempocon Express Pvt Ltd</t>
  </si>
  <si>
    <t>THERMO FISHER SCIENTIFIC INDIA PVT LTD</t>
  </si>
  <si>
    <t>V-ENSURE PHARMA TECHNOLOGIES PVT LTD</t>
  </si>
  <si>
    <t>YMC India Pvt Ltd.</t>
  </si>
  <si>
    <t>Unadjusted Forex Gain/Loss</t>
  </si>
  <si>
    <t>Andhra Pradesh State Financial Corporation</t>
  </si>
  <si>
    <t>Diamler Financial Services India Private Limited</t>
  </si>
  <si>
    <t>Deferred Tax Liability (Net)</t>
  </si>
  <si>
    <t>Deferred tax liability</t>
  </si>
  <si>
    <t>Dues to Micro &amp; Small Enterprises</t>
  </si>
  <si>
    <t>For Capital expenditure</t>
  </si>
  <si>
    <t>Dues to Others</t>
  </si>
  <si>
    <t>Outstanding for following periods from due date of payment</t>
  </si>
  <si>
    <t>0 - 6 months</t>
  </si>
  <si>
    <t>6 months - 1 Year</t>
  </si>
  <si>
    <t>1 - 2 Years</t>
  </si>
  <si>
    <t>2 - 3 Years</t>
  </si>
  <si>
    <t>Undisputed dues</t>
  </si>
  <si>
    <t>- MSME</t>
  </si>
  <si>
    <t>- Others</t>
  </si>
  <si>
    <t>Disputed dues</t>
  </si>
  <si>
    <t>Consumables</t>
  </si>
  <si>
    <t>Undisputed</t>
  </si>
  <si>
    <t>- Considered good</t>
  </si>
  <si>
    <t>- Considered doubtful</t>
  </si>
  <si>
    <t>Disputed</t>
  </si>
  <si>
    <t>Sale of Services</t>
  </si>
  <si>
    <t>Exports</t>
  </si>
  <si>
    <t>ZENRISE CLINICAL RESEARCH PVT LTD 2021-22(from 1-Apr-2021)</t>
  </si>
  <si>
    <t>Trading Account:</t>
  </si>
  <si>
    <t>Sales Accounts</t>
  </si>
  <si>
    <t>SERVICING OF CLINICAL EXPORT</t>
  </si>
  <si>
    <t>Direct Incomes</t>
  </si>
  <si>
    <t>Cost of Sales :</t>
  </si>
  <si>
    <t>Add: Purchase Accounts</t>
  </si>
  <si>
    <t>Less: Closing Stock</t>
  </si>
  <si>
    <t>Direct Expenses</t>
  </si>
  <si>
    <t>Dry Ice</t>
  </si>
  <si>
    <t>Sample Shipment Charges</t>
  </si>
  <si>
    <t>Gross Profit :</t>
  </si>
  <si>
    <t>Income Statement:</t>
  </si>
  <si>
    <t>Indirect Incomes</t>
  </si>
  <si>
    <t>Indirect Expenses</t>
  </si>
  <si>
    <t>Employee Expenditure</t>
  </si>
  <si>
    <t>Clinical Unit Expenses</t>
  </si>
  <si>
    <t>CONSIGNMENT CHARGES IN RELATION FOREX TRADE</t>
  </si>
  <si>
    <t>Documents Charges</t>
  </si>
  <si>
    <t>Fabrication Work Expenses</t>
  </si>
  <si>
    <t>Insurance on Loans</t>
  </si>
  <si>
    <t>IQ/OQ/PQ: Soft copy</t>
  </si>
  <si>
    <t>Loan Processing Charges</t>
  </si>
  <si>
    <t>Membership Fee</t>
  </si>
  <si>
    <t>Other Licence Expenses</t>
  </si>
  <si>
    <t>Processing Charges</t>
  </si>
  <si>
    <t>Software Equipment</t>
  </si>
  <si>
    <t>Vehicle Insurance</t>
  </si>
  <si>
    <t>Nett Profit:</t>
  </si>
  <si>
    <t>Foreign exchange gain (Net)</t>
  </si>
  <si>
    <t>Opening stock</t>
  </si>
  <si>
    <t>BA / BE NOC Charges</t>
  </si>
  <si>
    <t>- Machinery</t>
  </si>
  <si>
    <t>Payments to Volunteers</t>
  </si>
  <si>
    <t>Other Operating Expenses</t>
  </si>
  <si>
    <t>Rates &amp; Taxes</t>
  </si>
  <si>
    <t>Insurance</t>
  </si>
  <si>
    <t>Telephone &amp; Internet</t>
  </si>
  <si>
    <t>Membership &amp; Subscription Charges</t>
  </si>
  <si>
    <t>- Electrical</t>
  </si>
  <si>
    <t>Laboratory testing charges</t>
  </si>
  <si>
    <t>Fees &amp; licenses</t>
  </si>
  <si>
    <t>Security Charges</t>
  </si>
  <si>
    <t>Buildings</t>
  </si>
  <si>
    <t>Computers &amp; Peripherals</t>
  </si>
  <si>
    <t>Electrical installations</t>
  </si>
  <si>
    <t>Office Equipment</t>
  </si>
  <si>
    <t>Plant &amp; machinery</t>
  </si>
  <si>
    <t>Motor Vehicle</t>
  </si>
  <si>
    <t>Intangible Assets</t>
  </si>
  <si>
    <t>Depreciation &amp; amortisation</t>
  </si>
  <si>
    <t>Cost of materials consumed</t>
  </si>
  <si>
    <t>Inventories</t>
  </si>
  <si>
    <t>Long Term Security Deposits</t>
  </si>
  <si>
    <t>Contribution to PF &amp; ESI</t>
  </si>
  <si>
    <t>Schedules for Notes to accounts</t>
  </si>
  <si>
    <t>FY 2022-23</t>
  </si>
  <si>
    <t>Employee Benefit Expenses</t>
  </si>
  <si>
    <t>Repairs &amp; maintenance - Office</t>
  </si>
  <si>
    <t>Professional &amp; Consultancy charges</t>
  </si>
  <si>
    <t>6. Trade Payables</t>
  </si>
  <si>
    <t>7. Other Current Liabilities</t>
  </si>
  <si>
    <t>8. Short Term Provisions</t>
  </si>
  <si>
    <t>12. Trade receivables</t>
  </si>
  <si>
    <t>13. Cash and bank balances</t>
  </si>
  <si>
    <t>14. Short Term Loans and Advances</t>
  </si>
  <si>
    <t>15. Other Current Assets</t>
  </si>
  <si>
    <t>16. Revenue from Operations</t>
  </si>
  <si>
    <t>17. Other income</t>
  </si>
  <si>
    <t>18. Cost of materials consumed</t>
  </si>
  <si>
    <t>19. Employee benefit expense</t>
  </si>
  <si>
    <t>20. Other expenses</t>
  </si>
  <si>
    <t>21. Depreciation and amortisation expense</t>
  </si>
  <si>
    <t>Bank Balances</t>
  </si>
  <si>
    <t>Fixed Deposits</t>
  </si>
  <si>
    <t>Software</t>
  </si>
  <si>
    <t>(i)</t>
  </si>
  <si>
    <t>Current ratio</t>
  </si>
  <si>
    <t>Ratio</t>
  </si>
  <si>
    <t>(ii)</t>
  </si>
  <si>
    <t>Return on Equity ratio</t>
  </si>
  <si>
    <t>Net profit after taxes</t>
  </si>
  <si>
    <t>Average Shareholder's equity</t>
  </si>
  <si>
    <t>(iii)</t>
  </si>
  <si>
    <t>Trade receivables turnover ratio</t>
  </si>
  <si>
    <t>Sales</t>
  </si>
  <si>
    <t>Avg Trade receivables</t>
  </si>
  <si>
    <t>(iv)</t>
  </si>
  <si>
    <t>Trade payables turnover ratio</t>
  </si>
  <si>
    <t>Purchases</t>
  </si>
  <si>
    <t>Avg Trade payables</t>
  </si>
  <si>
    <t>(v)</t>
  </si>
  <si>
    <t>Net capital turnover ratio</t>
  </si>
  <si>
    <t>Net sales</t>
  </si>
  <si>
    <t>Average working capital</t>
  </si>
  <si>
    <t>(Working capital = Current assets - Current liabilities)</t>
  </si>
  <si>
    <t>(vi)</t>
  </si>
  <si>
    <t>Net profit ratio</t>
  </si>
  <si>
    <t>(vii)</t>
  </si>
  <si>
    <t>Return on Capital employed</t>
  </si>
  <si>
    <t>Profit before interest &amp; tax</t>
  </si>
  <si>
    <t>Capital employed</t>
  </si>
  <si>
    <t>FY 2021-22</t>
  </si>
  <si>
    <t>FY 2020-21</t>
  </si>
  <si>
    <t>NA</t>
  </si>
  <si>
    <t>Debt Equity ratio</t>
  </si>
  <si>
    <t>Note 9 : Fixed Assets</t>
  </si>
  <si>
    <t>10. Long Term Loans and advances</t>
  </si>
  <si>
    <t>11. Inventories</t>
  </si>
  <si>
    <t>i) Revenue is reconized to the extend it is probable that the economic benefits will be flow into the company and the revenue can be reliably measured. Revenue is recognized as per the terms of the contract with customers when the related services provided.</t>
  </si>
  <si>
    <t>b) Interest income is recognised on a time proportion basis taking into account the amount outstanding and the interest rate applicable. Interest income is included under the head "Other income" in the statement of profit and loss.</t>
  </si>
  <si>
    <t>0 - 1 Year</t>
  </si>
  <si>
    <t>Category</t>
  </si>
  <si>
    <t>Vendor Name</t>
  </si>
  <si>
    <t>MSME YES/No</t>
  </si>
  <si>
    <t>Amount morethan 1 Year</t>
  </si>
  <si>
    <t>Amount less than 1 Year</t>
  </si>
  <si>
    <t>Cap Exp Sundry cr</t>
  </si>
  <si>
    <t>Row Labels</t>
  </si>
  <si>
    <t>Sum of Amount morethan 1 Year</t>
  </si>
  <si>
    <t>Sum of Amount less than 1 Year</t>
  </si>
  <si>
    <t>NO</t>
  </si>
  <si>
    <t>Exp Sundry creditors</t>
  </si>
  <si>
    <t>YES</t>
  </si>
  <si>
    <t>No</t>
  </si>
  <si>
    <t>MSME</t>
  </si>
  <si>
    <t>Non MSME</t>
  </si>
  <si>
    <t>More than One year</t>
  </si>
  <si>
    <t>Less Than One year</t>
  </si>
  <si>
    <t xml:space="preserve">BILLS RECEIVABLES  AS ON 31-03-23      </t>
  </si>
  <si>
    <t xml:space="preserve">PERIOD NO OF DAYS </t>
  </si>
  <si>
    <t>BILLS RECEIVABLE</t>
  </si>
  <si>
    <t>AMOUNT</t>
  </si>
  <si>
    <t>(&lt; 90 days )</t>
  </si>
  <si>
    <t>90 to 180 days</t>
  </si>
  <si>
    <t>180 to 365 days</t>
  </si>
  <si>
    <t>ALEMBIC PHARMA CEUTICALS</t>
  </si>
  <si>
    <t>novel labpratories</t>
  </si>
  <si>
    <t xml:space="preserve">no due </t>
  </si>
  <si>
    <t>diff</t>
  </si>
  <si>
    <t>CEO &amp; WholeTime Director</t>
  </si>
  <si>
    <t>WholeTime Director</t>
  </si>
  <si>
    <t>Director</t>
  </si>
  <si>
    <t>Business Development Payments</t>
  </si>
  <si>
    <t>Mrs.Akula Indira prasanna</t>
  </si>
  <si>
    <t>Mr.Srinivas Ravuri</t>
  </si>
  <si>
    <t>Cash flow from operating activities</t>
  </si>
  <si>
    <t>Profit before taxation</t>
  </si>
  <si>
    <t>Adjustment for :</t>
  </si>
  <si>
    <t>Add: Depreciation and Amortisation Expense</t>
  </si>
  <si>
    <t>Less: Interest income</t>
  </si>
  <si>
    <t>Operating profit before working capital changes</t>
  </si>
  <si>
    <t>Movements in working capital:</t>
  </si>
  <si>
    <t>(Increase)/Decrease in Trade Receivables</t>
  </si>
  <si>
    <t>(Increase)/Decrease in Inventories</t>
  </si>
  <si>
    <t>(Increase)/Decrease in Other Current Assets</t>
  </si>
  <si>
    <t>(Increase)/Decrease in Short Term Loans &amp; Advances</t>
  </si>
  <si>
    <t>(Increase)/Decrease in Long Term Loans &amp; Advances</t>
  </si>
  <si>
    <t>Increase/(Decrease) in Short Term Provisions</t>
  </si>
  <si>
    <t>Increase/(Decrease) in Trade Payables</t>
  </si>
  <si>
    <t>Increase/(Decrease) in Other Current Liabilities</t>
  </si>
  <si>
    <t>Cash used in operations</t>
  </si>
  <si>
    <t>Less: Direct taxes paid (net of refunds)</t>
  </si>
  <si>
    <t>Net cash flow used in operating activities</t>
  </si>
  <si>
    <t xml:space="preserve"> (A)</t>
  </si>
  <si>
    <t>Cash flows from investing activities</t>
  </si>
  <si>
    <t>Purchase of Assets</t>
  </si>
  <si>
    <t>Sale of Assets</t>
  </si>
  <si>
    <t>Net cash flow used in investing activities</t>
  </si>
  <si>
    <t xml:space="preserve"> (B)</t>
  </si>
  <si>
    <t>Cash flows from financing activities</t>
  </si>
  <si>
    <t>Long Term Borrowings</t>
  </si>
  <si>
    <t>Net cash generated from financing activities</t>
  </si>
  <si>
    <t xml:space="preserve"> (C)</t>
  </si>
  <si>
    <t>Net increase in cash and cash equivalents</t>
  </si>
  <si>
    <t>(A+B+C)</t>
  </si>
  <si>
    <t>Cash and cash equivalents at the beginning of the year</t>
  </si>
  <si>
    <t>Cash and cash equivalents at the end of the year</t>
  </si>
  <si>
    <t>Components of cash and cash equivalents</t>
  </si>
  <si>
    <t>With banks in Current Accounts</t>
  </si>
  <si>
    <t>With banks in Fixed Deposits</t>
  </si>
  <si>
    <t>Notes:</t>
  </si>
  <si>
    <t>1. The Cash Flow statement is prepared under 'indirect method' as set out in the Indian Accounting Standard - 7 on Cash Flow Statements. Cash and cash equivalents in the Cash Flow Statement comprise cash at bank and in hand and deposits with bank.</t>
  </si>
  <si>
    <t>2. Previous year's figures have been regrouped, wherever necessary.</t>
  </si>
  <si>
    <t>3. The accompanying notes form an integral part of the Financial Statements</t>
  </si>
  <si>
    <t>Chartered Accountants</t>
  </si>
  <si>
    <t>Proprietor</t>
  </si>
  <si>
    <t>Place : Hyderabad</t>
  </si>
  <si>
    <t>The Company has only one class of equity shares having par value of ₹ 10/- per share. Each holder of equity share is entitled to one vote per share. The Company declares and pays dividend in Indian Rupees. In the event of liquidation of the Company, the holders of equity shares will be entitled to receive remaining assets of the Company, after distribution of all preferential amounts. The distribution will be in proportion to the number of equity shares held by the shareholders.</t>
  </si>
  <si>
    <t>Total Debt</t>
  </si>
  <si>
    <t>Shareholder's equity</t>
  </si>
  <si>
    <t>Debt Service Coverage ratio</t>
  </si>
  <si>
    <t>Debt service</t>
  </si>
  <si>
    <t>Operating profit</t>
  </si>
  <si>
    <t>(viii)</t>
  </si>
  <si>
    <t>(ix)</t>
  </si>
  <si>
    <t>For M/s Siva Parvathi &amp; Associates</t>
  </si>
  <si>
    <t>S. Siva Parvathi</t>
  </si>
  <si>
    <t>Inflow :</t>
  </si>
  <si>
    <t>Income from export of services</t>
  </si>
  <si>
    <t>The Company did not have any transactions with Companies struck off under Section 248 of Companies Act, 2013 or Section 560 of Companies Act, 1956 considering the information available with the Company.</t>
  </si>
  <si>
    <t>(i) There is no derivate contract outstanding as at the Balance Sheet date.
(ii) Particulars of un-hedged foreign currency exposure as at the Balance Sheet date</t>
  </si>
  <si>
    <t>As at 31.03.2023</t>
  </si>
  <si>
    <t xml:space="preserve">  Year ended 
  March 31, 2024</t>
  </si>
  <si>
    <t>Non-Current Liabilities</t>
  </si>
  <si>
    <t>Tax on Professional Charges</t>
  </si>
  <si>
    <t>Stamp Papers</t>
  </si>
  <si>
    <t>Sitting Fee of Directors</t>
  </si>
  <si>
    <t>Registration Fee</t>
  </si>
  <si>
    <t>Rates and Taxes</t>
  </si>
  <si>
    <t>Property Tax for Zenrise- Centre1</t>
  </si>
  <si>
    <t>Professional Fee-Legal</t>
  </si>
  <si>
    <t>Interest Paid</t>
  </si>
  <si>
    <t>Interest on ICICI Loan-Commercial Building</t>
  </si>
  <si>
    <t>IEC Certificate Charges</t>
  </si>
  <si>
    <t>Hdfcergo General Insurance</t>
  </si>
  <si>
    <t>GST Default Amount FY 2019-20</t>
  </si>
  <si>
    <t>Gratutity Paid to Staff</t>
  </si>
  <si>
    <t>Airtel DTH Charges</t>
  </si>
  <si>
    <t>DIVIDEND PAID TO SHARE HOLDERS</t>
  </si>
  <si>
    <t>Aprons-Cp Dept</t>
  </si>
  <si>
    <t>Bio Lab Consumables</t>
  </si>
  <si>
    <t>Purchase Accounts</t>
  </si>
  <si>
    <t>Tds &amp; Advance Tax Fy -2021-2022</t>
  </si>
  <si>
    <t>GST Input Tax Credit</t>
  </si>
  <si>
    <t>Bank Accounts</t>
  </si>
  <si>
    <t>Cash-in-Hand</t>
  </si>
  <si>
    <t>Sundry Debtors</t>
  </si>
  <si>
    <t>Loans &amp; Advances (Asset)</t>
  </si>
  <si>
    <t>Deposits (Asset)</t>
  </si>
  <si>
    <t>Current Assets</t>
  </si>
  <si>
    <t>PURCHASE OF COMMERCIAL BULIDING</t>
  </si>
  <si>
    <t>Equipments</t>
  </si>
  <si>
    <t>Fixed Assets</t>
  </si>
  <si>
    <t>Expenses Payable</t>
  </si>
  <si>
    <t>Sundry Creditors</t>
  </si>
  <si>
    <t>Provisions</t>
  </si>
  <si>
    <t>Duties &amp; Taxes</t>
  </si>
  <si>
    <t>Current Liabilities</t>
  </si>
  <si>
    <t>Loan From ICICI Bank 603090031420</t>
  </si>
  <si>
    <t>Loans (Liability)</t>
  </si>
  <si>
    <t>Share Capital</t>
  </si>
  <si>
    <t>Reserves &amp; Surplus</t>
  </si>
  <si>
    <t>Capital Account</t>
  </si>
  <si>
    <t>Balance</t>
  </si>
  <si>
    <t>Transactions</t>
  </si>
  <si>
    <t>Closing</t>
  </si>
  <si>
    <t>Nett</t>
  </si>
  <si>
    <t>Opening</t>
  </si>
  <si>
    <t>1-Apr-23 to 31-Mar-24</t>
  </si>
  <si>
    <t>ZENRISE CLINICAL RESEARCH PVT LTD 2023-24 - (from 1-Apr-23)</t>
  </si>
  <si>
    <t>Less:Transfered</t>
  </si>
  <si>
    <t>Opening balance</t>
  </si>
  <si>
    <t>CP Department - F&amp;F</t>
  </si>
  <si>
    <t>BA Department-Furniture&amp;Fixtures</t>
  </si>
  <si>
    <t>Admin Dept - Furniture &amp; Fixtures</t>
  </si>
  <si>
    <t>Office Equipments</t>
  </si>
  <si>
    <t>Lab Equipments</t>
  </si>
  <si>
    <t>IT Department Equipments</t>
  </si>
  <si>
    <t>CP Department Equipment</t>
  </si>
  <si>
    <t>BA Department Equipment</t>
  </si>
  <si>
    <t>Admin Department Equipments</t>
  </si>
  <si>
    <t>Group Summary</t>
  </si>
  <si>
    <t>FY 2023-24</t>
  </si>
  <si>
    <t xml:space="preserve">Interest Under 234 C Fy 2021-22 </t>
  </si>
  <si>
    <t>less</t>
  </si>
  <si>
    <t>Nett Profit</t>
  </si>
  <si>
    <t>Interest Under 234 C Fy 2021-22</t>
  </si>
  <si>
    <t>Gross Profit c/o</t>
  </si>
  <si>
    <t>Gross Profit b/f</t>
  </si>
  <si>
    <t>Closing Stock</t>
  </si>
  <si>
    <t>Less: Transferred</t>
  </si>
  <si>
    <t>Current Period</t>
  </si>
  <si>
    <t>Opening Balance</t>
  </si>
  <si>
    <t>Suspense A/c</t>
  </si>
  <si>
    <t>Unsecured Loans</t>
  </si>
  <si>
    <t>Share Application Money</t>
  </si>
  <si>
    <t>as at 31-Mar-24</t>
  </si>
  <si>
    <t>Liabilities</t>
  </si>
  <si>
    <t>Balance Sheet</t>
  </si>
  <si>
    <t>12%IGST INPUT TAX</t>
  </si>
  <si>
    <t>2.5% CGST INPUT TAX CREDIT</t>
  </si>
  <si>
    <t>2.5% SGST INPUT TAX CREDIT</t>
  </si>
  <si>
    <t>6% CGST Input Tax Credit</t>
  </si>
  <si>
    <t>6% SGST Input Tax Credit</t>
  </si>
  <si>
    <t>Advance Given to B Nagarjuna VMO</t>
  </si>
  <si>
    <t>Advance Given to B Pavan Kumar</t>
  </si>
  <si>
    <t>Advance to Avantec Laboroatories</t>
  </si>
  <si>
    <t>Advance to B Balachary Carpenter</t>
  </si>
  <si>
    <t>Advance to City Glass Centre</t>
  </si>
  <si>
    <t>ADVANCE TO I CLEAN TECHNOLOGIES</t>
  </si>
  <si>
    <t>Advance to K Hari Prasad</t>
  </si>
  <si>
    <t>Advance to M Bhaskar</t>
  </si>
  <si>
    <t>Advance to Neo Techniques</t>
  </si>
  <si>
    <t>Advance to Sudha Analytics</t>
  </si>
  <si>
    <t>Advance to Vemula Ravi Kumar</t>
  </si>
  <si>
    <t>Amazon</t>
  </si>
  <si>
    <t>Ample Enterprises</t>
  </si>
  <si>
    <t>AR Interiors &amp; Contrator</t>
  </si>
  <si>
    <t>AYSIT Solutions Private Limited</t>
  </si>
  <si>
    <t>Bajaj Elecctonics</t>
  </si>
  <si>
    <t>BHAVANI ENTERPRISES</t>
  </si>
  <si>
    <t>Bhumeswar</t>
  </si>
  <si>
    <t>Bioagile Therapeutics Pvt Ltd</t>
  </si>
  <si>
    <t>BSreeLatha Rent Depost</t>
  </si>
  <si>
    <t>Cash in Foreign Currency USD</t>
  </si>
  <si>
    <t>Choudhary Enterprises</t>
  </si>
  <si>
    <t>CROMA</t>
  </si>
  <si>
    <t>Davy Chem Labs</t>
  </si>
  <si>
    <t>DIVIDEND PAID TO AKULA INDIRA PRASNNA</t>
  </si>
  <si>
    <t>DIVIDEND PAID TO Anilkumar Venkata Reddy</t>
  </si>
  <si>
    <t>DIVIDEND PAID TO APTEKA RX INC</t>
  </si>
  <si>
    <t>DIVIDEND PAID TO DR A T BAPUJI</t>
  </si>
  <si>
    <t>DIVIDEND PAID TO KOTA PAVITHRINI</t>
  </si>
  <si>
    <t>DIVIDEND PAID TO S RAJESH KUMAR</t>
  </si>
  <si>
    <t>DIVIDEND PAID TO SRINIVAS RAVURI</t>
  </si>
  <si>
    <t>DIVIDEND PAID TO V SUNITHA</t>
  </si>
  <si>
    <t>Dr Kosuri Naga Murali</t>
  </si>
  <si>
    <t>ELECTRICAL EQUIPMENTS</t>
  </si>
  <si>
    <t>Epic Pharma LLC</t>
  </si>
  <si>
    <t>Fixed Deposit 05880510013861</t>
  </si>
  <si>
    <t>Fixed Deposit 058810014070</t>
  </si>
  <si>
    <t>Fixed Deposit 058810014350</t>
  </si>
  <si>
    <t>Fixed Deposit 058810014816</t>
  </si>
  <si>
    <t>Fixed Deposit 058810014817</t>
  </si>
  <si>
    <t>Fixed Deposit 058810014895</t>
  </si>
  <si>
    <t>Fixed Deposit 058810015195</t>
  </si>
  <si>
    <t>GC Health care</t>
  </si>
  <si>
    <t>GRID CHANNEL FALCEILING</t>
  </si>
  <si>
    <t>I3 Pharamaceuticals LLC USA</t>
  </si>
  <si>
    <t>ICICI BANK -Dividend Account 058805007279</t>
  </si>
  <si>
    <t>Implement Technologies</t>
  </si>
  <si>
    <t>INEXUS BIOTECH PVT LTD</t>
  </si>
  <si>
    <t>INTERFACE COMPUTERS</t>
  </si>
  <si>
    <t>Jairam Bio Sciences</t>
  </si>
  <si>
    <t>Jet Speed Engineers</t>
  </si>
  <si>
    <t>J.K. Enterprises</t>
  </si>
  <si>
    <t>K Rama Satyanarayana</t>
  </si>
  <si>
    <t>Lab Expo</t>
  </si>
  <si>
    <t>Labosys Instruments India Pvt Ltd</t>
  </si>
  <si>
    <t>Labtop Instruments Pvt Ltd</t>
  </si>
  <si>
    <t>LYRUS LIFE SCIENCES PVT LTD</t>
  </si>
  <si>
    <t>MAHADEV ENTERPRISES</t>
  </si>
  <si>
    <t>MeReDoC Pharma Cosultancy</t>
  </si>
  <si>
    <t>Msn Laboratories Pvt  Ltd</t>
  </si>
  <si>
    <t>ORIGIN Medicare Systems</t>
  </si>
  <si>
    <t>Pavan Traders</t>
  </si>
  <si>
    <t>Pravesha Industries Private Limited, Unit - I</t>
  </si>
  <si>
    <t>Pravesha Industries Private Limited, Unit-IV</t>
  </si>
  <si>
    <t>Prroxy Technology</t>
  </si>
  <si>
    <t>Ray Analyticals Instruments</t>
  </si>
  <si>
    <t>SAMPLE BARCODE MAGEMENT SYSTEM</t>
  </si>
  <si>
    <t>SHED CONSTRUCTION</t>
  </si>
  <si>
    <t>SIGMA PHARMA USA</t>
  </si>
  <si>
    <t>Simco Calibration &amp; Testing Pvt Ltd</t>
  </si>
  <si>
    <t>Sri Sai Power Solutions</t>
  </si>
  <si>
    <t>Tds Payment on Dividend Sec 194</t>
  </si>
  <si>
    <t>VelZen Pharma Pvt Ltd</t>
  </si>
  <si>
    <t>Vignesh Scientifics Technologies</t>
  </si>
  <si>
    <t>VM Sciences</t>
  </si>
  <si>
    <t>ZENARA PHARMA PVT LTD</t>
  </si>
  <si>
    <t>FY 23-24</t>
  </si>
  <si>
    <t>TDS Receivable as per 26As as at 21-06-2024</t>
  </si>
  <si>
    <t>S.No</t>
  </si>
  <si>
    <t>Name of Deductor</t>
  </si>
  <si>
    <t>Pan</t>
  </si>
  <si>
    <t>Sec</t>
  </si>
  <si>
    <t>Taxable Amount</t>
  </si>
  <si>
    <t>TDS Receivables</t>
  </si>
  <si>
    <t>TDS receivables</t>
  </si>
  <si>
    <t>M/S LYRUS LIFE SCIENCES PRIVATE LIMITED</t>
  </si>
  <si>
    <t>BLRM23796D</t>
  </si>
  <si>
    <t>194JB</t>
  </si>
  <si>
    <t xml:space="preserve">As per books </t>
  </si>
  <si>
    <t>AUROBINDO PHARMA LTD</t>
  </si>
  <si>
    <t>HYDA01477A</t>
  </si>
  <si>
    <t>194JA</t>
  </si>
  <si>
    <t>As per 26As</t>
  </si>
  <si>
    <t>AXIS CLINICALS LIMITED</t>
  </si>
  <si>
    <t>HYDA10523C</t>
  </si>
  <si>
    <t>Differenece of amount</t>
  </si>
  <si>
    <t>GRAVITI PHARMACEUTICALS PRIVATE LIMITED</t>
  </si>
  <si>
    <t>HYDA13768G</t>
  </si>
  <si>
    <t>ANTHEA PHARMA PRIVATE LIMITED</t>
  </si>
  <si>
    <t>HYDA23873D</t>
  </si>
  <si>
    <t>DR REDDY'S LABORATORIES LTD</t>
  </si>
  <si>
    <t>HYDD00080D</t>
  </si>
  <si>
    <t>ZENARA PHARMA PRIVATE LIMITED</t>
  </si>
  <si>
    <t>HYDD01366B</t>
  </si>
  <si>
    <t>As per 2B</t>
  </si>
  <si>
    <t>HYDE02630F</t>
  </si>
  <si>
    <t>HYDG00432F</t>
  </si>
  <si>
    <t>GST input TS</t>
  </si>
  <si>
    <t>MYLAN LABORATORIES LIMITED</t>
  </si>
  <si>
    <t>HYDM02247A</t>
  </si>
  <si>
    <t>HYDN00304D</t>
  </si>
  <si>
    <t>AZURITY PHARMACEUTICALS INDIA LLP</t>
  </si>
  <si>
    <t>HYDS46807F</t>
  </si>
  <si>
    <t>MANKIND PHARMA  LIMITED</t>
  </si>
  <si>
    <t>MRTM00008B</t>
  </si>
  <si>
    <t>ICICI BANK LIMITED</t>
  </si>
  <si>
    <t>MUMI04813E</t>
  </si>
  <si>
    <t>194A</t>
  </si>
  <si>
    <t>Total:</t>
  </si>
  <si>
    <t>As per cash ledger</t>
  </si>
  <si>
    <t>Cash ledger balance-TS</t>
  </si>
  <si>
    <t>TCS Receivable as per 26As as at 21-06-2024</t>
  </si>
  <si>
    <t>Name of Collector</t>
  </si>
  <si>
    <t>FOCUS EXHIBITION AND LEISURE TOURS PRIVATE LIMITED</t>
  </si>
  <si>
    <t>AHMF02399F</t>
  </si>
  <si>
    <t>206CN</t>
  </si>
  <si>
    <t>SOUTHERN POWER DISTRIBUTION COMPANY OF TS LIMITED</t>
  </si>
  <si>
    <t>HYDS05463D</t>
  </si>
  <si>
    <t>206CR</t>
  </si>
  <si>
    <t>Revenue from operations</t>
  </si>
  <si>
    <t>As per books</t>
  </si>
  <si>
    <t>Name Of Deductee</t>
  </si>
  <si>
    <t>Pan Of Deductee</t>
  </si>
  <si>
    <t>TDS Deposited</t>
  </si>
  <si>
    <t>Total as per Opto tax</t>
  </si>
  <si>
    <t>VIJAYA  PATURU</t>
  </si>
  <si>
    <t>AHDPP7832K</t>
  </si>
  <si>
    <t>194IA</t>
  </si>
  <si>
    <t>Difference</t>
  </si>
  <si>
    <t>Purchase of Immovable Property</t>
  </si>
  <si>
    <t>Company Name</t>
  </si>
  <si>
    <t xml:space="preserve">GSTIN: </t>
  </si>
  <si>
    <t>User Id</t>
  </si>
  <si>
    <t>Password</t>
  </si>
  <si>
    <t>Months</t>
  </si>
  <si>
    <t>GSTR-1 Sales</t>
  </si>
  <si>
    <t>GST-3B Sales</t>
  </si>
  <si>
    <t>Diffenrence</t>
  </si>
  <si>
    <t>B2B</t>
  </si>
  <si>
    <t>IGST</t>
  </si>
  <si>
    <t>CGST</t>
  </si>
  <si>
    <t>SGST</t>
  </si>
  <si>
    <t>Total Tax</t>
  </si>
  <si>
    <t>Invoice Value</t>
  </si>
  <si>
    <t>Taxable value</t>
  </si>
  <si>
    <t>GSTR-1 to GSTR-3B</t>
  </si>
  <si>
    <t>As per Tally</t>
  </si>
  <si>
    <t>Difference in Sales</t>
  </si>
  <si>
    <t xml:space="preserve">  Net  Purchases as per Books</t>
  </si>
  <si>
    <t>GSTR-3B ITC Claimed</t>
  </si>
  <si>
    <t>Difference Net Books &amp; 2A</t>
  </si>
  <si>
    <t>Difference 3B Input &amp; Books</t>
  </si>
  <si>
    <t>Difference 3B Input &amp; 2A Net</t>
  </si>
  <si>
    <t>ITC Claimed</t>
  </si>
  <si>
    <t>Inv. Value</t>
  </si>
  <si>
    <t>GST Payable/Off Set</t>
  </si>
  <si>
    <t>GST Liability</t>
  </si>
  <si>
    <t>ITC Utilised</t>
  </si>
  <si>
    <t>Late Fee</t>
  </si>
  <si>
    <t>Interest</t>
  </si>
  <si>
    <t>Paid in cash/Bank</t>
  </si>
  <si>
    <t>Diff</t>
  </si>
  <si>
    <t>Reconcile of Sales and Purchases for FY 2023-24 GST Returns with Books</t>
  </si>
  <si>
    <t>Amount(Rs)</t>
  </si>
  <si>
    <t>I. Profits And gains From Business And Profession</t>
  </si>
  <si>
    <t>Profit Before Tax as per P&amp;L A/c</t>
  </si>
  <si>
    <t xml:space="preserve">    Add: Interest on Income Tax</t>
  </si>
  <si>
    <t xml:space="preserve">    Add: Depreciation as per Companies Act</t>
  </si>
  <si>
    <t>Net Business Profit</t>
  </si>
  <si>
    <t xml:space="preserve">   Less: Depreciation U/s 32(1)</t>
  </si>
  <si>
    <t>Gross Total Income</t>
  </si>
  <si>
    <t>Less: Deductions U/C-VI A</t>
  </si>
  <si>
    <t>Total Deductions U/C- VI A</t>
  </si>
  <si>
    <t>Net Total Income</t>
  </si>
  <si>
    <t>Less: brough froward losses</t>
  </si>
  <si>
    <t>Taxable Profits</t>
  </si>
  <si>
    <t>II. Computation of Tax</t>
  </si>
  <si>
    <t>Tax on Total Income</t>
  </si>
  <si>
    <t>Add: Education Cess @4%</t>
  </si>
  <si>
    <t>Total Tax Payable</t>
  </si>
  <si>
    <t>Minimum Alternative Tax as per 115JB</t>
  </si>
  <si>
    <t>Tax Payable</t>
  </si>
  <si>
    <t>Less: MAT Credit Available</t>
  </si>
  <si>
    <t>Less: TDS</t>
  </si>
  <si>
    <t>Balance Tax Payable</t>
  </si>
  <si>
    <t>Add: Interest</t>
  </si>
  <si>
    <t xml:space="preserve">                 U/s 234A</t>
  </si>
  <si>
    <t xml:space="preserve">                 U/s 234B</t>
  </si>
  <si>
    <t xml:space="preserve">                 U/s 234C</t>
  </si>
  <si>
    <t>Total Interest Payable</t>
  </si>
  <si>
    <t>Total Interest &amp; Tax Payable</t>
  </si>
  <si>
    <t>Less: Self Assessment Tax Paid U/s140A</t>
  </si>
  <si>
    <t>Balance Tax Payable(Refundable)</t>
  </si>
  <si>
    <t>Computation of Minimum Alternative Tax U/s 115JB</t>
  </si>
  <si>
    <t>Net Profit After tax as per P&amp;L a/c</t>
  </si>
  <si>
    <r>
      <rPr>
        <b/>
        <sz val="12"/>
        <color theme="1"/>
        <rFont val="Times New Roman"/>
        <family val="1"/>
      </rPr>
      <t>ADD:</t>
    </r>
    <r>
      <rPr>
        <sz val="12"/>
        <color theme="1"/>
        <rFont val="Times New Roman"/>
        <family val="1"/>
      </rPr>
      <t xml:space="preserve"> Adjustments contemplated u/s 115 JB</t>
    </r>
  </si>
  <si>
    <t xml:space="preserve">          (ii) Interest on Income Tax debited to P&amp;L</t>
  </si>
  <si>
    <t xml:space="preserve">          (iii) Current Tax debited to P&amp;L A/c</t>
  </si>
  <si>
    <t xml:space="preserve">          (iv) Depreciation Debited to Profit and Loss account </t>
  </si>
  <si>
    <r>
      <rPr>
        <b/>
        <sz val="12"/>
        <color theme="1"/>
        <rFont val="Times New Roman"/>
        <family val="1"/>
      </rPr>
      <t>LESS:</t>
    </r>
    <r>
      <rPr>
        <sz val="12"/>
        <color theme="1"/>
        <rFont val="Times New Roman"/>
        <family val="1"/>
      </rPr>
      <t xml:space="preserve"> Adjustments contemplated u/s 115 JB</t>
    </r>
  </si>
  <si>
    <t xml:space="preserve">           (i)Depreciation Debited to Profit and Loss account </t>
  </si>
  <si>
    <t xml:space="preserve">           (ii)Deferred tax liability/asset created during the year</t>
  </si>
  <si>
    <t xml:space="preserve">          (iii) MAT Credit Credited to P&amp;L A/c</t>
  </si>
  <si>
    <t xml:space="preserve">           (iv)Lower of brought forward book losses or book depreciation</t>
  </si>
  <si>
    <t xml:space="preserve">                                                     (a). Business Loss</t>
  </si>
  <si>
    <t xml:space="preserve">                                                     (b).Unabsorbed Depreciation </t>
  </si>
  <si>
    <t xml:space="preserve">                                                                                   Lower of (a) &amp; (b)</t>
  </si>
  <si>
    <t>BOOK PROFIT FOR THE PURPOSE OF MAT</t>
  </si>
  <si>
    <t>Minimum Alternative Tax@ 15%</t>
  </si>
  <si>
    <t>Add:EC &amp; SHEC</t>
  </si>
  <si>
    <t>Total  Tax Payable as per MAT</t>
  </si>
  <si>
    <t>Export WOP</t>
  </si>
  <si>
    <t>GST Sales</t>
  </si>
  <si>
    <t>Matched</t>
  </si>
  <si>
    <t>Age wise analysis of Trade payables as on 31.03.2024</t>
  </si>
  <si>
    <t>GSTR-2B  Net</t>
  </si>
  <si>
    <t>Age wise analysis of Trade receivables as on 31.03.2024</t>
  </si>
  <si>
    <t>GST</t>
  </si>
  <si>
    <t>54,25,210 (March 31, 2024 : 54,25,210) equity shares of ₹ 10/- each</t>
  </si>
  <si>
    <t>75,70,000 (March 31, 2024 : 75,70,000) equity shares of ₹ 10/- each</t>
  </si>
  <si>
    <t>As at 31.03.2024</t>
  </si>
  <si>
    <t>Dividend paid</t>
  </si>
  <si>
    <t>Less: Dividend Paid</t>
  </si>
  <si>
    <t>Less: TCS</t>
  </si>
  <si>
    <t>Less: Advance Tax</t>
  </si>
  <si>
    <t>As per Bank</t>
  </si>
  <si>
    <t>As per Bank statement</t>
  </si>
  <si>
    <t>Depreciation Schedule</t>
  </si>
  <si>
    <t>2017-18</t>
  </si>
  <si>
    <t>2018-19</t>
  </si>
  <si>
    <t>2019-20</t>
  </si>
  <si>
    <t>2020-21</t>
  </si>
  <si>
    <t>2021-22</t>
  </si>
  <si>
    <t>2022-23</t>
  </si>
  <si>
    <t>2023-24</t>
  </si>
  <si>
    <t>Asset Category</t>
  </si>
  <si>
    <t>Rate of Depreciation</t>
  </si>
  <si>
    <t>Estimated
Useful Life</t>
  </si>
  <si>
    <t>Year</t>
  </si>
  <si>
    <t xml:space="preserve">Date of Acquisition </t>
  </si>
  <si>
    <t>Date of Put to Use</t>
  </si>
  <si>
    <t>Asset Closing Date</t>
  </si>
  <si>
    <t>Gross Block</t>
  </si>
  <si>
    <t>Salvage Value@5%</t>
  </si>
  <si>
    <t>Opening WDV 2017-18</t>
  </si>
  <si>
    <t>Opening WDV 2018-19</t>
  </si>
  <si>
    <t>Days</t>
  </si>
  <si>
    <t>Dep 2018-19</t>
  </si>
  <si>
    <t>Accumulated
Depn</t>
  </si>
  <si>
    <t>Closing WDV
2018-19</t>
  </si>
  <si>
    <t>Opening WDV 2019-20</t>
  </si>
  <si>
    <t>Dep 2019-20</t>
  </si>
  <si>
    <t>Closing WDV
2019-20</t>
  </si>
  <si>
    <t>Opening WDV 2020-21</t>
  </si>
  <si>
    <t>Dep 2020-21</t>
  </si>
  <si>
    <t>Closing WDV
2020-21</t>
  </si>
  <si>
    <t>Opening WDV 2021-22</t>
  </si>
  <si>
    <t>Dep 2021-22</t>
  </si>
  <si>
    <t>Closing WDV
2021-22</t>
  </si>
  <si>
    <t>Dep 2022-23</t>
  </si>
  <si>
    <t>Closing WDV
2022-23</t>
  </si>
  <si>
    <t>Opening WDV 2022-23</t>
  </si>
  <si>
    <t>Dep 2023-24</t>
  </si>
  <si>
    <t>Closing WDV
2023-24</t>
  </si>
  <si>
    <t>Buildings (Temporary Structures)</t>
  </si>
  <si>
    <t>Shed Construction</t>
  </si>
  <si>
    <t>FY 2018-19</t>
  </si>
  <si>
    <t>Gril room construction</t>
  </si>
  <si>
    <t xml:space="preserve">Buildings </t>
  </si>
  <si>
    <t>Building &amp; Reg Fee</t>
  </si>
  <si>
    <t>Total - Buildings</t>
  </si>
  <si>
    <t>Computers&amp;Peripherals</t>
  </si>
  <si>
    <t>LAPTOPS 2</t>
  </si>
  <si>
    <t>DESKTOP 26</t>
  </si>
  <si>
    <t>HP ML 10 SERVER 1,</t>
  </si>
  <si>
    <t>lan cables</t>
  </si>
  <si>
    <t>total 63 cameras</t>
  </si>
  <si>
    <t>DVR &amp; HDD</t>
  </si>
  <si>
    <t>Lan cable networks</t>
  </si>
  <si>
    <t>TP link Router 2</t>
  </si>
  <si>
    <t>printers 5</t>
  </si>
  <si>
    <t>Prjocter&amp;Screen</t>
  </si>
  <si>
    <t>Tripod Star 63 Stands</t>
  </si>
  <si>
    <t>Speakers 60 total</t>
  </si>
  <si>
    <t>dell desktop 1</t>
  </si>
  <si>
    <t>lenovo laptop and printer 1</t>
  </si>
  <si>
    <t>dell desktop 3</t>
  </si>
  <si>
    <t>printer 2</t>
  </si>
  <si>
    <t>Router 1</t>
  </si>
  <si>
    <t>FY 2019-20</t>
  </si>
  <si>
    <t>Desktop</t>
  </si>
  <si>
    <t>FY 20-21</t>
  </si>
  <si>
    <t>Lenovo Laptop</t>
  </si>
  <si>
    <t>Desktops 2</t>
  </si>
  <si>
    <t>Monitor</t>
  </si>
  <si>
    <t>Hard disk drive</t>
  </si>
  <si>
    <t>System and Keyboard</t>
  </si>
  <si>
    <t>Printer</t>
  </si>
  <si>
    <t>Dell I3 System</t>
  </si>
  <si>
    <t>SVSS Computers &amp; Software server</t>
  </si>
  <si>
    <t>SVSS Computers</t>
  </si>
  <si>
    <t>Bar Code printer</t>
  </si>
  <si>
    <t>CCTV Cameras IT Dep</t>
  </si>
  <si>
    <t>Desktop And Laptops</t>
  </si>
  <si>
    <t>Printers IT Dept</t>
  </si>
  <si>
    <t>Desktop and Laptops</t>
  </si>
  <si>
    <t>CCTV CAMERAS -IT Dept</t>
  </si>
  <si>
    <t>Total - Computers</t>
  </si>
  <si>
    <t>Electricals &amp; Equipments</t>
  </si>
  <si>
    <t>Elecrical Transformer&amp;panels</t>
  </si>
  <si>
    <t>GENERATOR 1</t>
  </si>
  <si>
    <t>UPS SYSTEM 2</t>
  </si>
  <si>
    <t>Electronic Weighing Machine 3</t>
  </si>
  <si>
    <t>Electronic Weighing Machine 1</t>
  </si>
  <si>
    <t>Electrical cables</t>
  </si>
  <si>
    <t>PANASONIC LIGHTS 50</t>
  </si>
  <si>
    <t>36 W PANASONIC LIGHTS 2,PANASONIC 50</t>
  </si>
  <si>
    <t>PANASONIC LIGHTS 30</t>
  </si>
  <si>
    <t>ELECTRICAL MATERIAL</t>
  </si>
  <si>
    <t>DRAFTAIR PLUS EXAUST FANS 2</t>
  </si>
  <si>
    <t>225 MM CROMPTON EXHAUST FANS 9,WALL FANS 2</t>
  </si>
  <si>
    <t>led monochromic lights 32</t>
  </si>
  <si>
    <t>ss platform Generator</t>
  </si>
  <si>
    <t>Crmpton Fedastal Fan 1</t>
  </si>
  <si>
    <t>Electrical Gadgets</t>
  </si>
  <si>
    <t>Electrical Gadgets CP Dept</t>
  </si>
  <si>
    <t>Generator</t>
  </si>
  <si>
    <t>Total - Elec</t>
  </si>
  <si>
    <t>Mobile alaram system 2,</t>
  </si>
  <si>
    <t>Monitor stand 4.</t>
  </si>
  <si>
    <t>BEDS 41</t>
  </si>
  <si>
    <t>BEDS 86</t>
  </si>
  <si>
    <t>2 steel alamaras</t>
  </si>
  <si>
    <t>SS PIPES</t>
  </si>
  <si>
    <t>SCIENTIFIC DOORS 35</t>
  </si>
  <si>
    <t xml:space="preserve">GRANITE STONE </t>
  </si>
  <si>
    <t xml:space="preserve">GRANITE STONE  </t>
  </si>
  <si>
    <t>6 racs stores</t>
  </si>
  <si>
    <t>1000 LTRS SS TANK</t>
  </si>
  <si>
    <t>ALAMARAS 3.</t>
  </si>
  <si>
    <t>Aluminium ladder 1</t>
  </si>
  <si>
    <t>Tables 1,chair 6.</t>
  </si>
  <si>
    <t>Table 1,</t>
  </si>
  <si>
    <t>Table  1,chairs 4</t>
  </si>
  <si>
    <t>Table  2,chairs 5</t>
  </si>
  <si>
    <t>Table  5,chairs 20</t>
  </si>
  <si>
    <t>Table  9,chairs 36</t>
  </si>
  <si>
    <t>Table  9,chairs 35</t>
  </si>
  <si>
    <t xml:space="preserve">1.Office chairs 30                                          2.office table 14                                               3. reception table 1                                               4.Three seater airport chair 6. </t>
  </si>
  <si>
    <t xml:space="preserve"> Conference room chairs 10,                       conference table 1,                              Director's Room Tables 2,                                      Work Stations (18 sittings with Storage) 6, Blue office Chairs 18+40                                Visitors Chairs 6                                              Director chairs 3                                                  Hod table 5                                                                 Airport Chairs   12               </t>
  </si>
  <si>
    <t>Glaas doors</t>
  </si>
  <si>
    <t>GENERAL FURNITURE AND FITTINGS</t>
  </si>
  <si>
    <t>Steem Bench beeding</t>
  </si>
  <si>
    <t>TAKE WOOD BEEDING</t>
  </si>
  <si>
    <t>LAB MODULAR FURNITURE</t>
  </si>
  <si>
    <t xml:space="preserve">SS TABLE GLASS FITTINGS </t>
  </si>
  <si>
    <t>SS RACKS 2,</t>
  </si>
  <si>
    <t>Instrument Trolly 16,sink type Trolly 4,</t>
  </si>
  <si>
    <t>SS Racks 6</t>
  </si>
  <si>
    <t>Weing Stones SS WEIGHT 20</t>
  </si>
  <si>
    <t>nilkamal  chairs 9</t>
  </si>
  <si>
    <t>Racks 5</t>
  </si>
  <si>
    <t>table glass ceo sir</t>
  </si>
  <si>
    <t>Wooden Work Materials</t>
  </si>
  <si>
    <t>Stp Plant</t>
  </si>
  <si>
    <t>Smoke Detectors</t>
  </si>
  <si>
    <t>SS Platform 3rd floor</t>
  </si>
  <si>
    <t>Plywood doors and walls</t>
  </si>
  <si>
    <t>Glass doors</t>
  </si>
  <si>
    <t>SS Trollys</t>
  </si>
  <si>
    <t>Tables and Chairs</t>
  </si>
  <si>
    <t>Godrej Almirah</t>
  </si>
  <si>
    <t>Furniture</t>
  </si>
  <si>
    <t>Chairs</t>
  </si>
  <si>
    <t>Wooden Partitions</t>
  </si>
  <si>
    <t>Wall Panel system &amp; wood partition</t>
  </si>
  <si>
    <t>Pre-operative Expenses Capitalised as FF</t>
  </si>
  <si>
    <t>Furniture -Admin Dept</t>
  </si>
  <si>
    <t>Smoke Detectors and Fire Alaram Expences</t>
  </si>
  <si>
    <t>STP Tank</t>
  </si>
  <si>
    <t>Table &amp; Chair -Admin Dept</t>
  </si>
  <si>
    <t>Volunteer Beds -CP Dept</t>
  </si>
  <si>
    <t>WALL PANNEL SYSTEMS</t>
  </si>
  <si>
    <t>Wooden Partition and Cupboards</t>
  </si>
  <si>
    <t xml:space="preserve">Smoke Detectors and Fire Alaram </t>
  </si>
  <si>
    <t>Carpenter work</t>
  </si>
  <si>
    <t>Total - Furnitures &amp; Fixtures</t>
  </si>
  <si>
    <t>EMI LOCKS 22,ESSL X990 READER 22</t>
  </si>
  <si>
    <t>IP PBX 1. INTERCOM PHONE</t>
  </si>
  <si>
    <t>Phones 24total</t>
  </si>
  <si>
    <t>Airconditioners 65 total</t>
  </si>
  <si>
    <t>FRIDGE 3                                                             LED TV 1,</t>
  </si>
  <si>
    <t>SAMSUNG LED TV 3,</t>
  </si>
  <si>
    <t>mobile 1</t>
  </si>
  <si>
    <t>TVs and Fridge</t>
  </si>
  <si>
    <t>Water Dispenser</t>
  </si>
  <si>
    <t>Acs Installation / AC</t>
  </si>
  <si>
    <t xml:space="preserve">FRIDGE 3                                                             </t>
  </si>
  <si>
    <t>Air Conditioners</t>
  </si>
  <si>
    <t>Phones IT Dept</t>
  </si>
  <si>
    <t>Total - Off  Equipment</t>
  </si>
  <si>
    <t>Plant &amp; Machinery</t>
  </si>
  <si>
    <t>AB Sciex</t>
  </si>
  <si>
    <t>Cooling Chambers Defrezer 4</t>
  </si>
  <si>
    <t>micro pippte 15                                                                    vortex mixer 6                                                                    mx -rd pro1                                                                  magnetic stirrer 1</t>
  </si>
  <si>
    <t>EYE AND BODY WASH KIT 2,</t>
  </si>
  <si>
    <t>nitrogen evaporator 1.</t>
  </si>
  <si>
    <t>SPE possitive pressure basic system 1</t>
  </si>
  <si>
    <t>Nitrogen gas with Sylinder 2</t>
  </si>
  <si>
    <t>Vaccum pump 1,</t>
  </si>
  <si>
    <t>micro pipette 4                                                                   Dispences mate 2</t>
  </si>
  <si>
    <t xml:space="preserve">I-flow oxygen 99% pure nitrogen  Gardner Denver Air system                      Wet air Receiver-3000 ltr                             Air cooled after cooler                                        Air Drier 1                                             Nitrozen  process reciver                                              Nitroze storage Reciever              </t>
  </si>
  <si>
    <t>lab digita ph/ion meter 1</t>
  </si>
  <si>
    <t>lcms sysems 1</t>
  </si>
  <si>
    <t>Centrifuse-4</t>
  </si>
  <si>
    <t>Centrifuse 1</t>
  </si>
  <si>
    <t xml:space="preserve">micro bal Cap 5g micro balance1                              WEIGHT BOX 200 GMS,1                                                Printrt Dot matrix Epson 3                                                                                                                                                 </t>
  </si>
  <si>
    <t>micro bal cap semi micro balance 1</t>
  </si>
  <si>
    <t>BPL MULTIPARA MONITORS</t>
  </si>
  <si>
    <t>calling buttons</t>
  </si>
  <si>
    <t>clinical equipment</t>
  </si>
  <si>
    <t>Defreezer 4 -20c 3,cooling chamber 1</t>
  </si>
  <si>
    <t>ECG Macines 2</t>
  </si>
  <si>
    <t>Mater clock 2                                                      gps clock25</t>
  </si>
  <si>
    <t>Walk in stability chamber 1</t>
  </si>
  <si>
    <t>Defribbilator 1</t>
  </si>
  <si>
    <t>infusion pump 4,                                      syringe pump 4.</t>
  </si>
  <si>
    <t>ICU Ventilator1                                                                medical compreesor1                                                                                  column accessories1.</t>
  </si>
  <si>
    <t>micro pette plus</t>
  </si>
  <si>
    <t xml:space="preserve">digital clamp meter and Thermometers </t>
  </si>
  <si>
    <t xml:space="preserve"> hygrometers 20                                         alchol blow meters 2</t>
  </si>
  <si>
    <t xml:space="preserve"> -80c Defrezer</t>
  </si>
  <si>
    <t>Nitrogen Evaporator</t>
  </si>
  <si>
    <t>civil work for peak scientific instruments</t>
  </si>
  <si>
    <t>Lab Equipment</t>
  </si>
  <si>
    <t>Cooling Chambers CP Dept</t>
  </si>
  <si>
    <t>Cooling Chambers BA Dept</t>
  </si>
  <si>
    <t>Lab Equipment BA Dept</t>
  </si>
  <si>
    <t>LCMS System</t>
  </si>
  <si>
    <t>X-Ray Machines_Clinical</t>
  </si>
  <si>
    <t>Lab Equipment-cp</t>
  </si>
  <si>
    <t>LCMS System &amp; Lab Eqpmnt</t>
  </si>
  <si>
    <t>Pre-operative Expenses Capitalised as P&amp;M</t>
  </si>
  <si>
    <t>Calling Buttons CP Dep</t>
  </si>
  <si>
    <t xml:space="preserve">Clinical Equipments </t>
  </si>
  <si>
    <t>Clinical Equipments -Cp Dept</t>
  </si>
  <si>
    <t>Cooling Chambers -BA Dept</t>
  </si>
  <si>
    <t>GPS Clocks</t>
  </si>
  <si>
    <t>Total - PM</t>
  </si>
  <si>
    <t>Mecedes Bencz</t>
  </si>
  <si>
    <t>Mecedes Bencz - Input Reversal</t>
  </si>
  <si>
    <t>Total - MV</t>
  </si>
  <si>
    <t>HRMS SOFTWARE</t>
  </si>
  <si>
    <t>TALLY ERP 9</t>
  </si>
  <si>
    <t>WIN PRO 10 SGNL SOFTWARE</t>
  </si>
  <si>
    <t>kaspersky end point security</t>
  </si>
  <si>
    <t>Business premium Software</t>
  </si>
  <si>
    <t>Oparating Software Keys</t>
  </si>
  <si>
    <t>Operating Software Keys</t>
  </si>
  <si>
    <t>Total - IA</t>
  </si>
  <si>
    <t>Gross</t>
  </si>
  <si>
    <t>Name</t>
  </si>
  <si>
    <t>Gross Value Assets</t>
  </si>
  <si>
    <t>CY Dep</t>
  </si>
  <si>
    <t>Accmaleted Dep as on 31-03-23</t>
  </si>
  <si>
    <t>Closinng WDV</t>
  </si>
  <si>
    <t>Closing WDV as per Tally and FS</t>
  </si>
  <si>
    <t xml:space="preserve"> </t>
  </si>
  <si>
    <t>GROSS VALUE</t>
  </si>
  <si>
    <t>DEPRECIATION</t>
  </si>
  <si>
    <t>Opening Gross Value Assets</t>
  </si>
  <si>
    <t>CY Additions</t>
  </si>
  <si>
    <t>CY Deletions</t>
  </si>
  <si>
    <t>Opening Accumulated Dep</t>
  </si>
  <si>
    <t>Accmaleted Dep as on 31-03-24</t>
  </si>
  <si>
    <t>(All amounts in INR)</t>
  </si>
  <si>
    <t>Sl. No.</t>
  </si>
  <si>
    <t>Description</t>
  </si>
  <si>
    <t>WDV</t>
  </si>
  <si>
    <t xml:space="preserve">    Additions during the year</t>
  </si>
  <si>
    <t>Deletions during the year</t>
  </si>
  <si>
    <t xml:space="preserve">Depreciation Allowable </t>
  </si>
  <si>
    <t xml:space="preserve"> as at</t>
  </si>
  <si>
    <t xml:space="preserve">More than </t>
  </si>
  <si>
    <t>Less than</t>
  </si>
  <si>
    <t>On Opening</t>
  </si>
  <si>
    <t>On Additions</t>
  </si>
  <si>
    <t>180 Days</t>
  </si>
  <si>
    <t>Deletions</t>
  </si>
  <si>
    <t>WDV less sales</t>
  </si>
  <si>
    <t>More than 180 Days</t>
  </si>
  <si>
    <t>Less than 180 Days</t>
  </si>
  <si>
    <t>New Building</t>
  </si>
  <si>
    <t>Buildings (Temporary structures)</t>
  </si>
  <si>
    <t>Note 6</t>
  </si>
  <si>
    <t>Note</t>
  </si>
  <si>
    <t>14% CGST Input Tax Credit</t>
  </si>
  <si>
    <t>14% SGST Input Tax Credit</t>
  </si>
  <si>
    <t>9% SGST OUTPUT TAX</t>
  </si>
  <si>
    <t>B Balachari Carpenter</t>
  </si>
  <si>
    <t>NEO TECHNIQUES</t>
  </si>
  <si>
    <t>SAMSON MS</t>
  </si>
  <si>
    <t>S Kalyan</t>
  </si>
  <si>
    <t>Note 13</t>
  </si>
  <si>
    <t>B balachari Carpenter</t>
  </si>
  <si>
    <t>Labtop Instruments pvt ltd</t>
  </si>
  <si>
    <t>Deferred tax computation</t>
  </si>
  <si>
    <t>Deferred tax calculation</t>
  </si>
  <si>
    <t>i)  Depreciation</t>
  </si>
  <si>
    <t>Depreciation as per Companies Act</t>
  </si>
  <si>
    <t>Depreciation as per Income tax Act</t>
  </si>
  <si>
    <t>Deferred Tax Liability/(Asset) at the end of the year</t>
  </si>
  <si>
    <t>Less: Deferred Tax Liability/Asset at the beginning of the year</t>
  </si>
  <si>
    <t>Curent year Deferred Tax Liability / (Asset) -P&amp;L</t>
  </si>
  <si>
    <t>Particulrs</t>
  </si>
  <si>
    <t>DTA/DTL</t>
  </si>
  <si>
    <t xml:space="preserve">Book Profit Higher than the Taxable Profit - 
Pay Less tax in current year and Pay more in future </t>
  </si>
  <si>
    <t xml:space="preserve">Book Profit Less than the Taxable Profit -
Pay more tax in current year and Pay less in future </t>
  </si>
  <si>
    <t>Deferred Tax Asset</t>
  </si>
  <si>
    <r>
      <t>Total cash and cash equivalents (</t>
    </r>
    <r>
      <rPr>
        <b/>
        <i/>
        <sz val="17"/>
        <color rgb="FF000000"/>
        <rFont val="Book Antiqua"/>
        <family val="1"/>
      </rPr>
      <t>Refer note 13</t>
    </r>
    <r>
      <rPr>
        <b/>
        <sz val="17"/>
        <color rgb="FF000000"/>
        <rFont val="Book Antiqua"/>
        <family val="1"/>
      </rPr>
      <t>)</t>
    </r>
  </si>
  <si>
    <t>Net deferred tax Liability(Adjustment)</t>
  </si>
  <si>
    <t>Last Bill Amt</t>
  </si>
  <si>
    <t>There was opening bal</t>
  </si>
  <si>
    <t>Civil works</t>
  </si>
  <si>
    <t>Study expenses</t>
  </si>
  <si>
    <t>Diesel Expenses</t>
  </si>
  <si>
    <t>Interest paid</t>
  </si>
  <si>
    <t>Electrical expenses</t>
  </si>
  <si>
    <t>Liability</t>
  </si>
  <si>
    <t>As Per GST Credit ledger</t>
  </si>
  <si>
    <t>Liability paid</t>
  </si>
  <si>
    <t>Liability as per GST</t>
  </si>
  <si>
    <t>Paid in Cash</t>
  </si>
  <si>
    <t>Tally Liability</t>
  </si>
  <si>
    <t>Tally Input Op</t>
  </si>
  <si>
    <t xml:space="preserve">           Op bal 31-03-2023</t>
  </si>
  <si>
    <t>Fire extingushiers</t>
  </si>
  <si>
    <t>Custom duty payable</t>
  </si>
  <si>
    <t>As per Portal</t>
  </si>
  <si>
    <t>As per Books</t>
  </si>
  <si>
    <t>Carrying from Opening</t>
  </si>
  <si>
    <t>GST OUTPUT</t>
  </si>
  <si>
    <t>Nov</t>
  </si>
  <si>
    <t>3B</t>
  </si>
  <si>
    <t>Previous Months</t>
  </si>
  <si>
    <t>As per Excel</t>
  </si>
  <si>
    <t>Instead of taking Previous months bal taken RCM</t>
  </si>
  <si>
    <t>Excess Claim</t>
  </si>
  <si>
    <t>RCM-Previous Months</t>
  </si>
  <si>
    <t>Dec</t>
  </si>
  <si>
    <t>Imports</t>
  </si>
  <si>
    <t>RCM Claimed twice</t>
  </si>
  <si>
    <t>July</t>
  </si>
  <si>
    <t>Oct</t>
  </si>
  <si>
    <t>Jan</t>
  </si>
  <si>
    <t>Excess Claimed than Opening</t>
  </si>
  <si>
    <t>Mar closing as per workings</t>
  </si>
  <si>
    <t xml:space="preserve">SGST </t>
  </si>
  <si>
    <t>Opening Bal As per books</t>
  </si>
  <si>
    <t>Difference CGST</t>
  </si>
  <si>
    <t>Difference SGST</t>
  </si>
  <si>
    <t xml:space="preserve">As per Books </t>
  </si>
  <si>
    <t>GST INPUT</t>
  </si>
  <si>
    <t>Previous Months Invoices as per GSTR 2B</t>
  </si>
  <si>
    <t>New building</t>
  </si>
  <si>
    <t xml:space="preserve">Loan taken </t>
  </si>
  <si>
    <t>As per 26AS Purchase Amt</t>
  </si>
  <si>
    <t>Advance Amt</t>
  </si>
  <si>
    <t>Commission amt</t>
  </si>
  <si>
    <t xml:space="preserve">Interest amt </t>
  </si>
  <si>
    <t xml:space="preserve">dismantling </t>
  </si>
  <si>
    <t>Repairs &amp; maintenance</t>
  </si>
  <si>
    <t>Nov - mar</t>
  </si>
  <si>
    <t>Nov - Mar</t>
  </si>
  <si>
    <t>Electricity charges</t>
  </si>
  <si>
    <t>Power connection for new Building</t>
  </si>
  <si>
    <t>Generator Purchased</t>
  </si>
  <si>
    <t>swathi power solutions</t>
  </si>
  <si>
    <t>Generator - Diesel expenses</t>
  </si>
  <si>
    <t>Feb &amp; mar</t>
  </si>
  <si>
    <t>Diesel expenses</t>
  </si>
  <si>
    <t>loan processing charges</t>
  </si>
  <si>
    <t>plumbing expenses</t>
  </si>
  <si>
    <t>plumbing material</t>
  </si>
  <si>
    <t>transportation &amp; unloading charges</t>
  </si>
  <si>
    <t>LCMS machines in new building</t>
  </si>
  <si>
    <t>Amt</t>
  </si>
  <si>
    <t>In books already capitalised</t>
  </si>
  <si>
    <t>Sec 80G</t>
  </si>
  <si>
    <t xml:space="preserve">    Add: CSR Activities</t>
  </si>
  <si>
    <t>B</t>
  </si>
  <si>
    <t>b</t>
  </si>
  <si>
    <t>e</t>
  </si>
  <si>
    <t>Equipment</t>
  </si>
  <si>
    <t>CSR Fund Expenses</t>
  </si>
  <si>
    <t>Doctors</t>
  </si>
  <si>
    <t>Management Consultancy</t>
  </si>
  <si>
    <t>Other consultants</t>
  </si>
  <si>
    <t>Row 180  in FA Register</t>
  </si>
  <si>
    <t xml:space="preserve">It's just refilling </t>
  </si>
  <si>
    <t>CWIP</t>
  </si>
  <si>
    <t>Building cost &amp; registration charges</t>
  </si>
  <si>
    <t>Already capitalised</t>
  </si>
  <si>
    <t>interest amt</t>
  </si>
  <si>
    <t>Commission Amt</t>
  </si>
  <si>
    <t>Capitalise</t>
  </si>
  <si>
    <t>CWIP a/c      Dr</t>
  </si>
  <si>
    <t xml:space="preserve">           To Civil works</t>
  </si>
  <si>
    <t xml:space="preserve">           To Repairs &amp; maintenance</t>
  </si>
  <si>
    <t xml:space="preserve">           To Electricity charges</t>
  </si>
  <si>
    <t xml:space="preserve">           To Electrical expenses</t>
  </si>
  <si>
    <t xml:space="preserve">           To Plumbing expenses</t>
  </si>
  <si>
    <t>Building a/c   Dr</t>
  </si>
  <si>
    <t xml:space="preserve">        To Commission</t>
  </si>
  <si>
    <t>Made changes in Excel</t>
  </si>
  <si>
    <t>Capital Work in progress</t>
  </si>
  <si>
    <t>Expense in P &amp; L</t>
  </si>
  <si>
    <t>Expense</t>
  </si>
  <si>
    <t>(Increase)/Decrease in Capital Work in Progress</t>
  </si>
  <si>
    <t>Long Term - Security Deposits</t>
  </si>
  <si>
    <t xml:space="preserve">    Add: MSME Creditors disallowed</t>
  </si>
  <si>
    <t>Fixed Deposits with ICICI Bank</t>
  </si>
  <si>
    <t>Bonus</t>
  </si>
  <si>
    <t>Dr. Akula Thukaram Bapuji</t>
  </si>
  <si>
    <t>22. Loss on Sale of Assets &amp; Investments</t>
  </si>
  <si>
    <t>23. Finance costs</t>
  </si>
  <si>
    <t>24. Payment to auditor</t>
  </si>
  <si>
    <t xml:space="preserve">25. Earnings in foreign currency:  </t>
  </si>
  <si>
    <t>26. Particulars of un-hedged foreign currency exposure:</t>
  </si>
  <si>
    <t>27. Relationship with Struck off Companies</t>
  </si>
  <si>
    <t>28. Earnings per Share</t>
  </si>
  <si>
    <t>29. Related Party Disclosures</t>
  </si>
  <si>
    <t>30. Depreciation</t>
  </si>
  <si>
    <t>31. Disclosure of Financial Ratios</t>
  </si>
  <si>
    <t>Domestic</t>
  </si>
  <si>
    <r>
      <rPr>
        <b/>
        <sz val="11"/>
        <color indexed="8"/>
        <rFont val="Book Antiqua"/>
        <family val="1"/>
      </rPr>
      <t>32.</t>
    </r>
    <r>
      <rPr>
        <sz val="11"/>
        <color indexed="8"/>
        <rFont val="Book Antiqua"/>
        <family val="1"/>
      </rPr>
      <t xml:space="preserve"> Previous year's figures have been regrouped wherever necessary to confirm to Current year's classfications. </t>
    </r>
  </si>
  <si>
    <t>Director                                Director</t>
  </si>
  <si>
    <t>Sundry creditors</t>
  </si>
  <si>
    <t>Add: Surcharge</t>
  </si>
  <si>
    <t>Add: GST Default amount &amp; Interest on TDS</t>
  </si>
  <si>
    <t>Disallowed Earlier now allowed Expenditure</t>
  </si>
  <si>
    <t>Computation of Total Income for the year ended 31st March, 2025</t>
  </si>
  <si>
    <t>Balance Sheet as at March 31, 2025</t>
  </si>
  <si>
    <t xml:space="preserve">  Year ended 
  March 31, 2025</t>
  </si>
  <si>
    <t>Statement of Profit and Loss for the year ended March 31, 2025</t>
  </si>
  <si>
    <t>Statement of Cash flows for the year ended March 31, 2025</t>
  </si>
  <si>
    <t>Notes to financial statements for the year ended March 31, 2025</t>
  </si>
  <si>
    <t>Age wise analysis of Trade payables as on 31.03.2025</t>
  </si>
  <si>
    <t>As at 1st April 2024</t>
  </si>
  <si>
    <t>As at 31st March  2025</t>
  </si>
  <si>
    <t>Age wise analysis of Trade receivables as on 31.03.2025</t>
  </si>
  <si>
    <t>FY 2024-25</t>
  </si>
  <si>
    <t>Trade Receivables:</t>
  </si>
  <si>
    <t>Outstanding liabilities for expenses:</t>
  </si>
  <si>
    <t>UDIN:</t>
  </si>
  <si>
    <r>
      <rPr>
        <b/>
        <sz val="11"/>
        <color theme="1"/>
        <rFont val="Book Antiqua"/>
        <family val="1"/>
      </rPr>
      <t>Place:</t>
    </r>
    <r>
      <rPr>
        <sz val="11"/>
        <color theme="1"/>
        <rFont val="Book Antiqua"/>
        <family val="1"/>
      </rPr>
      <t xml:space="preserve"> Hyderabad</t>
    </r>
  </si>
  <si>
    <t>Date:</t>
  </si>
  <si>
    <t>Amount in INR FY 24-25</t>
  </si>
  <si>
    <t>Amount in INR FY 23-24</t>
  </si>
  <si>
    <t>Period ended  : March 31,2025</t>
  </si>
  <si>
    <t>ZENRISE CLINICAL RESEARCH PVT LTD</t>
  </si>
  <si>
    <t>E-Mail : zraccounts@zenrise-cro.com</t>
  </si>
  <si>
    <t>1-Apr-24 to 31-Mar-25</t>
  </si>
  <si>
    <t>ZENRISE CLINICAL RESEARCH PVT LTD 2024-2025</t>
  </si>
  <si>
    <t>0% GST Output Tax</t>
  </si>
  <si>
    <t>5% IGST INPUT CREDIT</t>
  </si>
  <si>
    <t>ACP PANEL WORK</t>
  </si>
  <si>
    <t>Adavnce to Sucopeia Reference Standards OPC Pvt Ltd</t>
  </si>
  <si>
    <t>Adrta Technologies Pvt Lttd</t>
  </si>
  <si>
    <t>Advance for Rent Dr Rohit Prakash Kolipaka</t>
  </si>
  <si>
    <t>Advance for Rent M Kaushik Reddy</t>
  </si>
  <si>
    <t>Advance for Rent M Mayur Reddy</t>
  </si>
  <si>
    <t>Advance for Rent P Murali Krishna Chaitanya</t>
  </si>
  <si>
    <t>Advance for Rent SSK Tulasi Rao</t>
  </si>
  <si>
    <t>Advance for Rent Vimala Sravanthi Vajjala</t>
  </si>
  <si>
    <t>Advance for Rent V Vijaya Krishna Prasad</t>
  </si>
  <si>
    <t>Advance Given to Dr K Krishna Moorthy</t>
  </si>
  <si>
    <t>Advance Given to Dr Ragula Naveen</t>
  </si>
  <si>
    <t>Advance to K Sampath</t>
  </si>
  <si>
    <t>Advance to M Prabhukumar</t>
  </si>
  <si>
    <t>Advance to NEPPALLI NARENDRA</t>
  </si>
  <si>
    <t>Agilent Technologies</t>
  </si>
  <si>
    <t>A G Ravindranath Reddy</t>
  </si>
  <si>
    <t>Akshaya Labtech</t>
  </si>
  <si>
    <t>AMBICA &amp; COMPANY</t>
  </si>
  <si>
    <t>Amigo Techno Park Private Limited</t>
  </si>
  <si>
    <t>AnalChem SPE</t>
  </si>
  <si>
    <t>Annual Fee for Demat RTA Services</t>
  </si>
  <si>
    <t>APSTEC SYSTEMS</t>
  </si>
  <si>
    <t xml:space="preserve">ARJUN WATCH COMPANY_x000D_
</t>
  </si>
  <si>
    <t>Art Lab India Private Ltd.,</t>
  </si>
  <si>
    <t>ASIAN SURGICAL COMPANY</t>
  </si>
  <si>
    <t>ATHENA TECHNOLOGIES</t>
  </si>
  <si>
    <t>ATRIA CONVERGENCE TECHNOLOGIES PVT LTD</t>
  </si>
  <si>
    <t>AVS NARAYANA</t>
  </si>
  <si>
    <t>Azurity Pharmaceuticals,Inc</t>
  </si>
  <si>
    <t>Azurity Pharmaceuticals India LLP</t>
  </si>
  <si>
    <t>Bajaj Allianz General Insurance</t>
  </si>
  <si>
    <t>BEQSSE SERVICES -BRAZIL</t>
  </si>
  <si>
    <t>Beximco Pharmaceuticals Ltd</t>
  </si>
  <si>
    <t>Bison Panels 75MM Thickness</t>
  </si>
  <si>
    <t>BLOOMEDHA INFO  SOLUTIONS LTD</t>
  </si>
  <si>
    <t>Brundavan Medical Needs</t>
  </si>
  <si>
    <t>Business Combine Corporation</t>
  </si>
  <si>
    <t>BVVSN PRASAD</t>
  </si>
  <si>
    <t>CAPITAL INDIA FINANCE LTD</t>
  </si>
  <si>
    <t>Capital WIP - Centre 1</t>
  </si>
  <si>
    <t>Carpet Home Decor</t>
  </si>
  <si>
    <t>CHOICE MARKETING</t>
  </si>
  <si>
    <t>Chromatography World</t>
  </si>
  <si>
    <t>Chrome source Pvt Ltd.</t>
  </si>
  <si>
    <t>City Glass Centre</t>
  </si>
  <si>
    <t>Civil Works-Siri Building</t>
  </si>
  <si>
    <t>CLEARSYNTH LABS LTD (Hyd)</t>
  </si>
  <si>
    <t>Clinitext Translation Services</t>
  </si>
  <si>
    <t>Communities Heritage Pvt LTd.</t>
  </si>
  <si>
    <t>Consultancy Charges</t>
  </si>
  <si>
    <t>Core Pharma LLC</t>
  </si>
  <si>
    <t>Customs Duty Payable Account</t>
  </si>
  <si>
    <t>Deposit to SLV SPECIALITY GASES PVT LTD</t>
  </si>
  <si>
    <t>DHL EXPRESS P LTD</t>
  </si>
  <si>
    <t>Dr Bodapati Neeraja</t>
  </si>
  <si>
    <t>Dr K Krishna Moorthy</t>
  </si>
  <si>
    <t>Dr M Navya</t>
  </si>
  <si>
    <t>Dr. Venkat Sai Raj Kumar</t>
  </si>
  <si>
    <t>Durga Fabricators</t>
  </si>
  <si>
    <t>E Mudhra Limited</t>
  </si>
  <si>
    <t>Ertiga Car Insurance</t>
  </si>
  <si>
    <t>Ethixinn Consulting &amp; Research Solutions PVT LTD</t>
  </si>
  <si>
    <t>Excel Infotech</t>
  </si>
  <si>
    <t>Fedex Express Transportation and Supply Chain Servi</t>
  </si>
  <si>
    <t>Fixed Deposit 058810015702</t>
  </si>
  <si>
    <t>Fixed Deposit 058810015988</t>
  </si>
  <si>
    <t>Focus Exhibition and Leisure Tours Pvt Ltd</t>
  </si>
  <si>
    <t>Fortune Labels 'n' Systems</t>
  </si>
  <si>
    <t>FUJIFILM INDIA PVT LTD</t>
  </si>
  <si>
    <t>Future General India Insurance Co. Ltd</t>
  </si>
  <si>
    <t>Garnier Office Systems</t>
  </si>
  <si>
    <t>GB AIR SOLUTIONS</t>
  </si>
  <si>
    <t>Global Technologies</t>
  </si>
  <si>
    <t>GLOBE FURNITURES &amp; LIGHTINGS</t>
  </si>
  <si>
    <t>G Pulla Reddy (Sweets)</t>
  </si>
  <si>
    <t>GST Payable</t>
  </si>
  <si>
    <t>GST RCM INPUT</t>
  </si>
  <si>
    <t>Guardian Drug Company</t>
  </si>
  <si>
    <t>Gulf Pharmaceutical Industries</t>
  </si>
  <si>
    <t>Harish Kumar Chinni</t>
  </si>
  <si>
    <t>Help Hospitals Pvt Ltd</t>
  </si>
  <si>
    <t>HINDUSTAN FIRE SAFETY PROTECTION</t>
  </si>
  <si>
    <t>Icon Irani Chai</t>
  </si>
  <si>
    <t>ICPMS Machine 7850 along with Spares</t>
  </si>
  <si>
    <t>Income Tax FY 23-24</t>
  </si>
  <si>
    <t>Ineligible GST</t>
  </si>
  <si>
    <t>INSADEC SERVICES PRIVATE LIMITED</t>
  </si>
  <si>
    <t>Insurance of  Properties</t>
  </si>
  <si>
    <t>InterGlobe Aviation Ltd</t>
  </si>
  <si>
    <t>KOTHARI FIRE SAFETY EQUIPMENTS</t>
  </si>
  <si>
    <t>K Prabhakar</t>
  </si>
  <si>
    <t>Krishnaveni Printers</t>
  </si>
  <si>
    <t>LAMBROS Analytics Pvt Ltd</t>
  </si>
  <si>
    <t>LEGAL ENTITY IDENTIFIER INDIA LTD</t>
  </si>
  <si>
    <t>LKG Industrial Solutions</t>
  </si>
  <si>
    <t>LOGANATHAN SEKHAR</t>
  </si>
  <si>
    <t>Maruthi Air Conditioners</t>
  </si>
  <si>
    <t>Mataji Plywood Glass &amp; Hardware</t>
  </si>
  <si>
    <t>MCA Filing Fees</t>
  </si>
  <si>
    <t>Mediclin Clinical Services Private Limited</t>
  </si>
  <si>
    <t>METRO CASH AND CARRY</t>
  </si>
  <si>
    <t>Mint Pharmaceutical INC</t>
  </si>
  <si>
    <t>Modular Lab Furniture (Art Lab)</t>
  </si>
  <si>
    <t>Molecules Analytical Lab Solutions Pvt Ltd</t>
  </si>
  <si>
    <t>MR SCIENTIFICS</t>
  </si>
  <si>
    <t>NETPROPHETS CYBERWORKS PVT. LTD</t>
  </si>
  <si>
    <t>Nihon Scientifics</t>
  </si>
  <si>
    <t>Ninth Dimension IT Solutions Private Limited</t>
  </si>
  <si>
    <t>NSDL FEE DMAT ACCOUNT</t>
  </si>
  <si>
    <t>ORBIT EXHIBITIONS PVT LTD</t>
  </si>
  <si>
    <t>PCI Analyticals Pvt Ltd</t>
  </si>
  <si>
    <t>Peak Scientific Instruments (India) Pvt Ltd</t>
  </si>
  <si>
    <t>Pinnacle Life Science Pvt Ltd</t>
  </si>
  <si>
    <t>POWER LINKS Infra Tech Pvt Ltd</t>
  </si>
  <si>
    <t>Pre Closure of Loan</t>
  </si>
  <si>
    <t>Premier Systems</t>
  </si>
  <si>
    <t>PRODIGY COMPUTERS &amp; LAPTOPS P LTD</t>
  </si>
  <si>
    <t>PSR IT SERVICES PVT LTD</t>
  </si>
  <si>
    <t>Quality Calibration Laboratory</t>
  </si>
  <si>
    <t>Radiant Bio System</t>
  </si>
  <si>
    <t>RAFF AND HALL PHARMACY</t>
  </si>
  <si>
    <t>Rainbow Engineering &amp; Manufacturing</t>
  </si>
  <si>
    <t>Rajesh Technical Services</t>
  </si>
  <si>
    <t>RAPSTECH SYSTEMS INDIA PRIVATE LIMITED</t>
  </si>
  <si>
    <t>RATHAN RERIGERATION</t>
  </si>
  <si>
    <t>Rental Advance - Siri Raidurgam</t>
  </si>
  <si>
    <t>RYB Technologies</t>
  </si>
  <si>
    <t>Sales GST</t>
  </si>
  <si>
    <t>SAPTAGIRI TRADERS</t>
  </si>
  <si>
    <t>Savant Instruments Pvt Ltd</t>
  </si>
  <si>
    <t>Sciex India Private Ltd</t>
  </si>
  <si>
    <t>Scindler India Pvt Ltd</t>
  </si>
  <si>
    <t>SG SANITATION</t>
  </si>
  <si>
    <t>Shiva Project Binding</t>
  </si>
  <si>
    <t>Shree Mathaji Electricals</t>
  </si>
  <si>
    <t>SIDDHARTHA MEDICAL COLLEGE</t>
  </si>
  <si>
    <t>SIMSON PHARMA LIMITED</t>
  </si>
  <si>
    <t>SKANRAY TECHNOLOGIES</t>
  </si>
  <si>
    <t>S.K.C Agencies</t>
  </si>
  <si>
    <t>SKG Pharma Inc</t>
  </si>
  <si>
    <t>SLV Speciality Gases Private Limited</t>
  </si>
  <si>
    <t>Smart Labtech Pvt Ltd</t>
  </si>
  <si>
    <t>Sohan Healthcare Pvt Ltd</t>
  </si>
  <si>
    <t>SPINCOTECH PVT LTD</t>
  </si>
  <si>
    <t>SREE V LINK TELECOM INTEGRATOR</t>
  </si>
  <si>
    <t>SRESHTH PRINT HUB</t>
  </si>
  <si>
    <t>Sri Lakshmi Moon and Bright Laundry Services</t>
  </si>
  <si>
    <t>Sri Nandini Air Conditioning Works</t>
  </si>
  <si>
    <t>Sri Sai  Home Needs</t>
  </si>
  <si>
    <t>Sri Sai Ram Enterprises</t>
  </si>
  <si>
    <t>Sri Vasavi Enginerring</t>
  </si>
  <si>
    <t>Sri Venkateshwara Prefab</t>
  </si>
  <si>
    <t>S Siva Parvathi</t>
  </si>
  <si>
    <t>SSR Facility Management Services</t>
  </si>
  <si>
    <t>Subtle Pharmaceuticals Private Limited</t>
  </si>
  <si>
    <t>SVVSS COMPUTERS</t>
  </si>
  <si>
    <t>TCS Payble 206C 6CE</t>
  </si>
  <si>
    <t>The Professional Couriers LTD</t>
  </si>
  <si>
    <t>T Nageswara Rao Carpentor</t>
  </si>
  <si>
    <t>TORRENT PHARMACEUTICALS LTD</t>
  </si>
  <si>
    <t>TOUGHENED GLASS DOORS</t>
  </si>
  <si>
    <t>UNI CAL LABS PVT LTD</t>
  </si>
  <si>
    <t>Vasudha Enviro Labs Pvt Ltd</t>
  </si>
  <si>
    <t>V Clean Technology</t>
  </si>
  <si>
    <t>Veldanda Traders</t>
  </si>
  <si>
    <t>Venture Capital and Corporate Investments PVT LTD</t>
  </si>
  <si>
    <t>Vidith Powers</t>
  </si>
  <si>
    <t>Vista Labs</t>
  </si>
  <si>
    <t>VRK BUSINESS SOLUTIONS</t>
  </si>
  <si>
    <t>V Satyanarayana Rao</t>
  </si>
  <si>
    <t>VSL Electronics</t>
  </si>
  <si>
    <t>V Swapna Chai</t>
  </si>
  <si>
    <t>Wash O Wash</t>
  </si>
  <si>
    <t>Weighing &amp; Measuring Instrument Corporation</t>
  </si>
  <si>
    <t>Wishmen Life Sciences Pvt Ltd</t>
  </si>
  <si>
    <t>Written Off</t>
  </si>
  <si>
    <t>WWF CSR Fund</t>
  </si>
  <si>
    <t>YOOSHITHA AUTO ENTERPRISES</t>
  </si>
  <si>
    <t>Yoshitha Traders</t>
  </si>
  <si>
    <t>Difference in opening balances</t>
  </si>
  <si>
    <t>Interest on IT Refund</t>
  </si>
  <si>
    <t>Written off</t>
  </si>
  <si>
    <r>
      <rPr>
        <b/>
        <sz val="11"/>
        <color rgb="FF000000"/>
        <rFont val="Book Antiqua"/>
        <family val="1"/>
      </rPr>
      <t>Add:</t>
    </r>
    <r>
      <rPr>
        <sz val="11"/>
        <color indexed="8"/>
        <rFont val="Book Antiqua"/>
        <family val="1"/>
      </rPr>
      <t xml:space="preserve"> Purchases</t>
    </r>
  </si>
  <si>
    <r>
      <rPr>
        <b/>
        <sz val="11"/>
        <color rgb="FF000000"/>
        <rFont val="Book Antiqua"/>
        <family val="1"/>
      </rPr>
      <t>Less:</t>
    </r>
    <r>
      <rPr>
        <sz val="11"/>
        <color indexed="8"/>
        <rFont val="Book Antiqua"/>
        <family val="1"/>
      </rPr>
      <t xml:space="preserve"> Closing stock</t>
    </r>
  </si>
  <si>
    <t>Clinical Trail Insurance</t>
  </si>
  <si>
    <t>ECG Payment</t>
  </si>
  <si>
    <t>House Keeping Charges</t>
  </si>
  <si>
    <t>Insurance For Assets Buglary</t>
  </si>
  <si>
    <t>Insurance For Assets Fire Policy</t>
  </si>
  <si>
    <t>NSDL Fee Demat Account</t>
  </si>
  <si>
    <t>T.Gargeya</t>
  </si>
  <si>
    <t>T.Chandra Sekhar Sharma</t>
  </si>
  <si>
    <t>T.Leela</t>
  </si>
  <si>
    <t>M.Jyothi Madhav</t>
  </si>
  <si>
    <t>FY 24-25</t>
  </si>
  <si>
    <t>Rent Premises 1 (Corp Office)</t>
  </si>
  <si>
    <t>Rent Premises 2 (Rent for Short Term)</t>
  </si>
  <si>
    <t>EPF Contibution</t>
  </si>
  <si>
    <t>Salary Payable</t>
  </si>
  <si>
    <t>Fees &amp; licenses:</t>
  </si>
  <si>
    <t>Labour License</t>
  </si>
  <si>
    <t>Software Renewal Fees</t>
  </si>
  <si>
    <t>Trade License</t>
  </si>
  <si>
    <t>Rent Expenses:</t>
  </si>
  <si>
    <t>B SreeLatha Rental Deposit</t>
  </si>
  <si>
    <t>T Leela Rental Deposit</t>
  </si>
  <si>
    <t>For which building they gave this deposit</t>
  </si>
  <si>
    <t>Deposit to G J Multiclave India Pvt Ltd</t>
  </si>
  <si>
    <t>Deposit to SLV Specality Gases Pvt Ltd</t>
  </si>
  <si>
    <t>Siri Building Rental Advance</t>
  </si>
  <si>
    <t>Advance to Sucopeia Reference Standards OPC Pvt Ltd</t>
  </si>
  <si>
    <t>Advance to Dr K.Krishna Murthy</t>
  </si>
  <si>
    <t>Advance to Dr Ragula Naveen</t>
  </si>
  <si>
    <t>Advance to K.Sampath</t>
  </si>
  <si>
    <t>Advance to M. Prabhu Kumar</t>
  </si>
  <si>
    <t>Advance to Neppalli Narendra</t>
  </si>
  <si>
    <t>Axis Bank, MIYAPUR A/C</t>
  </si>
  <si>
    <t>ICICI Bank - Dividend Account 058805007279</t>
  </si>
  <si>
    <t>ICICI Bank Chandanagar - 058805003515</t>
  </si>
  <si>
    <t>ICICI Bank Chandanagar - 058805004234</t>
  </si>
  <si>
    <t>Forex Card - 5554491100927730</t>
  </si>
  <si>
    <t>TCS Receivables</t>
  </si>
  <si>
    <t>12% IGST Input Tax Credit</t>
  </si>
  <si>
    <t>18% IGST Input Tax Credit</t>
  </si>
  <si>
    <t>2.5% CGST Input Tax Credit</t>
  </si>
  <si>
    <t>2.5% SGST Input Tax Credit</t>
  </si>
  <si>
    <t>GST RCM Input</t>
  </si>
  <si>
    <t>9% CGST Output Tax</t>
  </si>
  <si>
    <t>9% SGST Output Tax</t>
  </si>
  <si>
    <t>18% IGST Output Tax</t>
  </si>
  <si>
    <t>ESIC Contribution</t>
  </si>
  <si>
    <t>Professional Tax</t>
  </si>
  <si>
    <t>Trade Payables - For Capital Expenditure</t>
  </si>
  <si>
    <t>Trade Payables - For Expenses</t>
  </si>
  <si>
    <t xml:space="preserve">Trade Payables </t>
  </si>
  <si>
    <t>Interest Payable on APSFC Loan</t>
  </si>
  <si>
    <t>Statutory Dues &amp; Provisions:</t>
  </si>
  <si>
    <t>For Other expenses</t>
  </si>
  <si>
    <t>Building Loan</t>
  </si>
  <si>
    <t>Car Loan</t>
  </si>
  <si>
    <t>Monthly Repayment</t>
  </si>
  <si>
    <t>Remaining Balance</t>
  </si>
  <si>
    <t>Capital Work in Progress</t>
  </si>
  <si>
    <t>Center - 1</t>
  </si>
  <si>
    <t>Siri Building</t>
  </si>
  <si>
    <t>2024-25</t>
  </si>
  <si>
    <t>Opening WDV 2023-24</t>
  </si>
  <si>
    <t>Dep 2024-25</t>
  </si>
  <si>
    <t>Closing WDV
2024-25</t>
  </si>
  <si>
    <t>Adjusted Dep</t>
  </si>
  <si>
    <t>Barcode Scanners &amp; Printer</t>
  </si>
  <si>
    <t>Electrical Cables</t>
  </si>
  <si>
    <t>Total - Electricals &amp; Equipments</t>
  </si>
  <si>
    <t>Smoke detectors and fire alarm</t>
  </si>
  <si>
    <t>Beds</t>
  </si>
  <si>
    <t>Tables &amp; chairs</t>
  </si>
  <si>
    <t>Office Euipment</t>
  </si>
  <si>
    <t>Bison Panels</t>
  </si>
  <si>
    <t>ICPMS Machine</t>
  </si>
  <si>
    <t>Accmaleted Dep as on 31-03-25</t>
  </si>
  <si>
    <t>Capital WIP Centre-1:</t>
  </si>
  <si>
    <t>Date</t>
  </si>
  <si>
    <t>Siri Building:</t>
  </si>
  <si>
    <t>Debtor's ageing FY 24-25</t>
  </si>
  <si>
    <t>Party Name</t>
  </si>
  <si>
    <t>&lt;30 Days</t>
  </si>
  <si>
    <t>30-60 Days</t>
  </si>
  <si>
    <t>60-90 Days</t>
  </si>
  <si>
    <t>90-180 Days</t>
  </si>
  <si>
    <t>180-365 Days</t>
  </si>
  <si>
    <t>&gt;365 Days</t>
  </si>
  <si>
    <t>Creditor's Ageing FY 24-25</t>
  </si>
  <si>
    <t>Continuing Dr balances</t>
  </si>
  <si>
    <t>Net Cr balances</t>
  </si>
  <si>
    <t>GST Need to reversed if taken</t>
  </si>
  <si>
    <t>More than 365 Days</t>
  </si>
  <si>
    <t>Membership No.:</t>
  </si>
  <si>
    <t xml:space="preserve">ICAI Firm registration number: </t>
  </si>
  <si>
    <t>ICAI Firm registration number:</t>
  </si>
  <si>
    <t>Membership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</si>
</sst>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 #,##0.00_ ;_ * \-#,##0.00_ ;_ * &quot;-&quot;??_ ;_ @_ "/>
    <numFmt numFmtId="164" formatCode="_(* #,##0.00_);_(* \(#,##0.00\);_(* &quot;-&quot;??_);_(@_)"/>
    <numFmt numFmtId="165" formatCode="_(* #,##0_);_(* \(#,##0\);_(* &quot;-&quot;??_);_(@_)"/>
    <numFmt numFmtId="166" formatCode="_ * #,##0_ ;_ * \-#,##0_ ;_ * &quot;-&quot;??_ ;_ @_ "/>
    <numFmt numFmtId="167" formatCode="_(* #,##0_);_(* \(#,##0\);_(* &quot;-&quot;_);_(@_)"/>
    <numFmt numFmtId="168" formatCode="[$-409]mmmm\ d\,\ yyyy;@"/>
    <numFmt numFmtId="169" formatCode="#\.00,;\(#\.00,\);&quot;-&quot;"/>
    <numFmt numFmtId="170" formatCode="##\ \ ##\ \ ##\ \ ##\ \ ###"/>
    <numFmt numFmtId="171" formatCode="[$-409]d\-mmm\-yy;@"/>
    <numFmt numFmtId="172" formatCode="&quot;&quot;0.00"/>
    <numFmt numFmtId="173" formatCode="&quot;&quot;0"/>
    <numFmt numFmtId="174" formatCode="_(* #,##0.00_);_(* \(#,##0.00\);_(* &quot;-&quot;_);_(@_)"/>
    <numFmt numFmtId="175" formatCode="&quot;&quot;0.00&quot; Cr&quot;"/>
    <numFmt numFmtId="176" formatCode="&quot;&quot;0.00&quot; Dr&quot;"/>
    <numFmt numFmtId="177" formatCode="0.00000000"/>
    <numFmt numFmtId="178" formatCode="_-* #,##0.00_-;\-* #,##0.00_-;_-* &quot;-&quot;??_-;_-@_-"/>
    <numFmt numFmtId="179" formatCode="0.0"/>
  </numFmts>
  <fonts count="97" x14ac:knownFonts="1">
    <font>
      <sz val="11"/>
      <color theme="1"/>
      <name val="Calibri"/>
      <family val="2"/>
      <scheme val="minor"/>
    </font>
    <font>
      <sz val="11"/>
      <color theme="1"/>
      <name val="Calibri"/>
      <family val="2"/>
      <scheme val="minor"/>
    </font>
    <font>
      <sz val="10"/>
      <name val="Arial"/>
      <family val="2"/>
    </font>
    <font>
      <b/>
      <sz val="11"/>
      <name val="Book Antiqua"/>
      <family val="1"/>
    </font>
    <font>
      <sz val="11"/>
      <name val="Book Antiqua"/>
      <family val="1"/>
    </font>
    <font>
      <b/>
      <sz val="12"/>
      <name val="Book Antiqua"/>
      <family val="1"/>
    </font>
    <font>
      <b/>
      <sz val="14"/>
      <color indexed="8"/>
      <name val="Book Antiqua"/>
      <family val="1"/>
    </font>
    <font>
      <sz val="10"/>
      <color indexed="8"/>
      <name val="Book Antiqua"/>
      <family val="1"/>
    </font>
    <font>
      <b/>
      <sz val="10"/>
      <color indexed="8"/>
      <name val="Book Antiqua"/>
      <family val="1"/>
    </font>
    <font>
      <b/>
      <sz val="10"/>
      <color rgb="FFFF0000"/>
      <name val="Book Antiqua"/>
      <family val="1"/>
    </font>
    <font>
      <b/>
      <sz val="10"/>
      <name val="Book Antiqua"/>
      <family val="1"/>
    </font>
    <font>
      <sz val="10"/>
      <color rgb="FFFF0000"/>
      <name val="Book Antiqua"/>
      <family val="1"/>
    </font>
    <font>
      <b/>
      <i/>
      <sz val="11"/>
      <color indexed="8"/>
      <name val="Book Antiqua"/>
      <family val="1"/>
    </font>
    <font>
      <sz val="10"/>
      <name val="Book Antiqua"/>
      <family val="1"/>
    </font>
    <font>
      <b/>
      <sz val="11"/>
      <color indexed="8"/>
      <name val="Book Antiqua"/>
      <family val="1"/>
    </font>
    <font>
      <sz val="11"/>
      <color indexed="8"/>
      <name val="Book Antiqua"/>
      <family val="1"/>
    </font>
    <font>
      <sz val="11"/>
      <color indexed="8"/>
      <name val="Calibri"/>
      <family val="2"/>
    </font>
    <font>
      <b/>
      <sz val="11"/>
      <color rgb="FF000000"/>
      <name val="Book Antiqua"/>
      <family val="1"/>
    </font>
    <font>
      <sz val="11"/>
      <color rgb="FF000000"/>
      <name val="Book Antiqua"/>
      <family val="1"/>
    </font>
    <font>
      <b/>
      <sz val="11"/>
      <color rgb="FFFF0000"/>
      <name val="Book Antiqua"/>
      <family val="1"/>
    </font>
    <font>
      <sz val="11"/>
      <color theme="1"/>
      <name val="Book Antiqua"/>
      <family val="1"/>
    </font>
    <font>
      <b/>
      <i/>
      <sz val="11"/>
      <name val="Book Antiqua"/>
      <family val="1"/>
    </font>
    <font>
      <b/>
      <sz val="14"/>
      <name val="Book Antiqua"/>
      <family val="1"/>
    </font>
    <font>
      <sz val="11"/>
      <name val="Bookman Old Style"/>
      <family val="1"/>
    </font>
    <font>
      <b/>
      <i/>
      <sz val="10"/>
      <color indexed="8"/>
      <name val="Book Antiqua"/>
      <family val="1"/>
    </font>
    <font>
      <b/>
      <sz val="11"/>
      <color theme="1"/>
      <name val="Book Antiqua"/>
      <family val="1"/>
    </font>
    <font>
      <sz val="14"/>
      <name val="Book Antiqua"/>
      <family val="1"/>
    </font>
    <font>
      <i/>
      <sz val="11"/>
      <color indexed="8"/>
      <name val="Book Antiqua"/>
      <family val="1"/>
    </font>
    <font>
      <b/>
      <sz val="10"/>
      <color theme="1"/>
      <name val="Book Antiqua"/>
      <family val="1"/>
    </font>
    <font>
      <sz val="10"/>
      <color rgb="FF000000"/>
      <name val="Book Antiqua"/>
      <family val="1"/>
    </font>
    <font>
      <b/>
      <sz val="10"/>
      <color rgb="FF000000"/>
      <name val="Book Antiqua"/>
      <family val="1"/>
    </font>
    <font>
      <sz val="10"/>
      <color theme="1"/>
      <name val="Arial"/>
      <family val="2"/>
    </font>
    <font>
      <b/>
      <sz val="12"/>
      <color theme="1"/>
      <name val="Arial"/>
      <family val="2"/>
    </font>
    <font>
      <sz val="9"/>
      <color theme="1"/>
      <name val="Arial"/>
      <family val="2"/>
    </font>
    <font>
      <b/>
      <sz val="9"/>
      <color theme="1"/>
      <name val="Arial"/>
      <family val="2"/>
    </font>
    <font>
      <b/>
      <i/>
      <sz val="9"/>
      <color theme="1"/>
      <name val="Arial"/>
      <family val="2"/>
    </font>
    <font>
      <u/>
      <sz val="11"/>
      <color theme="1"/>
      <name val="Book Antiqua"/>
      <family val="1"/>
    </font>
    <font>
      <b/>
      <sz val="10"/>
      <color theme="1"/>
      <name val="Arial"/>
      <family val="2"/>
    </font>
    <font>
      <i/>
      <sz val="9"/>
      <color theme="1"/>
      <name val="Arial"/>
      <family val="2"/>
    </font>
    <font>
      <b/>
      <sz val="13"/>
      <name val="Book Antiqua"/>
      <family val="1"/>
    </font>
    <font>
      <sz val="11"/>
      <name val="Calibri"/>
      <family val="2"/>
      <scheme val="minor"/>
    </font>
    <font>
      <b/>
      <u/>
      <sz val="11"/>
      <name val="Calibri"/>
      <family val="2"/>
      <scheme val="minor"/>
    </font>
    <font>
      <b/>
      <sz val="11"/>
      <color theme="1"/>
      <name val="Times New Roman"/>
      <family val="1"/>
    </font>
    <font>
      <sz val="11"/>
      <color theme="1"/>
      <name val="Times New Roman"/>
      <family val="1"/>
    </font>
    <font>
      <sz val="9"/>
      <color theme="1"/>
      <name val="Times New Roman"/>
      <family val="1"/>
    </font>
    <font>
      <i/>
      <sz val="10"/>
      <color theme="1"/>
      <name val="Arial"/>
      <family val="2"/>
    </font>
    <font>
      <b/>
      <sz val="10"/>
      <name val="Arial"/>
      <family val="2"/>
    </font>
    <font>
      <b/>
      <sz val="10"/>
      <color rgb="FFFF0000"/>
      <name val="Arial"/>
      <family val="2"/>
    </font>
    <font>
      <b/>
      <sz val="12"/>
      <color theme="1"/>
      <name val="Times New Roman"/>
      <family val="1"/>
    </font>
    <font>
      <sz val="12"/>
      <color theme="1"/>
      <name val="Times New Roman"/>
      <family val="1"/>
    </font>
    <font>
      <sz val="10"/>
      <name val="Times New Roman"/>
      <family val="1"/>
    </font>
    <font>
      <u/>
      <sz val="11"/>
      <color theme="10"/>
      <name val="Calibri"/>
      <family val="2"/>
      <scheme val="minor"/>
    </font>
    <font>
      <u/>
      <sz val="12"/>
      <name val="Times New Roman"/>
      <family val="1"/>
    </font>
    <font>
      <b/>
      <sz val="12"/>
      <name val="Times New Roman"/>
      <family val="1"/>
    </font>
    <font>
      <b/>
      <u/>
      <sz val="12"/>
      <color theme="1"/>
      <name val="Times New Roman"/>
      <family val="1"/>
    </font>
    <font>
      <sz val="12"/>
      <name val="Times New Roman"/>
      <family val="1"/>
    </font>
    <font>
      <b/>
      <sz val="11"/>
      <color theme="1"/>
      <name val="Calibri"/>
      <family val="2"/>
      <scheme val="minor"/>
    </font>
    <font>
      <b/>
      <sz val="14"/>
      <color theme="1"/>
      <name val="Book Antiqua"/>
      <family val="1"/>
    </font>
    <font>
      <b/>
      <sz val="12"/>
      <color theme="1"/>
      <name val="Book Antiqua"/>
      <family val="1"/>
    </font>
    <font>
      <sz val="12"/>
      <color indexed="8"/>
      <name val="Times New Roman"/>
      <family val="1"/>
    </font>
    <font>
      <b/>
      <sz val="12"/>
      <color indexed="8"/>
      <name val="Times New Roman"/>
      <family val="1"/>
    </font>
    <font>
      <b/>
      <sz val="9"/>
      <color indexed="81"/>
      <name val="Tahoma"/>
      <family val="2"/>
    </font>
    <font>
      <sz val="9"/>
      <color indexed="81"/>
      <name val="Tahoma"/>
      <family val="2"/>
    </font>
    <font>
      <sz val="11"/>
      <name val="Times New Roman"/>
      <family val="1"/>
    </font>
    <font>
      <b/>
      <u/>
      <sz val="11"/>
      <name val="Times New Roman"/>
      <family val="1"/>
    </font>
    <font>
      <b/>
      <sz val="11"/>
      <name val="Times New Roman"/>
      <family val="1"/>
    </font>
    <font>
      <sz val="12"/>
      <color theme="1"/>
      <name val="Calibri"/>
      <family val="2"/>
      <scheme val="minor"/>
    </font>
    <font>
      <b/>
      <sz val="11"/>
      <color indexed="8"/>
      <name val="Times New Roman"/>
      <family val="1"/>
    </font>
    <font>
      <b/>
      <sz val="11"/>
      <color rgb="FFFF0000"/>
      <name val="Times New Roman"/>
      <family val="1"/>
    </font>
    <font>
      <sz val="10"/>
      <color theme="1"/>
      <name val="Times New Roman"/>
      <family val="1"/>
    </font>
    <font>
      <sz val="11"/>
      <color indexed="8"/>
      <name val="Times New Roman"/>
      <family val="1"/>
    </font>
    <font>
      <sz val="9"/>
      <color rgb="FFFF0000"/>
      <name val="Arial"/>
      <family val="2"/>
    </font>
    <font>
      <sz val="9"/>
      <name val="Times New Roman"/>
      <family val="1"/>
    </font>
    <font>
      <b/>
      <sz val="20"/>
      <color theme="1"/>
      <name val="Times New Roman"/>
      <family val="1"/>
    </font>
    <font>
      <sz val="20"/>
      <name val="Times New Roman"/>
      <family val="1"/>
    </font>
    <font>
      <sz val="20"/>
      <color theme="1"/>
      <name val="Times New Roman"/>
      <family val="1"/>
    </font>
    <font>
      <b/>
      <sz val="20"/>
      <name val="Times New Roman"/>
      <family val="1"/>
    </font>
    <font>
      <b/>
      <sz val="17"/>
      <color theme="1"/>
      <name val="Book Antiqua"/>
      <family val="1"/>
    </font>
    <font>
      <sz val="17"/>
      <color theme="1"/>
      <name val="Book Antiqua"/>
      <family val="1"/>
    </font>
    <font>
      <b/>
      <i/>
      <sz val="17"/>
      <color theme="1"/>
      <name val="Book Antiqua"/>
      <family val="1"/>
    </font>
    <font>
      <b/>
      <sz val="17"/>
      <color indexed="8"/>
      <name val="Book Antiqua"/>
      <family val="1"/>
    </font>
    <font>
      <sz val="17"/>
      <color indexed="8"/>
      <name val="Book Antiqua"/>
      <family val="1"/>
    </font>
    <font>
      <b/>
      <sz val="17"/>
      <color rgb="FF000000"/>
      <name val="Book Antiqua"/>
      <family val="1"/>
    </font>
    <font>
      <sz val="17"/>
      <name val="Book Antiqua"/>
      <family val="1"/>
    </font>
    <font>
      <b/>
      <sz val="17"/>
      <name val="Book Antiqua"/>
      <family val="1"/>
    </font>
    <font>
      <b/>
      <i/>
      <sz val="17"/>
      <color rgb="FF000000"/>
      <name val="Book Antiqua"/>
      <family val="1"/>
    </font>
    <font>
      <sz val="17"/>
      <color rgb="FF000000"/>
      <name val="Book Antiqua"/>
      <family val="1"/>
    </font>
    <font>
      <sz val="10"/>
      <color theme="0"/>
      <name val="Book Antiqua"/>
      <family val="1"/>
    </font>
    <font>
      <sz val="11"/>
      <color rgb="FFFF0000"/>
      <name val="Calibri"/>
      <family val="2"/>
      <scheme val="minor"/>
    </font>
    <font>
      <sz val="12"/>
      <color theme="1"/>
      <name val="Book Antiqua"/>
      <family val="1"/>
    </font>
    <font>
      <b/>
      <u/>
      <sz val="11"/>
      <color theme="1"/>
      <name val="Times New Roman"/>
      <family val="1"/>
    </font>
    <font>
      <b/>
      <u val="singleAccounting"/>
      <sz val="11"/>
      <color theme="1"/>
      <name val="Times New Roman"/>
      <family val="1"/>
    </font>
    <font>
      <i/>
      <sz val="11"/>
      <color theme="1"/>
      <name val="Times New Roman"/>
      <family val="1"/>
    </font>
    <font>
      <b/>
      <u/>
      <sz val="11"/>
      <color indexed="8"/>
      <name val="Times New Roman"/>
      <family val="1"/>
    </font>
    <font>
      <b/>
      <u/>
      <sz val="11"/>
      <color theme="1"/>
      <name val="Calibri"/>
      <family val="2"/>
      <scheme val="minor"/>
    </font>
    <font>
      <b/>
      <sz val="14"/>
      <color theme="1"/>
      <name val="Times New Roman"/>
      <family val="1"/>
    </font>
    <font>
      <i/>
      <sz val="12"/>
      <color theme="1"/>
      <name val="Times New Roman"/>
      <family val="1"/>
    </font>
  </fonts>
  <fills count="1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9"/>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theme="4" tint="0.59999389629810485"/>
        <bgColor indexed="64"/>
      </patternFill>
    </fill>
    <fill>
      <patternFill patternType="solid">
        <fgColor theme="4" tint="0.79998168889431442"/>
        <bgColor indexed="64"/>
      </patternFill>
    </fill>
  </fills>
  <borders count="78">
    <border>
      <left/>
      <right/>
      <top/>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right/>
      <top style="medium">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auto="1"/>
      </left>
      <right style="thin">
        <color auto="1"/>
      </right>
      <top style="thin">
        <color auto="1"/>
      </top>
      <bottom style="double">
        <color auto="1"/>
      </bottom>
      <diagonal/>
    </border>
    <border>
      <left/>
      <right style="thin">
        <color auto="1"/>
      </right>
      <top style="thin">
        <color auto="1"/>
      </top>
      <bottom style="double">
        <color auto="1"/>
      </bottom>
      <diagonal/>
    </border>
    <border>
      <left style="thin">
        <color auto="1"/>
      </left>
      <right/>
      <top/>
      <bottom style="double">
        <color auto="1"/>
      </bottom>
      <diagonal/>
    </border>
    <border>
      <left style="thin">
        <color auto="1"/>
      </left>
      <right style="thin">
        <color auto="1"/>
      </right>
      <top/>
      <bottom style="double">
        <color auto="1"/>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top style="medium">
        <color indexed="64"/>
      </top>
      <bottom style="medium">
        <color indexed="64"/>
      </bottom>
      <diagonal/>
    </border>
    <border>
      <left style="thin">
        <color indexed="64"/>
      </left>
      <right/>
      <top style="thin">
        <color indexed="64"/>
      </top>
      <bottom style="double">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auto="1"/>
      </left>
      <right/>
      <top style="medium">
        <color indexed="64"/>
      </top>
      <bottom style="thin">
        <color auto="1"/>
      </bottom>
      <diagonal/>
    </border>
    <border>
      <left/>
      <right style="medium">
        <color indexed="64"/>
      </right>
      <top/>
      <bottom style="medium">
        <color indexed="64"/>
      </bottom>
      <diagonal/>
    </border>
    <border>
      <left/>
      <right style="medium">
        <color indexed="64"/>
      </right>
      <top style="thin">
        <color auto="1"/>
      </top>
      <bottom style="double">
        <color auto="1"/>
      </bottom>
      <diagonal/>
    </border>
    <border>
      <left/>
      <right style="medium">
        <color indexed="64"/>
      </right>
      <top style="thin">
        <color indexed="64"/>
      </top>
      <bottom/>
      <diagonal/>
    </border>
  </borders>
  <cellStyleXfs count="46">
    <xf numFmtId="0" fontId="0"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1" fillId="0" borderId="0"/>
    <xf numFmtId="164" fontId="16" fillId="0" borderId="0" applyFont="0" applyFill="0" applyBorder="0" applyAlignment="0" applyProtection="0"/>
    <xf numFmtId="164" fontId="16" fillId="0" borderId="0" applyFont="0" applyFill="0" applyBorder="0" applyAlignment="0" applyProtection="0"/>
    <xf numFmtId="164" fontId="2" fillId="0" borderId="0" applyFont="0" applyFill="0" applyBorder="0" applyAlignment="0" applyProtection="0"/>
    <xf numFmtId="9" fontId="16" fillId="0" borderId="0" applyFont="0" applyFill="0" applyBorder="0" applyAlignment="0" applyProtection="0"/>
    <xf numFmtId="164" fontId="16" fillId="0" borderId="0" applyFont="0" applyFill="0" applyBorder="0" applyAlignment="0" applyProtection="0"/>
    <xf numFmtId="0" fontId="1" fillId="0" borderId="0"/>
    <xf numFmtId="0" fontId="1" fillId="0" borderId="0"/>
    <xf numFmtId="164"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51" fillId="0" borderId="0" applyNumberFormat="0" applyFill="0" applyBorder="0" applyAlignment="0" applyProtection="0"/>
    <xf numFmtId="43"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0" fontId="1" fillId="0" borderId="0"/>
    <xf numFmtId="0" fontId="16" fillId="0" borderId="0" applyFont="0" applyFill="0" applyBorder="0" applyAlignment="0" applyProtection="0"/>
    <xf numFmtId="0" fontId="16" fillId="0" borderId="0" applyFont="0" applyFill="0" applyBorder="0" applyAlignment="0" applyProtection="0"/>
    <xf numFmtId="0" fontId="2" fillId="0" borderId="0"/>
    <xf numFmtId="43" fontId="2" fillId="0" borderId="0" applyFont="0" applyFill="0" applyBorder="0" applyAlignment="0" applyProtection="0"/>
    <xf numFmtId="164" fontId="2" fillId="0" borderId="0" applyFont="0" applyFill="0" applyBorder="0" applyAlignment="0" applyProtection="0"/>
    <xf numFmtId="0" fontId="66" fillId="0" borderId="0"/>
    <xf numFmtId="0" fontId="2" fillId="0" borderId="0"/>
    <xf numFmtId="9" fontId="2" fillId="0" borderId="0" applyFont="0" applyFill="0" applyBorder="0" applyAlignment="0" applyProtection="0"/>
    <xf numFmtId="0" fontId="16" fillId="0" borderId="0" applyFont="0" applyFill="0" applyBorder="0" applyAlignment="0" applyProtection="0"/>
    <xf numFmtId="0" fontId="2" fillId="0" borderId="0"/>
    <xf numFmtId="0" fontId="2" fillId="0" borderId="0"/>
    <xf numFmtId="0" fontId="1" fillId="0" borderId="0"/>
    <xf numFmtId="0" fontId="2" fillId="0" borderId="0"/>
    <xf numFmtId="0" fontId="2" fillId="0" borderId="0"/>
    <xf numFmtId="43" fontId="2" fillId="0" borderId="0" applyFont="0" applyFill="0" applyBorder="0" applyAlignment="0" applyProtection="0"/>
    <xf numFmtId="164" fontId="2" fillId="0" borderId="0" applyFont="0" applyFill="0" applyBorder="0" applyAlignment="0" applyProtection="0"/>
    <xf numFmtId="0" fontId="2" fillId="0" borderId="0"/>
    <xf numFmtId="9" fontId="16" fillId="0" borderId="0" applyFont="0" applyFill="0" applyBorder="0" applyAlignment="0" applyProtection="0"/>
    <xf numFmtId="9" fontId="2" fillId="0" borderId="0" applyFont="0" applyFill="0" applyBorder="0" applyAlignment="0" applyProtection="0"/>
    <xf numFmtId="164" fontId="2" fillId="0" borderId="0" applyFont="0" applyFill="0" applyBorder="0" applyAlignment="0" applyProtection="0"/>
    <xf numFmtId="0" fontId="2" fillId="0" borderId="0"/>
    <xf numFmtId="164" fontId="2" fillId="0" borderId="0" applyFont="0" applyFill="0" applyBorder="0" applyAlignment="0" applyProtection="0"/>
  </cellStyleXfs>
  <cellXfs count="1758">
    <xf numFmtId="0" fontId="0" fillId="0" borderId="0" xfId="0"/>
    <xf numFmtId="165" fontId="4" fillId="2" borderId="0" xfId="1" applyNumberFormat="1" applyFont="1" applyFill="1"/>
    <xf numFmtId="0" fontId="6" fillId="0" borderId="0" xfId="6" applyFont="1" applyAlignment="1">
      <alignment vertical="center"/>
    </xf>
    <xf numFmtId="0" fontId="7" fillId="0" borderId="0" xfId="6" applyFont="1" applyAlignment="1">
      <alignment vertical="center"/>
    </xf>
    <xf numFmtId="0" fontId="8" fillId="0" borderId="0" xfId="6" applyFont="1" applyAlignment="1">
      <alignment vertical="center"/>
    </xf>
    <xf numFmtId="165" fontId="7" fillId="0" borderId="0" xfId="6" applyNumberFormat="1" applyFont="1" applyAlignment="1">
      <alignment vertical="center"/>
    </xf>
    <xf numFmtId="0" fontId="12" fillId="0" borderId="0" xfId="6" applyFont="1" applyAlignment="1">
      <alignment horizontal="right" vertical="center"/>
    </xf>
    <xf numFmtId="0" fontId="8" fillId="0" borderId="0" xfId="6" applyFont="1" applyAlignment="1">
      <alignment horizontal="center" vertical="center"/>
    </xf>
    <xf numFmtId="0" fontId="14" fillId="0" borderId="0" xfId="6" applyFont="1" applyAlignment="1">
      <alignment vertical="center"/>
    </xf>
    <xf numFmtId="0" fontId="14" fillId="0" borderId="0" xfId="6" applyFont="1" applyAlignment="1">
      <alignment horizontal="center" vertical="center"/>
    </xf>
    <xf numFmtId="0" fontId="15" fillId="0" borderId="0" xfId="6" applyFont="1" applyAlignment="1">
      <alignment vertical="center"/>
    </xf>
    <xf numFmtId="0" fontId="15" fillId="0" borderId="0" xfId="6" applyFont="1" applyAlignment="1">
      <alignment horizontal="center" vertical="center"/>
    </xf>
    <xf numFmtId="167" fontId="14" fillId="2" borderId="0" xfId="7" applyNumberFormat="1" applyFont="1" applyFill="1" applyBorder="1" applyAlignment="1">
      <alignment vertical="center"/>
    </xf>
    <xf numFmtId="49" fontId="18" fillId="0" borderId="18" xfId="6" applyNumberFormat="1" applyFont="1" applyBorder="1"/>
    <xf numFmtId="49" fontId="5" fillId="0" borderId="0" xfId="6" applyNumberFormat="1" applyFont="1"/>
    <xf numFmtId="0" fontId="7" fillId="0" borderId="3" xfId="6" applyFont="1" applyBorder="1" applyAlignment="1">
      <alignment horizontal="center" vertical="center" wrapText="1"/>
    </xf>
    <xf numFmtId="0" fontId="14" fillId="0" borderId="3" xfId="6" applyFont="1" applyBorder="1" applyAlignment="1">
      <alignment horizontal="center" vertical="center" wrapText="1"/>
    </xf>
    <xf numFmtId="0" fontId="15" fillId="0" borderId="0" xfId="6" applyFont="1" applyAlignment="1">
      <alignment horizontal="right" vertical="center"/>
    </xf>
    <xf numFmtId="49" fontId="17" fillId="0" borderId="0" xfId="6" applyNumberFormat="1" applyFont="1"/>
    <xf numFmtId="49" fontId="18" fillId="0" borderId="0" xfId="6" applyNumberFormat="1" applyFont="1"/>
    <xf numFmtId="0" fontId="15" fillId="0" borderId="1" xfId="6" applyFont="1" applyBorder="1" applyAlignment="1">
      <alignment vertical="center" wrapText="1"/>
    </xf>
    <xf numFmtId="0" fontId="14" fillId="0" borderId="1" xfId="6" applyFont="1" applyBorder="1" applyAlignment="1">
      <alignment horizontal="center" vertical="center"/>
    </xf>
    <xf numFmtId="167" fontId="15" fillId="0" borderId="1" xfId="7" applyNumberFormat="1" applyFont="1" applyFill="1" applyBorder="1" applyAlignment="1">
      <alignment vertical="top"/>
    </xf>
    <xf numFmtId="0" fontId="8" fillId="0" borderId="18" xfId="6" applyFont="1" applyBorder="1" applyAlignment="1">
      <alignment vertical="center"/>
    </xf>
    <xf numFmtId="0" fontId="7" fillId="0" borderId="18" xfId="6" applyFont="1" applyBorder="1" applyAlignment="1">
      <alignment vertical="center"/>
    </xf>
    <xf numFmtId="170" fontId="4" fillId="2" borderId="0" xfId="6" applyNumberFormat="1" applyFont="1" applyFill="1" applyAlignment="1">
      <alignment vertical="center"/>
    </xf>
    <xf numFmtId="165" fontId="13" fillId="2" borderId="0" xfId="7" applyNumberFormat="1" applyFont="1" applyFill="1" applyBorder="1" applyAlignment="1">
      <alignment vertical="center"/>
    </xf>
    <xf numFmtId="167" fontId="13" fillId="2" borderId="0" xfId="7" applyNumberFormat="1" applyFont="1" applyFill="1" applyBorder="1" applyAlignment="1">
      <alignment vertical="center"/>
    </xf>
    <xf numFmtId="0" fontId="7" fillId="2" borderId="0" xfId="6" applyFont="1" applyFill="1" applyAlignment="1">
      <alignment vertical="center"/>
    </xf>
    <xf numFmtId="165" fontId="4" fillId="2" borderId="0" xfId="7" applyNumberFormat="1" applyFont="1" applyFill="1" applyBorder="1" applyAlignment="1">
      <alignment vertical="center"/>
    </xf>
    <xf numFmtId="165" fontId="3" fillId="2" borderId="0" xfId="7" applyNumberFormat="1" applyFont="1" applyFill="1" applyBorder="1" applyAlignment="1">
      <alignment vertical="center"/>
    </xf>
    <xf numFmtId="165" fontId="3" fillId="2" borderId="0" xfId="7" applyNumberFormat="1" applyFont="1" applyFill="1" applyBorder="1" applyAlignment="1">
      <alignment horizontal="center" vertical="center"/>
    </xf>
    <xf numFmtId="165" fontId="13" fillId="2" borderId="0" xfId="7" applyNumberFormat="1" applyFont="1" applyFill="1" applyBorder="1" applyAlignment="1">
      <alignment horizontal="center" vertical="center"/>
    </xf>
    <xf numFmtId="167" fontId="13" fillId="2" borderId="0" xfId="7" applyNumberFormat="1" applyFont="1" applyFill="1" applyBorder="1" applyAlignment="1">
      <alignment horizontal="center" vertical="center"/>
    </xf>
    <xf numFmtId="165" fontId="10" fillId="2" borderId="0" xfId="7" applyNumberFormat="1" applyFont="1" applyFill="1" applyBorder="1" applyAlignment="1">
      <alignment vertical="center"/>
    </xf>
    <xf numFmtId="165" fontId="13" fillId="2" borderId="0" xfId="7" applyNumberFormat="1" applyFont="1" applyFill="1" applyAlignment="1">
      <alignment vertical="center"/>
    </xf>
    <xf numFmtId="167" fontId="7" fillId="2" borderId="0" xfId="6" applyNumberFormat="1" applyFont="1" applyFill="1" applyAlignment="1">
      <alignment vertical="center"/>
    </xf>
    <xf numFmtId="0" fontId="15" fillId="2" borderId="0" xfId="6" applyFont="1" applyFill="1" applyAlignment="1">
      <alignment vertical="center"/>
    </xf>
    <xf numFmtId="170" fontId="13" fillId="2" borderId="0" xfId="6" applyNumberFormat="1" applyFont="1" applyFill="1" applyAlignment="1">
      <alignment vertical="center"/>
    </xf>
    <xf numFmtId="0" fontId="20" fillId="2" borderId="0" xfId="6" applyFont="1" applyFill="1"/>
    <xf numFmtId="0" fontId="4" fillId="0" borderId="0" xfId="5" applyFont="1" applyAlignment="1">
      <alignment horizontal="left" vertical="top"/>
    </xf>
    <xf numFmtId="0" fontId="22" fillId="0" borderId="0" xfId="5" quotePrefix="1" applyFont="1" applyAlignment="1">
      <alignment horizontal="left" vertical="top"/>
    </xf>
    <xf numFmtId="0" fontId="4" fillId="0" borderId="0" xfId="5" quotePrefix="1" applyFont="1" applyAlignment="1">
      <alignment horizontal="left" vertical="top" wrapText="1"/>
    </xf>
    <xf numFmtId="0" fontId="4" fillId="0" borderId="0" xfId="5" applyFont="1" applyAlignment="1">
      <alignment vertical="top"/>
    </xf>
    <xf numFmtId="0" fontId="3" fillId="0" borderId="0" xfId="5" quotePrefix="1" applyFont="1" applyAlignment="1">
      <alignment horizontal="left" vertical="top"/>
    </xf>
    <xf numFmtId="0" fontId="4" fillId="0" borderId="0" xfId="5" applyFont="1" applyAlignment="1">
      <alignment horizontal="right" vertical="top"/>
    </xf>
    <xf numFmtId="0" fontId="3" fillId="0" borderId="0" xfId="5" applyFont="1" applyAlignment="1">
      <alignment horizontal="center" vertical="top"/>
    </xf>
    <xf numFmtId="0" fontId="3" fillId="0" borderId="0" xfId="5" quotePrefix="1" applyFont="1" applyAlignment="1">
      <alignment horizontal="left" vertical="top" wrapText="1"/>
    </xf>
    <xf numFmtId="0" fontId="3" fillId="0" borderId="0" xfId="5" quotePrefix="1" applyFont="1" applyAlignment="1">
      <alignment horizontal="center" vertical="top"/>
    </xf>
    <xf numFmtId="0" fontId="4" fillId="0" borderId="0" xfId="5" applyFont="1" applyAlignment="1">
      <alignment horizontal="center"/>
    </xf>
    <xf numFmtId="0" fontId="3" fillId="0" borderId="0" xfId="5" applyFont="1" applyAlignment="1">
      <alignment horizontal="left"/>
    </xf>
    <xf numFmtId="0" fontId="23" fillId="0" borderId="0" xfId="5" applyFont="1" applyAlignment="1">
      <alignment horizontal="left"/>
    </xf>
    <xf numFmtId="0" fontId="4" fillId="2" borderId="0" xfId="5" applyFont="1" applyFill="1" applyAlignment="1">
      <alignment horizontal="justify" vertical="top" wrapText="1"/>
    </xf>
    <xf numFmtId="0" fontId="4" fillId="0" borderId="0" xfId="5" applyFont="1" applyAlignment="1">
      <alignment horizontal="justify"/>
    </xf>
    <xf numFmtId="0" fontId="23" fillId="0" borderId="0" xfId="5" applyFont="1"/>
    <xf numFmtId="0" fontId="3" fillId="0" borderId="0" xfId="5" applyFont="1" applyAlignment="1">
      <alignment horizontal="justify"/>
    </xf>
    <xf numFmtId="0" fontId="4" fillId="0" borderId="0" xfId="5" applyFont="1" applyAlignment="1">
      <alignment horizontal="justify" vertical="top" wrapText="1"/>
    </xf>
    <xf numFmtId="0" fontId="3" fillId="2" borderId="0" xfId="5" applyFont="1" applyFill="1" applyAlignment="1">
      <alignment horizontal="justify"/>
    </xf>
    <xf numFmtId="0" fontId="4" fillId="0" borderId="0" xfId="5" applyFont="1" applyAlignment="1">
      <alignment horizontal="left" vertical="top" wrapText="1"/>
    </xf>
    <xf numFmtId="0" fontId="4" fillId="0" borderId="0" xfId="5" applyFont="1" applyAlignment="1">
      <alignment horizontal="center" vertical="top"/>
    </xf>
    <xf numFmtId="0" fontId="3" fillId="0" borderId="0" xfId="5" applyFont="1" applyAlignment="1">
      <alignment horizontal="justify" vertical="top" wrapText="1"/>
    </xf>
    <xf numFmtId="0" fontId="3" fillId="2" borderId="0" xfId="6" applyFont="1" applyFill="1"/>
    <xf numFmtId="49" fontId="13" fillId="2" borderId="0" xfId="6" applyNumberFormat="1" applyFont="1" applyFill="1"/>
    <xf numFmtId="0" fontId="24" fillId="2" borderId="0" xfId="6" applyFont="1" applyFill="1" applyAlignment="1">
      <alignment horizontal="right" vertical="center"/>
    </xf>
    <xf numFmtId="0" fontId="14" fillId="2" borderId="0" xfId="6" applyFont="1" applyFill="1" applyAlignment="1">
      <alignment vertical="center"/>
    </xf>
    <xf numFmtId="0" fontId="15" fillId="2" borderId="3" xfId="6" applyFont="1" applyFill="1" applyBorder="1" applyAlignment="1">
      <alignment vertical="center"/>
    </xf>
    <xf numFmtId="0" fontId="7" fillId="2" borderId="3" xfId="6" applyFont="1" applyFill="1" applyBorder="1" applyAlignment="1">
      <alignment vertical="center"/>
    </xf>
    <xf numFmtId="0" fontId="14" fillId="2" borderId="0" xfId="6" applyFont="1" applyFill="1" applyAlignment="1">
      <alignment horizontal="left" vertical="center" indent="1"/>
    </xf>
    <xf numFmtId="0" fontId="4" fillId="2" borderId="0" xfId="6" applyFont="1" applyFill="1" applyAlignment="1">
      <alignment horizontal="left" vertical="center" indent="1"/>
    </xf>
    <xf numFmtId="0" fontId="15" fillId="2" borderId="0" xfId="6" applyFont="1" applyFill="1" applyAlignment="1">
      <alignment horizontal="left" vertical="center" indent="1"/>
    </xf>
    <xf numFmtId="0" fontId="3" fillId="2" borderId="3" xfId="6" applyFont="1" applyFill="1" applyBorder="1" applyAlignment="1">
      <alignment horizontal="left" vertical="center" indent="1"/>
    </xf>
    <xf numFmtId="0" fontId="4" fillId="2" borderId="0" xfId="6" applyFont="1" applyFill="1" applyAlignment="1">
      <alignment vertical="center"/>
    </xf>
    <xf numFmtId="165" fontId="14" fillId="2" borderId="0" xfId="7" applyNumberFormat="1" applyFont="1" applyFill="1" applyBorder="1" applyAlignment="1">
      <alignment vertical="center"/>
    </xf>
    <xf numFmtId="165" fontId="15" fillId="2" borderId="0" xfId="7" applyNumberFormat="1" applyFont="1" applyFill="1" applyBorder="1" applyAlignment="1">
      <alignment vertical="center"/>
    </xf>
    <xf numFmtId="0" fontId="3" fillId="2" borderId="0" xfId="6" applyFont="1" applyFill="1" applyAlignment="1">
      <alignment horizontal="left" vertical="center"/>
    </xf>
    <xf numFmtId="165" fontId="14" fillId="2" borderId="17" xfId="7" applyNumberFormat="1" applyFont="1" applyFill="1" applyBorder="1" applyAlignment="1">
      <alignment vertical="center"/>
    </xf>
    <xf numFmtId="165" fontId="15" fillId="2" borderId="17" xfId="7" applyNumberFormat="1" applyFont="1" applyFill="1" applyBorder="1" applyAlignment="1">
      <alignment vertical="center"/>
    </xf>
    <xf numFmtId="0" fontId="15" fillId="2" borderId="17" xfId="6" applyFont="1" applyFill="1" applyBorder="1" applyAlignment="1">
      <alignment vertical="center"/>
    </xf>
    <xf numFmtId="0" fontId="3" fillId="2" borderId="3" xfId="6" applyFont="1" applyFill="1" applyBorder="1" applyAlignment="1">
      <alignment horizontal="right" vertical="top" wrapText="1"/>
    </xf>
    <xf numFmtId="0" fontId="3" fillId="2" borderId="15" xfId="6" applyFont="1" applyFill="1" applyBorder="1" applyAlignment="1">
      <alignment horizontal="left" indent="1"/>
    </xf>
    <xf numFmtId="0" fontId="3" fillId="2" borderId="0" xfId="6" applyFont="1" applyFill="1" applyAlignment="1">
      <alignment horizontal="right" vertical="top" wrapText="1"/>
    </xf>
    <xf numFmtId="0" fontId="4" fillId="2" borderId="0" xfId="6" applyFont="1" applyFill="1" applyAlignment="1">
      <alignment horizontal="left" vertical="top" wrapText="1" indent="1"/>
    </xf>
    <xf numFmtId="0" fontId="4" fillId="2" borderId="17" xfId="6" applyFont="1" applyFill="1" applyBorder="1" applyAlignment="1">
      <alignment horizontal="left" vertical="top" wrapText="1" indent="1"/>
    </xf>
    <xf numFmtId="0" fontId="3" fillId="2" borderId="0" xfId="6" applyFont="1" applyFill="1" applyAlignment="1">
      <alignment horizontal="left" vertical="top"/>
    </xf>
    <xf numFmtId="0" fontId="4" fillId="2" borderId="0" xfId="6" applyFont="1" applyFill="1" applyAlignment="1">
      <alignment horizontal="left" vertical="top" indent="1"/>
    </xf>
    <xf numFmtId="0" fontId="13" fillId="2" borderId="0" xfId="6" applyFont="1" applyFill="1" applyAlignment="1">
      <alignment horizontal="justify" vertical="top" wrapText="1"/>
    </xf>
    <xf numFmtId="165" fontId="3" fillId="2" borderId="17" xfId="9" applyNumberFormat="1" applyFont="1" applyFill="1" applyBorder="1" applyAlignment="1">
      <alignment horizontal="justify" vertical="top" wrapText="1"/>
    </xf>
    <xf numFmtId="165" fontId="4" fillId="2" borderId="17" xfId="9" applyNumberFormat="1" applyFont="1" applyFill="1" applyBorder="1" applyAlignment="1">
      <alignment horizontal="justify" vertical="top" wrapText="1"/>
    </xf>
    <xf numFmtId="165" fontId="3" fillId="2" borderId="3" xfId="9" applyNumberFormat="1" applyFont="1" applyFill="1" applyBorder="1" applyAlignment="1">
      <alignment horizontal="right" vertical="top" wrapText="1"/>
    </xf>
    <xf numFmtId="0" fontId="3" fillId="2" borderId="15" xfId="6" applyFont="1" applyFill="1" applyBorder="1" applyAlignment="1">
      <alignment horizontal="left" vertical="top" wrapText="1" indent="1"/>
    </xf>
    <xf numFmtId="165" fontId="3" fillId="2" borderId="0" xfId="9" applyNumberFormat="1" applyFont="1" applyFill="1" applyBorder="1" applyAlignment="1">
      <alignment horizontal="justify" vertical="top" wrapText="1"/>
    </xf>
    <xf numFmtId="0" fontId="4" fillId="2" borderId="0" xfId="6" applyFont="1" applyFill="1" applyAlignment="1">
      <alignment horizontal="left" vertical="center" indent="3"/>
    </xf>
    <xf numFmtId="10" fontId="15" fillId="2" borderId="0" xfId="10" applyNumberFormat="1" applyFont="1" applyFill="1" applyBorder="1" applyAlignment="1">
      <alignment vertical="center"/>
    </xf>
    <xf numFmtId="0" fontId="4" fillId="2" borderId="17" xfId="6" applyFont="1" applyFill="1" applyBorder="1" applyAlignment="1">
      <alignment horizontal="left" vertical="center" indent="3"/>
    </xf>
    <xf numFmtId="0" fontId="13" fillId="2" borderId="17" xfId="6" applyFont="1" applyFill="1" applyBorder="1" applyAlignment="1">
      <alignment horizontal="justify" vertical="top" wrapText="1"/>
    </xf>
    <xf numFmtId="49" fontId="17" fillId="2" borderId="0" xfId="6" applyNumberFormat="1" applyFont="1" applyFill="1"/>
    <xf numFmtId="0" fontId="25" fillId="2" borderId="0" xfId="6" applyFont="1" applyFill="1"/>
    <xf numFmtId="167" fontId="25" fillId="2" borderId="0" xfId="6" applyNumberFormat="1" applyFont="1" applyFill="1"/>
    <xf numFmtId="0" fontId="25" fillId="2" borderId="3" xfId="6" applyFont="1" applyFill="1" applyBorder="1"/>
    <xf numFmtId="49" fontId="17" fillId="2" borderId="0" xfId="6" applyNumberFormat="1" applyFont="1" applyFill="1" applyAlignment="1">
      <alignment horizontal="left" indent="1"/>
    </xf>
    <xf numFmtId="168" fontId="25" fillId="2" borderId="0" xfId="6" quotePrefix="1" applyNumberFormat="1" applyFont="1" applyFill="1" applyAlignment="1">
      <alignment horizontal="right"/>
    </xf>
    <xf numFmtId="49" fontId="18" fillId="2" borderId="0" xfId="6" applyNumberFormat="1" applyFont="1" applyFill="1" applyAlignment="1">
      <alignment horizontal="left" indent="1"/>
    </xf>
    <xf numFmtId="164" fontId="7" fillId="2" borderId="0" xfId="6" applyNumberFormat="1" applyFont="1" applyFill="1" applyAlignment="1">
      <alignment vertical="center"/>
    </xf>
    <xf numFmtId="43" fontId="7" fillId="2" borderId="0" xfId="6" applyNumberFormat="1" applyFont="1" applyFill="1" applyAlignment="1">
      <alignment vertical="center"/>
    </xf>
    <xf numFmtId="49" fontId="18" fillId="2" borderId="3" xfId="6" applyNumberFormat="1" applyFont="1" applyFill="1" applyBorder="1" applyAlignment="1">
      <alignment horizontal="left" indent="1"/>
    </xf>
    <xf numFmtId="165" fontId="7" fillId="2" borderId="0" xfId="6" applyNumberFormat="1" applyFont="1" applyFill="1" applyAlignment="1">
      <alignment vertical="center"/>
    </xf>
    <xf numFmtId="49" fontId="17" fillId="2" borderId="0" xfId="5" applyNumberFormat="1" applyFont="1" applyFill="1"/>
    <xf numFmtId="0" fontId="7" fillId="2" borderId="0" xfId="5" applyFont="1" applyFill="1" applyAlignment="1">
      <alignment vertical="center"/>
    </xf>
    <xf numFmtId="0" fontId="25" fillId="2" borderId="3" xfId="5" applyFont="1" applyFill="1" applyBorder="1"/>
    <xf numFmtId="168" fontId="25" fillId="2" borderId="17" xfId="5" quotePrefix="1" applyNumberFormat="1" applyFont="1" applyFill="1" applyBorder="1" applyAlignment="1">
      <alignment horizontal="right"/>
    </xf>
    <xf numFmtId="167" fontId="7" fillId="2" borderId="0" xfId="5" applyNumberFormat="1" applyFont="1" applyFill="1" applyAlignment="1">
      <alignment vertical="center"/>
    </xf>
    <xf numFmtId="167" fontId="17" fillId="2" borderId="3" xfId="11" applyNumberFormat="1" applyFont="1" applyFill="1" applyBorder="1" applyAlignment="1"/>
    <xf numFmtId="168" fontId="25" fillId="2" borderId="3" xfId="5" quotePrefix="1" applyNumberFormat="1" applyFont="1" applyFill="1" applyBorder="1" applyAlignment="1">
      <alignment horizontal="right"/>
    </xf>
    <xf numFmtId="0" fontId="20" fillId="2" borderId="0" xfId="5" applyFont="1" applyFill="1" applyAlignment="1">
      <alignment horizontal="left" vertical="top" wrapText="1" indent="1"/>
    </xf>
    <xf numFmtId="167" fontId="25" fillId="2" borderId="0" xfId="5" quotePrefix="1" applyNumberFormat="1" applyFont="1" applyFill="1" applyAlignment="1">
      <alignment vertical="top"/>
    </xf>
    <xf numFmtId="167" fontId="15" fillId="2" borderId="0" xfId="7" applyNumberFormat="1" applyFont="1" applyFill="1" applyBorder="1" applyAlignment="1">
      <alignment vertical="center"/>
    </xf>
    <xf numFmtId="169" fontId="18" fillId="2" borderId="0" xfId="7" applyNumberFormat="1" applyFont="1" applyFill="1"/>
    <xf numFmtId="167" fontId="18" fillId="2" borderId="0" xfId="7" applyNumberFormat="1" applyFont="1" applyFill="1"/>
    <xf numFmtId="0" fontId="20" fillId="2" borderId="3" xfId="6" applyFont="1" applyFill="1" applyBorder="1"/>
    <xf numFmtId="169" fontId="25" fillId="2" borderId="3" xfId="6" quotePrefix="1" applyNumberFormat="1" applyFont="1" applyFill="1" applyBorder="1" applyAlignment="1">
      <alignment horizontal="right"/>
    </xf>
    <xf numFmtId="167" fontId="25" fillId="2" borderId="0" xfId="6" quotePrefix="1" applyNumberFormat="1" applyFont="1" applyFill="1" applyAlignment="1">
      <alignment horizontal="right"/>
    </xf>
    <xf numFmtId="15" fontId="7" fillId="2" borderId="0" xfId="6" applyNumberFormat="1" applyFont="1" applyFill="1" applyAlignment="1">
      <alignment vertical="center"/>
    </xf>
    <xf numFmtId="0" fontId="15" fillId="2" borderId="0" xfId="6" applyFont="1" applyFill="1" applyAlignment="1">
      <alignment horizontal="left" vertical="center"/>
    </xf>
    <xf numFmtId="0" fontId="14" fillId="2" borderId="3" xfId="6" applyFont="1" applyFill="1" applyBorder="1" applyAlignment="1">
      <alignment horizontal="left" vertical="center"/>
    </xf>
    <xf numFmtId="0" fontId="3" fillId="2" borderId="17" xfId="6" applyFont="1" applyFill="1" applyBorder="1" applyAlignment="1">
      <alignment vertical="top"/>
    </xf>
    <xf numFmtId="165" fontId="3" fillId="2" borderId="17" xfId="9" applyNumberFormat="1" applyFont="1" applyFill="1" applyBorder="1" applyAlignment="1">
      <alignment vertical="top"/>
    </xf>
    <xf numFmtId="165" fontId="4" fillId="2" borderId="17" xfId="9" applyNumberFormat="1" applyFont="1" applyFill="1" applyBorder="1" applyAlignment="1">
      <alignment vertical="top"/>
    </xf>
    <xf numFmtId="0" fontId="4" fillId="2" borderId="17" xfId="6" applyFont="1" applyFill="1" applyBorder="1"/>
    <xf numFmtId="168" fontId="3" fillId="2" borderId="17" xfId="9" applyNumberFormat="1" applyFont="1" applyFill="1" applyBorder="1" applyAlignment="1">
      <alignment horizontal="right"/>
    </xf>
    <xf numFmtId="171" fontId="3" fillId="2" borderId="17" xfId="9" applyNumberFormat="1" applyFont="1" applyFill="1" applyBorder="1" applyAlignment="1">
      <alignment horizontal="right"/>
    </xf>
    <xf numFmtId="0" fontId="4" fillId="2" borderId="3" xfId="6" applyFont="1" applyFill="1" applyBorder="1" applyAlignment="1">
      <alignment vertical="top"/>
    </xf>
    <xf numFmtId="167" fontId="3" fillId="2" borderId="3" xfId="9" applyNumberFormat="1" applyFont="1" applyFill="1" applyBorder="1" applyAlignment="1">
      <alignment vertical="top"/>
    </xf>
    <xf numFmtId="0" fontId="22" fillId="2" borderId="0" xfId="6" applyFont="1" applyFill="1" applyAlignment="1">
      <alignment vertical="center"/>
    </xf>
    <xf numFmtId="0" fontId="13" fillId="2" borderId="0" xfId="5" applyFont="1" applyFill="1"/>
    <xf numFmtId="165" fontId="13" fillId="2" borderId="0" xfId="1" applyNumberFormat="1" applyFont="1" applyFill="1"/>
    <xf numFmtId="0" fontId="26" fillId="2" borderId="0" xfId="5" applyFont="1" applyFill="1" applyAlignment="1">
      <alignment horizontal="center"/>
    </xf>
    <xf numFmtId="0" fontId="21" fillId="2" borderId="0" xfId="5" applyFont="1" applyFill="1" applyAlignment="1">
      <alignment horizontal="right"/>
    </xf>
    <xf numFmtId="0" fontId="4" fillId="2" borderId="0" xfId="5" applyFont="1" applyFill="1"/>
    <xf numFmtId="165" fontId="4" fillId="2" borderId="0" xfId="5" applyNumberFormat="1" applyFont="1" applyFill="1"/>
    <xf numFmtId="0" fontId="4" fillId="2" borderId="12" xfId="5" applyFont="1" applyFill="1" applyBorder="1" applyAlignment="1">
      <alignment horizontal="center" vertical="center" wrapText="1"/>
    </xf>
    <xf numFmtId="0" fontId="3" fillId="2" borderId="5" xfId="5" applyFont="1" applyFill="1" applyBorder="1" applyAlignment="1">
      <alignment vertical="center"/>
    </xf>
    <xf numFmtId="0" fontId="3" fillId="2" borderId="10" xfId="5" applyFont="1" applyFill="1" applyBorder="1" applyAlignment="1">
      <alignment vertical="center"/>
    </xf>
    <xf numFmtId="0" fontId="4" fillId="2" borderId="7" xfId="5" applyFont="1" applyFill="1" applyBorder="1" applyAlignment="1">
      <alignment horizontal="center" vertical="center"/>
    </xf>
    <xf numFmtId="0" fontId="4" fillId="2" borderId="6" xfId="5" applyFont="1" applyFill="1" applyBorder="1" applyAlignment="1">
      <alignment vertical="center"/>
    </xf>
    <xf numFmtId="43" fontId="4" fillId="2" borderId="0" xfId="5" applyNumberFormat="1" applyFont="1" applyFill="1"/>
    <xf numFmtId="0" fontId="3" fillId="2" borderId="21" xfId="5" applyFont="1" applyFill="1" applyBorder="1" applyAlignment="1">
      <alignment vertical="center" wrapText="1"/>
    </xf>
    <xf numFmtId="0" fontId="3" fillId="2" borderId="22" xfId="5" applyFont="1" applyFill="1" applyBorder="1" applyAlignment="1">
      <alignment vertical="center" wrapText="1"/>
    </xf>
    <xf numFmtId="0" fontId="3" fillId="2" borderId="0" xfId="5" applyFont="1" applyFill="1"/>
    <xf numFmtId="0" fontId="7" fillId="0" borderId="0" xfId="12" applyFont="1" applyAlignment="1">
      <alignment vertical="top"/>
    </xf>
    <xf numFmtId="0" fontId="3" fillId="0" borderId="0" xfId="12" applyFont="1" applyAlignment="1">
      <alignment vertical="top"/>
    </xf>
    <xf numFmtId="0" fontId="15" fillId="0" borderId="0" xfId="12" applyFont="1" applyAlignment="1">
      <alignment vertical="top"/>
    </xf>
    <xf numFmtId="49" fontId="4" fillId="0" borderId="0" xfId="12" applyNumberFormat="1" applyFont="1" applyAlignment="1">
      <alignment vertical="top"/>
    </xf>
    <xf numFmtId="0" fontId="12" fillId="0" borderId="0" xfId="12" applyFont="1" applyAlignment="1">
      <alignment horizontal="right" vertical="top"/>
    </xf>
    <xf numFmtId="49" fontId="17" fillId="0" borderId="0" xfId="12" applyNumberFormat="1" applyFont="1" applyAlignment="1">
      <alignment vertical="top"/>
    </xf>
    <xf numFmtId="0" fontId="15" fillId="2" borderId="0" xfId="12" applyFont="1" applyFill="1" applyAlignment="1">
      <alignment vertical="top"/>
    </xf>
    <xf numFmtId="0" fontId="25" fillId="0" borderId="3" xfId="12" applyFont="1" applyBorder="1" applyAlignment="1">
      <alignment vertical="top"/>
    </xf>
    <xf numFmtId="49" fontId="18" fillId="0" borderId="0" xfId="12" applyNumberFormat="1" applyFont="1" applyAlignment="1">
      <alignment vertical="top"/>
    </xf>
    <xf numFmtId="167" fontId="7" fillId="0" borderId="0" xfId="12" applyNumberFormat="1" applyFont="1" applyAlignment="1">
      <alignment vertical="top"/>
    </xf>
    <xf numFmtId="49" fontId="17" fillId="0" borderId="3" xfId="12" applyNumberFormat="1" applyFont="1" applyBorder="1" applyAlignment="1">
      <alignment vertical="top"/>
    </xf>
    <xf numFmtId="167" fontId="17" fillId="2" borderId="0" xfId="11" applyNumberFormat="1" applyFont="1" applyFill="1" applyBorder="1" applyAlignment="1">
      <alignment vertical="top"/>
    </xf>
    <xf numFmtId="167" fontId="17" fillId="0" borderId="0" xfId="11" applyNumberFormat="1" applyFont="1" applyFill="1" applyBorder="1" applyAlignment="1">
      <alignment vertical="top"/>
    </xf>
    <xf numFmtId="0" fontId="25" fillId="0" borderId="0" xfId="12" applyFont="1" applyAlignment="1">
      <alignment vertical="top"/>
    </xf>
    <xf numFmtId="167" fontId="20" fillId="2" borderId="0" xfId="12" applyNumberFormat="1" applyFont="1" applyFill="1" applyAlignment="1">
      <alignment vertical="top"/>
    </xf>
    <xf numFmtId="167" fontId="20" fillId="0" borderId="0" xfId="12" applyNumberFormat="1" applyFont="1" applyAlignment="1">
      <alignment vertical="top"/>
    </xf>
    <xf numFmtId="49" fontId="17" fillId="0" borderId="3" xfId="12" applyNumberFormat="1" applyFont="1" applyBorder="1" applyAlignment="1">
      <alignment vertical="top" wrapText="1"/>
    </xf>
    <xf numFmtId="49" fontId="17" fillId="0" borderId="0" xfId="12" applyNumberFormat="1" applyFont="1" applyAlignment="1">
      <alignment horizontal="justify" vertical="top" wrapText="1"/>
    </xf>
    <xf numFmtId="0" fontId="25" fillId="0" borderId="3" xfId="12" applyFont="1" applyBorder="1" applyAlignment="1">
      <alignment horizontal="left" vertical="top"/>
    </xf>
    <xf numFmtId="0" fontId="25" fillId="0" borderId="0" xfId="12" applyFont="1" applyAlignment="1">
      <alignment horizontal="left" vertical="top"/>
    </xf>
    <xf numFmtId="167" fontId="17" fillId="2" borderId="0" xfId="11" applyNumberFormat="1" applyFont="1" applyFill="1" applyAlignment="1">
      <alignment vertical="top"/>
    </xf>
    <xf numFmtId="167" fontId="17" fillId="0" borderId="0" xfId="11" applyNumberFormat="1" applyFont="1" applyFill="1" applyAlignment="1">
      <alignment vertical="top"/>
    </xf>
    <xf numFmtId="49" fontId="18" fillId="0" borderId="0" xfId="12" applyNumberFormat="1" applyFont="1" applyAlignment="1">
      <alignment horizontal="left" vertical="top"/>
    </xf>
    <xf numFmtId="49" fontId="17" fillId="0" borderId="0" xfId="12" applyNumberFormat="1" applyFont="1" applyAlignment="1">
      <alignment horizontal="left" vertical="top"/>
    </xf>
    <xf numFmtId="49" fontId="4" fillId="0" borderId="0" xfId="12" applyNumberFormat="1" applyFont="1" applyAlignment="1">
      <alignment horizontal="left" vertical="top" indent="1"/>
    </xf>
    <xf numFmtId="167" fontId="25" fillId="2" borderId="0" xfId="11" applyNumberFormat="1" applyFont="1" applyFill="1" applyBorder="1" applyAlignment="1">
      <alignment vertical="top"/>
    </xf>
    <xf numFmtId="167" fontId="25" fillId="0" borderId="0" xfId="11" applyNumberFormat="1" applyFont="1" applyFill="1" applyBorder="1" applyAlignment="1">
      <alignment vertical="top"/>
    </xf>
    <xf numFmtId="0" fontId="20" fillId="0" borderId="0" xfId="12" applyFont="1" applyAlignment="1">
      <alignment vertical="top"/>
    </xf>
    <xf numFmtId="167" fontId="18" fillId="2" borderId="0" xfId="12" applyNumberFormat="1" applyFont="1" applyFill="1" applyAlignment="1">
      <alignment vertical="top"/>
    </xf>
    <xf numFmtId="167" fontId="18" fillId="0" borderId="0" xfId="12" applyNumberFormat="1" applyFont="1" applyAlignment="1">
      <alignment vertical="top"/>
    </xf>
    <xf numFmtId="0" fontId="7" fillId="0" borderId="0" xfId="12" applyFont="1" applyAlignment="1">
      <alignment vertical="center"/>
    </xf>
    <xf numFmtId="0" fontId="3" fillId="0" borderId="0" xfId="12" applyFont="1"/>
    <xf numFmtId="165" fontId="7" fillId="0" borderId="0" xfId="11" applyNumberFormat="1" applyFont="1" applyFill="1" applyAlignment="1">
      <alignment vertical="center"/>
    </xf>
    <xf numFmtId="49" fontId="13" fillId="0" borderId="0" xfId="12" applyNumberFormat="1" applyFont="1"/>
    <xf numFmtId="165" fontId="24" fillId="0" borderId="0" xfId="11" applyNumberFormat="1" applyFont="1" applyFill="1" applyAlignment="1">
      <alignment vertical="center"/>
    </xf>
    <xf numFmtId="49" fontId="17" fillId="0" borderId="0" xfId="12" applyNumberFormat="1" applyFont="1"/>
    <xf numFmtId="0" fontId="4" fillId="0" borderId="17" xfId="12" applyFont="1" applyBorder="1"/>
    <xf numFmtId="0" fontId="4" fillId="0" borderId="3" xfId="12" applyFont="1" applyBorder="1"/>
    <xf numFmtId="0" fontId="13" fillId="0" borderId="0" xfId="12" applyFont="1"/>
    <xf numFmtId="0" fontId="4" fillId="0" borderId="0" xfId="12" applyFont="1"/>
    <xf numFmtId="168" fontId="28" fillId="0" borderId="0" xfId="12" quotePrefix="1" applyNumberFormat="1" applyFont="1" applyAlignment="1">
      <alignment horizontal="right"/>
    </xf>
    <xf numFmtId="167" fontId="29" fillId="0" borderId="0" xfId="11" applyNumberFormat="1" applyFont="1" applyFill="1" applyAlignment="1"/>
    <xf numFmtId="49" fontId="18" fillId="0" borderId="3" xfId="12" applyNumberFormat="1" applyFont="1" applyBorder="1"/>
    <xf numFmtId="49" fontId="4" fillId="0" borderId="0" xfId="12" applyNumberFormat="1" applyFont="1"/>
    <xf numFmtId="165" fontId="15" fillId="0" borderId="0" xfId="11" applyNumberFormat="1" applyFont="1" applyFill="1" applyAlignment="1">
      <alignment vertical="center"/>
    </xf>
    <xf numFmtId="167" fontId="30" fillId="0" borderId="0" xfId="11" applyNumberFormat="1" applyFont="1" applyFill="1" applyBorder="1" applyAlignment="1"/>
    <xf numFmtId="0" fontId="14" fillId="0" borderId="0" xfId="12" applyFont="1" applyAlignment="1">
      <alignment vertical="center"/>
    </xf>
    <xf numFmtId="0" fontId="15" fillId="0" borderId="3" xfId="12" applyFont="1" applyBorder="1" applyAlignment="1">
      <alignment vertical="center"/>
    </xf>
    <xf numFmtId="0" fontId="4" fillId="0" borderId="0" xfId="12" applyFont="1" applyAlignment="1">
      <alignment vertical="center"/>
    </xf>
    <xf numFmtId="0" fontId="15" fillId="0" borderId="0" xfId="12" applyFont="1" applyAlignment="1">
      <alignment vertical="center"/>
    </xf>
    <xf numFmtId="165" fontId="7" fillId="0" borderId="0" xfId="11" applyNumberFormat="1" applyFont="1" applyFill="1" applyBorder="1" applyAlignment="1">
      <alignment vertical="center"/>
    </xf>
    <xf numFmtId="165" fontId="7" fillId="0" borderId="0" xfId="12" applyNumberFormat="1" applyFont="1" applyAlignment="1">
      <alignment vertical="center"/>
    </xf>
    <xf numFmtId="165" fontId="7" fillId="0" borderId="0" xfId="8" applyNumberFormat="1" applyFont="1" applyFill="1" applyBorder="1" applyAlignment="1">
      <alignment vertical="center"/>
    </xf>
    <xf numFmtId="0" fontId="14" fillId="0" borderId="3" xfId="12" applyFont="1" applyBorder="1" applyAlignment="1">
      <alignment vertical="center"/>
    </xf>
    <xf numFmtId="165" fontId="8" fillId="0" borderId="0" xfId="11" applyNumberFormat="1" applyFont="1" applyFill="1" applyBorder="1" applyAlignment="1">
      <alignment vertical="center"/>
    </xf>
    <xf numFmtId="165" fontId="15" fillId="0" borderId="0" xfId="11" applyNumberFormat="1" applyFont="1" applyFill="1" applyBorder="1" applyAlignment="1">
      <alignment vertical="center"/>
    </xf>
    <xf numFmtId="165" fontId="14" fillId="2" borderId="0" xfId="11" applyNumberFormat="1" applyFont="1" applyFill="1" applyAlignment="1">
      <alignment vertical="center"/>
    </xf>
    <xf numFmtId="0" fontId="15" fillId="0" borderId="0" xfId="12" quotePrefix="1" applyFont="1" applyAlignment="1">
      <alignment horizontal="left" vertical="center" indent="1"/>
    </xf>
    <xf numFmtId="0" fontId="27" fillId="0" borderId="0" xfId="12" applyFont="1" applyAlignment="1">
      <alignment vertical="center"/>
    </xf>
    <xf numFmtId="167" fontId="14" fillId="0" borderId="0" xfId="11" applyNumberFormat="1" applyFont="1" applyFill="1" applyBorder="1" applyAlignment="1">
      <alignment vertical="center"/>
    </xf>
    <xf numFmtId="165" fontId="15" fillId="2" borderId="0" xfId="1" applyNumberFormat="1" applyFont="1" applyFill="1" applyBorder="1" applyAlignment="1">
      <alignment vertical="center"/>
    </xf>
    <xf numFmtId="165" fontId="15" fillId="0" borderId="0" xfId="1" applyNumberFormat="1" applyFont="1" applyFill="1" applyBorder="1" applyAlignment="1">
      <alignment vertical="center"/>
    </xf>
    <xf numFmtId="165" fontId="20" fillId="2" borderId="0" xfId="1" quotePrefix="1" applyNumberFormat="1" applyFont="1" applyFill="1" applyBorder="1" applyAlignment="1">
      <alignment horizontal="right"/>
    </xf>
    <xf numFmtId="165" fontId="20" fillId="0" borderId="0" xfId="1" quotePrefix="1" applyNumberFormat="1" applyFont="1" applyFill="1" applyBorder="1" applyAlignment="1">
      <alignment horizontal="right"/>
    </xf>
    <xf numFmtId="0" fontId="15" fillId="0" borderId="0" xfId="5" applyFont="1" applyAlignment="1">
      <alignment vertical="center"/>
    </xf>
    <xf numFmtId="165" fontId="14" fillId="0" borderId="3" xfId="11" applyNumberFormat="1" applyFont="1" applyFill="1" applyBorder="1" applyAlignment="1">
      <alignment vertical="center"/>
    </xf>
    <xf numFmtId="165" fontId="14" fillId="0" borderId="0" xfId="11" applyNumberFormat="1" applyFont="1" applyFill="1" applyBorder="1" applyAlignment="1">
      <alignment vertical="center"/>
    </xf>
    <xf numFmtId="0" fontId="20" fillId="0" borderId="0" xfId="12" applyFont="1" applyAlignment="1">
      <alignment vertical="center"/>
    </xf>
    <xf numFmtId="165" fontId="20" fillId="0" borderId="0" xfId="12" applyNumberFormat="1" applyFont="1" applyAlignment="1">
      <alignment vertical="center"/>
    </xf>
    <xf numFmtId="0" fontId="14" fillId="0" borderId="0" xfId="5" applyFont="1" applyAlignment="1">
      <alignment vertical="center"/>
    </xf>
    <xf numFmtId="0" fontId="14" fillId="0" borderId="3" xfId="5" applyFont="1" applyBorder="1" applyAlignment="1">
      <alignment vertical="center"/>
    </xf>
    <xf numFmtId="49" fontId="18" fillId="0" borderId="0" xfId="5" quotePrefix="1" applyNumberFormat="1" applyFont="1" applyAlignment="1">
      <alignment horizontal="left" indent="1"/>
    </xf>
    <xf numFmtId="0" fontId="15" fillId="0" borderId="3" xfId="5" applyFont="1" applyBorder="1" applyAlignment="1">
      <alignment vertical="center"/>
    </xf>
    <xf numFmtId="0" fontId="2" fillId="0" borderId="0" xfId="5"/>
    <xf numFmtId="0" fontId="6" fillId="2" borderId="0" xfId="12" applyFont="1" applyFill="1" applyAlignment="1">
      <alignment vertical="center"/>
    </xf>
    <xf numFmtId="0" fontId="15" fillId="2" borderId="0" xfId="12" applyFont="1" applyFill="1" applyAlignment="1">
      <alignment vertical="center"/>
    </xf>
    <xf numFmtId="0" fontId="20" fillId="2" borderId="0" xfId="12" applyFont="1" applyFill="1"/>
    <xf numFmtId="0" fontId="3" fillId="2" borderId="0" xfId="12" applyFont="1" applyFill="1"/>
    <xf numFmtId="49" fontId="4" fillId="2" borderId="0" xfId="12" applyNumberFormat="1" applyFont="1" applyFill="1"/>
    <xf numFmtId="0" fontId="25" fillId="2" borderId="17" xfId="12" applyFont="1" applyFill="1" applyBorder="1"/>
    <xf numFmtId="0" fontId="20" fillId="2" borderId="17" xfId="12" applyFont="1" applyFill="1" applyBorder="1"/>
    <xf numFmtId="0" fontId="14" fillId="2" borderId="17" xfId="12" applyFont="1" applyFill="1" applyBorder="1" applyAlignment="1">
      <alignment vertical="center"/>
    </xf>
    <xf numFmtId="0" fontId="25" fillId="2" borderId="0" xfId="12" applyFont="1" applyFill="1"/>
    <xf numFmtId="0" fontId="20" fillId="2" borderId="0" xfId="12" applyFont="1" applyFill="1" applyAlignment="1">
      <alignment horizontal="left" indent="2"/>
    </xf>
    <xf numFmtId="164" fontId="20" fillId="2" borderId="0" xfId="11" applyFont="1" applyFill="1"/>
    <xf numFmtId="0" fontId="20" fillId="2" borderId="0" xfId="12" applyFont="1" applyFill="1" applyAlignment="1">
      <alignment horizontal="left" vertical="top" wrapText="1" indent="2"/>
    </xf>
    <xf numFmtId="0" fontId="25" fillId="2" borderId="0" xfId="12" applyFont="1" applyFill="1" applyAlignment="1">
      <alignment horizontal="center" vertical="top" wrapText="1"/>
    </xf>
    <xf numFmtId="0" fontId="25" fillId="2" borderId="0" xfId="12" applyFont="1" applyFill="1" applyAlignment="1">
      <alignment horizontal="left" vertical="top"/>
    </xf>
    <xf numFmtId="0" fontId="20" fillId="2" borderId="0" xfId="12" applyFont="1" applyFill="1" applyAlignment="1">
      <alignment horizontal="left" vertical="top" indent="2"/>
    </xf>
    <xf numFmtId="0" fontId="3" fillId="2" borderId="2" xfId="5" applyFont="1" applyFill="1" applyBorder="1" applyAlignment="1">
      <alignment horizontal="center" vertical="center"/>
    </xf>
    <xf numFmtId="0" fontId="3" fillId="2" borderId="5" xfId="5" applyFont="1" applyFill="1" applyBorder="1" applyAlignment="1">
      <alignment horizontal="left" vertical="center"/>
    </xf>
    <xf numFmtId="0" fontId="2" fillId="2" borderId="15" xfId="5" applyFill="1" applyBorder="1"/>
    <xf numFmtId="0" fontId="3" fillId="2" borderId="15" xfId="5" applyFont="1" applyFill="1" applyBorder="1" applyAlignment="1">
      <alignment horizontal="left" vertical="center" indent="2"/>
    </xf>
    <xf numFmtId="0" fontId="20" fillId="2" borderId="17" xfId="12" applyFont="1" applyFill="1" applyBorder="1" applyAlignment="1">
      <alignment horizontal="left" vertical="top" wrapText="1" indent="2"/>
    </xf>
    <xf numFmtId="0" fontId="14" fillId="2" borderId="3" xfId="12" applyFont="1" applyFill="1" applyBorder="1" applyAlignment="1">
      <alignment vertical="center"/>
    </xf>
    <xf numFmtId="0" fontId="14" fillId="2" borderId="0" xfId="12" applyFont="1" applyFill="1" applyAlignment="1">
      <alignment horizontal="left" vertical="center" indent="1"/>
    </xf>
    <xf numFmtId="0" fontId="14" fillId="2" borderId="0" xfId="12" applyFont="1" applyFill="1" applyAlignment="1">
      <alignment vertical="center"/>
    </xf>
    <xf numFmtId="0" fontId="20" fillId="2" borderId="0" xfId="12" applyFont="1" applyFill="1" applyAlignment="1">
      <alignment horizontal="center"/>
    </xf>
    <xf numFmtId="0" fontId="15" fillId="2" borderId="0" xfId="12" applyFont="1" applyFill="1" applyAlignment="1">
      <alignment horizontal="left" vertical="center" indent="3"/>
    </xf>
    <xf numFmtId="0" fontId="15" fillId="2" borderId="0" xfId="12" applyFont="1" applyFill="1" applyAlignment="1">
      <alignment horizontal="left" vertical="center"/>
    </xf>
    <xf numFmtId="49" fontId="34" fillId="0" borderId="15" xfId="0" applyNumberFormat="1" applyFont="1" applyBorder="1" applyAlignment="1">
      <alignment horizontal="left" vertical="top" indent="2"/>
    </xf>
    <xf numFmtId="49" fontId="34" fillId="0" borderId="3" xfId="0" applyNumberFormat="1" applyFont="1" applyBorder="1" applyAlignment="1">
      <alignment horizontal="left" vertical="top" indent="2"/>
    </xf>
    <xf numFmtId="49" fontId="34" fillId="0" borderId="7" xfId="0" applyNumberFormat="1" applyFont="1" applyBorder="1" applyAlignment="1">
      <alignment horizontal="left" vertical="top" indent="2"/>
    </xf>
    <xf numFmtId="49" fontId="34" fillId="0" borderId="8" xfId="0" applyNumberFormat="1" applyFont="1" applyBorder="1" applyAlignment="1">
      <alignment horizontal="left" vertical="top" indent="2"/>
    </xf>
    <xf numFmtId="49" fontId="33" fillId="0" borderId="0" xfId="0" applyNumberFormat="1" applyFont="1" applyAlignment="1">
      <alignment vertical="top"/>
    </xf>
    <xf numFmtId="49" fontId="34" fillId="0" borderId="0" xfId="0" applyNumberFormat="1" applyFont="1" applyAlignment="1">
      <alignment vertical="top"/>
    </xf>
    <xf numFmtId="164" fontId="33" fillId="0" borderId="12" xfId="1" applyFont="1" applyBorder="1" applyAlignment="1">
      <alignment horizontal="center" vertical="top"/>
    </xf>
    <xf numFmtId="164" fontId="34" fillId="0" borderId="0" xfId="1" applyFont="1" applyAlignment="1">
      <alignment horizontal="right" vertical="top"/>
    </xf>
    <xf numFmtId="164" fontId="33" fillId="0" borderId="0" xfId="1" applyFont="1" applyAlignment="1">
      <alignment horizontal="right" vertical="top"/>
    </xf>
    <xf numFmtId="164" fontId="34" fillId="0" borderId="3" xfId="1" applyFont="1" applyBorder="1" applyAlignment="1">
      <alignment horizontal="right" vertical="top"/>
    </xf>
    <xf numFmtId="164" fontId="0" fillId="0" borderId="0" xfId="1" applyFont="1"/>
    <xf numFmtId="0" fontId="3" fillId="2" borderId="17" xfId="6" applyFont="1" applyFill="1" applyBorder="1" applyAlignment="1">
      <alignment horizontal="left" vertical="top"/>
    </xf>
    <xf numFmtId="0" fontId="3" fillId="2" borderId="17" xfId="6" applyFont="1" applyFill="1" applyBorder="1" applyAlignment="1">
      <alignment horizontal="center" vertical="top" wrapText="1"/>
    </xf>
    <xf numFmtId="0" fontId="4" fillId="2" borderId="0" xfId="6" applyFont="1" applyFill="1" applyAlignment="1">
      <alignment horizontal="justify" vertical="top" wrapText="1"/>
    </xf>
    <xf numFmtId="0" fontId="4" fillId="2" borderId="0" xfId="6" applyFont="1" applyFill="1" applyAlignment="1">
      <alignment horizontal="left" vertical="top" wrapText="1" indent="3"/>
    </xf>
    <xf numFmtId="0" fontId="4" fillId="2" borderId="17" xfId="6" applyFont="1" applyFill="1" applyBorder="1" applyAlignment="1">
      <alignment horizontal="justify" vertical="top" wrapText="1"/>
    </xf>
    <xf numFmtId="49" fontId="35" fillId="0" borderId="0" xfId="0" applyNumberFormat="1" applyFont="1" applyAlignment="1">
      <alignment vertical="top"/>
    </xf>
    <xf numFmtId="0" fontId="20" fillId="2" borderId="0" xfId="6" applyFont="1" applyFill="1" applyAlignment="1">
      <alignment horizontal="left" wrapText="1" indent="4"/>
    </xf>
    <xf numFmtId="0" fontId="25" fillId="0" borderId="0" xfId="0" applyFont="1" applyAlignment="1">
      <alignment horizontal="left" indent="1"/>
    </xf>
    <xf numFmtId="166" fontId="20" fillId="0" borderId="0" xfId="15" applyNumberFormat="1" applyFont="1" applyFill="1"/>
    <xf numFmtId="0" fontId="20" fillId="0" borderId="0" xfId="0" applyFont="1"/>
    <xf numFmtId="166" fontId="28" fillId="0" borderId="1" xfId="15" applyNumberFormat="1" applyFont="1" applyFill="1" applyBorder="1" applyAlignment="1">
      <alignment horizontal="center" vertical="center" wrapText="1"/>
    </xf>
    <xf numFmtId="0" fontId="36" fillId="0" borderId="0" xfId="0" applyFont="1" applyAlignment="1">
      <alignment horizontal="left" indent="1"/>
    </xf>
    <xf numFmtId="0" fontId="20" fillId="0" borderId="0" xfId="0" quotePrefix="1" applyFont="1" applyAlignment="1">
      <alignment horizontal="left" indent="3"/>
    </xf>
    <xf numFmtId="0" fontId="25" fillId="0" borderId="16" xfId="0" applyFont="1" applyBorder="1" applyAlignment="1">
      <alignment horizontal="center"/>
    </xf>
    <xf numFmtId="0" fontId="25" fillId="0" borderId="1" xfId="0" applyFont="1" applyBorder="1" applyAlignment="1">
      <alignment horizontal="center" vertical="center" wrapText="1"/>
    </xf>
    <xf numFmtId="166" fontId="25" fillId="0" borderId="1" xfId="15" applyNumberFormat="1" applyFont="1" applyFill="1" applyBorder="1" applyAlignment="1">
      <alignment horizontal="center" vertical="center" wrapText="1"/>
    </xf>
    <xf numFmtId="49" fontId="18" fillId="0" borderId="0" xfId="12" applyNumberFormat="1" applyFont="1" applyAlignment="1">
      <alignment horizontal="left" vertical="top" wrapText="1" indent="2"/>
    </xf>
    <xf numFmtId="164" fontId="7" fillId="0" borderId="0" xfId="1" applyFont="1" applyAlignment="1">
      <alignment vertical="top"/>
    </xf>
    <xf numFmtId="43" fontId="7" fillId="0" borderId="0" xfId="12" applyNumberFormat="1" applyFont="1" applyAlignment="1">
      <alignment vertical="top"/>
    </xf>
    <xf numFmtId="43" fontId="0" fillId="0" borderId="0" xfId="0" applyNumberFormat="1"/>
    <xf numFmtId="0" fontId="3" fillId="2" borderId="6" xfId="5" applyFont="1" applyFill="1" applyBorder="1" applyAlignment="1">
      <alignment vertical="center"/>
    </xf>
    <xf numFmtId="0" fontId="3" fillId="2" borderId="4" xfId="5" applyFont="1" applyFill="1" applyBorder="1" applyAlignment="1">
      <alignment vertical="center" wrapText="1"/>
    </xf>
    <xf numFmtId="0" fontId="3" fillId="2" borderId="7" xfId="5" applyFont="1" applyFill="1" applyBorder="1" applyAlignment="1">
      <alignment vertical="center"/>
    </xf>
    <xf numFmtId="0" fontId="3" fillId="2" borderId="2" xfId="5" applyFont="1" applyFill="1" applyBorder="1" applyAlignment="1">
      <alignment vertical="center" wrapText="1"/>
    </xf>
    <xf numFmtId="164" fontId="34" fillId="0" borderId="0" xfId="1" applyFont="1" applyFill="1" applyAlignment="1">
      <alignment horizontal="right" vertical="top"/>
    </xf>
    <xf numFmtId="164" fontId="33" fillId="0" borderId="0" xfId="1" applyFont="1" applyFill="1" applyAlignment="1">
      <alignment horizontal="right" vertical="top"/>
    </xf>
    <xf numFmtId="164" fontId="34" fillId="0" borderId="3" xfId="1" applyFont="1" applyFill="1" applyBorder="1" applyAlignment="1">
      <alignment horizontal="right" vertical="top"/>
    </xf>
    <xf numFmtId="164" fontId="0" fillId="0" borderId="0" xfId="1" applyFont="1" applyFill="1"/>
    <xf numFmtId="0" fontId="7" fillId="0" borderId="0" xfId="12" quotePrefix="1" applyFont="1" applyAlignment="1">
      <alignment vertical="center"/>
    </xf>
    <xf numFmtId="0" fontId="25" fillId="0" borderId="0" xfId="0" applyFont="1"/>
    <xf numFmtId="0" fontId="0" fillId="0" borderId="0" xfId="0" quotePrefix="1"/>
    <xf numFmtId="49" fontId="37" fillId="0" borderId="8" xfId="0" applyNumberFormat="1" applyFont="1" applyBorder="1" applyAlignment="1">
      <alignment horizontal="left" vertical="top" indent="2"/>
    </xf>
    <xf numFmtId="49" fontId="35" fillId="0" borderId="3" xfId="0" applyNumberFormat="1" applyFont="1" applyBorder="1" applyAlignment="1">
      <alignment vertical="top"/>
    </xf>
    <xf numFmtId="164" fontId="31" fillId="0" borderId="0" xfId="1" applyFont="1" applyFill="1" applyAlignment="1">
      <alignment vertical="top"/>
    </xf>
    <xf numFmtId="164" fontId="38" fillId="0" borderId="0" xfId="1" applyFont="1" applyFill="1" applyAlignment="1">
      <alignment horizontal="right" vertical="top"/>
    </xf>
    <xf numFmtId="49" fontId="38" fillId="0" borderId="0" xfId="0" applyNumberFormat="1" applyFont="1" applyAlignment="1">
      <alignment horizontal="left" vertical="top" indent="1"/>
    </xf>
    <xf numFmtId="164" fontId="38" fillId="0" borderId="17" xfId="1" applyFont="1" applyFill="1" applyBorder="1" applyAlignment="1">
      <alignment horizontal="right" vertical="top"/>
    </xf>
    <xf numFmtId="49" fontId="33" fillId="0" borderId="0" xfId="0" applyNumberFormat="1" applyFont="1" applyAlignment="1">
      <alignment horizontal="left" vertical="top" indent="2"/>
    </xf>
    <xf numFmtId="164" fontId="38" fillId="0" borderId="15" xfId="1" applyFont="1" applyFill="1" applyBorder="1" applyAlignment="1">
      <alignment horizontal="right" vertical="top"/>
    </xf>
    <xf numFmtId="164" fontId="33" fillId="0" borderId="15" xfId="1" applyFont="1" applyFill="1" applyBorder="1" applyAlignment="1">
      <alignment horizontal="right" vertical="top"/>
    </xf>
    <xf numFmtId="49" fontId="33" fillId="0" borderId="0" xfId="0" applyNumberFormat="1" applyFont="1" applyAlignment="1">
      <alignment horizontal="left" vertical="top" indent="1"/>
    </xf>
    <xf numFmtId="49" fontId="34" fillId="0" borderId="0" xfId="0" applyNumberFormat="1" applyFont="1" applyAlignment="1">
      <alignment horizontal="left" vertical="top" indent="1"/>
    </xf>
    <xf numFmtId="49" fontId="38" fillId="0" borderId="0" xfId="0" applyNumberFormat="1" applyFont="1" applyAlignment="1">
      <alignment horizontal="left" vertical="top" indent="3"/>
    </xf>
    <xf numFmtId="49" fontId="34" fillId="0" borderId="0" xfId="0" applyNumberFormat="1" applyFont="1" applyAlignment="1">
      <alignment horizontal="left" vertical="top" indent="2"/>
    </xf>
    <xf numFmtId="164" fontId="34" fillId="0" borderId="15" xfId="1" applyFont="1" applyFill="1" applyBorder="1" applyAlignment="1">
      <alignment horizontal="right" vertical="top"/>
    </xf>
    <xf numFmtId="49" fontId="35" fillId="0" borderId="17" xfId="0" applyNumberFormat="1" applyFont="1" applyBorder="1" applyAlignment="1">
      <alignment vertical="top"/>
    </xf>
    <xf numFmtId="164" fontId="38" fillId="0" borderId="3" xfId="1" applyFont="1" applyFill="1" applyBorder="1" applyAlignment="1">
      <alignment horizontal="right" vertical="top"/>
    </xf>
    <xf numFmtId="165" fontId="0" fillId="0" borderId="0" xfId="1" applyNumberFormat="1" applyFont="1"/>
    <xf numFmtId="165" fontId="10" fillId="2" borderId="0" xfId="6" applyNumberFormat="1" applyFont="1" applyFill="1" applyAlignment="1">
      <alignment vertical="center"/>
    </xf>
    <xf numFmtId="165" fontId="11" fillId="2" borderId="0" xfId="6" applyNumberFormat="1" applyFont="1" applyFill="1" applyAlignment="1">
      <alignment vertical="center"/>
    </xf>
    <xf numFmtId="165" fontId="13" fillId="2" borderId="0" xfId="6" applyNumberFormat="1" applyFont="1" applyFill="1" applyAlignment="1">
      <alignment vertical="center"/>
    </xf>
    <xf numFmtId="165" fontId="4" fillId="2" borderId="0" xfId="7" applyNumberFormat="1" applyFont="1" applyFill="1" applyAlignment="1">
      <alignment vertical="center"/>
    </xf>
    <xf numFmtId="170" fontId="4" fillId="2" borderId="0" xfId="6" applyNumberFormat="1" applyFont="1" applyFill="1" applyAlignment="1">
      <alignment horizontal="left" vertical="center" indent="3"/>
    </xf>
    <xf numFmtId="170" fontId="4" fillId="2" borderId="0" xfId="6" applyNumberFormat="1" applyFont="1" applyFill="1" applyAlignment="1">
      <alignment horizontal="left" vertical="center" indent="2"/>
    </xf>
    <xf numFmtId="0" fontId="13" fillId="2" borderId="0" xfId="6" applyFont="1" applyFill="1" applyAlignment="1">
      <alignment vertical="center"/>
    </xf>
    <xf numFmtId="0" fontId="10" fillId="2" borderId="0" xfId="6" applyFont="1" applyFill="1" applyAlignment="1">
      <alignment vertical="center"/>
    </xf>
    <xf numFmtId="0" fontId="5" fillId="2" borderId="0" xfId="6" applyFont="1" applyFill="1" applyAlignment="1">
      <alignment vertical="center"/>
    </xf>
    <xf numFmtId="0" fontId="21" fillId="2" borderId="0" xfId="6" applyFont="1" applyFill="1" applyAlignment="1">
      <alignment horizontal="right" vertical="center"/>
    </xf>
    <xf numFmtId="0" fontId="13" fillId="2" borderId="3" xfId="6" applyFont="1" applyFill="1" applyBorder="1" applyAlignment="1">
      <alignment vertical="center"/>
    </xf>
    <xf numFmtId="0" fontId="3" fillId="2" borderId="3" xfId="6" applyFont="1" applyFill="1" applyBorder="1" applyAlignment="1">
      <alignment horizontal="center" vertical="center"/>
    </xf>
    <xf numFmtId="168" fontId="13" fillId="2" borderId="0" xfId="6" applyNumberFormat="1" applyFont="1" applyFill="1" applyAlignment="1">
      <alignment horizontal="centerContinuous" vertical="center"/>
    </xf>
    <xf numFmtId="0" fontId="10" fillId="2" borderId="0" xfId="6" applyFont="1" applyFill="1" applyAlignment="1">
      <alignment horizontal="center" vertical="center"/>
    </xf>
    <xf numFmtId="168" fontId="10" fillId="2" borderId="0" xfId="6" applyNumberFormat="1" applyFont="1" applyFill="1" applyAlignment="1">
      <alignment horizontal="right" vertical="center"/>
    </xf>
    <xf numFmtId="0" fontId="39" fillId="2" borderId="0" xfId="6" applyFont="1" applyFill="1" applyAlignment="1">
      <alignment vertical="center"/>
    </xf>
    <xf numFmtId="0" fontId="3" fillId="2" borderId="0" xfId="6" applyFont="1" applyFill="1" applyAlignment="1">
      <alignment vertical="center"/>
    </xf>
    <xf numFmtId="0" fontId="3" fillId="2" borderId="0" xfId="6" applyFont="1" applyFill="1" applyAlignment="1">
      <alignment horizontal="center" vertical="center"/>
    </xf>
    <xf numFmtId="0" fontId="4" fillId="2" borderId="0" xfId="6" applyFont="1" applyFill="1" applyAlignment="1">
      <alignment horizontal="center" vertical="center"/>
    </xf>
    <xf numFmtId="0" fontId="10" fillId="2" borderId="16" xfId="6" applyFont="1" applyFill="1" applyBorder="1" applyAlignment="1">
      <alignment vertical="center"/>
    </xf>
    <xf numFmtId="0" fontId="13" fillId="2" borderId="16" xfId="6" applyFont="1" applyFill="1" applyBorder="1" applyAlignment="1">
      <alignment horizontal="center" vertical="center"/>
    </xf>
    <xf numFmtId="0" fontId="13" fillId="2" borderId="0" xfId="6" applyFont="1" applyFill="1" applyAlignment="1">
      <alignment horizontal="center" vertical="center"/>
    </xf>
    <xf numFmtId="167" fontId="3" fillId="2" borderId="0" xfId="7" applyNumberFormat="1" applyFont="1" applyFill="1" applyBorder="1" applyAlignment="1">
      <alignment vertical="center"/>
    </xf>
    <xf numFmtId="0" fontId="4" fillId="2" borderId="0" xfId="6" applyFont="1" applyFill="1" applyAlignment="1">
      <alignment horizontal="left" vertical="center"/>
    </xf>
    <xf numFmtId="0" fontId="4" fillId="2" borderId="0" xfId="6" applyFont="1" applyFill="1" applyAlignment="1">
      <alignment horizontal="left" vertical="center" indent="2"/>
    </xf>
    <xf numFmtId="49" fontId="3" fillId="2" borderId="16" xfId="6" applyNumberFormat="1" applyFont="1" applyFill="1" applyBorder="1"/>
    <xf numFmtId="0" fontId="4" fillId="2" borderId="16" xfId="6" applyFont="1" applyFill="1" applyBorder="1" applyAlignment="1">
      <alignment horizontal="center" vertical="center"/>
    </xf>
    <xf numFmtId="0" fontId="4" fillId="2" borderId="18" xfId="6" applyFont="1" applyFill="1" applyBorder="1" applyAlignment="1">
      <alignment vertical="center"/>
    </xf>
    <xf numFmtId="165" fontId="3" fillId="2" borderId="18" xfId="6" applyNumberFormat="1" applyFont="1" applyFill="1" applyBorder="1" applyAlignment="1">
      <alignment vertical="center"/>
    </xf>
    <xf numFmtId="165" fontId="3" fillId="2" borderId="18" xfId="7" applyNumberFormat="1" applyFont="1" applyFill="1" applyBorder="1" applyAlignment="1">
      <alignment vertical="center"/>
    </xf>
    <xf numFmtId="0" fontId="9" fillId="2" borderId="0" xfId="6" applyFont="1" applyFill="1" applyAlignment="1">
      <alignment vertical="center"/>
    </xf>
    <xf numFmtId="164" fontId="15" fillId="2" borderId="0" xfId="7" applyFont="1" applyFill="1" applyBorder="1" applyAlignment="1">
      <alignment vertical="center"/>
    </xf>
    <xf numFmtId="0" fontId="4" fillId="2" borderId="4" xfId="5" applyFont="1" applyFill="1" applyBorder="1" applyAlignment="1">
      <alignment horizontal="center" vertical="center" wrapText="1"/>
    </xf>
    <xf numFmtId="169" fontId="20" fillId="0" borderId="0" xfId="15" applyNumberFormat="1" applyFont="1" applyFill="1"/>
    <xf numFmtId="169" fontId="25" fillId="0" borderId="16" xfId="15" applyNumberFormat="1" applyFont="1" applyFill="1" applyBorder="1" applyAlignment="1">
      <alignment horizontal="right"/>
    </xf>
    <xf numFmtId="167" fontId="17" fillId="0" borderId="17" xfId="11" applyNumberFormat="1" applyFont="1" applyFill="1" applyBorder="1" applyAlignment="1">
      <alignment vertical="top"/>
    </xf>
    <xf numFmtId="0" fontId="40" fillId="0" borderId="0" xfId="0" applyFont="1"/>
    <xf numFmtId="0" fontId="41" fillId="0" borderId="0" xfId="0" applyFont="1"/>
    <xf numFmtId="164" fontId="20" fillId="2" borderId="12" xfId="1" applyFont="1" applyFill="1" applyBorder="1" applyAlignment="1">
      <alignment horizontal="center" vertical="top" wrapText="1"/>
    </xf>
    <xf numFmtId="0" fontId="25" fillId="2" borderId="12" xfId="12" applyFont="1" applyFill="1" applyBorder="1" applyAlignment="1">
      <alignment horizontal="center" vertical="top" wrapText="1"/>
    </xf>
    <xf numFmtId="164" fontId="7" fillId="2" borderId="0" xfId="1" applyFont="1" applyFill="1" applyAlignment="1">
      <alignment vertical="center"/>
    </xf>
    <xf numFmtId="165" fontId="20" fillId="0" borderId="0" xfId="1" applyNumberFormat="1" applyFont="1" applyFill="1"/>
    <xf numFmtId="169" fontId="13" fillId="2" borderId="0" xfId="5" applyNumberFormat="1" applyFont="1" applyFill="1"/>
    <xf numFmtId="0" fontId="42" fillId="0" borderId="12" xfId="0" applyFont="1" applyBorder="1"/>
    <xf numFmtId="0" fontId="42" fillId="0" borderId="9" xfId="0" applyFont="1" applyBorder="1"/>
    <xf numFmtId="0" fontId="43" fillId="0" borderId="0" xfId="0" applyFont="1"/>
    <xf numFmtId="0" fontId="43" fillId="0" borderId="12" xfId="0" applyFont="1" applyBorder="1"/>
    <xf numFmtId="49" fontId="44" fillId="0" borderId="12" xfId="0" applyNumberFormat="1" applyFont="1" applyBorder="1" applyAlignment="1">
      <alignment horizontal="left" vertical="top" indent="1"/>
    </xf>
    <xf numFmtId="172" fontId="44" fillId="0" borderId="12" xfId="0" applyNumberFormat="1" applyFont="1" applyBorder="1" applyAlignment="1">
      <alignment horizontal="right" vertical="top" indent="1"/>
    </xf>
    <xf numFmtId="172" fontId="43" fillId="0" borderId="12" xfId="0" applyNumberFormat="1" applyFont="1" applyBorder="1"/>
    <xf numFmtId="43" fontId="44" fillId="0" borderId="12" xfId="15" applyFont="1" applyBorder="1" applyAlignment="1">
      <alignment horizontal="right" vertical="top" indent="1"/>
    </xf>
    <xf numFmtId="43" fontId="43" fillId="0" borderId="12" xfId="15" applyFont="1" applyBorder="1"/>
    <xf numFmtId="0" fontId="0" fillId="0" borderId="0" xfId="0" applyAlignment="1">
      <alignment horizontal="left"/>
    </xf>
    <xf numFmtId="0" fontId="0" fillId="0" borderId="0" xfId="0" applyAlignment="1">
      <alignment horizontal="left" indent="1"/>
    </xf>
    <xf numFmtId="43" fontId="43" fillId="0" borderId="0" xfId="15" applyFont="1"/>
    <xf numFmtId="0" fontId="42" fillId="0" borderId="0" xfId="0" applyFont="1"/>
    <xf numFmtId="169" fontId="18" fillId="2" borderId="0" xfId="7" applyNumberFormat="1" applyFont="1" applyFill="1" applyAlignment="1">
      <alignment horizontal="center"/>
    </xf>
    <xf numFmtId="166" fontId="20" fillId="0" borderId="0" xfId="15" applyNumberFormat="1" applyFont="1" applyFill="1" applyAlignment="1">
      <alignment horizontal="center"/>
    </xf>
    <xf numFmtId="169" fontId="25" fillId="2" borderId="16" xfId="6" quotePrefix="1" applyNumberFormat="1" applyFont="1" applyFill="1" applyBorder="1" applyAlignment="1">
      <alignment horizontal="center"/>
    </xf>
    <xf numFmtId="49" fontId="34" fillId="0" borderId="12" xfId="0" applyNumberFormat="1" applyFont="1" applyBorder="1" applyAlignment="1">
      <alignment horizontal="center" vertical="top"/>
    </xf>
    <xf numFmtId="49" fontId="34" fillId="0" borderId="12" xfId="0" applyNumberFormat="1" applyFont="1" applyBorder="1" applyAlignment="1">
      <alignment horizontal="left" vertical="top" indent="2"/>
    </xf>
    <xf numFmtId="49" fontId="33" fillId="0" borderId="12" xfId="0" applyNumberFormat="1" applyFont="1" applyBorder="1" applyAlignment="1">
      <alignment horizontal="center" vertical="top"/>
    </xf>
    <xf numFmtId="49" fontId="33" fillId="0" borderId="12" xfId="0" applyNumberFormat="1" applyFont="1" applyBorder="1" applyAlignment="1">
      <alignment horizontal="left" vertical="top" indent="2"/>
    </xf>
    <xf numFmtId="2" fontId="33" fillId="0" borderId="12" xfId="0" applyNumberFormat="1" applyFont="1" applyBorder="1" applyAlignment="1">
      <alignment horizontal="right" vertical="top"/>
    </xf>
    <xf numFmtId="49" fontId="34" fillId="0" borderId="12" xfId="0" applyNumberFormat="1" applyFont="1" applyBorder="1" applyAlignment="1">
      <alignment vertical="top"/>
    </xf>
    <xf numFmtId="49" fontId="33" fillId="0" borderId="12" xfId="0" applyNumberFormat="1" applyFont="1" applyBorder="1" applyAlignment="1">
      <alignment vertical="top"/>
    </xf>
    <xf numFmtId="172" fontId="33" fillId="0" borderId="12" xfId="0" applyNumberFormat="1" applyFont="1" applyBorder="1" applyAlignment="1">
      <alignment horizontal="right" vertical="top"/>
    </xf>
    <xf numFmtId="172" fontId="38" fillId="0" borderId="12" xfId="0" applyNumberFormat="1" applyFont="1" applyBorder="1" applyAlignment="1">
      <alignment horizontal="right" vertical="top"/>
    </xf>
    <xf numFmtId="173" fontId="38" fillId="0" borderId="12" xfId="0" applyNumberFormat="1" applyFont="1" applyBorder="1" applyAlignment="1">
      <alignment horizontal="right" vertical="top"/>
    </xf>
    <xf numFmtId="2" fontId="38" fillId="0" borderId="12" xfId="0" applyNumberFormat="1" applyFont="1" applyBorder="1" applyAlignment="1">
      <alignment horizontal="right" vertical="top"/>
    </xf>
    <xf numFmtId="173" fontId="33" fillId="0" borderId="12" xfId="0" applyNumberFormat="1" applyFont="1" applyBorder="1" applyAlignment="1">
      <alignment horizontal="right" vertical="top"/>
    </xf>
    <xf numFmtId="172" fontId="34" fillId="0" borderId="12" xfId="0" applyNumberFormat="1" applyFont="1" applyBorder="1" applyAlignment="1">
      <alignment horizontal="right" vertical="top"/>
    </xf>
    <xf numFmtId="172" fontId="35" fillId="0" borderId="12" xfId="0" applyNumberFormat="1" applyFont="1" applyBorder="1" applyAlignment="1">
      <alignment horizontal="right" vertical="top"/>
    </xf>
    <xf numFmtId="0" fontId="0" fillId="0" borderId="12" xfId="0" applyBorder="1"/>
    <xf numFmtId="172" fontId="33" fillId="0" borderId="0" xfId="0" applyNumberFormat="1" applyFont="1" applyAlignment="1">
      <alignment horizontal="right" vertical="top"/>
    </xf>
    <xf numFmtId="2" fontId="0" fillId="0" borderId="0" xfId="0" applyNumberFormat="1"/>
    <xf numFmtId="1" fontId="0" fillId="0" borderId="0" xfId="0" applyNumberFormat="1"/>
    <xf numFmtId="169" fontId="13" fillId="2" borderId="0" xfId="6" applyNumberFormat="1" applyFont="1" applyFill="1" applyAlignment="1">
      <alignment vertical="center"/>
    </xf>
    <xf numFmtId="0" fontId="4" fillId="0" borderId="2" xfId="5" applyFont="1" applyBorder="1" applyAlignment="1">
      <alignment horizontal="center" vertical="center"/>
    </xf>
    <xf numFmtId="0" fontId="2" fillId="0" borderId="3" xfId="5" applyBorder="1"/>
    <xf numFmtId="0" fontId="4" fillId="0" borderId="3" xfId="5" applyFont="1" applyBorder="1" applyAlignment="1">
      <alignment horizontal="left" vertical="center" indent="2"/>
    </xf>
    <xf numFmtId="0" fontId="2" fillId="0" borderId="17" xfId="5" applyBorder="1"/>
    <xf numFmtId="0" fontId="4" fillId="0" borderId="17" xfId="5" applyFont="1" applyBorder="1" applyAlignment="1">
      <alignment horizontal="left" vertical="center" indent="2"/>
    </xf>
    <xf numFmtId="0" fontId="4" fillId="0" borderId="2" xfId="5" applyFont="1" applyBorder="1" applyAlignment="1">
      <alignment horizontal="left" vertical="center"/>
    </xf>
    <xf numFmtId="0" fontId="15" fillId="2" borderId="17" xfId="12" applyFont="1" applyFill="1" applyBorder="1" applyAlignment="1">
      <alignment horizontal="left" vertical="center" indent="3"/>
    </xf>
    <xf numFmtId="0" fontId="25" fillId="0" borderId="3" xfId="0" applyFont="1" applyBorder="1" applyAlignment="1">
      <alignment horizontal="center"/>
    </xf>
    <xf numFmtId="0" fontId="20" fillId="2" borderId="0" xfId="0" applyFont="1" applyFill="1"/>
    <xf numFmtId="0" fontId="25" fillId="2" borderId="0" xfId="0" applyFont="1" applyFill="1"/>
    <xf numFmtId="170" fontId="3" fillId="2" borderId="0" xfId="0" applyNumberFormat="1" applyFont="1" applyFill="1" applyAlignment="1">
      <alignment vertical="center"/>
    </xf>
    <xf numFmtId="0" fontId="15" fillId="2" borderId="0" xfId="0" applyFont="1" applyFill="1" applyAlignment="1">
      <alignment vertical="center"/>
    </xf>
    <xf numFmtId="170" fontId="4" fillId="2" borderId="0" xfId="0" applyNumberFormat="1" applyFont="1" applyFill="1" applyAlignment="1">
      <alignment vertical="center"/>
    </xf>
    <xf numFmtId="170" fontId="4" fillId="2" borderId="0" xfId="0" applyNumberFormat="1" applyFont="1" applyFill="1" applyAlignment="1">
      <alignment horizontal="left" vertical="center"/>
    </xf>
    <xf numFmtId="170" fontId="3" fillId="2" borderId="0" xfId="6" applyNumberFormat="1" applyFont="1" applyFill="1" applyAlignment="1">
      <alignment vertical="center"/>
    </xf>
    <xf numFmtId="170" fontId="4" fillId="0" borderId="0" xfId="6" applyNumberFormat="1" applyFont="1" applyAlignment="1">
      <alignment vertical="center"/>
    </xf>
    <xf numFmtId="164" fontId="0" fillId="3" borderId="0" xfId="1" applyFont="1" applyFill="1"/>
    <xf numFmtId="165" fontId="4" fillId="2" borderId="0" xfId="7" applyNumberFormat="1" applyFont="1" applyFill="1" applyBorder="1" applyAlignment="1">
      <alignment horizontal="center" vertical="center"/>
    </xf>
    <xf numFmtId="165" fontId="25" fillId="2" borderId="0" xfId="0" applyNumberFormat="1" applyFont="1" applyFill="1"/>
    <xf numFmtId="170" fontId="4" fillId="2" borderId="0" xfId="0" applyNumberFormat="1" applyFont="1" applyFill="1" applyAlignment="1">
      <alignment horizontal="left" vertical="center" indent="2"/>
    </xf>
    <xf numFmtId="165" fontId="20" fillId="2" borderId="0" xfId="0" applyNumberFormat="1" applyFont="1" applyFill="1" applyAlignment="1">
      <alignment horizontal="left" indent="3"/>
    </xf>
    <xf numFmtId="0" fontId="20" fillId="2" borderId="0" xfId="0" applyFont="1" applyFill="1" applyAlignment="1">
      <alignment horizontal="left" indent="4"/>
    </xf>
    <xf numFmtId="167" fontId="4" fillId="2" borderId="0" xfId="7" applyNumberFormat="1" applyFont="1" applyFill="1" applyBorder="1" applyAlignment="1">
      <alignment horizontal="center" vertical="center"/>
    </xf>
    <xf numFmtId="167" fontId="4" fillId="2" borderId="0" xfId="7" applyNumberFormat="1" applyFont="1" applyFill="1" applyAlignment="1">
      <alignment vertical="center"/>
    </xf>
    <xf numFmtId="167" fontId="4" fillId="2" borderId="0" xfId="6" applyNumberFormat="1" applyFont="1" applyFill="1" applyAlignment="1">
      <alignment vertical="center"/>
    </xf>
    <xf numFmtId="0" fontId="15" fillId="0" borderId="0" xfId="5" applyFont="1" applyAlignment="1">
      <alignment horizontal="left" vertical="top" wrapText="1" indent="2"/>
    </xf>
    <xf numFmtId="0" fontId="5" fillId="0" borderId="0" xfId="6" applyFont="1"/>
    <xf numFmtId="0" fontId="10" fillId="0" borderId="0" xfId="0" applyFont="1" applyAlignment="1">
      <alignment vertical="top"/>
    </xf>
    <xf numFmtId="0" fontId="13" fillId="0" borderId="0" xfId="0" applyFont="1" applyAlignment="1">
      <alignment vertical="top"/>
    </xf>
    <xf numFmtId="0" fontId="13" fillId="0" borderId="2" xfId="0" applyFont="1" applyBorder="1" applyAlignment="1">
      <alignment vertical="top"/>
    </xf>
    <xf numFmtId="167" fontId="13" fillId="0" borderId="0" xfId="0" applyNumberFormat="1" applyFont="1" applyAlignment="1">
      <alignment vertical="top"/>
    </xf>
    <xf numFmtId="0" fontId="10" fillId="0" borderId="5" xfId="0" applyFont="1" applyBorder="1" applyAlignment="1">
      <alignment horizontal="left" vertical="top" indent="2"/>
    </xf>
    <xf numFmtId="0" fontId="13" fillId="0" borderId="8" xfId="0" applyFont="1" applyBorder="1" applyAlignment="1">
      <alignment horizontal="left" vertical="top" indent="2"/>
    </xf>
    <xf numFmtId="0" fontId="13" fillId="0" borderId="0" xfId="0" applyFont="1" applyAlignment="1">
      <alignment horizontal="left" vertical="top" indent="2"/>
    </xf>
    <xf numFmtId="174" fontId="13" fillId="0" borderId="0" xfId="0" applyNumberFormat="1" applyFont="1" applyAlignment="1">
      <alignment vertical="top"/>
    </xf>
    <xf numFmtId="168" fontId="10" fillId="0" borderId="0" xfId="0" applyNumberFormat="1" applyFont="1" applyAlignment="1">
      <alignment vertical="top"/>
    </xf>
    <xf numFmtId="0" fontId="15" fillId="0" borderId="0" xfId="5" applyFont="1" applyAlignment="1">
      <alignment vertical="top" wrapText="1"/>
    </xf>
    <xf numFmtId="0" fontId="13" fillId="0" borderId="17" xfId="0" applyFont="1" applyBorder="1" applyAlignment="1">
      <alignment vertical="top" wrapText="1"/>
    </xf>
    <xf numFmtId="168" fontId="10" fillId="0" borderId="0" xfId="0" applyNumberFormat="1" applyFont="1" applyAlignment="1">
      <alignment horizontal="right"/>
    </xf>
    <xf numFmtId="0" fontId="13" fillId="0" borderId="0" xfId="0" applyFont="1" applyAlignment="1">
      <alignment vertical="top" wrapText="1"/>
    </xf>
    <xf numFmtId="164" fontId="13" fillId="2" borderId="0" xfId="1" applyFont="1" applyFill="1" applyAlignment="1">
      <alignment vertical="center"/>
    </xf>
    <xf numFmtId="165" fontId="4" fillId="2" borderId="0" xfId="1" applyNumberFormat="1" applyFont="1" applyFill="1" applyBorder="1" applyAlignment="1">
      <alignment vertical="center"/>
    </xf>
    <xf numFmtId="165" fontId="3" fillId="2" borderId="15" xfId="1" applyNumberFormat="1" applyFont="1" applyFill="1" applyBorder="1" applyAlignment="1">
      <alignment vertical="center"/>
    </xf>
    <xf numFmtId="165" fontId="3" fillId="2" borderId="0" xfId="1" applyNumberFormat="1" applyFont="1" applyFill="1" applyBorder="1" applyAlignment="1">
      <alignment vertical="center"/>
    </xf>
    <xf numFmtId="165" fontId="3" fillId="2" borderId="0" xfId="1" applyNumberFormat="1" applyFont="1" applyFill="1" applyAlignment="1">
      <alignment vertical="center"/>
    </xf>
    <xf numFmtId="165" fontId="3" fillId="2" borderId="3" xfId="1" applyNumberFormat="1" applyFont="1" applyFill="1" applyBorder="1" applyAlignment="1">
      <alignment vertical="center"/>
    </xf>
    <xf numFmtId="165" fontId="3" fillId="2" borderId="16" xfId="1" applyNumberFormat="1" applyFont="1" applyFill="1" applyBorder="1" applyAlignment="1">
      <alignment vertical="center"/>
    </xf>
    <xf numFmtId="165" fontId="3" fillId="2" borderId="15" xfId="1" applyNumberFormat="1" applyFont="1" applyFill="1" applyBorder="1" applyAlignment="1"/>
    <xf numFmtId="165" fontId="4" fillId="2" borderId="17" xfId="1" applyNumberFormat="1" applyFont="1" applyFill="1" applyBorder="1" applyAlignment="1">
      <alignment vertical="center"/>
    </xf>
    <xf numFmtId="165" fontId="14" fillId="0" borderId="3" xfId="1" applyNumberFormat="1" applyFont="1" applyFill="1" applyBorder="1" applyAlignment="1">
      <alignment vertical="center"/>
    </xf>
    <xf numFmtId="165" fontId="14" fillId="0" borderId="0" xfId="1" applyNumberFormat="1" applyFont="1" applyFill="1" applyBorder="1" applyAlignment="1">
      <alignment vertical="center"/>
    </xf>
    <xf numFmtId="165" fontId="14" fillId="2" borderId="3" xfId="1" applyNumberFormat="1" applyFont="1" applyFill="1" applyBorder="1" applyAlignment="1">
      <alignment vertical="center"/>
    </xf>
    <xf numFmtId="165" fontId="14" fillId="2" borderId="16" xfId="1" applyNumberFormat="1" applyFont="1" applyFill="1" applyBorder="1" applyAlignment="1">
      <alignment vertical="center"/>
    </xf>
    <xf numFmtId="165" fontId="14" fillId="2" borderId="0" xfId="1" applyNumberFormat="1" applyFont="1" applyFill="1" applyBorder="1" applyAlignment="1">
      <alignment vertical="center"/>
    </xf>
    <xf numFmtId="165" fontId="15" fillId="2" borderId="17" xfId="1" applyNumberFormat="1" applyFont="1" applyFill="1" applyBorder="1" applyAlignment="1">
      <alignment vertical="center"/>
    </xf>
    <xf numFmtId="165" fontId="14" fillId="2" borderId="19" xfId="1" applyNumberFormat="1" applyFont="1" applyFill="1" applyBorder="1" applyAlignment="1">
      <alignment vertical="center"/>
    </xf>
    <xf numFmtId="165" fontId="15" fillId="2" borderId="20" xfId="1" applyNumberFormat="1" applyFont="1" applyFill="1" applyBorder="1" applyAlignment="1">
      <alignment vertical="center"/>
    </xf>
    <xf numFmtId="165" fontId="14" fillId="2" borderId="0" xfId="1" applyNumberFormat="1" applyFont="1" applyFill="1" applyAlignment="1">
      <alignment vertical="center"/>
    </xf>
    <xf numFmtId="165" fontId="15" fillId="2" borderId="0" xfId="1" applyNumberFormat="1" applyFont="1" applyFill="1" applyAlignment="1">
      <alignment vertical="center"/>
    </xf>
    <xf numFmtId="165" fontId="15" fillId="2" borderId="0" xfId="1" applyNumberFormat="1" applyFont="1" applyFill="1" applyBorder="1" applyAlignment="1">
      <alignment horizontal="center" vertical="center"/>
    </xf>
    <xf numFmtId="165" fontId="15" fillId="0" borderId="0" xfId="1" applyNumberFormat="1" applyFont="1" applyFill="1" applyBorder="1" applyAlignment="1">
      <alignment horizontal="center" vertical="center"/>
    </xf>
    <xf numFmtId="165" fontId="18" fillId="2" borderId="17" xfId="1" applyNumberFormat="1" applyFont="1" applyFill="1" applyBorder="1" applyAlignment="1"/>
    <xf numFmtId="165" fontId="18" fillId="2" borderId="0" xfId="1" applyNumberFormat="1" applyFont="1" applyFill="1" applyBorder="1" applyAlignment="1"/>
    <xf numFmtId="165" fontId="17" fillId="2" borderId="19" xfId="1" applyNumberFormat="1" applyFont="1" applyFill="1" applyBorder="1" applyAlignment="1"/>
    <xf numFmtId="165" fontId="17" fillId="2" borderId="3" xfId="1" applyNumberFormat="1" applyFont="1" applyFill="1" applyBorder="1"/>
    <xf numFmtId="165" fontId="17" fillId="2" borderId="3" xfId="1" applyNumberFormat="1" applyFont="1" applyFill="1" applyBorder="1" applyAlignment="1"/>
    <xf numFmtId="165" fontId="20" fillId="2" borderId="0" xfId="1" quotePrefix="1" applyNumberFormat="1" applyFont="1" applyFill="1" applyAlignment="1">
      <alignment vertical="top"/>
    </xf>
    <xf numFmtId="165" fontId="18" fillId="2" borderId="0" xfId="1" applyNumberFormat="1" applyFont="1" applyFill="1"/>
    <xf numFmtId="165" fontId="25" fillId="2" borderId="3" xfId="1" quotePrefix="1" applyNumberFormat="1" applyFont="1" applyFill="1" applyBorder="1" applyAlignment="1">
      <alignment horizontal="right"/>
    </xf>
    <xf numFmtId="165" fontId="18" fillId="2" borderId="0" xfId="1" applyNumberFormat="1" applyFont="1" applyFill="1" applyAlignment="1">
      <alignment horizontal="center"/>
    </xf>
    <xf numFmtId="165" fontId="25" fillId="2" borderId="16" xfId="1" quotePrefix="1" applyNumberFormat="1" applyFont="1" applyFill="1" applyBorder="1" applyAlignment="1">
      <alignment horizontal="center"/>
    </xf>
    <xf numFmtId="165" fontId="15" fillId="2" borderId="0" xfId="1" applyNumberFormat="1" applyFont="1" applyFill="1" applyBorder="1" applyAlignment="1">
      <alignment vertical="top"/>
    </xf>
    <xf numFmtId="165" fontId="3" fillId="2" borderId="3" xfId="1" applyNumberFormat="1" applyFont="1" applyFill="1" applyBorder="1" applyAlignment="1">
      <alignment vertical="top"/>
    </xf>
    <xf numFmtId="165" fontId="4" fillId="2" borderId="14" xfId="1" applyNumberFormat="1" applyFont="1" applyFill="1" applyBorder="1" applyAlignment="1">
      <alignment horizontal="center" vertical="center" wrapText="1"/>
    </xf>
    <xf numFmtId="165" fontId="4" fillId="2" borderId="6" xfId="1" applyNumberFormat="1" applyFont="1" applyFill="1" applyBorder="1" applyAlignment="1">
      <alignment horizontal="center" vertical="center" wrapText="1"/>
    </xf>
    <xf numFmtId="165" fontId="3" fillId="2" borderId="9" xfId="1" applyNumberFormat="1" applyFont="1" applyFill="1" applyBorder="1" applyAlignment="1">
      <alignment horizontal="center" vertical="center" wrapText="1"/>
    </xf>
    <xf numFmtId="165" fontId="4" fillId="2" borderId="9" xfId="1" applyNumberFormat="1" applyFont="1" applyFill="1" applyBorder="1" applyAlignment="1">
      <alignment horizontal="center" vertical="center" wrapText="1"/>
    </xf>
    <xf numFmtId="165" fontId="4" fillId="2" borderId="14" xfId="1" applyNumberFormat="1" applyFont="1" applyFill="1" applyBorder="1" applyAlignment="1">
      <alignment vertical="center"/>
    </xf>
    <xf numFmtId="165" fontId="4" fillId="2" borderId="11" xfId="1" applyNumberFormat="1" applyFont="1" applyFill="1" applyBorder="1" applyAlignment="1">
      <alignment vertical="center"/>
    </xf>
    <xf numFmtId="165" fontId="3" fillId="2" borderId="12" xfId="1" applyNumberFormat="1" applyFont="1" applyFill="1" applyBorder="1" applyAlignment="1">
      <alignment vertical="center" wrapText="1"/>
    </xf>
    <xf numFmtId="165" fontId="3" fillId="2" borderId="4" xfId="1" applyNumberFormat="1" applyFont="1" applyFill="1" applyBorder="1" applyAlignment="1">
      <alignment horizontal="right" vertical="center" wrapText="1"/>
    </xf>
    <xf numFmtId="165" fontId="3" fillId="2" borderId="14" xfId="1" applyNumberFormat="1" applyFont="1" applyFill="1" applyBorder="1" applyAlignment="1">
      <alignment horizontal="center" vertical="center" wrapText="1"/>
    </xf>
    <xf numFmtId="165" fontId="3" fillId="2" borderId="23" xfId="1" applyNumberFormat="1" applyFont="1" applyFill="1" applyBorder="1" applyAlignment="1">
      <alignment vertical="center" wrapText="1"/>
    </xf>
    <xf numFmtId="165" fontId="25" fillId="2" borderId="0" xfId="1" quotePrefix="1" applyNumberFormat="1" applyFont="1" applyFill="1" applyAlignment="1">
      <alignment horizontal="right" vertical="top"/>
    </xf>
    <xf numFmtId="165" fontId="25" fillId="0" borderId="0" xfId="1" quotePrefix="1" applyNumberFormat="1" applyFont="1" applyAlignment="1">
      <alignment horizontal="right" vertical="top"/>
    </xf>
    <xf numFmtId="165" fontId="18" fillId="0" borderId="0" xfId="1" applyNumberFormat="1" applyFont="1" applyFill="1" applyBorder="1" applyAlignment="1">
      <alignment vertical="top"/>
    </xf>
    <xf numFmtId="165" fontId="17" fillId="2" borderId="3" xfId="1" applyNumberFormat="1" applyFont="1" applyFill="1" applyBorder="1" applyAlignment="1">
      <alignment vertical="top"/>
    </xf>
    <xf numFmtId="165" fontId="17" fillId="0" borderId="3" xfId="1" applyNumberFormat="1" applyFont="1" applyFill="1" applyBorder="1" applyAlignment="1">
      <alignment vertical="top"/>
    </xf>
    <xf numFmtId="165" fontId="18" fillId="0" borderId="0" xfId="1" applyNumberFormat="1" applyFont="1" applyFill="1" applyAlignment="1">
      <alignment vertical="top"/>
    </xf>
    <xf numFmtId="165" fontId="14" fillId="0" borderId="3" xfId="1" applyNumberFormat="1" applyFont="1" applyFill="1" applyBorder="1" applyAlignment="1">
      <alignment vertical="top"/>
    </xf>
    <xf numFmtId="165" fontId="25" fillId="0" borderId="16" xfId="1" applyNumberFormat="1" applyFont="1" applyFill="1" applyBorder="1" applyAlignment="1">
      <alignment horizontal="right"/>
    </xf>
    <xf numFmtId="165" fontId="20" fillId="0" borderId="0" xfId="1" applyNumberFormat="1" applyFont="1" applyFill="1" applyBorder="1" applyAlignment="1">
      <alignment vertical="top"/>
    </xf>
    <xf numFmtId="165" fontId="25" fillId="2" borderId="3" xfId="1" applyNumberFormat="1" applyFont="1" applyFill="1" applyBorder="1" applyAlignment="1">
      <alignment vertical="top"/>
    </xf>
    <xf numFmtId="165" fontId="25" fillId="0" borderId="3" xfId="1" applyNumberFormat="1" applyFont="1" applyFill="1" applyBorder="1" applyAlignment="1">
      <alignment vertical="top"/>
    </xf>
    <xf numFmtId="165" fontId="20" fillId="0" borderId="0" xfId="1" applyNumberFormat="1" applyFont="1" applyFill="1" applyAlignment="1">
      <alignment vertical="top"/>
    </xf>
    <xf numFmtId="165" fontId="18" fillId="0" borderId="17" xfId="1" applyNumberFormat="1" applyFont="1" applyFill="1" applyBorder="1" applyAlignment="1">
      <alignment vertical="top"/>
    </xf>
    <xf numFmtId="165" fontId="17" fillId="0" borderId="17" xfId="1" applyNumberFormat="1" applyFont="1" applyFill="1" applyBorder="1" applyAlignment="1">
      <alignment vertical="top"/>
    </xf>
    <xf numFmtId="165" fontId="15" fillId="0" borderId="17" xfId="1" applyNumberFormat="1" applyFont="1" applyFill="1" applyBorder="1" applyAlignment="1">
      <alignment vertical="center"/>
    </xf>
    <xf numFmtId="165" fontId="20" fillId="2" borderId="0" xfId="1" applyNumberFormat="1" applyFont="1" applyFill="1"/>
    <xf numFmtId="165" fontId="20" fillId="2" borderId="17" xfId="1" applyNumberFormat="1" applyFont="1" applyFill="1" applyBorder="1"/>
    <xf numFmtId="0" fontId="31" fillId="0" borderId="0" xfId="0" applyFont="1" applyAlignment="1">
      <alignment vertical="top"/>
    </xf>
    <xf numFmtId="49" fontId="34" fillId="0" borderId="5" xfId="0" applyNumberFormat="1" applyFont="1" applyBorder="1" applyAlignment="1">
      <alignment horizontal="center" vertical="top"/>
    </xf>
    <xf numFmtId="49" fontId="34" fillId="0" borderId="8" xfId="0" applyNumberFormat="1" applyFont="1" applyBorder="1" applyAlignment="1">
      <alignment horizontal="center" vertical="top"/>
    </xf>
    <xf numFmtId="175" fontId="34" fillId="0" borderId="3" xfId="0" applyNumberFormat="1" applyFont="1" applyBorder="1" applyAlignment="1">
      <alignment horizontal="right" vertical="top"/>
    </xf>
    <xf numFmtId="173" fontId="38" fillId="0" borderId="3" xfId="0" applyNumberFormat="1" applyFont="1" applyBorder="1" applyAlignment="1">
      <alignment horizontal="right" vertical="top"/>
    </xf>
    <xf numFmtId="175" fontId="33" fillId="0" borderId="0" xfId="0" applyNumberFormat="1" applyFont="1" applyAlignment="1">
      <alignment horizontal="right" vertical="top"/>
    </xf>
    <xf numFmtId="173" fontId="33" fillId="0" borderId="0" xfId="0" applyNumberFormat="1" applyFont="1" applyAlignment="1">
      <alignment horizontal="right" vertical="top"/>
    </xf>
    <xf numFmtId="49" fontId="38" fillId="0" borderId="0" xfId="0" applyNumberFormat="1" applyFont="1" applyAlignment="1">
      <alignment horizontal="left" vertical="top" indent="2"/>
    </xf>
    <xf numFmtId="175" fontId="38" fillId="0" borderId="0" xfId="0" applyNumberFormat="1" applyFont="1" applyAlignment="1">
      <alignment horizontal="right" vertical="top"/>
    </xf>
    <xf numFmtId="175" fontId="34" fillId="0" borderId="17" xfId="0" applyNumberFormat="1" applyFont="1" applyBorder="1" applyAlignment="1">
      <alignment horizontal="right" vertical="top"/>
    </xf>
    <xf numFmtId="175" fontId="38" fillId="0" borderId="17" xfId="0" applyNumberFormat="1" applyFont="1" applyBorder="1" applyAlignment="1">
      <alignment horizontal="right" vertical="top"/>
    </xf>
    <xf numFmtId="176" fontId="33" fillId="0" borderId="0" xfId="0" applyNumberFormat="1" applyFont="1" applyAlignment="1">
      <alignment horizontal="right" vertical="top"/>
    </xf>
    <xf numFmtId="173" fontId="38" fillId="0" borderId="0" xfId="0" applyNumberFormat="1" applyFont="1" applyAlignment="1">
      <alignment horizontal="right" vertical="top"/>
    </xf>
    <xf numFmtId="176" fontId="38" fillId="0" borderId="17" xfId="0" applyNumberFormat="1" applyFont="1" applyBorder="1" applyAlignment="1">
      <alignment horizontal="right" vertical="top"/>
    </xf>
    <xf numFmtId="176" fontId="34" fillId="0" borderId="17" xfId="0" applyNumberFormat="1" applyFont="1" applyBorder="1" applyAlignment="1">
      <alignment horizontal="right" vertical="top"/>
    </xf>
    <xf numFmtId="176" fontId="38" fillId="0" borderId="0" xfId="0" applyNumberFormat="1" applyFont="1" applyAlignment="1">
      <alignment horizontal="right" vertical="top"/>
    </xf>
    <xf numFmtId="173" fontId="34" fillId="0" borderId="17" xfId="0" applyNumberFormat="1" applyFont="1" applyBorder="1" applyAlignment="1">
      <alignment horizontal="right" vertical="top"/>
    </xf>
    <xf numFmtId="173" fontId="38" fillId="0" borderId="17" xfId="0" applyNumberFormat="1" applyFont="1" applyBorder="1" applyAlignment="1">
      <alignment horizontal="right" vertical="top"/>
    </xf>
    <xf numFmtId="173" fontId="34" fillId="0" borderId="3" xfId="0" applyNumberFormat="1" applyFont="1" applyBorder="1" applyAlignment="1">
      <alignment horizontal="right" vertical="top"/>
    </xf>
    <xf numFmtId="173" fontId="35" fillId="0" borderId="3" xfId="0" applyNumberFormat="1" applyFont="1" applyBorder="1" applyAlignment="1">
      <alignment horizontal="right" vertical="top"/>
    </xf>
    <xf numFmtId="49" fontId="34" fillId="0" borderId="14" xfId="0" applyNumberFormat="1" applyFont="1" applyBorder="1" applyAlignment="1">
      <alignment horizontal="left" vertical="top" indent="2"/>
    </xf>
    <xf numFmtId="49" fontId="34" fillId="0" borderId="9" xfId="0" applyNumberFormat="1" applyFont="1" applyBorder="1" applyAlignment="1">
      <alignment horizontal="center" vertical="top"/>
    </xf>
    <xf numFmtId="49" fontId="34" fillId="0" borderId="11" xfId="0" applyNumberFormat="1" applyFont="1" applyBorder="1" applyAlignment="1">
      <alignment horizontal="left" vertical="top" indent="2"/>
    </xf>
    <xf numFmtId="49" fontId="34" fillId="0" borderId="11" xfId="0" applyNumberFormat="1" applyFont="1" applyBorder="1" applyAlignment="1">
      <alignment horizontal="center" vertical="top"/>
    </xf>
    <xf numFmtId="165" fontId="18" fillId="2" borderId="15" xfId="1" applyNumberFormat="1" applyFont="1" applyFill="1" applyBorder="1" applyAlignment="1"/>
    <xf numFmtId="165" fontId="17" fillId="2" borderId="20" xfId="1" applyNumberFormat="1" applyFont="1" applyFill="1" applyBorder="1" applyAlignment="1"/>
    <xf numFmtId="176" fontId="34" fillId="0" borderId="3" xfId="0" applyNumberFormat="1" applyFont="1" applyBorder="1" applyAlignment="1">
      <alignment horizontal="right" vertical="top"/>
    </xf>
    <xf numFmtId="176" fontId="38" fillId="0" borderId="3" xfId="0" applyNumberFormat="1" applyFont="1" applyBorder="1" applyAlignment="1">
      <alignment horizontal="right" vertical="top"/>
    </xf>
    <xf numFmtId="176" fontId="35" fillId="0" borderId="3" xfId="0" applyNumberFormat="1" applyFont="1" applyBorder="1" applyAlignment="1">
      <alignment horizontal="right" vertical="top"/>
    </xf>
    <xf numFmtId="176" fontId="33" fillId="4" borderId="0" xfId="0" applyNumberFormat="1" applyFont="1" applyFill="1" applyAlignment="1">
      <alignment horizontal="right" vertical="top"/>
    </xf>
    <xf numFmtId="176" fontId="33" fillId="3" borderId="0" xfId="0" applyNumberFormat="1" applyFont="1" applyFill="1" applyAlignment="1">
      <alignment horizontal="right" vertical="top"/>
    </xf>
    <xf numFmtId="49" fontId="33" fillId="3" borderId="0" xfId="0" applyNumberFormat="1" applyFont="1" applyFill="1" applyAlignment="1">
      <alignment vertical="top"/>
    </xf>
    <xf numFmtId="176" fontId="38" fillId="3" borderId="0" xfId="0" applyNumberFormat="1" applyFont="1" applyFill="1" applyAlignment="1">
      <alignment horizontal="right" vertical="top"/>
    </xf>
    <xf numFmtId="175" fontId="38" fillId="3" borderId="0" xfId="0" applyNumberFormat="1" applyFont="1" applyFill="1" applyAlignment="1">
      <alignment horizontal="right" vertical="top"/>
    </xf>
    <xf numFmtId="176" fontId="38" fillId="4" borderId="0" xfId="0" applyNumberFormat="1" applyFont="1" applyFill="1" applyAlignment="1">
      <alignment horizontal="right" vertical="top"/>
    </xf>
    <xf numFmtId="49" fontId="38" fillId="3" borderId="0" xfId="0" applyNumberFormat="1" applyFont="1" applyFill="1" applyAlignment="1">
      <alignment horizontal="left" vertical="top" indent="2"/>
    </xf>
    <xf numFmtId="176" fontId="38" fillId="5" borderId="0" xfId="0" applyNumberFormat="1" applyFont="1" applyFill="1" applyAlignment="1">
      <alignment horizontal="right" vertical="top"/>
    </xf>
    <xf numFmtId="176" fontId="38" fillId="6" borderId="0" xfId="0" applyNumberFormat="1" applyFont="1" applyFill="1" applyAlignment="1">
      <alignment horizontal="right" vertical="top"/>
    </xf>
    <xf numFmtId="176" fontId="0" fillId="0" borderId="0" xfId="0" applyNumberFormat="1"/>
    <xf numFmtId="177" fontId="0" fillId="0" borderId="0" xfId="0" applyNumberFormat="1"/>
    <xf numFmtId="49" fontId="38" fillId="7" borderId="0" xfId="0" applyNumberFormat="1" applyFont="1" applyFill="1" applyAlignment="1">
      <alignment horizontal="left" vertical="top" indent="2"/>
    </xf>
    <xf numFmtId="173" fontId="38" fillId="7" borderId="0" xfId="0" applyNumberFormat="1" applyFont="1" applyFill="1" applyAlignment="1">
      <alignment horizontal="right" vertical="top"/>
    </xf>
    <xf numFmtId="175" fontId="33" fillId="7" borderId="0" xfId="0" applyNumberFormat="1" applyFont="1" applyFill="1" applyAlignment="1">
      <alignment horizontal="right" vertical="top"/>
    </xf>
    <xf numFmtId="175" fontId="38" fillId="7" borderId="0" xfId="0" applyNumberFormat="1" applyFont="1" applyFill="1" applyAlignment="1">
      <alignment horizontal="right" vertical="top"/>
    </xf>
    <xf numFmtId="172" fontId="34" fillId="0" borderId="3" xfId="0" applyNumberFormat="1" applyFont="1" applyBorder="1" applyAlignment="1">
      <alignment horizontal="right" vertical="top"/>
    </xf>
    <xf numFmtId="49" fontId="34" fillId="0" borderId="2" xfId="0" applyNumberFormat="1" applyFont="1" applyBorder="1" applyAlignment="1">
      <alignment horizontal="left" vertical="top" indent="2"/>
    </xf>
    <xf numFmtId="172" fontId="34" fillId="0" borderId="4" xfId="0" applyNumberFormat="1" applyFont="1" applyBorder="1" applyAlignment="1">
      <alignment horizontal="right" vertical="top"/>
    </xf>
    <xf numFmtId="172" fontId="35" fillId="0" borderId="6" xfId="0" applyNumberFormat="1" applyFont="1" applyBorder="1" applyAlignment="1">
      <alignment horizontal="right" vertical="top"/>
    </xf>
    <xf numFmtId="173" fontId="34" fillId="0" borderId="6" xfId="0" applyNumberFormat="1" applyFont="1" applyBorder="1" applyAlignment="1">
      <alignment horizontal="right" vertical="top"/>
    </xf>
    <xf numFmtId="172" fontId="38" fillId="0" borderId="17" xfId="0" applyNumberFormat="1" applyFont="1" applyBorder="1" applyAlignment="1">
      <alignment horizontal="right" vertical="top"/>
    </xf>
    <xf numFmtId="172" fontId="38" fillId="0" borderId="0" xfId="0" applyNumberFormat="1" applyFont="1" applyAlignment="1">
      <alignment horizontal="right" vertical="top"/>
    </xf>
    <xf numFmtId="172" fontId="34" fillId="0" borderId="6" xfId="0" applyNumberFormat="1" applyFont="1" applyBorder="1" applyAlignment="1">
      <alignment horizontal="right" vertical="top"/>
    </xf>
    <xf numFmtId="173" fontId="34" fillId="0" borderId="0" xfId="0" applyNumberFormat="1" applyFont="1" applyAlignment="1">
      <alignment horizontal="right" vertical="top"/>
    </xf>
    <xf numFmtId="49" fontId="38" fillId="0" borderId="7" xfId="0" applyNumberFormat="1" applyFont="1" applyBorder="1" applyAlignment="1">
      <alignment horizontal="left" vertical="top" indent="1"/>
    </xf>
    <xf numFmtId="172" fontId="34" fillId="0" borderId="0" xfId="0" applyNumberFormat="1" applyFont="1" applyAlignment="1">
      <alignment horizontal="right" vertical="top"/>
    </xf>
    <xf numFmtId="49" fontId="34" fillId="0" borderId="7" xfId="0" applyNumberFormat="1" applyFont="1" applyBorder="1" applyAlignment="1">
      <alignment vertical="top"/>
    </xf>
    <xf numFmtId="172" fontId="35" fillId="0" borderId="0" xfId="0" applyNumberFormat="1" applyFont="1" applyAlignment="1">
      <alignment horizontal="right" vertical="top"/>
    </xf>
    <xf numFmtId="49" fontId="35" fillId="0" borderId="7" xfId="0" applyNumberFormat="1" applyFont="1" applyBorder="1" applyAlignment="1">
      <alignment vertical="top"/>
    </xf>
    <xf numFmtId="49" fontId="34" fillId="0" borderId="5" xfId="0" applyNumberFormat="1" applyFont="1" applyBorder="1" applyAlignment="1">
      <alignment vertical="top"/>
    </xf>
    <xf numFmtId="172" fontId="34" fillId="0" borderId="10" xfId="0" applyNumberFormat="1" applyFont="1" applyBorder="1" applyAlignment="1">
      <alignment horizontal="right" vertical="top"/>
    </xf>
    <xf numFmtId="173" fontId="38" fillId="0" borderId="15" xfId="0" applyNumberFormat="1" applyFont="1" applyBorder="1" applyAlignment="1">
      <alignment horizontal="right" vertical="top"/>
    </xf>
    <xf numFmtId="49" fontId="37" fillId="0" borderId="17" xfId="0" applyNumberFormat="1" applyFont="1" applyBorder="1" applyAlignment="1">
      <alignment horizontal="left" vertical="top" indent="2"/>
    </xf>
    <xf numFmtId="49" fontId="34" fillId="0" borderId="5" xfId="0" applyNumberFormat="1" applyFont="1" applyBorder="1" applyAlignment="1">
      <alignment horizontal="left" vertical="top" indent="2"/>
    </xf>
    <xf numFmtId="2" fontId="31" fillId="0" borderId="0" xfId="0" applyNumberFormat="1" applyFont="1" applyAlignment="1">
      <alignment vertical="top"/>
    </xf>
    <xf numFmtId="172" fontId="37" fillId="0" borderId="3" xfId="0" applyNumberFormat="1" applyFont="1" applyBorder="1" applyAlignment="1">
      <alignment horizontal="right" vertical="top"/>
    </xf>
    <xf numFmtId="173" fontId="45" fillId="0" borderId="3" xfId="0" applyNumberFormat="1" applyFont="1" applyBorder="1" applyAlignment="1">
      <alignment horizontal="right" vertical="top"/>
    </xf>
    <xf numFmtId="49" fontId="37" fillId="0" borderId="2" xfId="0" applyNumberFormat="1" applyFont="1" applyBorder="1" applyAlignment="1">
      <alignment horizontal="left" vertical="top" indent="2"/>
    </xf>
    <xf numFmtId="172" fontId="37" fillId="0" borderId="4" xfId="0" applyNumberFormat="1" applyFont="1" applyBorder="1" applyAlignment="1">
      <alignment horizontal="right" vertical="top"/>
    </xf>
    <xf numFmtId="49" fontId="37" fillId="0" borderId="3" xfId="0" applyNumberFormat="1" applyFont="1" applyBorder="1" applyAlignment="1">
      <alignment horizontal="left" vertical="top" indent="2"/>
    </xf>
    <xf numFmtId="49" fontId="33" fillId="0" borderId="7" xfId="0" applyNumberFormat="1" applyFont="1" applyBorder="1" applyAlignment="1">
      <alignment horizontal="left" vertical="top" indent="1"/>
    </xf>
    <xf numFmtId="49" fontId="34" fillId="0" borderId="17" xfId="0" applyNumberFormat="1" applyFont="1" applyBorder="1" applyAlignment="1">
      <alignment horizontal="left" vertical="top" indent="2"/>
    </xf>
    <xf numFmtId="49" fontId="33" fillId="0" borderId="0" xfId="0" applyNumberFormat="1" applyFont="1" applyAlignment="1">
      <alignment horizontal="left" vertical="top"/>
    </xf>
    <xf numFmtId="49" fontId="38" fillId="0" borderId="0" xfId="0" applyNumberFormat="1" applyFont="1" applyAlignment="1">
      <alignment horizontal="left" vertical="top"/>
    </xf>
    <xf numFmtId="49" fontId="34" fillId="0" borderId="3" xfId="0" applyNumberFormat="1" applyFont="1" applyBorder="1" applyAlignment="1">
      <alignment horizontal="left" vertical="top"/>
    </xf>
    <xf numFmtId="172" fontId="34" fillId="0" borderId="17" xfId="0" applyNumberFormat="1" applyFont="1" applyBorder="1" applyAlignment="1">
      <alignment horizontal="right" vertical="top"/>
    </xf>
    <xf numFmtId="172" fontId="35" fillId="0" borderId="3" xfId="0" applyNumberFormat="1" applyFont="1" applyBorder="1" applyAlignment="1">
      <alignment horizontal="right" vertical="top"/>
    </xf>
    <xf numFmtId="172" fontId="38" fillId="3" borderId="0" xfId="0" applyNumberFormat="1" applyFont="1" applyFill="1" applyAlignment="1">
      <alignment horizontal="right" vertical="top"/>
    </xf>
    <xf numFmtId="172" fontId="33" fillId="3" borderId="0" xfId="0" applyNumberFormat="1" applyFont="1" applyFill="1" applyAlignment="1">
      <alignment horizontal="right" vertical="top"/>
    </xf>
    <xf numFmtId="0" fontId="4" fillId="0" borderId="0" xfId="5" applyFont="1" applyAlignment="1">
      <alignment vertical="center"/>
    </xf>
    <xf numFmtId="165" fontId="4" fillId="0" borderId="0" xfId="1" applyNumberFormat="1" applyFont="1" applyFill="1" applyBorder="1" applyAlignment="1">
      <alignment vertical="center"/>
    </xf>
    <xf numFmtId="9" fontId="42" fillId="8" borderId="12" xfId="16" applyFont="1" applyFill="1" applyBorder="1" applyAlignment="1">
      <alignment horizontal="center" vertical="center"/>
    </xf>
    <xf numFmtId="0" fontId="20" fillId="0" borderId="12" xfId="17" applyFont="1" applyBorder="1"/>
    <xf numFmtId="165" fontId="20" fillId="0" borderId="12" xfId="18" applyNumberFormat="1" applyFont="1" applyBorder="1"/>
    <xf numFmtId="165" fontId="20" fillId="0" borderId="12" xfId="18" applyNumberFormat="1" applyFont="1" applyBorder="1" applyAlignment="1">
      <alignment horizontal="center"/>
    </xf>
    <xf numFmtId="166" fontId="20" fillId="0" borderId="12" xfId="17" applyNumberFormat="1" applyFont="1" applyBorder="1"/>
    <xf numFmtId="0" fontId="2" fillId="0" borderId="12" xfId="0" applyFont="1" applyBorder="1"/>
    <xf numFmtId="164" fontId="46" fillId="0" borderId="12" xfId="1" applyFont="1" applyBorder="1"/>
    <xf numFmtId="0" fontId="46" fillId="0" borderId="12" xfId="0" applyFont="1" applyBorder="1"/>
    <xf numFmtId="164" fontId="47" fillId="0" borderId="12" xfId="1" applyFont="1" applyBorder="1"/>
    <xf numFmtId="166" fontId="42" fillId="8" borderId="12" xfId="1" applyNumberFormat="1" applyFont="1" applyFill="1" applyBorder="1" applyAlignment="1">
      <alignment horizontal="center" vertical="center"/>
    </xf>
    <xf numFmtId="166" fontId="0" fillId="0" borderId="12" xfId="1" applyNumberFormat="1" applyFont="1" applyBorder="1"/>
    <xf numFmtId="166" fontId="0" fillId="0" borderId="12" xfId="1" applyNumberFormat="1" applyFont="1" applyFill="1" applyBorder="1"/>
    <xf numFmtId="166" fontId="46" fillId="0" borderId="12" xfId="1" applyNumberFormat="1" applyFont="1" applyBorder="1"/>
    <xf numFmtId="166" fontId="46" fillId="0" borderId="12" xfId="0" applyNumberFormat="1" applyFont="1" applyBorder="1"/>
    <xf numFmtId="0" fontId="48" fillId="0" borderId="0" xfId="0" applyFont="1"/>
    <xf numFmtId="0" fontId="49" fillId="0" borderId="0" xfId="0" applyFont="1"/>
    <xf numFmtId="165" fontId="49" fillId="0" borderId="0" xfId="1" applyNumberFormat="1" applyFont="1"/>
    <xf numFmtId="165" fontId="49" fillId="0" borderId="0" xfId="1" applyNumberFormat="1" applyFont="1" applyAlignment="1">
      <alignment vertical="center"/>
    </xf>
    <xf numFmtId="0" fontId="49" fillId="0" borderId="0" xfId="0" applyFont="1" applyAlignment="1">
      <alignment vertical="center"/>
    </xf>
    <xf numFmtId="0" fontId="50" fillId="0" borderId="0" xfId="0" applyFont="1" applyAlignment="1">
      <alignment horizontal="left" vertical="center"/>
    </xf>
    <xf numFmtId="0" fontId="52" fillId="0" borderId="0" xfId="19" applyFont="1" applyFill="1" applyBorder="1" applyAlignment="1" applyProtection="1">
      <alignment horizontal="left" vertical="center"/>
    </xf>
    <xf numFmtId="9" fontId="49" fillId="0" borderId="0" xfId="16" applyFont="1" applyAlignment="1">
      <alignment vertical="center"/>
    </xf>
    <xf numFmtId="0" fontId="48" fillId="0" borderId="0" xfId="0" applyFont="1" applyAlignment="1">
      <alignment vertical="center"/>
    </xf>
    <xf numFmtId="165" fontId="48" fillId="0" borderId="0" xfId="1" applyNumberFormat="1" applyFont="1" applyFill="1" applyBorder="1" applyAlignment="1">
      <alignment vertical="center"/>
    </xf>
    <xf numFmtId="0" fontId="53" fillId="0" borderId="17" xfId="0" applyFont="1" applyBorder="1" applyAlignment="1">
      <alignment vertical="center"/>
    </xf>
    <xf numFmtId="0" fontId="53" fillId="0" borderId="0" xfId="0" applyFont="1" applyAlignment="1">
      <alignment vertical="center"/>
    </xf>
    <xf numFmtId="165" fontId="49" fillId="0" borderId="0" xfId="1" applyNumberFormat="1" applyFont="1" applyFill="1" applyBorder="1" applyAlignment="1">
      <alignment horizontal="center" vertical="center"/>
    </xf>
    <xf numFmtId="164" fontId="49" fillId="0" borderId="0" xfId="1" applyFont="1" applyFill="1" applyBorder="1" applyAlignment="1">
      <alignment horizontal="center" vertical="center"/>
    </xf>
    <xf numFmtId="0" fontId="48" fillId="0" borderId="27" xfId="0" applyFont="1" applyBorder="1" applyAlignment="1">
      <alignment vertical="center" wrapText="1"/>
    </xf>
    <xf numFmtId="165" fontId="48" fillId="0" borderId="28" xfId="1" applyNumberFormat="1" applyFont="1" applyBorder="1" applyAlignment="1">
      <alignment vertical="center" wrapText="1"/>
    </xf>
    <xf numFmtId="165" fontId="48" fillId="0" borderId="29" xfId="1" applyNumberFormat="1" applyFont="1" applyBorder="1" applyAlignment="1">
      <alignment vertical="center"/>
    </xf>
    <xf numFmtId="165" fontId="48" fillId="0" borderId="30" xfId="1" applyNumberFormat="1" applyFont="1" applyBorder="1" applyAlignment="1">
      <alignment vertical="center" wrapText="1"/>
    </xf>
    <xf numFmtId="165" fontId="48" fillId="0" borderId="27" xfId="1" applyNumberFormat="1" applyFont="1" applyBorder="1" applyAlignment="1">
      <alignment vertical="center" wrapText="1"/>
    </xf>
    <xf numFmtId="0" fontId="48" fillId="0" borderId="29" xfId="0" applyFont="1" applyBorder="1" applyAlignment="1">
      <alignment vertical="center"/>
    </xf>
    <xf numFmtId="0" fontId="48" fillId="0" borderId="30" xfId="0" applyFont="1" applyBorder="1" applyAlignment="1">
      <alignment vertical="center" wrapText="1"/>
    </xf>
    <xf numFmtId="165" fontId="49" fillId="0" borderId="27" xfId="1" applyNumberFormat="1" applyFont="1" applyBorder="1" applyAlignment="1">
      <alignment vertical="center" wrapText="1"/>
    </xf>
    <xf numFmtId="165" fontId="49" fillId="0" borderId="29" xfId="1" applyNumberFormat="1" applyFont="1" applyBorder="1" applyAlignment="1">
      <alignment vertical="center" wrapText="1"/>
    </xf>
    <xf numFmtId="17" fontId="49" fillId="0" borderId="32" xfId="0" applyNumberFormat="1" applyFont="1" applyBorder="1" applyAlignment="1">
      <alignment vertical="center"/>
    </xf>
    <xf numFmtId="166" fontId="49" fillId="0" borderId="33" xfId="1" applyNumberFormat="1" applyFont="1" applyBorder="1" applyAlignment="1">
      <alignment vertical="center"/>
    </xf>
    <xf numFmtId="165" fontId="49" fillId="0" borderId="33" xfId="1" applyNumberFormat="1" applyFont="1" applyBorder="1" applyAlignment="1">
      <alignment vertical="center"/>
    </xf>
    <xf numFmtId="165" fontId="49" fillId="0" borderId="11" xfId="1" applyNumberFormat="1" applyFont="1" applyBorder="1" applyAlignment="1">
      <alignment vertical="center"/>
    </xf>
    <xf numFmtId="165" fontId="49" fillId="0" borderId="11" xfId="1" applyNumberFormat="1" applyFont="1" applyFill="1" applyBorder="1" applyAlignment="1">
      <alignment vertical="center"/>
    </xf>
    <xf numFmtId="165" fontId="49" fillId="0" borderId="34" xfId="1" applyNumberFormat="1" applyFont="1" applyFill="1" applyBorder="1" applyAlignment="1">
      <alignment vertical="center"/>
    </xf>
    <xf numFmtId="165" fontId="49" fillId="0" borderId="32" xfId="1" applyNumberFormat="1" applyFont="1" applyBorder="1" applyAlignment="1">
      <alignment vertical="center"/>
    </xf>
    <xf numFmtId="165" fontId="49" fillId="0" borderId="12" xfId="1" applyNumberFormat="1" applyFont="1" applyBorder="1" applyAlignment="1">
      <alignment vertical="center"/>
    </xf>
    <xf numFmtId="166" fontId="49" fillId="0" borderId="12" xfId="1" applyNumberFormat="1" applyFont="1" applyBorder="1" applyAlignment="1">
      <alignment vertical="center"/>
    </xf>
    <xf numFmtId="165" fontId="49" fillId="0" borderId="34" xfId="1" applyNumberFormat="1" applyFont="1" applyBorder="1" applyAlignment="1">
      <alignment vertical="center"/>
    </xf>
    <xf numFmtId="165" fontId="49" fillId="0" borderId="13" xfId="1" applyNumberFormat="1" applyFont="1" applyBorder="1" applyAlignment="1">
      <alignment vertical="center"/>
    </xf>
    <xf numFmtId="17" fontId="49" fillId="0" borderId="37" xfId="0" applyNumberFormat="1" applyFont="1" applyBorder="1" applyAlignment="1">
      <alignment vertical="center"/>
    </xf>
    <xf numFmtId="166" fontId="49" fillId="0" borderId="35" xfId="1" applyNumberFormat="1" applyFont="1" applyBorder="1" applyAlignment="1">
      <alignment vertical="center"/>
    </xf>
    <xf numFmtId="165" fontId="49" fillId="0" borderId="4" xfId="1" applyNumberFormat="1" applyFont="1" applyBorder="1" applyAlignment="1">
      <alignment vertical="center"/>
    </xf>
    <xf numFmtId="165" fontId="49" fillId="0" borderId="12" xfId="1" applyNumberFormat="1" applyFont="1" applyFill="1" applyBorder="1" applyAlignment="1">
      <alignment vertical="center"/>
    </xf>
    <xf numFmtId="165" fontId="49" fillId="0" borderId="36" xfId="1" applyNumberFormat="1" applyFont="1" applyFill="1" applyBorder="1" applyAlignment="1">
      <alignment vertical="center"/>
    </xf>
    <xf numFmtId="165" fontId="49" fillId="0" borderId="12" xfId="0" applyNumberFormat="1" applyFont="1" applyBorder="1" applyAlignment="1">
      <alignment vertical="center"/>
    </xf>
    <xf numFmtId="165" fontId="49" fillId="0" borderId="36" xfId="1" applyNumberFormat="1" applyFont="1" applyBorder="1" applyAlignment="1">
      <alignment vertical="center"/>
    </xf>
    <xf numFmtId="165" fontId="49" fillId="0" borderId="3" xfId="1" applyNumberFormat="1" applyFont="1" applyBorder="1" applyAlignment="1">
      <alignment vertical="center"/>
    </xf>
    <xf numFmtId="166" fontId="49" fillId="0" borderId="35" xfId="1" applyNumberFormat="1" applyFont="1" applyFill="1" applyBorder="1" applyAlignment="1">
      <alignment vertical="center"/>
    </xf>
    <xf numFmtId="165" fontId="49" fillId="0" borderId="4" xfId="1" applyNumberFormat="1" applyFont="1" applyFill="1" applyBorder="1" applyAlignment="1">
      <alignment vertical="center"/>
    </xf>
    <xf numFmtId="165" fontId="49" fillId="0" borderId="37" xfId="1" applyNumberFormat="1" applyFont="1" applyFill="1" applyBorder="1" applyAlignment="1">
      <alignment vertical="center"/>
    </xf>
    <xf numFmtId="165" fontId="49" fillId="0" borderId="3" xfId="1" applyNumberFormat="1" applyFont="1" applyFill="1" applyBorder="1" applyAlignment="1">
      <alignment vertical="center"/>
    </xf>
    <xf numFmtId="165" fontId="49" fillId="0" borderId="37" xfId="1" applyNumberFormat="1" applyFont="1" applyBorder="1" applyAlignment="1">
      <alignment vertical="center"/>
    </xf>
    <xf numFmtId="166" fontId="49" fillId="0" borderId="38" xfId="1" applyNumberFormat="1" applyFont="1" applyBorder="1" applyAlignment="1">
      <alignment vertical="center"/>
    </xf>
    <xf numFmtId="165" fontId="49" fillId="0" borderId="9" xfId="1" applyNumberFormat="1" applyFont="1" applyBorder="1" applyAlignment="1">
      <alignment vertical="center"/>
    </xf>
    <xf numFmtId="165" fontId="49" fillId="0" borderId="9" xfId="1" applyNumberFormat="1" applyFont="1" applyFill="1" applyBorder="1" applyAlignment="1">
      <alignment vertical="center"/>
    </xf>
    <xf numFmtId="165" fontId="49" fillId="0" borderId="39" xfId="1" applyNumberFormat="1" applyFont="1" applyBorder="1" applyAlignment="1">
      <alignment vertical="center"/>
    </xf>
    <xf numFmtId="0" fontId="49" fillId="0" borderId="5" xfId="0" applyFont="1" applyBorder="1" applyAlignment="1">
      <alignment vertical="center"/>
    </xf>
    <xf numFmtId="165" fontId="49" fillId="0" borderId="35" xfId="1" applyNumberFormat="1" applyFont="1" applyFill="1" applyBorder="1" applyAlignment="1">
      <alignment vertical="center"/>
    </xf>
    <xf numFmtId="0" fontId="49" fillId="0" borderId="3" xfId="0" applyFont="1" applyBorder="1" applyAlignment="1">
      <alignment vertical="center"/>
    </xf>
    <xf numFmtId="0" fontId="48" fillId="0" borderId="2" xfId="0" applyFont="1" applyBorder="1" applyAlignment="1">
      <alignment horizontal="center" vertical="center"/>
    </xf>
    <xf numFmtId="166" fontId="48" fillId="0" borderId="41" xfId="1" applyNumberFormat="1" applyFont="1" applyFill="1" applyBorder="1" applyAlignment="1">
      <alignment vertical="center"/>
    </xf>
    <xf numFmtId="165" fontId="48" fillId="0" borderId="23" xfId="1" applyNumberFormat="1" applyFont="1" applyFill="1" applyBorder="1" applyAlignment="1">
      <alignment vertical="center"/>
    </xf>
    <xf numFmtId="165" fontId="48" fillId="0" borderId="42" xfId="1" applyNumberFormat="1" applyFont="1" applyFill="1" applyBorder="1" applyAlignment="1">
      <alignment vertical="center"/>
    </xf>
    <xf numFmtId="165" fontId="48" fillId="0" borderId="43" xfId="1" applyNumberFormat="1" applyFont="1" applyBorder="1" applyAlignment="1">
      <alignment vertical="center"/>
    </xf>
    <xf numFmtId="165" fontId="48" fillId="0" borderId="41" xfId="1" applyNumberFormat="1" applyFont="1" applyBorder="1" applyAlignment="1">
      <alignment vertical="center"/>
    </xf>
    <xf numFmtId="165" fontId="48" fillId="0" borderId="23" xfId="1" applyNumberFormat="1" applyFont="1" applyBorder="1" applyAlignment="1">
      <alignment vertical="center"/>
    </xf>
    <xf numFmtId="165" fontId="48" fillId="0" borderId="42" xfId="1" applyNumberFormat="1" applyFont="1" applyBorder="1" applyAlignment="1">
      <alignment vertical="center"/>
    </xf>
    <xf numFmtId="165" fontId="48" fillId="0" borderId="22" xfId="1" applyNumberFormat="1" applyFont="1" applyBorder="1" applyAlignment="1">
      <alignment vertical="center"/>
    </xf>
    <xf numFmtId="0" fontId="49" fillId="0" borderId="0" xfId="0" applyFont="1" applyAlignment="1">
      <alignment horizontal="left" vertical="center"/>
    </xf>
    <xf numFmtId="166" fontId="49" fillId="0" borderId="0" xfId="1" applyNumberFormat="1" applyFont="1" applyFill="1" applyBorder="1" applyAlignment="1">
      <alignment vertical="center"/>
    </xf>
    <xf numFmtId="165" fontId="48" fillId="0" borderId="0" xfId="1" applyNumberFormat="1" applyFont="1" applyBorder="1" applyAlignment="1">
      <alignment vertical="center"/>
    </xf>
    <xf numFmtId="166" fontId="49" fillId="0" borderId="0" xfId="0" applyNumberFormat="1" applyFont="1" applyAlignment="1">
      <alignment vertical="center"/>
    </xf>
    <xf numFmtId="165" fontId="48" fillId="0" borderId="29" xfId="1" applyNumberFormat="1" applyFont="1" applyBorder="1" applyAlignment="1">
      <alignment vertical="center" wrapText="1"/>
    </xf>
    <xf numFmtId="165" fontId="48" fillId="0" borderId="30" xfId="1" applyNumberFormat="1" applyFont="1" applyBorder="1" applyAlignment="1">
      <alignment vertical="center"/>
    </xf>
    <xf numFmtId="165" fontId="48" fillId="0" borderId="48" xfId="1" applyNumberFormat="1" applyFont="1" applyBorder="1" applyAlignment="1">
      <alignment vertical="center"/>
    </xf>
    <xf numFmtId="165" fontId="48" fillId="0" borderId="49" xfId="1" applyNumberFormat="1" applyFont="1" applyBorder="1" applyAlignment="1">
      <alignment vertical="center"/>
    </xf>
    <xf numFmtId="0" fontId="48" fillId="0" borderId="50" xfId="0" applyFont="1" applyBorder="1" applyAlignment="1">
      <alignment vertical="center" wrapText="1"/>
    </xf>
    <xf numFmtId="165" fontId="49" fillId="0" borderId="11" xfId="8" applyNumberFormat="1" applyFont="1" applyBorder="1" applyAlignment="1">
      <alignment vertical="center"/>
    </xf>
    <xf numFmtId="165" fontId="49" fillId="0" borderId="35" xfId="1" applyNumberFormat="1" applyFont="1" applyBorder="1" applyAlignment="1">
      <alignment vertical="center"/>
    </xf>
    <xf numFmtId="165" fontId="49" fillId="0" borderId="51" xfId="1" applyNumberFormat="1" applyFont="1" applyBorder="1" applyAlignment="1">
      <alignment vertical="center"/>
    </xf>
    <xf numFmtId="165" fontId="49" fillId="0" borderId="40" xfId="1" applyNumberFormat="1" applyFont="1" applyBorder="1" applyAlignment="1">
      <alignment vertical="center"/>
    </xf>
    <xf numFmtId="165" fontId="49" fillId="0" borderId="33" xfId="1" applyNumberFormat="1" applyFont="1" applyFill="1" applyBorder="1" applyAlignment="1">
      <alignment vertical="center"/>
    </xf>
    <xf numFmtId="165" fontId="49" fillId="0" borderId="40" xfId="1" applyNumberFormat="1" applyFont="1" applyFill="1" applyBorder="1" applyAlignment="1">
      <alignment vertical="center"/>
    </xf>
    <xf numFmtId="165" fontId="49" fillId="0" borderId="13" xfId="1" applyNumberFormat="1" applyFont="1" applyFill="1" applyBorder="1" applyAlignment="1">
      <alignment vertical="center"/>
    </xf>
    <xf numFmtId="165" fontId="49" fillId="0" borderId="41" xfId="1" applyNumberFormat="1" applyFont="1" applyFill="1" applyBorder="1" applyAlignment="1">
      <alignment vertical="center"/>
    </xf>
    <xf numFmtId="0" fontId="49" fillId="0" borderId="24" xfId="0" applyFont="1" applyBorder="1" applyAlignment="1">
      <alignment vertical="center"/>
    </xf>
    <xf numFmtId="165" fontId="49" fillId="0" borderId="25" xfId="1" applyNumberFormat="1" applyFont="1" applyFill="1" applyBorder="1" applyAlignment="1">
      <alignment vertical="center"/>
    </xf>
    <xf numFmtId="165" fontId="49" fillId="0" borderId="26" xfId="1" applyNumberFormat="1" applyFont="1" applyFill="1" applyBorder="1" applyAlignment="1">
      <alignment vertical="center"/>
    </xf>
    <xf numFmtId="165" fontId="49" fillId="0" borderId="32" xfId="1" applyNumberFormat="1" applyFont="1" applyFill="1" applyBorder="1" applyAlignment="1">
      <alignment vertical="center"/>
    </xf>
    <xf numFmtId="165" fontId="49" fillId="0" borderId="17" xfId="1" applyNumberFormat="1" applyFont="1" applyFill="1" applyBorder="1" applyAlignment="1">
      <alignment vertical="center"/>
    </xf>
    <xf numFmtId="165" fontId="49" fillId="0" borderId="51" xfId="1" applyNumberFormat="1" applyFont="1" applyFill="1" applyBorder="1" applyAlignment="1">
      <alignment vertical="center"/>
    </xf>
    <xf numFmtId="165" fontId="49" fillId="0" borderId="24" xfId="1" applyNumberFormat="1" applyFont="1" applyFill="1" applyBorder="1" applyAlignment="1">
      <alignment vertical="center"/>
    </xf>
    <xf numFmtId="0" fontId="48" fillId="0" borderId="52" xfId="0" applyFont="1" applyBorder="1" applyAlignment="1">
      <alignment horizontal="center" vertical="center"/>
    </xf>
    <xf numFmtId="165" fontId="48" fillId="0" borderId="53" xfId="1" applyNumberFormat="1" applyFont="1" applyBorder="1" applyAlignment="1">
      <alignment vertical="center"/>
    </xf>
    <xf numFmtId="165" fontId="48" fillId="0" borderId="54" xfId="1" applyNumberFormat="1" applyFont="1" applyBorder="1" applyAlignment="1">
      <alignment vertical="center"/>
    </xf>
    <xf numFmtId="165" fontId="48" fillId="0" borderId="52" xfId="1" applyNumberFormat="1" applyFont="1" applyBorder="1" applyAlignment="1">
      <alignment vertical="center"/>
    </xf>
    <xf numFmtId="165" fontId="49" fillId="0" borderId="0" xfId="0" applyNumberFormat="1" applyFont="1" applyAlignment="1">
      <alignment vertical="center"/>
    </xf>
    <xf numFmtId="0" fontId="48" fillId="0" borderId="12" xfId="0" applyFont="1" applyBorder="1" applyAlignment="1">
      <alignment vertical="center" wrapText="1"/>
    </xf>
    <xf numFmtId="165" fontId="48" fillId="0" borderId="12" xfId="1" applyNumberFormat="1" applyFont="1" applyBorder="1" applyAlignment="1">
      <alignment vertical="center" wrapText="1"/>
    </xf>
    <xf numFmtId="164" fontId="49" fillId="0" borderId="12" xfId="1" applyFont="1" applyBorder="1" applyAlignment="1">
      <alignment vertical="center"/>
    </xf>
    <xf numFmtId="0" fontId="49" fillId="0" borderId="2" xfId="0" applyFont="1" applyBorder="1" applyAlignment="1">
      <alignment vertical="center"/>
    </xf>
    <xf numFmtId="0" fontId="49" fillId="0" borderId="12" xfId="0" applyFont="1" applyBorder="1" applyAlignment="1">
      <alignment vertical="center"/>
    </xf>
    <xf numFmtId="0" fontId="48" fillId="0" borderId="12" xfId="0" applyFont="1" applyBorder="1" applyAlignment="1">
      <alignment horizontal="center" vertical="center"/>
    </xf>
    <xf numFmtId="165" fontId="48" fillId="0" borderId="12" xfId="0" applyNumberFormat="1" applyFont="1" applyBorder="1" applyAlignment="1">
      <alignment vertical="center"/>
    </xf>
    <xf numFmtId="165" fontId="48" fillId="0" borderId="17" xfId="1" applyNumberFormat="1" applyFont="1" applyFill="1" applyBorder="1" applyAlignment="1">
      <alignment horizontal="center" vertical="center"/>
    </xf>
    <xf numFmtId="1" fontId="48" fillId="0" borderId="17" xfId="0" applyNumberFormat="1" applyFont="1" applyBorder="1" applyAlignment="1">
      <alignment horizontal="center" vertical="center"/>
    </xf>
    <xf numFmtId="165" fontId="48" fillId="0" borderId="12" xfId="1" applyNumberFormat="1" applyFont="1" applyFill="1" applyBorder="1" applyAlignment="1">
      <alignment horizontal="center"/>
    </xf>
    <xf numFmtId="1" fontId="48" fillId="0" borderId="12" xfId="0" applyNumberFormat="1" applyFont="1" applyBorder="1" applyAlignment="1">
      <alignment horizontal="center"/>
    </xf>
    <xf numFmtId="165" fontId="54" fillId="0" borderId="7" xfId="1" applyNumberFormat="1" applyFont="1" applyFill="1" applyBorder="1"/>
    <xf numFmtId="1" fontId="49" fillId="0" borderId="5" xfId="1" applyNumberFormat="1" applyFont="1" applyFill="1" applyBorder="1"/>
    <xf numFmtId="1" fontId="49" fillId="0" borderId="9" xfId="1" applyNumberFormat="1" applyFont="1" applyFill="1" applyBorder="1"/>
    <xf numFmtId="165" fontId="49" fillId="0" borderId="7" xfId="1" applyNumberFormat="1" applyFont="1" applyFill="1" applyBorder="1"/>
    <xf numFmtId="167" fontId="49" fillId="0" borderId="7" xfId="21" applyNumberFormat="1" applyFont="1" applyFill="1" applyBorder="1"/>
    <xf numFmtId="167" fontId="49" fillId="0" borderId="14" xfId="21" applyNumberFormat="1" applyFont="1" applyFill="1" applyBorder="1"/>
    <xf numFmtId="167" fontId="49" fillId="0" borderId="6" xfId="21" applyNumberFormat="1" applyFont="1" applyFill="1" applyBorder="1"/>
    <xf numFmtId="167" fontId="49" fillId="0" borderId="9" xfId="21" applyNumberFormat="1" applyFont="1" applyFill="1" applyBorder="1"/>
    <xf numFmtId="165" fontId="48" fillId="0" borderId="7" xfId="1" applyNumberFormat="1" applyFont="1" applyFill="1" applyBorder="1"/>
    <xf numFmtId="167" fontId="48" fillId="0" borderId="14" xfId="21" applyNumberFormat="1" applyFont="1" applyFill="1" applyBorder="1"/>
    <xf numFmtId="167" fontId="48" fillId="0" borderId="12" xfId="21" applyNumberFormat="1" applyFont="1" applyFill="1" applyBorder="1"/>
    <xf numFmtId="167" fontId="49" fillId="0" borderId="11" xfId="21" applyNumberFormat="1" applyFont="1" applyFill="1" applyBorder="1"/>
    <xf numFmtId="167" fontId="48" fillId="0" borderId="7" xfId="21" applyNumberFormat="1" applyFont="1" applyFill="1" applyBorder="1"/>
    <xf numFmtId="167" fontId="48" fillId="0" borderId="9" xfId="21" applyNumberFormat="1" applyFont="1" applyFill="1" applyBorder="1"/>
    <xf numFmtId="167" fontId="48" fillId="0" borderId="11" xfId="21" applyNumberFormat="1" applyFont="1" applyFill="1" applyBorder="1"/>
    <xf numFmtId="165" fontId="48" fillId="0" borderId="55" xfId="1" applyNumberFormat="1" applyFont="1" applyFill="1" applyBorder="1" applyAlignment="1">
      <alignment horizontal="left"/>
    </xf>
    <xf numFmtId="167" fontId="49" fillId="0" borderId="56" xfId="21" applyNumberFormat="1" applyFont="1" applyFill="1" applyBorder="1"/>
    <xf numFmtId="167" fontId="48" fillId="0" borderId="55" xfId="21" applyNumberFormat="1" applyFont="1" applyFill="1" applyBorder="1"/>
    <xf numFmtId="1" fontId="48" fillId="0" borderId="2" xfId="0" applyNumberFormat="1" applyFont="1" applyBorder="1" applyAlignment="1">
      <alignment horizontal="center"/>
    </xf>
    <xf numFmtId="1" fontId="48" fillId="0" borderId="4" xfId="0" applyNumberFormat="1" applyFont="1" applyBorder="1" applyAlignment="1">
      <alignment horizontal="center"/>
    </xf>
    <xf numFmtId="1" fontId="49" fillId="0" borderId="7" xfId="0" applyNumberFormat="1" applyFont="1" applyBorder="1"/>
    <xf numFmtId="167" fontId="49" fillId="0" borderId="14" xfId="22" applyNumberFormat="1" applyFont="1" applyFill="1" applyBorder="1"/>
    <xf numFmtId="167" fontId="49" fillId="0" borderId="6" xfId="22" applyNumberFormat="1" applyFont="1" applyFill="1" applyBorder="1"/>
    <xf numFmtId="167" fontId="48" fillId="0" borderId="10" xfId="22" applyNumberFormat="1" applyFont="1" applyFill="1" applyBorder="1"/>
    <xf numFmtId="167" fontId="55" fillId="0" borderId="14" xfId="22" applyNumberFormat="1" applyFont="1" applyFill="1" applyBorder="1" applyAlignment="1"/>
    <xf numFmtId="1" fontId="55" fillId="0" borderId="7" xfId="1" applyNumberFormat="1" applyFont="1" applyFill="1" applyBorder="1" applyAlignment="1"/>
    <xf numFmtId="167" fontId="53" fillId="0" borderId="6" xfId="22" applyNumberFormat="1" applyFont="1" applyFill="1" applyBorder="1" applyAlignment="1">
      <alignment horizontal="center"/>
    </xf>
    <xf numFmtId="1" fontId="55" fillId="0" borderId="7" xfId="1" applyNumberFormat="1" applyFont="1" applyFill="1" applyBorder="1"/>
    <xf numFmtId="167" fontId="55" fillId="0" borderId="14" xfId="22" applyNumberFormat="1" applyFont="1" applyFill="1" applyBorder="1"/>
    <xf numFmtId="167" fontId="55" fillId="0" borderId="6" xfId="22" applyNumberFormat="1" applyFont="1" applyFill="1" applyBorder="1"/>
    <xf numFmtId="167" fontId="53" fillId="0" borderId="14" xfId="22" applyNumberFormat="1" applyFont="1" applyFill="1" applyBorder="1"/>
    <xf numFmtId="1" fontId="53" fillId="0" borderId="7" xfId="1" applyNumberFormat="1" applyFont="1" applyFill="1" applyBorder="1"/>
    <xf numFmtId="167" fontId="53" fillId="0" borderId="10" xfId="22" applyNumberFormat="1" applyFont="1" applyFill="1" applyBorder="1"/>
    <xf numFmtId="1" fontId="55" fillId="0" borderId="8" xfId="1" applyNumberFormat="1" applyFont="1" applyFill="1" applyBorder="1"/>
    <xf numFmtId="167" fontId="53" fillId="0" borderId="11" xfId="22" applyNumberFormat="1" applyFont="1" applyFill="1" applyBorder="1"/>
    <xf numFmtId="1" fontId="53" fillId="0" borderId="57" xfId="1" applyNumberFormat="1" applyFont="1" applyFill="1" applyBorder="1"/>
    <xf numFmtId="167" fontId="53" fillId="0" borderId="58" xfId="22" applyNumberFormat="1" applyFont="1" applyFill="1" applyBorder="1"/>
    <xf numFmtId="167" fontId="53" fillId="0" borderId="56" xfId="22" applyNumberFormat="1" applyFont="1" applyFill="1" applyBorder="1"/>
    <xf numFmtId="165" fontId="48" fillId="0" borderId="0" xfId="1" applyNumberFormat="1" applyFont="1" applyAlignment="1">
      <alignment vertical="center"/>
    </xf>
    <xf numFmtId="49" fontId="34" fillId="4" borderId="0" xfId="0" applyNumberFormat="1" applyFont="1" applyFill="1" applyAlignment="1">
      <alignment vertical="top"/>
    </xf>
    <xf numFmtId="175" fontId="34" fillId="4" borderId="17" xfId="0" applyNumberFormat="1" applyFont="1" applyFill="1" applyBorder="1" applyAlignment="1">
      <alignment horizontal="right" vertical="top"/>
    </xf>
    <xf numFmtId="175" fontId="38" fillId="4" borderId="17" xfId="0" applyNumberFormat="1" applyFont="1" applyFill="1" applyBorder="1" applyAlignment="1">
      <alignment horizontal="right" vertical="top"/>
    </xf>
    <xf numFmtId="0" fontId="0" fillId="4" borderId="0" xfId="0" applyFill="1"/>
    <xf numFmtId="173" fontId="34" fillId="4" borderId="17" xfId="0" applyNumberFormat="1" applyFont="1" applyFill="1" applyBorder="1" applyAlignment="1">
      <alignment horizontal="right" vertical="top"/>
    </xf>
    <xf numFmtId="0" fontId="0" fillId="0" borderId="0" xfId="0" pivotButton="1"/>
    <xf numFmtId="165" fontId="3" fillId="2" borderId="17" xfId="1" applyNumberFormat="1" applyFont="1" applyFill="1" applyBorder="1" applyAlignment="1">
      <alignment vertical="center"/>
    </xf>
    <xf numFmtId="179" fontId="0" fillId="0" borderId="0" xfId="0" applyNumberFormat="1"/>
    <xf numFmtId="0" fontId="57" fillId="0" borderId="0" xfId="0" applyFont="1"/>
    <xf numFmtId="0" fontId="58" fillId="0" borderId="0" xfId="0" applyFont="1"/>
    <xf numFmtId="165" fontId="7" fillId="0" borderId="0" xfId="12" applyNumberFormat="1" applyFont="1" applyAlignment="1">
      <alignment vertical="top"/>
    </xf>
    <xf numFmtId="0" fontId="25" fillId="0" borderId="3" xfId="0" applyFont="1" applyBorder="1"/>
    <xf numFmtId="172" fontId="0" fillId="0" borderId="0" xfId="0" applyNumberFormat="1"/>
    <xf numFmtId="165" fontId="0" fillId="3" borderId="0" xfId="1" applyNumberFormat="1" applyFont="1" applyFill="1"/>
    <xf numFmtId="165" fontId="56" fillId="0" borderId="0" xfId="1" applyNumberFormat="1" applyFont="1"/>
    <xf numFmtId="43" fontId="56" fillId="0" borderId="0" xfId="0" applyNumberFormat="1" applyFont="1"/>
    <xf numFmtId="0" fontId="56" fillId="0" borderId="0" xfId="0" applyFont="1"/>
    <xf numFmtId="0" fontId="63" fillId="0" borderId="0" xfId="26" applyFont="1"/>
    <xf numFmtId="43" fontId="63" fillId="0" borderId="0" xfId="27" applyFont="1"/>
    <xf numFmtId="43" fontId="63" fillId="0" borderId="0" xfId="26" applyNumberFormat="1" applyFont="1"/>
    <xf numFmtId="0" fontId="64" fillId="0" borderId="44" xfId="26" applyFont="1" applyBorder="1"/>
    <xf numFmtId="14" fontId="63" fillId="0" borderId="45" xfId="26" applyNumberFormat="1" applyFont="1" applyBorder="1"/>
    <xf numFmtId="0" fontId="63" fillId="0" borderId="45" xfId="26" applyFont="1" applyBorder="1"/>
    <xf numFmtId="165" fontId="63" fillId="0" borderId="46" xfId="28" applyNumberFormat="1" applyFont="1" applyBorder="1"/>
    <xf numFmtId="0" fontId="63" fillId="12" borderId="59" xfId="26" applyFont="1" applyFill="1" applyBorder="1" applyAlignment="1">
      <alignment horizontal="center"/>
    </xf>
    <xf numFmtId="0" fontId="63" fillId="0" borderId="32" xfId="26" applyFont="1" applyBorder="1"/>
    <xf numFmtId="0" fontId="63" fillId="0" borderId="17" xfId="26" applyFont="1" applyBorder="1"/>
    <xf numFmtId="165" fontId="63" fillId="0" borderId="51" xfId="28" applyNumberFormat="1" applyFont="1" applyBorder="1"/>
    <xf numFmtId="14" fontId="63" fillId="12" borderId="32" xfId="26" applyNumberFormat="1" applyFont="1" applyFill="1" applyBorder="1" applyAlignment="1">
      <alignment horizontal="center"/>
    </xf>
    <xf numFmtId="0" fontId="65" fillId="0" borderId="38" xfId="26" applyFont="1" applyBorder="1" applyAlignment="1">
      <alignment horizontal="center" vertical="center" wrapText="1"/>
    </xf>
    <xf numFmtId="0" fontId="65" fillId="0" borderId="9" xfId="26" applyFont="1" applyBorder="1" applyAlignment="1">
      <alignment horizontal="center" vertical="center" wrapText="1"/>
    </xf>
    <xf numFmtId="0" fontId="65" fillId="0" borderId="5" xfId="26" applyFont="1" applyBorder="1" applyAlignment="1">
      <alignment horizontal="center" vertical="center" wrapText="1"/>
    </xf>
    <xf numFmtId="165" fontId="65" fillId="0" borderId="66" xfId="28" applyNumberFormat="1" applyFont="1" applyBorder="1" applyAlignment="1">
      <alignment horizontal="center" vertical="center" wrapText="1"/>
    </xf>
    <xf numFmtId="0" fontId="65" fillId="0" borderId="15" xfId="26" applyFont="1" applyBorder="1" applyAlignment="1">
      <alignment horizontal="center" vertical="center" wrapText="1"/>
    </xf>
    <xf numFmtId="0" fontId="65" fillId="15" borderId="39" xfId="26" applyFont="1" applyFill="1" applyBorder="1" applyAlignment="1">
      <alignment horizontal="center" vertical="center" wrapText="1"/>
    </xf>
    <xf numFmtId="0" fontId="65" fillId="15" borderId="38" xfId="26" applyFont="1" applyFill="1" applyBorder="1" applyAlignment="1">
      <alignment horizontal="center" vertical="center" wrapText="1"/>
    </xf>
    <xf numFmtId="0" fontId="65" fillId="15" borderId="5" xfId="26" applyFont="1" applyFill="1" applyBorder="1" applyAlignment="1">
      <alignment horizontal="center" vertical="center" wrapText="1"/>
    </xf>
    <xf numFmtId="0" fontId="65" fillId="15" borderId="9" xfId="26" applyFont="1" applyFill="1" applyBorder="1" applyAlignment="1">
      <alignment horizontal="center" vertical="center" wrapText="1"/>
    </xf>
    <xf numFmtId="165" fontId="65" fillId="15" borderId="9" xfId="28" applyNumberFormat="1" applyFont="1" applyFill="1" applyBorder="1" applyAlignment="1">
      <alignment horizontal="center" vertical="center" wrapText="1"/>
    </xf>
    <xf numFmtId="165" fontId="65" fillId="15" borderId="5" xfId="28" applyNumberFormat="1" applyFont="1" applyFill="1" applyBorder="1" applyAlignment="1">
      <alignment horizontal="center" vertical="center" wrapText="1"/>
    </xf>
    <xf numFmtId="165" fontId="65" fillId="15" borderId="66" xfId="28" applyNumberFormat="1" applyFont="1" applyFill="1" applyBorder="1" applyAlignment="1">
      <alignment horizontal="center" vertical="center" wrapText="1"/>
    </xf>
    <xf numFmtId="0" fontId="65" fillId="13" borderId="61" xfId="26" applyFont="1" applyFill="1" applyBorder="1" applyAlignment="1">
      <alignment horizontal="center" vertical="center" wrapText="1"/>
    </xf>
    <xf numFmtId="0" fontId="65" fillId="13" borderId="31" xfId="26" applyFont="1" applyFill="1" applyBorder="1" applyAlignment="1">
      <alignment horizontal="center" vertical="center" wrapText="1"/>
    </xf>
    <xf numFmtId="0" fontId="65" fillId="13" borderId="62" xfId="26" applyFont="1" applyFill="1" applyBorder="1" applyAlignment="1">
      <alignment horizontal="center" vertical="center" wrapText="1"/>
    </xf>
    <xf numFmtId="165" fontId="65" fillId="13" borderId="62" xfId="28" applyNumberFormat="1" applyFont="1" applyFill="1" applyBorder="1" applyAlignment="1">
      <alignment horizontal="center" vertical="center" wrapText="1"/>
    </xf>
    <xf numFmtId="165" fontId="65" fillId="13" borderId="31" xfId="28" applyNumberFormat="1" applyFont="1" applyFill="1" applyBorder="1" applyAlignment="1">
      <alignment horizontal="center" vertical="center" wrapText="1"/>
    </xf>
    <xf numFmtId="165" fontId="65" fillId="13" borderId="63" xfId="28" applyNumberFormat="1" applyFont="1" applyFill="1" applyBorder="1" applyAlignment="1">
      <alignment horizontal="center" vertical="center" wrapText="1"/>
    </xf>
    <xf numFmtId="0" fontId="65" fillId="14" borderId="6" xfId="26" applyFont="1" applyFill="1" applyBorder="1" applyAlignment="1">
      <alignment horizontal="center" vertical="center" wrapText="1"/>
    </xf>
    <xf numFmtId="0" fontId="65" fillId="14" borderId="7" xfId="26" applyFont="1" applyFill="1" applyBorder="1" applyAlignment="1">
      <alignment horizontal="center" vertical="center"/>
    </xf>
    <xf numFmtId="0" fontId="65" fillId="14" borderId="14" xfId="26" applyFont="1" applyFill="1" applyBorder="1" applyAlignment="1">
      <alignment horizontal="center" vertical="center" wrapText="1"/>
    </xf>
    <xf numFmtId="165" fontId="65" fillId="14" borderId="14" xfId="28" applyNumberFormat="1" applyFont="1" applyFill="1" applyBorder="1" applyAlignment="1">
      <alignment horizontal="center" vertical="center" wrapText="1"/>
    </xf>
    <xf numFmtId="165" fontId="65" fillId="14" borderId="7" xfId="28" applyNumberFormat="1" applyFont="1" applyFill="1" applyBorder="1" applyAlignment="1">
      <alignment horizontal="center" vertical="center" wrapText="1"/>
    </xf>
    <xf numFmtId="165" fontId="65" fillId="14" borderId="67" xfId="28" applyNumberFormat="1" applyFont="1" applyFill="1" applyBorder="1" applyAlignment="1">
      <alignment horizontal="center" vertical="center" wrapText="1"/>
    </xf>
    <xf numFmtId="0" fontId="65" fillId="14" borderId="7" xfId="26" applyFont="1" applyFill="1" applyBorder="1" applyAlignment="1">
      <alignment horizontal="center" vertical="center" wrapText="1"/>
    </xf>
    <xf numFmtId="0" fontId="65" fillId="0" borderId="0" xfId="26" applyFont="1" applyAlignment="1">
      <alignment horizontal="center" vertical="center" wrapText="1"/>
    </xf>
    <xf numFmtId="0" fontId="60" fillId="0" borderId="12" xfId="29" applyFont="1" applyBorder="1"/>
    <xf numFmtId="49" fontId="43" fillId="0" borderId="12" xfId="30" applyNumberFormat="1" applyFont="1" applyBorder="1" applyAlignment="1">
      <alignment horizontal="left" vertical="top"/>
    </xf>
    <xf numFmtId="10" fontId="63" fillId="0" borderId="12" xfId="31" applyNumberFormat="1" applyFont="1" applyFill="1" applyBorder="1" applyAlignment="1">
      <alignment horizontal="center"/>
    </xf>
    <xf numFmtId="0" fontId="43" fillId="0" borderId="12" xfId="31" applyNumberFormat="1" applyFont="1" applyFill="1" applyBorder="1" applyAlignment="1">
      <alignment horizontal="center"/>
    </xf>
    <xf numFmtId="14" fontId="2" fillId="0" borderId="12" xfId="30" applyNumberFormat="1" applyBorder="1"/>
    <xf numFmtId="171" fontId="63" fillId="0" borderId="12" xfId="26" applyNumberFormat="1" applyFont="1" applyBorder="1"/>
    <xf numFmtId="165" fontId="55" fillId="0" borderId="12" xfId="32" applyNumberFormat="1" applyFont="1" applyFill="1" applyBorder="1" applyAlignment="1">
      <alignment horizontal="center"/>
    </xf>
    <xf numFmtId="165" fontId="63" fillId="0" borderId="12" xfId="28" applyNumberFormat="1" applyFont="1" applyFill="1" applyBorder="1"/>
    <xf numFmtId="165" fontId="63" fillId="0" borderId="2" xfId="28" applyNumberFormat="1" applyFont="1" applyFill="1" applyBorder="1"/>
    <xf numFmtId="165" fontId="63" fillId="0" borderId="48" xfId="26" applyNumberFormat="1" applyFont="1" applyBorder="1"/>
    <xf numFmtId="165" fontId="63" fillId="0" borderId="49" xfId="26" applyNumberFormat="1" applyFont="1" applyBorder="1"/>
    <xf numFmtId="0" fontId="63" fillId="0" borderId="49" xfId="26" applyFont="1" applyBorder="1"/>
    <xf numFmtId="165" fontId="63" fillId="0" borderId="50" xfId="26" applyNumberFormat="1" applyFont="1" applyBorder="1"/>
    <xf numFmtId="165" fontId="63" fillId="0" borderId="4" xfId="26" applyNumberFormat="1" applyFont="1" applyBorder="1"/>
    <xf numFmtId="165" fontId="63" fillId="0" borderId="12" xfId="26" applyNumberFormat="1" applyFont="1" applyBorder="1"/>
    <xf numFmtId="0" fontId="63" fillId="0" borderId="12" xfId="26" applyFont="1" applyBorder="1"/>
    <xf numFmtId="164" fontId="63" fillId="0" borderId="12" xfId="28" applyFont="1" applyFill="1" applyBorder="1"/>
    <xf numFmtId="166" fontId="63" fillId="0" borderId="12" xfId="18" applyNumberFormat="1" applyFont="1" applyBorder="1"/>
    <xf numFmtId="0" fontId="63" fillId="0" borderId="12" xfId="18" applyNumberFormat="1" applyFont="1" applyBorder="1"/>
    <xf numFmtId="165" fontId="49" fillId="0" borderId="12" xfId="32" applyNumberFormat="1" applyFont="1" applyFill="1" applyBorder="1" applyAlignment="1">
      <alignment horizontal="center"/>
    </xf>
    <xf numFmtId="165" fontId="63" fillId="0" borderId="41" xfId="26" applyNumberFormat="1" applyFont="1" applyBorder="1"/>
    <xf numFmtId="165" fontId="63" fillId="0" borderId="23" xfId="26" applyNumberFormat="1" applyFont="1" applyBorder="1"/>
    <xf numFmtId="0" fontId="63" fillId="0" borderId="23" xfId="26" applyFont="1" applyBorder="1"/>
    <xf numFmtId="165" fontId="63" fillId="0" borderId="42" xfId="26" applyNumberFormat="1" applyFont="1" applyBorder="1"/>
    <xf numFmtId="0" fontId="67" fillId="0" borderId="12" xfId="29" applyFont="1" applyBorder="1"/>
    <xf numFmtId="49" fontId="43" fillId="16" borderId="9" xfId="33" applyNumberFormat="1" applyFont="1" applyFill="1" applyBorder="1" applyAlignment="1">
      <alignment horizontal="left" vertical="top"/>
    </xf>
    <xf numFmtId="0" fontId="43" fillId="0" borderId="9" xfId="31" applyNumberFormat="1" applyFont="1" applyFill="1" applyBorder="1" applyAlignment="1">
      <alignment horizontal="center"/>
    </xf>
    <xf numFmtId="14" fontId="63" fillId="0" borderId="9" xfId="33" applyNumberFormat="1" applyFont="1" applyBorder="1"/>
    <xf numFmtId="165" fontId="43" fillId="0" borderId="9" xfId="32" applyNumberFormat="1" applyFont="1" applyFill="1" applyBorder="1" applyAlignment="1">
      <alignment horizontal="center"/>
    </xf>
    <xf numFmtId="166" fontId="63" fillId="0" borderId="12" xfId="18" applyNumberFormat="1" applyFont="1" applyFill="1" applyBorder="1"/>
    <xf numFmtId="165" fontId="63" fillId="0" borderId="5" xfId="28" applyNumberFormat="1" applyFont="1" applyFill="1" applyBorder="1"/>
    <xf numFmtId="165" fontId="63" fillId="0" borderId="10" xfId="26" applyNumberFormat="1" applyFont="1" applyBorder="1"/>
    <xf numFmtId="165" fontId="63" fillId="0" borderId="9" xfId="26" applyNumberFormat="1" applyFont="1" applyBorder="1"/>
    <xf numFmtId="0" fontId="63" fillId="0" borderId="9" xfId="26" applyFont="1" applyBorder="1"/>
    <xf numFmtId="165" fontId="63" fillId="0" borderId="5" xfId="26" applyNumberFormat="1" applyFont="1" applyBorder="1"/>
    <xf numFmtId="164" fontId="63" fillId="0" borderId="10" xfId="28" applyFont="1" applyFill="1" applyBorder="1"/>
    <xf numFmtId="165" fontId="63" fillId="0" borderId="9" xfId="28" applyNumberFormat="1" applyFont="1" applyFill="1" applyBorder="1"/>
    <xf numFmtId="49" fontId="43" fillId="0" borderId="12" xfId="34" applyNumberFormat="1" applyFont="1" applyBorder="1" applyAlignment="1">
      <alignment horizontal="left" vertical="top"/>
    </xf>
    <xf numFmtId="14" fontId="43" fillId="0" borderId="12" xfId="0" applyNumberFormat="1" applyFont="1" applyBorder="1" applyAlignment="1">
      <alignment horizontal="center" vertical="center"/>
    </xf>
    <xf numFmtId="166" fontId="43" fillId="0" borderId="12" xfId="18" applyNumberFormat="1" applyFont="1" applyBorder="1" applyAlignment="1">
      <alignment horizontal="right" vertical="center"/>
    </xf>
    <xf numFmtId="166" fontId="63" fillId="0" borderId="5" xfId="18" applyNumberFormat="1" applyFont="1" applyFill="1" applyBorder="1"/>
    <xf numFmtId="166" fontId="63" fillId="0" borderId="10" xfId="18" applyNumberFormat="1" applyFont="1" applyBorder="1"/>
    <xf numFmtId="166" fontId="63" fillId="0" borderId="9" xfId="18" applyNumberFormat="1" applyFont="1" applyBorder="1"/>
    <xf numFmtId="166" fontId="63" fillId="0" borderId="5" xfId="18" applyNumberFormat="1" applyFont="1" applyBorder="1"/>
    <xf numFmtId="166" fontId="63" fillId="0" borderId="10" xfId="18" applyNumberFormat="1" applyFont="1" applyFill="1" applyBorder="1"/>
    <xf numFmtId="166" fontId="63" fillId="0" borderId="9" xfId="18" applyNumberFormat="1" applyFont="1" applyFill="1" applyBorder="1"/>
    <xf numFmtId="49" fontId="43" fillId="0" borderId="12" xfId="0" applyNumberFormat="1" applyFont="1" applyBorder="1" applyAlignment="1">
      <alignment vertical="top"/>
    </xf>
    <xf numFmtId="166" fontId="63" fillId="0" borderId="12" xfId="18" applyNumberFormat="1" applyFont="1" applyBorder="1" applyAlignment="1">
      <alignment horizontal="right" vertical="center"/>
    </xf>
    <xf numFmtId="0" fontId="67" fillId="0" borderId="9" xfId="29" applyFont="1" applyBorder="1"/>
    <xf numFmtId="49" fontId="43" fillId="0" borderId="9" xfId="0" applyNumberFormat="1" applyFont="1" applyBorder="1" applyAlignment="1">
      <alignment vertical="top"/>
    </xf>
    <xf numFmtId="10" fontId="63" fillId="0" borderId="9" xfId="31" applyNumberFormat="1" applyFont="1" applyFill="1" applyBorder="1" applyAlignment="1">
      <alignment horizontal="center"/>
    </xf>
    <xf numFmtId="14" fontId="43" fillId="0" borderId="9" xfId="0" applyNumberFormat="1" applyFont="1" applyBorder="1" applyAlignment="1">
      <alignment horizontal="center" vertical="center"/>
    </xf>
    <xf numFmtId="171" fontId="63" fillId="0" borderId="9" xfId="26" applyNumberFormat="1" applyFont="1" applyBorder="1"/>
    <xf numFmtId="166" fontId="43" fillId="0" borderId="9" xfId="18" applyNumberFormat="1" applyFont="1" applyBorder="1" applyAlignment="1">
      <alignment horizontal="right" vertical="center"/>
    </xf>
    <xf numFmtId="0" fontId="65" fillId="0" borderId="27" xfId="26" applyFont="1" applyBorder="1"/>
    <xf numFmtId="0" fontId="63" fillId="0" borderId="29" xfId="26" applyFont="1" applyBorder="1"/>
    <xf numFmtId="10" fontId="63" fillId="0" borderId="29" xfId="26" applyNumberFormat="1" applyFont="1" applyBorder="1" applyAlignment="1">
      <alignment horizontal="center"/>
    </xf>
    <xf numFmtId="0" fontId="63" fillId="0" borderId="29" xfId="26" applyFont="1" applyBorder="1" applyAlignment="1">
      <alignment horizontal="center"/>
    </xf>
    <xf numFmtId="165" fontId="65" fillId="0" borderId="29" xfId="28" applyNumberFormat="1" applyFont="1" applyBorder="1"/>
    <xf numFmtId="165" fontId="65" fillId="0" borderId="68" xfId="28" applyNumberFormat="1" applyFont="1" applyBorder="1"/>
    <xf numFmtId="165" fontId="63" fillId="0" borderId="27" xfId="26" applyNumberFormat="1" applyFont="1" applyBorder="1"/>
    <xf numFmtId="165" fontId="63" fillId="0" borderId="29" xfId="26" applyNumberFormat="1" applyFont="1" applyBorder="1"/>
    <xf numFmtId="10" fontId="63" fillId="0" borderId="0" xfId="26" applyNumberFormat="1" applyFont="1" applyAlignment="1">
      <alignment horizontal="center"/>
    </xf>
    <xf numFmtId="0" fontId="63" fillId="0" borderId="0" xfId="26" applyFont="1" applyAlignment="1">
      <alignment horizontal="center"/>
    </xf>
    <xf numFmtId="165" fontId="63" fillId="0" borderId="0" xfId="28" applyNumberFormat="1" applyFont="1" applyBorder="1"/>
    <xf numFmtId="165" fontId="63" fillId="0" borderId="0" xfId="26" applyNumberFormat="1" applyFont="1"/>
    <xf numFmtId="0" fontId="65" fillId="0" borderId="12" xfId="26" applyFont="1" applyBorder="1"/>
    <xf numFmtId="49" fontId="43" fillId="0" borderId="12" xfId="35" applyNumberFormat="1" applyFont="1" applyBorder="1" applyAlignment="1">
      <alignment horizontal="left" vertical="top"/>
    </xf>
    <xf numFmtId="0" fontId="63" fillId="0" borderId="12" xfId="31" applyNumberFormat="1" applyFont="1" applyFill="1" applyBorder="1" applyAlignment="1">
      <alignment horizontal="center"/>
    </xf>
    <xf numFmtId="14" fontId="43" fillId="0" borderId="12" xfId="35" applyNumberFormat="1" applyFont="1" applyBorder="1"/>
    <xf numFmtId="165" fontId="63" fillId="0" borderId="35" xfId="26" applyNumberFormat="1" applyFont="1" applyBorder="1"/>
    <xf numFmtId="165" fontId="63" fillId="0" borderId="36" xfId="26" applyNumberFormat="1" applyFont="1" applyBorder="1"/>
    <xf numFmtId="165" fontId="63" fillId="0" borderId="36" xfId="28" applyNumberFormat="1" applyFont="1" applyFill="1" applyBorder="1"/>
    <xf numFmtId="165" fontId="63" fillId="0" borderId="38" xfId="26" applyNumberFormat="1" applyFont="1" applyBorder="1"/>
    <xf numFmtId="165" fontId="63" fillId="0" borderId="66" xfId="26" applyNumberFormat="1" applyFont="1" applyBorder="1"/>
    <xf numFmtId="165" fontId="63" fillId="0" borderId="66" xfId="28" applyNumberFormat="1" applyFont="1" applyFill="1" applyBorder="1"/>
    <xf numFmtId="0" fontId="43" fillId="0" borderId="12" xfId="30" applyFont="1" applyBorder="1" applyAlignment="1">
      <alignment horizontal="left" vertical="center"/>
    </xf>
    <xf numFmtId="15" fontId="43" fillId="0" borderId="12" xfId="30" applyNumberFormat="1" applyFont="1" applyBorder="1" applyAlignment="1">
      <alignment horizontal="left" vertical="center"/>
    </xf>
    <xf numFmtId="166" fontId="43" fillId="0" borderId="12" xfId="27" applyNumberFormat="1" applyFont="1" applyBorder="1" applyAlignment="1">
      <alignment horizontal="left" vertical="center"/>
    </xf>
    <xf numFmtId="165" fontId="63" fillId="0" borderId="7" xfId="28" applyNumberFormat="1" applyFont="1" applyFill="1" applyBorder="1"/>
    <xf numFmtId="0" fontId="65" fillId="0" borderId="9" xfId="26" applyFont="1" applyBorder="1"/>
    <xf numFmtId="49" fontId="44" fillId="0" borderId="9" xfId="30" applyNumberFormat="1" applyFont="1" applyBorder="1" applyAlignment="1">
      <alignment horizontal="left" vertical="center"/>
    </xf>
    <xf numFmtId="0" fontId="63" fillId="0" borderId="9" xfId="31" applyNumberFormat="1" applyFont="1" applyFill="1" applyBorder="1" applyAlignment="1">
      <alignment horizontal="center"/>
    </xf>
    <xf numFmtId="15" fontId="43" fillId="0" borderId="9" xfId="30" applyNumberFormat="1" applyFont="1" applyBorder="1" applyAlignment="1">
      <alignment horizontal="left" vertical="center"/>
    </xf>
    <xf numFmtId="14" fontId="43" fillId="0" borderId="9" xfId="35" applyNumberFormat="1" applyFont="1" applyBorder="1"/>
    <xf numFmtId="166" fontId="43" fillId="0" borderId="9" xfId="27" applyNumberFormat="1" applyFont="1" applyBorder="1" applyAlignment="1">
      <alignment horizontal="left" vertical="center"/>
    </xf>
    <xf numFmtId="15" fontId="43" fillId="0" borderId="12" xfId="0" applyNumberFormat="1" applyFont="1" applyBorder="1" applyAlignment="1">
      <alignment horizontal="left" vertical="center"/>
    </xf>
    <xf numFmtId="0" fontId="43" fillId="0" borderId="12" xfId="0" applyFont="1" applyBorder="1" applyAlignment="1">
      <alignment horizontal="left" vertical="center"/>
    </xf>
    <xf numFmtId="0" fontId="65" fillId="16" borderId="12" xfId="26" applyFont="1" applyFill="1" applyBorder="1"/>
    <xf numFmtId="0" fontId="43" fillId="16" borderId="12" xfId="0" applyFont="1" applyFill="1" applyBorder="1" applyAlignment="1">
      <alignment horizontal="left" vertical="center"/>
    </xf>
    <xf numFmtId="10" fontId="63" fillId="16" borderId="12" xfId="31" applyNumberFormat="1" applyFont="1" applyFill="1" applyBorder="1" applyAlignment="1">
      <alignment horizontal="center"/>
    </xf>
    <xf numFmtId="0" fontId="63" fillId="16" borderId="12" xfId="31" applyNumberFormat="1" applyFont="1" applyFill="1" applyBorder="1" applyAlignment="1">
      <alignment horizontal="center"/>
    </xf>
    <xf numFmtId="15" fontId="65" fillId="16" borderId="12" xfId="0" applyNumberFormat="1" applyFont="1" applyFill="1" applyBorder="1" applyAlignment="1">
      <alignment horizontal="left" vertical="center"/>
    </xf>
    <xf numFmtId="166" fontId="68" fillId="0" borderId="12" xfId="18" applyNumberFormat="1" applyFont="1" applyBorder="1" applyAlignment="1">
      <alignment horizontal="right" vertical="center"/>
    </xf>
    <xf numFmtId="166" fontId="63" fillId="16" borderId="12" xfId="18" applyNumberFormat="1" applyFont="1" applyFill="1" applyBorder="1"/>
    <xf numFmtId="14" fontId="63" fillId="0" borderId="29" xfId="26" applyNumberFormat="1" applyFont="1" applyBorder="1"/>
    <xf numFmtId="15" fontId="63" fillId="0" borderId="29" xfId="26" applyNumberFormat="1" applyFont="1" applyBorder="1"/>
    <xf numFmtId="165" fontId="65" fillId="0" borderId="30" xfId="28" applyNumberFormat="1" applyFont="1" applyBorder="1"/>
    <xf numFmtId="165" fontId="65" fillId="0" borderId="0" xfId="28" applyNumberFormat="1" applyFont="1" applyBorder="1"/>
    <xf numFmtId="165" fontId="65" fillId="0" borderId="0" xfId="26" applyNumberFormat="1" applyFont="1"/>
    <xf numFmtId="0" fontId="65" fillId="2" borderId="12" xfId="26" applyFont="1" applyFill="1" applyBorder="1"/>
    <xf numFmtId="14" fontId="1" fillId="0" borderId="12" xfId="35" applyNumberFormat="1" applyBorder="1"/>
    <xf numFmtId="0" fontId="65" fillId="2" borderId="11" xfId="26" applyFont="1" applyFill="1" applyBorder="1"/>
    <xf numFmtId="49" fontId="43" fillId="0" borderId="11" xfId="35" applyNumberFormat="1" applyFont="1" applyBorder="1" applyAlignment="1">
      <alignment horizontal="left" vertical="top"/>
    </xf>
    <xf numFmtId="10" fontId="63" fillId="0" borderId="11" xfId="31" applyNumberFormat="1" applyFont="1" applyFill="1" applyBorder="1" applyAlignment="1">
      <alignment horizontal="center"/>
    </xf>
    <xf numFmtId="0" fontId="63" fillId="0" borderId="11" xfId="31" applyNumberFormat="1" applyFont="1" applyFill="1" applyBorder="1" applyAlignment="1">
      <alignment horizontal="center"/>
    </xf>
    <xf numFmtId="0" fontId="43" fillId="0" borderId="11" xfId="31" applyNumberFormat="1" applyFont="1" applyFill="1" applyBorder="1" applyAlignment="1">
      <alignment horizontal="center"/>
    </xf>
    <xf numFmtId="14" fontId="1" fillId="0" borderId="11" xfId="35" applyNumberFormat="1" applyBorder="1"/>
    <xf numFmtId="171" fontId="63" fillId="0" borderId="11" xfId="26" applyNumberFormat="1" applyFont="1" applyBorder="1"/>
    <xf numFmtId="165" fontId="49" fillId="0" borderId="11" xfId="32" applyNumberFormat="1" applyFont="1" applyFill="1" applyBorder="1" applyAlignment="1">
      <alignment horizontal="center"/>
    </xf>
    <xf numFmtId="165" fontId="63" fillId="0" borderId="11" xfId="28" applyNumberFormat="1" applyFont="1" applyFill="1" applyBorder="1"/>
    <xf numFmtId="165" fontId="63" fillId="0" borderId="59" xfId="26" applyNumberFormat="1" applyFont="1" applyBorder="1"/>
    <xf numFmtId="165" fontId="63" fillId="0" borderId="33" xfId="26" applyNumberFormat="1" applyFont="1" applyBorder="1"/>
    <xf numFmtId="165" fontId="63" fillId="0" borderId="11" xfId="26" applyNumberFormat="1" applyFont="1" applyBorder="1"/>
    <xf numFmtId="0" fontId="63" fillId="0" borderId="11" xfId="26" applyFont="1" applyBorder="1"/>
    <xf numFmtId="165" fontId="63" fillId="0" borderId="34" xfId="26" applyNumberFormat="1" applyFont="1" applyBorder="1"/>
    <xf numFmtId="165" fontId="63" fillId="0" borderId="13" xfId="26" applyNumberFormat="1" applyFont="1" applyBorder="1"/>
    <xf numFmtId="165" fontId="63" fillId="0" borderId="34" xfId="28" applyNumberFormat="1" applyFont="1" applyFill="1" applyBorder="1"/>
    <xf numFmtId="165" fontId="63" fillId="0" borderId="14" xfId="26" applyNumberFormat="1" applyFont="1" applyBorder="1"/>
    <xf numFmtId="165" fontId="63" fillId="12" borderId="59" xfId="26" applyNumberFormat="1" applyFont="1" applyFill="1" applyBorder="1"/>
    <xf numFmtId="43" fontId="63" fillId="0" borderId="12" xfId="26" applyNumberFormat="1" applyFont="1" applyBorder="1"/>
    <xf numFmtId="43" fontId="43" fillId="0" borderId="12" xfId="27" applyFont="1" applyBorder="1" applyAlignment="1">
      <alignment horizontal="left" vertical="center"/>
    </xf>
    <xf numFmtId="0" fontId="65" fillId="2" borderId="9" xfId="26" applyFont="1" applyFill="1" applyBorder="1"/>
    <xf numFmtId="0" fontId="43" fillId="0" borderId="9" xfId="30" applyFont="1" applyBorder="1" applyAlignment="1">
      <alignment horizontal="left" vertical="center"/>
    </xf>
    <xf numFmtId="43" fontId="43" fillId="0" borderId="9" xfId="27" applyFont="1" applyBorder="1" applyAlignment="1">
      <alignment horizontal="left" vertical="center"/>
    </xf>
    <xf numFmtId="0" fontId="43" fillId="0" borderId="12" xfId="0" applyFont="1" applyBorder="1" applyAlignment="1">
      <alignment horizontal="right" vertical="center"/>
    </xf>
    <xf numFmtId="0" fontId="63" fillId="0" borderId="4" xfId="26" applyFont="1" applyBorder="1"/>
    <xf numFmtId="0" fontId="63" fillId="0" borderId="10" xfId="26" applyFont="1" applyBorder="1"/>
    <xf numFmtId="0" fontId="43" fillId="0" borderId="9" xfId="0" applyFont="1" applyBorder="1" applyAlignment="1">
      <alignment horizontal="right" vertical="center"/>
    </xf>
    <xf numFmtId="0" fontId="63" fillId="0" borderId="53" xfId="26" applyFont="1" applyBorder="1"/>
    <xf numFmtId="0" fontId="65" fillId="0" borderId="0" xfId="26" applyFont="1"/>
    <xf numFmtId="165" fontId="65" fillId="0" borderId="0" xfId="28" applyNumberFormat="1" applyFont="1" applyFill="1" applyBorder="1"/>
    <xf numFmtId="0" fontId="65" fillId="0" borderId="11" xfId="26" applyFont="1" applyBorder="1"/>
    <xf numFmtId="14" fontId="43" fillId="0" borderId="11" xfId="35" applyNumberFormat="1" applyFont="1" applyBorder="1"/>
    <xf numFmtId="164" fontId="63" fillId="0" borderId="14" xfId="28" applyFont="1" applyFill="1" applyBorder="1"/>
    <xf numFmtId="165" fontId="63" fillId="0" borderId="67" xfId="26" applyNumberFormat="1" applyFont="1" applyBorder="1"/>
    <xf numFmtId="165" fontId="63" fillId="0" borderId="18" xfId="26" applyNumberFormat="1" applyFont="1" applyBorder="1"/>
    <xf numFmtId="164" fontId="63" fillId="0" borderId="49" xfId="28" applyFont="1" applyFill="1" applyBorder="1"/>
    <xf numFmtId="165" fontId="63" fillId="0" borderId="3" xfId="26" applyNumberFormat="1" applyFont="1" applyBorder="1"/>
    <xf numFmtId="49" fontId="43" fillId="0" borderId="12" xfId="35" applyNumberFormat="1" applyFont="1" applyBorder="1" applyAlignment="1">
      <alignment horizontal="left" vertical="top" wrapText="1"/>
    </xf>
    <xf numFmtId="165" fontId="63" fillId="0" borderId="15" xfId="26" applyNumberFormat="1" applyFont="1" applyBorder="1"/>
    <xf numFmtId="164" fontId="63" fillId="0" borderId="9" xfId="28" applyFont="1" applyFill="1" applyBorder="1"/>
    <xf numFmtId="49" fontId="31" fillId="0" borderId="0" xfId="35" applyNumberFormat="1" applyFont="1" applyAlignment="1">
      <alignment horizontal="left" vertical="top"/>
    </xf>
    <xf numFmtId="14" fontId="1" fillId="0" borderId="0" xfId="35" applyNumberFormat="1"/>
    <xf numFmtId="165" fontId="49" fillId="0" borderId="0" xfId="32" applyNumberFormat="1" applyFont="1" applyFill="1" applyBorder="1" applyAlignment="1">
      <alignment horizontal="center"/>
    </xf>
    <xf numFmtId="165" fontId="63" fillId="0" borderId="61" xfId="26" applyNumberFormat="1" applyFont="1" applyBorder="1"/>
    <xf numFmtId="165" fontId="63" fillId="0" borderId="62" xfId="26" applyNumberFormat="1" applyFont="1" applyBorder="1"/>
    <xf numFmtId="0" fontId="63" fillId="0" borderId="62" xfId="26" applyFont="1" applyBorder="1"/>
    <xf numFmtId="165" fontId="63" fillId="0" borderId="63" xfId="26" applyNumberFormat="1" applyFont="1" applyBorder="1"/>
    <xf numFmtId="166" fontId="43" fillId="0" borderId="12" xfId="27" applyNumberFormat="1" applyFont="1" applyFill="1" applyBorder="1" applyAlignment="1">
      <alignment horizontal="left" vertical="center"/>
    </xf>
    <xf numFmtId="165" fontId="63" fillId="0" borderId="4" xfId="28" applyNumberFormat="1" applyFont="1" applyFill="1" applyBorder="1"/>
    <xf numFmtId="0" fontId="43" fillId="0" borderId="9" xfId="0" applyFont="1" applyBorder="1" applyAlignment="1">
      <alignment horizontal="left" vertical="center"/>
    </xf>
    <xf numFmtId="0" fontId="63" fillId="0" borderId="9" xfId="0" applyFont="1" applyBorder="1" applyAlignment="1">
      <alignment horizontal="right" vertical="center"/>
    </xf>
    <xf numFmtId="43" fontId="65" fillId="0" borderId="27" xfId="27" applyFont="1" applyFill="1" applyBorder="1"/>
    <xf numFmtId="43" fontId="42" fillId="0" borderId="29" xfId="27" applyFont="1" applyFill="1" applyBorder="1" applyAlignment="1">
      <alignment horizontal="left" vertical="top"/>
    </xf>
    <xf numFmtId="43" fontId="65" fillId="0" borderId="29" xfId="27" applyFont="1" applyFill="1" applyBorder="1" applyAlignment="1">
      <alignment horizontal="center"/>
    </xf>
    <xf numFmtId="43" fontId="42" fillId="0" borderId="29" xfId="27" applyFont="1" applyFill="1" applyBorder="1"/>
    <xf numFmtId="43" fontId="65" fillId="0" borderId="29" xfId="27" applyFont="1" applyFill="1" applyBorder="1"/>
    <xf numFmtId="43" fontId="65" fillId="0" borderId="30" xfId="27" applyFont="1" applyFill="1" applyBorder="1" applyAlignment="1">
      <alignment horizontal="center"/>
    </xf>
    <xf numFmtId="43" fontId="65" fillId="0" borderId="0" xfId="27" applyFont="1" applyFill="1"/>
    <xf numFmtId="49" fontId="43" fillId="0" borderId="0" xfId="35" applyNumberFormat="1" applyFont="1" applyAlignment="1">
      <alignment horizontal="left" vertical="top"/>
    </xf>
    <xf numFmtId="10" fontId="63" fillId="0" borderId="0" xfId="31" applyNumberFormat="1" applyFont="1" applyFill="1" applyBorder="1" applyAlignment="1">
      <alignment horizontal="center"/>
    </xf>
    <xf numFmtId="0" fontId="63" fillId="0" borderId="0" xfId="31" applyNumberFormat="1" applyFont="1" applyFill="1" applyBorder="1" applyAlignment="1">
      <alignment horizontal="center"/>
    </xf>
    <xf numFmtId="14" fontId="43" fillId="0" borderId="0" xfId="35" applyNumberFormat="1" applyFont="1"/>
    <xf numFmtId="171" fontId="63" fillId="0" borderId="0" xfId="26" applyNumberFormat="1" applyFont="1"/>
    <xf numFmtId="165" fontId="63" fillId="0" borderId="0" xfId="28" applyNumberFormat="1" applyFont="1" applyFill="1" applyBorder="1"/>
    <xf numFmtId="164" fontId="63" fillId="0" borderId="0" xfId="28" applyFont="1" applyFill="1" applyBorder="1"/>
    <xf numFmtId="49" fontId="69" fillId="0" borderId="12" xfId="35" applyNumberFormat="1" applyFont="1" applyBorder="1" applyAlignment="1">
      <alignment horizontal="left" vertical="top"/>
    </xf>
    <xf numFmtId="49" fontId="69" fillId="0" borderId="12" xfId="35" applyNumberFormat="1" applyFont="1" applyBorder="1" applyAlignment="1">
      <alignment horizontal="left" vertical="top" wrapText="1"/>
    </xf>
    <xf numFmtId="43" fontId="63" fillId="0" borderId="12" xfId="27" applyFont="1" applyFill="1" applyBorder="1"/>
    <xf numFmtId="43" fontId="63" fillId="0" borderId="9" xfId="27" applyFont="1" applyFill="1" applyBorder="1"/>
    <xf numFmtId="49" fontId="43" fillId="0" borderId="29" xfId="35" applyNumberFormat="1" applyFont="1" applyBorder="1" applyAlignment="1">
      <alignment horizontal="left" vertical="top"/>
    </xf>
    <xf numFmtId="10" fontId="63" fillId="0" borderId="29" xfId="31" applyNumberFormat="1" applyFont="1" applyFill="1" applyBorder="1" applyAlignment="1">
      <alignment horizontal="center"/>
    </xf>
    <xf numFmtId="0" fontId="63" fillId="0" borderId="29" xfId="31" applyNumberFormat="1" applyFont="1" applyFill="1" applyBorder="1" applyAlignment="1">
      <alignment horizontal="center"/>
    </xf>
    <xf numFmtId="14" fontId="43" fillId="0" borderId="29" xfId="35" applyNumberFormat="1" applyFont="1" applyBorder="1"/>
    <xf numFmtId="171" fontId="63" fillId="0" borderId="29" xfId="26" applyNumberFormat="1" applyFont="1" applyBorder="1"/>
    <xf numFmtId="165" fontId="48" fillId="0" borderId="29" xfId="32" applyNumberFormat="1" applyFont="1" applyFill="1" applyBorder="1" applyAlignment="1">
      <alignment horizontal="center"/>
    </xf>
    <xf numFmtId="165" fontId="48" fillId="0" borderId="30" xfId="32" applyNumberFormat="1" applyFont="1" applyFill="1" applyBorder="1" applyAlignment="1">
      <alignment horizontal="center"/>
    </xf>
    <xf numFmtId="165" fontId="48" fillId="0" borderId="0" xfId="32" applyNumberFormat="1" applyFont="1" applyFill="1" applyBorder="1" applyAlignment="1">
      <alignment horizontal="center"/>
    </xf>
    <xf numFmtId="0" fontId="65" fillId="0" borderId="8" xfId="26" applyFont="1" applyBorder="1"/>
    <xf numFmtId="171" fontId="63" fillId="0" borderId="13" xfId="26" applyNumberFormat="1" applyFont="1" applyBorder="1"/>
    <xf numFmtId="165" fontId="63" fillId="0" borderId="17" xfId="26" applyNumberFormat="1" applyFont="1" applyBorder="1"/>
    <xf numFmtId="164" fontId="63" fillId="0" borderId="11" xfId="28" applyFont="1" applyFill="1" applyBorder="1"/>
    <xf numFmtId="165" fontId="1" fillId="0" borderId="12" xfId="35" applyNumberFormat="1" applyBorder="1"/>
    <xf numFmtId="165" fontId="63" fillId="0" borderId="59" xfId="28" applyNumberFormat="1" applyFont="1" applyFill="1" applyBorder="1"/>
    <xf numFmtId="165" fontId="65" fillId="0" borderId="69" xfId="28" applyNumberFormat="1" applyFont="1" applyFill="1" applyBorder="1"/>
    <xf numFmtId="165" fontId="63" fillId="0" borderId="47" xfId="26" applyNumberFormat="1" applyFont="1" applyBorder="1"/>
    <xf numFmtId="165" fontId="63" fillId="0" borderId="20" xfId="28" applyNumberFormat="1" applyFont="1" applyFill="1" applyBorder="1"/>
    <xf numFmtId="165" fontId="1" fillId="0" borderId="0" xfId="35" applyNumberFormat="1"/>
    <xf numFmtId="43" fontId="43" fillId="0" borderId="12" xfId="27" applyFont="1" applyFill="1" applyBorder="1" applyAlignment="1">
      <alignment horizontal="left" vertical="center"/>
    </xf>
    <xf numFmtId="0" fontId="65" fillId="0" borderId="7" xfId="26" applyFont="1" applyBorder="1"/>
    <xf numFmtId="0" fontId="63" fillId="0" borderId="14" xfId="31" applyNumberFormat="1" applyFont="1" applyFill="1" applyBorder="1" applyAlignment="1">
      <alignment horizontal="center"/>
    </xf>
    <xf numFmtId="166" fontId="63" fillId="0" borderId="9" xfId="18" applyNumberFormat="1" applyFont="1" applyFill="1" applyBorder="1" applyAlignment="1">
      <alignment horizontal="right" vertical="center"/>
    </xf>
    <xf numFmtId="0" fontId="65" fillId="0" borderId="29" xfId="26" applyFont="1" applyBorder="1"/>
    <xf numFmtId="0" fontId="60" fillId="0" borderId="55" xfId="29" applyFont="1" applyBorder="1"/>
    <xf numFmtId="49" fontId="69" fillId="0" borderId="55" xfId="35" applyNumberFormat="1" applyFont="1" applyBorder="1" applyAlignment="1">
      <alignment horizontal="left" vertical="top"/>
    </xf>
    <xf numFmtId="10" fontId="63" fillId="0" borderId="55" xfId="31" applyNumberFormat="1" applyFont="1" applyFill="1" applyBorder="1" applyAlignment="1">
      <alignment horizontal="center"/>
    </xf>
    <xf numFmtId="0" fontId="63" fillId="0" borderId="55" xfId="26" applyFont="1" applyBorder="1"/>
    <xf numFmtId="14" fontId="43" fillId="0" borderId="55" xfId="35" applyNumberFormat="1" applyFont="1" applyBorder="1"/>
    <xf numFmtId="171" fontId="63" fillId="0" borderId="55" xfId="26" applyNumberFormat="1" applyFont="1" applyBorder="1"/>
    <xf numFmtId="165" fontId="49" fillId="0" borderId="55" xfId="32" applyNumberFormat="1" applyFont="1" applyFill="1" applyBorder="1" applyAlignment="1">
      <alignment horizontal="center"/>
    </xf>
    <xf numFmtId="165" fontId="63" fillId="0" borderId="55" xfId="28" applyNumberFormat="1" applyFont="1" applyFill="1" applyBorder="1"/>
    <xf numFmtId="0" fontId="63" fillId="0" borderId="19" xfId="26" applyFont="1" applyBorder="1"/>
    <xf numFmtId="165" fontId="63" fillId="0" borderId="56" xfId="26" applyNumberFormat="1" applyFont="1" applyBorder="1"/>
    <xf numFmtId="43" fontId="63" fillId="0" borderId="55" xfId="27" applyFont="1" applyBorder="1"/>
    <xf numFmtId="43" fontId="63" fillId="0" borderId="12" xfId="27" applyFont="1" applyBorder="1"/>
    <xf numFmtId="0" fontId="60" fillId="0" borderId="9" xfId="29" applyFont="1" applyBorder="1"/>
    <xf numFmtId="49" fontId="69" fillId="0" borderId="9" xfId="35" applyNumberFormat="1" applyFont="1" applyBorder="1" applyAlignment="1">
      <alignment horizontal="left" vertical="top"/>
    </xf>
    <xf numFmtId="43" fontId="63" fillId="0" borderId="9" xfId="27" applyFont="1" applyBorder="1"/>
    <xf numFmtId="49" fontId="69" fillId="0" borderId="29" xfId="35" applyNumberFormat="1" applyFont="1" applyBorder="1" applyAlignment="1">
      <alignment horizontal="left" vertical="top"/>
    </xf>
    <xf numFmtId="165" fontId="65" fillId="0" borderId="29" xfId="26" applyNumberFormat="1" applyFont="1" applyBorder="1"/>
    <xf numFmtId="164" fontId="65" fillId="0" borderId="29" xfId="28" applyFont="1" applyFill="1" applyBorder="1"/>
    <xf numFmtId="165" fontId="65" fillId="0" borderId="29" xfId="28" applyNumberFormat="1" applyFont="1" applyFill="1" applyBorder="1"/>
    <xf numFmtId="165" fontId="65" fillId="0" borderId="30" xfId="28" applyNumberFormat="1" applyFont="1" applyFill="1" applyBorder="1"/>
    <xf numFmtId="165" fontId="63" fillId="0" borderId="0" xfId="28" applyNumberFormat="1" applyFont="1"/>
    <xf numFmtId="14" fontId="63" fillId="0" borderId="12" xfId="26" applyNumberFormat="1" applyFont="1" applyBorder="1"/>
    <xf numFmtId="43" fontId="49" fillId="0" borderId="12" xfId="27" applyFont="1" applyFill="1" applyBorder="1" applyAlignment="1">
      <alignment horizontal="center"/>
    </xf>
    <xf numFmtId="166" fontId="63" fillId="0" borderId="12" xfId="27" applyNumberFormat="1" applyFont="1" applyBorder="1"/>
    <xf numFmtId="166" fontId="63" fillId="0" borderId="9" xfId="27" applyNumberFormat="1" applyFont="1" applyBorder="1"/>
    <xf numFmtId="14" fontId="63" fillId="0" borderId="9" xfId="26" applyNumberFormat="1" applyFont="1" applyBorder="1"/>
    <xf numFmtId="15" fontId="43" fillId="0" borderId="9" xfId="0" applyNumberFormat="1" applyFont="1" applyBorder="1" applyAlignment="1">
      <alignment horizontal="left" vertical="center"/>
    </xf>
    <xf numFmtId="165" fontId="65" fillId="17" borderId="53" xfId="28" applyNumberFormat="1" applyFont="1" applyFill="1" applyBorder="1" applyAlignment="1">
      <alignment horizontal="center" vertical="center"/>
    </xf>
    <xf numFmtId="0" fontId="65" fillId="17" borderId="53" xfId="26" applyFont="1" applyFill="1" applyBorder="1" applyAlignment="1">
      <alignment vertical="center"/>
    </xf>
    <xf numFmtId="0" fontId="65" fillId="17" borderId="1" xfId="26" applyFont="1" applyFill="1" applyBorder="1" applyAlignment="1">
      <alignment vertical="center"/>
    </xf>
    <xf numFmtId="0" fontId="65" fillId="17" borderId="71" xfId="26" applyFont="1" applyFill="1" applyBorder="1" applyAlignment="1">
      <alignment vertical="center" wrapText="1"/>
    </xf>
    <xf numFmtId="0" fontId="65" fillId="17" borderId="72" xfId="26" applyFont="1" applyFill="1" applyBorder="1" applyAlignment="1">
      <alignment vertical="center"/>
    </xf>
    <xf numFmtId="0" fontId="65" fillId="0" borderId="0" xfId="26" applyFont="1" applyAlignment="1">
      <alignment vertical="center"/>
    </xf>
    <xf numFmtId="0" fontId="63" fillId="0" borderId="0" xfId="26" applyFont="1" applyAlignment="1">
      <alignment horizontal="center" vertical="center" wrapText="1"/>
    </xf>
    <xf numFmtId="165" fontId="63" fillId="0" borderId="49" xfId="28" applyNumberFormat="1" applyFont="1" applyBorder="1"/>
    <xf numFmtId="165" fontId="63" fillId="0" borderId="74" xfId="28" applyNumberFormat="1" applyFont="1" applyBorder="1"/>
    <xf numFmtId="165" fontId="4" fillId="2" borderId="12" xfId="28" applyNumberFormat="1" applyFont="1" applyFill="1" applyBorder="1" applyAlignment="1">
      <alignment vertical="center"/>
    </xf>
    <xf numFmtId="165" fontId="63" fillId="0" borderId="12" xfId="28" applyNumberFormat="1" applyFont="1" applyBorder="1"/>
    <xf numFmtId="165" fontId="63" fillId="0" borderId="2" xfId="28" applyNumberFormat="1" applyFont="1" applyBorder="1"/>
    <xf numFmtId="165" fontId="63" fillId="2" borderId="12" xfId="28" applyNumberFormat="1" applyFont="1" applyFill="1" applyBorder="1" applyAlignment="1">
      <alignment vertical="center"/>
    </xf>
    <xf numFmtId="165" fontId="63" fillId="0" borderId="9" xfId="28" applyNumberFormat="1" applyFont="1" applyBorder="1"/>
    <xf numFmtId="165" fontId="63" fillId="0" borderId="5" xfId="28" applyNumberFormat="1" applyFont="1" applyBorder="1"/>
    <xf numFmtId="165" fontId="65" fillId="0" borderId="12" xfId="28" applyNumberFormat="1" applyFont="1" applyBorder="1"/>
    <xf numFmtId="165" fontId="65" fillId="0" borderId="2" xfId="28" applyNumberFormat="1" applyFont="1" applyBorder="1"/>
    <xf numFmtId="165" fontId="65" fillId="0" borderId="12" xfId="28" applyNumberFormat="1" applyFont="1" applyFill="1" applyBorder="1"/>
    <xf numFmtId="165" fontId="65" fillId="0" borderId="12" xfId="26" applyNumberFormat="1" applyFont="1" applyBorder="1"/>
    <xf numFmtId="0" fontId="65" fillId="0" borderId="3" xfId="26" applyFont="1" applyBorder="1"/>
    <xf numFmtId="166" fontId="63" fillId="0" borderId="0" xfId="27" applyNumberFormat="1" applyFont="1"/>
    <xf numFmtId="43" fontId="63" fillId="0" borderId="0" xfId="27" applyFont="1" applyFill="1"/>
    <xf numFmtId="0" fontId="65" fillId="17" borderId="47" xfId="26" applyFont="1" applyFill="1" applyBorder="1" applyAlignment="1">
      <alignment horizontal="center"/>
    </xf>
    <xf numFmtId="0" fontId="65" fillId="17" borderId="1" xfId="26" applyFont="1" applyFill="1" applyBorder="1" applyAlignment="1">
      <alignment horizontal="center"/>
    </xf>
    <xf numFmtId="0" fontId="63" fillId="17" borderId="72" xfId="26" applyFont="1" applyFill="1" applyBorder="1"/>
    <xf numFmtId="165" fontId="65" fillId="17" borderId="72" xfId="28" applyNumberFormat="1" applyFont="1" applyFill="1" applyBorder="1" applyAlignment="1">
      <alignment horizontal="center" vertical="center" wrapText="1"/>
    </xf>
    <xf numFmtId="0" fontId="65" fillId="17" borderId="72" xfId="26" applyFont="1" applyFill="1" applyBorder="1" applyAlignment="1">
      <alignment horizontal="center" vertical="center"/>
    </xf>
    <xf numFmtId="0" fontId="65" fillId="17" borderId="72" xfId="26" applyFont="1" applyFill="1" applyBorder="1" applyAlignment="1">
      <alignment horizontal="center" vertical="center" wrapText="1"/>
    </xf>
    <xf numFmtId="0" fontId="65" fillId="17" borderId="26" xfId="26" applyFont="1" applyFill="1" applyBorder="1" applyAlignment="1">
      <alignment vertical="center"/>
    </xf>
    <xf numFmtId="165" fontId="63" fillId="0" borderId="11" xfId="28" applyNumberFormat="1" applyFont="1" applyBorder="1"/>
    <xf numFmtId="166" fontId="63" fillId="0" borderId="12" xfId="26" applyNumberFormat="1" applyFont="1" applyBorder="1"/>
    <xf numFmtId="0" fontId="63" fillId="0" borderId="68" xfId="26" applyFont="1" applyBorder="1"/>
    <xf numFmtId="165" fontId="65" fillId="0" borderId="25" xfId="28" applyNumberFormat="1" applyFont="1" applyBorder="1"/>
    <xf numFmtId="165" fontId="65" fillId="0" borderId="72" xfId="28" applyNumberFormat="1" applyFont="1" applyBorder="1"/>
    <xf numFmtId="0" fontId="65" fillId="17" borderId="25" xfId="26" applyFont="1" applyFill="1" applyBorder="1" applyAlignment="1">
      <alignment horizontal="center" vertical="center"/>
    </xf>
    <xf numFmtId="0" fontId="65" fillId="17" borderId="26" xfId="26" applyFont="1" applyFill="1" applyBorder="1" applyAlignment="1">
      <alignment vertical="center" wrapText="1"/>
    </xf>
    <xf numFmtId="165" fontId="63" fillId="0" borderId="8" xfId="28" applyNumberFormat="1" applyFont="1" applyBorder="1"/>
    <xf numFmtId="0" fontId="43" fillId="0" borderId="0" xfId="36" applyFont="1"/>
    <xf numFmtId="0" fontId="65" fillId="0" borderId="0" xfId="37" applyFont="1"/>
    <xf numFmtId="165" fontId="65" fillId="0" borderId="0" xfId="38" applyNumberFormat="1" applyFont="1" applyFill="1" applyBorder="1" applyAlignment="1">
      <alignment horizontal="left"/>
    </xf>
    <xf numFmtId="165" fontId="63" fillId="0" borderId="0" xfId="37" applyNumberFormat="1" applyFont="1" applyAlignment="1">
      <alignment horizontal="center"/>
    </xf>
    <xf numFmtId="0" fontId="65" fillId="0" borderId="0" xfId="37" applyFont="1" applyAlignment="1">
      <alignment horizontal="center"/>
    </xf>
    <xf numFmtId="168" fontId="65" fillId="0" borderId="0" xfId="38" quotePrefix="1" applyNumberFormat="1" applyFont="1" applyFill="1" applyBorder="1" applyAlignment="1"/>
    <xf numFmtId="165" fontId="64" fillId="0" borderId="0" xfId="39" applyNumberFormat="1" applyFont="1" applyFill="1" applyBorder="1"/>
    <xf numFmtId="0" fontId="63" fillId="0" borderId="0" xfId="37" applyFont="1"/>
    <xf numFmtId="0" fontId="63" fillId="0" borderId="0" xfId="37" applyFont="1" applyAlignment="1">
      <alignment horizontal="center"/>
    </xf>
    <xf numFmtId="165" fontId="43" fillId="0" borderId="0" xfId="27" applyNumberFormat="1" applyFont="1" applyFill="1" applyBorder="1" applyAlignment="1">
      <alignment horizontal="right"/>
    </xf>
    <xf numFmtId="0" fontId="63" fillId="0" borderId="0" xfId="37" applyFont="1" applyAlignment="1">
      <alignment horizontal="left"/>
    </xf>
    <xf numFmtId="0" fontId="63" fillId="0" borderId="0" xfId="37" applyFont="1" applyAlignment="1">
      <alignment horizontal="right"/>
    </xf>
    <xf numFmtId="0" fontId="43" fillId="0" borderId="0" xfId="36" applyFont="1" applyAlignment="1">
      <alignment wrapText="1"/>
    </xf>
    <xf numFmtId="0" fontId="65" fillId="0" borderId="9" xfId="40" applyFont="1" applyBorder="1" applyAlignment="1">
      <alignment horizontal="center" vertical="center" wrapText="1"/>
    </xf>
    <xf numFmtId="0" fontId="63" fillId="0" borderId="0" xfId="26" applyFont="1" applyAlignment="1">
      <alignment wrapText="1"/>
    </xf>
    <xf numFmtId="0" fontId="65" fillId="0" borderId="14" xfId="40" applyFont="1" applyBorder="1" applyAlignment="1">
      <alignment horizontal="center" vertical="center" wrapText="1"/>
    </xf>
    <xf numFmtId="0" fontId="65" fillId="0" borderId="11" xfId="40" applyFont="1" applyBorder="1" applyAlignment="1">
      <alignment horizontal="center" vertical="center" wrapText="1"/>
    </xf>
    <xf numFmtId="171" fontId="65" fillId="0" borderId="11" xfId="40" applyNumberFormat="1" applyFont="1" applyBorder="1" applyAlignment="1">
      <alignment horizontal="center" vertical="center" wrapText="1"/>
    </xf>
    <xf numFmtId="14" fontId="65" fillId="0" borderId="11" xfId="40" applyNumberFormat="1" applyFont="1" applyBorder="1" applyAlignment="1">
      <alignment horizontal="center" vertical="center" wrapText="1"/>
    </xf>
    <xf numFmtId="165" fontId="63" fillId="0" borderId="7" xfId="38" applyNumberFormat="1" applyFont="1" applyFill="1" applyBorder="1"/>
    <xf numFmtId="0" fontId="65" fillId="0" borderId="9" xfId="40" applyFont="1" applyBorder="1" applyAlignment="1">
      <alignment horizontal="center" vertical="center"/>
    </xf>
    <xf numFmtId="0" fontId="65" fillId="0" borderId="6" xfId="40" applyFont="1" applyBorder="1" applyAlignment="1">
      <alignment horizontal="center" vertical="center"/>
    </xf>
    <xf numFmtId="165" fontId="65" fillId="0" borderId="14" xfId="38" applyNumberFormat="1" applyFont="1" applyFill="1" applyBorder="1" applyAlignment="1">
      <alignment horizontal="center" vertical="center"/>
    </xf>
    <xf numFmtId="165" fontId="65" fillId="0" borderId="6" xfId="38" applyNumberFormat="1" applyFont="1" applyFill="1" applyBorder="1" applyAlignment="1">
      <alignment horizontal="center" vertical="center"/>
    </xf>
    <xf numFmtId="0" fontId="63" fillId="0" borderId="7" xfId="40" applyFont="1" applyBorder="1" applyAlignment="1">
      <alignment horizontal="center"/>
    </xf>
    <xf numFmtId="0" fontId="63" fillId="0" borderId="14" xfId="40" applyFont="1" applyBorder="1"/>
    <xf numFmtId="9" fontId="70" fillId="0" borderId="14" xfId="41" applyFont="1" applyFill="1" applyBorder="1" applyAlignment="1">
      <alignment horizontal="center" vertical="center"/>
    </xf>
    <xf numFmtId="165" fontId="63" fillId="0" borderId="14" xfId="38" applyNumberFormat="1" applyFont="1" applyFill="1" applyBorder="1" applyAlignment="1">
      <alignment horizontal="center" vertical="center"/>
    </xf>
    <xf numFmtId="165" fontId="63" fillId="0" borderId="14" xfId="27" applyNumberFormat="1" applyFont="1" applyFill="1" applyBorder="1" applyAlignment="1">
      <alignment horizontal="right"/>
    </xf>
    <xf numFmtId="165" fontId="63" fillId="0" borderId="0" xfId="27" applyNumberFormat="1" applyFont="1" applyFill="1"/>
    <xf numFmtId="165" fontId="63" fillId="0" borderId="14" xfId="27" applyNumberFormat="1" applyFont="1" applyFill="1" applyBorder="1" applyAlignment="1">
      <alignment horizontal="center" vertical="center"/>
    </xf>
    <xf numFmtId="166" fontId="63" fillId="0" borderId="14" xfId="27" applyNumberFormat="1" applyFont="1" applyFill="1" applyBorder="1" applyAlignment="1">
      <alignment horizontal="center" vertical="center"/>
    </xf>
    <xf numFmtId="165" fontId="63" fillId="0" borderId="14" xfId="27" applyNumberFormat="1" applyFont="1" applyFill="1" applyBorder="1" applyAlignment="1">
      <alignment horizontal="center" vertical="center" wrapText="1"/>
    </xf>
    <xf numFmtId="165" fontId="63" fillId="0" borderId="6" xfId="27" applyNumberFormat="1" applyFont="1" applyFill="1" applyBorder="1" applyAlignment="1">
      <alignment horizontal="center" vertical="center"/>
    </xf>
    <xf numFmtId="0" fontId="65" fillId="0" borderId="14" xfId="40" applyFont="1" applyBorder="1" applyAlignment="1">
      <alignment horizontal="center" vertical="center"/>
    </xf>
    <xf numFmtId="165" fontId="65" fillId="0" borderId="0" xfId="38" applyNumberFormat="1" applyFont="1" applyFill="1" applyBorder="1" applyAlignment="1">
      <alignment horizontal="center" vertical="center"/>
    </xf>
    <xf numFmtId="9" fontId="63" fillId="0" borderId="6" xfId="42" applyFont="1" applyFill="1" applyBorder="1" applyAlignment="1">
      <alignment horizontal="center"/>
    </xf>
    <xf numFmtId="0" fontId="63" fillId="0" borderId="14" xfId="26" applyFont="1" applyBorder="1"/>
    <xf numFmtId="165" fontId="63" fillId="0" borderId="0" xfId="43" applyNumberFormat="1" applyFont="1" applyFill="1" applyBorder="1"/>
    <xf numFmtId="165" fontId="63" fillId="0" borderId="0" xfId="27" applyNumberFormat="1" applyFont="1" applyFill="1" applyBorder="1" applyAlignment="1">
      <alignment horizontal="right"/>
    </xf>
    <xf numFmtId="0" fontId="63" fillId="0" borderId="14" xfId="44" applyFont="1" applyBorder="1"/>
    <xf numFmtId="0" fontId="63" fillId="0" borderId="8" xfId="40" applyFont="1" applyBorder="1"/>
    <xf numFmtId="0" fontId="63" fillId="0" borderId="11" xfId="40" applyFont="1" applyBorder="1"/>
    <xf numFmtId="1" fontId="63" fillId="0" borderId="4" xfId="40" applyNumberFormat="1" applyFont="1" applyBorder="1" applyAlignment="1">
      <alignment horizontal="center"/>
    </xf>
    <xf numFmtId="165" fontId="65" fillId="0" borderId="12" xfId="27" applyNumberFormat="1" applyFont="1" applyFill="1" applyBorder="1"/>
    <xf numFmtId="166" fontId="63" fillId="0" borderId="0" xfId="18" applyNumberFormat="1" applyFont="1" applyFill="1"/>
    <xf numFmtId="166" fontId="63" fillId="0" borderId="0" xfId="26" applyNumberFormat="1" applyFont="1"/>
    <xf numFmtId="166" fontId="63" fillId="0" borderId="0" xfId="18" applyNumberFormat="1" applyFont="1" applyFill="1" applyBorder="1"/>
    <xf numFmtId="49" fontId="34" fillId="0" borderId="15" xfId="0" applyNumberFormat="1" applyFont="1" applyBorder="1" applyAlignment="1">
      <alignment horizontal="left" vertical="top" indent="3"/>
    </xf>
    <xf numFmtId="49" fontId="34" fillId="0" borderId="7" xfId="0" applyNumberFormat="1" applyFont="1" applyBorder="1" applyAlignment="1">
      <alignment horizontal="left" vertical="top" indent="3"/>
    </xf>
    <xf numFmtId="49" fontId="33" fillId="0" borderId="5" xfId="0" applyNumberFormat="1" applyFont="1" applyBorder="1" applyAlignment="1">
      <alignment horizontal="center" vertical="top"/>
    </xf>
    <xf numFmtId="49" fontId="34" fillId="0" borderId="8" xfId="0" applyNumberFormat="1" applyFont="1" applyBorder="1" applyAlignment="1">
      <alignment horizontal="left" vertical="top" indent="3"/>
    </xf>
    <xf numFmtId="49" fontId="33" fillId="0" borderId="0" xfId="0" applyNumberFormat="1" applyFont="1" applyAlignment="1">
      <alignment horizontal="left" vertical="top" indent="3"/>
    </xf>
    <xf numFmtId="49" fontId="34" fillId="0" borderId="3" xfId="0" applyNumberFormat="1" applyFont="1" applyBorder="1" applyAlignment="1">
      <alignment horizontal="left" vertical="top" indent="3"/>
    </xf>
    <xf numFmtId="49" fontId="38" fillId="3" borderId="0" xfId="0" applyNumberFormat="1" applyFont="1" applyFill="1" applyAlignment="1">
      <alignment horizontal="left" vertical="top" indent="3"/>
    </xf>
    <xf numFmtId="49" fontId="33" fillId="3" borderId="0" xfId="0" applyNumberFormat="1" applyFont="1" applyFill="1" applyAlignment="1">
      <alignment horizontal="left" vertical="top" indent="3"/>
    </xf>
    <xf numFmtId="175" fontId="33" fillId="3" borderId="0" xfId="0" applyNumberFormat="1" applyFont="1" applyFill="1" applyAlignment="1">
      <alignment horizontal="right" vertical="top"/>
    </xf>
    <xf numFmtId="165" fontId="13" fillId="2" borderId="0" xfId="5" applyNumberFormat="1" applyFont="1" applyFill="1"/>
    <xf numFmtId="172" fontId="43" fillId="0" borderId="0" xfId="0" applyNumberFormat="1" applyFont="1"/>
    <xf numFmtId="172" fontId="44" fillId="3" borderId="12" xfId="0" applyNumberFormat="1" applyFont="1" applyFill="1" applyBorder="1" applyAlignment="1">
      <alignment horizontal="right" vertical="top" indent="1"/>
    </xf>
    <xf numFmtId="172" fontId="71" fillId="3" borderId="0" xfId="0" applyNumberFormat="1" applyFont="1" applyFill="1" applyAlignment="1">
      <alignment horizontal="right" vertical="top"/>
    </xf>
    <xf numFmtId="172" fontId="72" fillId="0" borderId="12" xfId="0" applyNumberFormat="1" applyFont="1" applyBorder="1" applyAlignment="1">
      <alignment horizontal="right" vertical="top" indent="1"/>
    </xf>
    <xf numFmtId="172" fontId="72" fillId="0" borderId="0" xfId="0" applyNumberFormat="1" applyFont="1" applyAlignment="1">
      <alignment horizontal="right" vertical="top" indent="1"/>
    </xf>
    <xf numFmtId="43" fontId="43" fillId="0" borderId="0" xfId="0" applyNumberFormat="1" applyFont="1"/>
    <xf numFmtId="43" fontId="43" fillId="0" borderId="16" xfId="0" applyNumberFormat="1" applyFont="1" applyBorder="1"/>
    <xf numFmtId="172" fontId="71" fillId="0" borderId="0" xfId="0" applyNumberFormat="1" applyFont="1" applyAlignment="1">
      <alignment horizontal="right" vertical="top"/>
    </xf>
    <xf numFmtId="175" fontId="0" fillId="0" borderId="0" xfId="0" applyNumberFormat="1"/>
    <xf numFmtId="165" fontId="0" fillId="0" borderId="0" xfId="0" applyNumberFormat="1"/>
    <xf numFmtId="0" fontId="73" fillId="0" borderId="0" xfId="26" applyFont="1"/>
    <xf numFmtId="165" fontId="73" fillId="0" borderId="0" xfId="27" applyNumberFormat="1" applyFont="1"/>
    <xf numFmtId="0" fontId="74" fillId="0" borderId="0" xfId="26" applyFont="1"/>
    <xf numFmtId="0" fontId="75" fillId="0" borderId="0" xfId="26" applyFont="1"/>
    <xf numFmtId="165" fontId="75" fillId="0" borderId="0" xfId="27" applyNumberFormat="1" applyFont="1" applyBorder="1" applyAlignment="1">
      <alignment horizontal="right"/>
    </xf>
    <xf numFmtId="0" fontId="73" fillId="8" borderId="12" xfId="26" applyFont="1" applyFill="1" applyBorder="1" applyAlignment="1">
      <alignment horizontal="center" vertical="top" wrapText="1"/>
    </xf>
    <xf numFmtId="165" fontId="73" fillId="8" borderId="12" xfId="27" applyNumberFormat="1" applyFont="1" applyFill="1" applyBorder="1" applyAlignment="1">
      <alignment horizontal="center" vertical="top" wrapText="1"/>
    </xf>
    <xf numFmtId="0" fontId="73" fillId="0" borderId="12" xfId="26" applyFont="1" applyBorder="1"/>
    <xf numFmtId="165" fontId="73" fillId="0" borderId="12" xfId="27" applyNumberFormat="1" applyFont="1" applyBorder="1" applyAlignment="1">
      <alignment horizontal="center"/>
    </xf>
    <xf numFmtId="0" fontId="74" fillId="0" borderId="12" xfId="26" applyFont="1" applyBorder="1"/>
    <xf numFmtId="165" fontId="74" fillId="0" borderId="12" xfId="27" applyNumberFormat="1" applyFont="1" applyFill="1" applyBorder="1" applyAlignment="1"/>
    <xf numFmtId="165" fontId="74" fillId="0" borderId="12" xfId="45" applyNumberFormat="1" applyFont="1" applyFill="1" applyBorder="1" applyAlignment="1"/>
    <xf numFmtId="165" fontId="73" fillId="0" borderId="12" xfId="27" applyNumberFormat="1" applyFont="1" applyBorder="1"/>
    <xf numFmtId="165" fontId="75" fillId="0" borderId="12" xfId="27" applyNumberFormat="1" applyFont="1" applyBorder="1"/>
    <xf numFmtId="0" fontId="76" fillId="0" borderId="12" xfId="26" applyFont="1" applyBorder="1"/>
    <xf numFmtId="167" fontId="73" fillId="8" borderId="12" xfId="26" applyNumberFormat="1" applyFont="1" applyFill="1" applyBorder="1" applyAlignment="1">
      <alignment horizontal="center" vertical="top" wrapText="1"/>
    </xf>
    <xf numFmtId="165" fontId="75" fillId="0" borderId="0" xfId="27" applyNumberFormat="1" applyFont="1" applyBorder="1"/>
    <xf numFmtId="0" fontId="76" fillId="18" borderId="12" xfId="26" applyFont="1" applyFill="1" applyBorder="1" applyAlignment="1">
      <alignment horizontal="center"/>
    </xf>
    <xf numFmtId="0" fontId="74" fillId="0" borderId="12" xfId="26" applyFont="1" applyBorder="1" applyAlignment="1">
      <alignment wrapText="1"/>
    </xf>
    <xf numFmtId="0" fontId="74" fillId="0" borderId="12" xfId="26" applyFont="1" applyBorder="1" applyAlignment="1">
      <alignment horizontal="center"/>
    </xf>
    <xf numFmtId="0" fontId="78" fillId="2" borderId="0" xfId="0" applyFont="1" applyFill="1"/>
    <xf numFmtId="0" fontId="77" fillId="2" borderId="0" xfId="0" applyFont="1" applyFill="1"/>
    <xf numFmtId="166" fontId="78" fillId="2" borderId="0" xfId="15" applyNumberFormat="1" applyFont="1" applyFill="1" applyBorder="1"/>
    <xf numFmtId="0" fontId="80" fillId="2" borderId="3" xfId="0" applyFont="1" applyFill="1" applyBorder="1" applyAlignment="1">
      <alignment horizontal="center" vertical="top" wrapText="1"/>
    </xf>
    <xf numFmtId="0" fontId="80" fillId="2" borderId="4" xfId="0" applyFont="1" applyFill="1" applyBorder="1" applyAlignment="1">
      <alignment horizontal="center" vertical="top" wrapText="1"/>
    </xf>
    <xf numFmtId="0" fontId="81" fillId="2" borderId="12" xfId="0" applyFont="1" applyFill="1" applyBorder="1" applyAlignment="1">
      <alignment horizontal="center" vertical="top" wrapText="1"/>
    </xf>
    <xf numFmtId="166" fontId="80" fillId="2" borderId="12" xfId="15" quotePrefix="1" applyNumberFormat="1" applyFont="1" applyFill="1" applyBorder="1" applyAlignment="1">
      <alignment horizontal="right" vertical="center" wrapText="1"/>
    </xf>
    <xf numFmtId="0" fontId="80" fillId="2" borderId="6" xfId="0" applyFont="1" applyFill="1" applyBorder="1" applyAlignment="1">
      <alignment vertical="top"/>
    </xf>
    <xf numFmtId="0" fontId="80" fillId="2" borderId="14" xfId="0" applyFont="1" applyFill="1" applyBorder="1" applyAlignment="1">
      <alignment vertical="top"/>
    </xf>
    <xf numFmtId="166" fontId="81" fillId="2" borderId="14" xfId="15" applyNumberFormat="1" applyFont="1" applyFill="1" applyBorder="1" applyAlignment="1">
      <alignment vertical="top"/>
    </xf>
    <xf numFmtId="0" fontId="81" fillId="2" borderId="6" xfId="0" applyFont="1" applyFill="1" applyBorder="1" applyAlignment="1">
      <alignment vertical="top"/>
    </xf>
    <xf numFmtId="165" fontId="80" fillId="2" borderId="6" xfId="1" applyNumberFormat="1" applyFont="1" applyFill="1" applyBorder="1" applyAlignment="1">
      <alignment vertical="top"/>
    </xf>
    <xf numFmtId="43" fontId="78" fillId="2" borderId="0" xfId="0" applyNumberFormat="1" applyFont="1" applyFill="1"/>
    <xf numFmtId="165" fontId="81" fillId="2" borderId="14" xfId="1" applyNumberFormat="1" applyFont="1" applyFill="1" applyBorder="1" applyAlignment="1">
      <alignment vertical="top"/>
    </xf>
    <xf numFmtId="165" fontId="81" fillId="2" borderId="6" xfId="1" applyNumberFormat="1" applyFont="1" applyFill="1" applyBorder="1" applyAlignment="1">
      <alignment vertical="top"/>
    </xf>
    <xf numFmtId="0" fontId="81" fillId="2" borderId="6" xfId="0" applyFont="1" applyFill="1" applyBorder="1" applyAlignment="1">
      <alignment horizontal="left" vertical="top" indent="2"/>
    </xf>
    <xf numFmtId="0" fontId="81" fillId="2" borderId="14" xfId="0" applyFont="1" applyFill="1" applyBorder="1" applyAlignment="1">
      <alignment vertical="top"/>
    </xf>
    <xf numFmtId="165" fontId="80" fillId="2" borderId="14" xfId="1" applyNumberFormat="1" applyFont="1" applyFill="1" applyBorder="1" applyAlignment="1">
      <alignment vertical="top"/>
    </xf>
    <xf numFmtId="0" fontId="82" fillId="2" borderId="14" xfId="0" applyFont="1" applyFill="1" applyBorder="1" applyAlignment="1">
      <alignment horizontal="center" vertical="top" wrapText="1"/>
    </xf>
    <xf numFmtId="165" fontId="80" fillId="0" borderId="6" xfId="1" applyNumberFormat="1" applyFont="1" applyFill="1" applyBorder="1" applyAlignment="1">
      <alignment vertical="top"/>
    </xf>
    <xf numFmtId="170" fontId="83" fillId="2" borderId="6" xfId="0" applyNumberFormat="1" applyFont="1" applyFill="1" applyBorder="1" applyAlignment="1">
      <alignment vertical="top"/>
    </xf>
    <xf numFmtId="170" fontId="83" fillId="2" borderId="14" xfId="0" applyNumberFormat="1" applyFont="1" applyFill="1" applyBorder="1" applyAlignment="1">
      <alignment vertical="top"/>
    </xf>
    <xf numFmtId="165" fontId="83" fillId="2" borderId="14" xfId="1" applyNumberFormat="1" applyFont="1" applyFill="1" applyBorder="1" applyAlignment="1">
      <alignment horizontal="center" vertical="top"/>
    </xf>
    <xf numFmtId="170" fontId="84" fillId="2" borderId="6" xfId="0" applyNumberFormat="1" applyFont="1" applyFill="1" applyBorder="1" applyAlignment="1">
      <alignment vertical="top"/>
    </xf>
    <xf numFmtId="170" fontId="84" fillId="2" borderId="14" xfId="0" applyNumberFormat="1" applyFont="1" applyFill="1" applyBorder="1" applyAlignment="1">
      <alignment vertical="top"/>
    </xf>
    <xf numFmtId="170" fontId="83" fillId="2" borderId="6" xfId="0" applyNumberFormat="1" applyFont="1" applyFill="1" applyBorder="1" applyAlignment="1">
      <alignment horizontal="left" vertical="top" indent="2"/>
    </xf>
    <xf numFmtId="165" fontId="83" fillId="2" borderId="6" xfId="1" applyNumberFormat="1" applyFont="1" applyFill="1" applyBorder="1" applyAlignment="1">
      <alignment horizontal="right" vertical="top"/>
    </xf>
    <xf numFmtId="0" fontId="82" fillId="2" borderId="17" xfId="0" applyFont="1" applyFill="1" applyBorder="1" applyAlignment="1">
      <alignment vertical="top"/>
    </xf>
    <xf numFmtId="0" fontId="82" fillId="2" borderId="13" xfId="0" applyFont="1" applyFill="1" applyBorder="1" applyAlignment="1">
      <alignment vertical="top"/>
    </xf>
    <xf numFmtId="0" fontId="82" fillId="2" borderId="11" xfId="0" applyFont="1" applyFill="1" applyBorder="1" applyAlignment="1">
      <alignment vertical="top" wrapText="1"/>
    </xf>
    <xf numFmtId="166" fontId="82" fillId="2" borderId="0" xfId="15" applyNumberFormat="1" applyFont="1" applyFill="1" applyBorder="1" applyAlignment="1">
      <alignment vertical="top" wrapText="1"/>
    </xf>
    <xf numFmtId="0" fontId="82" fillId="2" borderId="15" xfId="0" applyFont="1" applyFill="1" applyBorder="1" applyAlignment="1">
      <alignment vertical="top"/>
    </xf>
    <xf numFmtId="166" fontId="82" fillId="2" borderId="15" xfId="15" applyNumberFormat="1" applyFont="1" applyFill="1" applyBorder="1" applyAlignment="1">
      <alignment vertical="top" wrapText="1"/>
    </xf>
    <xf numFmtId="166" fontId="83" fillId="2" borderId="0" xfId="15" applyNumberFormat="1" applyFont="1" applyFill="1" applyBorder="1" applyAlignment="1">
      <alignment vertical="center"/>
    </xf>
    <xf numFmtId="166" fontId="84" fillId="2" borderId="0" xfId="15" applyNumberFormat="1" applyFont="1" applyFill="1" applyBorder="1" applyAlignment="1">
      <alignment vertical="center"/>
    </xf>
    <xf numFmtId="165" fontId="84" fillId="2" borderId="0" xfId="8" applyNumberFormat="1" applyFont="1" applyFill="1" applyBorder="1" applyAlignment="1">
      <alignment vertical="center"/>
    </xf>
    <xf numFmtId="165" fontId="83" fillId="2" borderId="0" xfId="8" applyNumberFormat="1" applyFont="1" applyFill="1" applyBorder="1" applyAlignment="1">
      <alignment horizontal="left" vertical="center" indent="2"/>
    </xf>
    <xf numFmtId="166" fontId="78" fillId="2" borderId="0" xfId="15" applyNumberFormat="1" applyFont="1" applyFill="1"/>
    <xf numFmtId="165" fontId="56" fillId="0" borderId="12" xfId="1" applyNumberFormat="1" applyFont="1" applyBorder="1"/>
    <xf numFmtId="165" fontId="7" fillId="2" borderId="0" xfId="1" applyNumberFormat="1" applyFont="1" applyFill="1" applyAlignment="1">
      <alignment vertical="center"/>
    </xf>
    <xf numFmtId="165" fontId="4" fillId="2" borderId="17" xfId="1" applyNumberFormat="1" applyFont="1" applyFill="1" applyBorder="1"/>
    <xf numFmtId="165" fontId="15" fillId="0" borderId="0" xfId="1" applyNumberFormat="1" applyFont="1" applyFill="1" applyAlignment="1">
      <alignment vertical="center"/>
    </xf>
    <xf numFmtId="165" fontId="25" fillId="2" borderId="0" xfId="1" applyNumberFormat="1" applyFont="1" applyFill="1" applyAlignment="1">
      <alignment vertical="center"/>
    </xf>
    <xf numFmtId="165" fontId="10" fillId="0" borderId="0" xfId="1" applyNumberFormat="1" applyFont="1" applyAlignment="1">
      <alignment vertical="top"/>
    </xf>
    <xf numFmtId="165" fontId="20" fillId="2" borderId="15" xfId="1" applyNumberFormat="1" applyFont="1" applyFill="1" applyBorder="1"/>
    <xf numFmtId="165" fontId="15" fillId="0" borderId="0" xfId="1" applyNumberFormat="1" applyFont="1" applyAlignment="1">
      <alignment horizontal="left" vertical="top" wrapText="1" indent="2"/>
    </xf>
    <xf numFmtId="165" fontId="2" fillId="0" borderId="0" xfId="1" applyNumberFormat="1"/>
    <xf numFmtId="165" fontId="42" fillId="8" borderId="12" xfId="1" applyNumberFormat="1" applyFont="1" applyFill="1" applyBorder="1" applyAlignment="1">
      <alignment horizontal="center" vertical="center"/>
    </xf>
    <xf numFmtId="165" fontId="55" fillId="0" borderId="6" xfId="1" applyNumberFormat="1" applyFont="1" applyFill="1" applyBorder="1"/>
    <xf numFmtId="165" fontId="25" fillId="0" borderId="0" xfId="1" applyNumberFormat="1" applyFont="1"/>
    <xf numFmtId="165" fontId="15" fillId="0" borderId="0" xfId="1" applyNumberFormat="1" applyFont="1" applyAlignment="1">
      <alignment vertical="center"/>
    </xf>
    <xf numFmtId="165" fontId="15" fillId="0" borderId="0" xfId="12" applyNumberFormat="1" applyFont="1" applyAlignment="1">
      <alignment vertical="center"/>
    </xf>
    <xf numFmtId="165" fontId="0" fillId="0" borderId="0" xfId="0" quotePrefix="1" applyNumberFormat="1"/>
    <xf numFmtId="9" fontId="0" fillId="0" borderId="0" xfId="2" applyFont="1"/>
    <xf numFmtId="166" fontId="20" fillId="4" borderId="12" xfId="17" applyNumberFormat="1" applyFont="1" applyFill="1" applyBorder="1"/>
    <xf numFmtId="165" fontId="48" fillId="0" borderId="0" xfId="0" applyNumberFormat="1" applyFont="1" applyAlignment="1">
      <alignment vertical="center"/>
    </xf>
    <xf numFmtId="17" fontId="49" fillId="0" borderId="0" xfId="0" applyNumberFormat="1" applyFont="1" applyAlignment="1">
      <alignment vertical="center"/>
    </xf>
    <xf numFmtId="17" fontId="48" fillId="0" borderId="0" xfId="0" applyNumberFormat="1" applyFont="1" applyAlignment="1">
      <alignment vertical="center"/>
    </xf>
    <xf numFmtId="165" fontId="0" fillId="4" borderId="0" xfId="0" applyNumberFormat="1" applyFill="1"/>
    <xf numFmtId="165" fontId="15" fillId="0" borderId="0" xfId="1" applyNumberFormat="1" applyFont="1" applyFill="1" applyBorder="1" applyAlignment="1">
      <alignment vertical="top"/>
    </xf>
    <xf numFmtId="165" fontId="4" fillId="0" borderId="0" xfId="1" quotePrefix="1" applyNumberFormat="1" applyFont="1" applyFill="1" applyAlignment="1">
      <alignment vertical="top"/>
    </xf>
    <xf numFmtId="165" fontId="4" fillId="0" borderId="0" xfId="1" applyNumberFormat="1" applyFont="1" applyFill="1" applyBorder="1" applyAlignment="1">
      <alignment vertical="top"/>
    </xf>
    <xf numFmtId="166" fontId="78" fillId="2" borderId="0" xfId="0" applyNumberFormat="1" applyFont="1" applyFill="1"/>
    <xf numFmtId="9" fontId="7" fillId="0" borderId="0" xfId="2" applyFont="1" applyFill="1" applyAlignment="1">
      <alignment vertical="center"/>
    </xf>
    <xf numFmtId="0" fontId="28" fillId="0" borderId="0" xfId="12" quotePrefix="1" applyFont="1" applyAlignment="1">
      <alignment horizontal="right"/>
    </xf>
    <xf numFmtId="0" fontId="33" fillId="0" borderId="0" xfId="0" applyFont="1" applyAlignment="1">
      <alignment vertical="top"/>
    </xf>
    <xf numFmtId="4" fontId="0" fillId="0" borderId="0" xfId="0" applyNumberFormat="1"/>
    <xf numFmtId="2" fontId="56" fillId="0" borderId="0" xfId="0" applyNumberFormat="1" applyFont="1"/>
    <xf numFmtId="4" fontId="56" fillId="0" borderId="0" xfId="0" applyNumberFormat="1" applyFont="1"/>
    <xf numFmtId="165" fontId="11" fillId="0" borderId="0" xfId="11" applyNumberFormat="1" applyFont="1" applyFill="1" applyBorder="1" applyAlignment="1">
      <alignment vertical="center"/>
    </xf>
    <xf numFmtId="165" fontId="20" fillId="0" borderId="12" xfId="18" applyNumberFormat="1" applyFont="1" applyFill="1" applyBorder="1"/>
    <xf numFmtId="165" fontId="88" fillId="0" borderId="0" xfId="0" applyNumberFormat="1" applyFont="1"/>
    <xf numFmtId="0" fontId="48" fillId="0" borderId="12" xfId="0" applyFont="1" applyBorder="1" applyAlignment="1">
      <alignment vertical="center"/>
    </xf>
    <xf numFmtId="165" fontId="48" fillId="0" borderId="12" xfId="1" applyNumberFormat="1" applyFont="1" applyBorder="1" applyAlignment="1">
      <alignment vertical="center"/>
    </xf>
    <xf numFmtId="0" fontId="56" fillId="12" borderId="0" xfId="0" applyFont="1" applyFill="1"/>
    <xf numFmtId="166" fontId="56" fillId="0" borderId="0" xfId="18" applyNumberFormat="1" applyFont="1"/>
    <xf numFmtId="166" fontId="0" fillId="0" borderId="0" xfId="18" applyNumberFormat="1" applyFont="1"/>
    <xf numFmtId="166" fontId="0" fillId="0" borderId="12" xfId="18" applyNumberFormat="1" applyFont="1" applyBorder="1"/>
    <xf numFmtId="14" fontId="56" fillId="0" borderId="12" xfId="0" applyNumberFormat="1" applyFont="1" applyBorder="1"/>
    <xf numFmtId="166" fontId="56" fillId="0" borderId="12" xfId="18" applyNumberFormat="1" applyFont="1" applyBorder="1"/>
    <xf numFmtId="165" fontId="0" fillId="0" borderId="12" xfId="1" applyNumberFormat="1" applyFont="1" applyBorder="1"/>
    <xf numFmtId="166" fontId="56" fillId="0" borderId="0" xfId="18" applyNumberFormat="1" applyFont="1" applyAlignment="1">
      <alignment wrapText="1"/>
    </xf>
    <xf numFmtId="14" fontId="0" fillId="0" borderId="0" xfId="0" applyNumberFormat="1"/>
    <xf numFmtId="0" fontId="56" fillId="0" borderId="0" xfId="0" applyFont="1" applyAlignment="1">
      <alignment horizontal="center"/>
    </xf>
    <xf numFmtId="0" fontId="0" fillId="0" borderId="0" xfId="0" applyAlignment="1">
      <alignment horizontal="center"/>
    </xf>
    <xf numFmtId="165" fontId="56" fillId="0" borderId="0" xfId="0" applyNumberFormat="1" applyFont="1"/>
    <xf numFmtId="14" fontId="0" fillId="0" borderId="0" xfId="0" applyNumberFormat="1" applyAlignment="1">
      <alignment horizontal="center"/>
    </xf>
    <xf numFmtId="165" fontId="56" fillId="0" borderId="17" xfId="0" applyNumberFormat="1" applyFont="1" applyBorder="1"/>
    <xf numFmtId="165" fontId="56" fillId="0" borderId="17" xfId="1" applyNumberFormat="1" applyFont="1" applyBorder="1"/>
    <xf numFmtId="165" fontId="0" fillId="0" borderId="17" xfId="1" applyNumberFormat="1" applyFont="1" applyBorder="1"/>
    <xf numFmtId="0" fontId="56" fillId="0" borderId="0" xfId="0" applyFont="1" applyAlignment="1">
      <alignment horizontal="right"/>
    </xf>
    <xf numFmtId="165" fontId="56" fillId="0" borderId="3" xfId="0" applyNumberFormat="1" applyFont="1" applyBorder="1"/>
    <xf numFmtId="0" fontId="0" fillId="0" borderId="0" xfId="0" applyAlignment="1">
      <alignment horizontal="center" vertical="center"/>
    </xf>
    <xf numFmtId="14" fontId="0" fillId="0" borderId="0" xfId="0" applyNumberFormat="1" applyAlignment="1">
      <alignment horizontal="center" vertical="center"/>
    </xf>
    <xf numFmtId="165" fontId="0" fillId="0" borderId="0" xfId="1" applyNumberFormat="1" applyFont="1" applyBorder="1"/>
    <xf numFmtId="165" fontId="40" fillId="0" borderId="0" xfId="0" applyNumberFormat="1" applyFont="1"/>
    <xf numFmtId="165" fontId="56" fillId="0" borderId="0" xfId="0" applyNumberFormat="1" applyFont="1" applyAlignment="1">
      <alignment horizontal="center"/>
    </xf>
    <xf numFmtId="9" fontId="7" fillId="0" borderId="0" xfId="2" applyFont="1" applyFill="1" applyBorder="1" applyAlignment="1">
      <alignment vertical="center"/>
    </xf>
    <xf numFmtId="165" fontId="0" fillId="0" borderId="0" xfId="0" applyNumberFormat="1" applyAlignment="1">
      <alignment horizontal="left"/>
    </xf>
    <xf numFmtId="166" fontId="49" fillId="0" borderId="11" xfId="21" applyNumberFormat="1" applyFont="1" applyFill="1" applyBorder="1"/>
    <xf numFmtId="0" fontId="4" fillId="2" borderId="0" xfId="6" applyFont="1" applyFill="1" applyAlignment="1">
      <alignment vertical="top"/>
    </xf>
    <xf numFmtId="165" fontId="8" fillId="0" borderId="0" xfId="1" applyNumberFormat="1" applyFont="1" applyAlignment="1">
      <alignment vertical="center"/>
    </xf>
    <xf numFmtId="165" fontId="20" fillId="2" borderId="0" xfId="0" applyNumberFormat="1" applyFont="1" applyFill="1" applyAlignment="1">
      <alignment horizontal="left"/>
    </xf>
    <xf numFmtId="0" fontId="20" fillId="2" borderId="0" xfId="0" applyFont="1" applyFill="1" applyAlignment="1">
      <alignment horizontal="left"/>
    </xf>
    <xf numFmtId="170" fontId="4" fillId="2" borderId="0" xfId="0" applyNumberFormat="1" applyFont="1" applyFill="1" applyAlignment="1">
      <alignment horizontal="left"/>
    </xf>
    <xf numFmtId="165" fontId="13" fillId="0" borderId="15" xfId="1" applyNumberFormat="1" applyFont="1" applyBorder="1" applyAlignment="1">
      <alignment vertical="top"/>
    </xf>
    <xf numFmtId="164" fontId="89" fillId="2" borderId="0" xfId="1" applyFont="1" applyFill="1"/>
    <xf numFmtId="164" fontId="20" fillId="2" borderId="0" xfId="1" applyFont="1" applyFill="1"/>
    <xf numFmtId="165" fontId="4" fillId="0" borderId="0" xfId="1" applyNumberFormat="1" applyFont="1" applyFill="1"/>
    <xf numFmtId="165" fontId="20" fillId="0" borderId="17" xfId="1" applyNumberFormat="1" applyFont="1" applyFill="1" applyBorder="1"/>
    <xf numFmtId="165" fontId="7" fillId="0" borderId="0" xfId="1" applyNumberFormat="1" applyFont="1" applyAlignment="1">
      <alignment vertical="center"/>
    </xf>
    <xf numFmtId="165" fontId="8" fillId="0" borderId="0" xfId="12" applyNumberFormat="1" applyFont="1" applyAlignment="1">
      <alignment vertical="center"/>
    </xf>
    <xf numFmtId="165" fontId="13" fillId="0" borderId="0" xfId="1" applyNumberFormat="1" applyFont="1" applyFill="1" applyBorder="1" applyAlignment="1">
      <alignment vertical="top"/>
    </xf>
    <xf numFmtId="165" fontId="8" fillId="2" borderId="0" xfId="1" applyNumberFormat="1" applyFont="1" applyFill="1" applyAlignment="1">
      <alignment vertical="center"/>
    </xf>
    <xf numFmtId="49" fontId="18" fillId="0" borderId="0" xfId="12" applyNumberFormat="1" applyFont="1" applyAlignment="1">
      <alignment horizontal="left" indent="1"/>
    </xf>
    <xf numFmtId="0" fontId="25" fillId="0" borderId="3" xfId="0" applyFont="1" applyBorder="1" applyAlignment="1">
      <alignment horizontal="center" vertical="center" wrapText="1"/>
    </xf>
    <xf numFmtId="0" fontId="7" fillId="3" borderId="0" xfId="6" applyFont="1" applyFill="1" applyAlignment="1">
      <alignment vertical="center"/>
    </xf>
    <xf numFmtId="43" fontId="7" fillId="0" borderId="0" xfId="12" applyNumberFormat="1" applyFont="1" applyAlignment="1">
      <alignment vertical="center"/>
    </xf>
    <xf numFmtId="165" fontId="13" fillId="0" borderId="17" xfId="1" applyNumberFormat="1" applyFont="1" applyFill="1" applyBorder="1" applyAlignment="1">
      <alignment vertical="top"/>
    </xf>
    <xf numFmtId="0" fontId="13" fillId="0" borderId="10" xfId="0" applyFont="1" applyBorder="1" applyAlignment="1">
      <alignment vertical="top"/>
    </xf>
    <xf numFmtId="167" fontId="13" fillId="0" borderId="10" xfId="0" applyNumberFormat="1" applyFont="1" applyBorder="1" applyAlignment="1">
      <alignment vertical="top"/>
    </xf>
    <xf numFmtId="0" fontId="4" fillId="0" borderId="0" xfId="5" applyFont="1" applyAlignment="1">
      <alignment horizontal="center" vertical="center"/>
    </xf>
    <xf numFmtId="0" fontId="4" fillId="0" borderId="0" xfId="5" applyFont="1" applyAlignment="1">
      <alignment horizontal="left" vertical="center"/>
    </xf>
    <xf numFmtId="0" fontId="4" fillId="0" borderId="0" xfId="5" applyFont="1" applyAlignment="1">
      <alignment horizontal="left" vertical="center" indent="2"/>
    </xf>
    <xf numFmtId="164" fontId="7" fillId="0" borderId="0" xfId="1" applyFont="1" applyAlignment="1">
      <alignment vertical="center"/>
    </xf>
    <xf numFmtId="167" fontId="0" fillId="0" borderId="0" xfId="0" applyNumberFormat="1"/>
    <xf numFmtId="165" fontId="13" fillId="2" borderId="0" xfId="1" applyNumberFormat="1" applyFont="1" applyFill="1" applyBorder="1" applyAlignment="1">
      <alignment vertical="center"/>
    </xf>
    <xf numFmtId="165" fontId="13" fillId="2" borderId="0" xfId="1" applyNumberFormat="1" applyFont="1" applyFill="1" applyBorder="1" applyAlignment="1">
      <alignment horizontal="center" vertical="center"/>
    </xf>
    <xf numFmtId="165" fontId="7" fillId="0" borderId="17" xfId="1" applyNumberFormat="1" applyFont="1" applyBorder="1" applyAlignment="1">
      <alignment vertical="center"/>
    </xf>
    <xf numFmtId="165" fontId="10" fillId="2" borderId="0" xfId="1" applyNumberFormat="1" applyFont="1" applyFill="1" applyBorder="1" applyAlignment="1">
      <alignment vertical="center"/>
    </xf>
    <xf numFmtId="165" fontId="13" fillId="2" borderId="17" xfId="1" applyNumberFormat="1" applyFont="1" applyFill="1" applyBorder="1" applyAlignment="1">
      <alignment vertical="center"/>
    </xf>
    <xf numFmtId="165" fontId="13" fillId="2" borderId="17" xfId="1" applyNumberFormat="1" applyFont="1" applyFill="1" applyBorder="1" applyAlignment="1">
      <alignment horizontal="center" vertical="center"/>
    </xf>
    <xf numFmtId="165" fontId="49" fillId="0" borderId="0" xfId="1" applyNumberFormat="1" applyFont="1" applyFill="1" applyBorder="1"/>
    <xf numFmtId="0" fontId="0" fillId="0" borderId="7" xfId="0" applyBorder="1"/>
    <xf numFmtId="43" fontId="7" fillId="0" borderId="0" xfId="12" quotePrefix="1" applyNumberFormat="1" applyFont="1" applyAlignment="1">
      <alignment vertical="center"/>
    </xf>
    <xf numFmtId="165" fontId="7" fillId="0" borderId="0" xfId="1" applyNumberFormat="1" applyFont="1" applyBorder="1" applyAlignment="1">
      <alignment vertical="center"/>
    </xf>
    <xf numFmtId="165" fontId="8" fillId="0" borderId="0" xfId="1" applyNumberFormat="1" applyFont="1" applyBorder="1" applyAlignment="1">
      <alignment vertical="center"/>
    </xf>
    <xf numFmtId="49" fontId="17" fillId="0" borderId="3" xfId="6" applyNumberFormat="1" applyFont="1" applyBorder="1" applyAlignment="1">
      <alignment horizontal="right" vertical="center" wrapText="1"/>
    </xf>
    <xf numFmtId="168" fontId="25" fillId="2" borderId="3" xfId="6" quotePrefix="1" applyNumberFormat="1" applyFont="1" applyFill="1" applyBorder="1" applyAlignment="1">
      <alignment horizontal="right" wrapText="1"/>
    </xf>
    <xf numFmtId="165" fontId="81" fillId="2" borderId="11" xfId="1" applyNumberFormat="1" applyFont="1" applyFill="1" applyBorder="1" applyAlignment="1">
      <alignment vertical="top"/>
    </xf>
    <xf numFmtId="165" fontId="81" fillId="2" borderId="13" xfId="1" applyNumberFormat="1" applyFont="1" applyFill="1" applyBorder="1" applyAlignment="1">
      <alignment vertical="top"/>
    </xf>
    <xf numFmtId="165" fontId="80" fillId="2" borderId="55" xfId="1" applyNumberFormat="1" applyFont="1" applyFill="1" applyBorder="1" applyAlignment="1">
      <alignment vertical="top"/>
    </xf>
    <xf numFmtId="10" fontId="4" fillId="0" borderId="0" xfId="2" applyNumberFormat="1" applyFont="1" applyFill="1" applyBorder="1" applyAlignment="1">
      <alignment horizontal="right" vertical="top" wrapText="1"/>
    </xf>
    <xf numFmtId="165" fontId="14" fillId="2" borderId="19" xfId="1" applyNumberFormat="1" applyFont="1" applyFill="1" applyBorder="1" applyAlignment="1">
      <alignment horizontal="center" vertical="center"/>
    </xf>
    <xf numFmtId="10" fontId="14" fillId="2" borderId="19" xfId="2" applyNumberFormat="1" applyFont="1" applyFill="1" applyBorder="1" applyAlignment="1">
      <alignment horizontal="right" vertical="center"/>
    </xf>
    <xf numFmtId="170" fontId="3" fillId="2" borderId="0" xfId="0" applyNumberFormat="1" applyFont="1" applyFill="1" applyAlignment="1">
      <alignment horizontal="left" vertical="center"/>
    </xf>
    <xf numFmtId="165" fontId="4" fillId="2" borderId="0" xfId="1" applyNumberFormat="1" applyFont="1" applyFill="1" applyBorder="1" applyAlignment="1">
      <alignment horizontal="center" vertical="center" wrapText="1"/>
    </xf>
    <xf numFmtId="165" fontId="3" fillId="2" borderId="0" xfId="1" applyNumberFormat="1" applyFont="1" applyFill="1" applyBorder="1" applyAlignment="1">
      <alignment horizontal="center" vertical="center" wrapText="1"/>
    </xf>
    <xf numFmtId="165" fontId="63" fillId="0" borderId="0" xfId="1" applyNumberFormat="1" applyFont="1"/>
    <xf numFmtId="0" fontId="7" fillId="0" borderId="15" xfId="5" applyFont="1" applyBorder="1" applyAlignment="1">
      <alignment vertical="center"/>
    </xf>
    <xf numFmtId="165" fontId="20" fillId="0" borderId="0" xfId="1" applyNumberFormat="1" applyFont="1" applyFill="1" applyAlignment="1">
      <alignment horizontal="center"/>
    </xf>
    <xf numFmtId="165" fontId="19" fillId="2" borderId="18" xfId="7" applyNumberFormat="1" applyFont="1" applyFill="1" applyBorder="1" applyAlignment="1">
      <alignment vertical="center"/>
    </xf>
    <xf numFmtId="165" fontId="43" fillId="0" borderId="0" xfId="1" applyNumberFormat="1" applyFont="1" applyFill="1"/>
    <xf numFmtId="165" fontId="42" fillId="0" borderId="19" xfId="1" applyNumberFormat="1" applyFont="1" applyFill="1" applyBorder="1"/>
    <xf numFmtId="49" fontId="43" fillId="0" borderId="0" xfId="0" applyNumberFormat="1" applyFont="1" applyAlignment="1">
      <alignment vertical="top"/>
    </xf>
    <xf numFmtId="165" fontId="43" fillId="0" borderId="0" xfId="1" applyNumberFormat="1" applyFont="1" applyFill="1" applyBorder="1"/>
    <xf numFmtId="165" fontId="42" fillId="0" borderId="0" xfId="1" applyNumberFormat="1" applyFont="1" applyFill="1"/>
    <xf numFmtId="165" fontId="42" fillId="0" borderId="0" xfId="1" applyNumberFormat="1" applyFont="1" applyFill="1" applyAlignment="1">
      <alignment horizontal="right"/>
    </xf>
    <xf numFmtId="0" fontId="90" fillId="0" borderId="0" xfId="0" applyFont="1"/>
    <xf numFmtId="165" fontId="90" fillId="0" borderId="0" xfId="1" applyNumberFormat="1" applyFont="1" applyFill="1"/>
    <xf numFmtId="165" fontId="43" fillId="0" borderId="0" xfId="0" applyNumberFormat="1" applyFont="1"/>
    <xf numFmtId="9" fontId="43" fillId="0" borderId="0" xfId="2" applyFont="1" applyFill="1"/>
    <xf numFmtId="2" fontId="43" fillId="0" borderId="0" xfId="0" applyNumberFormat="1" applyFont="1"/>
    <xf numFmtId="165" fontId="42" fillId="0" borderId="17" xfId="1" applyNumberFormat="1" applyFont="1" applyFill="1" applyBorder="1"/>
    <xf numFmtId="165" fontId="43" fillId="0" borderId="17" xfId="1" applyNumberFormat="1" applyFont="1" applyFill="1" applyBorder="1"/>
    <xf numFmtId="165" fontId="43" fillId="0" borderId="0" xfId="1" applyNumberFormat="1" applyFont="1" applyFill="1" applyAlignment="1"/>
    <xf numFmtId="165" fontId="70" fillId="0" borderId="0" xfId="1" applyNumberFormat="1" applyFont="1" applyFill="1" applyAlignment="1">
      <alignment vertical="center"/>
    </xf>
    <xf numFmtId="0" fontId="70" fillId="0" borderId="0" xfId="12" applyFont="1" applyAlignment="1">
      <alignment vertical="center"/>
    </xf>
    <xf numFmtId="165" fontId="68" fillId="0" borderId="0" xfId="1" applyNumberFormat="1" applyFont="1" applyFill="1"/>
    <xf numFmtId="165" fontId="91" fillId="0" borderId="0" xfId="1" applyNumberFormat="1" applyFont="1" applyFill="1"/>
    <xf numFmtId="49" fontId="92" fillId="0" borderId="0" xfId="0" applyNumberFormat="1" applyFont="1" applyAlignment="1">
      <alignment horizontal="left" vertical="top" indent="3"/>
    </xf>
    <xf numFmtId="0" fontId="42" fillId="0" borderId="0" xfId="0" applyFont="1" applyAlignment="1">
      <alignment horizontal="right"/>
    </xf>
    <xf numFmtId="165" fontId="43" fillId="0" borderId="0" xfId="2" applyNumberFormat="1" applyFont="1" applyFill="1"/>
    <xf numFmtId="165" fontId="7" fillId="0" borderId="0" xfId="1" applyNumberFormat="1" applyFont="1" applyAlignment="1">
      <alignment horizontal="center" vertical="center" wrapText="1"/>
    </xf>
    <xf numFmtId="165" fontId="13" fillId="2" borderId="0" xfId="1" applyNumberFormat="1" applyFont="1" applyFill="1" applyAlignment="1">
      <alignment vertical="center"/>
    </xf>
    <xf numFmtId="165" fontId="10" fillId="2" borderId="0" xfId="1" applyNumberFormat="1" applyFont="1" applyFill="1" applyAlignment="1">
      <alignment vertical="center"/>
    </xf>
    <xf numFmtId="165" fontId="19" fillId="2" borderId="0" xfId="1" applyNumberFormat="1" applyFont="1" applyFill="1" applyAlignment="1">
      <alignment vertical="center"/>
    </xf>
    <xf numFmtId="165" fontId="13" fillId="2" borderId="0" xfId="1" applyNumberFormat="1" applyFont="1" applyFill="1" applyAlignment="1">
      <alignment horizontal="centerContinuous" vertical="center"/>
    </xf>
    <xf numFmtId="165" fontId="11" fillId="2" borderId="0" xfId="1" applyNumberFormat="1" applyFont="1" applyFill="1" applyBorder="1" applyAlignment="1">
      <alignment vertical="center"/>
    </xf>
    <xf numFmtId="165" fontId="87" fillId="0" borderId="0" xfId="1" applyNumberFormat="1" applyFont="1" applyAlignment="1">
      <alignment vertical="center"/>
    </xf>
    <xf numFmtId="0" fontId="93" fillId="0" borderId="0" xfId="12" applyFont="1" applyAlignment="1">
      <alignment vertical="center"/>
    </xf>
    <xf numFmtId="165" fontId="43" fillId="0" borderId="0" xfId="1" applyNumberFormat="1" applyFont="1" applyAlignment="1">
      <alignment horizontal="right" vertical="top"/>
    </xf>
    <xf numFmtId="165" fontId="42" fillId="0" borderId="19" xfId="1" applyNumberFormat="1" applyFont="1" applyBorder="1" applyAlignment="1">
      <alignment horizontal="right" vertical="top"/>
    </xf>
    <xf numFmtId="0" fontId="25" fillId="2" borderId="0" xfId="6" applyFont="1" applyFill="1" applyAlignment="1">
      <alignment horizontal="left" wrapText="1" indent="1"/>
    </xf>
    <xf numFmtId="165" fontId="0" fillId="0" borderId="0" xfId="1" applyNumberFormat="1" applyFont="1" applyFill="1"/>
    <xf numFmtId="176" fontId="34" fillId="0" borderId="0" xfId="0" applyNumberFormat="1" applyFont="1" applyAlignment="1">
      <alignment horizontal="right" vertical="top"/>
    </xf>
    <xf numFmtId="49" fontId="33" fillId="0" borderId="0" xfId="0" applyNumberFormat="1" applyFont="1" applyAlignment="1">
      <alignment vertical="top" wrapText="1"/>
    </xf>
    <xf numFmtId="49" fontId="38" fillId="0" borderId="0" xfId="0" applyNumberFormat="1" applyFont="1" applyAlignment="1">
      <alignment vertical="top"/>
    </xf>
    <xf numFmtId="165" fontId="8" fillId="2" borderId="20" xfId="5" applyNumberFormat="1" applyFont="1" applyFill="1" applyBorder="1" applyAlignment="1">
      <alignment vertical="center"/>
    </xf>
    <xf numFmtId="0" fontId="7" fillId="2" borderId="12" xfId="5" applyFont="1" applyFill="1" applyBorder="1" applyAlignment="1">
      <alignment vertical="center"/>
    </xf>
    <xf numFmtId="0" fontId="8" fillId="2" borderId="12" xfId="5" applyFont="1" applyFill="1" applyBorder="1" applyAlignment="1">
      <alignment vertical="center"/>
    </xf>
    <xf numFmtId="49" fontId="18" fillId="2" borderId="12" xfId="6" applyNumberFormat="1" applyFont="1" applyFill="1" applyBorder="1" applyAlignment="1">
      <alignment horizontal="left" indent="1"/>
    </xf>
    <xf numFmtId="165" fontId="7" fillId="2" borderId="12" xfId="1" applyNumberFormat="1" applyFont="1" applyFill="1" applyBorder="1" applyAlignment="1">
      <alignment vertical="center"/>
    </xf>
    <xf numFmtId="0" fontId="3" fillId="2" borderId="0" xfId="5" applyFont="1" applyFill="1" applyAlignment="1">
      <alignment vertical="center" wrapText="1"/>
    </xf>
    <xf numFmtId="165" fontId="3" fillId="2" borderId="0" xfId="1" applyNumberFormat="1" applyFont="1" applyFill="1" applyBorder="1" applyAlignment="1">
      <alignment vertical="center" wrapText="1"/>
    </xf>
    <xf numFmtId="0" fontId="3" fillId="2" borderId="7" xfId="5" applyFont="1" applyFill="1" applyBorder="1" applyAlignment="1">
      <alignment vertical="center" wrapText="1"/>
    </xf>
    <xf numFmtId="165" fontId="3" fillId="2" borderId="6" xfId="1" applyNumberFormat="1" applyFont="1" applyFill="1" applyBorder="1" applyAlignment="1">
      <alignment vertical="center" wrapText="1"/>
    </xf>
    <xf numFmtId="165" fontId="3" fillId="2" borderId="9" xfId="1" applyNumberFormat="1" applyFont="1" applyFill="1" applyBorder="1" applyAlignment="1">
      <alignment vertical="center" wrapText="1"/>
    </xf>
    <xf numFmtId="165" fontId="3" fillId="2" borderId="10" xfId="1" applyNumberFormat="1" applyFont="1" applyFill="1" applyBorder="1" applyAlignment="1">
      <alignment horizontal="right" vertical="center" wrapText="1"/>
    </xf>
    <xf numFmtId="0" fontId="3" fillId="2" borderId="12" xfId="5" applyFont="1" applyFill="1" applyBorder="1" applyAlignment="1">
      <alignment vertical="center"/>
    </xf>
    <xf numFmtId="0" fontId="3" fillId="2" borderId="12" xfId="5" applyFont="1" applyFill="1" applyBorder="1" applyAlignment="1">
      <alignment vertical="center" wrapText="1"/>
    </xf>
    <xf numFmtId="165" fontId="3" fillId="2" borderId="12" xfId="1" applyNumberFormat="1" applyFont="1" applyFill="1" applyBorder="1" applyAlignment="1">
      <alignment horizontal="right" vertical="center" wrapText="1"/>
    </xf>
    <xf numFmtId="165" fontId="3" fillId="2" borderId="0" xfId="1" applyNumberFormat="1" applyFont="1" applyFill="1" applyBorder="1" applyAlignment="1">
      <alignment horizontal="right" vertical="center" wrapText="1"/>
    </xf>
    <xf numFmtId="0" fontId="3" fillId="2" borderId="24" xfId="5" applyFont="1" applyFill="1" applyBorder="1" applyAlignment="1">
      <alignment vertical="center" wrapText="1"/>
    </xf>
    <xf numFmtId="0" fontId="3" fillId="2" borderId="28" xfId="5" applyFont="1" applyFill="1" applyBorder="1" applyAlignment="1">
      <alignment vertical="center" wrapText="1"/>
    </xf>
    <xf numFmtId="165" fontId="3" fillId="2" borderId="29" xfId="1" applyNumberFormat="1" applyFont="1" applyFill="1" applyBorder="1" applyAlignment="1">
      <alignment vertical="center" wrapText="1"/>
    </xf>
    <xf numFmtId="166" fontId="63" fillId="0" borderId="0" xfId="18" applyNumberFormat="1" applyFont="1"/>
    <xf numFmtId="43" fontId="63" fillId="0" borderId="0" xfId="18" applyFont="1"/>
    <xf numFmtId="166" fontId="63" fillId="0" borderId="46" xfId="18" applyNumberFormat="1" applyFont="1" applyBorder="1"/>
    <xf numFmtId="166" fontId="63" fillId="0" borderId="45" xfId="18" applyNumberFormat="1" applyFont="1" applyBorder="1"/>
    <xf numFmtId="166" fontId="63" fillId="0" borderId="51" xfId="18" applyNumberFormat="1" applyFont="1" applyBorder="1"/>
    <xf numFmtId="166" fontId="63" fillId="0" borderId="17" xfId="18" applyNumberFormat="1" applyFont="1" applyBorder="1"/>
    <xf numFmtId="166" fontId="65" fillId="0" borderId="66" xfId="18" applyNumberFormat="1" applyFont="1" applyBorder="1" applyAlignment="1">
      <alignment horizontal="center" vertical="center" wrapText="1"/>
    </xf>
    <xf numFmtId="166" fontId="65" fillId="0" borderId="15" xfId="18" applyNumberFormat="1" applyFont="1" applyBorder="1" applyAlignment="1">
      <alignment horizontal="center" vertical="center" wrapText="1"/>
    </xf>
    <xf numFmtId="166" fontId="65" fillId="14" borderId="7" xfId="18" applyNumberFormat="1" applyFont="1" applyFill="1" applyBorder="1" applyAlignment="1">
      <alignment horizontal="center" vertical="center" wrapText="1"/>
    </xf>
    <xf numFmtId="166" fontId="65" fillId="14" borderId="14" xfId="18" applyNumberFormat="1" applyFont="1" applyFill="1" applyBorder="1" applyAlignment="1">
      <alignment horizontal="center" vertical="center" wrapText="1"/>
    </xf>
    <xf numFmtId="166" fontId="65" fillId="14" borderId="67" xfId="18" applyNumberFormat="1" applyFont="1" applyFill="1" applyBorder="1" applyAlignment="1">
      <alignment horizontal="center" vertical="center" wrapText="1"/>
    </xf>
    <xf numFmtId="166" fontId="65" fillId="14" borderId="6" xfId="18" applyNumberFormat="1" applyFont="1" applyFill="1" applyBorder="1" applyAlignment="1">
      <alignment horizontal="center" vertical="center" wrapText="1"/>
    </xf>
    <xf numFmtId="0" fontId="65" fillId="8" borderId="6" xfId="26" applyFont="1" applyFill="1" applyBorder="1" applyAlignment="1">
      <alignment horizontal="center" vertical="center" wrapText="1"/>
    </xf>
    <xf numFmtId="0" fontId="65" fillId="8" borderId="7" xfId="26" applyFont="1" applyFill="1" applyBorder="1" applyAlignment="1">
      <alignment horizontal="center" vertical="center" wrapText="1"/>
    </xf>
    <xf numFmtId="0" fontId="65" fillId="8" borderId="14" xfId="26" applyFont="1" applyFill="1" applyBorder="1" applyAlignment="1">
      <alignment horizontal="center" vertical="center" wrapText="1"/>
    </xf>
    <xf numFmtId="165" fontId="65" fillId="8" borderId="14" xfId="28" applyNumberFormat="1" applyFont="1" applyFill="1" applyBorder="1" applyAlignment="1">
      <alignment horizontal="center" vertical="center" wrapText="1"/>
    </xf>
    <xf numFmtId="165" fontId="65" fillId="8" borderId="7" xfId="28" applyNumberFormat="1" applyFont="1" applyFill="1" applyBorder="1" applyAlignment="1">
      <alignment horizontal="center" vertical="center" wrapText="1"/>
    </xf>
    <xf numFmtId="165" fontId="65" fillId="8" borderId="67" xfId="28" applyNumberFormat="1" applyFont="1" applyFill="1" applyBorder="1" applyAlignment="1">
      <alignment horizontal="center" vertical="center" wrapText="1"/>
    </xf>
    <xf numFmtId="166" fontId="65" fillId="0" borderId="0" xfId="18" applyNumberFormat="1" applyFont="1" applyAlignment="1">
      <alignment horizontal="center" vertical="center" wrapText="1"/>
    </xf>
    <xf numFmtId="43" fontId="65" fillId="0" borderId="0" xfId="18" applyFont="1" applyAlignment="1">
      <alignment horizontal="center" vertical="center" wrapText="1"/>
    </xf>
    <xf numFmtId="0" fontId="60" fillId="0" borderId="48" xfId="29" applyFont="1" applyBorder="1"/>
    <xf numFmtId="49" fontId="43" fillId="0" borderId="49" xfId="30" applyNumberFormat="1" applyFont="1" applyBorder="1" applyAlignment="1">
      <alignment horizontal="left" vertical="top"/>
    </xf>
    <xf numFmtId="10" fontId="63" fillId="0" borderId="49" xfId="31" applyNumberFormat="1" applyFont="1" applyFill="1" applyBorder="1" applyAlignment="1">
      <alignment horizontal="center"/>
    </xf>
    <xf numFmtId="0" fontId="43" fillId="0" borderId="49" xfId="31" applyNumberFormat="1" applyFont="1" applyFill="1" applyBorder="1" applyAlignment="1">
      <alignment horizontal="center"/>
    </xf>
    <xf numFmtId="14" fontId="2" fillId="0" borderId="49" xfId="30" applyNumberFormat="1" applyBorder="1"/>
    <xf numFmtId="171" fontId="63" fillId="0" borderId="49" xfId="26" applyNumberFormat="1" applyFont="1" applyBorder="1"/>
    <xf numFmtId="166" fontId="55" fillId="0" borderId="49" xfId="18" applyNumberFormat="1" applyFont="1" applyFill="1" applyBorder="1" applyAlignment="1">
      <alignment horizontal="center"/>
    </xf>
    <xf numFmtId="166" fontId="63" fillId="0" borderId="49" xfId="18" applyNumberFormat="1" applyFont="1" applyFill="1" applyBorder="1"/>
    <xf numFmtId="166" fontId="63" fillId="0" borderId="49" xfId="18" applyNumberFormat="1" applyFont="1" applyBorder="1"/>
    <xf numFmtId="166" fontId="63" fillId="0" borderId="50" xfId="18" applyNumberFormat="1" applyFont="1" applyFill="1" applyBorder="1"/>
    <xf numFmtId="0" fontId="60" fillId="0" borderId="35" xfId="29" applyFont="1" applyBorder="1"/>
    <xf numFmtId="166" fontId="49" fillId="0" borderId="12" xfId="18" applyNumberFormat="1" applyFont="1" applyFill="1" applyBorder="1" applyAlignment="1">
      <alignment horizontal="center"/>
    </xf>
    <xf numFmtId="166" fontId="63" fillId="0" borderId="36" xfId="18" applyNumberFormat="1" applyFont="1" applyFill="1" applyBorder="1"/>
    <xf numFmtId="0" fontId="67" fillId="0" borderId="35" xfId="29" applyFont="1" applyBorder="1"/>
    <xf numFmtId="49" fontId="43" fillId="0" borderId="12" xfId="33" applyNumberFormat="1" applyFont="1" applyBorder="1" applyAlignment="1">
      <alignment horizontal="left" vertical="top"/>
    </xf>
    <xf numFmtId="14" fontId="63" fillId="0" borderId="12" xfId="33" applyNumberFormat="1" applyFont="1" applyBorder="1"/>
    <xf numFmtId="166" fontId="43" fillId="0" borderId="12" xfId="18" applyNumberFormat="1" applyFont="1" applyFill="1" applyBorder="1" applyAlignment="1">
      <alignment horizontal="center"/>
    </xf>
    <xf numFmtId="166" fontId="63" fillId="0" borderId="36" xfId="18" applyNumberFormat="1" applyFont="1" applyBorder="1"/>
    <xf numFmtId="0" fontId="67" fillId="0" borderId="41" xfId="29" applyFont="1" applyBorder="1"/>
    <xf numFmtId="49" fontId="43" fillId="0" borderId="23" xfId="34" applyNumberFormat="1" applyFont="1" applyBorder="1" applyAlignment="1">
      <alignment horizontal="left" vertical="top"/>
    </xf>
    <xf numFmtId="10" fontId="63" fillId="0" borderId="23" xfId="31" applyNumberFormat="1" applyFont="1" applyFill="1" applyBorder="1" applyAlignment="1">
      <alignment horizontal="center"/>
    </xf>
    <xf numFmtId="0" fontId="43" fillId="0" borderId="23" xfId="31" applyNumberFormat="1" applyFont="1" applyFill="1" applyBorder="1" applyAlignment="1">
      <alignment horizontal="center"/>
    </xf>
    <xf numFmtId="14" fontId="43" fillId="0" borderId="23" xfId="0" applyNumberFormat="1" applyFont="1" applyBorder="1" applyAlignment="1">
      <alignment horizontal="center" vertical="center"/>
    </xf>
    <xf numFmtId="171" fontId="63" fillId="0" borderId="23" xfId="26" applyNumberFormat="1" applyFont="1" applyBorder="1"/>
    <xf numFmtId="166" fontId="43" fillId="0" borderId="23" xfId="18" applyNumberFormat="1" applyFont="1" applyBorder="1" applyAlignment="1">
      <alignment horizontal="right" vertical="center"/>
    </xf>
    <xf numFmtId="166" fontId="63" fillId="0" borderId="23" xfId="18" applyNumberFormat="1" applyFont="1" applyFill="1" applyBorder="1"/>
    <xf numFmtId="166" fontId="63" fillId="0" borderId="23" xfId="18" applyNumberFormat="1" applyFont="1" applyBorder="1"/>
    <xf numFmtId="166" fontId="63" fillId="0" borderId="42" xfId="18" applyNumberFormat="1" applyFont="1" applyBorder="1"/>
    <xf numFmtId="0" fontId="65" fillId="0" borderId="52" xfId="26" applyFont="1" applyBorder="1"/>
    <xf numFmtId="10" fontId="63" fillId="0" borderId="53" xfId="26" applyNumberFormat="1" applyFont="1" applyBorder="1" applyAlignment="1">
      <alignment horizontal="center"/>
    </xf>
    <xf numFmtId="0" fontId="63" fillId="0" borderId="53" xfId="26" applyFont="1" applyBorder="1" applyAlignment="1">
      <alignment horizontal="center"/>
    </xf>
    <xf numFmtId="166" fontId="65" fillId="0" borderId="53" xfId="18" applyNumberFormat="1" applyFont="1" applyBorder="1"/>
    <xf numFmtId="166" fontId="65" fillId="0" borderId="71" xfId="18" applyNumberFormat="1" applyFont="1" applyBorder="1"/>
    <xf numFmtId="166" fontId="65" fillId="0" borderId="0" xfId="18" applyNumberFormat="1" applyFont="1"/>
    <xf numFmtId="166" fontId="63" fillId="0" borderId="0" xfId="18" applyNumberFormat="1" applyFont="1" applyBorder="1"/>
    <xf numFmtId="166" fontId="43" fillId="0" borderId="12" xfId="18" applyNumberFormat="1" applyFont="1" applyBorder="1" applyAlignment="1">
      <alignment horizontal="left" vertical="center"/>
    </xf>
    <xf numFmtId="49" fontId="44" fillId="0" borderId="12" xfId="30" applyNumberFormat="1" applyFont="1" applyBorder="1" applyAlignment="1">
      <alignment horizontal="left" vertical="center"/>
    </xf>
    <xf numFmtId="0" fontId="65" fillId="0" borderId="6" xfId="26" applyFont="1" applyBorder="1"/>
    <xf numFmtId="0" fontId="43" fillId="0" borderId="14" xfId="0" applyFont="1" applyBorder="1" applyAlignment="1">
      <alignment horizontal="left" vertical="center"/>
    </xf>
    <xf numFmtId="10" fontId="63" fillId="0" borderId="14" xfId="31" applyNumberFormat="1" applyFont="1" applyFill="1" applyBorder="1" applyAlignment="1">
      <alignment horizontal="center"/>
    </xf>
    <xf numFmtId="15" fontId="63" fillId="0" borderId="14" xfId="0" applyNumberFormat="1" applyFont="1" applyBorder="1" applyAlignment="1">
      <alignment horizontal="left" vertical="center"/>
    </xf>
    <xf numFmtId="171" fontId="63" fillId="0" borderId="14" xfId="26" applyNumberFormat="1" applyFont="1" applyBorder="1"/>
    <xf numFmtId="166" fontId="63" fillId="0" borderId="14" xfId="18" applyNumberFormat="1" applyFont="1" applyBorder="1" applyAlignment="1">
      <alignment horizontal="right" vertical="center"/>
    </xf>
    <xf numFmtId="166" fontId="63" fillId="0" borderId="14" xfId="18" applyNumberFormat="1" applyFont="1" applyFill="1" applyBorder="1"/>
    <xf numFmtId="166" fontId="63" fillId="0" borderId="14" xfId="18" applyNumberFormat="1" applyFont="1" applyBorder="1"/>
    <xf numFmtId="15" fontId="63" fillId="0" borderId="12" xfId="0" applyNumberFormat="1" applyFont="1" applyBorder="1" applyAlignment="1">
      <alignment horizontal="left" vertical="center"/>
    </xf>
    <xf numFmtId="166" fontId="65" fillId="0" borderId="29" xfId="18" applyNumberFormat="1" applyFont="1" applyBorder="1"/>
    <xf numFmtId="166" fontId="65" fillId="0" borderId="0" xfId="18" applyNumberFormat="1" applyFont="1" applyBorder="1"/>
    <xf numFmtId="166" fontId="63" fillId="12" borderId="12" xfId="18" applyNumberFormat="1" applyFont="1" applyFill="1" applyBorder="1"/>
    <xf numFmtId="0" fontId="65" fillId="2" borderId="6" xfId="26" applyFont="1" applyFill="1" applyBorder="1"/>
    <xf numFmtId="49" fontId="43" fillId="0" borderId="14" xfId="0" applyNumberFormat="1" applyFont="1" applyBorder="1" applyAlignment="1">
      <alignment vertical="top"/>
    </xf>
    <xf numFmtId="14" fontId="43" fillId="0" borderId="14" xfId="0" applyNumberFormat="1" applyFont="1" applyBorder="1" applyAlignment="1">
      <alignment horizontal="center" vertical="center"/>
    </xf>
    <xf numFmtId="166" fontId="43" fillId="0" borderId="14" xfId="18" applyNumberFormat="1" applyFont="1" applyBorder="1" applyAlignment="1">
      <alignment horizontal="right" vertical="center"/>
    </xf>
    <xf numFmtId="166" fontId="65" fillId="0" borderId="0" xfId="18" applyNumberFormat="1" applyFont="1" applyFill="1" applyBorder="1"/>
    <xf numFmtId="166" fontId="49" fillId="0" borderId="11" xfId="18" applyNumberFormat="1" applyFont="1" applyFill="1" applyBorder="1" applyAlignment="1">
      <alignment horizontal="center"/>
    </xf>
    <xf numFmtId="166" fontId="63" fillId="0" borderId="11" xfId="18" applyNumberFormat="1" applyFont="1" applyFill="1" applyBorder="1"/>
    <xf numFmtId="166" fontId="63" fillId="0" borderId="59" xfId="18" applyNumberFormat="1" applyFont="1" applyBorder="1"/>
    <xf numFmtId="166" fontId="63" fillId="0" borderId="33" xfId="18" applyNumberFormat="1" applyFont="1" applyBorder="1"/>
    <xf numFmtId="166" fontId="63" fillId="0" borderId="11" xfId="18" applyNumberFormat="1" applyFont="1" applyBorder="1"/>
    <xf numFmtId="166" fontId="63" fillId="0" borderId="34" xfId="18" applyNumberFormat="1" applyFont="1" applyBorder="1"/>
    <xf numFmtId="166" fontId="63" fillId="0" borderId="34" xfId="18" applyNumberFormat="1" applyFont="1" applyFill="1" applyBorder="1"/>
    <xf numFmtId="166" fontId="63" fillId="0" borderId="13" xfId="18" applyNumberFormat="1" applyFont="1" applyBorder="1"/>
    <xf numFmtId="166" fontId="63" fillId="0" borderId="35" xfId="18" applyNumberFormat="1" applyFont="1" applyBorder="1"/>
    <xf numFmtId="166" fontId="63" fillId="0" borderId="3" xfId="18" applyNumberFormat="1" applyFont="1" applyBorder="1"/>
    <xf numFmtId="166" fontId="63" fillId="0" borderId="4" xfId="18" applyNumberFormat="1" applyFont="1" applyBorder="1"/>
    <xf numFmtId="166" fontId="63" fillId="0" borderId="38" xfId="18" applyNumberFormat="1" applyFont="1" applyBorder="1"/>
    <xf numFmtId="166" fontId="63" fillId="0" borderId="66" xfId="18" applyNumberFormat="1" applyFont="1" applyBorder="1"/>
    <xf numFmtId="166" fontId="63" fillId="0" borderId="15" xfId="18" applyNumberFormat="1" applyFont="1" applyBorder="1"/>
    <xf numFmtId="166" fontId="63" fillId="0" borderId="66" xfId="18" applyNumberFormat="1" applyFont="1" applyFill="1" applyBorder="1"/>
    <xf numFmtId="166" fontId="49" fillId="0" borderId="0" xfId="18" applyNumberFormat="1" applyFont="1" applyFill="1" applyBorder="1" applyAlignment="1">
      <alignment horizontal="center"/>
    </xf>
    <xf numFmtId="166" fontId="63" fillId="0" borderId="61" xfId="18" applyNumberFormat="1" applyFont="1" applyBorder="1"/>
    <xf numFmtId="166" fontId="63" fillId="0" borderId="62" xfId="18" applyNumberFormat="1" applyFont="1" applyBorder="1"/>
    <xf numFmtId="166" fontId="63" fillId="0" borderId="63" xfId="18" applyNumberFormat="1" applyFont="1" applyBorder="1"/>
    <xf numFmtId="166" fontId="43" fillId="0" borderId="12" xfId="18" applyNumberFormat="1" applyFont="1" applyFill="1" applyBorder="1" applyAlignment="1">
      <alignment horizontal="left" vertical="center"/>
    </xf>
    <xf numFmtId="166" fontId="43" fillId="0" borderId="9" xfId="18" applyNumberFormat="1" applyFont="1" applyBorder="1" applyAlignment="1">
      <alignment horizontal="left" vertical="center"/>
    </xf>
    <xf numFmtId="166" fontId="63" fillId="0" borderId="4" xfId="18" applyNumberFormat="1" applyFont="1" applyFill="1" applyBorder="1"/>
    <xf numFmtId="43" fontId="63" fillId="0" borderId="0" xfId="18" applyFont="1" applyBorder="1"/>
    <xf numFmtId="166" fontId="63" fillId="0" borderId="9" xfId="18" applyNumberFormat="1" applyFont="1" applyBorder="1" applyAlignment="1">
      <alignment horizontal="right" vertical="center"/>
    </xf>
    <xf numFmtId="166" fontId="65" fillId="0" borderId="29" xfId="18" applyNumberFormat="1" applyFont="1" applyFill="1" applyBorder="1" applyAlignment="1">
      <alignment horizontal="center"/>
    </xf>
    <xf numFmtId="166" fontId="65" fillId="0" borderId="68" xfId="18" applyNumberFormat="1" applyFont="1" applyFill="1" applyBorder="1" applyAlignment="1">
      <alignment horizontal="center"/>
    </xf>
    <xf numFmtId="166" fontId="65" fillId="0" borderId="72" xfId="18" applyNumberFormat="1" applyFont="1" applyFill="1" applyBorder="1" applyAlignment="1">
      <alignment horizontal="center"/>
    </xf>
    <xf numFmtId="43" fontId="65" fillId="0" borderId="0" xfId="27" applyFont="1" applyFill="1" applyBorder="1"/>
    <xf numFmtId="166" fontId="48" fillId="0" borderId="29" xfId="18" applyNumberFormat="1" applyFont="1" applyFill="1" applyBorder="1" applyAlignment="1">
      <alignment horizontal="center"/>
    </xf>
    <xf numFmtId="166" fontId="63" fillId="0" borderId="29" xfId="18" applyNumberFormat="1" applyFont="1" applyBorder="1"/>
    <xf numFmtId="166" fontId="48" fillId="0" borderId="71" xfId="18" applyNumberFormat="1" applyFont="1" applyFill="1" applyBorder="1" applyAlignment="1">
      <alignment horizontal="center"/>
    </xf>
    <xf numFmtId="166" fontId="48" fillId="0" borderId="0" xfId="18" applyNumberFormat="1" applyFont="1" applyFill="1" applyBorder="1" applyAlignment="1">
      <alignment horizontal="center"/>
    </xf>
    <xf numFmtId="166" fontId="1" fillId="0" borderId="12" xfId="18" applyNumberFormat="1" applyBorder="1"/>
    <xf numFmtId="166" fontId="65" fillId="0" borderId="12" xfId="18" applyNumberFormat="1" applyFont="1" applyFill="1" applyBorder="1"/>
    <xf numFmtId="166" fontId="63" fillId="0" borderId="12" xfId="18" applyNumberFormat="1" applyFont="1" applyFill="1" applyBorder="1" applyAlignment="1">
      <alignment horizontal="right" vertical="center"/>
    </xf>
    <xf numFmtId="166" fontId="65" fillId="0" borderId="30" xfId="18" applyNumberFormat="1" applyFont="1" applyBorder="1"/>
    <xf numFmtId="166" fontId="49" fillId="0" borderId="55" xfId="18" applyNumberFormat="1" applyFont="1" applyFill="1" applyBorder="1" applyAlignment="1">
      <alignment horizontal="center"/>
    </xf>
    <xf numFmtId="166" fontId="63" fillId="0" borderId="55" xfId="18" applyNumberFormat="1" applyFont="1" applyFill="1" applyBorder="1"/>
    <xf numFmtId="166" fontId="63" fillId="0" borderId="19" xfId="18" applyNumberFormat="1" applyFont="1" applyBorder="1"/>
    <xf numFmtId="166" fontId="63" fillId="0" borderId="56" xfId="18" applyNumberFormat="1" applyFont="1" applyBorder="1"/>
    <xf numFmtId="166" fontId="63" fillId="0" borderId="55" xfId="18" applyNumberFormat="1" applyFont="1" applyBorder="1"/>
    <xf numFmtId="166" fontId="65" fillId="0" borderId="29" xfId="18" applyNumberFormat="1" applyFont="1" applyFill="1" applyBorder="1"/>
    <xf numFmtId="166" fontId="65" fillId="0" borderId="30" xfId="18" applyNumberFormat="1" applyFont="1" applyFill="1" applyBorder="1"/>
    <xf numFmtId="166" fontId="63" fillId="0" borderId="48" xfId="18" applyNumberFormat="1" applyFont="1" applyBorder="1"/>
    <xf numFmtId="166" fontId="63" fillId="0" borderId="50" xfId="18" applyNumberFormat="1" applyFont="1" applyBorder="1"/>
    <xf numFmtId="166" fontId="65" fillId="17" borderId="53" xfId="18" applyNumberFormat="1" applyFont="1" applyFill="1" applyBorder="1" applyAlignment="1">
      <alignment horizontal="center" vertical="center"/>
    </xf>
    <xf numFmtId="166" fontId="65" fillId="17" borderId="53" xfId="18" applyNumberFormat="1" applyFont="1" applyFill="1" applyBorder="1" applyAlignment="1">
      <alignment vertical="center"/>
    </xf>
    <xf numFmtId="166" fontId="65" fillId="0" borderId="12" xfId="18" applyNumberFormat="1" applyFont="1" applyBorder="1"/>
    <xf numFmtId="166" fontId="65" fillId="17" borderId="72" xfId="18" applyNumberFormat="1" applyFont="1" applyFill="1" applyBorder="1" applyAlignment="1">
      <alignment horizontal="center" vertical="center" wrapText="1"/>
    </xf>
    <xf numFmtId="166" fontId="65" fillId="17" borderId="72" xfId="18" applyNumberFormat="1" applyFont="1" applyFill="1" applyBorder="1" applyAlignment="1">
      <alignment horizontal="center" vertical="center"/>
    </xf>
    <xf numFmtId="43" fontId="65" fillId="0" borderId="0" xfId="26" applyNumberFormat="1" applyFont="1"/>
    <xf numFmtId="166" fontId="65" fillId="0" borderId="0" xfId="18" applyNumberFormat="1" applyFont="1" applyFill="1"/>
    <xf numFmtId="0" fontId="65" fillId="0" borderId="0" xfId="26" applyFont="1" applyAlignment="1">
      <alignment horizontal="center"/>
    </xf>
    <xf numFmtId="0" fontId="65" fillId="0" borderId="0" xfId="26" applyFont="1" applyAlignment="1">
      <alignment horizontal="center" vertical="center"/>
    </xf>
    <xf numFmtId="166" fontId="65" fillId="0" borderId="0" xfId="18" applyNumberFormat="1" applyFont="1" applyFill="1" applyBorder="1" applyAlignment="1">
      <alignment horizontal="center" vertical="center" wrapText="1"/>
    </xf>
    <xf numFmtId="166" fontId="65" fillId="0" borderId="0" xfId="18" applyNumberFormat="1" applyFont="1" applyFill="1" applyBorder="1" applyAlignment="1">
      <alignment horizontal="center" vertical="center"/>
    </xf>
    <xf numFmtId="165" fontId="65" fillId="0" borderId="0" xfId="28" applyNumberFormat="1" applyFont="1" applyFill="1" applyBorder="1" applyAlignment="1">
      <alignment horizontal="center" vertical="center" wrapText="1"/>
    </xf>
    <xf numFmtId="0" fontId="65" fillId="0" borderId="0" xfId="26" applyFont="1" applyAlignment="1">
      <alignment vertical="center" wrapText="1"/>
    </xf>
    <xf numFmtId="0" fontId="94" fillId="0" borderId="0" xfId="0" applyFont="1"/>
    <xf numFmtId="166" fontId="0" fillId="0" borderId="0" xfId="18" applyNumberFormat="1" applyFont="1" applyAlignment="1">
      <alignment horizontal="right"/>
    </xf>
    <xf numFmtId="0" fontId="63" fillId="0" borderId="0" xfId="26" applyFont="1" applyAlignment="1">
      <alignment horizontal="right"/>
    </xf>
    <xf numFmtId="166" fontId="56" fillId="0" borderId="19" xfId="18" applyNumberFormat="1" applyFont="1" applyBorder="1"/>
    <xf numFmtId="166" fontId="1" fillId="0" borderId="0" xfId="18" applyNumberFormat="1" applyFont="1"/>
    <xf numFmtId="166" fontId="65" fillId="0" borderId="19" xfId="18" applyNumberFormat="1" applyFont="1" applyBorder="1"/>
    <xf numFmtId="165" fontId="4" fillId="2" borderId="12" xfId="1" applyNumberFormat="1" applyFont="1" applyFill="1" applyBorder="1" applyAlignment="1">
      <alignment vertical="center" wrapText="1"/>
    </xf>
    <xf numFmtId="165" fontId="4" fillId="2" borderId="12" xfId="1" applyNumberFormat="1" applyFont="1" applyFill="1" applyBorder="1" applyAlignment="1">
      <alignment horizontal="right" vertical="center" wrapText="1"/>
    </xf>
    <xf numFmtId="164" fontId="19" fillId="2" borderId="0" xfId="1" applyFont="1" applyFill="1" applyAlignment="1">
      <alignment vertical="center"/>
    </xf>
    <xf numFmtId="166" fontId="83" fillId="2" borderId="15" xfId="15" applyNumberFormat="1" applyFont="1" applyFill="1" applyBorder="1" applyAlignment="1">
      <alignment vertical="center"/>
    </xf>
    <xf numFmtId="0" fontId="77" fillId="2" borderId="44" xfId="0" applyFont="1" applyFill="1" applyBorder="1"/>
    <xf numFmtId="0" fontId="77" fillId="2" borderId="45" xfId="0" applyFont="1" applyFill="1" applyBorder="1"/>
    <xf numFmtId="0" fontId="78" fillId="2" borderId="45" xfId="0" applyFont="1" applyFill="1" applyBorder="1"/>
    <xf numFmtId="166" fontId="78" fillId="2" borderId="45" xfId="15" applyNumberFormat="1" applyFont="1" applyFill="1" applyBorder="1"/>
    <xf numFmtId="166" fontId="78" fillId="2" borderId="46" xfId="15" applyNumberFormat="1" applyFont="1" applyFill="1" applyBorder="1"/>
    <xf numFmtId="0" fontId="77" fillId="2" borderId="59" xfId="0" applyFont="1" applyFill="1" applyBorder="1"/>
    <xf numFmtId="166" fontId="78" fillId="2" borderId="60" xfId="15" applyNumberFormat="1" applyFont="1" applyFill="1" applyBorder="1"/>
    <xf numFmtId="0" fontId="78" fillId="2" borderId="59" xfId="0" applyFont="1" applyFill="1" applyBorder="1"/>
    <xf numFmtId="166" fontId="79" fillId="2" borderId="60" xfId="15" applyNumberFormat="1" applyFont="1" applyFill="1" applyBorder="1" applyAlignment="1">
      <alignment horizontal="right" indent="1"/>
    </xf>
    <xf numFmtId="0" fontId="80" fillId="2" borderId="37" xfId="0" applyFont="1" applyFill="1" applyBorder="1" applyAlignment="1">
      <alignment horizontal="center" vertical="top" wrapText="1"/>
    </xf>
    <xf numFmtId="166" fontId="80" fillId="2" borderId="36" xfId="15" quotePrefix="1" applyNumberFormat="1" applyFont="1" applyFill="1" applyBorder="1" applyAlignment="1">
      <alignment horizontal="right" vertical="center" wrapText="1"/>
    </xf>
    <xf numFmtId="0" fontId="80" fillId="2" borderId="59" xfId="0" applyFont="1" applyFill="1" applyBorder="1" applyAlignment="1">
      <alignment vertical="top"/>
    </xf>
    <xf numFmtId="0" fontId="80" fillId="2" borderId="0" xfId="0" applyFont="1" applyFill="1" applyAlignment="1">
      <alignment vertical="top"/>
    </xf>
    <xf numFmtId="166" fontId="81" fillId="2" borderId="60" xfId="15" applyNumberFormat="1" applyFont="1" applyFill="1" applyBorder="1" applyAlignment="1">
      <alignment vertical="top"/>
    </xf>
    <xf numFmtId="0" fontId="81" fillId="2" borderId="59" xfId="0" applyFont="1" applyFill="1" applyBorder="1" applyAlignment="1">
      <alignment vertical="top"/>
    </xf>
    <xf numFmtId="0" fontId="81" fillId="2" borderId="0" xfId="0" applyFont="1" applyFill="1" applyAlignment="1">
      <alignment vertical="top"/>
    </xf>
    <xf numFmtId="165" fontId="80" fillId="2" borderId="60" xfId="1" applyNumberFormat="1" applyFont="1" applyFill="1" applyBorder="1" applyAlignment="1">
      <alignment vertical="top"/>
    </xf>
    <xf numFmtId="165" fontId="81" fillId="2" borderId="60" xfId="1" applyNumberFormat="1" applyFont="1" applyFill="1" applyBorder="1" applyAlignment="1">
      <alignment vertical="top"/>
    </xf>
    <xf numFmtId="0" fontId="81" fillId="2" borderId="59" xfId="0" applyFont="1" applyFill="1" applyBorder="1" applyAlignment="1">
      <alignment horizontal="left" vertical="top" indent="2"/>
    </xf>
    <xf numFmtId="0" fontId="81" fillId="2" borderId="0" xfId="0" applyFont="1" applyFill="1" applyAlignment="1">
      <alignment horizontal="left" vertical="top" indent="2"/>
    </xf>
    <xf numFmtId="165" fontId="81" fillId="2" borderId="51" xfId="1" applyNumberFormat="1" applyFont="1" applyFill="1" applyBorder="1" applyAlignment="1">
      <alignment vertical="top"/>
    </xf>
    <xf numFmtId="165" fontId="80" fillId="2" borderId="67" xfId="1" applyNumberFormat="1" applyFont="1" applyFill="1" applyBorder="1" applyAlignment="1">
      <alignment vertical="top"/>
    </xf>
    <xf numFmtId="165" fontId="81" fillId="0" borderId="60" xfId="1" applyNumberFormat="1" applyFont="1" applyFill="1" applyBorder="1" applyAlignment="1">
      <alignment vertical="top"/>
    </xf>
    <xf numFmtId="165" fontId="81" fillId="2" borderId="34" xfId="1" applyNumberFormat="1" applyFont="1" applyFill="1" applyBorder="1" applyAlignment="1">
      <alignment vertical="top"/>
    </xf>
    <xf numFmtId="165" fontId="80" fillId="2" borderId="76" xfId="1" applyNumberFormat="1" applyFont="1" applyFill="1" applyBorder="1" applyAlignment="1">
      <alignment vertical="top"/>
    </xf>
    <xf numFmtId="165" fontId="81" fillId="2" borderId="67" xfId="1" applyNumberFormat="1" applyFont="1" applyFill="1" applyBorder="1" applyAlignment="1">
      <alignment vertical="top"/>
    </xf>
    <xf numFmtId="165" fontId="80" fillId="0" borderId="60" xfId="1" applyNumberFormat="1" applyFont="1" applyFill="1" applyBorder="1" applyAlignment="1">
      <alignment vertical="top"/>
    </xf>
    <xf numFmtId="170" fontId="83" fillId="2" borderId="59" xfId="0" applyNumberFormat="1" applyFont="1" applyFill="1" applyBorder="1" applyAlignment="1">
      <alignment vertical="top"/>
    </xf>
    <xf numFmtId="170" fontId="83" fillId="2" borderId="0" xfId="0" applyNumberFormat="1" applyFont="1" applyFill="1" applyAlignment="1">
      <alignment vertical="top"/>
    </xf>
    <xf numFmtId="165" fontId="83" fillId="2" borderId="60" xfId="1" applyNumberFormat="1" applyFont="1" applyFill="1" applyBorder="1" applyAlignment="1">
      <alignment horizontal="center" vertical="top"/>
    </xf>
    <xf numFmtId="170" fontId="84" fillId="2" borderId="59" xfId="0" applyNumberFormat="1" applyFont="1" applyFill="1" applyBorder="1" applyAlignment="1">
      <alignment vertical="top"/>
    </xf>
    <xf numFmtId="170" fontId="84" fillId="2" borderId="0" xfId="0" applyNumberFormat="1" applyFont="1" applyFill="1" applyAlignment="1">
      <alignment vertical="top"/>
    </xf>
    <xf numFmtId="170" fontId="83" fillId="2" borderId="59" xfId="0" applyNumberFormat="1" applyFont="1" applyFill="1" applyBorder="1" applyAlignment="1">
      <alignment horizontal="left" vertical="top" indent="2"/>
    </xf>
    <xf numFmtId="170" fontId="83" fillId="2" borderId="0" xfId="0" applyNumberFormat="1" applyFont="1" applyFill="1" applyAlignment="1">
      <alignment horizontal="left" vertical="top" indent="2"/>
    </xf>
    <xf numFmtId="165" fontId="83" fillId="2" borderId="60" xfId="1" applyNumberFormat="1" applyFont="1" applyFill="1" applyBorder="1" applyAlignment="1">
      <alignment horizontal="right" vertical="top"/>
    </xf>
    <xf numFmtId="0" fontId="82" fillId="2" borderId="32" xfId="0" applyFont="1" applyFill="1" applyBorder="1" applyAlignment="1">
      <alignment vertical="top"/>
    </xf>
    <xf numFmtId="0" fontId="82" fillId="2" borderId="59" xfId="0" applyFont="1" applyFill="1" applyBorder="1" applyAlignment="1">
      <alignment vertical="top"/>
    </xf>
    <xf numFmtId="0" fontId="82" fillId="2" borderId="0" xfId="0" applyFont="1" applyFill="1" applyAlignment="1">
      <alignment vertical="top"/>
    </xf>
    <xf numFmtId="0" fontId="82" fillId="2" borderId="0" xfId="0" applyFont="1" applyFill="1" applyAlignment="1">
      <alignment vertical="top" wrapText="1"/>
    </xf>
    <xf numFmtId="166" fontId="82" fillId="2" borderId="60" xfId="15" applyNumberFormat="1" applyFont="1" applyFill="1" applyBorder="1" applyAlignment="1">
      <alignment vertical="top" wrapText="1"/>
    </xf>
    <xf numFmtId="0" fontId="82" fillId="2" borderId="39" xfId="0" applyFont="1" applyFill="1" applyBorder="1" applyAlignment="1">
      <alignment vertical="top"/>
    </xf>
    <xf numFmtId="166" fontId="82" fillId="2" borderId="77" xfId="15" applyNumberFormat="1" applyFont="1" applyFill="1" applyBorder="1" applyAlignment="1">
      <alignment vertical="top" wrapText="1"/>
    </xf>
    <xf numFmtId="49" fontId="86" fillId="2" borderId="59" xfId="0" applyNumberFormat="1" applyFont="1" applyFill="1" applyBorder="1"/>
    <xf numFmtId="49" fontId="86" fillId="2" borderId="0" xfId="0" applyNumberFormat="1" applyFont="1" applyFill="1"/>
    <xf numFmtId="166" fontId="83" fillId="2" borderId="77" xfId="15" applyNumberFormat="1" applyFont="1" applyFill="1" applyBorder="1" applyAlignment="1">
      <alignment vertical="center"/>
    </xf>
    <xf numFmtId="170" fontId="84" fillId="2" borderId="59" xfId="0" applyNumberFormat="1" applyFont="1" applyFill="1" applyBorder="1" applyAlignment="1">
      <alignment vertical="center"/>
    </xf>
    <xf numFmtId="170" fontId="84" fillId="2" borderId="0" xfId="0" applyNumberFormat="1" applyFont="1" applyFill="1" applyAlignment="1">
      <alignment vertical="center"/>
    </xf>
    <xf numFmtId="0" fontId="78" fillId="2" borderId="60" xfId="0" applyFont="1" applyFill="1" applyBorder="1"/>
    <xf numFmtId="166" fontId="83" fillId="2" borderId="60" xfId="15" applyNumberFormat="1" applyFont="1" applyFill="1" applyBorder="1" applyAlignment="1">
      <alignment vertical="center"/>
    </xf>
    <xf numFmtId="0" fontId="81" fillId="2" borderId="59" xfId="0" applyFont="1" applyFill="1" applyBorder="1" applyAlignment="1">
      <alignment vertical="center"/>
    </xf>
    <xf numFmtId="0" fontId="81" fillId="2" borderId="0" xfId="0" applyFont="1" applyFill="1" applyAlignment="1">
      <alignment vertical="center"/>
    </xf>
    <xf numFmtId="166" fontId="84" fillId="2" borderId="60" xfId="15" applyNumberFormat="1" applyFont="1" applyFill="1" applyBorder="1" applyAlignment="1">
      <alignment vertical="center"/>
    </xf>
    <xf numFmtId="170" fontId="83" fillId="2" borderId="59" xfId="0" applyNumberFormat="1" applyFont="1" applyFill="1" applyBorder="1" applyAlignment="1">
      <alignment vertical="center"/>
    </xf>
    <xf numFmtId="170" fontId="83" fillId="2" borderId="0" xfId="0" applyNumberFormat="1" applyFont="1" applyFill="1" applyAlignment="1">
      <alignment vertical="center"/>
    </xf>
    <xf numFmtId="166" fontId="83" fillId="2" borderId="60" xfId="15" applyNumberFormat="1" applyFont="1" applyFill="1" applyBorder="1" applyAlignment="1">
      <alignment horizontal="left" vertical="center" indent="3"/>
    </xf>
    <xf numFmtId="0" fontId="78" fillId="2" borderId="0" xfId="0" applyFont="1" applyFill="1" applyAlignment="1">
      <alignment horizontal="left" indent="4"/>
    </xf>
    <xf numFmtId="0" fontId="78" fillId="2" borderId="0" xfId="0" applyFont="1" applyFill="1" applyAlignment="1">
      <alignment horizontal="left" indent="2"/>
    </xf>
    <xf numFmtId="170" fontId="83" fillId="2" borderId="59" xfId="0" applyNumberFormat="1" applyFont="1" applyFill="1" applyBorder="1" applyAlignment="1">
      <alignment horizontal="left" vertical="center"/>
    </xf>
    <xf numFmtId="170" fontId="83" fillId="2" borderId="0" xfId="0" applyNumberFormat="1" applyFont="1" applyFill="1" applyAlignment="1">
      <alignment horizontal="left" vertical="center"/>
    </xf>
    <xf numFmtId="165" fontId="78" fillId="2" borderId="0" xfId="0" applyNumberFormat="1" applyFont="1" applyFill="1"/>
    <xf numFmtId="0" fontId="78" fillId="2" borderId="47" xfId="0" applyFont="1" applyFill="1" applyBorder="1"/>
    <xf numFmtId="0" fontId="78" fillId="2" borderId="1" xfId="0" applyFont="1" applyFill="1" applyBorder="1"/>
    <xf numFmtId="166" fontId="78" fillId="2" borderId="75" xfId="15" applyNumberFormat="1" applyFont="1" applyFill="1" applyBorder="1"/>
    <xf numFmtId="0" fontId="4" fillId="0" borderId="0" xfId="5" applyFont="1" applyAlignment="1">
      <alignment horizontal="justify" vertical="top"/>
    </xf>
    <xf numFmtId="0" fontId="48" fillId="17" borderId="12" xfId="0" applyFont="1" applyFill="1" applyBorder="1"/>
    <xf numFmtId="164" fontId="48" fillId="17" borderId="12" xfId="1" applyFont="1" applyFill="1" applyBorder="1"/>
    <xf numFmtId="0" fontId="49" fillId="17" borderId="12" xfId="0" applyFont="1" applyFill="1" applyBorder="1"/>
    <xf numFmtId="164" fontId="49" fillId="0" borderId="12" xfId="1" applyFont="1" applyBorder="1"/>
    <xf numFmtId="164" fontId="48" fillId="17" borderId="12" xfId="0" applyNumberFormat="1" applyFont="1" applyFill="1" applyBorder="1"/>
    <xf numFmtId="164" fontId="0" fillId="0" borderId="0" xfId="0" applyNumberFormat="1"/>
    <xf numFmtId="0" fontId="48" fillId="17" borderId="12" xfId="0" applyFont="1" applyFill="1" applyBorder="1" applyAlignment="1">
      <alignment horizontal="center"/>
    </xf>
    <xf numFmtId="49" fontId="48" fillId="17" borderId="12" xfId="0" applyNumberFormat="1" applyFont="1" applyFill="1" applyBorder="1" applyAlignment="1">
      <alignment horizontal="center" vertical="top"/>
    </xf>
    <xf numFmtId="49" fontId="49" fillId="17" borderId="12" xfId="0" applyNumberFormat="1" applyFont="1" applyFill="1" applyBorder="1" applyAlignment="1">
      <alignment vertical="top"/>
    </xf>
    <xf numFmtId="175" fontId="96" fillId="17" borderId="12" xfId="0" applyNumberFormat="1" applyFont="1" applyFill="1" applyBorder="1" applyAlignment="1">
      <alignment horizontal="right" vertical="top"/>
    </xf>
    <xf numFmtId="175" fontId="48" fillId="17" borderId="12" xfId="0" applyNumberFormat="1" applyFont="1" applyFill="1" applyBorder="1"/>
    <xf numFmtId="0" fontId="49" fillId="0" borderId="12" xfId="0" applyFont="1" applyBorder="1"/>
    <xf numFmtId="0" fontId="48" fillId="17" borderId="0" xfId="0" applyFont="1" applyFill="1"/>
    <xf numFmtId="43" fontId="48" fillId="17" borderId="0" xfId="0" applyNumberFormat="1" applyFont="1" applyFill="1"/>
    <xf numFmtId="1" fontId="48" fillId="0" borderId="0" xfId="0" applyNumberFormat="1" applyFont="1" applyAlignment="1">
      <alignment horizontal="center" vertical="center"/>
    </xf>
    <xf numFmtId="165" fontId="4" fillId="2" borderId="15" xfId="7" applyNumberFormat="1" applyFont="1" applyFill="1" applyBorder="1" applyAlignment="1">
      <alignment horizontal="center" vertical="center"/>
    </xf>
    <xf numFmtId="166" fontId="3" fillId="2" borderId="6" xfId="15" applyNumberFormat="1" applyFont="1" applyFill="1" applyBorder="1" applyAlignment="1">
      <alignment horizontal="center" vertical="center"/>
    </xf>
    <xf numFmtId="166" fontId="3" fillId="2" borderId="0" xfId="15" applyNumberFormat="1" applyFont="1" applyFill="1" applyBorder="1" applyAlignment="1">
      <alignment horizontal="center" vertical="center"/>
    </xf>
    <xf numFmtId="165" fontId="3" fillId="2" borderId="0" xfId="7" applyNumberFormat="1" applyFont="1" applyFill="1" applyBorder="1" applyAlignment="1">
      <alignment horizontal="center" vertical="center"/>
    </xf>
    <xf numFmtId="0" fontId="86" fillId="2" borderId="59" xfId="0" applyFont="1" applyFill="1" applyBorder="1" applyAlignment="1">
      <alignment horizontal="left" vertical="top" wrapText="1"/>
    </xf>
    <xf numFmtId="0" fontId="86" fillId="2" borderId="0" xfId="0" applyFont="1" applyFill="1" applyAlignment="1">
      <alignment horizontal="left" vertical="top" wrapText="1"/>
    </xf>
    <xf numFmtId="0" fontId="86" fillId="2" borderId="60" xfId="0" applyFont="1" applyFill="1" applyBorder="1" applyAlignment="1">
      <alignment horizontal="left" vertical="top" wrapText="1"/>
    </xf>
    <xf numFmtId="0" fontId="86" fillId="2" borderId="59" xfId="0" applyFont="1" applyFill="1" applyBorder="1" applyAlignment="1">
      <alignment horizontal="left" vertical="top"/>
    </xf>
    <xf numFmtId="0" fontId="86" fillId="2" borderId="0" xfId="0" applyFont="1" applyFill="1" applyAlignment="1">
      <alignment horizontal="left" vertical="top"/>
    </xf>
    <xf numFmtId="0" fontId="86" fillId="2" borderId="60" xfId="0" applyFont="1" applyFill="1" applyBorder="1" applyAlignment="1">
      <alignment horizontal="left" vertical="top"/>
    </xf>
    <xf numFmtId="0" fontId="86" fillId="2" borderId="32" xfId="0" applyFont="1" applyFill="1" applyBorder="1" applyAlignment="1">
      <alignment horizontal="left" vertical="top"/>
    </xf>
    <xf numFmtId="0" fontId="86" fillId="2" borderId="17" xfId="0" applyFont="1" applyFill="1" applyBorder="1" applyAlignment="1">
      <alignment horizontal="left" vertical="top"/>
    </xf>
    <xf numFmtId="0" fontId="78" fillId="2" borderId="17" xfId="0" applyFont="1" applyFill="1" applyBorder="1" applyAlignment="1">
      <alignment horizontal="left" vertical="top"/>
    </xf>
    <xf numFmtId="0" fontId="78" fillId="2" borderId="51" xfId="0" applyFont="1" applyFill="1" applyBorder="1" applyAlignment="1">
      <alignment horizontal="left" vertical="top"/>
    </xf>
    <xf numFmtId="166" fontId="84" fillId="2" borderId="0" xfId="15" applyNumberFormat="1" applyFont="1" applyFill="1" applyBorder="1" applyAlignment="1">
      <alignment horizontal="center" vertical="center"/>
    </xf>
    <xf numFmtId="166" fontId="84" fillId="2" borderId="60" xfId="15" applyNumberFormat="1" applyFont="1" applyFill="1" applyBorder="1" applyAlignment="1">
      <alignment horizontal="center" vertical="center"/>
    </xf>
    <xf numFmtId="0" fontId="4" fillId="0" borderId="0" xfId="5" applyFont="1" applyAlignment="1">
      <alignment horizontal="left" vertical="top" wrapText="1"/>
    </xf>
    <xf numFmtId="0" fontId="4" fillId="0" borderId="0" xfId="5" applyFont="1" applyAlignment="1">
      <alignment horizontal="justify" vertical="top" wrapText="1"/>
    </xf>
    <xf numFmtId="0" fontId="4" fillId="2" borderId="15" xfId="6" applyFont="1" applyFill="1" applyBorder="1" applyAlignment="1">
      <alignment horizontal="left" vertical="top" wrapText="1" indent="1"/>
    </xf>
    <xf numFmtId="0" fontId="4" fillId="2" borderId="17" xfId="6" applyFont="1" applyFill="1" applyBorder="1" applyAlignment="1">
      <alignment horizontal="left" indent="1"/>
    </xf>
    <xf numFmtId="15" fontId="3" fillId="2" borderId="3" xfId="6" quotePrefix="1" applyNumberFormat="1" applyFont="1" applyFill="1" applyBorder="1" applyAlignment="1">
      <alignment horizontal="center" vertical="top" wrapText="1"/>
    </xf>
    <xf numFmtId="0" fontId="1" fillId="2" borderId="3" xfId="6" applyFill="1" applyBorder="1" applyAlignment="1">
      <alignment horizontal="center"/>
    </xf>
    <xf numFmtId="0" fontId="13" fillId="2" borderId="0" xfId="6" applyFont="1" applyFill="1" applyAlignment="1">
      <alignment horizontal="justify" vertical="top" wrapText="1"/>
    </xf>
    <xf numFmtId="0" fontId="3" fillId="2" borderId="15" xfId="6" applyFont="1" applyFill="1" applyBorder="1" applyAlignment="1">
      <alignment horizontal="center" vertical="center" wrapText="1"/>
    </xf>
    <xf numFmtId="0" fontId="3" fillId="2" borderId="17" xfId="6" applyFont="1" applyFill="1" applyBorder="1" applyAlignment="1">
      <alignment horizontal="center" vertical="center" wrapText="1"/>
    </xf>
    <xf numFmtId="0" fontId="25" fillId="0" borderId="15" xfId="0" applyFont="1" applyBorder="1" applyAlignment="1">
      <alignment horizontal="center" vertical="center"/>
    </xf>
    <xf numFmtId="0" fontId="25" fillId="0" borderId="1" xfId="0" applyFont="1" applyBorder="1" applyAlignment="1">
      <alignment horizontal="center" vertical="center"/>
    </xf>
    <xf numFmtId="0" fontId="25" fillId="0" borderId="3" xfId="0" applyFont="1" applyBorder="1" applyAlignment="1">
      <alignment horizontal="center"/>
    </xf>
    <xf numFmtId="0" fontId="13" fillId="2" borderId="15" xfId="6" applyFont="1" applyFill="1" applyBorder="1" applyAlignment="1">
      <alignment horizontal="justify" vertical="top" wrapText="1"/>
    </xf>
    <xf numFmtId="0" fontId="3" fillId="2" borderId="0" xfId="6" applyFont="1" applyFill="1" applyAlignment="1">
      <alignment horizontal="center" vertical="center" wrapText="1"/>
    </xf>
    <xf numFmtId="15" fontId="3" fillId="2" borderId="17" xfId="6" applyNumberFormat="1" applyFont="1" applyFill="1" applyBorder="1" applyAlignment="1">
      <alignment horizontal="center" vertical="top" wrapText="1"/>
    </xf>
    <xf numFmtId="0" fontId="3" fillId="2" borderId="17" xfId="6" applyFont="1" applyFill="1" applyBorder="1" applyAlignment="1">
      <alignment horizontal="center" vertical="top" wrapText="1"/>
    </xf>
    <xf numFmtId="49" fontId="17" fillId="2" borderId="17" xfId="5" applyNumberFormat="1" applyFont="1" applyFill="1" applyBorder="1" applyAlignment="1">
      <alignment horizontal="center"/>
    </xf>
    <xf numFmtId="0" fontId="20" fillId="2" borderId="3" xfId="5" applyFont="1" applyFill="1" applyBorder="1" applyAlignment="1">
      <alignment horizontal="left" vertical="top" wrapText="1" indent="1"/>
    </xf>
    <xf numFmtId="0" fontId="15" fillId="2" borderId="0" xfId="5" applyFont="1" applyFill="1" applyAlignment="1">
      <alignment vertical="center" wrapText="1"/>
    </xf>
    <xf numFmtId="0" fontId="4" fillId="2" borderId="2" xfId="5" applyFont="1" applyFill="1" applyBorder="1" applyAlignment="1">
      <alignment horizontal="left" vertical="center"/>
    </xf>
    <xf numFmtId="0" fontId="4" fillId="2" borderId="4" xfId="5" applyFont="1" applyFill="1" applyBorder="1" applyAlignment="1">
      <alignment horizontal="left" vertical="center"/>
    </xf>
    <xf numFmtId="0" fontId="4" fillId="2" borderId="2" xfId="5" applyFont="1" applyFill="1" applyBorder="1" applyAlignment="1">
      <alignment horizontal="center" vertical="center"/>
    </xf>
    <xf numFmtId="0" fontId="4" fillId="2" borderId="4" xfId="5" applyFont="1" applyFill="1" applyBorder="1" applyAlignment="1">
      <alignment horizontal="center" vertical="center"/>
    </xf>
    <xf numFmtId="0" fontId="3" fillId="2" borderId="2" xfId="5" applyFont="1" applyFill="1" applyBorder="1" applyAlignment="1">
      <alignment horizontal="center" vertical="center"/>
    </xf>
    <xf numFmtId="0" fontId="3" fillId="2" borderId="4" xfId="5" applyFont="1" applyFill="1" applyBorder="1" applyAlignment="1">
      <alignment horizontal="center" vertical="center"/>
    </xf>
    <xf numFmtId="0" fontId="26" fillId="2" borderId="0" xfId="5" applyFont="1" applyFill="1" applyAlignment="1">
      <alignment horizontal="left"/>
    </xf>
    <xf numFmtId="0" fontId="3" fillId="2" borderId="2" xfId="5" applyFont="1" applyFill="1" applyBorder="1" applyAlignment="1">
      <alignment horizontal="left"/>
    </xf>
    <xf numFmtId="0" fontId="3" fillId="2" borderId="3" xfId="5" applyFont="1" applyFill="1" applyBorder="1" applyAlignment="1">
      <alignment horizontal="left"/>
    </xf>
    <xf numFmtId="0" fontId="3" fillId="2" borderId="4" xfId="5" applyFont="1" applyFill="1" applyBorder="1" applyAlignment="1">
      <alignment horizontal="left"/>
    </xf>
    <xf numFmtId="0" fontId="3" fillId="2" borderId="5" xfId="5" applyFont="1" applyFill="1" applyBorder="1" applyAlignment="1">
      <alignment horizontal="center" vertical="center" wrapText="1"/>
    </xf>
    <xf numFmtId="0" fontId="3" fillId="2" borderId="10" xfId="5" applyFont="1" applyFill="1" applyBorder="1" applyAlignment="1">
      <alignment horizontal="center" vertical="center" wrapText="1"/>
    </xf>
    <xf numFmtId="0" fontId="3" fillId="2" borderId="8" xfId="5" applyFont="1" applyFill="1" applyBorder="1" applyAlignment="1">
      <alignment horizontal="center" vertical="center" wrapText="1"/>
    </xf>
    <xf numFmtId="0" fontId="3" fillId="2" borderId="13" xfId="5" applyFont="1" applyFill="1" applyBorder="1" applyAlignment="1">
      <alignment horizontal="center" vertical="center" wrapText="1"/>
    </xf>
    <xf numFmtId="0" fontId="3" fillId="2" borderId="9" xfId="5" applyFont="1" applyFill="1" applyBorder="1" applyAlignment="1">
      <alignment horizontal="center" vertical="center" wrapText="1"/>
    </xf>
    <xf numFmtId="166" fontId="25" fillId="0" borderId="3" xfId="15" applyNumberFormat="1" applyFont="1" applyFill="1" applyBorder="1" applyAlignment="1">
      <alignment horizontal="center"/>
    </xf>
    <xf numFmtId="166" fontId="28" fillId="0" borderId="15" xfId="15" applyNumberFormat="1" applyFont="1" applyFill="1" applyBorder="1" applyAlignment="1">
      <alignment horizontal="center" vertical="center" wrapText="1"/>
    </xf>
    <xf numFmtId="166" fontId="28" fillId="0" borderId="1" xfId="15" applyNumberFormat="1" applyFont="1" applyFill="1" applyBorder="1" applyAlignment="1">
      <alignment horizontal="center" vertical="center" wrapText="1"/>
    </xf>
    <xf numFmtId="0" fontId="15" fillId="0" borderId="0" xfId="5" applyFont="1" applyAlignment="1">
      <alignment horizontal="left" vertical="top" wrapText="1"/>
    </xf>
    <xf numFmtId="0" fontId="13" fillId="0" borderId="17" xfId="0" applyFont="1" applyBorder="1" applyAlignment="1">
      <alignment horizontal="left" vertical="top" wrapText="1"/>
    </xf>
    <xf numFmtId="0" fontId="20" fillId="2" borderId="2" xfId="12" applyFont="1" applyFill="1" applyBorder="1" applyAlignment="1">
      <alignment horizontal="left" vertical="top" wrapText="1" indent="1"/>
    </xf>
    <xf numFmtId="0" fontId="20" fillId="2" borderId="3" xfId="12" applyFont="1" applyFill="1" applyBorder="1" applyAlignment="1">
      <alignment horizontal="left" vertical="top" wrapText="1" indent="1"/>
    </xf>
    <xf numFmtId="0" fontId="20" fillId="2" borderId="4" xfId="12" applyFont="1" applyFill="1" applyBorder="1" applyAlignment="1">
      <alignment horizontal="left" vertical="top" wrapText="1" indent="1"/>
    </xf>
    <xf numFmtId="165" fontId="12" fillId="2" borderId="0" xfId="11" applyNumberFormat="1" applyFont="1" applyFill="1" applyAlignment="1">
      <alignment horizontal="right" vertical="center"/>
    </xf>
    <xf numFmtId="0" fontId="20" fillId="2" borderId="0" xfId="12" applyFont="1" applyFill="1" applyAlignment="1">
      <alignment horizontal="left" vertical="top" wrapText="1" indent="2"/>
    </xf>
    <xf numFmtId="0" fontId="3" fillId="2" borderId="12" xfId="5" applyFont="1" applyFill="1" applyBorder="1" applyAlignment="1">
      <alignment horizontal="center" vertical="center"/>
    </xf>
    <xf numFmtId="0" fontId="4" fillId="0" borderId="12" xfId="5" applyFont="1" applyBorder="1" applyAlignment="1">
      <alignment horizontal="center" vertical="center"/>
    </xf>
    <xf numFmtId="0" fontId="15" fillId="0" borderId="0" xfId="5" applyFont="1" applyAlignment="1">
      <alignment horizontal="left" vertical="top" wrapText="1" indent="2"/>
    </xf>
    <xf numFmtId="0" fontId="25" fillId="2" borderId="2" xfId="12" applyFont="1" applyFill="1" applyBorder="1" applyAlignment="1">
      <alignment horizontal="center" vertical="center" wrapText="1"/>
    </xf>
    <xf numFmtId="0" fontId="25" fillId="2" borderId="3" xfId="12" applyFont="1" applyFill="1" applyBorder="1" applyAlignment="1">
      <alignment horizontal="center" vertical="center" wrapText="1"/>
    </xf>
    <xf numFmtId="0" fontId="25" fillId="2" borderId="4" xfId="12" applyFont="1" applyFill="1" applyBorder="1" applyAlignment="1">
      <alignment horizontal="center" vertical="center" wrapText="1"/>
    </xf>
    <xf numFmtId="0" fontId="15" fillId="2" borderId="0" xfId="12" applyFont="1" applyFill="1" applyAlignment="1">
      <alignment horizontal="justify" vertical="top"/>
    </xf>
    <xf numFmtId="0" fontId="15" fillId="2" borderId="1" xfId="12" applyFont="1" applyFill="1" applyBorder="1" applyAlignment="1">
      <alignment horizontal="justify" vertical="top"/>
    </xf>
    <xf numFmtId="0" fontId="65" fillId="0" borderId="2" xfId="40" applyFont="1" applyBorder="1" applyAlignment="1">
      <alignment horizontal="center" vertical="center" wrapText="1"/>
    </xf>
    <xf numFmtId="0" fontId="65" fillId="0" borderId="3" xfId="40" applyFont="1" applyBorder="1" applyAlignment="1">
      <alignment horizontal="center" vertical="center" wrapText="1"/>
    </xf>
    <xf numFmtId="0" fontId="65" fillId="0" borderId="4" xfId="40" applyFont="1" applyBorder="1" applyAlignment="1">
      <alignment horizontal="center" vertical="center" wrapText="1"/>
    </xf>
    <xf numFmtId="0" fontId="65" fillId="0" borderId="9" xfId="40" applyFont="1" applyBorder="1" applyAlignment="1">
      <alignment horizontal="center" vertical="center" wrapText="1"/>
    </xf>
    <xf numFmtId="0" fontId="65" fillId="0" borderId="14" xfId="40" applyFont="1" applyBorder="1" applyAlignment="1">
      <alignment horizontal="center" vertical="center" wrapText="1"/>
    </xf>
    <xf numFmtId="0" fontId="65" fillId="0" borderId="11" xfId="40" applyFont="1" applyBorder="1" applyAlignment="1">
      <alignment horizontal="center" vertical="center" wrapText="1"/>
    </xf>
    <xf numFmtId="165" fontId="65" fillId="0" borderId="9" xfId="38" applyNumberFormat="1" applyFont="1" applyFill="1" applyBorder="1" applyAlignment="1">
      <alignment horizontal="center" vertical="center" wrapText="1"/>
    </xf>
    <xf numFmtId="165" fontId="65" fillId="0" borderId="14" xfId="38" applyNumberFormat="1" applyFont="1" applyFill="1" applyBorder="1" applyAlignment="1">
      <alignment horizontal="center" vertical="center" wrapText="1"/>
    </xf>
    <xf numFmtId="165" fontId="65" fillId="0" borderId="11" xfId="38" applyNumberFormat="1" applyFont="1" applyFill="1" applyBorder="1" applyAlignment="1">
      <alignment horizontal="center" vertical="center" wrapText="1"/>
    </xf>
    <xf numFmtId="0" fontId="65" fillId="0" borderId="5" xfId="40" applyFont="1" applyBorder="1" applyAlignment="1">
      <alignment horizontal="center" vertical="center" wrapText="1"/>
    </xf>
    <xf numFmtId="0" fontId="65" fillId="0" borderId="15" xfId="40" applyFont="1" applyBorder="1" applyAlignment="1">
      <alignment horizontal="center" vertical="center" wrapText="1"/>
    </xf>
    <xf numFmtId="0" fontId="65" fillId="0" borderId="10" xfId="40" applyFont="1" applyBorder="1" applyAlignment="1">
      <alignment horizontal="center" vertical="center" wrapText="1"/>
    </xf>
    <xf numFmtId="0" fontId="63" fillId="0" borderId="0" xfId="26" applyFont="1" applyAlignment="1">
      <alignment horizontal="center"/>
    </xf>
    <xf numFmtId="0" fontId="59" fillId="0" borderId="0" xfId="29" applyFont="1" applyAlignment="1">
      <alignment horizontal="center"/>
    </xf>
    <xf numFmtId="0" fontId="65" fillId="0" borderId="0" xfId="26" applyFont="1" applyAlignment="1">
      <alignment horizontal="center"/>
    </xf>
    <xf numFmtId="43" fontId="65" fillId="0" borderId="0" xfId="26" applyNumberFormat="1" applyFont="1" applyAlignment="1">
      <alignment horizontal="center"/>
    </xf>
    <xf numFmtId="0" fontId="65" fillId="0" borderId="0" xfId="26" applyFont="1" applyAlignment="1">
      <alignment horizontal="center" vertical="center"/>
    </xf>
    <xf numFmtId="0" fontId="63" fillId="2" borderId="35" xfId="26" applyFont="1" applyFill="1" applyBorder="1" applyAlignment="1">
      <alignment horizontal="center"/>
    </xf>
    <xf numFmtId="0" fontId="63" fillId="2" borderId="4" xfId="26" applyFont="1" applyFill="1" applyBorder="1" applyAlignment="1">
      <alignment horizontal="center"/>
    </xf>
    <xf numFmtId="0" fontId="63" fillId="2" borderId="12" xfId="26" applyFont="1" applyFill="1" applyBorder="1" applyAlignment="1">
      <alignment horizontal="center"/>
    </xf>
    <xf numFmtId="0" fontId="63" fillId="0" borderId="35" xfId="26" applyFont="1" applyBorder="1" applyAlignment="1">
      <alignment horizontal="center"/>
    </xf>
    <xf numFmtId="0" fontId="63" fillId="0" borderId="4" xfId="26" applyFont="1" applyBorder="1" applyAlignment="1">
      <alignment horizontal="center"/>
    </xf>
    <xf numFmtId="0" fontId="63" fillId="0" borderId="12" xfId="26" applyFont="1" applyBorder="1" applyAlignment="1">
      <alignment horizontal="center"/>
    </xf>
    <xf numFmtId="0" fontId="59" fillId="0" borderId="35" xfId="29" applyFont="1" applyBorder="1" applyAlignment="1">
      <alignment horizontal="center"/>
    </xf>
    <xf numFmtId="0" fontId="59" fillId="0" borderId="4" xfId="29" applyFont="1" applyBorder="1" applyAlignment="1">
      <alignment horizontal="center"/>
    </xf>
    <xf numFmtId="0" fontId="59" fillId="0" borderId="12" xfId="29" applyFont="1" applyBorder="1" applyAlignment="1">
      <alignment horizontal="center"/>
    </xf>
    <xf numFmtId="0" fontId="59" fillId="0" borderId="41" xfId="29" applyFont="1" applyBorder="1" applyAlignment="1">
      <alignment horizontal="center"/>
    </xf>
    <xf numFmtId="0" fontId="59" fillId="0" borderId="22" xfId="29" applyFont="1" applyBorder="1" applyAlignment="1">
      <alignment horizontal="center"/>
    </xf>
    <xf numFmtId="0" fontId="59" fillId="0" borderId="23" xfId="29" applyFont="1" applyBorder="1" applyAlignment="1">
      <alignment horizontal="center"/>
    </xf>
    <xf numFmtId="0" fontId="65" fillId="17" borderId="24" xfId="26" applyFont="1" applyFill="1" applyBorder="1" applyAlignment="1">
      <alignment horizontal="center"/>
    </xf>
    <xf numFmtId="0" fontId="65" fillId="17" borderId="25" xfId="26" applyFont="1" applyFill="1" applyBorder="1" applyAlignment="1">
      <alignment horizontal="center"/>
    </xf>
    <xf numFmtId="0" fontId="65" fillId="17" borderId="26" xfId="26" applyFont="1" applyFill="1" applyBorder="1" applyAlignment="1">
      <alignment horizontal="center"/>
    </xf>
    <xf numFmtId="0" fontId="65" fillId="17" borderId="47" xfId="26" applyFont="1" applyFill="1" applyBorder="1" applyAlignment="1">
      <alignment horizontal="center"/>
    </xf>
    <xf numFmtId="0" fontId="65" fillId="17" borderId="1" xfId="26" applyFont="1" applyFill="1" applyBorder="1" applyAlignment="1">
      <alignment horizontal="center"/>
    </xf>
    <xf numFmtId="0" fontId="65" fillId="17" borderId="75" xfId="26" applyFont="1" applyFill="1" applyBorder="1" applyAlignment="1">
      <alignment horizontal="center"/>
    </xf>
    <xf numFmtId="0" fontId="65" fillId="17" borderId="27" xfId="26" applyFont="1" applyFill="1" applyBorder="1" applyAlignment="1">
      <alignment horizontal="center" vertical="center"/>
    </xf>
    <xf numFmtId="0" fontId="65" fillId="17" borderId="28" xfId="26" applyFont="1" applyFill="1" applyBorder="1" applyAlignment="1">
      <alignment horizontal="center" vertical="center"/>
    </xf>
    <xf numFmtId="0" fontId="65" fillId="17" borderId="29" xfId="26" applyFont="1" applyFill="1" applyBorder="1" applyAlignment="1">
      <alignment horizontal="center" vertical="center"/>
    </xf>
    <xf numFmtId="0" fontId="65" fillId="17" borderId="68" xfId="26" applyFont="1" applyFill="1" applyBorder="1" applyAlignment="1">
      <alignment horizontal="center" vertical="center"/>
    </xf>
    <xf numFmtId="0" fontId="59" fillId="0" borderId="33" xfId="29" applyFont="1" applyBorder="1" applyAlignment="1">
      <alignment horizontal="center"/>
    </xf>
    <xf numFmtId="0" fontId="59" fillId="0" borderId="13" xfId="29" applyFont="1" applyBorder="1" applyAlignment="1">
      <alignment horizontal="center"/>
    </xf>
    <xf numFmtId="0" fontId="59" fillId="0" borderId="11" xfId="29" applyFont="1" applyBorder="1" applyAlignment="1">
      <alignment horizontal="center"/>
    </xf>
    <xf numFmtId="0" fontId="65" fillId="17" borderId="46" xfId="26" applyFont="1" applyFill="1" applyBorder="1" applyAlignment="1">
      <alignment horizontal="center"/>
    </xf>
    <xf numFmtId="0" fontId="65" fillId="17" borderId="52" xfId="26" applyFont="1" applyFill="1" applyBorder="1" applyAlignment="1">
      <alignment horizontal="center" vertical="center"/>
    </xf>
    <xf numFmtId="0" fontId="65" fillId="17" borderId="70" xfId="26" applyFont="1" applyFill="1" applyBorder="1" applyAlignment="1">
      <alignment horizontal="center" vertical="center"/>
    </xf>
    <xf numFmtId="0" fontId="65" fillId="17" borderId="53" xfId="26" applyFont="1" applyFill="1" applyBorder="1" applyAlignment="1">
      <alignment horizontal="center" vertical="center"/>
    </xf>
    <xf numFmtId="0" fontId="59" fillId="0" borderId="48" xfId="29" applyFont="1" applyBorder="1" applyAlignment="1">
      <alignment horizontal="center"/>
    </xf>
    <xf numFmtId="0" fontId="59" fillId="0" borderId="73" xfId="29" applyFont="1" applyBorder="1" applyAlignment="1">
      <alignment horizontal="center"/>
    </xf>
    <xf numFmtId="0" fontId="59" fillId="0" borderId="49" xfId="29" applyFont="1" applyBorder="1" applyAlignment="1">
      <alignment horizontal="center"/>
    </xf>
    <xf numFmtId="0" fontId="63" fillId="8" borderId="61" xfId="26" applyFont="1" applyFill="1" applyBorder="1" applyAlignment="1">
      <alignment horizontal="center"/>
    </xf>
    <xf numFmtId="0" fontId="63" fillId="8" borderId="62" xfId="26" applyFont="1" applyFill="1" applyBorder="1" applyAlignment="1">
      <alignment horizontal="center"/>
    </xf>
    <xf numFmtId="0" fontId="63" fillId="8" borderId="63" xfId="26" applyFont="1" applyFill="1" applyBorder="1" applyAlignment="1">
      <alignment horizontal="center"/>
    </xf>
    <xf numFmtId="14" fontId="63" fillId="12" borderId="32" xfId="26" applyNumberFormat="1" applyFont="1" applyFill="1" applyBorder="1" applyAlignment="1">
      <alignment horizontal="center"/>
    </xf>
    <xf numFmtId="14" fontId="63" fillId="12" borderId="17" xfId="26" applyNumberFormat="1" applyFont="1" applyFill="1" applyBorder="1" applyAlignment="1">
      <alignment horizontal="center"/>
    </xf>
    <xf numFmtId="14" fontId="63" fillId="12" borderId="51" xfId="26" applyNumberFormat="1" applyFont="1" applyFill="1" applyBorder="1" applyAlignment="1">
      <alignment horizontal="center"/>
    </xf>
    <xf numFmtId="14" fontId="63" fillId="13" borderId="0" xfId="26" applyNumberFormat="1" applyFont="1" applyFill="1" applyAlignment="1">
      <alignment horizontal="center"/>
    </xf>
    <xf numFmtId="14" fontId="63" fillId="13" borderId="60" xfId="26" applyNumberFormat="1" applyFont="1" applyFill="1" applyBorder="1" applyAlignment="1">
      <alignment horizontal="center"/>
    </xf>
    <xf numFmtId="14" fontId="63" fillId="12" borderId="64" xfId="26" applyNumberFormat="1" applyFont="1" applyFill="1" applyBorder="1" applyAlignment="1">
      <alignment horizontal="center"/>
    </xf>
    <xf numFmtId="14" fontId="63" fillId="12" borderId="18" xfId="26" applyNumberFormat="1" applyFont="1" applyFill="1" applyBorder="1" applyAlignment="1">
      <alignment horizontal="center"/>
    </xf>
    <xf numFmtId="14" fontId="63" fillId="12" borderId="65" xfId="26" applyNumberFormat="1" applyFont="1" applyFill="1" applyBorder="1" applyAlignment="1">
      <alignment horizontal="center"/>
    </xf>
    <xf numFmtId="14" fontId="63" fillId="14" borderId="28" xfId="26" applyNumberFormat="1" applyFont="1" applyFill="1" applyBorder="1" applyAlignment="1">
      <alignment horizontal="center"/>
    </xf>
    <xf numFmtId="14" fontId="63" fillId="14" borderId="29" xfId="26" applyNumberFormat="1" applyFont="1" applyFill="1" applyBorder="1" applyAlignment="1">
      <alignment horizontal="center"/>
    </xf>
    <xf numFmtId="14" fontId="63" fillId="14" borderId="30" xfId="26" applyNumberFormat="1" applyFont="1" applyFill="1" applyBorder="1" applyAlignment="1">
      <alignment horizontal="center"/>
    </xf>
    <xf numFmtId="14" fontId="63" fillId="8" borderId="28" xfId="26" applyNumberFormat="1" applyFont="1" applyFill="1" applyBorder="1" applyAlignment="1">
      <alignment horizontal="center"/>
    </xf>
    <xf numFmtId="14" fontId="63" fillId="8" borderId="29" xfId="26" applyNumberFormat="1" applyFont="1" applyFill="1" applyBorder="1" applyAlignment="1">
      <alignment horizontal="center"/>
    </xf>
    <xf numFmtId="14" fontId="63" fillId="8" borderId="30" xfId="26" applyNumberFormat="1" applyFont="1" applyFill="1" applyBorder="1" applyAlignment="1">
      <alignment horizontal="center"/>
    </xf>
    <xf numFmtId="0" fontId="63" fillId="12" borderId="44" xfId="26" applyFont="1" applyFill="1" applyBorder="1" applyAlignment="1">
      <alignment horizontal="center"/>
    </xf>
    <xf numFmtId="0" fontId="63" fillId="12" borderId="45" xfId="26" applyFont="1" applyFill="1" applyBorder="1" applyAlignment="1">
      <alignment horizontal="center"/>
    </xf>
    <xf numFmtId="0" fontId="63" fillId="12" borderId="46" xfId="26" applyFont="1" applyFill="1" applyBorder="1" applyAlignment="1">
      <alignment horizontal="center"/>
    </xf>
    <xf numFmtId="0" fontId="63" fillId="13" borderId="0" xfId="26" applyFont="1" applyFill="1" applyAlignment="1">
      <alignment horizontal="center"/>
    </xf>
    <xf numFmtId="0" fontId="63" fillId="13" borderId="60" xfId="26" applyFont="1" applyFill="1" applyBorder="1" applyAlignment="1">
      <alignment horizontal="center"/>
    </xf>
    <xf numFmtId="0" fontId="63" fillId="12" borderId="59" xfId="26" applyFont="1" applyFill="1" applyBorder="1" applyAlignment="1">
      <alignment horizontal="center"/>
    </xf>
    <xf numFmtId="0" fontId="63" fillId="12" borderId="0" xfId="26" applyFont="1" applyFill="1" applyAlignment="1">
      <alignment horizontal="center"/>
    </xf>
    <xf numFmtId="0" fontId="63" fillId="14" borderId="61" xfId="26" applyFont="1" applyFill="1" applyBorder="1" applyAlignment="1">
      <alignment horizontal="center"/>
    </xf>
    <xf numFmtId="0" fontId="63" fillId="14" borderId="62" xfId="26" applyFont="1" applyFill="1" applyBorder="1" applyAlignment="1">
      <alignment horizontal="center"/>
    </xf>
    <xf numFmtId="0" fontId="63" fillId="14" borderId="63" xfId="26" applyFont="1" applyFill="1" applyBorder="1" applyAlignment="1">
      <alignment horizontal="center"/>
    </xf>
    <xf numFmtId="0" fontId="48" fillId="17" borderId="12" xfId="0" applyFont="1" applyFill="1" applyBorder="1" applyAlignment="1">
      <alignment horizontal="center"/>
    </xf>
    <xf numFmtId="49" fontId="48" fillId="17" borderId="12" xfId="0" applyNumberFormat="1" applyFont="1" applyFill="1" applyBorder="1" applyAlignment="1">
      <alignment horizontal="center" vertical="top"/>
    </xf>
    <xf numFmtId="0" fontId="95" fillId="17" borderId="2" xfId="0" applyFont="1" applyFill="1" applyBorder="1" applyAlignment="1">
      <alignment horizontal="center"/>
    </xf>
    <xf numFmtId="0" fontId="95" fillId="17" borderId="3" xfId="0" applyFont="1" applyFill="1" applyBorder="1" applyAlignment="1">
      <alignment horizontal="center"/>
    </xf>
    <xf numFmtId="0" fontId="95" fillId="17" borderId="4" xfId="0" applyFont="1" applyFill="1" applyBorder="1" applyAlignment="1">
      <alignment horizontal="center"/>
    </xf>
    <xf numFmtId="49" fontId="31" fillId="0" borderId="0" xfId="0" applyNumberFormat="1" applyFont="1" applyAlignment="1">
      <alignment vertical="top"/>
    </xf>
    <xf numFmtId="49" fontId="34" fillId="0" borderId="5" xfId="0" applyNumberFormat="1" applyFont="1" applyBorder="1" applyAlignment="1">
      <alignment horizontal="center" vertical="top" wrapText="1"/>
    </xf>
    <xf numFmtId="49" fontId="34" fillId="0" borderId="15" xfId="0" applyNumberFormat="1" applyFont="1" applyBorder="1" applyAlignment="1">
      <alignment horizontal="center" vertical="top" wrapText="1"/>
    </xf>
    <xf numFmtId="49" fontId="33" fillId="0" borderId="7" xfId="0" applyNumberFormat="1" applyFont="1" applyBorder="1" applyAlignment="1">
      <alignment horizontal="center" vertical="top" wrapText="1"/>
    </xf>
    <xf numFmtId="49" fontId="33" fillId="0" borderId="0" xfId="0" applyNumberFormat="1" applyFont="1" applyAlignment="1">
      <alignment horizontal="center" vertical="top" wrapText="1"/>
    </xf>
    <xf numFmtId="49" fontId="34" fillId="0" borderId="5" xfId="0" applyNumberFormat="1" applyFont="1" applyBorder="1" applyAlignment="1">
      <alignment horizontal="center" vertical="top"/>
    </xf>
    <xf numFmtId="49" fontId="34" fillId="0" borderId="15" xfId="0" applyNumberFormat="1" applyFont="1" applyBorder="1" applyAlignment="1">
      <alignment horizontal="center" vertical="top"/>
    </xf>
    <xf numFmtId="49" fontId="32" fillId="0" borderId="0" xfId="0" applyNumberFormat="1" applyFont="1" applyAlignment="1">
      <alignment vertical="top"/>
    </xf>
    <xf numFmtId="49" fontId="31" fillId="0" borderId="17" xfId="0" applyNumberFormat="1" applyFont="1" applyBorder="1" applyAlignment="1">
      <alignment vertical="top"/>
    </xf>
    <xf numFmtId="49" fontId="32" fillId="0" borderId="15" xfId="0" applyNumberFormat="1" applyFont="1" applyBorder="1" applyAlignment="1">
      <alignment vertical="top"/>
    </xf>
    <xf numFmtId="1" fontId="48" fillId="0" borderId="17" xfId="0" applyNumberFormat="1" applyFont="1" applyBorder="1" applyAlignment="1">
      <alignment horizontal="center"/>
    </xf>
    <xf numFmtId="49" fontId="33" fillId="0" borderId="17" xfId="0" applyNumberFormat="1" applyFont="1" applyBorder="1" applyAlignment="1">
      <alignment horizontal="center" vertical="top" wrapText="1"/>
    </xf>
    <xf numFmtId="9" fontId="42" fillId="8" borderId="8" xfId="16" applyFont="1" applyFill="1" applyBorder="1" applyAlignment="1">
      <alignment horizontal="center" vertical="center"/>
    </xf>
    <xf numFmtId="9" fontId="42" fillId="8" borderId="17" xfId="16" applyFont="1" applyFill="1" applyBorder="1" applyAlignment="1">
      <alignment horizontal="center" vertical="center"/>
    </xf>
    <xf numFmtId="0" fontId="46" fillId="0" borderId="12" xfId="0" applyFont="1" applyBorder="1" applyAlignment="1">
      <alignment horizontal="center"/>
    </xf>
    <xf numFmtId="9" fontId="42" fillId="8" borderId="12" xfId="16" applyFont="1" applyFill="1" applyBorder="1" applyAlignment="1">
      <alignment horizontal="center" vertical="center"/>
    </xf>
    <xf numFmtId="0" fontId="46" fillId="0" borderId="17" xfId="0" applyFont="1" applyBorder="1" applyAlignment="1">
      <alignment horizontal="center"/>
    </xf>
    <xf numFmtId="165" fontId="42" fillId="8" borderId="8" xfId="1" applyNumberFormat="1" applyFont="1" applyFill="1" applyBorder="1" applyAlignment="1">
      <alignment horizontal="center" vertical="center"/>
    </xf>
    <xf numFmtId="165" fontId="42" fillId="8" borderId="17" xfId="1" applyNumberFormat="1" applyFont="1" applyFill="1" applyBorder="1" applyAlignment="1">
      <alignment horizontal="center" vertical="center"/>
    </xf>
    <xf numFmtId="17" fontId="48" fillId="10" borderId="44" xfId="0" applyNumberFormat="1" applyFont="1" applyFill="1" applyBorder="1" applyAlignment="1">
      <alignment horizontal="center" vertical="center"/>
    </xf>
    <xf numFmtId="17" fontId="48" fillId="10" borderId="45" xfId="0" applyNumberFormat="1" applyFont="1" applyFill="1" applyBorder="1" applyAlignment="1">
      <alignment horizontal="center" vertical="center"/>
    </xf>
    <xf numFmtId="17" fontId="48" fillId="10" borderId="46" xfId="0" applyNumberFormat="1" applyFont="1" applyFill="1" applyBorder="1" applyAlignment="1">
      <alignment horizontal="center" vertical="center"/>
    </xf>
    <xf numFmtId="17" fontId="48" fillId="9" borderId="5" xfId="0" applyNumberFormat="1" applyFont="1" applyFill="1" applyBorder="1" applyAlignment="1">
      <alignment horizontal="center" vertical="center" wrapText="1"/>
    </xf>
    <xf numFmtId="17" fontId="48" fillId="9" borderId="7" xfId="0" applyNumberFormat="1" applyFont="1" applyFill="1" applyBorder="1" applyAlignment="1">
      <alignment horizontal="center" vertical="center" wrapText="1"/>
    </xf>
    <xf numFmtId="17" fontId="48" fillId="10" borderId="24" xfId="0" applyNumberFormat="1" applyFont="1" applyFill="1" applyBorder="1" applyAlignment="1">
      <alignment vertical="center"/>
    </xf>
    <xf numFmtId="17" fontId="48" fillId="10" borderId="25" xfId="0" applyNumberFormat="1" applyFont="1" applyFill="1" applyBorder="1" applyAlignment="1">
      <alignment vertical="center"/>
    </xf>
    <xf numFmtId="17" fontId="48" fillId="10" borderId="26" xfId="0" applyNumberFormat="1" applyFont="1" applyFill="1" applyBorder="1" applyAlignment="1">
      <alignment vertical="center"/>
    </xf>
    <xf numFmtId="165" fontId="48" fillId="10" borderId="25" xfId="1" applyNumberFormat="1" applyFont="1" applyFill="1" applyBorder="1" applyAlignment="1">
      <alignment vertical="center"/>
    </xf>
    <xf numFmtId="165" fontId="48" fillId="10" borderId="26" xfId="1" applyNumberFormat="1" applyFont="1" applyFill="1" applyBorder="1" applyAlignment="1">
      <alignment vertical="center"/>
    </xf>
    <xf numFmtId="17" fontId="48" fillId="9" borderId="44" xfId="0" applyNumberFormat="1" applyFont="1" applyFill="1" applyBorder="1" applyAlignment="1">
      <alignment horizontal="center" vertical="center" wrapText="1"/>
    </xf>
    <xf numFmtId="17" fontId="48" fillId="9" borderId="47" xfId="0" applyNumberFormat="1" applyFont="1" applyFill="1" applyBorder="1" applyAlignment="1">
      <alignment horizontal="center" vertical="center" wrapText="1"/>
    </xf>
    <xf numFmtId="17" fontId="48" fillId="10" borderId="31" xfId="0" applyNumberFormat="1" applyFont="1" applyFill="1" applyBorder="1" applyAlignment="1">
      <alignment horizontal="center" vertical="center"/>
    </xf>
    <xf numFmtId="17" fontId="48" fillId="9" borderId="12" xfId="0" applyNumberFormat="1" applyFont="1" applyFill="1" applyBorder="1" applyAlignment="1">
      <alignment horizontal="center" vertical="center" wrapText="1"/>
    </xf>
    <xf numFmtId="17" fontId="48" fillId="10" borderId="12" xfId="0" applyNumberFormat="1" applyFont="1" applyFill="1" applyBorder="1" applyAlignment="1">
      <alignment horizontal="center" vertical="center"/>
    </xf>
    <xf numFmtId="0" fontId="48" fillId="11" borderId="9" xfId="0" applyFont="1" applyFill="1" applyBorder="1" applyAlignment="1">
      <alignment horizontal="center" vertical="center"/>
    </xf>
    <xf numFmtId="0" fontId="48" fillId="11" borderId="11" xfId="0" applyFont="1" applyFill="1" applyBorder="1" applyAlignment="1">
      <alignment horizontal="center" vertical="center"/>
    </xf>
    <xf numFmtId="0" fontId="56" fillId="0" borderId="0" xfId="0" applyFont="1" applyAlignment="1">
      <alignment horizontal="center"/>
    </xf>
    <xf numFmtId="166" fontId="56" fillId="0" borderId="12" xfId="18" applyNumberFormat="1" applyFont="1" applyBorder="1" applyAlignment="1">
      <alignment horizontal="center"/>
    </xf>
    <xf numFmtId="0" fontId="56" fillId="0" borderId="2" xfId="0" applyFont="1" applyBorder="1" applyAlignment="1">
      <alignment horizontal="center"/>
    </xf>
    <xf numFmtId="0" fontId="56" fillId="0" borderId="4" xfId="0" applyFont="1" applyBorder="1" applyAlignment="1">
      <alignment horizontal="center"/>
    </xf>
    <xf numFmtId="166" fontId="56" fillId="0" borderId="0" xfId="18" applyNumberFormat="1" applyFont="1" applyAlignment="1">
      <alignment horizontal="center" wrapText="1"/>
    </xf>
    <xf numFmtId="49" fontId="34" fillId="0" borderId="10" xfId="0" applyNumberFormat="1" applyFont="1" applyBorder="1" applyAlignment="1">
      <alignment horizontal="center" vertical="top" wrapText="1"/>
    </xf>
    <xf numFmtId="49" fontId="33" fillId="0" borderId="13" xfId="0" applyNumberFormat="1" applyFont="1" applyBorder="1" applyAlignment="1">
      <alignment horizontal="center" vertical="top" wrapText="1"/>
    </xf>
    <xf numFmtId="49" fontId="33" fillId="0" borderId="8" xfId="0" applyNumberFormat="1" applyFont="1" applyBorder="1" applyAlignment="1">
      <alignment horizontal="center" vertical="top" wrapText="1"/>
    </xf>
    <xf numFmtId="49" fontId="38" fillId="0" borderId="15" xfId="0" applyNumberFormat="1" applyFont="1" applyBorder="1" applyAlignment="1">
      <alignment horizontal="center" vertical="top" wrapText="1"/>
    </xf>
    <xf numFmtId="49" fontId="34" fillId="0" borderId="7" xfId="0" applyNumberFormat="1" applyFont="1" applyBorder="1" applyAlignment="1">
      <alignment horizontal="center" vertical="top" wrapText="1"/>
    </xf>
    <xf numFmtId="49" fontId="34" fillId="0" borderId="0" xfId="0" applyNumberFormat="1" applyFont="1" applyAlignment="1">
      <alignment horizontal="center" vertical="top" wrapText="1"/>
    </xf>
    <xf numFmtId="49" fontId="34" fillId="0" borderId="10" xfId="0" applyNumberFormat="1" applyFont="1" applyBorder="1" applyAlignment="1">
      <alignment horizontal="center" vertical="top"/>
    </xf>
    <xf numFmtId="49" fontId="34" fillId="0" borderId="12" xfId="0" applyNumberFormat="1" applyFont="1" applyBorder="1" applyAlignment="1">
      <alignment horizontal="center" vertical="top"/>
    </xf>
    <xf numFmtId="49" fontId="34" fillId="0" borderId="12" xfId="0" applyNumberFormat="1" applyFont="1" applyBorder="1" applyAlignment="1">
      <alignment horizontal="center" vertical="top" wrapText="1"/>
    </xf>
    <xf numFmtId="164" fontId="34" fillId="0" borderId="5" xfId="1" applyFont="1" applyBorder="1" applyAlignment="1">
      <alignment horizontal="center" vertical="top" wrapText="1"/>
    </xf>
    <xf numFmtId="164" fontId="34" fillId="0" borderId="15" xfId="1" applyFont="1" applyBorder="1" applyAlignment="1">
      <alignment horizontal="center" vertical="top" wrapText="1"/>
    </xf>
    <xf numFmtId="164" fontId="33" fillId="0" borderId="7" xfId="1" applyFont="1" applyBorder="1" applyAlignment="1">
      <alignment horizontal="center" vertical="top" wrapText="1"/>
    </xf>
    <xf numFmtId="164" fontId="33" fillId="0" borderId="0" xfId="1" applyFont="1" applyAlignment="1">
      <alignment horizontal="center" vertical="top" wrapText="1"/>
    </xf>
    <xf numFmtId="164" fontId="34" fillId="0" borderId="5" xfId="1" applyFont="1" applyBorder="1" applyAlignment="1">
      <alignment horizontal="center" vertical="top"/>
    </xf>
    <xf numFmtId="164" fontId="34" fillId="0" borderId="15" xfId="1" applyFont="1" applyBorder="1" applyAlignment="1">
      <alignment horizontal="center" vertical="top"/>
    </xf>
    <xf numFmtId="164" fontId="34" fillId="0" borderId="5" xfId="1" applyFont="1" applyFill="1" applyBorder="1" applyAlignment="1">
      <alignment horizontal="center" vertical="top" wrapText="1"/>
    </xf>
    <xf numFmtId="164" fontId="34" fillId="0" borderId="15" xfId="1" applyFont="1" applyFill="1" applyBorder="1" applyAlignment="1">
      <alignment horizontal="center" vertical="top" wrapText="1"/>
    </xf>
    <xf numFmtId="164" fontId="33" fillId="0" borderId="8" xfId="1" applyFont="1" applyFill="1" applyBorder="1" applyAlignment="1">
      <alignment horizontal="center" vertical="top" wrapText="1"/>
    </xf>
    <xf numFmtId="164" fontId="33" fillId="0" borderId="17" xfId="1" applyFont="1" applyFill="1" applyBorder="1" applyAlignment="1">
      <alignment horizontal="center" vertical="top" wrapText="1"/>
    </xf>
  </cellXfs>
  <cellStyles count="46">
    <cellStyle name="Comma" xfId="1" builtinId="3"/>
    <cellStyle name="Comma [0] 5" xfId="21" xr:uid="{00000000-0005-0000-0000-000001000000}"/>
    <cellStyle name="Comma [0] 6" xfId="22" xr:uid="{00000000-0005-0000-0000-000002000000}"/>
    <cellStyle name="Comma 10" xfId="27" xr:uid="{00000000-0005-0000-0000-000003000000}"/>
    <cellStyle name="Comma 10 11" xfId="28" xr:uid="{00000000-0005-0000-0000-000004000000}"/>
    <cellStyle name="Comma 10 2" xfId="45" xr:uid="{00000000-0005-0000-0000-000005000000}"/>
    <cellStyle name="Comma 11 4 3" xfId="18" xr:uid="{00000000-0005-0000-0000-000006000000}"/>
    <cellStyle name="Comma 12" xfId="14" xr:uid="{00000000-0005-0000-0000-000007000000}"/>
    <cellStyle name="Comma 16 3" xfId="32" xr:uid="{00000000-0005-0000-0000-000008000000}"/>
    <cellStyle name="Comma 2" xfId="4" xr:uid="{00000000-0005-0000-0000-000009000000}"/>
    <cellStyle name="Comma 2 2" xfId="11" xr:uid="{00000000-0005-0000-0000-00000A000000}"/>
    <cellStyle name="Comma 2 2 2" xfId="24" xr:uid="{00000000-0005-0000-0000-00000B000000}"/>
    <cellStyle name="Comma 2 2 2 2" xfId="38" xr:uid="{00000000-0005-0000-0000-00000C000000}"/>
    <cellStyle name="Comma 2 9" xfId="43" xr:uid="{00000000-0005-0000-0000-00000D000000}"/>
    <cellStyle name="Comma 3" xfId="7" xr:uid="{00000000-0005-0000-0000-00000E000000}"/>
    <cellStyle name="Comma 3 2" xfId="9" xr:uid="{00000000-0005-0000-0000-00000F000000}"/>
    <cellStyle name="Comma 4" xfId="20" xr:uid="{00000000-0005-0000-0000-000010000000}"/>
    <cellStyle name="Comma 4 10 2" xfId="39" xr:uid="{00000000-0005-0000-0000-000011000000}"/>
    <cellStyle name="Comma 4 2" xfId="25" xr:uid="{00000000-0005-0000-0000-000012000000}"/>
    <cellStyle name="Comma 5" xfId="8" xr:uid="{00000000-0005-0000-0000-000013000000}"/>
    <cellStyle name="Comma 89" xfId="15" xr:uid="{00000000-0005-0000-0000-000014000000}"/>
    <cellStyle name="Hyperlink" xfId="19" builtinId="8"/>
    <cellStyle name="Normal" xfId="0" builtinId="0"/>
    <cellStyle name="Normal - Style1 2" xfId="26" xr:uid="{00000000-0005-0000-0000-000017000000}"/>
    <cellStyle name="Normal 11" xfId="12" xr:uid="{00000000-0005-0000-0000-000018000000}"/>
    <cellStyle name="Normal 11 2" xfId="33" xr:uid="{00000000-0005-0000-0000-000019000000}"/>
    <cellStyle name="Normal 2 2" xfId="6" xr:uid="{00000000-0005-0000-0000-00001A000000}"/>
    <cellStyle name="Normal 2 2 2" xfId="44" xr:uid="{00000000-0005-0000-0000-00001B000000}"/>
    <cellStyle name="Normal 2 3" xfId="5" xr:uid="{00000000-0005-0000-0000-00001C000000}"/>
    <cellStyle name="Normal 4" xfId="3" xr:uid="{00000000-0005-0000-0000-00001D000000}"/>
    <cellStyle name="Normal 4 2" xfId="23" xr:uid="{00000000-0005-0000-0000-00001E000000}"/>
    <cellStyle name="Normal 4 4" xfId="36" xr:uid="{00000000-0005-0000-0000-00001F000000}"/>
    <cellStyle name="Normal 45" xfId="17" xr:uid="{00000000-0005-0000-0000-000020000000}"/>
    <cellStyle name="Normal 50" xfId="35" xr:uid="{00000000-0005-0000-0000-000021000000}"/>
    <cellStyle name="Normal 55" xfId="34" xr:uid="{00000000-0005-0000-0000-000022000000}"/>
    <cellStyle name="Normal 57" xfId="30" xr:uid="{00000000-0005-0000-0000-000023000000}"/>
    <cellStyle name="Normal 7" xfId="13" xr:uid="{00000000-0005-0000-0000-000024000000}"/>
    <cellStyle name="Normal 8 3" xfId="29" xr:uid="{00000000-0005-0000-0000-000025000000}"/>
    <cellStyle name="Normal_AppTax Comp06-07" xfId="37" xr:uid="{00000000-0005-0000-0000-000026000000}"/>
    <cellStyle name="Normal_AppTax Comp06-07 2" xfId="40" xr:uid="{00000000-0005-0000-0000-000027000000}"/>
    <cellStyle name="Percent" xfId="2" builtinId="5"/>
    <cellStyle name="Percent 10" xfId="31" xr:uid="{00000000-0005-0000-0000-000029000000}"/>
    <cellStyle name="Percent 2" xfId="10" xr:uid="{00000000-0005-0000-0000-00002A000000}"/>
    <cellStyle name="Percent 2 2" xfId="42" xr:uid="{00000000-0005-0000-0000-00002B000000}"/>
    <cellStyle name="Percent 6" xfId="16" xr:uid="{00000000-0005-0000-0000-00002C000000}"/>
    <cellStyle name="Percent 7" xfId="41" xr:uid="{00000000-0005-0000-0000-00002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AGR\Zenrise%20GSTR1%20April\Financial%20Workings%20FY%202022-23\Final%20Financials%20workings%20V3\Final%20Financials%20FY%202022-23\Debtors%20and%20Creditors%20Outstanding%20%20%20Age%20wise%20Details%20as%20on%2031-03-2023%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prasad Akula" refreshedDate="45162.59321875" createdVersion="8" refreshedVersion="8" minRefreshableVersion="3" recordCount="89" xr:uid="{00000000-000A-0000-FFFF-FFFF00000000}">
  <cacheSource type="worksheet">
    <worksheetSource ref="A2:F91" sheet="Creditors MSME Classification" r:id="rId2"/>
  </cacheSource>
  <cacheFields count="6">
    <cacheField name="Category" numFmtId="0">
      <sharedItems count="3">
        <s v="Cap Exp Sundry cr"/>
        <s v="Exp Sundry creditors"/>
        <s v="remain Sundry Cr" u="1"/>
      </sharedItems>
    </cacheField>
    <cacheField name="Vendor Name" numFmtId="49">
      <sharedItems/>
    </cacheField>
    <cacheField name="Amount" numFmtId="0">
      <sharedItems containsSemiMixedTypes="0" containsString="0" containsNumber="1" minValue="-4178.3" maxValue="1211672.2"/>
    </cacheField>
    <cacheField name="MSME YES/No" numFmtId="0">
      <sharedItems count="2">
        <s v="YES"/>
        <s v="NO"/>
      </sharedItems>
    </cacheField>
    <cacheField name="Amount morethan 1 Year" numFmtId="0">
      <sharedItems containsString="0" containsBlank="1" containsNumber="1" containsInteger="1" minValue="31510" maxValue="115279"/>
    </cacheField>
    <cacheField name="Amount less than 1 Year" numFmtId="0">
      <sharedItems containsString="0" containsBlank="1" containsNumber="1" minValue="-4178.3" maxValue="121167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9.650088078706" createdVersion="8" refreshedVersion="8" minRefreshableVersion="3" recordCount="60" xr:uid="{00000000-000A-0000-FFFF-FFFF01000000}">
  <cacheSource type="worksheet">
    <worksheetSource ref="A2:F63" sheet="Creditors"/>
  </cacheSource>
  <cacheFields count="6">
    <cacheField name="Category" numFmtId="0">
      <sharedItems count="2">
        <s v="Cap Exp Sundry cr"/>
        <s v="Exp Sundry creditors"/>
      </sharedItems>
    </cacheField>
    <cacheField name="Vendor Name" numFmtId="49">
      <sharedItems/>
    </cacheField>
    <cacheField name="Amount" numFmtId="172">
      <sharedItems containsSemiMixedTypes="0" containsString="0" containsNumber="1" minValue="-4178.3" maxValue="1201500"/>
    </cacheField>
    <cacheField name="MSME YES/No" numFmtId="0">
      <sharedItems count="2">
        <s v="YES"/>
        <s v="NO"/>
      </sharedItems>
    </cacheField>
    <cacheField name="Amount morethan 1 Year" numFmtId="0">
      <sharedItems containsString="0" containsBlank="1" containsNumber="1" containsInteger="1" minValue="31510" maxValue="115279"/>
    </cacheField>
    <cacheField name="Amount less than 1 Year" numFmtId="0">
      <sharedItems containsString="0" containsBlank="1" containsNumber="1" minValue="-4178.3" maxValue="1201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s v="Akshaya Scientific Pvt Ltd"/>
    <n v="117817.85"/>
    <x v="0"/>
    <m/>
    <n v="117817.85"/>
  </r>
  <r>
    <x v="0"/>
    <s v="Bharat Science Apparatus Workshops"/>
    <n v="670362.06000000006"/>
    <x v="0"/>
    <m/>
    <n v="670362.06000000006"/>
  </r>
  <r>
    <x v="0"/>
    <s v="Interest Payable on APSFC LOAN"/>
    <n v="352703"/>
    <x v="1"/>
    <m/>
    <n v="352703"/>
  </r>
  <r>
    <x v="0"/>
    <s v="MDS BIO ANALYTICS PVT LTD"/>
    <n v="95768.8"/>
    <x v="0"/>
    <m/>
    <n v="95768.8"/>
  </r>
  <r>
    <x v="0"/>
    <s v="MEDILINK ENTERPRISES P LTD"/>
    <n v="16284"/>
    <x v="1"/>
    <m/>
    <n v="16284"/>
  </r>
  <r>
    <x v="0"/>
    <s v="Opulent Furniture"/>
    <n v="80090"/>
    <x v="1"/>
    <n v="80090"/>
    <m/>
  </r>
  <r>
    <x v="0"/>
    <s v="Ramanvita Solutions"/>
    <n v="91836"/>
    <x v="1"/>
    <n v="91836"/>
    <m/>
  </r>
  <r>
    <x v="0"/>
    <s v="RAMSON GENSYSTEM SERVICES"/>
    <n v="115279"/>
    <x v="1"/>
    <n v="115279"/>
    <m/>
  </r>
  <r>
    <x v="0"/>
    <s v="Sana Fabrication"/>
    <n v="31510"/>
    <x v="0"/>
    <n v="31510"/>
    <m/>
  </r>
  <r>
    <x v="0"/>
    <s v="SIMSON PHARMA"/>
    <n v="147881.35"/>
    <x v="0"/>
    <m/>
    <n v="147881.35"/>
  </r>
  <r>
    <x v="0"/>
    <s v="SRI SURYA PRABHA HARD WARE"/>
    <n v="-502"/>
    <x v="1"/>
    <m/>
    <n v="-502"/>
  </r>
  <r>
    <x v="0"/>
    <s v="S S ANALYTICALS"/>
    <n v="10915"/>
    <x v="0"/>
    <m/>
    <n v="10915"/>
  </r>
  <r>
    <x v="0"/>
    <s v="Vijaya Textiles"/>
    <n v="67565"/>
    <x v="1"/>
    <m/>
    <n v="67565"/>
  </r>
  <r>
    <x v="0"/>
    <s v="WIPRO G E HEALTHCARE PVT LTD"/>
    <n v="440"/>
    <x v="1"/>
    <m/>
    <n v="440"/>
  </r>
  <r>
    <x v="1"/>
    <s v="Adishwar Auto Diagnostics P Ltd"/>
    <n v="-4178.3"/>
    <x v="1"/>
    <m/>
    <n v="-4178.3"/>
  </r>
  <r>
    <x v="1"/>
    <s v="AGR Corporate Consultants LLP"/>
    <n v="86400"/>
    <x v="1"/>
    <m/>
    <n v="86400"/>
  </r>
  <r>
    <x v="1"/>
    <s v="AKIRA ANALYTICAL SOLUTIONS P LTD"/>
    <n v="88500"/>
    <x v="0"/>
    <m/>
    <n v="88500"/>
  </r>
  <r>
    <x v="1"/>
    <s v="Aventiva Solutions (OPC) Pvt Ltd"/>
    <n v="39096"/>
    <x v="1"/>
    <m/>
    <n v="39096"/>
  </r>
  <r>
    <x v="1"/>
    <s v="Ayyappa Amubulance Service"/>
    <n v="22770"/>
    <x v="1"/>
    <m/>
    <n v="22770"/>
  </r>
  <r>
    <x v="1"/>
    <s v="AYYAPPA MANAGEMENT SERVICES"/>
    <n v="444090"/>
    <x v="1"/>
    <m/>
    <n v="444090"/>
  </r>
  <r>
    <x v="1"/>
    <s v="BADAL KUMAR MAHOPATRA"/>
    <n v="5000"/>
    <x v="1"/>
    <m/>
    <n v="5000"/>
  </r>
  <r>
    <x v="1"/>
    <s v="BHARATHI AIRTEL LTD"/>
    <n v="11483"/>
    <x v="1"/>
    <m/>
    <n v="11483"/>
  </r>
  <r>
    <x v="1"/>
    <s v="BhavyaSree EnterPrises"/>
    <n v="41110"/>
    <x v="1"/>
    <m/>
    <n v="41110"/>
  </r>
  <r>
    <x v="1"/>
    <s v="Bio Organics &amp; Applied Materials Pvt Ltd"/>
    <n v="105020"/>
    <x v="0"/>
    <m/>
    <n v="105020"/>
  </r>
  <r>
    <x v="1"/>
    <s v="B SATYA ANNAPURNA"/>
    <n v="-285"/>
    <x v="1"/>
    <m/>
    <n v="-285"/>
  </r>
  <r>
    <x v="1"/>
    <s v="Choudhary Marketing"/>
    <n v="1211672.2"/>
    <x v="1"/>
    <m/>
    <n v="1211672.2"/>
  </r>
  <r>
    <x v="1"/>
    <s v="CHROME SOURCE"/>
    <n v="308353"/>
    <x v="0"/>
    <m/>
    <n v="308353"/>
  </r>
  <r>
    <x v="1"/>
    <s v="CLEARSYNTH LABS LTD"/>
    <n v="15045"/>
    <x v="0"/>
    <m/>
    <n v="15045"/>
  </r>
  <r>
    <x v="1"/>
    <s v="CRO Splendid Lab Pvt Ltd"/>
    <n v="2360"/>
    <x v="0"/>
    <m/>
    <n v="2360"/>
  </r>
  <r>
    <x v="1"/>
    <s v="ENDPOINT DATA ANALYTICS PVT LTD"/>
    <n v="986040"/>
    <x v="1"/>
    <m/>
    <n v="986040"/>
  </r>
  <r>
    <x v="1"/>
    <s v="G J Multiclave (India) Pvt Ltd"/>
    <n v="21900"/>
    <x v="1"/>
    <m/>
    <n v="21900"/>
  </r>
  <r>
    <x v="1"/>
    <s v="GK ANALYTICS"/>
    <n v="645408"/>
    <x v="0"/>
    <m/>
    <n v="645408"/>
  </r>
  <r>
    <x v="1"/>
    <s v="HAEMO SERVICE LABORATORIES"/>
    <n v="212500"/>
    <x v="0"/>
    <m/>
    <n v="212500"/>
  </r>
  <r>
    <x v="1"/>
    <s v="HANUMAN TIFFEN CENTRE"/>
    <n v="38040"/>
    <x v="1"/>
    <m/>
    <n v="38040"/>
  </r>
  <r>
    <x v="1"/>
    <s v="Health Care Needs"/>
    <n v="208080"/>
    <x v="0"/>
    <m/>
    <n v="208080"/>
  </r>
  <r>
    <x v="1"/>
    <s v="HIMALA WATER SUPPLY"/>
    <n v="22620"/>
    <x v="1"/>
    <m/>
    <n v="22620"/>
  </r>
  <r>
    <x v="1"/>
    <s v="Hyderabad Metro Water Service Board"/>
    <n v="29850"/>
    <x v="1"/>
    <m/>
    <n v="29850"/>
  </r>
  <r>
    <x v="1"/>
    <s v="ICICI LOMBARD GIC LTD"/>
    <n v="-6"/>
    <x v="1"/>
    <m/>
    <n v="-6"/>
  </r>
  <r>
    <x v="1"/>
    <s v="Inductive Quotient Analytics India Pvt Ltd"/>
    <n v="243000"/>
    <x v="0"/>
    <m/>
    <n v="243000"/>
  </r>
  <r>
    <x v="1"/>
    <s v="INSTANT PRINT SOLUTIONS INDIA P LTD"/>
    <n v="18860"/>
    <x v="0"/>
    <m/>
    <n v="18860"/>
  </r>
  <r>
    <x v="1"/>
    <s v="JAYA SIRI ENTERPRISES"/>
    <n v="154060"/>
    <x v="0"/>
    <m/>
    <n v="154060"/>
  </r>
  <r>
    <x v="1"/>
    <s v="Kireeti Indenting &amp; Exim Services Pvt Ltd"/>
    <n v="56990"/>
    <x v="1"/>
    <n v="56990"/>
    <m/>
  </r>
  <r>
    <x v="1"/>
    <s v="Maddi Bhanu Kiran Reddy"/>
    <n v="14715"/>
    <x v="1"/>
    <m/>
    <n v="14715"/>
  </r>
  <r>
    <x v="1"/>
    <s v="MARG INDEPENDENT ETHICS COMMITTEE"/>
    <n v="52799"/>
    <x v="1"/>
    <m/>
    <n v="52799"/>
  </r>
  <r>
    <x v="1"/>
    <s v="M Jyothi Madhav"/>
    <n v="8637"/>
    <x v="1"/>
    <m/>
    <n v="8637"/>
  </r>
  <r>
    <x v="1"/>
    <s v="Mokshy Surgicals"/>
    <n v="351120"/>
    <x v="0"/>
    <m/>
    <n v="351120"/>
  </r>
  <r>
    <x v="1"/>
    <s v="Pavani Consultancy"/>
    <n v="3150"/>
    <x v="1"/>
    <m/>
    <n v="3150"/>
  </r>
  <r>
    <x v="1"/>
    <s v="Pest Control Technics"/>
    <n v="34650"/>
    <x v="1"/>
    <m/>
    <n v="34650"/>
  </r>
  <r>
    <x v="1"/>
    <s v="Phenomenex India Pvt Ltd"/>
    <n v="938084.74"/>
    <x v="0"/>
    <m/>
    <n v="938084.74"/>
  </r>
  <r>
    <x v="1"/>
    <s v="P Navya"/>
    <n v="725"/>
    <x v="1"/>
    <m/>
    <n v="725"/>
  </r>
  <r>
    <x v="1"/>
    <s v="Priority Advertising"/>
    <n v="13345.8"/>
    <x v="1"/>
    <m/>
    <n v="13345.8"/>
  </r>
  <r>
    <x v="1"/>
    <s v="R Sumana"/>
    <n v="8208"/>
    <x v="1"/>
    <m/>
    <n v="8208"/>
  </r>
  <r>
    <x v="1"/>
    <s v="SHANTHI ENGINEERING"/>
    <n v="590"/>
    <x v="1"/>
    <m/>
    <n v="590"/>
  </r>
  <r>
    <x v="1"/>
    <s v="SHRI BALAZEE CATERING SERVICES"/>
    <n v="581434"/>
    <x v="0"/>
    <m/>
    <n v="581434"/>
  </r>
  <r>
    <x v="1"/>
    <s v="Simco Calibration Laboratory"/>
    <n v="41472"/>
    <x v="0"/>
    <m/>
    <n v="41472"/>
  </r>
  <r>
    <x v="1"/>
    <s v="Sri Karyasiddhi Veeranjaneya Services"/>
    <n v="10368"/>
    <x v="0"/>
    <m/>
    <n v="10368"/>
  </r>
  <r>
    <x v="1"/>
    <s v="Sri Laxmi Dry Ice &amp; Gases"/>
    <n v="122279"/>
    <x v="0"/>
    <m/>
    <n v="122279"/>
  </r>
  <r>
    <x v="1"/>
    <s v="Suntec Medical Systems"/>
    <n v="21615"/>
    <x v="0"/>
    <m/>
    <n v="21615"/>
  </r>
  <r>
    <x v="1"/>
    <s v="T CHANDRA SEKHARA SARMA"/>
    <n v="574199"/>
    <x v="1"/>
    <m/>
    <n v="574199"/>
  </r>
  <r>
    <x v="1"/>
    <s v="T GARGEYA"/>
    <n v="574199"/>
    <x v="1"/>
    <m/>
    <n v="574199"/>
  </r>
  <r>
    <x v="1"/>
    <s v="T.Leela Rent"/>
    <n v="574199"/>
    <x v="1"/>
    <m/>
    <n v="574199"/>
  </r>
  <r>
    <x v="1"/>
    <s v="T Sridhar (Poojari)"/>
    <n v="9900"/>
    <x v="1"/>
    <m/>
    <n v="9900"/>
  </r>
  <r>
    <x v="1"/>
    <s v="U Srinivasulu (Dietician)"/>
    <n v="5850"/>
    <x v="1"/>
    <m/>
    <n v="5850"/>
  </r>
  <r>
    <x v="1"/>
    <s v="Vivan Life Sciences Pvt Ltd"/>
    <n v="89090"/>
    <x v="0"/>
    <m/>
    <n v="89090"/>
  </r>
  <r>
    <x v="1"/>
    <s v="Writers Business Services Pvt Ltd"/>
    <n v="30521.51"/>
    <x v="0"/>
    <m/>
    <n v="30521.51"/>
  </r>
  <r>
    <x v="1"/>
    <s v="Zef Scientific India Pvt Ltd"/>
    <n v="179864.2"/>
    <x v="1"/>
    <m/>
    <n v="179864.2"/>
  </r>
  <r>
    <x v="1"/>
    <s v="Arnav Health Care"/>
    <n v="107628"/>
    <x v="0"/>
    <m/>
    <n v="107628"/>
  </r>
  <r>
    <x v="1"/>
    <s v="C. Abhay kumar &amp; Co."/>
    <n v="28365"/>
    <x v="0"/>
    <m/>
    <n v="28365"/>
  </r>
  <r>
    <x v="1"/>
    <s v="Chromatography Solutions"/>
    <n v="148208"/>
    <x v="0"/>
    <m/>
    <n v="148208"/>
  </r>
  <r>
    <x v="1"/>
    <s v="Clinvend Clinical Research Solutions"/>
    <n v="93220"/>
    <x v="0"/>
    <m/>
    <n v="93220"/>
  </r>
  <r>
    <x v="1"/>
    <s v="DHR Holding India Pvt Ltd"/>
    <n v="518400"/>
    <x v="1"/>
    <m/>
    <n v="518400"/>
  </r>
  <r>
    <x v="1"/>
    <s v="Innosyn Life Sciences Pvt. Ltd."/>
    <n v="135700"/>
    <x v="0"/>
    <m/>
    <n v="135700"/>
  </r>
  <r>
    <x v="1"/>
    <s v="K.G.N Medi Care"/>
    <n v="4972"/>
    <x v="0"/>
    <m/>
    <n v="4972"/>
  </r>
  <r>
    <x v="1"/>
    <s v="Lab Needs Private Limited"/>
    <n v="272685"/>
    <x v="0"/>
    <m/>
    <n v="272685"/>
  </r>
  <r>
    <x v="1"/>
    <s v="LCGC Chrom Consumables LLP"/>
    <n v="607679"/>
    <x v="0"/>
    <m/>
    <n v="607679"/>
  </r>
  <r>
    <x v="1"/>
    <s v="Prasoft IT Services Private Limited"/>
    <n v="33748"/>
    <x v="0"/>
    <m/>
    <n v="33748"/>
  </r>
  <r>
    <x v="1"/>
    <s v="Raptor Safety"/>
    <n v="118387"/>
    <x v="0"/>
    <m/>
    <n v="118387"/>
  </r>
  <r>
    <x v="1"/>
    <s v="RG Health care"/>
    <n v="51072"/>
    <x v="0"/>
    <m/>
    <n v="51072"/>
  </r>
  <r>
    <x v="1"/>
    <s v="Riki Global Trading Pvt Ltd"/>
    <n v="31594"/>
    <x v="1"/>
    <m/>
    <n v="31594"/>
  </r>
  <r>
    <x v="1"/>
    <s v="R R Building Products"/>
    <n v="416"/>
    <x v="1"/>
    <m/>
    <n v="416"/>
  </r>
  <r>
    <x v="1"/>
    <s v="Saphire Scientific Company"/>
    <n v="21726"/>
    <x v="1"/>
    <m/>
    <n v="21726"/>
  </r>
  <r>
    <x v="1"/>
    <s v="Satya Devaya Clinic Lab"/>
    <n v="93200"/>
    <x v="1"/>
    <m/>
    <n v="93200"/>
  </r>
  <r>
    <x v="1"/>
    <s v="SMR Sales And Services"/>
    <n v="27683"/>
    <x v="1"/>
    <m/>
    <n v="27683"/>
  </r>
  <r>
    <x v="1"/>
    <s v="Snowman Logistics Limited"/>
    <n v="13885"/>
    <x v="0"/>
    <m/>
    <n v="13885"/>
  </r>
  <r>
    <x v="1"/>
    <s v="Spark Scientific Pvt Ltd"/>
    <n v="5664"/>
    <x v="0"/>
    <m/>
    <n v="5664"/>
  </r>
  <r>
    <x v="1"/>
    <s v="Universal Instruments"/>
    <n v="0.1"/>
    <x v="1"/>
    <m/>
    <n v="0.1"/>
  </r>
  <r>
    <x v="1"/>
    <s v="Vasavi Hospital"/>
    <n v="99000"/>
    <x v="1"/>
    <m/>
    <n v="99000"/>
  </r>
  <r>
    <x v="1"/>
    <s v="Vinayaka Foods"/>
    <n v="423729"/>
    <x v="1"/>
    <m/>
    <n v="423729"/>
  </r>
  <r>
    <x v="1"/>
    <s v="ZODIAC LIFE SCIENCES PVT LTD"/>
    <n v="0.6"/>
    <x v="1"/>
    <m/>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x v="0"/>
    <s v="Akshaya Scientific Pvt Ltd"/>
    <n v="193740.9"/>
    <x v="0"/>
    <m/>
    <n v="193740.9"/>
  </r>
  <r>
    <x v="0"/>
    <s v="Bharat Science Apparatus Workshops"/>
    <n v="612601.11"/>
    <x v="0"/>
    <m/>
    <n v="612601.11"/>
  </r>
  <r>
    <x v="0"/>
    <s v="MDS BIO ANALYTICS PVT LTD"/>
    <n v="95768.8"/>
    <x v="0"/>
    <m/>
    <n v="95768.8"/>
  </r>
  <r>
    <x v="0"/>
    <s v="Opulent Furniture"/>
    <n v="80090"/>
    <x v="1"/>
    <n v="80090"/>
    <m/>
  </r>
  <r>
    <x v="0"/>
    <s v="Ramanvita Solutions"/>
    <n v="91836"/>
    <x v="1"/>
    <n v="91836"/>
    <m/>
  </r>
  <r>
    <x v="0"/>
    <s v="RAMSON GENSYSTEM SERVICES"/>
    <n v="115279"/>
    <x v="1"/>
    <n v="115279"/>
    <m/>
  </r>
  <r>
    <x v="0"/>
    <s v="Sana Fabrication"/>
    <n v="31510"/>
    <x v="0"/>
    <n v="31510"/>
    <m/>
  </r>
  <r>
    <x v="0"/>
    <s v="SIMSON PHARMA"/>
    <n v="429992"/>
    <x v="0"/>
    <m/>
    <n v="429992"/>
  </r>
  <r>
    <x v="0"/>
    <s v="SRI SURYA PRABHA HARD WARE"/>
    <n v="-502"/>
    <x v="1"/>
    <m/>
    <n v="-502"/>
  </r>
  <r>
    <x v="0"/>
    <s v="WIPRO G E HEALTHCARE PVT LTD"/>
    <n v="440"/>
    <x v="1"/>
    <m/>
    <n v="440"/>
  </r>
  <r>
    <x v="1"/>
    <s v="Adishwar Auto Diagnostics P Ltd"/>
    <n v="-4178.3"/>
    <x v="1"/>
    <m/>
    <n v="-4178.3"/>
  </r>
  <r>
    <x v="1"/>
    <s v="AGR Corporate Consultants LLP"/>
    <n v="54000"/>
    <x v="1"/>
    <m/>
    <n v="54000"/>
  </r>
  <r>
    <x v="1"/>
    <s v="Ayyappa Amubulance Service"/>
    <n v="20790"/>
    <x v="1"/>
    <m/>
    <n v="20790"/>
  </r>
  <r>
    <x v="1"/>
    <s v="AYYAPPA MANAGEMENT SERVICES"/>
    <n v="467094"/>
    <x v="1"/>
    <m/>
    <n v="467094"/>
  </r>
  <r>
    <x v="1"/>
    <s v="BhavyaSree EnterPrises"/>
    <n v="717"/>
    <x v="1"/>
    <m/>
    <n v="717"/>
  </r>
  <r>
    <x v="1"/>
    <s v="Bio Organics &amp; Applied Materials Pvt Ltd"/>
    <n v="224790"/>
    <x v="0"/>
    <m/>
    <n v="224790"/>
  </r>
  <r>
    <x v="1"/>
    <s v="B SATYA ANNAPURNA"/>
    <n v="-285"/>
    <x v="1"/>
    <m/>
    <n v="-285"/>
  </r>
  <r>
    <x v="1"/>
    <s v="CHROME SOURCE"/>
    <n v="683435"/>
    <x v="0"/>
    <m/>
    <n v="683435"/>
  </r>
  <r>
    <x v="1"/>
    <s v="CLEARSYNTH LABS LTD"/>
    <n v="107380"/>
    <x v="0"/>
    <m/>
    <n v="107380"/>
  </r>
  <r>
    <x v="1"/>
    <s v="CRO Splendid Lab Pvt Ltd"/>
    <n v="18703"/>
    <x v="0"/>
    <m/>
    <n v="18703"/>
  </r>
  <r>
    <x v="1"/>
    <s v="ENDPOINT DATA ANALYTICS PVT LTD"/>
    <n v="323568"/>
    <x v="1"/>
    <m/>
    <n v="323568"/>
  </r>
  <r>
    <x v="1"/>
    <s v="G J Multiclave (India) Pvt Ltd"/>
    <n v="16500"/>
    <x v="1"/>
    <m/>
    <n v="16500"/>
  </r>
  <r>
    <x v="1"/>
    <s v="HAEMO SERVICE LABORATORIES"/>
    <n v="80000"/>
    <x v="0"/>
    <m/>
    <n v="80000"/>
  </r>
  <r>
    <x v="1"/>
    <s v="Health Care Needs"/>
    <n v="285586"/>
    <x v="0"/>
    <m/>
    <n v="285586"/>
  </r>
  <r>
    <x v="1"/>
    <s v="HIMALA WATER SUPPLY"/>
    <n v="27150"/>
    <x v="1"/>
    <m/>
    <n v="27150"/>
  </r>
  <r>
    <x v="1"/>
    <s v="Hyderabad Metro Water Service Board"/>
    <n v="4645.5"/>
    <x v="1"/>
    <m/>
    <n v="4645.5"/>
  </r>
  <r>
    <x v="1"/>
    <s v="ICICI LOMBARD GIC LTD"/>
    <n v="-165.2"/>
    <x v="1"/>
    <m/>
    <n v="-165.2"/>
  </r>
  <r>
    <x v="1"/>
    <s v="JAYA SIRI ENTERPRISES"/>
    <n v="126124"/>
    <x v="0"/>
    <m/>
    <n v="126124"/>
  </r>
  <r>
    <x v="1"/>
    <s v="Kireeti Indenting &amp; Exim Services Pvt Ltd"/>
    <n v="56990"/>
    <x v="1"/>
    <n v="56990"/>
    <m/>
  </r>
  <r>
    <x v="1"/>
    <s v="MARG INDEPENDENT ETHICS COMMITTEE"/>
    <n v="198000"/>
    <x v="1"/>
    <m/>
    <n v="198000"/>
  </r>
  <r>
    <x v="1"/>
    <s v="Mokshy Surgicals"/>
    <n v="247072"/>
    <x v="0"/>
    <m/>
    <n v="247072"/>
  </r>
  <r>
    <x v="1"/>
    <s v="Pest Control Technics"/>
    <n v="17820"/>
    <x v="1"/>
    <m/>
    <n v="17820"/>
  </r>
  <r>
    <x v="1"/>
    <s v="Phenomenex India Pvt Ltd"/>
    <n v="84053.17"/>
    <x v="0"/>
    <m/>
    <n v="84053.17"/>
  </r>
  <r>
    <x v="1"/>
    <s v="Priority Advertising"/>
    <n v="8383.9"/>
    <x v="1"/>
    <m/>
    <n v="8383.9"/>
  </r>
  <r>
    <x v="1"/>
    <s v="R Sumana"/>
    <n v="24894"/>
    <x v="1"/>
    <m/>
    <n v="24894"/>
  </r>
  <r>
    <x v="1"/>
    <s v="SHANTHI ENGINEERING"/>
    <n v="590"/>
    <x v="1"/>
    <m/>
    <n v="590"/>
  </r>
  <r>
    <x v="1"/>
    <s v="SHRI BALAZEE CATERING SERVICES"/>
    <n v="378971"/>
    <x v="0"/>
    <m/>
    <n v="378971"/>
  </r>
  <r>
    <x v="1"/>
    <s v="Sri Laxmi Dry Ice &amp; Gases"/>
    <n v="68151.600000000006"/>
    <x v="0"/>
    <m/>
    <n v="68151.600000000006"/>
  </r>
  <r>
    <x v="1"/>
    <s v="T CHANDRA SEKHARA SARMA"/>
    <n v="602379"/>
    <x v="1"/>
    <m/>
    <n v="602379"/>
  </r>
  <r>
    <x v="1"/>
    <s v="T GARGEYA"/>
    <n v="602279"/>
    <x v="1"/>
    <m/>
    <n v="602279"/>
  </r>
  <r>
    <x v="1"/>
    <s v="T.Leela Rent"/>
    <n v="602279"/>
    <x v="1"/>
    <m/>
    <n v="602279"/>
  </r>
  <r>
    <x v="1"/>
    <s v="Vivan Life Sciences Pvt Ltd"/>
    <n v="61950"/>
    <x v="0"/>
    <m/>
    <n v="61950"/>
  </r>
  <r>
    <x v="1"/>
    <s v="Writers Business Services Pvt Ltd"/>
    <n v="26353.37"/>
    <x v="0"/>
    <m/>
    <n v="26353.37"/>
  </r>
  <r>
    <x v="1"/>
    <s v="Zef Scientific India Pvt Ltd"/>
    <n v="1201500"/>
    <x v="1"/>
    <m/>
    <n v="1201500"/>
  </r>
  <r>
    <x v="1"/>
    <s v="Arnav Health Care"/>
    <n v="51489"/>
    <x v="0"/>
    <m/>
    <n v="51489"/>
  </r>
  <r>
    <x v="1"/>
    <s v="C. Abhay kumar &amp; Co."/>
    <n v="34450"/>
    <x v="0"/>
    <m/>
    <n v="34450"/>
  </r>
  <r>
    <x v="1"/>
    <s v="Chromatography Solutions"/>
    <n v="148444"/>
    <x v="0"/>
    <m/>
    <n v="148444"/>
  </r>
  <r>
    <x v="1"/>
    <s v="Clinvend Clinical Research Solutions"/>
    <n v="109340"/>
    <x v="0"/>
    <m/>
    <n v="109340"/>
  </r>
  <r>
    <x v="1"/>
    <s v="DHR Holding India Pvt Ltd"/>
    <n v="408240"/>
    <x v="1"/>
    <m/>
    <n v="408240"/>
  </r>
  <r>
    <x v="1"/>
    <s v="K.G.N Medi Care"/>
    <n v="66886"/>
    <x v="0"/>
    <m/>
    <n v="66886"/>
  </r>
  <r>
    <x v="1"/>
    <s v="Lab Needs Private Limited"/>
    <n v="291460"/>
    <x v="0"/>
    <m/>
    <n v="291460"/>
  </r>
  <r>
    <x v="1"/>
    <s v="LCGC Chrom Consumables LLP"/>
    <n v="189428"/>
    <x v="0"/>
    <m/>
    <n v="189428"/>
  </r>
  <r>
    <x v="1"/>
    <s v="Raptor Safety"/>
    <n v="108171"/>
    <x v="0"/>
    <m/>
    <n v="108171"/>
  </r>
  <r>
    <x v="1"/>
    <s v="Riki Global Trading Pvt Ltd"/>
    <n v="66358"/>
    <x v="1"/>
    <m/>
    <n v="66358"/>
  </r>
  <r>
    <x v="1"/>
    <s v="R R Building Products"/>
    <n v="416"/>
    <x v="1"/>
    <m/>
    <n v="416"/>
  </r>
  <r>
    <x v="1"/>
    <s v="Satya Devaya Clinic Lab"/>
    <n v="21000"/>
    <x v="1"/>
    <m/>
    <n v="21000"/>
  </r>
  <r>
    <x v="1"/>
    <s v="Snowman Logistics Limited"/>
    <n v="11640"/>
    <x v="0"/>
    <m/>
    <n v="11640"/>
  </r>
  <r>
    <x v="1"/>
    <s v="Universal Instruments"/>
    <n v="0.9"/>
    <x v="1"/>
    <m/>
    <n v="0.9"/>
  </r>
  <r>
    <x v="1"/>
    <s v="Vasavi Hospital"/>
    <n v="148500"/>
    <x v="1"/>
    <m/>
    <n v="148500"/>
  </r>
  <r>
    <x v="1"/>
    <s v="Vinayaka Foods"/>
    <n v="118785"/>
    <x v="1"/>
    <m/>
    <n v="1187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7:N14" firstHeaderRow="0" firstDataRow="1" firstDataCol="1"/>
  <pivotFields count="6">
    <pivotField axis="axisRow" showAll="0">
      <items count="3">
        <item x="0"/>
        <item x="1"/>
        <item t="default"/>
      </items>
    </pivotField>
    <pivotField showAll="0"/>
    <pivotField numFmtId="172" showAll="0"/>
    <pivotField axis="axisRow" showAll="0">
      <items count="3">
        <item x="1"/>
        <item x="0"/>
        <item t="default"/>
      </items>
    </pivotField>
    <pivotField dataField="1" showAll="0"/>
    <pivotField dataField="1" showAll="0"/>
  </pivotFields>
  <rowFields count="2">
    <field x="3"/>
    <field x="0"/>
  </rowFields>
  <rowItems count="7">
    <i>
      <x/>
    </i>
    <i r="1">
      <x/>
    </i>
    <i r="1">
      <x v="1"/>
    </i>
    <i>
      <x v="1"/>
    </i>
    <i r="1">
      <x/>
    </i>
    <i r="1">
      <x v="1"/>
    </i>
    <i t="grand">
      <x/>
    </i>
  </rowItems>
  <colFields count="1">
    <field x="-2"/>
  </colFields>
  <colItems count="2">
    <i>
      <x/>
    </i>
    <i i="1">
      <x v="1"/>
    </i>
  </colItems>
  <dataFields count="2">
    <dataField name="Sum of Amount morethan 1 Year" fld="4" baseField="0" baseItem="0"/>
    <dataField name="Sum of Amount less than 1 Year"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2300-00000200000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N11" firstHeaderRow="0" firstDataRow="1" firstDataCol="1"/>
  <pivotFields count="6">
    <pivotField axis="axisRow" showAll="0">
      <items count="4">
        <item x="0"/>
        <item x="1"/>
        <item m="1" x="2"/>
        <item t="default"/>
      </items>
    </pivotField>
    <pivotField showAll="0"/>
    <pivotField showAll="0"/>
    <pivotField axis="axisRow" showAll="0">
      <items count="3">
        <item x="1"/>
        <item x="0"/>
        <item t="default"/>
      </items>
    </pivotField>
    <pivotField dataField="1" showAll="0"/>
    <pivotField dataField="1" showAll="0"/>
  </pivotFields>
  <rowFields count="2">
    <field x="3"/>
    <field x="0"/>
  </rowFields>
  <rowItems count="7">
    <i>
      <x/>
    </i>
    <i r="1">
      <x/>
    </i>
    <i r="1">
      <x v="1"/>
    </i>
    <i>
      <x v="1"/>
    </i>
    <i r="1">
      <x/>
    </i>
    <i r="1">
      <x v="1"/>
    </i>
    <i t="grand">
      <x/>
    </i>
  </rowItems>
  <colFields count="1">
    <field x="-2"/>
  </colFields>
  <colItems count="2">
    <i>
      <x/>
    </i>
    <i i="1">
      <x v="1"/>
    </i>
  </colItems>
  <dataFields count="2">
    <dataField name="Sum of Amount morethan 1 Year" fld="4" baseField="0" baseItem="0"/>
    <dataField name="Sum of Amount less than 1 Year"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6"/>
  <sheetViews>
    <sheetView topLeftCell="A40" zoomScaleNormal="100" workbookViewId="0">
      <selection activeCell="C57" sqref="C57"/>
    </sheetView>
  </sheetViews>
  <sheetFormatPr defaultRowHeight="15" x14ac:dyDescent="0.25"/>
  <cols>
    <col min="1" max="1" width="51.85546875" bestFit="1" customWidth="1"/>
    <col min="2" max="2" width="14.5703125" bestFit="1" customWidth="1"/>
    <col min="3" max="3" width="14.140625" bestFit="1" customWidth="1"/>
    <col min="4" max="4" width="10.5703125" bestFit="1" customWidth="1"/>
    <col min="6" max="6" width="28.85546875" bestFit="1" customWidth="1"/>
    <col min="9" max="9" width="10" bestFit="1" customWidth="1"/>
  </cols>
  <sheetData>
    <row r="1" spans="1:9" ht="18.75" x14ac:dyDescent="0.3">
      <c r="A1" s="729">
        <f>BS!A1</f>
        <v>0</v>
      </c>
    </row>
    <row r="2" spans="1:9" ht="16.5" x14ac:dyDescent="0.3">
      <c r="A2" s="730">
        <f>BS!A2</f>
        <v>0</v>
      </c>
    </row>
    <row r="3" spans="1:9" ht="16.5" x14ac:dyDescent="0.3">
      <c r="A3" s="730"/>
    </row>
    <row r="4" spans="1:9" ht="15.75" x14ac:dyDescent="0.25">
      <c r="A4" s="1548" t="s">
        <v>1557</v>
      </c>
      <c r="B4" s="1548"/>
      <c r="C4" s="1548"/>
    </row>
    <row r="5" spans="1:9" ht="15.75" x14ac:dyDescent="0.25">
      <c r="A5" s="678"/>
      <c r="B5" s="679"/>
      <c r="C5" s="679"/>
    </row>
    <row r="6" spans="1:9" ht="15.75" x14ac:dyDescent="0.25">
      <c r="A6" s="680" t="s">
        <v>0</v>
      </c>
      <c r="B6" s="681" t="s">
        <v>1079</v>
      </c>
      <c r="C6" s="681" t="s">
        <v>1079</v>
      </c>
    </row>
    <row r="7" spans="1:9" ht="15.75" x14ac:dyDescent="0.25">
      <c r="A7" s="682" t="s">
        <v>1080</v>
      </c>
      <c r="B7" s="683"/>
      <c r="C7" s="684"/>
    </row>
    <row r="8" spans="1:9" ht="15.75" x14ac:dyDescent="0.25">
      <c r="A8" s="685" t="s">
        <v>1081</v>
      </c>
      <c r="B8" s="686">
        <f>'P&amp;L'!C19</f>
        <v>-12668829.929999977</v>
      </c>
      <c r="C8" s="687"/>
    </row>
    <row r="9" spans="1:9" ht="15.75" x14ac:dyDescent="0.25">
      <c r="A9" s="685" t="s">
        <v>1505</v>
      </c>
      <c r="B9" s="686">
        <f>2385702+85220</f>
        <v>2470922</v>
      </c>
      <c r="C9" s="687"/>
      <c r="E9" s="1247"/>
    </row>
    <row r="10" spans="1:9" ht="15.75" x14ac:dyDescent="0.25">
      <c r="A10" s="685" t="s">
        <v>1536</v>
      </c>
      <c r="B10" s="687">
        <v>0</v>
      </c>
      <c r="C10" s="688"/>
      <c r="D10" s="278"/>
    </row>
    <row r="11" spans="1:9" ht="15.75" x14ac:dyDescent="0.25">
      <c r="A11" s="1254" t="s">
        <v>1555</v>
      </c>
      <c r="B11" s="686">
        <v>0</v>
      </c>
      <c r="C11" s="686"/>
      <c r="D11" s="1255"/>
    </row>
    <row r="12" spans="1:9" ht="15.75" x14ac:dyDescent="0.25">
      <c r="A12" s="1254" t="s">
        <v>1082</v>
      </c>
      <c r="B12" s="686">
        <v>0</v>
      </c>
      <c r="C12" s="686"/>
      <c r="D12" s="1255"/>
    </row>
    <row r="13" spans="1:9" ht="15.75" x14ac:dyDescent="0.25">
      <c r="A13" s="685" t="s">
        <v>1083</v>
      </c>
      <c r="B13" s="687">
        <f>'P&amp;L'!C16</f>
        <v>21235863</v>
      </c>
      <c r="C13" s="688"/>
    </row>
    <row r="14" spans="1:9" ht="15.75" x14ac:dyDescent="0.25">
      <c r="A14" s="685" t="s">
        <v>1084</v>
      </c>
      <c r="B14" s="689">
        <f>SUM(B8:B13)</f>
        <v>11037955.070000023</v>
      </c>
      <c r="C14" s="688"/>
    </row>
    <row r="15" spans="1:9" ht="15.75" x14ac:dyDescent="0.25">
      <c r="A15" s="685" t="s">
        <v>1556</v>
      </c>
      <c r="B15" s="687">
        <v>0</v>
      </c>
      <c r="C15" s="688"/>
      <c r="I15" s="1247"/>
    </row>
    <row r="16" spans="1:9" ht="15.75" x14ac:dyDescent="0.25">
      <c r="A16" s="685" t="s">
        <v>1085</v>
      </c>
      <c r="B16" s="687">
        <f>-+'IT dep 24-25'!P28</f>
        <v>-35795004.965500005</v>
      </c>
      <c r="C16" s="688"/>
      <c r="I16" s="1247"/>
    </row>
    <row r="17" spans="1:4" ht="15.75" x14ac:dyDescent="0.25">
      <c r="A17" s="690" t="s">
        <v>1086</v>
      </c>
      <c r="B17" s="689"/>
      <c r="C17" s="691">
        <f>SUM(B14:B16)</f>
        <v>-24757049.895499982</v>
      </c>
    </row>
    <row r="18" spans="1:4" ht="15.75" x14ac:dyDescent="0.25">
      <c r="A18" s="690" t="s">
        <v>1087</v>
      </c>
      <c r="B18" s="686"/>
      <c r="C18" s="691"/>
    </row>
    <row r="19" spans="1:4" ht="15.75" x14ac:dyDescent="0.25">
      <c r="A19" s="685" t="s">
        <v>1088</v>
      </c>
      <c r="B19" s="686"/>
      <c r="C19" s="691">
        <v>0</v>
      </c>
    </row>
    <row r="20" spans="1:4" ht="15.75" x14ac:dyDescent="0.25">
      <c r="A20" s="685" t="s">
        <v>1504</v>
      </c>
      <c r="B20" s="686"/>
      <c r="C20" s="691">
        <v>0</v>
      </c>
    </row>
    <row r="21" spans="1:4" ht="15.75" x14ac:dyDescent="0.25">
      <c r="A21" s="690" t="s">
        <v>1089</v>
      </c>
      <c r="B21" s="686"/>
      <c r="C21" s="692">
        <f>SUM(C17:C20)</f>
        <v>-24757049.895499982</v>
      </c>
    </row>
    <row r="22" spans="1:4" ht="15.75" x14ac:dyDescent="0.25">
      <c r="A22" s="690" t="s">
        <v>1090</v>
      </c>
      <c r="B22" s="686"/>
      <c r="C22" s="692"/>
    </row>
    <row r="23" spans="1:4" ht="15.75" x14ac:dyDescent="0.25">
      <c r="A23" s="690" t="s">
        <v>1091</v>
      </c>
      <c r="B23" s="686"/>
      <c r="C23" s="691">
        <f>SUM(C21:C22)</f>
        <v>-24757049.895499982</v>
      </c>
    </row>
    <row r="24" spans="1:4" ht="15.75" x14ac:dyDescent="0.25">
      <c r="A24" s="682" t="s">
        <v>1092</v>
      </c>
      <c r="B24" s="686"/>
      <c r="C24" s="687"/>
    </row>
    <row r="25" spans="1:4" ht="15.75" x14ac:dyDescent="0.25">
      <c r="A25" s="685" t="s">
        <v>1093</v>
      </c>
      <c r="B25" s="686"/>
      <c r="C25" s="687">
        <f>IF(C23&gt;0,C23*22%,0)</f>
        <v>0</v>
      </c>
      <c r="D25" s="1247"/>
    </row>
    <row r="26" spans="1:4" ht="15.75" x14ac:dyDescent="0.25">
      <c r="A26" s="685" t="s">
        <v>1554</v>
      </c>
      <c r="B26" s="686"/>
      <c r="C26" s="693">
        <f>+C25*0.1</f>
        <v>0</v>
      </c>
    </row>
    <row r="27" spans="1:4" ht="15.75" x14ac:dyDescent="0.25">
      <c r="A27" s="685"/>
      <c r="B27" s="686"/>
      <c r="C27" s="687">
        <f>+C25+C26</f>
        <v>0</v>
      </c>
    </row>
    <row r="28" spans="1:4" ht="15.75" x14ac:dyDescent="0.25">
      <c r="A28" s="685" t="s">
        <v>1094</v>
      </c>
      <c r="B28" s="686"/>
      <c r="C28" s="1221">
        <f>C27*4%</f>
        <v>0</v>
      </c>
    </row>
    <row r="29" spans="1:4" ht="15.75" x14ac:dyDescent="0.25">
      <c r="A29" s="690" t="s">
        <v>1095</v>
      </c>
      <c r="B29" s="694"/>
      <c r="C29" s="691">
        <f>+C27+C28</f>
        <v>0</v>
      </c>
    </row>
    <row r="30" spans="1:4" ht="15.75" x14ac:dyDescent="0.25">
      <c r="A30" s="685" t="s">
        <v>1096</v>
      </c>
      <c r="B30" s="686"/>
      <c r="C30" s="687">
        <f>MAT!C23</f>
        <v>1528003.0069200033</v>
      </c>
    </row>
    <row r="31" spans="1:4" ht="15.75" x14ac:dyDescent="0.25">
      <c r="A31" s="685" t="s">
        <v>1097</v>
      </c>
      <c r="B31" s="686"/>
      <c r="C31" s="689">
        <f>MAX(C29:C30)</f>
        <v>1528003.0069200033</v>
      </c>
    </row>
    <row r="32" spans="1:4" ht="15.75" x14ac:dyDescent="0.25">
      <c r="A32" s="685" t="s">
        <v>1098</v>
      </c>
      <c r="B32" s="686"/>
      <c r="C32" s="687">
        <v>0</v>
      </c>
    </row>
    <row r="33" spans="1:5" ht="15.75" x14ac:dyDescent="0.25">
      <c r="A33" s="690" t="s">
        <v>1095</v>
      </c>
      <c r="B33" s="694"/>
      <c r="C33" s="695">
        <f>SUM(C31:C32)</f>
        <v>1528003.0069200033</v>
      </c>
      <c r="E33" s="1175">
        <f>12600/136080</f>
        <v>9.2592592592592587E-2</v>
      </c>
    </row>
    <row r="34" spans="1:5" ht="15.75" x14ac:dyDescent="0.25">
      <c r="A34" s="685" t="s">
        <v>1099</v>
      </c>
      <c r="B34" s="694"/>
      <c r="C34" s="691">
        <f>-Workings!G20</f>
        <v>-11488221.279999999</v>
      </c>
    </row>
    <row r="35" spans="1:5" ht="15.75" x14ac:dyDescent="0.25">
      <c r="A35" s="685" t="s">
        <v>1139</v>
      </c>
      <c r="B35" s="694"/>
      <c r="C35" s="691">
        <f>-Workings!G27</f>
        <v>-19827</v>
      </c>
    </row>
    <row r="36" spans="1:5" ht="15.75" x14ac:dyDescent="0.25">
      <c r="A36" s="685" t="s">
        <v>1140</v>
      </c>
      <c r="B36" s="694"/>
      <c r="C36" s="691">
        <f>-'Tally Balance Sheet'!E28</f>
        <v>-11285077</v>
      </c>
    </row>
    <row r="37" spans="1:5" ht="15.75" x14ac:dyDescent="0.25">
      <c r="A37" s="685" t="s">
        <v>1100</v>
      </c>
      <c r="B37" s="686"/>
      <c r="C37" s="689">
        <f>SUM(C33:C36)</f>
        <v>-21265122.273079995</v>
      </c>
    </row>
    <row r="38" spans="1:5" ht="15.75" x14ac:dyDescent="0.25">
      <c r="A38" s="685" t="s">
        <v>1101</v>
      </c>
      <c r="B38" s="686"/>
      <c r="C38" s="687"/>
    </row>
    <row r="39" spans="1:5" ht="15.75" x14ac:dyDescent="0.25">
      <c r="A39" s="685" t="s">
        <v>1102</v>
      </c>
      <c r="B39" s="686">
        <v>0</v>
      </c>
      <c r="C39" s="687"/>
    </row>
    <row r="40" spans="1:5" ht="15.75" x14ac:dyDescent="0.25">
      <c r="A40" s="685" t="s">
        <v>1103</v>
      </c>
      <c r="B40" s="686">
        <f>IF(C37&gt;10000,C37*2%,0)</f>
        <v>0</v>
      </c>
      <c r="C40" s="687"/>
    </row>
    <row r="41" spans="1:5" ht="15.75" x14ac:dyDescent="0.25">
      <c r="A41" s="685" t="s">
        <v>1104</v>
      </c>
      <c r="B41" s="693">
        <f>IF(C37&gt;0,C37*15%*3%+C37*45%*3%+C37*75%*3%+C37*100%*1%,0)</f>
        <v>0</v>
      </c>
      <c r="C41" s="687"/>
    </row>
    <row r="42" spans="1:5" ht="15.75" x14ac:dyDescent="0.25">
      <c r="A42" s="690" t="s">
        <v>1105</v>
      </c>
      <c r="B42" s="694"/>
      <c r="C42" s="696">
        <f>SUM(B39:B41)</f>
        <v>0</v>
      </c>
    </row>
    <row r="43" spans="1:5" ht="15.75" x14ac:dyDescent="0.25">
      <c r="A43" s="685" t="s">
        <v>1106</v>
      </c>
      <c r="B43" s="686"/>
      <c r="C43" s="687">
        <f>SUM(C37:C42)</f>
        <v>-21265122.273079995</v>
      </c>
    </row>
    <row r="44" spans="1:5" ht="15.75" x14ac:dyDescent="0.25">
      <c r="A44" s="685" t="s">
        <v>1107</v>
      </c>
      <c r="B44" s="686"/>
      <c r="C44" s="687">
        <v>0</v>
      </c>
    </row>
    <row r="45" spans="1:5" ht="16.5" thickBot="1" x14ac:dyDescent="0.3">
      <c r="A45" s="697" t="s">
        <v>1108</v>
      </c>
      <c r="B45" s="698"/>
      <c r="C45" s="699">
        <f>SUM(C43:C44)</f>
        <v>-21265122.273079995</v>
      </c>
    </row>
    <row r="46" spans="1:5" ht="15.75" thickTop="1" x14ac:dyDescent="0.25"/>
  </sheetData>
  <mergeCells count="1">
    <mergeCell ref="A4:C4"/>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V223"/>
  <sheetViews>
    <sheetView showGridLines="0" view="pageBreakPreview" topLeftCell="A33" zoomScaleNormal="100" zoomScaleSheetLayoutView="100" workbookViewId="0">
      <selection activeCell="B33" sqref="B33"/>
    </sheetView>
  </sheetViews>
  <sheetFormatPr defaultColWidth="0" defaultRowHeight="15" zeroHeight="1" x14ac:dyDescent="0.25"/>
  <cols>
    <col min="1" max="1" width="46.5703125" style="313" customWidth="1"/>
    <col min="2" max="2" width="10.42578125" style="313" customWidth="1"/>
    <col min="3" max="3" width="18.85546875" style="313" customWidth="1"/>
    <col min="4" max="4" width="20.5703125" style="314" customWidth="1"/>
    <col min="5" max="5" width="15.28515625" style="1296" bestFit="1" customWidth="1"/>
    <col min="6" max="6" width="15.5703125" style="1296" customWidth="1"/>
    <col min="7" max="7" width="13.7109375" style="1296" bestFit="1" customWidth="1"/>
    <col min="8" max="8" width="14.42578125" style="1296" bestFit="1" customWidth="1"/>
    <col min="9" max="10" width="11.5703125" style="1296" customWidth="1"/>
    <col min="11" max="109" width="11.5703125" style="313" customWidth="1"/>
    <col min="110" max="255" width="9.140625" style="313" customWidth="1"/>
    <col min="256" max="256" width="48.140625" style="313" customWidth="1"/>
    <col min="257" max="257" width="10.42578125" style="313" customWidth="1"/>
    <col min="258" max="258" width="20.5703125" style="313" bestFit="1" customWidth="1"/>
    <col min="259" max="259" width="19.5703125" style="313" customWidth="1"/>
    <col min="260" max="262" width="15.5703125" style="313" customWidth="1"/>
    <col min="263" max="511" width="0" style="313" hidden="1"/>
    <col min="512" max="512" width="48.140625" style="313" customWidth="1"/>
    <col min="513" max="513" width="10.42578125" style="313" customWidth="1"/>
    <col min="514" max="514" width="20.5703125" style="313" bestFit="1" customWidth="1"/>
    <col min="515" max="515" width="19.5703125" style="313" customWidth="1"/>
    <col min="516" max="518" width="15.5703125" style="313" customWidth="1"/>
    <col min="519" max="767" width="0" style="313" hidden="1"/>
    <col min="768" max="768" width="48.140625" style="313" customWidth="1"/>
    <col min="769" max="769" width="10.42578125" style="313" customWidth="1"/>
    <col min="770" max="770" width="20.5703125" style="313" bestFit="1" customWidth="1"/>
    <col min="771" max="771" width="19.5703125" style="313" customWidth="1"/>
    <col min="772" max="774" width="15.5703125" style="313" customWidth="1"/>
    <col min="775" max="1023" width="0" style="313" hidden="1"/>
    <col min="1024" max="1024" width="48.140625" style="313" customWidth="1"/>
    <col min="1025" max="1025" width="10.42578125" style="313" customWidth="1"/>
    <col min="1026" max="1026" width="20.5703125" style="313" bestFit="1" customWidth="1"/>
    <col min="1027" max="1027" width="19.5703125" style="313" customWidth="1"/>
    <col min="1028" max="1030" width="15.5703125" style="313" customWidth="1"/>
    <col min="1031" max="1279" width="0" style="313" hidden="1"/>
    <col min="1280" max="1280" width="48.140625" style="313" customWidth="1"/>
    <col min="1281" max="1281" width="10.42578125" style="313" customWidth="1"/>
    <col min="1282" max="1282" width="20.5703125" style="313" bestFit="1" customWidth="1"/>
    <col min="1283" max="1283" width="19.5703125" style="313" customWidth="1"/>
    <col min="1284" max="1286" width="15.5703125" style="313" customWidth="1"/>
    <col min="1287" max="1535" width="0" style="313" hidden="1"/>
    <col min="1536" max="1536" width="48.140625" style="313" customWidth="1"/>
    <col min="1537" max="1537" width="10.42578125" style="313" customWidth="1"/>
    <col min="1538" max="1538" width="20.5703125" style="313" bestFit="1" customWidth="1"/>
    <col min="1539" max="1539" width="19.5703125" style="313" customWidth="1"/>
    <col min="1540" max="1542" width="15.5703125" style="313" customWidth="1"/>
    <col min="1543" max="1791" width="0" style="313" hidden="1"/>
    <col min="1792" max="1792" width="48.140625" style="313" customWidth="1"/>
    <col min="1793" max="1793" width="10.42578125" style="313" customWidth="1"/>
    <col min="1794" max="1794" width="20.5703125" style="313" bestFit="1" customWidth="1"/>
    <col min="1795" max="1795" width="19.5703125" style="313" customWidth="1"/>
    <col min="1796" max="1798" width="15.5703125" style="313" customWidth="1"/>
    <col min="1799" max="2047" width="0" style="313" hidden="1"/>
    <col min="2048" max="2048" width="48.140625" style="313" customWidth="1"/>
    <col min="2049" max="2049" width="10.42578125" style="313" customWidth="1"/>
    <col min="2050" max="2050" width="20.5703125" style="313" bestFit="1" customWidth="1"/>
    <col min="2051" max="2051" width="19.5703125" style="313" customWidth="1"/>
    <col min="2052" max="2054" width="15.5703125" style="313" customWidth="1"/>
    <col min="2055" max="2303" width="0" style="313" hidden="1"/>
    <col min="2304" max="2304" width="48.140625" style="313" customWidth="1"/>
    <col min="2305" max="2305" width="10.42578125" style="313" customWidth="1"/>
    <col min="2306" max="2306" width="20.5703125" style="313" bestFit="1" customWidth="1"/>
    <col min="2307" max="2307" width="19.5703125" style="313" customWidth="1"/>
    <col min="2308" max="2310" width="15.5703125" style="313" customWidth="1"/>
    <col min="2311" max="2559" width="0" style="313" hidden="1"/>
    <col min="2560" max="2560" width="48.140625" style="313" customWidth="1"/>
    <col min="2561" max="2561" width="10.42578125" style="313" customWidth="1"/>
    <col min="2562" max="2562" width="20.5703125" style="313" bestFit="1" customWidth="1"/>
    <col min="2563" max="2563" width="19.5703125" style="313" customWidth="1"/>
    <col min="2564" max="2566" width="15.5703125" style="313" customWidth="1"/>
    <col min="2567" max="2815" width="0" style="313" hidden="1"/>
    <col min="2816" max="2816" width="48.140625" style="313" customWidth="1"/>
    <col min="2817" max="2817" width="10.42578125" style="313" customWidth="1"/>
    <col min="2818" max="2818" width="20.5703125" style="313" bestFit="1" customWidth="1"/>
    <col min="2819" max="2819" width="19.5703125" style="313" customWidth="1"/>
    <col min="2820" max="2822" width="15.5703125" style="313" customWidth="1"/>
    <col min="2823" max="3071" width="0" style="313" hidden="1"/>
    <col min="3072" max="3072" width="48.140625" style="313" customWidth="1"/>
    <col min="3073" max="3073" width="10.42578125" style="313" customWidth="1"/>
    <col min="3074" max="3074" width="20.5703125" style="313" bestFit="1" customWidth="1"/>
    <col min="3075" max="3075" width="19.5703125" style="313" customWidth="1"/>
    <col min="3076" max="3078" width="15.5703125" style="313" customWidth="1"/>
    <col min="3079" max="3327" width="0" style="313" hidden="1"/>
    <col min="3328" max="3328" width="48.140625" style="313" customWidth="1"/>
    <col min="3329" max="3329" width="10.42578125" style="313" customWidth="1"/>
    <col min="3330" max="3330" width="20.5703125" style="313" bestFit="1" customWidth="1"/>
    <col min="3331" max="3331" width="19.5703125" style="313" customWidth="1"/>
    <col min="3332" max="3334" width="15.5703125" style="313" customWidth="1"/>
    <col min="3335" max="3583" width="0" style="313" hidden="1"/>
    <col min="3584" max="3584" width="48.140625" style="313" customWidth="1"/>
    <col min="3585" max="3585" width="10.42578125" style="313" customWidth="1"/>
    <col min="3586" max="3586" width="20.5703125" style="313" bestFit="1" customWidth="1"/>
    <col min="3587" max="3587" width="19.5703125" style="313" customWidth="1"/>
    <col min="3588" max="3590" width="15.5703125" style="313" customWidth="1"/>
    <col min="3591" max="3839" width="0" style="313" hidden="1"/>
    <col min="3840" max="3840" width="48.140625" style="313" customWidth="1"/>
    <col min="3841" max="3841" width="10.42578125" style="313" customWidth="1"/>
    <col min="3842" max="3842" width="20.5703125" style="313" bestFit="1" customWidth="1"/>
    <col min="3843" max="3843" width="19.5703125" style="313" customWidth="1"/>
    <col min="3844" max="3846" width="15.5703125" style="313" customWidth="1"/>
    <col min="3847" max="4095" width="0" style="313" hidden="1"/>
    <col min="4096" max="4096" width="48.140625" style="313" customWidth="1"/>
    <col min="4097" max="4097" width="10.42578125" style="313" customWidth="1"/>
    <col min="4098" max="4098" width="20.5703125" style="313" bestFit="1" customWidth="1"/>
    <col min="4099" max="4099" width="19.5703125" style="313" customWidth="1"/>
    <col min="4100" max="4102" width="15.5703125" style="313" customWidth="1"/>
    <col min="4103" max="4351" width="0" style="313" hidden="1"/>
    <col min="4352" max="4352" width="48.140625" style="313" customWidth="1"/>
    <col min="4353" max="4353" width="10.42578125" style="313" customWidth="1"/>
    <col min="4354" max="4354" width="20.5703125" style="313" bestFit="1" customWidth="1"/>
    <col min="4355" max="4355" width="19.5703125" style="313" customWidth="1"/>
    <col min="4356" max="4358" width="15.5703125" style="313" customWidth="1"/>
    <col min="4359" max="4607" width="0" style="313" hidden="1"/>
    <col min="4608" max="4608" width="48.140625" style="313" customWidth="1"/>
    <col min="4609" max="4609" width="10.42578125" style="313" customWidth="1"/>
    <col min="4610" max="4610" width="20.5703125" style="313" bestFit="1" customWidth="1"/>
    <col min="4611" max="4611" width="19.5703125" style="313" customWidth="1"/>
    <col min="4612" max="4614" width="15.5703125" style="313" customWidth="1"/>
    <col min="4615" max="4863" width="0" style="313" hidden="1"/>
    <col min="4864" max="4864" width="48.140625" style="313" customWidth="1"/>
    <col min="4865" max="4865" width="10.42578125" style="313" customWidth="1"/>
    <col min="4866" max="4866" width="20.5703125" style="313" bestFit="1" customWidth="1"/>
    <col min="4867" max="4867" width="19.5703125" style="313" customWidth="1"/>
    <col min="4868" max="4870" width="15.5703125" style="313" customWidth="1"/>
    <col min="4871" max="5119" width="0" style="313" hidden="1"/>
    <col min="5120" max="5120" width="48.140625" style="313" customWidth="1"/>
    <col min="5121" max="5121" width="10.42578125" style="313" customWidth="1"/>
    <col min="5122" max="5122" width="20.5703125" style="313" bestFit="1" customWidth="1"/>
    <col min="5123" max="5123" width="19.5703125" style="313" customWidth="1"/>
    <col min="5124" max="5126" width="15.5703125" style="313" customWidth="1"/>
    <col min="5127" max="5375" width="0" style="313" hidden="1"/>
    <col min="5376" max="5376" width="48.140625" style="313" customWidth="1"/>
    <col min="5377" max="5377" width="10.42578125" style="313" customWidth="1"/>
    <col min="5378" max="5378" width="20.5703125" style="313" bestFit="1" customWidth="1"/>
    <col min="5379" max="5379" width="19.5703125" style="313" customWidth="1"/>
    <col min="5380" max="5382" width="15.5703125" style="313" customWidth="1"/>
    <col min="5383" max="5631" width="0" style="313" hidden="1"/>
    <col min="5632" max="5632" width="48.140625" style="313" customWidth="1"/>
    <col min="5633" max="5633" width="10.42578125" style="313" customWidth="1"/>
    <col min="5634" max="5634" width="20.5703125" style="313" bestFit="1" customWidth="1"/>
    <col min="5635" max="5635" width="19.5703125" style="313" customWidth="1"/>
    <col min="5636" max="5638" width="15.5703125" style="313" customWidth="1"/>
    <col min="5639" max="5887" width="0" style="313" hidden="1"/>
    <col min="5888" max="5888" width="48.140625" style="313" customWidth="1"/>
    <col min="5889" max="5889" width="10.42578125" style="313" customWidth="1"/>
    <col min="5890" max="5890" width="20.5703125" style="313" bestFit="1" customWidth="1"/>
    <col min="5891" max="5891" width="19.5703125" style="313" customWidth="1"/>
    <col min="5892" max="5894" width="15.5703125" style="313" customWidth="1"/>
    <col min="5895" max="6143" width="0" style="313" hidden="1"/>
    <col min="6144" max="6144" width="48.140625" style="313" customWidth="1"/>
    <col min="6145" max="6145" width="10.42578125" style="313" customWidth="1"/>
    <col min="6146" max="6146" width="20.5703125" style="313" bestFit="1" customWidth="1"/>
    <col min="6147" max="6147" width="19.5703125" style="313" customWidth="1"/>
    <col min="6148" max="6150" width="15.5703125" style="313" customWidth="1"/>
    <col min="6151" max="6399" width="0" style="313" hidden="1"/>
    <col min="6400" max="6400" width="48.140625" style="313" customWidth="1"/>
    <col min="6401" max="6401" width="10.42578125" style="313" customWidth="1"/>
    <col min="6402" max="6402" width="20.5703125" style="313" bestFit="1" customWidth="1"/>
    <col min="6403" max="6403" width="19.5703125" style="313" customWidth="1"/>
    <col min="6404" max="6406" width="15.5703125" style="313" customWidth="1"/>
    <col min="6407" max="6655" width="0" style="313" hidden="1"/>
    <col min="6656" max="6656" width="48.140625" style="313" customWidth="1"/>
    <col min="6657" max="6657" width="10.42578125" style="313" customWidth="1"/>
    <col min="6658" max="6658" width="20.5703125" style="313" bestFit="1" customWidth="1"/>
    <col min="6659" max="6659" width="19.5703125" style="313" customWidth="1"/>
    <col min="6660" max="6662" width="15.5703125" style="313" customWidth="1"/>
    <col min="6663" max="6911" width="0" style="313" hidden="1"/>
    <col min="6912" max="6912" width="48.140625" style="313" customWidth="1"/>
    <col min="6913" max="6913" width="10.42578125" style="313" customWidth="1"/>
    <col min="6914" max="6914" width="20.5703125" style="313" bestFit="1" customWidth="1"/>
    <col min="6915" max="6915" width="19.5703125" style="313" customWidth="1"/>
    <col min="6916" max="6918" width="15.5703125" style="313" customWidth="1"/>
    <col min="6919" max="7167" width="0" style="313" hidden="1"/>
    <col min="7168" max="7168" width="48.140625" style="313" customWidth="1"/>
    <col min="7169" max="7169" width="10.42578125" style="313" customWidth="1"/>
    <col min="7170" max="7170" width="20.5703125" style="313" bestFit="1" customWidth="1"/>
    <col min="7171" max="7171" width="19.5703125" style="313" customWidth="1"/>
    <col min="7172" max="7174" width="15.5703125" style="313" customWidth="1"/>
    <col min="7175" max="7423" width="0" style="313" hidden="1"/>
    <col min="7424" max="7424" width="48.140625" style="313" customWidth="1"/>
    <col min="7425" max="7425" width="10.42578125" style="313" customWidth="1"/>
    <col min="7426" max="7426" width="20.5703125" style="313" bestFit="1" customWidth="1"/>
    <col min="7427" max="7427" width="19.5703125" style="313" customWidth="1"/>
    <col min="7428" max="7430" width="15.5703125" style="313" customWidth="1"/>
    <col min="7431" max="7679" width="0" style="313" hidden="1"/>
    <col min="7680" max="7680" width="48.140625" style="313" customWidth="1"/>
    <col min="7681" max="7681" width="10.42578125" style="313" customWidth="1"/>
    <col min="7682" max="7682" width="20.5703125" style="313" bestFit="1" customWidth="1"/>
    <col min="7683" max="7683" width="19.5703125" style="313" customWidth="1"/>
    <col min="7684" max="7686" width="15.5703125" style="313" customWidth="1"/>
    <col min="7687" max="7935" width="0" style="313" hidden="1"/>
    <col min="7936" max="7936" width="48.140625" style="313" customWidth="1"/>
    <col min="7937" max="7937" width="10.42578125" style="313" customWidth="1"/>
    <col min="7938" max="7938" width="20.5703125" style="313" bestFit="1" customWidth="1"/>
    <col min="7939" max="7939" width="19.5703125" style="313" customWidth="1"/>
    <col min="7940" max="7942" width="15.5703125" style="313" customWidth="1"/>
    <col min="7943" max="8191" width="0" style="313" hidden="1"/>
    <col min="8192" max="8192" width="48.140625" style="313" customWidth="1"/>
    <col min="8193" max="8193" width="10.42578125" style="313" customWidth="1"/>
    <col min="8194" max="8194" width="20.5703125" style="313" bestFit="1" customWidth="1"/>
    <col min="8195" max="8195" width="19.5703125" style="313" customWidth="1"/>
    <col min="8196" max="8198" width="15.5703125" style="313" customWidth="1"/>
    <col min="8199" max="8447" width="0" style="313" hidden="1"/>
    <col min="8448" max="8448" width="48.140625" style="313" customWidth="1"/>
    <col min="8449" max="8449" width="10.42578125" style="313" customWidth="1"/>
    <col min="8450" max="8450" width="20.5703125" style="313" bestFit="1" customWidth="1"/>
    <col min="8451" max="8451" width="19.5703125" style="313" customWidth="1"/>
    <col min="8452" max="8454" width="15.5703125" style="313" customWidth="1"/>
    <col min="8455" max="8703" width="0" style="313" hidden="1"/>
    <col min="8704" max="8704" width="48.140625" style="313" customWidth="1"/>
    <col min="8705" max="8705" width="10.42578125" style="313" customWidth="1"/>
    <col min="8706" max="8706" width="20.5703125" style="313" bestFit="1" customWidth="1"/>
    <col min="8707" max="8707" width="19.5703125" style="313" customWidth="1"/>
    <col min="8708" max="8710" width="15.5703125" style="313" customWidth="1"/>
    <col min="8711" max="8959" width="0" style="313" hidden="1"/>
    <col min="8960" max="8960" width="48.140625" style="313" customWidth="1"/>
    <col min="8961" max="8961" width="10.42578125" style="313" customWidth="1"/>
    <col min="8962" max="8962" width="20.5703125" style="313" bestFit="1" customWidth="1"/>
    <col min="8963" max="8963" width="19.5703125" style="313" customWidth="1"/>
    <col min="8964" max="8966" width="15.5703125" style="313" customWidth="1"/>
    <col min="8967" max="9215" width="0" style="313" hidden="1"/>
    <col min="9216" max="9216" width="48.140625" style="313" customWidth="1"/>
    <col min="9217" max="9217" width="10.42578125" style="313" customWidth="1"/>
    <col min="9218" max="9218" width="20.5703125" style="313" bestFit="1" customWidth="1"/>
    <col min="9219" max="9219" width="19.5703125" style="313" customWidth="1"/>
    <col min="9220" max="9222" width="15.5703125" style="313" customWidth="1"/>
    <col min="9223" max="9471" width="0" style="313" hidden="1"/>
    <col min="9472" max="9472" width="48.140625" style="313" customWidth="1"/>
    <col min="9473" max="9473" width="10.42578125" style="313" customWidth="1"/>
    <col min="9474" max="9474" width="20.5703125" style="313" bestFit="1" customWidth="1"/>
    <col min="9475" max="9475" width="19.5703125" style="313" customWidth="1"/>
    <col min="9476" max="9478" width="15.5703125" style="313" customWidth="1"/>
    <col min="9479" max="9727" width="0" style="313" hidden="1"/>
    <col min="9728" max="9728" width="48.140625" style="313" customWidth="1"/>
    <col min="9729" max="9729" width="10.42578125" style="313" customWidth="1"/>
    <col min="9730" max="9730" width="20.5703125" style="313" bestFit="1" customWidth="1"/>
    <col min="9731" max="9731" width="19.5703125" style="313" customWidth="1"/>
    <col min="9732" max="9734" width="15.5703125" style="313" customWidth="1"/>
    <col min="9735" max="9983" width="0" style="313" hidden="1"/>
    <col min="9984" max="9984" width="48.140625" style="313" customWidth="1"/>
    <col min="9985" max="9985" width="10.42578125" style="313" customWidth="1"/>
    <col min="9986" max="9986" width="20.5703125" style="313" bestFit="1" customWidth="1"/>
    <col min="9987" max="9987" width="19.5703125" style="313" customWidth="1"/>
    <col min="9988" max="9990" width="15.5703125" style="313" customWidth="1"/>
    <col min="9991" max="10239" width="0" style="313" hidden="1"/>
    <col min="10240" max="10240" width="48.140625" style="313" customWidth="1"/>
    <col min="10241" max="10241" width="10.42578125" style="313" customWidth="1"/>
    <col min="10242" max="10242" width="20.5703125" style="313" bestFit="1" customWidth="1"/>
    <col min="10243" max="10243" width="19.5703125" style="313" customWidth="1"/>
    <col min="10244" max="10246" width="15.5703125" style="313" customWidth="1"/>
    <col min="10247" max="10495" width="0" style="313" hidden="1"/>
    <col min="10496" max="10496" width="48.140625" style="313" customWidth="1"/>
    <col min="10497" max="10497" width="10.42578125" style="313" customWidth="1"/>
    <col min="10498" max="10498" width="20.5703125" style="313" bestFit="1" customWidth="1"/>
    <col min="10499" max="10499" width="19.5703125" style="313" customWidth="1"/>
    <col min="10500" max="10502" width="15.5703125" style="313" customWidth="1"/>
    <col min="10503" max="10751" width="0" style="313" hidden="1"/>
    <col min="10752" max="10752" width="48.140625" style="313" customWidth="1"/>
    <col min="10753" max="10753" width="10.42578125" style="313" customWidth="1"/>
    <col min="10754" max="10754" width="20.5703125" style="313" bestFit="1" customWidth="1"/>
    <col min="10755" max="10755" width="19.5703125" style="313" customWidth="1"/>
    <col min="10756" max="10758" width="15.5703125" style="313" customWidth="1"/>
    <col min="10759" max="11007" width="0" style="313" hidden="1"/>
    <col min="11008" max="11008" width="48.140625" style="313" customWidth="1"/>
    <col min="11009" max="11009" width="10.42578125" style="313" customWidth="1"/>
    <col min="11010" max="11010" width="20.5703125" style="313" bestFit="1" customWidth="1"/>
    <col min="11011" max="11011" width="19.5703125" style="313" customWidth="1"/>
    <col min="11012" max="11014" width="15.5703125" style="313" customWidth="1"/>
    <col min="11015" max="11263" width="0" style="313" hidden="1"/>
    <col min="11264" max="11264" width="48.140625" style="313" customWidth="1"/>
    <col min="11265" max="11265" width="10.42578125" style="313" customWidth="1"/>
    <col min="11266" max="11266" width="20.5703125" style="313" bestFit="1" customWidth="1"/>
    <col min="11267" max="11267" width="19.5703125" style="313" customWidth="1"/>
    <col min="11268" max="11270" width="15.5703125" style="313" customWidth="1"/>
    <col min="11271" max="11519" width="0" style="313" hidden="1"/>
    <col min="11520" max="11520" width="48.140625" style="313" customWidth="1"/>
    <col min="11521" max="11521" width="10.42578125" style="313" customWidth="1"/>
    <col min="11522" max="11522" width="20.5703125" style="313" bestFit="1" customWidth="1"/>
    <col min="11523" max="11523" width="19.5703125" style="313" customWidth="1"/>
    <col min="11524" max="11526" width="15.5703125" style="313" customWidth="1"/>
    <col min="11527" max="11775" width="0" style="313" hidden="1"/>
    <col min="11776" max="11776" width="48.140625" style="313" customWidth="1"/>
    <col min="11777" max="11777" width="10.42578125" style="313" customWidth="1"/>
    <col min="11778" max="11778" width="20.5703125" style="313" bestFit="1" customWidth="1"/>
    <col min="11779" max="11779" width="19.5703125" style="313" customWidth="1"/>
    <col min="11780" max="11782" width="15.5703125" style="313" customWidth="1"/>
    <col min="11783" max="12031" width="0" style="313" hidden="1"/>
    <col min="12032" max="12032" width="48.140625" style="313" customWidth="1"/>
    <col min="12033" max="12033" width="10.42578125" style="313" customWidth="1"/>
    <col min="12034" max="12034" width="20.5703125" style="313" bestFit="1" customWidth="1"/>
    <col min="12035" max="12035" width="19.5703125" style="313" customWidth="1"/>
    <col min="12036" max="12038" width="15.5703125" style="313" customWidth="1"/>
    <col min="12039" max="12287" width="0" style="313" hidden="1"/>
    <col min="12288" max="12288" width="48.140625" style="313" customWidth="1"/>
    <col min="12289" max="12289" width="10.42578125" style="313" customWidth="1"/>
    <col min="12290" max="12290" width="20.5703125" style="313" bestFit="1" customWidth="1"/>
    <col min="12291" max="12291" width="19.5703125" style="313" customWidth="1"/>
    <col min="12292" max="12294" width="15.5703125" style="313" customWidth="1"/>
    <col min="12295" max="12543" width="0" style="313" hidden="1"/>
    <col min="12544" max="12544" width="48.140625" style="313" customWidth="1"/>
    <col min="12545" max="12545" width="10.42578125" style="313" customWidth="1"/>
    <col min="12546" max="12546" width="20.5703125" style="313" bestFit="1" customWidth="1"/>
    <col min="12547" max="12547" width="19.5703125" style="313" customWidth="1"/>
    <col min="12548" max="12550" width="15.5703125" style="313" customWidth="1"/>
    <col min="12551" max="12799" width="0" style="313" hidden="1"/>
    <col min="12800" max="12800" width="48.140625" style="313" customWidth="1"/>
    <col min="12801" max="12801" width="10.42578125" style="313" customWidth="1"/>
    <col min="12802" max="12802" width="20.5703125" style="313" bestFit="1" customWidth="1"/>
    <col min="12803" max="12803" width="19.5703125" style="313" customWidth="1"/>
    <col min="12804" max="12806" width="15.5703125" style="313" customWidth="1"/>
    <col min="12807" max="13055" width="0" style="313" hidden="1"/>
    <col min="13056" max="13056" width="48.140625" style="313" customWidth="1"/>
    <col min="13057" max="13057" width="10.42578125" style="313" customWidth="1"/>
    <col min="13058" max="13058" width="20.5703125" style="313" bestFit="1" customWidth="1"/>
    <col min="13059" max="13059" width="19.5703125" style="313" customWidth="1"/>
    <col min="13060" max="13062" width="15.5703125" style="313" customWidth="1"/>
    <col min="13063" max="13311" width="0" style="313" hidden="1"/>
    <col min="13312" max="13312" width="48.140625" style="313" customWidth="1"/>
    <col min="13313" max="13313" width="10.42578125" style="313" customWidth="1"/>
    <col min="13314" max="13314" width="20.5703125" style="313" bestFit="1" customWidth="1"/>
    <col min="13315" max="13315" width="19.5703125" style="313" customWidth="1"/>
    <col min="13316" max="13318" width="15.5703125" style="313" customWidth="1"/>
    <col min="13319" max="13567" width="0" style="313" hidden="1"/>
    <col min="13568" max="13568" width="48.140625" style="313" customWidth="1"/>
    <col min="13569" max="13569" width="10.42578125" style="313" customWidth="1"/>
    <col min="13570" max="13570" width="20.5703125" style="313" bestFit="1" customWidth="1"/>
    <col min="13571" max="13571" width="19.5703125" style="313" customWidth="1"/>
    <col min="13572" max="13574" width="15.5703125" style="313" customWidth="1"/>
    <col min="13575" max="13823" width="0" style="313" hidden="1"/>
    <col min="13824" max="13824" width="48.140625" style="313" customWidth="1"/>
    <col min="13825" max="13825" width="10.42578125" style="313" customWidth="1"/>
    <col min="13826" max="13826" width="20.5703125" style="313" bestFit="1" customWidth="1"/>
    <col min="13827" max="13827" width="19.5703125" style="313" customWidth="1"/>
    <col min="13828" max="13830" width="15.5703125" style="313" customWidth="1"/>
    <col min="13831" max="14079" width="0" style="313" hidden="1"/>
    <col min="14080" max="14080" width="48.140625" style="313" customWidth="1"/>
    <col min="14081" max="14081" width="10.42578125" style="313" customWidth="1"/>
    <col min="14082" max="14082" width="20.5703125" style="313" bestFit="1" customWidth="1"/>
    <col min="14083" max="14083" width="19.5703125" style="313" customWidth="1"/>
    <col min="14084" max="14086" width="15.5703125" style="313" customWidth="1"/>
    <col min="14087" max="14335" width="0" style="313" hidden="1"/>
    <col min="14336" max="14336" width="48.140625" style="313" customWidth="1"/>
    <col min="14337" max="14337" width="10.42578125" style="313" customWidth="1"/>
    <col min="14338" max="14338" width="20.5703125" style="313" bestFit="1" customWidth="1"/>
    <col min="14339" max="14339" width="19.5703125" style="313" customWidth="1"/>
    <col min="14340" max="14342" width="15.5703125" style="313" customWidth="1"/>
    <col min="14343" max="14591" width="0" style="313" hidden="1"/>
    <col min="14592" max="14592" width="48.140625" style="313" customWidth="1"/>
    <col min="14593" max="14593" width="10.42578125" style="313" customWidth="1"/>
    <col min="14594" max="14594" width="20.5703125" style="313" bestFit="1" customWidth="1"/>
    <col min="14595" max="14595" width="19.5703125" style="313" customWidth="1"/>
    <col min="14596" max="14598" width="15.5703125" style="313" customWidth="1"/>
    <col min="14599" max="14847" width="0" style="313" hidden="1"/>
    <col min="14848" max="14848" width="48.140625" style="313" customWidth="1"/>
    <col min="14849" max="14849" width="10.42578125" style="313" customWidth="1"/>
    <col min="14850" max="14850" width="20.5703125" style="313" bestFit="1" customWidth="1"/>
    <col min="14851" max="14851" width="19.5703125" style="313" customWidth="1"/>
    <col min="14852" max="14854" width="15.5703125" style="313" customWidth="1"/>
    <col min="14855" max="15103" width="0" style="313" hidden="1"/>
    <col min="15104" max="15104" width="48.140625" style="313" customWidth="1"/>
    <col min="15105" max="15105" width="10.42578125" style="313" customWidth="1"/>
    <col min="15106" max="15106" width="20.5703125" style="313" bestFit="1" customWidth="1"/>
    <col min="15107" max="15107" width="19.5703125" style="313" customWidth="1"/>
    <col min="15108" max="15110" width="15.5703125" style="313" customWidth="1"/>
    <col min="15111" max="15359" width="0" style="313" hidden="1"/>
    <col min="15360" max="15360" width="48.140625" style="313" customWidth="1"/>
    <col min="15361" max="15361" width="10.42578125" style="313" customWidth="1"/>
    <col min="15362" max="15362" width="20.5703125" style="313" bestFit="1" customWidth="1"/>
    <col min="15363" max="15363" width="19.5703125" style="313" customWidth="1"/>
    <col min="15364" max="15366" width="15.5703125" style="313" customWidth="1"/>
    <col min="15367" max="15615" width="0" style="313" hidden="1"/>
    <col min="15616" max="15616" width="48.140625" style="313" customWidth="1"/>
    <col min="15617" max="15617" width="10.42578125" style="313" customWidth="1"/>
    <col min="15618" max="15618" width="20.5703125" style="313" bestFit="1" customWidth="1"/>
    <col min="15619" max="15619" width="19.5703125" style="313" customWidth="1"/>
    <col min="15620" max="15622" width="15.5703125" style="313" customWidth="1"/>
    <col min="15623" max="15871" width="0" style="313" hidden="1"/>
    <col min="15872" max="15872" width="48.140625" style="313" customWidth="1"/>
    <col min="15873" max="15873" width="10.42578125" style="313" customWidth="1"/>
    <col min="15874" max="15874" width="20.5703125" style="313" bestFit="1" customWidth="1"/>
    <col min="15875" max="15875" width="19.5703125" style="313" customWidth="1"/>
    <col min="15876" max="15878" width="15.5703125" style="313" customWidth="1"/>
    <col min="15879" max="16127" width="0" style="313" hidden="1"/>
    <col min="16128" max="16128" width="48.140625" style="313" customWidth="1"/>
    <col min="16129" max="16129" width="10.42578125" style="313" customWidth="1"/>
    <col min="16130" max="16130" width="20.5703125" style="313" bestFit="1" customWidth="1"/>
    <col min="16131" max="16131" width="19.5703125" style="313" customWidth="1"/>
    <col min="16132" max="16134" width="15.5703125" style="313" customWidth="1"/>
    <col min="16135" max="16384" width="0" style="313" hidden="1"/>
  </cols>
  <sheetData>
    <row r="1" spans="1:109" ht="18.75" x14ac:dyDescent="0.25">
      <c r="A1" s="132"/>
    </row>
    <row r="2" spans="1:109" ht="16.5" x14ac:dyDescent="0.25">
      <c r="A2" s="315"/>
      <c r="C2" s="308"/>
      <c r="D2" s="337"/>
    </row>
    <row r="3" spans="1:109" ht="16.5" x14ac:dyDescent="0.25">
      <c r="A3" s="315" t="s">
        <v>1558</v>
      </c>
      <c r="E3" s="1297"/>
      <c r="F3" s="1468">
        <f>IF(C21=C38,"",C38-C21)</f>
        <v>-0.34000003337860107</v>
      </c>
      <c r="G3" s="1298">
        <f>IF(D21=D38,"",D38-D21)</f>
        <v>0.45999991893768311</v>
      </c>
      <c r="H3" s="1297"/>
      <c r="I3" s="1297"/>
      <c r="J3" s="129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c r="AU3" s="307"/>
      <c r="AV3" s="307"/>
      <c r="AW3" s="307"/>
      <c r="AX3" s="307"/>
      <c r="AY3" s="307"/>
      <c r="AZ3" s="307"/>
      <c r="BA3" s="307"/>
      <c r="BB3" s="307"/>
      <c r="BC3" s="307"/>
      <c r="BD3" s="307"/>
      <c r="BE3" s="307"/>
      <c r="BF3" s="307"/>
      <c r="BG3" s="307"/>
      <c r="BH3" s="307"/>
      <c r="BI3" s="307"/>
      <c r="BJ3" s="307"/>
      <c r="BK3" s="307"/>
      <c r="BL3" s="307"/>
      <c r="BM3" s="307"/>
      <c r="BN3" s="307"/>
      <c r="BO3" s="307"/>
      <c r="BP3" s="307"/>
      <c r="BQ3" s="307"/>
      <c r="BR3" s="307"/>
      <c r="BS3" s="307"/>
      <c r="BT3" s="307"/>
      <c r="BU3" s="307"/>
      <c r="BV3" s="307"/>
      <c r="BW3" s="307"/>
      <c r="BX3" s="307"/>
      <c r="BY3" s="307"/>
      <c r="BZ3" s="307"/>
      <c r="CA3" s="307"/>
      <c r="CB3" s="307"/>
      <c r="CC3" s="307"/>
      <c r="CD3" s="307"/>
      <c r="CE3" s="307"/>
      <c r="CF3" s="307"/>
      <c r="CG3" s="307"/>
      <c r="CH3" s="307"/>
      <c r="CI3" s="307"/>
      <c r="CJ3" s="307"/>
      <c r="CK3" s="307"/>
      <c r="CL3" s="307"/>
      <c r="CM3" s="307"/>
      <c r="CN3" s="307"/>
      <c r="CO3" s="307"/>
      <c r="CP3" s="307"/>
      <c r="CQ3" s="307"/>
      <c r="CR3" s="307"/>
      <c r="CS3" s="307"/>
      <c r="CT3" s="307"/>
      <c r="CU3" s="307"/>
      <c r="CV3" s="307"/>
      <c r="CW3" s="307"/>
      <c r="CX3" s="307"/>
      <c r="CY3" s="307"/>
      <c r="CZ3" s="307"/>
      <c r="DA3" s="307"/>
      <c r="DB3" s="307"/>
      <c r="DC3" s="307"/>
      <c r="DD3" s="307"/>
      <c r="DE3" s="307"/>
    </row>
    <row r="4" spans="1:109" ht="16.5" x14ac:dyDescent="0.25">
      <c r="A4" s="315"/>
      <c r="C4" s="309"/>
      <c r="D4" s="316"/>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c r="AZ4" s="309"/>
      <c r="BA4" s="309"/>
      <c r="BB4" s="309"/>
      <c r="BC4" s="309"/>
      <c r="BD4" s="309"/>
      <c r="BE4" s="309"/>
      <c r="BF4" s="309"/>
      <c r="BG4" s="309"/>
      <c r="BH4" s="309"/>
      <c r="BI4" s="309"/>
      <c r="BJ4" s="309"/>
      <c r="BK4" s="309"/>
      <c r="BL4" s="309"/>
      <c r="BM4" s="309"/>
      <c r="BN4" s="309"/>
      <c r="BO4" s="309"/>
      <c r="BP4" s="309"/>
      <c r="BQ4" s="309"/>
      <c r="BR4" s="309"/>
      <c r="BS4" s="309"/>
      <c r="BT4" s="309"/>
      <c r="BU4" s="309"/>
      <c r="BV4" s="309"/>
      <c r="BW4" s="309"/>
      <c r="BX4" s="309"/>
      <c r="BY4" s="309"/>
      <c r="BZ4" s="309"/>
      <c r="CA4" s="309"/>
      <c r="CB4" s="309"/>
      <c r="CC4" s="309"/>
      <c r="CD4" s="309"/>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row>
    <row r="5" spans="1:109" ht="30" x14ac:dyDescent="0.25">
      <c r="A5" s="317"/>
      <c r="B5" s="318" t="s">
        <v>4</v>
      </c>
      <c r="C5" s="1259" t="s">
        <v>1559</v>
      </c>
      <c r="D5" s="1259" t="s">
        <v>824</v>
      </c>
      <c r="E5" s="1299"/>
      <c r="F5" s="1299"/>
      <c r="G5" s="1299"/>
      <c r="H5" s="1299"/>
      <c r="I5" s="1299"/>
      <c r="J5" s="1299"/>
      <c r="K5" s="319"/>
      <c r="L5" s="319"/>
      <c r="M5" s="319"/>
      <c r="N5" s="319"/>
      <c r="O5" s="319"/>
      <c r="P5" s="319"/>
      <c r="Q5" s="319"/>
      <c r="R5" s="319"/>
      <c r="S5" s="319"/>
      <c r="T5" s="319"/>
      <c r="U5" s="319"/>
      <c r="V5" s="319"/>
      <c r="W5" s="319"/>
      <c r="X5" s="319"/>
      <c r="Y5" s="319"/>
      <c r="Z5" s="319"/>
      <c r="AA5" s="319"/>
      <c r="AB5" s="319"/>
      <c r="AC5" s="319"/>
      <c r="AD5" s="319"/>
      <c r="AE5" s="319"/>
      <c r="AF5" s="319"/>
      <c r="AG5" s="319"/>
      <c r="AH5" s="319"/>
      <c r="AI5" s="319"/>
      <c r="AJ5" s="319"/>
      <c r="AK5" s="319"/>
      <c r="AL5" s="319"/>
      <c r="AM5" s="319"/>
      <c r="AN5" s="319"/>
      <c r="AO5" s="319"/>
      <c r="AP5" s="319"/>
      <c r="AQ5" s="319"/>
      <c r="AR5" s="319"/>
      <c r="AS5" s="319"/>
      <c r="AT5" s="319"/>
      <c r="AU5" s="319"/>
      <c r="AV5" s="319"/>
      <c r="AW5" s="319"/>
      <c r="AX5" s="319"/>
      <c r="AY5" s="319"/>
      <c r="AZ5" s="319"/>
      <c r="BA5" s="319"/>
      <c r="BB5" s="319"/>
      <c r="BC5" s="319"/>
      <c r="BD5" s="319"/>
      <c r="BE5" s="319"/>
      <c r="BF5" s="319"/>
      <c r="BG5" s="319"/>
      <c r="BH5" s="319"/>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c r="CX5" s="319"/>
      <c r="CY5" s="319"/>
      <c r="CZ5" s="319"/>
      <c r="DA5" s="319"/>
      <c r="DB5" s="319"/>
      <c r="DC5" s="319"/>
      <c r="DD5" s="319"/>
      <c r="DE5" s="319"/>
    </row>
    <row r="6" spans="1:109" x14ac:dyDescent="0.25">
      <c r="B6" s="320"/>
      <c r="C6" s="321"/>
      <c r="D6" s="321"/>
      <c r="E6" s="1299"/>
      <c r="F6" s="1299"/>
      <c r="G6" s="1299"/>
      <c r="H6" s="1299"/>
      <c r="I6" s="1299"/>
      <c r="J6" s="1299"/>
      <c r="K6" s="319"/>
      <c r="L6" s="319"/>
      <c r="M6" s="319"/>
      <c r="N6" s="319"/>
      <c r="O6" s="319"/>
      <c r="P6" s="319"/>
      <c r="Q6" s="319"/>
      <c r="R6" s="319"/>
      <c r="S6" s="319"/>
      <c r="T6" s="319"/>
      <c r="U6" s="319"/>
      <c r="V6" s="319"/>
      <c r="W6" s="319"/>
      <c r="X6" s="319"/>
      <c r="Y6" s="319"/>
      <c r="Z6" s="319"/>
      <c r="AA6" s="319"/>
      <c r="AB6" s="319"/>
      <c r="AC6" s="319"/>
      <c r="AD6" s="319"/>
      <c r="AE6" s="319"/>
      <c r="AF6" s="319"/>
      <c r="AG6" s="319"/>
      <c r="AH6" s="319"/>
      <c r="AI6" s="319"/>
      <c r="AJ6" s="319"/>
      <c r="AK6" s="319"/>
      <c r="AL6" s="319"/>
      <c r="AM6" s="319"/>
      <c r="AN6" s="319"/>
      <c r="AO6" s="319"/>
      <c r="AP6" s="319"/>
      <c r="AQ6" s="319"/>
      <c r="AR6" s="319"/>
      <c r="AS6" s="319"/>
      <c r="AT6" s="319"/>
      <c r="AU6" s="319"/>
      <c r="AV6" s="319"/>
      <c r="AW6" s="319"/>
      <c r="AX6" s="319"/>
      <c r="AY6" s="319"/>
      <c r="AZ6" s="319"/>
      <c r="BA6" s="319"/>
      <c r="BB6" s="319"/>
      <c r="BC6" s="319"/>
      <c r="BD6" s="319"/>
      <c r="BE6" s="319"/>
      <c r="BF6" s="319"/>
      <c r="BG6" s="319"/>
      <c r="BH6" s="319"/>
      <c r="BI6" s="319"/>
      <c r="BJ6" s="319"/>
      <c r="BK6" s="319"/>
      <c r="BL6" s="319"/>
      <c r="BM6" s="319"/>
      <c r="BN6" s="319"/>
      <c r="BO6" s="319"/>
      <c r="BP6" s="319"/>
      <c r="BQ6" s="319"/>
      <c r="BR6" s="319"/>
      <c r="BS6" s="319"/>
      <c r="BT6" s="319"/>
      <c r="BU6" s="319"/>
      <c r="BV6" s="319"/>
      <c r="BW6" s="319"/>
      <c r="BX6" s="319"/>
      <c r="BY6" s="319"/>
      <c r="BZ6" s="319"/>
      <c r="CA6" s="319"/>
      <c r="CB6" s="319"/>
      <c r="CC6" s="319"/>
      <c r="CD6" s="319"/>
      <c r="CE6" s="319"/>
      <c r="CF6" s="319"/>
      <c r="CG6" s="319"/>
      <c r="CH6" s="319"/>
      <c r="CI6" s="319"/>
      <c r="CJ6" s="319"/>
      <c r="CK6" s="319"/>
      <c r="CL6" s="319"/>
      <c r="CM6" s="319"/>
      <c r="CN6" s="319"/>
      <c r="CO6" s="319"/>
      <c r="CP6" s="319"/>
      <c r="CQ6" s="319"/>
      <c r="CR6" s="319"/>
      <c r="CS6" s="319"/>
      <c r="CT6" s="319"/>
      <c r="CU6" s="319"/>
      <c r="CV6" s="319"/>
      <c r="CW6" s="319"/>
      <c r="CX6" s="319"/>
      <c r="CY6" s="319"/>
      <c r="CZ6" s="319"/>
      <c r="DA6" s="319"/>
      <c r="DB6" s="319"/>
      <c r="DC6" s="319"/>
      <c r="DD6" s="319"/>
      <c r="DE6" s="319"/>
    </row>
    <row r="7" spans="1:109" ht="17.25" x14ac:dyDescent="0.25">
      <c r="A7" s="322" t="s">
        <v>5</v>
      </c>
      <c r="B7" s="314"/>
      <c r="C7" s="314"/>
    </row>
    <row r="8" spans="1:109" x14ac:dyDescent="0.25">
      <c r="A8" s="323" t="s">
        <v>6</v>
      </c>
      <c r="B8" s="324"/>
      <c r="C8" s="323"/>
      <c r="D8" s="323"/>
    </row>
    <row r="9" spans="1:109" ht="16.5" x14ac:dyDescent="0.25">
      <c r="A9" s="71" t="s">
        <v>7</v>
      </c>
      <c r="B9" s="325">
        <v>2</v>
      </c>
      <c r="C9" s="426">
        <v>54252100</v>
      </c>
      <c r="D9" s="426">
        <v>54252100</v>
      </c>
      <c r="E9" s="1248"/>
      <c r="F9" s="1248"/>
      <c r="G9" s="1248"/>
      <c r="H9" s="1248"/>
      <c r="I9" s="1248"/>
      <c r="J9" s="1248"/>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row>
    <row r="10" spans="1:109" ht="16.5" x14ac:dyDescent="0.25">
      <c r="A10" s="71" t="s">
        <v>8</v>
      </c>
      <c r="B10" s="325">
        <v>3</v>
      </c>
      <c r="C10" s="426">
        <f>'Note 2 - 8'!D62</f>
        <v>303853004.95000005</v>
      </c>
      <c r="D10" s="426">
        <f>+'Note 2 - 8'!E62</f>
        <v>315293976.88</v>
      </c>
      <c r="E10" s="1248"/>
      <c r="F10" s="1248"/>
      <c r="G10" s="1248"/>
      <c r="H10" s="1248"/>
      <c r="I10" s="1248"/>
      <c r="J10" s="1248"/>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row>
    <row r="11" spans="1:109" ht="16.5" x14ac:dyDescent="0.25">
      <c r="A11" s="71"/>
      <c r="B11" s="324"/>
      <c r="C11" s="427">
        <f>SUM(C9:C10)</f>
        <v>358105104.95000005</v>
      </c>
      <c r="D11" s="427">
        <f>SUM(D9:D10)</f>
        <v>369546076.88</v>
      </c>
      <c r="E11" s="1248"/>
      <c r="F11" s="1248"/>
      <c r="G11" s="1248"/>
      <c r="H11" s="1248"/>
      <c r="I11" s="1248"/>
      <c r="J11" s="1248"/>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row>
    <row r="12" spans="1:109" x14ac:dyDescent="0.25">
      <c r="A12" s="323" t="s">
        <v>9</v>
      </c>
      <c r="B12" s="324"/>
      <c r="C12" s="428"/>
      <c r="D12" s="428"/>
      <c r="E12" s="1248"/>
      <c r="F12" s="1248"/>
      <c r="G12" s="1248"/>
      <c r="H12" s="1248"/>
      <c r="I12" s="1248"/>
      <c r="J12" s="1248"/>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row>
    <row r="13" spans="1:109" ht="16.5" x14ac:dyDescent="0.25">
      <c r="A13" s="71" t="s">
        <v>10</v>
      </c>
      <c r="B13" s="325">
        <v>4</v>
      </c>
      <c r="C13" s="426">
        <f>'Note 2 - 8'!D69</f>
        <v>58353708.079999991</v>
      </c>
      <c r="D13" s="426">
        <f>'Note 2 - 8'!E69</f>
        <v>91446279.319999993</v>
      </c>
      <c r="E13" s="1248"/>
      <c r="F13" s="1248"/>
      <c r="G13" s="1248"/>
      <c r="H13" s="1248"/>
      <c r="I13" s="1248"/>
      <c r="J13" s="1248"/>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row>
    <row r="14" spans="1:109" ht="16.5" x14ac:dyDescent="0.25">
      <c r="A14" s="71" t="s">
        <v>600</v>
      </c>
      <c r="B14" s="325">
        <v>5</v>
      </c>
      <c r="C14" s="433">
        <f>'Note 2 - 8'!D74+1</f>
        <v>3664246</v>
      </c>
      <c r="D14" s="433">
        <f>'Note 2 - 8'!E74+1</f>
        <v>4892105</v>
      </c>
      <c r="E14" s="1248"/>
      <c r="F14" s="1248"/>
      <c r="G14" s="1248"/>
      <c r="H14" s="1248"/>
      <c r="I14" s="1248"/>
      <c r="J14" s="1248"/>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row>
    <row r="15" spans="1:109" ht="16.5" x14ac:dyDescent="0.25">
      <c r="A15" s="71"/>
      <c r="B15" s="325"/>
      <c r="C15" s="727">
        <f>SUM(C13:C14)</f>
        <v>62017954.079999991</v>
      </c>
      <c r="D15" s="727">
        <f>SUM(D13:D14)</f>
        <v>96338384.319999993</v>
      </c>
      <c r="E15" s="1248"/>
      <c r="F15" s="1248"/>
      <c r="G15" s="1248"/>
      <c r="H15" s="1248"/>
      <c r="I15" s="1248"/>
      <c r="J15" s="1248"/>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row>
    <row r="16" spans="1:109" ht="16.5" x14ac:dyDescent="0.25">
      <c r="A16" s="323" t="s">
        <v>11</v>
      </c>
      <c r="B16" s="325"/>
      <c r="C16" s="428"/>
      <c r="D16" s="429"/>
      <c r="E16" s="1248"/>
      <c r="F16" s="1248"/>
      <c r="G16" s="1248"/>
      <c r="H16" s="1248"/>
      <c r="I16" s="1248"/>
      <c r="J16" s="1248"/>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row>
    <row r="17" spans="1:256" ht="16.5" x14ac:dyDescent="0.25">
      <c r="A17" s="71" t="s">
        <v>12</v>
      </c>
      <c r="B17" s="325">
        <v>6</v>
      </c>
      <c r="C17" s="426">
        <f>'Note 2 - 8'!D85</f>
        <v>12478163.109999998</v>
      </c>
      <c r="D17" s="426">
        <f>'Note 2 - 8'!E85+1</f>
        <v>14701344.600000001</v>
      </c>
      <c r="E17" s="1248"/>
      <c r="F17" s="1248"/>
      <c r="G17" s="1248"/>
      <c r="H17" s="1248"/>
      <c r="I17" s="1248"/>
      <c r="J17" s="1248"/>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row>
    <row r="18" spans="1:256" ht="16.5" x14ac:dyDescent="0.25">
      <c r="A18" s="71" t="s">
        <v>13</v>
      </c>
      <c r="B18" s="325">
        <v>7</v>
      </c>
      <c r="C18" s="426">
        <f>'Note 2 - 8'!D116-2</f>
        <v>22449199.48</v>
      </c>
      <c r="D18" s="426">
        <f>'Note 2 - 8'!E116</f>
        <v>26143344.059999999</v>
      </c>
      <c r="E18" s="1248"/>
      <c r="F18" s="1248"/>
      <c r="G18" s="1248"/>
      <c r="H18" s="1248"/>
      <c r="I18" s="1248"/>
      <c r="J18" s="1248"/>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row>
    <row r="19" spans="1:256" ht="16.5" x14ac:dyDescent="0.25">
      <c r="A19" s="71" t="s">
        <v>14</v>
      </c>
      <c r="B19" s="325">
        <v>8</v>
      </c>
      <c r="C19" s="426">
        <f>'Note 2 - 8'!D120</f>
        <v>0</v>
      </c>
      <c r="D19" s="426">
        <f>'Note 2 - 8'!E120</f>
        <v>17927262</v>
      </c>
      <c r="E19" s="1248"/>
      <c r="F19" s="1248"/>
      <c r="G19" s="1248"/>
      <c r="H19" s="1248"/>
      <c r="I19" s="1248"/>
      <c r="J19" s="1248"/>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IV19" s="384"/>
    </row>
    <row r="20" spans="1:256" ht="16.5" x14ac:dyDescent="0.25">
      <c r="A20" s="71"/>
      <c r="B20" s="325"/>
      <c r="C20" s="430">
        <f>SUM(C17:C19)</f>
        <v>34927362.589999996</v>
      </c>
      <c r="D20" s="430">
        <f>SUM(D17:D19)</f>
        <v>58771950.659999996</v>
      </c>
      <c r="E20" s="1248"/>
      <c r="F20" s="1248"/>
      <c r="G20" s="1248"/>
      <c r="H20" s="1248"/>
      <c r="I20" s="1248"/>
      <c r="J20" s="1248"/>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row>
    <row r="21" spans="1:256" ht="15.75" thickBot="1" x14ac:dyDescent="0.3">
      <c r="A21" s="326" t="s">
        <v>15</v>
      </c>
      <c r="B21" s="327"/>
      <c r="C21" s="431">
        <f>C20+C15+C11</f>
        <v>455050421.62</v>
      </c>
      <c r="D21" s="431">
        <f>D20+D15+D11</f>
        <v>524656411.86000001</v>
      </c>
      <c r="E21" s="1248"/>
      <c r="F21" s="1248"/>
      <c r="G21" s="1248"/>
      <c r="H21" s="1248"/>
      <c r="I21" s="1248"/>
      <c r="J21" s="1248"/>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row>
    <row r="22" spans="1:256" x14ac:dyDescent="0.25">
      <c r="A22" s="314"/>
      <c r="B22" s="328"/>
      <c r="C22" s="428"/>
      <c r="D22" s="428"/>
      <c r="E22" s="1248"/>
      <c r="F22" s="1248"/>
      <c r="G22" s="1248"/>
      <c r="H22" s="1248"/>
      <c r="I22" s="1248"/>
      <c r="J22" s="1248"/>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row>
    <row r="23" spans="1:256" ht="17.25" x14ac:dyDescent="0.25">
      <c r="A23" s="322" t="s">
        <v>16</v>
      </c>
      <c r="B23" s="325"/>
      <c r="C23" s="428"/>
      <c r="D23" s="428"/>
      <c r="E23" s="1248"/>
      <c r="F23" s="1248"/>
      <c r="G23" s="1248"/>
      <c r="H23" s="1248"/>
      <c r="I23" s="1248"/>
      <c r="J23" s="1248"/>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row>
    <row r="24" spans="1:256" ht="16.5" x14ac:dyDescent="0.25">
      <c r="A24" s="74" t="s">
        <v>17</v>
      </c>
      <c r="B24" s="325"/>
      <c r="C24" s="428"/>
      <c r="D24" s="428"/>
      <c r="E24" s="1248"/>
      <c r="F24" s="1248"/>
      <c r="G24" s="1248"/>
      <c r="H24" s="1248"/>
      <c r="I24" s="1248"/>
      <c r="J24" s="1248"/>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row>
    <row r="25" spans="1:256" ht="16.5" x14ac:dyDescent="0.25">
      <c r="A25" s="330" t="s">
        <v>18</v>
      </c>
      <c r="B25" s="325">
        <v>9</v>
      </c>
      <c r="C25" s="428"/>
      <c r="D25" s="428"/>
      <c r="E25" s="1248"/>
      <c r="F25" s="1248"/>
      <c r="G25" s="1248"/>
      <c r="H25" s="1248"/>
      <c r="I25" s="1248"/>
      <c r="J25" s="1248"/>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row>
    <row r="26" spans="1:256" ht="16.5" x14ac:dyDescent="0.25">
      <c r="A26" s="331" t="s">
        <v>19</v>
      </c>
      <c r="B26" s="325"/>
      <c r="C26" s="426">
        <f>+'Note 9'!K17</f>
        <v>303520368.82999998</v>
      </c>
      <c r="D26" s="426">
        <f>+'Note 9'!L17</f>
        <v>313338748.47999996</v>
      </c>
      <c r="E26" s="1248"/>
      <c r="F26" s="1248"/>
      <c r="G26" s="1248"/>
      <c r="H26" s="1248"/>
      <c r="I26" s="1248"/>
      <c r="J26" s="1248"/>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row>
    <row r="27" spans="1:256" ht="16.5" x14ac:dyDescent="0.25">
      <c r="A27" s="331" t="s">
        <v>20</v>
      </c>
      <c r="B27" s="325"/>
      <c r="C27" s="426">
        <f>+'Note 9'!K20</f>
        <v>1691604</v>
      </c>
      <c r="D27" s="426">
        <f>+'Note 9'!L20</f>
        <v>2188882</v>
      </c>
      <c r="E27" s="1248"/>
      <c r="F27" s="1248"/>
      <c r="G27" s="1248"/>
      <c r="H27" s="1248"/>
      <c r="I27" s="1248"/>
      <c r="J27" s="1248"/>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IV27" s="425"/>
    </row>
    <row r="28" spans="1:256" ht="16.5" x14ac:dyDescent="0.25">
      <c r="A28" s="1222" t="s">
        <v>1531</v>
      </c>
      <c r="B28" s="325"/>
      <c r="C28" s="426">
        <f>+'Note 9'!K29</f>
        <v>8929424.7599999998</v>
      </c>
      <c r="D28" s="426">
        <v>6521806</v>
      </c>
      <c r="E28" s="1248"/>
      <c r="F28" s="1248"/>
      <c r="G28" s="1248"/>
      <c r="H28" s="1248"/>
      <c r="I28" s="1248"/>
      <c r="J28" s="1248"/>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IV28" s="425"/>
    </row>
    <row r="29" spans="1:256" ht="16.5" x14ac:dyDescent="0.25">
      <c r="A29" s="330" t="s">
        <v>21</v>
      </c>
      <c r="B29" s="325">
        <v>10</v>
      </c>
      <c r="C29" s="426">
        <f>'Note 10-15'!B9</f>
        <v>9629447</v>
      </c>
      <c r="D29" s="426">
        <f>'Note 10-15'!C9</f>
        <v>8180887</v>
      </c>
      <c r="E29" s="1248"/>
      <c r="F29" s="1248"/>
      <c r="G29" s="1248"/>
      <c r="H29" s="1248"/>
      <c r="I29" s="1248"/>
      <c r="J29" s="1248"/>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row>
    <row r="30" spans="1:256" ht="16.5" x14ac:dyDescent="0.25">
      <c r="A30" s="330"/>
      <c r="B30" s="325"/>
      <c r="C30" s="432">
        <f>SUM(C26:C29)</f>
        <v>323770844.58999997</v>
      </c>
      <c r="D30" s="432">
        <f>SUM(D26:D29)</f>
        <v>330230323.47999996</v>
      </c>
      <c r="E30" s="1248"/>
      <c r="F30" s="1248"/>
      <c r="G30" s="1248"/>
      <c r="H30" s="1248"/>
      <c r="I30" s="1248"/>
      <c r="J30" s="1248"/>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row>
    <row r="31" spans="1:256" ht="16.5" x14ac:dyDescent="0.25">
      <c r="A31" s="74" t="s">
        <v>22</v>
      </c>
      <c r="B31" s="325"/>
      <c r="C31" s="428"/>
      <c r="D31" s="428"/>
      <c r="E31" s="1248"/>
      <c r="F31" s="1248"/>
      <c r="G31" s="1248"/>
      <c r="H31" s="1248"/>
      <c r="I31" s="1248"/>
      <c r="J31" s="1248"/>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row>
    <row r="32" spans="1:256" ht="16.5" x14ac:dyDescent="0.25">
      <c r="A32" s="330" t="s">
        <v>673</v>
      </c>
      <c r="B32" s="325">
        <v>11</v>
      </c>
      <c r="C32" s="426">
        <f>'Note 10-15'!B14</f>
        <v>684295</v>
      </c>
      <c r="D32" s="426">
        <f>'Note 10-15'!C14</f>
        <v>992170</v>
      </c>
      <c r="E32" s="1248"/>
      <c r="F32" s="1248"/>
      <c r="G32" s="1248"/>
      <c r="H32" s="1248"/>
      <c r="I32" s="1248"/>
      <c r="J32" s="1248"/>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row>
    <row r="33" spans="1:256" ht="16.5" x14ac:dyDescent="0.25">
      <c r="A33" s="330" t="s">
        <v>23</v>
      </c>
      <c r="B33" s="325">
        <v>12</v>
      </c>
      <c r="C33" s="426">
        <f>'Note 10-15'!B21</f>
        <v>73220897.700000003</v>
      </c>
      <c r="D33" s="426">
        <f>'Note 10-15'!C21</f>
        <v>83378906.310000002</v>
      </c>
      <c r="E33" s="1248"/>
      <c r="F33" s="1248"/>
      <c r="G33" s="1248"/>
      <c r="H33" s="1248"/>
      <c r="I33" s="1248"/>
      <c r="J33" s="1248"/>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row>
    <row r="34" spans="1:256" ht="16.5" x14ac:dyDescent="0.25">
      <c r="A34" s="330" t="s">
        <v>24</v>
      </c>
      <c r="B34" s="325">
        <v>13</v>
      </c>
      <c r="C34" s="426">
        <f>'Note 10-15'!B52</f>
        <v>16843696.119999997</v>
      </c>
      <c r="D34" s="426">
        <f>'Note 10-15'!C52</f>
        <v>59510570.18</v>
      </c>
      <c r="E34" s="1248"/>
      <c r="F34" s="1248"/>
      <c r="G34" s="1248"/>
      <c r="H34" s="1248"/>
      <c r="I34" s="1248"/>
      <c r="J34" s="1248"/>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row>
    <row r="35" spans="1:256" ht="16.5" x14ac:dyDescent="0.25">
      <c r="A35" s="330" t="s">
        <v>25</v>
      </c>
      <c r="B35" s="325">
        <v>14</v>
      </c>
      <c r="C35" s="426">
        <f>'Note 10-15'!B62</f>
        <v>40332294.870000005</v>
      </c>
      <c r="D35" s="426">
        <f>'Note 10-15'!C62</f>
        <v>50326334.350000001</v>
      </c>
      <c r="E35" s="1248"/>
      <c r="F35" s="1248"/>
      <c r="G35" s="1248"/>
      <c r="H35" s="1248"/>
      <c r="I35" s="1248"/>
      <c r="J35" s="1248"/>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row>
    <row r="36" spans="1:256" ht="16.5" x14ac:dyDescent="0.25">
      <c r="A36" s="330" t="s">
        <v>26</v>
      </c>
      <c r="B36" s="325">
        <v>15</v>
      </c>
      <c r="C36" s="433">
        <f>'Note 10-15'!B67</f>
        <v>198393</v>
      </c>
      <c r="D36" s="433">
        <f>'Note 10-15'!C67</f>
        <v>218107</v>
      </c>
      <c r="E36" s="1248"/>
      <c r="F36" s="1248"/>
      <c r="G36" s="1248"/>
      <c r="H36" s="1248"/>
      <c r="I36" s="1248"/>
      <c r="J36" s="1248"/>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IV36" s="384"/>
    </row>
    <row r="37" spans="1:256" ht="16.5" x14ac:dyDescent="0.25">
      <c r="A37" s="330"/>
      <c r="B37" s="325"/>
      <c r="C37" s="428">
        <f>SUM(C32:C36)</f>
        <v>131279576.69</v>
      </c>
      <c r="D37" s="428">
        <f>SUM(D32:D36)</f>
        <v>194426087.84</v>
      </c>
      <c r="E37" s="1248"/>
      <c r="F37" s="1248"/>
      <c r="G37" s="1248"/>
      <c r="H37" s="1248"/>
      <c r="I37" s="1248"/>
      <c r="J37" s="1248"/>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row>
    <row r="38" spans="1:256" ht="17.25" thickBot="1" x14ac:dyDescent="0.3">
      <c r="A38" s="332" t="s">
        <v>15</v>
      </c>
      <c r="B38" s="333"/>
      <c r="C38" s="431">
        <f>C37+C30</f>
        <v>455050421.27999997</v>
      </c>
      <c r="D38" s="431">
        <f>D37+D30+1</f>
        <v>524656412.31999993</v>
      </c>
      <c r="E38" s="1300"/>
      <c r="F38" s="1248"/>
      <c r="G38" s="1248"/>
      <c r="H38" s="1248"/>
      <c r="I38" s="1248"/>
      <c r="J38" s="1248"/>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row>
    <row r="39" spans="1:256" ht="16.5" x14ac:dyDescent="0.25">
      <c r="A39" s="335" t="s">
        <v>27</v>
      </c>
      <c r="B39" s="334"/>
      <c r="C39" s="1273"/>
      <c r="D39" s="336"/>
      <c r="E39" s="1301"/>
      <c r="F39" s="1248"/>
      <c r="H39" s="1248"/>
    </row>
    <row r="40" spans="1:256" ht="16.5" x14ac:dyDescent="0.25">
      <c r="A40" s="25" t="s">
        <v>28</v>
      </c>
      <c r="B40" s="1549"/>
      <c r="C40" s="1549"/>
      <c r="D40" s="1549"/>
      <c r="E40" s="1248"/>
      <c r="F40" s="1248"/>
      <c r="G40" s="1248"/>
      <c r="I40" s="1248"/>
      <c r="J40" s="1248"/>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row>
    <row r="41" spans="1:256" ht="16.5" x14ac:dyDescent="0.25">
      <c r="A41" s="25"/>
      <c r="B41" s="1552" t="s">
        <v>29</v>
      </c>
      <c r="C41" s="1552"/>
      <c r="D41" s="1552"/>
      <c r="E41" s="1248"/>
      <c r="F41" s="1248"/>
      <c r="G41" s="1248"/>
      <c r="H41" s="1248"/>
      <c r="I41" s="1248"/>
      <c r="J41" s="1248"/>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row>
    <row r="42" spans="1:256" ht="16.5" customHeight="1" x14ac:dyDescent="0.25">
      <c r="A42" s="395" t="s">
        <v>817</v>
      </c>
      <c r="B42" s="1550"/>
      <c r="C42" s="1550"/>
      <c r="D42" s="1551"/>
      <c r="E42" s="1248"/>
      <c r="F42" s="1248"/>
      <c r="G42" s="1248"/>
      <c r="H42" s="1248"/>
      <c r="I42" s="1248"/>
      <c r="J42" s="1248"/>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row>
    <row r="43" spans="1:256" x14ac:dyDescent="0.25">
      <c r="A43" s="395" t="s">
        <v>1860</v>
      </c>
      <c r="C43" s="30"/>
      <c r="D43" s="31"/>
      <c r="E43" s="1248"/>
      <c r="F43" s="1248"/>
      <c r="G43" s="1248"/>
      <c r="H43" s="1249"/>
      <c r="I43" s="1249"/>
      <c r="J43" s="1249"/>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row>
    <row r="44" spans="1:256" x14ac:dyDescent="0.25">
      <c r="A44" s="395" t="s">
        <v>806</v>
      </c>
      <c r="C44" s="30"/>
      <c r="D44" s="31"/>
      <c r="E44" s="1248"/>
      <c r="F44" s="1248"/>
      <c r="G44" s="1248"/>
      <c r="H44" s="1249"/>
      <c r="I44" s="1249"/>
      <c r="J44" s="1249"/>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row>
    <row r="45" spans="1:256" ht="16.5" x14ac:dyDescent="0.25">
      <c r="A45" s="396"/>
      <c r="B45" s="310"/>
      <c r="C45" s="29"/>
      <c r="D45" s="31"/>
      <c r="E45" s="1248"/>
      <c r="F45" s="1249"/>
      <c r="G45" s="1249"/>
      <c r="H45" s="1249"/>
      <c r="I45" s="1249"/>
      <c r="J45" s="1249"/>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row>
    <row r="46" spans="1:256" ht="16.5" x14ac:dyDescent="0.25">
      <c r="A46" s="395"/>
      <c r="B46" s="29"/>
      <c r="C46" s="29"/>
      <c r="D46" s="31"/>
      <c r="E46" s="1249"/>
      <c r="H46" s="1249"/>
      <c r="I46" s="1249"/>
      <c r="J46" s="1249"/>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row>
    <row r="47" spans="1:256" ht="16.5" x14ac:dyDescent="0.25">
      <c r="A47" s="397"/>
      <c r="B47" s="311"/>
      <c r="C47" s="29"/>
      <c r="D47" s="312"/>
      <c r="E47" s="1249"/>
      <c r="F47" s="1249"/>
      <c r="G47" s="1249"/>
      <c r="H47" s="1249"/>
      <c r="I47" s="1249"/>
      <c r="J47" s="1249"/>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row>
    <row r="48" spans="1:256" x14ac:dyDescent="0.25">
      <c r="A48" s="395" t="s">
        <v>818</v>
      </c>
      <c r="B48" s="395"/>
      <c r="C48" s="394"/>
      <c r="D48" s="395"/>
      <c r="E48" s="1251"/>
      <c r="F48" s="1251"/>
      <c r="G48" s="1251"/>
      <c r="H48" s="1251"/>
      <c r="I48" s="1251"/>
      <c r="J48" s="1251"/>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row>
    <row r="49" spans="1:109" ht="16.5" x14ac:dyDescent="0.3">
      <c r="A49" s="397" t="s">
        <v>807</v>
      </c>
      <c r="B49" s="1226" t="s">
        <v>1552</v>
      </c>
      <c r="C49" s="1225"/>
      <c r="D49" s="1224"/>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row>
    <row r="50" spans="1:109" ht="16.5" x14ac:dyDescent="0.3">
      <c r="A50" s="397" t="s">
        <v>1859</v>
      </c>
      <c r="B50" s="1226"/>
      <c r="C50" s="393"/>
      <c r="D50" s="1224"/>
    </row>
    <row r="51" spans="1:109" ht="16.5" x14ac:dyDescent="0.25">
      <c r="A51" s="1267" t="s">
        <v>1570</v>
      </c>
      <c r="B51" s="30"/>
      <c r="C51" s="29"/>
      <c r="D51" s="71"/>
    </row>
    <row r="52" spans="1:109" ht="16.5" x14ac:dyDescent="0.3">
      <c r="A52" s="393" t="s">
        <v>1571</v>
      </c>
      <c r="B52" s="25"/>
      <c r="C52" s="29"/>
      <c r="D52" s="25"/>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row>
    <row r="53" spans="1:109" ht="16.5" x14ac:dyDescent="0.25">
      <c r="A53" s="394" t="s">
        <v>1572</v>
      </c>
      <c r="B53" s="25"/>
      <c r="C53" s="29"/>
      <c r="D53" s="25"/>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c r="BV53" s="38"/>
      <c r="BW53" s="38"/>
      <c r="BX53" s="38"/>
      <c r="BY53" s="38"/>
      <c r="BZ53" s="38"/>
      <c r="CA53" s="38"/>
      <c r="CB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row>
    <row r="54" spans="1:109" ht="16.5" x14ac:dyDescent="0.25">
      <c r="A54" s="399"/>
      <c r="B54" s="25"/>
      <c r="C54" s="29"/>
      <c r="D54" s="30"/>
      <c r="E54" s="1248"/>
      <c r="F54" s="1248"/>
      <c r="G54" s="1248"/>
      <c r="H54" s="1248"/>
      <c r="I54" s="1248"/>
      <c r="J54" s="1248"/>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row>
    <row r="55" spans="1:109" x14ac:dyDescent="0.25"/>
    <row r="56" spans="1:109" ht="6.75" customHeight="1" x14ac:dyDescent="0.25"/>
    <row r="58" spans="1:109" hidden="1" x14ac:dyDescent="0.25">
      <c r="C58" s="309"/>
      <c r="D58" s="307"/>
      <c r="K58" s="309"/>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c r="BN58" s="309"/>
      <c r="BO58" s="309"/>
      <c r="BP58" s="309"/>
      <c r="BQ58" s="309"/>
      <c r="BR58" s="309"/>
      <c r="BS58" s="309"/>
      <c r="BT58" s="309"/>
      <c r="BU58" s="309"/>
      <c r="BV58" s="309"/>
      <c r="BW58" s="309"/>
      <c r="BX58" s="309"/>
      <c r="BY58" s="309"/>
      <c r="BZ58" s="309"/>
      <c r="CA58" s="309"/>
      <c r="CB58" s="309"/>
      <c r="CC58" s="309"/>
      <c r="CD58" s="309"/>
      <c r="CE58" s="309"/>
      <c r="CF58" s="309"/>
      <c r="CG58" s="309"/>
      <c r="CH58" s="309"/>
      <c r="CI58" s="309"/>
      <c r="CJ58" s="309"/>
      <c r="CK58" s="309"/>
      <c r="CL58" s="309"/>
      <c r="CM58" s="309"/>
      <c r="CN58" s="309"/>
      <c r="CO58" s="309"/>
      <c r="CP58" s="309"/>
      <c r="CQ58" s="309"/>
      <c r="CR58" s="309"/>
      <c r="CS58" s="309"/>
      <c r="CT58" s="309"/>
      <c r="CU58" s="309"/>
      <c r="CV58" s="309"/>
      <c r="CW58" s="309"/>
      <c r="CX58" s="309"/>
      <c r="CY58" s="309"/>
      <c r="CZ58" s="309"/>
      <c r="DA58" s="309"/>
      <c r="DB58" s="309"/>
      <c r="DC58" s="309"/>
      <c r="DD58" s="309"/>
      <c r="DE58" s="309"/>
    </row>
    <row r="60" spans="1:109" hidden="1" x14ac:dyDescent="0.25">
      <c r="C60" s="309"/>
    </row>
    <row r="61" spans="1:109" hidden="1" x14ac:dyDescent="0.25">
      <c r="J61" s="1296" t="s">
        <v>3</v>
      </c>
    </row>
    <row r="62" spans="1:109" x14ac:dyDescent="0.25"/>
    <row r="63" spans="1:109" x14ac:dyDescent="0.25"/>
    <row r="64" spans="1:109" x14ac:dyDescent="0.25"/>
    <row r="65" x14ac:dyDescent="0.25"/>
    <row r="79" x14ac:dyDescent="0.25"/>
    <row r="80" x14ac:dyDescent="0.25"/>
    <row r="95" x14ac:dyDescent="0.25"/>
    <row r="111" x14ac:dyDescent="0.25"/>
    <row r="143" x14ac:dyDescent="0.25"/>
    <row r="159" x14ac:dyDescent="0.25"/>
    <row r="175" x14ac:dyDescent="0.25"/>
    <row r="176"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sheetData>
  <mergeCells count="3">
    <mergeCell ref="B40:D40"/>
    <mergeCell ref="B42:D42"/>
    <mergeCell ref="B41:D41"/>
  </mergeCells>
  <printOptions horizontalCentered="1"/>
  <pageMargins left="0.51181102362204722" right="0.51181102362204722" top="0.5" bottom="0.49" header="0.51181102362204722" footer="0.51181102362204722"/>
  <pageSetup paperSize="9" scale="9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L93"/>
  <sheetViews>
    <sheetView showGridLines="0" view="pageBreakPreview" topLeftCell="A35" zoomScaleNormal="100" zoomScaleSheetLayoutView="100" workbookViewId="0">
      <selection activeCell="A46" sqref="A46"/>
    </sheetView>
  </sheetViews>
  <sheetFormatPr defaultRowHeight="15" zeroHeight="1" x14ac:dyDescent="0.25"/>
  <cols>
    <col min="1" max="1" width="47" style="3" customWidth="1"/>
    <col min="2" max="2" width="10.5703125" style="7" customWidth="1"/>
    <col min="3" max="3" width="19.42578125" style="3" customWidth="1"/>
    <col min="4" max="4" width="20.42578125" style="3" bestFit="1" customWidth="1"/>
    <col min="5" max="7" width="14.5703125" style="1232" customWidth="1"/>
    <col min="8" max="8" width="24.85546875" style="1232" bestFit="1" customWidth="1"/>
    <col min="9" max="9" width="15.28515625" style="1232" bestFit="1" customWidth="1"/>
    <col min="10" max="10" width="24.85546875" style="1232" bestFit="1" customWidth="1"/>
    <col min="11" max="14" width="14.28515625" style="1232" bestFit="1" customWidth="1"/>
    <col min="15" max="15" width="12.7109375" style="1232" bestFit="1" customWidth="1"/>
    <col min="16" max="16" width="13.7109375" style="1232" bestFit="1" customWidth="1"/>
    <col min="17" max="258" width="9.140625" style="1232"/>
    <col min="259" max="259" width="47" style="1232" customWidth="1"/>
    <col min="260" max="260" width="10.5703125" style="1232" customWidth="1"/>
    <col min="261" max="261" width="20.42578125" style="1232" customWidth="1"/>
    <col min="262" max="262" width="20.42578125" style="1232" bestFit="1" customWidth="1"/>
    <col min="263" max="263" width="11" style="1232" bestFit="1" customWidth="1"/>
    <col min="264" max="265" width="10" style="1232" bestFit="1" customWidth="1"/>
    <col min="266" max="514" width="9.140625" style="1232"/>
    <col min="515" max="515" width="47" style="1232" customWidth="1"/>
    <col min="516" max="516" width="10.5703125" style="1232" customWidth="1"/>
    <col min="517" max="517" width="20.42578125" style="1232" customWidth="1"/>
    <col min="518" max="518" width="20.42578125" style="1232" bestFit="1" customWidth="1"/>
    <col min="519" max="519" width="11" style="1232" bestFit="1" customWidth="1"/>
    <col min="520" max="521" width="10" style="1232" bestFit="1" customWidth="1"/>
    <col min="522" max="770" width="9.140625" style="1232"/>
    <col min="771" max="771" width="47" style="1232" customWidth="1"/>
    <col min="772" max="772" width="10.5703125" style="1232" customWidth="1"/>
    <col min="773" max="773" width="20.42578125" style="1232" customWidth="1"/>
    <col min="774" max="774" width="20.42578125" style="1232" bestFit="1" customWidth="1"/>
    <col min="775" max="775" width="11" style="1232" bestFit="1" customWidth="1"/>
    <col min="776" max="777" width="10" style="1232" bestFit="1" customWidth="1"/>
    <col min="778" max="1026" width="9.140625" style="1232"/>
    <col min="1027" max="1027" width="47" style="1232" customWidth="1"/>
    <col min="1028" max="1028" width="10.5703125" style="1232" customWidth="1"/>
    <col min="1029" max="1029" width="20.42578125" style="1232" customWidth="1"/>
    <col min="1030" max="1030" width="20.42578125" style="1232" bestFit="1" customWidth="1"/>
    <col min="1031" max="1031" width="11" style="1232" bestFit="1" customWidth="1"/>
    <col min="1032" max="1033" width="10" style="1232" bestFit="1" customWidth="1"/>
    <col min="1034" max="1282" width="9.140625" style="1232"/>
    <col min="1283" max="1283" width="47" style="1232" customWidth="1"/>
    <col min="1284" max="1284" width="10.5703125" style="1232" customWidth="1"/>
    <col min="1285" max="1285" width="20.42578125" style="1232" customWidth="1"/>
    <col min="1286" max="1286" width="20.42578125" style="1232" bestFit="1" customWidth="1"/>
    <col min="1287" max="1287" width="11" style="1232" bestFit="1" customWidth="1"/>
    <col min="1288" max="1289" width="10" style="1232" bestFit="1" customWidth="1"/>
    <col min="1290" max="1538" width="9.140625" style="1232"/>
    <col min="1539" max="1539" width="47" style="1232" customWidth="1"/>
    <col min="1540" max="1540" width="10.5703125" style="1232" customWidth="1"/>
    <col min="1541" max="1541" width="20.42578125" style="1232" customWidth="1"/>
    <col min="1542" max="1542" width="20.42578125" style="1232" bestFit="1" customWidth="1"/>
    <col min="1543" max="1543" width="11" style="1232" bestFit="1" customWidth="1"/>
    <col min="1544" max="1545" width="10" style="1232" bestFit="1" customWidth="1"/>
    <col min="1546" max="1794" width="9.140625" style="1232"/>
    <col min="1795" max="1795" width="47" style="1232" customWidth="1"/>
    <col min="1796" max="1796" width="10.5703125" style="1232" customWidth="1"/>
    <col min="1797" max="1797" width="20.42578125" style="1232" customWidth="1"/>
    <col min="1798" max="1798" width="20.42578125" style="1232" bestFit="1" customWidth="1"/>
    <col min="1799" max="1799" width="11" style="1232" bestFit="1" customWidth="1"/>
    <col min="1800" max="1801" width="10" style="1232" bestFit="1" customWidth="1"/>
    <col min="1802" max="2050" width="9.140625" style="1232"/>
    <col min="2051" max="2051" width="47" style="1232" customWidth="1"/>
    <col min="2052" max="2052" width="10.5703125" style="1232" customWidth="1"/>
    <col min="2053" max="2053" width="20.42578125" style="1232" customWidth="1"/>
    <col min="2054" max="2054" width="20.42578125" style="1232" bestFit="1" customWidth="1"/>
    <col min="2055" max="2055" width="11" style="1232" bestFit="1" customWidth="1"/>
    <col min="2056" max="2057" width="10" style="1232" bestFit="1" customWidth="1"/>
    <col min="2058" max="2306" width="9.140625" style="1232"/>
    <col min="2307" max="2307" width="47" style="1232" customWidth="1"/>
    <col min="2308" max="2308" width="10.5703125" style="1232" customWidth="1"/>
    <col min="2309" max="2309" width="20.42578125" style="1232" customWidth="1"/>
    <col min="2310" max="2310" width="20.42578125" style="1232" bestFit="1" customWidth="1"/>
    <col min="2311" max="2311" width="11" style="1232" bestFit="1" customWidth="1"/>
    <col min="2312" max="2313" width="10" style="1232" bestFit="1" customWidth="1"/>
    <col min="2314" max="2562" width="9.140625" style="1232"/>
    <col min="2563" max="2563" width="47" style="1232" customWidth="1"/>
    <col min="2564" max="2564" width="10.5703125" style="1232" customWidth="1"/>
    <col min="2565" max="2565" width="20.42578125" style="1232" customWidth="1"/>
    <col min="2566" max="2566" width="20.42578125" style="1232" bestFit="1" customWidth="1"/>
    <col min="2567" max="2567" width="11" style="1232" bestFit="1" customWidth="1"/>
    <col min="2568" max="2569" width="10" style="1232" bestFit="1" customWidth="1"/>
    <col min="2570" max="2818" width="9.140625" style="1232"/>
    <col min="2819" max="2819" width="47" style="1232" customWidth="1"/>
    <col min="2820" max="2820" width="10.5703125" style="1232" customWidth="1"/>
    <col min="2821" max="2821" width="20.42578125" style="1232" customWidth="1"/>
    <col min="2822" max="2822" width="20.42578125" style="1232" bestFit="1" customWidth="1"/>
    <col min="2823" max="2823" width="11" style="1232" bestFit="1" customWidth="1"/>
    <col min="2824" max="2825" width="10" style="1232" bestFit="1" customWidth="1"/>
    <col min="2826" max="3074" width="9.140625" style="1232"/>
    <col min="3075" max="3075" width="47" style="1232" customWidth="1"/>
    <col min="3076" max="3076" width="10.5703125" style="1232" customWidth="1"/>
    <col min="3077" max="3077" width="20.42578125" style="1232" customWidth="1"/>
    <col min="3078" max="3078" width="20.42578125" style="1232" bestFit="1" customWidth="1"/>
    <col min="3079" max="3079" width="11" style="1232" bestFit="1" customWidth="1"/>
    <col min="3080" max="3081" width="10" style="1232" bestFit="1" customWidth="1"/>
    <col min="3082" max="3330" width="9.140625" style="1232"/>
    <col min="3331" max="3331" width="47" style="1232" customWidth="1"/>
    <col min="3332" max="3332" width="10.5703125" style="1232" customWidth="1"/>
    <col min="3333" max="3333" width="20.42578125" style="1232" customWidth="1"/>
    <col min="3334" max="3334" width="20.42578125" style="1232" bestFit="1" customWidth="1"/>
    <col min="3335" max="3335" width="11" style="1232" bestFit="1" customWidth="1"/>
    <col min="3336" max="3337" width="10" style="1232" bestFit="1" customWidth="1"/>
    <col min="3338" max="3586" width="9.140625" style="1232"/>
    <col min="3587" max="3587" width="47" style="1232" customWidth="1"/>
    <col min="3588" max="3588" width="10.5703125" style="1232" customWidth="1"/>
    <col min="3589" max="3589" width="20.42578125" style="1232" customWidth="1"/>
    <col min="3590" max="3590" width="20.42578125" style="1232" bestFit="1" customWidth="1"/>
    <col min="3591" max="3591" width="11" style="1232" bestFit="1" customWidth="1"/>
    <col min="3592" max="3593" width="10" style="1232" bestFit="1" customWidth="1"/>
    <col min="3594" max="3842" width="9.140625" style="1232"/>
    <col min="3843" max="3843" width="47" style="1232" customWidth="1"/>
    <col min="3844" max="3844" width="10.5703125" style="1232" customWidth="1"/>
    <col min="3845" max="3845" width="20.42578125" style="1232" customWidth="1"/>
    <col min="3846" max="3846" width="20.42578125" style="1232" bestFit="1" customWidth="1"/>
    <col min="3847" max="3847" width="11" style="1232" bestFit="1" customWidth="1"/>
    <col min="3848" max="3849" width="10" style="1232" bestFit="1" customWidth="1"/>
    <col min="3850" max="4098" width="9.140625" style="1232"/>
    <col min="4099" max="4099" width="47" style="1232" customWidth="1"/>
    <col min="4100" max="4100" width="10.5703125" style="1232" customWidth="1"/>
    <col min="4101" max="4101" width="20.42578125" style="1232" customWidth="1"/>
    <col min="4102" max="4102" width="20.42578125" style="1232" bestFit="1" customWidth="1"/>
    <col min="4103" max="4103" width="11" style="1232" bestFit="1" customWidth="1"/>
    <col min="4104" max="4105" width="10" style="1232" bestFit="1" customWidth="1"/>
    <col min="4106" max="4354" width="9.140625" style="1232"/>
    <col min="4355" max="4355" width="47" style="1232" customWidth="1"/>
    <col min="4356" max="4356" width="10.5703125" style="1232" customWidth="1"/>
    <col min="4357" max="4357" width="20.42578125" style="1232" customWidth="1"/>
    <col min="4358" max="4358" width="20.42578125" style="1232" bestFit="1" customWidth="1"/>
    <col min="4359" max="4359" width="11" style="1232" bestFit="1" customWidth="1"/>
    <col min="4360" max="4361" width="10" style="1232" bestFit="1" customWidth="1"/>
    <col min="4362" max="4610" width="9.140625" style="1232"/>
    <col min="4611" max="4611" width="47" style="1232" customWidth="1"/>
    <col min="4612" max="4612" width="10.5703125" style="1232" customWidth="1"/>
    <col min="4613" max="4613" width="20.42578125" style="1232" customWidth="1"/>
    <col min="4614" max="4614" width="20.42578125" style="1232" bestFit="1" customWidth="1"/>
    <col min="4615" max="4615" width="11" style="1232" bestFit="1" customWidth="1"/>
    <col min="4616" max="4617" width="10" style="1232" bestFit="1" customWidth="1"/>
    <col min="4618" max="4866" width="9.140625" style="1232"/>
    <col min="4867" max="4867" width="47" style="1232" customWidth="1"/>
    <col min="4868" max="4868" width="10.5703125" style="1232" customWidth="1"/>
    <col min="4869" max="4869" width="20.42578125" style="1232" customWidth="1"/>
    <col min="4870" max="4870" width="20.42578125" style="1232" bestFit="1" customWidth="1"/>
    <col min="4871" max="4871" width="11" style="1232" bestFit="1" customWidth="1"/>
    <col min="4872" max="4873" width="10" style="1232" bestFit="1" customWidth="1"/>
    <col min="4874" max="5122" width="9.140625" style="1232"/>
    <col min="5123" max="5123" width="47" style="1232" customWidth="1"/>
    <col min="5124" max="5124" width="10.5703125" style="1232" customWidth="1"/>
    <col min="5125" max="5125" width="20.42578125" style="1232" customWidth="1"/>
    <col min="5126" max="5126" width="20.42578125" style="1232" bestFit="1" customWidth="1"/>
    <col min="5127" max="5127" width="11" style="1232" bestFit="1" customWidth="1"/>
    <col min="5128" max="5129" width="10" style="1232" bestFit="1" customWidth="1"/>
    <col min="5130" max="5378" width="9.140625" style="1232"/>
    <col min="5379" max="5379" width="47" style="1232" customWidth="1"/>
    <col min="5380" max="5380" width="10.5703125" style="1232" customWidth="1"/>
    <col min="5381" max="5381" width="20.42578125" style="1232" customWidth="1"/>
    <col min="5382" max="5382" width="20.42578125" style="1232" bestFit="1" customWidth="1"/>
    <col min="5383" max="5383" width="11" style="1232" bestFit="1" customWidth="1"/>
    <col min="5384" max="5385" width="10" style="1232" bestFit="1" customWidth="1"/>
    <col min="5386" max="5634" width="9.140625" style="1232"/>
    <col min="5635" max="5635" width="47" style="1232" customWidth="1"/>
    <col min="5636" max="5636" width="10.5703125" style="1232" customWidth="1"/>
    <col min="5637" max="5637" width="20.42578125" style="1232" customWidth="1"/>
    <col min="5638" max="5638" width="20.42578125" style="1232" bestFit="1" customWidth="1"/>
    <col min="5639" max="5639" width="11" style="1232" bestFit="1" customWidth="1"/>
    <col min="5640" max="5641" width="10" style="1232" bestFit="1" customWidth="1"/>
    <col min="5642" max="5890" width="9.140625" style="1232"/>
    <col min="5891" max="5891" width="47" style="1232" customWidth="1"/>
    <col min="5892" max="5892" width="10.5703125" style="1232" customWidth="1"/>
    <col min="5893" max="5893" width="20.42578125" style="1232" customWidth="1"/>
    <col min="5894" max="5894" width="20.42578125" style="1232" bestFit="1" customWidth="1"/>
    <col min="5895" max="5895" width="11" style="1232" bestFit="1" customWidth="1"/>
    <col min="5896" max="5897" width="10" style="1232" bestFit="1" customWidth="1"/>
    <col min="5898" max="6146" width="9.140625" style="1232"/>
    <col min="6147" max="6147" width="47" style="1232" customWidth="1"/>
    <col min="6148" max="6148" width="10.5703125" style="1232" customWidth="1"/>
    <col min="6149" max="6149" width="20.42578125" style="1232" customWidth="1"/>
    <col min="6150" max="6150" width="20.42578125" style="1232" bestFit="1" customWidth="1"/>
    <col min="6151" max="6151" width="11" style="1232" bestFit="1" customWidth="1"/>
    <col min="6152" max="6153" width="10" style="1232" bestFit="1" customWidth="1"/>
    <col min="6154" max="6402" width="9.140625" style="1232"/>
    <col min="6403" max="6403" width="47" style="1232" customWidth="1"/>
    <col min="6404" max="6404" width="10.5703125" style="1232" customWidth="1"/>
    <col min="6405" max="6405" width="20.42578125" style="1232" customWidth="1"/>
    <col min="6406" max="6406" width="20.42578125" style="1232" bestFit="1" customWidth="1"/>
    <col min="6407" max="6407" width="11" style="1232" bestFit="1" customWidth="1"/>
    <col min="6408" max="6409" width="10" style="1232" bestFit="1" customWidth="1"/>
    <col min="6410" max="6658" width="9.140625" style="1232"/>
    <col min="6659" max="6659" width="47" style="1232" customWidth="1"/>
    <col min="6660" max="6660" width="10.5703125" style="1232" customWidth="1"/>
    <col min="6661" max="6661" width="20.42578125" style="1232" customWidth="1"/>
    <col min="6662" max="6662" width="20.42578125" style="1232" bestFit="1" customWidth="1"/>
    <col min="6663" max="6663" width="11" style="1232" bestFit="1" customWidth="1"/>
    <col min="6664" max="6665" width="10" style="1232" bestFit="1" customWidth="1"/>
    <col min="6666" max="6914" width="9.140625" style="1232"/>
    <col min="6915" max="6915" width="47" style="1232" customWidth="1"/>
    <col min="6916" max="6916" width="10.5703125" style="1232" customWidth="1"/>
    <col min="6917" max="6917" width="20.42578125" style="1232" customWidth="1"/>
    <col min="6918" max="6918" width="20.42578125" style="1232" bestFit="1" customWidth="1"/>
    <col min="6919" max="6919" width="11" style="1232" bestFit="1" customWidth="1"/>
    <col min="6920" max="6921" width="10" style="1232" bestFit="1" customWidth="1"/>
    <col min="6922" max="7170" width="9.140625" style="1232"/>
    <col min="7171" max="7171" width="47" style="1232" customWidth="1"/>
    <col min="7172" max="7172" width="10.5703125" style="1232" customWidth="1"/>
    <col min="7173" max="7173" width="20.42578125" style="1232" customWidth="1"/>
    <col min="7174" max="7174" width="20.42578125" style="1232" bestFit="1" customWidth="1"/>
    <col min="7175" max="7175" width="11" style="1232" bestFit="1" customWidth="1"/>
    <col min="7176" max="7177" width="10" style="1232" bestFit="1" customWidth="1"/>
    <col min="7178" max="7426" width="9.140625" style="1232"/>
    <col min="7427" max="7427" width="47" style="1232" customWidth="1"/>
    <col min="7428" max="7428" width="10.5703125" style="1232" customWidth="1"/>
    <col min="7429" max="7429" width="20.42578125" style="1232" customWidth="1"/>
    <col min="7430" max="7430" width="20.42578125" style="1232" bestFit="1" customWidth="1"/>
    <col min="7431" max="7431" width="11" style="1232" bestFit="1" customWidth="1"/>
    <col min="7432" max="7433" width="10" style="1232" bestFit="1" customWidth="1"/>
    <col min="7434" max="7682" width="9.140625" style="1232"/>
    <col min="7683" max="7683" width="47" style="1232" customWidth="1"/>
    <col min="7684" max="7684" width="10.5703125" style="1232" customWidth="1"/>
    <col min="7685" max="7685" width="20.42578125" style="1232" customWidth="1"/>
    <col min="7686" max="7686" width="20.42578125" style="1232" bestFit="1" customWidth="1"/>
    <col min="7687" max="7687" width="11" style="1232" bestFit="1" customWidth="1"/>
    <col min="7688" max="7689" width="10" style="1232" bestFit="1" customWidth="1"/>
    <col min="7690" max="7938" width="9.140625" style="1232"/>
    <col min="7939" max="7939" width="47" style="1232" customWidth="1"/>
    <col min="7940" max="7940" width="10.5703125" style="1232" customWidth="1"/>
    <col min="7941" max="7941" width="20.42578125" style="1232" customWidth="1"/>
    <col min="7942" max="7942" width="20.42578125" style="1232" bestFit="1" customWidth="1"/>
    <col min="7943" max="7943" width="11" style="1232" bestFit="1" customWidth="1"/>
    <col min="7944" max="7945" width="10" style="1232" bestFit="1" customWidth="1"/>
    <col min="7946" max="8194" width="9.140625" style="1232"/>
    <col min="8195" max="8195" width="47" style="1232" customWidth="1"/>
    <col min="8196" max="8196" width="10.5703125" style="1232" customWidth="1"/>
    <col min="8197" max="8197" width="20.42578125" style="1232" customWidth="1"/>
    <col min="8198" max="8198" width="20.42578125" style="1232" bestFit="1" customWidth="1"/>
    <col min="8199" max="8199" width="11" style="1232" bestFit="1" customWidth="1"/>
    <col min="8200" max="8201" width="10" style="1232" bestFit="1" customWidth="1"/>
    <col min="8202" max="8450" width="9.140625" style="1232"/>
    <col min="8451" max="8451" width="47" style="1232" customWidth="1"/>
    <col min="8452" max="8452" width="10.5703125" style="1232" customWidth="1"/>
    <col min="8453" max="8453" width="20.42578125" style="1232" customWidth="1"/>
    <col min="8454" max="8454" width="20.42578125" style="1232" bestFit="1" customWidth="1"/>
    <col min="8455" max="8455" width="11" style="1232" bestFit="1" customWidth="1"/>
    <col min="8456" max="8457" width="10" style="1232" bestFit="1" customWidth="1"/>
    <col min="8458" max="8706" width="9.140625" style="1232"/>
    <col min="8707" max="8707" width="47" style="1232" customWidth="1"/>
    <col min="8708" max="8708" width="10.5703125" style="1232" customWidth="1"/>
    <col min="8709" max="8709" width="20.42578125" style="1232" customWidth="1"/>
    <col min="8710" max="8710" width="20.42578125" style="1232" bestFit="1" customWidth="1"/>
    <col min="8711" max="8711" width="11" style="1232" bestFit="1" customWidth="1"/>
    <col min="8712" max="8713" width="10" style="1232" bestFit="1" customWidth="1"/>
    <col min="8714" max="8962" width="9.140625" style="1232"/>
    <col min="8963" max="8963" width="47" style="1232" customWidth="1"/>
    <col min="8964" max="8964" width="10.5703125" style="1232" customWidth="1"/>
    <col min="8965" max="8965" width="20.42578125" style="1232" customWidth="1"/>
    <col min="8966" max="8966" width="20.42578125" style="1232" bestFit="1" customWidth="1"/>
    <col min="8967" max="8967" width="11" style="1232" bestFit="1" customWidth="1"/>
    <col min="8968" max="8969" width="10" style="1232" bestFit="1" customWidth="1"/>
    <col min="8970" max="9218" width="9.140625" style="1232"/>
    <col min="9219" max="9219" width="47" style="1232" customWidth="1"/>
    <col min="9220" max="9220" width="10.5703125" style="1232" customWidth="1"/>
    <col min="9221" max="9221" width="20.42578125" style="1232" customWidth="1"/>
    <col min="9222" max="9222" width="20.42578125" style="1232" bestFit="1" customWidth="1"/>
    <col min="9223" max="9223" width="11" style="1232" bestFit="1" customWidth="1"/>
    <col min="9224" max="9225" width="10" style="1232" bestFit="1" customWidth="1"/>
    <col min="9226" max="9474" width="9.140625" style="1232"/>
    <col min="9475" max="9475" width="47" style="1232" customWidth="1"/>
    <col min="9476" max="9476" width="10.5703125" style="1232" customWidth="1"/>
    <col min="9477" max="9477" width="20.42578125" style="1232" customWidth="1"/>
    <col min="9478" max="9478" width="20.42578125" style="1232" bestFit="1" customWidth="1"/>
    <col min="9479" max="9479" width="11" style="1232" bestFit="1" customWidth="1"/>
    <col min="9480" max="9481" width="10" style="1232" bestFit="1" customWidth="1"/>
    <col min="9482" max="9730" width="9.140625" style="1232"/>
    <col min="9731" max="9731" width="47" style="1232" customWidth="1"/>
    <col min="9732" max="9732" width="10.5703125" style="1232" customWidth="1"/>
    <col min="9733" max="9733" width="20.42578125" style="1232" customWidth="1"/>
    <col min="9734" max="9734" width="20.42578125" style="1232" bestFit="1" customWidth="1"/>
    <col min="9735" max="9735" width="11" style="1232" bestFit="1" customWidth="1"/>
    <col min="9736" max="9737" width="10" style="1232" bestFit="1" customWidth="1"/>
    <col min="9738" max="9986" width="9.140625" style="1232"/>
    <col min="9987" max="9987" width="47" style="1232" customWidth="1"/>
    <col min="9988" max="9988" width="10.5703125" style="1232" customWidth="1"/>
    <col min="9989" max="9989" width="20.42578125" style="1232" customWidth="1"/>
    <col min="9990" max="9990" width="20.42578125" style="1232" bestFit="1" customWidth="1"/>
    <col min="9991" max="9991" width="11" style="1232" bestFit="1" customWidth="1"/>
    <col min="9992" max="9993" width="10" style="1232" bestFit="1" customWidth="1"/>
    <col min="9994" max="10242" width="9.140625" style="1232"/>
    <col min="10243" max="10243" width="47" style="1232" customWidth="1"/>
    <col min="10244" max="10244" width="10.5703125" style="1232" customWidth="1"/>
    <col min="10245" max="10245" width="20.42578125" style="1232" customWidth="1"/>
    <col min="10246" max="10246" width="20.42578125" style="1232" bestFit="1" customWidth="1"/>
    <col min="10247" max="10247" width="11" style="1232" bestFit="1" customWidth="1"/>
    <col min="10248" max="10249" width="10" style="1232" bestFit="1" customWidth="1"/>
    <col min="10250" max="10498" width="9.140625" style="1232"/>
    <col min="10499" max="10499" width="47" style="1232" customWidth="1"/>
    <col min="10500" max="10500" width="10.5703125" style="1232" customWidth="1"/>
    <col min="10501" max="10501" width="20.42578125" style="1232" customWidth="1"/>
    <col min="10502" max="10502" width="20.42578125" style="1232" bestFit="1" customWidth="1"/>
    <col min="10503" max="10503" width="11" style="1232" bestFit="1" customWidth="1"/>
    <col min="10504" max="10505" width="10" style="1232" bestFit="1" customWidth="1"/>
    <col min="10506" max="10754" width="9.140625" style="1232"/>
    <col min="10755" max="10755" width="47" style="1232" customWidth="1"/>
    <col min="10756" max="10756" width="10.5703125" style="1232" customWidth="1"/>
    <col min="10757" max="10757" width="20.42578125" style="1232" customWidth="1"/>
    <col min="10758" max="10758" width="20.42578125" style="1232" bestFit="1" customWidth="1"/>
    <col min="10759" max="10759" width="11" style="1232" bestFit="1" customWidth="1"/>
    <col min="10760" max="10761" width="10" style="1232" bestFit="1" customWidth="1"/>
    <col min="10762" max="11010" width="9.140625" style="1232"/>
    <col min="11011" max="11011" width="47" style="1232" customWidth="1"/>
    <col min="11012" max="11012" width="10.5703125" style="1232" customWidth="1"/>
    <col min="11013" max="11013" width="20.42578125" style="1232" customWidth="1"/>
    <col min="11014" max="11014" width="20.42578125" style="1232" bestFit="1" customWidth="1"/>
    <col min="11015" max="11015" width="11" style="1232" bestFit="1" customWidth="1"/>
    <col min="11016" max="11017" width="10" style="1232" bestFit="1" customWidth="1"/>
    <col min="11018" max="11266" width="9.140625" style="1232"/>
    <col min="11267" max="11267" width="47" style="1232" customWidth="1"/>
    <col min="11268" max="11268" width="10.5703125" style="1232" customWidth="1"/>
    <col min="11269" max="11269" width="20.42578125" style="1232" customWidth="1"/>
    <col min="11270" max="11270" width="20.42578125" style="1232" bestFit="1" customWidth="1"/>
    <col min="11271" max="11271" width="11" style="1232" bestFit="1" customWidth="1"/>
    <col min="11272" max="11273" width="10" style="1232" bestFit="1" customWidth="1"/>
    <col min="11274" max="11522" width="9.140625" style="1232"/>
    <col min="11523" max="11523" width="47" style="1232" customWidth="1"/>
    <col min="11524" max="11524" width="10.5703125" style="1232" customWidth="1"/>
    <col min="11525" max="11525" width="20.42578125" style="1232" customWidth="1"/>
    <col min="11526" max="11526" width="20.42578125" style="1232" bestFit="1" customWidth="1"/>
    <col min="11527" max="11527" width="11" style="1232" bestFit="1" customWidth="1"/>
    <col min="11528" max="11529" width="10" style="1232" bestFit="1" customWidth="1"/>
    <col min="11530" max="11778" width="9.140625" style="1232"/>
    <col min="11779" max="11779" width="47" style="1232" customWidth="1"/>
    <col min="11780" max="11780" width="10.5703125" style="1232" customWidth="1"/>
    <col min="11781" max="11781" width="20.42578125" style="1232" customWidth="1"/>
    <col min="11782" max="11782" width="20.42578125" style="1232" bestFit="1" customWidth="1"/>
    <col min="11783" max="11783" width="11" style="1232" bestFit="1" customWidth="1"/>
    <col min="11784" max="11785" width="10" style="1232" bestFit="1" customWidth="1"/>
    <col min="11786" max="12034" width="9.140625" style="1232"/>
    <col min="12035" max="12035" width="47" style="1232" customWidth="1"/>
    <col min="12036" max="12036" width="10.5703125" style="1232" customWidth="1"/>
    <col min="12037" max="12037" width="20.42578125" style="1232" customWidth="1"/>
    <col min="12038" max="12038" width="20.42578125" style="1232" bestFit="1" customWidth="1"/>
    <col min="12039" max="12039" width="11" style="1232" bestFit="1" customWidth="1"/>
    <col min="12040" max="12041" width="10" style="1232" bestFit="1" customWidth="1"/>
    <col min="12042" max="12290" width="9.140625" style="1232"/>
    <col min="12291" max="12291" width="47" style="1232" customWidth="1"/>
    <col min="12292" max="12292" width="10.5703125" style="1232" customWidth="1"/>
    <col min="12293" max="12293" width="20.42578125" style="1232" customWidth="1"/>
    <col min="12294" max="12294" width="20.42578125" style="1232" bestFit="1" customWidth="1"/>
    <col min="12295" max="12295" width="11" style="1232" bestFit="1" customWidth="1"/>
    <col min="12296" max="12297" width="10" style="1232" bestFit="1" customWidth="1"/>
    <col min="12298" max="12546" width="9.140625" style="1232"/>
    <col min="12547" max="12547" width="47" style="1232" customWidth="1"/>
    <col min="12548" max="12548" width="10.5703125" style="1232" customWidth="1"/>
    <col min="12549" max="12549" width="20.42578125" style="1232" customWidth="1"/>
    <col min="12550" max="12550" width="20.42578125" style="1232" bestFit="1" customWidth="1"/>
    <col min="12551" max="12551" width="11" style="1232" bestFit="1" customWidth="1"/>
    <col min="12552" max="12553" width="10" style="1232" bestFit="1" customWidth="1"/>
    <col min="12554" max="12802" width="9.140625" style="1232"/>
    <col min="12803" max="12803" width="47" style="1232" customWidth="1"/>
    <col min="12804" max="12804" width="10.5703125" style="1232" customWidth="1"/>
    <col min="12805" max="12805" width="20.42578125" style="1232" customWidth="1"/>
    <col min="12806" max="12806" width="20.42578125" style="1232" bestFit="1" customWidth="1"/>
    <col min="12807" max="12807" width="11" style="1232" bestFit="1" customWidth="1"/>
    <col min="12808" max="12809" width="10" style="1232" bestFit="1" customWidth="1"/>
    <col min="12810" max="13058" width="9.140625" style="1232"/>
    <col min="13059" max="13059" width="47" style="1232" customWidth="1"/>
    <col min="13060" max="13060" width="10.5703125" style="1232" customWidth="1"/>
    <col min="13061" max="13061" width="20.42578125" style="1232" customWidth="1"/>
    <col min="13062" max="13062" width="20.42578125" style="1232" bestFit="1" customWidth="1"/>
    <col min="13063" max="13063" width="11" style="1232" bestFit="1" customWidth="1"/>
    <col min="13064" max="13065" width="10" style="1232" bestFit="1" customWidth="1"/>
    <col min="13066" max="13314" width="9.140625" style="1232"/>
    <col min="13315" max="13315" width="47" style="1232" customWidth="1"/>
    <col min="13316" max="13316" width="10.5703125" style="1232" customWidth="1"/>
    <col min="13317" max="13317" width="20.42578125" style="1232" customWidth="1"/>
    <col min="13318" max="13318" width="20.42578125" style="1232" bestFit="1" customWidth="1"/>
    <col min="13319" max="13319" width="11" style="1232" bestFit="1" customWidth="1"/>
    <col min="13320" max="13321" width="10" style="1232" bestFit="1" customWidth="1"/>
    <col min="13322" max="13570" width="9.140625" style="1232"/>
    <col min="13571" max="13571" width="47" style="1232" customWidth="1"/>
    <col min="13572" max="13572" width="10.5703125" style="1232" customWidth="1"/>
    <col min="13573" max="13573" width="20.42578125" style="1232" customWidth="1"/>
    <col min="13574" max="13574" width="20.42578125" style="1232" bestFit="1" customWidth="1"/>
    <col min="13575" max="13575" width="11" style="1232" bestFit="1" customWidth="1"/>
    <col min="13576" max="13577" width="10" style="1232" bestFit="1" customWidth="1"/>
    <col min="13578" max="13826" width="9.140625" style="1232"/>
    <col min="13827" max="13827" width="47" style="1232" customWidth="1"/>
    <col min="13828" max="13828" width="10.5703125" style="1232" customWidth="1"/>
    <col min="13829" max="13829" width="20.42578125" style="1232" customWidth="1"/>
    <col min="13830" max="13830" width="20.42578125" style="1232" bestFit="1" customWidth="1"/>
    <col min="13831" max="13831" width="11" style="1232" bestFit="1" customWidth="1"/>
    <col min="13832" max="13833" width="10" style="1232" bestFit="1" customWidth="1"/>
    <col min="13834" max="14082" width="9.140625" style="1232"/>
    <col min="14083" max="14083" width="47" style="1232" customWidth="1"/>
    <col min="14084" max="14084" width="10.5703125" style="1232" customWidth="1"/>
    <col min="14085" max="14085" width="20.42578125" style="1232" customWidth="1"/>
    <col min="14086" max="14086" width="20.42578125" style="1232" bestFit="1" customWidth="1"/>
    <col min="14087" max="14087" width="11" style="1232" bestFit="1" customWidth="1"/>
    <col min="14088" max="14089" width="10" style="1232" bestFit="1" customWidth="1"/>
    <col min="14090" max="14338" width="9.140625" style="1232"/>
    <col min="14339" max="14339" width="47" style="1232" customWidth="1"/>
    <col min="14340" max="14340" width="10.5703125" style="1232" customWidth="1"/>
    <col min="14341" max="14341" width="20.42578125" style="1232" customWidth="1"/>
    <col min="14342" max="14342" width="20.42578125" style="1232" bestFit="1" customWidth="1"/>
    <col min="14343" max="14343" width="11" style="1232" bestFit="1" customWidth="1"/>
    <col min="14344" max="14345" width="10" style="1232" bestFit="1" customWidth="1"/>
    <col min="14346" max="14594" width="9.140625" style="1232"/>
    <col min="14595" max="14595" width="47" style="1232" customWidth="1"/>
    <col min="14596" max="14596" width="10.5703125" style="1232" customWidth="1"/>
    <col min="14597" max="14597" width="20.42578125" style="1232" customWidth="1"/>
    <col min="14598" max="14598" width="20.42578125" style="1232" bestFit="1" customWidth="1"/>
    <col min="14599" max="14599" width="11" style="1232" bestFit="1" customWidth="1"/>
    <col min="14600" max="14601" width="10" style="1232" bestFit="1" customWidth="1"/>
    <col min="14602" max="14850" width="9.140625" style="1232"/>
    <col min="14851" max="14851" width="47" style="1232" customWidth="1"/>
    <col min="14852" max="14852" width="10.5703125" style="1232" customWidth="1"/>
    <col min="14853" max="14853" width="20.42578125" style="1232" customWidth="1"/>
    <col min="14854" max="14854" width="20.42578125" style="1232" bestFit="1" customWidth="1"/>
    <col min="14855" max="14855" width="11" style="1232" bestFit="1" customWidth="1"/>
    <col min="14856" max="14857" width="10" style="1232" bestFit="1" customWidth="1"/>
    <col min="14858" max="15106" width="9.140625" style="1232"/>
    <col min="15107" max="15107" width="47" style="1232" customWidth="1"/>
    <col min="15108" max="15108" width="10.5703125" style="1232" customWidth="1"/>
    <col min="15109" max="15109" width="20.42578125" style="1232" customWidth="1"/>
    <col min="15110" max="15110" width="20.42578125" style="1232" bestFit="1" customWidth="1"/>
    <col min="15111" max="15111" width="11" style="1232" bestFit="1" customWidth="1"/>
    <col min="15112" max="15113" width="10" style="1232" bestFit="1" customWidth="1"/>
    <col min="15114" max="15362" width="9.140625" style="1232"/>
    <col min="15363" max="15363" width="47" style="1232" customWidth="1"/>
    <col min="15364" max="15364" width="10.5703125" style="1232" customWidth="1"/>
    <col min="15365" max="15365" width="20.42578125" style="1232" customWidth="1"/>
    <col min="15366" max="15366" width="20.42578125" style="1232" bestFit="1" customWidth="1"/>
    <col min="15367" max="15367" width="11" style="1232" bestFit="1" customWidth="1"/>
    <col min="15368" max="15369" width="10" style="1232" bestFit="1" customWidth="1"/>
    <col min="15370" max="15618" width="9.140625" style="1232"/>
    <col min="15619" max="15619" width="47" style="1232" customWidth="1"/>
    <col min="15620" max="15620" width="10.5703125" style="1232" customWidth="1"/>
    <col min="15621" max="15621" width="20.42578125" style="1232" customWidth="1"/>
    <col min="15622" max="15622" width="20.42578125" style="1232" bestFit="1" customWidth="1"/>
    <col min="15623" max="15623" width="11" style="1232" bestFit="1" customWidth="1"/>
    <col min="15624" max="15625" width="10" style="1232" bestFit="1" customWidth="1"/>
    <col min="15626" max="15874" width="9.140625" style="1232"/>
    <col min="15875" max="15875" width="47" style="1232" customWidth="1"/>
    <col min="15876" max="15876" width="10.5703125" style="1232" customWidth="1"/>
    <col min="15877" max="15877" width="20.42578125" style="1232" customWidth="1"/>
    <col min="15878" max="15878" width="20.42578125" style="1232" bestFit="1" customWidth="1"/>
    <col min="15879" max="15879" width="11" style="1232" bestFit="1" customWidth="1"/>
    <col min="15880" max="15881" width="10" style="1232" bestFit="1" customWidth="1"/>
    <col min="15882" max="16130" width="9.140625" style="1232"/>
    <col min="16131" max="16131" width="47" style="1232" customWidth="1"/>
    <col min="16132" max="16132" width="10.5703125" style="1232" customWidth="1"/>
    <col min="16133" max="16133" width="20.42578125" style="1232" customWidth="1"/>
    <col min="16134" max="16134" width="20.42578125" style="1232" bestFit="1" customWidth="1"/>
    <col min="16135" max="16135" width="11" style="1232" bestFit="1" customWidth="1"/>
    <col min="16136" max="16137" width="10" style="1232" bestFit="1" customWidth="1"/>
    <col min="16138" max="16382" width="9.140625" style="1232"/>
    <col min="16383" max="16384" width="9.140625" style="1232" customWidth="1"/>
  </cols>
  <sheetData>
    <row r="1" spans="1:12" ht="18.75" x14ac:dyDescent="0.25">
      <c r="A1" s="2">
        <f>BS!A1</f>
        <v>0</v>
      </c>
      <c r="B1" s="4"/>
      <c r="C1" s="5"/>
    </row>
    <row r="2" spans="1:12" ht="16.5" x14ac:dyDescent="0.3">
      <c r="A2" s="411">
        <f>BS!A2</f>
        <v>0</v>
      </c>
      <c r="B2" s="4"/>
    </row>
    <row r="3" spans="1:12" ht="16.5" x14ac:dyDescent="0.3">
      <c r="A3" s="14" t="s">
        <v>1560</v>
      </c>
      <c r="B3" s="4"/>
      <c r="C3" s="5"/>
    </row>
    <row r="4" spans="1:12" x14ac:dyDescent="0.25">
      <c r="B4" s="4"/>
      <c r="C4" s="5"/>
      <c r="D4" s="6"/>
    </row>
    <row r="5" spans="1:12" s="1295" customFormat="1" ht="30" x14ac:dyDescent="0.25">
      <c r="A5" s="15"/>
      <c r="B5" s="16" t="s">
        <v>4</v>
      </c>
      <c r="C5" s="1259" t="s">
        <v>1559</v>
      </c>
      <c r="D5" s="1259" t="s">
        <v>824</v>
      </c>
    </row>
    <row r="6" spans="1:12" x14ac:dyDescent="0.25">
      <c r="B6" s="4"/>
    </row>
    <row r="7" spans="1:12" ht="16.5" x14ac:dyDescent="0.25">
      <c r="A7" s="8" t="s">
        <v>30</v>
      </c>
      <c r="B7" s="8"/>
      <c r="C7" s="10"/>
      <c r="D7" s="17"/>
      <c r="F7" s="1223"/>
      <c r="G7" s="1223"/>
    </row>
    <row r="8" spans="1:12" ht="16.5" x14ac:dyDescent="0.25">
      <c r="A8" s="10" t="s">
        <v>31</v>
      </c>
      <c r="B8" s="11">
        <v>16</v>
      </c>
      <c r="C8" s="209">
        <f>'Note 16-23'!B10</f>
        <v>242758853.55000001</v>
      </c>
      <c r="D8" s="209">
        <f>'Note 16-23'!C10</f>
        <v>330858462.81999999</v>
      </c>
      <c r="H8" s="306"/>
    </row>
    <row r="9" spans="1:12" ht="16.5" x14ac:dyDescent="0.25">
      <c r="A9" s="10" t="s">
        <v>32</v>
      </c>
      <c r="B9" s="11">
        <v>17</v>
      </c>
      <c r="C9" s="209">
        <f>'Note 16-23'!B19</f>
        <v>5328339.5200000005</v>
      </c>
      <c r="D9" s="209">
        <f>'Note 16-23'!C19</f>
        <v>11978012.16</v>
      </c>
      <c r="H9" s="306"/>
    </row>
    <row r="10" spans="1:12" x14ac:dyDescent="0.25">
      <c r="A10" s="18" t="s">
        <v>33</v>
      </c>
      <c r="B10" s="9"/>
      <c r="C10" s="434">
        <f>SUM(C8:C9)</f>
        <v>248087193.07000002</v>
      </c>
      <c r="D10" s="434">
        <f>SUM(D8:D9)</f>
        <v>342836474.98000002</v>
      </c>
    </row>
    <row r="11" spans="1:12" x14ac:dyDescent="0.25">
      <c r="A11" s="18"/>
      <c r="B11" s="9"/>
      <c r="C11" s="435"/>
      <c r="D11" s="435"/>
    </row>
    <row r="12" spans="1:12" ht="16.5" x14ac:dyDescent="0.25">
      <c r="A12" s="8" t="s">
        <v>34</v>
      </c>
      <c r="B12" s="9"/>
      <c r="C12" s="209"/>
      <c r="D12" s="209"/>
    </row>
    <row r="13" spans="1:12" ht="16.5" x14ac:dyDescent="0.25">
      <c r="A13" s="10" t="s">
        <v>672</v>
      </c>
      <c r="B13" s="11">
        <v>18</v>
      </c>
      <c r="C13" s="209">
        <f>'Note 16-23'!B27</f>
        <v>23918067.149999999</v>
      </c>
      <c r="D13" s="209">
        <f>'Note 16-23'!C27</f>
        <v>23988709.510000002</v>
      </c>
    </row>
    <row r="14" spans="1:12" ht="16.5" x14ac:dyDescent="0.25">
      <c r="A14" s="10" t="s">
        <v>35</v>
      </c>
      <c r="B14" s="11">
        <v>19</v>
      </c>
      <c r="C14" s="208">
        <f>'Note 16-23'!B34</f>
        <v>91537113</v>
      </c>
      <c r="D14" s="208">
        <f>'Note 16-23'!C34</f>
        <v>88987871</v>
      </c>
    </row>
    <row r="15" spans="1:12" ht="16.5" x14ac:dyDescent="0.3">
      <c r="A15" s="10" t="s">
        <v>36</v>
      </c>
      <c r="B15" s="11">
        <v>20</v>
      </c>
      <c r="C15" s="208">
        <f>'Note 16-23'!B74</f>
        <v>115870342.57000002</v>
      </c>
      <c r="D15" s="208">
        <f>'Note 16-23'!C74</f>
        <v>117534576.58999999</v>
      </c>
      <c r="J15" s="483"/>
      <c r="K15" s="1250"/>
      <c r="L15" s="1250"/>
    </row>
    <row r="16" spans="1:12" ht="16.5" x14ac:dyDescent="0.25">
      <c r="A16" s="10" t="s">
        <v>37</v>
      </c>
      <c r="B16" s="11">
        <v>21</v>
      </c>
      <c r="C16" s="208">
        <f>+'Note 9'!H22</f>
        <v>21235863</v>
      </c>
      <c r="D16" s="208">
        <v>18479778</v>
      </c>
    </row>
    <row r="17" spans="1:12" ht="16.5" x14ac:dyDescent="0.25">
      <c r="A17" s="10" t="s">
        <v>38</v>
      </c>
      <c r="B17" s="11">
        <v>23</v>
      </c>
      <c r="C17" s="208">
        <f>'Note 16-23'!B92</f>
        <v>8194637</v>
      </c>
      <c r="D17" s="208">
        <f>'Note 16-23'!C92</f>
        <v>8064764</v>
      </c>
      <c r="K17" s="1250"/>
      <c r="L17" s="1250"/>
    </row>
    <row r="18" spans="1:12" x14ac:dyDescent="0.25">
      <c r="A18" s="18" t="s">
        <v>39</v>
      </c>
      <c r="B18" s="9"/>
      <c r="C18" s="436">
        <f>ROUND(SUM(C13:C17),0)</f>
        <v>260756023</v>
      </c>
      <c r="D18" s="436">
        <f>SUM(D13:D17)</f>
        <v>257055699.09999999</v>
      </c>
    </row>
    <row r="19" spans="1:12" s="1223" customFormat="1" ht="15.75" thickBot="1" x14ac:dyDescent="0.3">
      <c r="A19" s="18" t="s">
        <v>40</v>
      </c>
      <c r="B19" s="9"/>
      <c r="C19" s="437">
        <f>C10-C18</f>
        <v>-12668829.929999977</v>
      </c>
      <c r="D19" s="437">
        <f>D10-D18</f>
        <v>85780775.880000025</v>
      </c>
      <c r="E19" s="1232"/>
      <c r="F19" s="1232"/>
      <c r="G19" s="1232"/>
    </row>
    <row r="20" spans="1:12" s="1223" customFormat="1" ht="16.5" x14ac:dyDescent="0.3">
      <c r="A20" s="19" t="s">
        <v>41</v>
      </c>
      <c r="B20" s="11"/>
      <c r="C20" s="208">
        <v>0</v>
      </c>
      <c r="D20" s="208">
        <v>0</v>
      </c>
      <c r="E20" s="1232"/>
      <c r="F20" s="1232"/>
      <c r="G20" s="1232"/>
    </row>
    <row r="21" spans="1:12" s="1223" customFormat="1" x14ac:dyDescent="0.25">
      <c r="A21" s="18" t="s">
        <v>42</v>
      </c>
      <c r="B21" s="9"/>
      <c r="C21" s="438"/>
      <c r="D21" s="438"/>
      <c r="E21" s="1232"/>
      <c r="F21" s="1232"/>
    </row>
    <row r="22" spans="1:12" s="1223" customFormat="1" ht="16.5" x14ac:dyDescent="0.3">
      <c r="A22" s="19" t="s">
        <v>43</v>
      </c>
      <c r="B22" s="9"/>
      <c r="C22" s="208">
        <v>0</v>
      </c>
      <c r="D22" s="208">
        <v>17927262</v>
      </c>
      <c r="E22" s="1232"/>
      <c r="F22" s="1232"/>
      <c r="G22" s="1232"/>
    </row>
    <row r="23" spans="1:12" s="1223" customFormat="1" ht="16.5" x14ac:dyDescent="0.3">
      <c r="A23" s="19" t="s">
        <v>44</v>
      </c>
      <c r="B23" s="9"/>
      <c r="C23" s="208">
        <f>+'Deferred Tax'!C12+1</f>
        <v>-1227858</v>
      </c>
      <c r="D23" s="208">
        <f>+'Deferred Tax'!D12+1</f>
        <v>573458</v>
      </c>
      <c r="E23" s="1232"/>
      <c r="F23" s="1232"/>
      <c r="G23" s="1232"/>
    </row>
    <row r="24" spans="1:12" s="1223" customFormat="1" ht="16.5" x14ac:dyDescent="0.3">
      <c r="A24" s="19" t="s">
        <v>45</v>
      </c>
      <c r="B24" s="9"/>
      <c r="C24" s="208"/>
      <c r="D24" s="208">
        <v>0</v>
      </c>
      <c r="E24" s="1232"/>
      <c r="F24" s="1232"/>
      <c r="G24" s="1232"/>
      <c r="H24" s="1232"/>
    </row>
    <row r="25" spans="1:12" s="1223" customFormat="1" ht="16.5" x14ac:dyDescent="0.3">
      <c r="A25" s="19" t="s">
        <v>46</v>
      </c>
      <c r="B25" s="9"/>
      <c r="C25" s="439"/>
      <c r="D25" s="439">
        <v>0</v>
      </c>
      <c r="E25" s="1232"/>
      <c r="F25" s="1232"/>
      <c r="G25" s="1232"/>
      <c r="H25" s="1232"/>
    </row>
    <row r="26" spans="1:12" s="1223" customFormat="1" ht="16.5" x14ac:dyDescent="0.3">
      <c r="A26" s="19"/>
      <c r="B26" s="9"/>
      <c r="C26" s="436">
        <f>SUM(C22:C25)</f>
        <v>-1227858</v>
      </c>
      <c r="D26" s="436">
        <f>SUM(D22:D25)</f>
        <v>18500720</v>
      </c>
      <c r="E26" s="1232"/>
      <c r="F26" s="1232"/>
      <c r="G26" s="1232"/>
      <c r="H26" s="1232"/>
    </row>
    <row r="27" spans="1:12" s="1223" customFormat="1" ht="16.5" x14ac:dyDescent="0.3">
      <c r="A27" s="19"/>
      <c r="B27" s="9"/>
      <c r="C27" s="208"/>
      <c r="D27" s="208"/>
      <c r="H27" s="1232"/>
      <c r="I27" s="1232"/>
    </row>
    <row r="28" spans="1:12" s="1223" customFormat="1" ht="15.75" thickBot="1" x14ac:dyDescent="0.3">
      <c r="A28" s="18" t="s">
        <v>47</v>
      </c>
      <c r="B28" s="9"/>
      <c r="C28" s="440">
        <f>C19-C26</f>
        <v>-11440971.929999977</v>
      </c>
      <c r="D28" s="440">
        <f>D19-D26</f>
        <v>67280055.880000025</v>
      </c>
    </row>
    <row r="29" spans="1:12" s="1223" customFormat="1" ht="15.75" thickTop="1" x14ac:dyDescent="0.25">
      <c r="A29" s="18"/>
      <c r="B29" s="9"/>
      <c r="C29" s="12"/>
      <c r="D29" s="12"/>
      <c r="I29" s="1257"/>
    </row>
    <row r="30" spans="1:12" ht="16.5" x14ac:dyDescent="0.25">
      <c r="A30" s="8" t="s">
        <v>48</v>
      </c>
      <c r="B30" s="9"/>
      <c r="C30" s="37"/>
      <c r="D30" s="37"/>
      <c r="H30" s="1223"/>
      <c r="I30" s="1258"/>
    </row>
    <row r="31" spans="1:12" ht="16.5" x14ac:dyDescent="0.25">
      <c r="A31" s="10" t="s">
        <v>49</v>
      </c>
      <c r="B31" s="9"/>
      <c r="C31" s="338">
        <f>C28/C33</f>
        <v>-2.108853284941961</v>
      </c>
      <c r="D31" s="338">
        <f>D28/D33</f>
        <v>12.401373565262917</v>
      </c>
      <c r="I31" s="1257"/>
      <c r="K31" s="1250"/>
    </row>
    <row r="32" spans="1:12" ht="16.5" x14ac:dyDescent="0.25">
      <c r="A32" s="10" t="s">
        <v>50</v>
      </c>
      <c r="B32" s="9"/>
      <c r="C32" s="115">
        <v>10</v>
      </c>
      <c r="D32" s="115">
        <v>10</v>
      </c>
      <c r="I32" s="1257"/>
    </row>
    <row r="33" spans="1:11" ht="17.25" thickBot="1" x14ac:dyDescent="0.3">
      <c r="A33" s="20" t="s">
        <v>51</v>
      </c>
      <c r="B33" s="21"/>
      <c r="C33" s="22">
        <f>'Note 2 - 8'!B19</f>
        <v>5425210</v>
      </c>
      <c r="D33" s="22">
        <f>'Note 2 - 8'!D19</f>
        <v>5425210</v>
      </c>
      <c r="I33" s="1257"/>
      <c r="K33" s="1250"/>
    </row>
    <row r="34" spans="1:11" ht="16.5" x14ac:dyDescent="0.3">
      <c r="A34" s="13" t="s">
        <v>27</v>
      </c>
      <c r="B34" s="23"/>
      <c r="C34" s="24"/>
      <c r="D34" s="24"/>
      <c r="I34" s="1257"/>
    </row>
    <row r="35" spans="1:11" s="1296" customFormat="1" ht="16.5" x14ac:dyDescent="0.25">
      <c r="A35" s="25" t="s">
        <v>28</v>
      </c>
      <c r="B35" s="1549"/>
      <c r="C35" s="1549"/>
      <c r="D35" s="1549"/>
      <c r="E35" s="1248"/>
      <c r="F35" s="1248"/>
      <c r="G35" s="1248"/>
      <c r="H35" s="1248"/>
      <c r="I35" s="1248"/>
      <c r="J35" s="1232"/>
      <c r="K35" s="1252"/>
    </row>
    <row r="36" spans="1:11" s="1296" customFormat="1" ht="16.5" x14ac:dyDescent="0.25">
      <c r="A36" s="25"/>
      <c r="B36" s="1552" t="s">
        <v>29</v>
      </c>
      <c r="C36" s="1552"/>
      <c r="D36" s="1552"/>
      <c r="E36" s="1248"/>
      <c r="F36" s="1248"/>
      <c r="G36" s="1248"/>
      <c r="H36" s="1248"/>
      <c r="I36" s="1216"/>
      <c r="J36" s="1248"/>
      <c r="K36" s="1248"/>
    </row>
    <row r="37" spans="1:11" s="1296" customFormat="1" ht="16.5" customHeight="1" x14ac:dyDescent="0.25">
      <c r="A37" s="395" t="str">
        <f>+BS!A42</f>
        <v>For M/s Siva Parvathi &amp; Associates</v>
      </c>
      <c r="B37" s="1550">
        <f>+BS!B42</f>
        <v>0</v>
      </c>
      <c r="C37" s="1550"/>
      <c r="D37" s="1551"/>
      <c r="E37" s="1248"/>
      <c r="F37" s="1248"/>
      <c r="G37" s="1248"/>
      <c r="H37" s="1248"/>
      <c r="I37" s="1216"/>
      <c r="J37" s="1248"/>
      <c r="K37" s="1248"/>
    </row>
    <row r="38" spans="1:11" s="1296" customFormat="1" x14ac:dyDescent="0.25">
      <c r="A38" s="395" t="s">
        <v>1860</v>
      </c>
      <c r="B38" s="313"/>
      <c r="C38" s="30"/>
      <c r="D38" s="31"/>
      <c r="E38" s="1249"/>
      <c r="F38" s="1249"/>
      <c r="G38" s="1249"/>
      <c r="H38" s="1249"/>
      <c r="I38" s="1249"/>
      <c r="J38" s="1248"/>
      <c r="K38" s="1253"/>
    </row>
    <row r="39" spans="1:11" s="1296" customFormat="1" x14ac:dyDescent="0.25">
      <c r="A39" s="395" t="s">
        <v>806</v>
      </c>
      <c r="B39" s="313"/>
      <c r="C39" s="30"/>
      <c r="D39" s="31"/>
      <c r="E39" s="1249"/>
      <c r="F39" s="1249"/>
      <c r="G39" s="1249"/>
      <c r="H39" s="1249"/>
      <c r="I39" s="1249"/>
      <c r="J39" s="1249"/>
      <c r="K39" s="1249"/>
    </row>
    <row r="40" spans="1:11" s="1296" customFormat="1" ht="16.5" x14ac:dyDescent="0.25">
      <c r="A40" s="396"/>
      <c r="B40" s="310"/>
      <c r="C40" s="29"/>
      <c r="D40" s="31"/>
      <c r="E40" s="1249"/>
      <c r="F40" s="1249"/>
      <c r="G40" s="1249"/>
      <c r="H40" s="1249"/>
      <c r="I40" s="1249"/>
      <c r="J40" s="1249"/>
      <c r="K40" s="1253"/>
    </row>
    <row r="41" spans="1:11" s="1296" customFormat="1" ht="16.5" x14ac:dyDescent="0.25">
      <c r="A41" s="395"/>
      <c r="B41" s="29"/>
      <c r="C41" s="29"/>
      <c r="D41" s="31"/>
      <c r="E41" s="1249"/>
      <c r="F41" s="1249"/>
      <c r="G41" s="1249"/>
      <c r="H41" s="1249"/>
      <c r="I41" s="1249"/>
      <c r="J41" s="1249"/>
      <c r="K41" s="1249"/>
    </row>
    <row r="42" spans="1:11" s="1296" customFormat="1" ht="16.5" x14ac:dyDescent="0.25">
      <c r="A42" s="397"/>
      <c r="B42" s="311"/>
      <c r="C42" s="29"/>
      <c r="D42" s="312"/>
      <c r="E42" s="1249"/>
      <c r="F42" s="1249"/>
      <c r="G42" s="1249"/>
      <c r="H42" s="1249"/>
      <c r="I42" s="1249"/>
      <c r="J42" s="1249"/>
      <c r="K42" s="1253"/>
    </row>
    <row r="43" spans="1:11" s="1296" customFormat="1" x14ac:dyDescent="0.25">
      <c r="A43" s="395" t="str">
        <f>+BS!A48</f>
        <v>S. Siva Parvathi</v>
      </c>
      <c r="B43" s="395">
        <f>+BS!B48</f>
        <v>0</v>
      </c>
      <c r="C43" s="394"/>
      <c r="D43" s="403"/>
      <c r="E43" s="1251"/>
      <c r="F43" s="1251"/>
      <c r="G43" s="1251"/>
      <c r="H43" s="1251"/>
      <c r="I43" s="1251"/>
      <c r="J43" s="1251"/>
      <c r="K43" s="1251"/>
    </row>
    <row r="44" spans="1:11" s="1296" customFormat="1" ht="16.5" x14ac:dyDescent="0.3">
      <c r="A44" s="395" t="s">
        <v>807</v>
      </c>
      <c r="B44" s="397" t="str">
        <f>+BS!B49</f>
        <v>Director                                Director</v>
      </c>
      <c r="C44" s="406"/>
      <c r="D44" s="1224"/>
      <c r="H44" s="1248"/>
      <c r="I44" s="1248"/>
    </row>
    <row r="45" spans="1:11" s="1296" customFormat="1" ht="16.5" x14ac:dyDescent="0.3">
      <c r="A45" s="397" t="s">
        <v>1859</v>
      </c>
      <c r="B45" s="397">
        <f>+BS!B50</f>
        <v>0</v>
      </c>
      <c r="C45" s="393"/>
      <c r="D45" s="1224"/>
    </row>
    <row r="46" spans="1:11" s="1296" customFormat="1" ht="16.5" x14ac:dyDescent="0.25">
      <c r="A46" s="1267" t="str">
        <f>BS!A51</f>
        <v>UDIN:</v>
      </c>
      <c r="B46" s="30"/>
      <c r="C46" s="29"/>
      <c r="D46" s="71"/>
    </row>
    <row r="47" spans="1:11" s="1296" customFormat="1" ht="16.5" x14ac:dyDescent="0.3">
      <c r="A47" s="393" t="s">
        <v>808</v>
      </c>
      <c r="B47" s="30"/>
      <c r="C47" s="29"/>
      <c r="D47" s="71"/>
    </row>
    <row r="48" spans="1:11" s="1296" customFormat="1" ht="16.5" x14ac:dyDescent="0.3">
      <c r="A48" s="393" t="str">
        <f>+BS!A53</f>
        <v>Date:</v>
      </c>
      <c r="B48" s="30"/>
      <c r="C48" s="29"/>
      <c r="D48" s="71"/>
    </row>
    <row r="49" spans="1:4" s="1296" customFormat="1" ht="16.5" x14ac:dyDescent="0.25">
      <c r="A49" s="398"/>
      <c r="B49" s="30"/>
      <c r="C49" s="29"/>
      <c r="D49" s="71"/>
    </row>
    <row r="50" spans="1:4" s="1296" customFormat="1" ht="16.5" x14ac:dyDescent="0.25">
      <c r="A50" s="398"/>
      <c r="B50" s="30"/>
      <c r="C50" s="29"/>
      <c r="D50" s="71"/>
    </row>
    <row r="51" spans="1:4" ht="16.5" x14ac:dyDescent="0.25">
      <c r="A51" s="400"/>
    </row>
    <row r="52" spans="1:4" ht="6.75" customHeight="1" x14ac:dyDescent="0.25"/>
    <row r="54" spans="1:4"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sheetData>
  <mergeCells count="3">
    <mergeCell ref="B35:D35"/>
    <mergeCell ref="B37:D37"/>
    <mergeCell ref="B36:D36"/>
  </mergeCells>
  <printOptions horizontalCentered="1"/>
  <pageMargins left="0.51181102362204722" right="0.51181102362204722" top="0.51181102362204722" bottom="0.51181102362204722" header="0.51181102362204722" footer="0.51181102362204722"/>
  <pageSetup paperSize="9" scale="9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1"/>
  <sheetViews>
    <sheetView view="pageBreakPreview" zoomScale="60" zoomScaleNormal="60" workbookViewId="0"/>
  </sheetViews>
  <sheetFormatPr defaultColWidth="9.140625" defaultRowHeight="22.5" x14ac:dyDescent="0.35"/>
  <cols>
    <col min="1" max="1" width="89.5703125" style="1122" bestFit="1" customWidth="1"/>
    <col min="2" max="2" width="11.42578125" style="1122" customWidth="1"/>
    <col min="3" max="3" width="9.85546875" style="1122" customWidth="1"/>
    <col min="4" max="4" width="14.42578125" style="1122" bestFit="1" customWidth="1"/>
    <col min="5" max="5" width="29.42578125" style="1159" bestFit="1" customWidth="1"/>
    <col min="6" max="6" width="29.5703125" style="1159" customWidth="1"/>
    <col min="7" max="7" width="26.42578125" style="1122" bestFit="1" customWidth="1"/>
    <col min="8" max="8" width="18.7109375" style="1122" bestFit="1" customWidth="1"/>
    <col min="9" max="16384" width="9.140625" style="1122"/>
  </cols>
  <sheetData>
    <row r="1" spans="1:7" x14ac:dyDescent="0.35">
      <c r="A1" s="1470"/>
      <c r="B1" s="1471"/>
      <c r="C1" s="1471"/>
      <c r="D1" s="1472"/>
      <c r="E1" s="1473"/>
      <c r="F1" s="1474"/>
    </row>
    <row r="2" spans="1:7" x14ac:dyDescent="0.35">
      <c r="A2" s="1475">
        <f>'P&amp;L'!A2</f>
        <v>0</v>
      </c>
      <c r="B2" s="1123"/>
      <c r="C2" s="1123"/>
      <c r="E2" s="1124"/>
      <c r="F2" s="1476"/>
    </row>
    <row r="3" spans="1:7" x14ac:dyDescent="0.35">
      <c r="A3" s="1475" t="s">
        <v>1561</v>
      </c>
      <c r="B3" s="1123"/>
      <c r="C3" s="1123"/>
      <c r="E3" s="1124"/>
      <c r="F3" s="1476"/>
    </row>
    <row r="4" spans="1:7" x14ac:dyDescent="0.35">
      <c r="A4" s="1477"/>
      <c r="E4" s="1124"/>
      <c r="F4" s="1478"/>
    </row>
    <row r="5" spans="1:7" ht="45" x14ac:dyDescent="0.35">
      <c r="A5" s="1479" t="s">
        <v>0</v>
      </c>
      <c r="B5" s="1125"/>
      <c r="C5" s="1126"/>
      <c r="D5" s="1127"/>
      <c r="E5" s="1128" t="str">
        <f>+'P&amp;L'!C5</f>
        <v xml:space="preserve">  Year ended 
  March 31, 2025</v>
      </c>
      <c r="F5" s="1480" t="str">
        <f>+'P&amp;L'!D5</f>
        <v xml:space="preserve">  Year ended 
  March 31, 2024</v>
      </c>
    </row>
    <row r="6" spans="1:7" x14ac:dyDescent="0.35">
      <c r="A6" s="1481" t="s">
        <v>767</v>
      </c>
      <c r="B6" s="1482"/>
      <c r="C6" s="1129"/>
      <c r="D6" s="1130"/>
      <c r="E6" s="1131"/>
      <c r="F6" s="1483"/>
    </row>
    <row r="7" spans="1:7" x14ac:dyDescent="0.35">
      <c r="A7" s="1484" t="s">
        <v>768</v>
      </c>
      <c r="B7" s="1485"/>
      <c r="C7" s="1132"/>
      <c r="D7" s="1130"/>
      <c r="E7" s="1133">
        <f>'P&amp;L'!C19</f>
        <v>-12668829.929999977</v>
      </c>
      <c r="F7" s="1486">
        <f>+'P&amp;L'!D19</f>
        <v>85780775.880000025</v>
      </c>
      <c r="G7" s="1134"/>
    </row>
    <row r="8" spans="1:7" x14ac:dyDescent="0.35">
      <c r="A8" s="1481" t="s">
        <v>769</v>
      </c>
      <c r="B8" s="1482"/>
      <c r="C8" s="1129"/>
      <c r="D8" s="1130"/>
      <c r="E8" s="1135"/>
      <c r="F8" s="1487"/>
      <c r="G8" s="1134"/>
    </row>
    <row r="9" spans="1:7" x14ac:dyDescent="0.35">
      <c r="A9" s="1488" t="s">
        <v>770</v>
      </c>
      <c r="B9" s="1489"/>
      <c r="C9" s="1137"/>
      <c r="D9" s="1138"/>
      <c r="E9" s="1136">
        <f>'P&amp;L'!C16</f>
        <v>21235863</v>
      </c>
      <c r="F9" s="1487">
        <f>'P&amp;L'!D16</f>
        <v>18479778</v>
      </c>
      <c r="G9" s="1134"/>
    </row>
    <row r="10" spans="1:7" x14ac:dyDescent="0.35">
      <c r="A10" s="1488" t="s">
        <v>771</v>
      </c>
      <c r="B10" s="1489"/>
      <c r="C10" s="1137"/>
      <c r="D10" s="1138"/>
      <c r="E10" s="1262">
        <f>-'Note 16-23'!B14</f>
        <v>-675838</v>
      </c>
      <c r="F10" s="1490">
        <f>-'Note 16-23'!C14</f>
        <v>-3002825</v>
      </c>
      <c r="G10" s="1134"/>
    </row>
    <row r="11" spans="1:7" x14ac:dyDescent="0.35">
      <c r="A11" s="1481" t="s">
        <v>772</v>
      </c>
      <c r="B11" s="1482"/>
      <c r="C11" s="1129"/>
      <c r="D11" s="1130"/>
      <c r="E11" s="1139">
        <f>SUM(E7:E10)</f>
        <v>7891195.0700000226</v>
      </c>
      <c r="F11" s="1491">
        <f>SUM(F7:F10)</f>
        <v>101257728.88000003</v>
      </c>
      <c r="G11" s="1134"/>
    </row>
    <row r="12" spans="1:7" x14ac:dyDescent="0.35">
      <c r="A12" s="1484" t="s">
        <v>773</v>
      </c>
      <c r="B12" s="1485"/>
      <c r="C12" s="1132"/>
      <c r="D12" s="1130"/>
      <c r="E12" s="1135"/>
      <c r="F12" s="1487"/>
      <c r="G12" s="1134"/>
    </row>
    <row r="13" spans="1:7" x14ac:dyDescent="0.35">
      <c r="A13" s="1488" t="s">
        <v>774</v>
      </c>
      <c r="B13" s="1489"/>
      <c r="C13" s="1137"/>
      <c r="D13" s="1138"/>
      <c r="E13" s="1136">
        <f>+BS!D33-BS!C33</f>
        <v>10158008.609999999</v>
      </c>
      <c r="F13" s="1487">
        <v>20399740.549999997</v>
      </c>
      <c r="G13" s="1134"/>
    </row>
    <row r="14" spans="1:7" x14ac:dyDescent="0.35">
      <c r="A14" s="1488" t="s">
        <v>775</v>
      </c>
      <c r="B14" s="1489"/>
      <c r="C14" s="1137"/>
      <c r="D14" s="1138"/>
      <c r="E14" s="1135">
        <f>+BS!D32-BS!C32</f>
        <v>307875</v>
      </c>
      <c r="F14" s="1487">
        <v>21095</v>
      </c>
      <c r="G14" s="1134"/>
    </row>
    <row r="15" spans="1:7" x14ac:dyDescent="0.35">
      <c r="A15" s="1488" t="s">
        <v>776</v>
      </c>
      <c r="B15" s="1489"/>
      <c r="C15" s="1137"/>
      <c r="D15" s="1138"/>
      <c r="E15" s="1135">
        <f>+BS!D36-BS!C36</f>
        <v>19714</v>
      </c>
      <c r="F15" s="1487">
        <v>-116739</v>
      </c>
      <c r="G15" s="1134"/>
    </row>
    <row r="16" spans="1:7" x14ac:dyDescent="0.35">
      <c r="A16" s="1488" t="s">
        <v>777</v>
      </c>
      <c r="B16" s="1489"/>
      <c r="C16" s="1137"/>
      <c r="D16" s="1138"/>
      <c r="E16" s="1136">
        <f>+BS!D35-BS!C35</f>
        <v>9994039.4799999967</v>
      </c>
      <c r="F16" s="1487">
        <v>28601144.990000002</v>
      </c>
      <c r="G16" s="1134"/>
    </row>
    <row r="17" spans="1:7" x14ac:dyDescent="0.35">
      <c r="A17" s="1488" t="s">
        <v>1534</v>
      </c>
      <c r="B17" s="1489"/>
      <c r="C17" s="1137"/>
      <c r="D17" s="1138"/>
      <c r="E17" s="1136">
        <f>+BS!D28-BS!C28</f>
        <v>-2407618.7599999998</v>
      </c>
      <c r="F17" s="1487">
        <v>-6521806.4000000004</v>
      </c>
      <c r="G17" s="1134"/>
    </row>
    <row r="18" spans="1:7" x14ac:dyDescent="0.35">
      <c r="A18" s="1488" t="s">
        <v>778</v>
      </c>
      <c r="B18" s="1489"/>
      <c r="C18" s="1137"/>
      <c r="D18" s="1138"/>
      <c r="E18" s="1135">
        <f>+BS!D29-BS!C29</f>
        <v>-1448560</v>
      </c>
      <c r="F18" s="1487">
        <v>-1534435</v>
      </c>
      <c r="G18" s="1134"/>
    </row>
    <row r="19" spans="1:7" x14ac:dyDescent="0.35">
      <c r="A19" s="1488" t="s">
        <v>779</v>
      </c>
      <c r="B19" s="1489"/>
      <c r="C19" s="1137"/>
      <c r="D19" s="1138"/>
      <c r="E19" s="1135">
        <f>+BS!C19-BS!D19</f>
        <v>-17927262</v>
      </c>
      <c r="F19" s="1492">
        <v>-51298137</v>
      </c>
      <c r="G19" s="1134"/>
    </row>
    <row r="20" spans="1:7" x14ac:dyDescent="0.35">
      <c r="A20" s="1488" t="s">
        <v>780</v>
      </c>
      <c r="B20" s="1489"/>
      <c r="C20" s="1137"/>
      <c r="D20" s="1138"/>
      <c r="E20" s="1135">
        <f>+BS!C17-BS!D17</f>
        <v>-2223181.4900000039</v>
      </c>
      <c r="F20" s="1487">
        <v>811638.69000000134</v>
      </c>
      <c r="G20" s="1134"/>
    </row>
    <row r="21" spans="1:7" x14ac:dyDescent="0.35">
      <c r="A21" s="1488" t="s">
        <v>781</v>
      </c>
      <c r="B21" s="1489"/>
      <c r="C21" s="1137"/>
      <c r="D21" s="1138"/>
      <c r="E21" s="1261">
        <f>+BS!C18-BS!D18</f>
        <v>-3694144.5799999982</v>
      </c>
      <c r="F21" s="1490">
        <v>-8268500.5999999978</v>
      </c>
      <c r="G21" s="1134"/>
    </row>
    <row r="22" spans="1:7" x14ac:dyDescent="0.35">
      <c r="A22" s="1481" t="s">
        <v>782</v>
      </c>
      <c r="B22" s="1482"/>
      <c r="C22" s="1129"/>
      <c r="D22" s="1130"/>
      <c r="E22" s="1139">
        <f>SUM(E11:E21)</f>
        <v>670065.3300000187</v>
      </c>
      <c r="F22" s="1491">
        <f>SUM(F11:F21)</f>
        <v>83351730.110000014</v>
      </c>
      <c r="G22" s="1134"/>
    </row>
    <row r="23" spans="1:7" x14ac:dyDescent="0.35">
      <c r="A23" s="1488" t="s">
        <v>783</v>
      </c>
      <c r="B23" s="1489"/>
      <c r="C23" s="1137"/>
      <c r="D23" s="1138"/>
      <c r="E23" s="1261">
        <f>'P&amp;L'!C22</f>
        <v>0</v>
      </c>
      <c r="F23" s="1493">
        <f>'P&amp;L'!D22</f>
        <v>17927262</v>
      </c>
      <c r="G23" s="1134"/>
    </row>
    <row r="24" spans="1:7" ht="23.25" thickBot="1" x14ac:dyDescent="0.4">
      <c r="A24" s="1481" t="s">
        <v>784</v>
      </c>
      <c r="B24" s="1482"/>
      <c r="C24" s="1129"/>
      <c r="D24" s="1140" t="s">
        <v>785</v>
      </c>
      <c r="E24" s="1263">
        <f>E22-E23</f>
        <v>670065.3300000187</v>
      </c>
      <c r="F24" s="1494">
        <f>F22-F23</f>
        <v>65424468.110000014</v>
      </c>
      <c r="G24" s="1134"/>
    </row>
    <row r="25" spans="1:7" ht="23.25" thickTop="1" x14ac:dyDescent="0.35">
      <c r="A25" s="1481" t="s">
        <v>786</v>
      </c>
      <c r="B25" s="1482"/>
      <c r="C25" s="1129"/>
      <c r="D25" s="1130"/>
      <c r="E25" s="1135"/>
      <c r="F25" s="1487"/>
      <c r="G25" s="1134"/>
    </row>
    <row r="26" spans="1:7" x14ac:dyDescent="0.35">
      <c r="A26" s="1488" t="s">
        <v>787</v>
      </c>
      <c r="B26" s="1489"/>
      <c r="C26" s="1137"/>
      <c r="D26" s="1138"/>
      <c r="E26" s="1135">
        <f>-('Note 9'!D17+'Note 9'!D19-'Note 9'!E17)</f>
        <v>-10920205.35</v>
      </c>
      <c r="F26" s="1487">
        <v>-164196065</v>
      </c>
      <c r="G26" s="1134"/>
    </row>
    <row r="27" spans="1:7" x14ac:dyDescent="0.35">
      <c r="A27" s="1488" t="s">
        <v>788</v>
      </c>
      <c r="B27" s="1489"/>
      <c r="C27" s="1137"/>
      <c r="D27" s="1138"/>
      <c r="E27" s="1135">
        <v>0</v>
      </c>
      <c r="F27" s="1487">
        <v>0</v>
      </c>
      <c r="G27" s="1134"/>
    </row>
    <row r="28" spans="1:7" x14ac:dyDescent="0.35">
      <c r="A28" s="1488" t="s">
        <v>146</v>
      </c>
      <c r="B28" s="1489"/>
      <c r="C28" s="1137"/>
      <c r="D28" s="1138"/>
      <c r="E28" s="1135">
        <f>'Note 16-23'!B14</f>
        <v>675838</v>
      </c>
      <c r="F28" s="1495">
        <f>'Note 16-23'!C14</f>
        <v>3002825</v>
      </c>
      <c r="G28" s="1134"/>
    </row>
    <row r="29" spans="1:7" ht="23.25" thickBot="1" x14ac:dyDescent="0.4">
      <c r="A29" s="1481" t="s">
        <v>789</v>
      </c>
      <c r="B29" s="1482"/>
      <c r="C29" s="1129"/>
      <c r="D29" s="1140" t="s">
        <v>790</v>
      </c>
      <c r="E29" s="1263">
        <f>SUM(E26:E28)</f>
        <v>-10244367.35</v>
      </c>
      <c r="F29" s="1494">
        <f>SUM(F26:F28)</f>
        <v>-161193240</v>
      </c>
      <c r="G29" s="1134"/>
    </row>
    <row r="30" spans="1:7" ht="23.25" thickTop="1" x14ac:dyDescent="0.35">
      <c r="A30" s="1481" t="s">
        <v>791</v>
      </c>
      <c r="B30" s="1482"/>
      <c r="C30" s="1129"/>
      <c r="D30" s="1130"/>
      <c r="E30" s="1135"/>
      <c r="F30" s="1487"/>
      <c r="G30" s="1134"/>
    </row>
    <row r="31" spans="1:7" x14ac:dyDescent="0.35">
      <c r="A31" s="1488" t="s">
        <v>1137</v>
      </c>
      <c r="B31" s="1482"/>
      <c r="C31" s="1129"/>
      <c r="D31" s="1130"/>
      <c r="E31" s="1136">
        <v>0</v>
      </c>
      <c r="F31" s="1487">
        <f>-'TB 23-24Old'!D79</f>
        <v>-16275630</v>
      </c>
      <c r="G31" s="1134"/>
    </row>
    <row r="32" spans="1:7" x14ac:dyDescent="0.35">
      <c r="A32" s="1488" t="s">
        <v>792</v>
      </c>
      <c r="B32" s="1489"/>
      <c r="C32" s="1137"/>
      <c r="D32" s="1138"/>
      <c r="E32" s="1136">
        <f>+BS!C13-BS!D13</f>
        <v>-33092571.240000002</v>
      </c>
      <c r="F32" s="1487">
        <v>59310062</v>
      </c>
      <c r="G32" s="1134"/>
    </row>
    <row r="33" spans="1:8" ht="23.25" thickBot="1" x14ac:dyDescent="0.4">
      <c r="A33" s="1481" t="s">
        <v>793</v>
      </c>
      <c r="B33" s="1482"/>
      <c r="C33" s="1129"/>
      <c r="D33" s="1140" t="s">
        <v>794</v>
      </c>
      <c r="E33" s="1263">
        <f>SUM(E31:E32)</f>
        <v>-33092571.240000002</v>
      </c>
      <c r="F33" s="1494">
        <f>SUM(F31:F32)</f>
        <v>43034432</v>
      </c>
      <c r="G33" s="1134"/>
    </row>
    <row r="34" spans="1:8" ht="23.25" thickTop="1" x14ac:dyDescent="0.35">
      <c r="A34" s="1481" t="s">
        <v>795</v>
      </c>
      <c r="B34" s="1482"/>
      <c r="C34" s="1129"/>
      <c r="D34" s="1130" t="s">
        <v>796</v>
      </c>
      <c r="E34" s="1141">
        <f>E24+E29+E33+2</f>
        <v>-42666871.259999983</v>
      </c>
      <c r="F34" s="1496">
        <f>F24+F29+F33</f>
        <v>-52734339.889999986</v>
      </c>
      <c r="G34" s="1134"/>
    </row>
    <row r="35" spans="1:8" x14ac:dyDescent="0.35">
      <c r="A35" s="1488" t="s">
        <v>797</v>
      </c>
      <c r="B35" s="1489"/>
      <c r="C35" s="1137"/>
      <c r="D35" s="1130"/>
      <c r="E35" s="1135">
        <f>F36</f>
        <v>59510569.110000014</v>
      </c>
      <c r="F35" s="1487">
        <f>112244907+2</f>
        <v>112244909</v>
      </c>
      <c r="G35" s="1134"/>
    </row>
    <row r="36" spans="1:8" ht="23.25" thickBot="1" x14ac:dyDescent="0.4">
      <c r="A36" s="1481" t="s">
        <v>798</v>
      </c>
      <c r="B36" s="1482"/>
      <c r="C36" s="1129"/>
      <c r="D36" s="1130"/>
      <c r="E36" s="1263">
        <f>SUM(E34:E35)</f>
        <v>16843697.850000031</v>
      </c>
      <c r="F36" s="1494">
        <f>SUM(F34:F35)</f>
        <v>59510569.110000014</v>
      </c>
      <c r="G36" s="1184"/>
    </row>
    <row r="37" spans="1:8" ht="23.25" thickTop="1" x14ac:dyDescent="0.35">
      <c r="A37" s="1497"/>
      <c r="B37" s="1498"/>
      <c r="C37" s="1142"/>
      <c r="D37" s="1143"/>
      <c r="E37" s="1144"/>
      <c r="F37" s="1499"/>
      <c r="G37" s="1134"/>
    </row>
    <row r="38" spans="1:8" x14ac:dyDescent="0.35">
      <c r="A38" s="1500" t="s">
        <v>799</v>
      </c>
      <c r="B38" s="1501"/>
      <c r="C38" s="1145"/>
      <c r="D38" s="1146"/>
      <c r="E38" s="1144"/>
      <c r="F38" s="1499"/>
      <c r="G38" s="1134"/>
    </row>
    <row r="39" spans="1:8" x14ac:dyDescent="0.35">
      <c r="A39" s="1502" t="s">
        <v>52</v>
      </c>
      <c r="B39" s="1503"/>
      <c r="C39" s="1147"/>
      <c r="D39" s="1146"/>
      <c r="E39" s="1148">
        <f>'Note 10-15'!B49</f>
        <v>1032854.75</v>
      </c>
      <c r="F39" s="1504">
        <f>'Note 10-15'!C49</f>
        <v>368229</v>
      </c>
      <c r="G39" s="1134"/>
    </row>
    <row r="40" spans="1:8" x14ac:dyDescent="0.35">
      <c r="A40" s="1502" t="s">
        <v>800</v>
      </c>
      <c r="B40" s="1503"/>
      <c r="C40" s="1147"/>
      <c r="D40" s="1146"/>
      <c r="E40" s="1148">
        <f>'Note 10-15'!B48</f>
        <v>10511887.369999999</v>
      </c>
      <c r="F40" s="1504">
        <f>'Note 10-15'!C48</f>
        <v>18843387.18</v>
      </c>
      <c r="G40" s="1134"/>
    </row>
    <row r="41" spans="1:8" x14ac:dyDescent="0.35">
      <c r="A41" s="1502" t="s">
        <v>801</v>
      </c>
      <c r="B41" s="1503"/>
      <c r="C41" s="1147"/>
      <c r="D41" s="1146"/>
      <c r="E41" s="1148">
        <f>'Note 10-15'!B51</f>
        <v>5298954</v>
      </c>
      <c r="F41" s="1504">
        <f>'Note 10-15'!C51</f>
        <v>40298954</v>
      </c>
      <c r="G41" s="1134"/>
    </row>
    <row r="42" spans="1:8" ht="23.25" thickBot="1" x14ac:dyDescent="0.4">
      <c r="A42" s="1505" t="s">
        <v>1435</v>
      </c>
      <c r="B42" s="1149"/>
      <c r="C42" s="1150"/>
      <c r="D42" s="1151"/>
      <c r="E42" s="1263">
        <f>SUM(E39:E41)</f>
        <v>16843696.119999997</v>
      </c>
      <c r="F42" s="1494">
        <f>SUM(F39:F41)</f>
        <v>59510570.18</v>
      </c>
      <c r="G42" s="1184">
        <f>E42-E36</f>
        <v>-1.7300000339746475</v>
      </c>
      <c r="H42" s="1184">
        <f>F42-F36</f>
        <v>1.069999985396862</v>
      </c>
    </row>
    <row r="43" spans="1:8" ht="23.25" thickTop="1" x14ac:dyDescent="0.35">
      <c r="A43" s="1506"/>
      <c r="B43" s="1507"/>
      <c r="C43" s="1507"/>
      <c r="D43" s="1508"/>
      <c r="E43" s="1152"/>
      <c r="F43" s="1509"/>
    </row>
    <row r="44" spans="1:8" x14ac:dyDescent="0.35">
      <c r="A44" s="1510" t="s">
        <v>802</v>
      </c>
      <c r="B44" s="1153"/>
      <c r="C44" s="1153"/>
      <c r="D44" s="1153"/>
      <c r="E44" s="1154"/>
      <c r="F44" s="1511"/>
    </row>
    <row r="45" spans="1:8" ht="54.75" customHeight="1" x14ac:dyDescent="0.35">
      <c r="A45" s="1553" t="s">
        <v>803</v>
      </c>
      <c r="B45" s="1554"/>
      <c r="C45" s="1554"/>
      <c r="D45" s="1554"/>
      <c r="E45" s="1554"/>
      <c r="F45" s="1555"/>
    </row>
    <row r="46" spans="1:8" x14ac:dyDescent="0.35">
      <c r="A46" s="1556" t="s">
        <v>804</v>
      </c>
      <c r="B46" s="1557"/>
      <c r="C46" s="1557"/>
      <c r="D46" s="1557"/>
      <c r="E46" s="1557"/>
      <c r="F46" s="1558"/>
    </row>
    <row r="47" spans="1:8" x14ac:dyDescent="0.35">
      <c r="A47" s="1559" t="s">
        <v>805</v>
      </c>
      <c r="B47" s="1560"/>
      <c r="C47" s="1560"/>
      <c r="D47" s="1561"/>
      <c r="E47" s="1561"/>
      <c r="F47" s="1562"/>
    </row>
    <row r="48" spans="1:8" x14ac:dyDescent="0.35">
      <c r="A48" s="1512" t="s">
        <v>28</v>
      </c>
      <c r="B48" s="1513"/>
      <c r="C48" s="1469"/>
      <c r="D48" s="1469"/>
      <c r="E48" s="1469"/>
      <c r="F48" s="1514"/>
    </row>
    <row r="49" spans="1:6" x14ac:dyDescent="0.35">
      <c r="A49" s="1512"/>
      <c r="B49" s="1513"/>
      <c r="C49" s="1563" t="s">
        <v>29</v>
      </c>
      <c r="D49" s="1563"/>
      <c r="E49" s="1563"/>
      <c r="F49" s="1564"/>
    </row>
    <row r="50" spans="1:6" x14ac:dyDescent="0.35">
      <c r="A50" s="1515" t="str">
        <f>+'P&amp;L'!A37</f>
        <v>For M/s Siva Parvathi &amp; Associates</v>
      </c>
      <c r="B50" s="1516"/>
      <c r="C50" s="1563"/>
      <c r="D50" s="1563"/>
      <c r="E50" s="1563"/>
      <c r="F50" s="1564"/>
    </row>
    <row r="51" spans="1:6" x14ac:dyDescent="0.35">
      <c r="A51" s="1515" t="s">
        <v>1860</v>
      </c>
      <c r="B51" s="1516"/>
      <c r="C51" s="1156"/>
      <c r="E51" s="1155"/>
      <c r="F51" s="1517"/>
    </row>
    <row r="52" spans="1:6" x14ac:dyDescent="0.35">
      <c r="A52" s="1515" t="s">
        <v>806</v>
      </c>
      <c r="B52" s="1516"/>
      <c r="C52" s="1516"/>
      <c r="E52" s="1155"/>
      <c r="F52" s="1518"/>
    </row>
    <row r="53" spans="1:6" x14ac:dyDescent="0.35">
      <c r="A53" s="1519"/>
      <c r="B53" s="1520"/>
      <c r="C53" s="1520"/>
      <c r="E53" s="1156"/>
      <c r="F53" s="1518"/>
    </row>
    <row r="54" spans="1:6" x14ac:dyDescent="0.35">
      <c r="A54" s="1515"/>
      <c r="B54" s="1516"/>
      <c r="C54" s="1157"/>
      <c r="E54" s="1124"/>
      <c r="F54" s="1521"/>
    </row>
    <row r="55" spans="1:6" x14ac:dyDescent="0.35">
      <c r="A55" s="1522"/>
      <c r="B55" s="1523"/>
      <c r="C55" s="1158"/>
      <c r="E55" s="1124"/>
      <c r="F55" s="1524"/>
    </row>
    <row r="56" spans="1:6" s="1123" customFormat="1" x14ac:dyDescent="0.35">
      <c r="A56" s="1515" t="str">
        <f>+'P&amp;L'!A43</f>
        <v>S. Siva Parvathi</v>
      </c>
      <c r="B56" s="1516"/>
      <c r="C56" s="1516">
        <f>+BS!B48</f>
        <v>0</v>
      </c>
      <c r="F56" s="1517"/>
    </row>
    <row r="57" spans="1:6" x14ac:dyDescent="0.35">
      <c r="A57" s="1522" t="s">
        <v>807</v>
      </c>
      <c r="B57" s="1523"/>
      <c r="C57" s="1523" t="str">
        <f>+BS!B49</f>
        <v>Director                                Director</v>
      </c>
      <c r="D57" s="1525"/>
      <c r="E57" s="1124"/>
      <c r="F57" s="1517"/>
    </row>
    <row r="58" spans="1:6" x14ac:dyDescent="0.35">
      <c r="A58" s="1522" t="s">
        <v>1859</v>
      </c>
      <c r="B58" s="1523"/>
      <c r="C58" s="1523">
        <f>+BS!B50</f>
        <v>0</v>
      </c>
      <c r="D58" s="1526"/>
      <c r="E58" s="1124"/>
      <c r="F58" s="1517"/>
    </row>
    <row r="59" spans="1:6" x14ac:dyDescent="0.35">
      <c r="A59" s="1527" t="str">
        <f>BS!A51</f>
        <v>UDIN:</v>
      </c>
      <c r="B59" s="1528"/>
      <c r="C59" s="1523"/>
      <c r="E59" s="1529"/>
      <c r="F59" s="1517"/>
    </row>
    <row r="60" spans="1:6" x14ac:dyDescent="0.35">
      <c r="A60" s="1477" t="s">
        <v>808</v>
      </c>
      <c r="E60" s="1122"/>
      <c r="F60" s="1517"/>
    </row>
    <row r="61" spans="1:6" ht="23.25" thickBot="1" x14ac:dyDescent="0.4">
      <c r="A61" s="1530" t="str">
        <f>+BS!A53</f>
        <v>Date:</v>
      </c>
      <c r="B61" s="1531"/>
      <c r="C61" s="1531"/>
      <c r="D61" s="1531"/>
      <c r="E61" s="1531"/>
      <c r="F61" s="1532"/>
    </row>
  </sheetData>
  <mergeCells count="5">
    <mergeCell ref="A45:F45"/>
    <mergeCell ref="A46:F46"/>
    <mergeCell ref="A47:F47"/>
    <mergeCell ref="C50:F50"/>
    <mergeCell ref="C49:F49"/>
  </mergeCells>
  <pageMargins left="0.70866141732283472" right="0.70866141732283472" top="0.74803149606299213" bottom="0.74803149606299213" header="0.31496062992125984" footer="0.31496062992125984"/>
  <pageSetup paperSize="9" scale="4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K61"/>
  <sheetViews>
    <sheetView showGridLines="0" view="pageBreakPreview" topLeftCell="B1" zoomScaleNormal="100" zoomScaleSheetLayoutView="100" workbookViewId="0">
      <selection activeCell="C1" sqref="C1"/>
    </sheetView>
  </sheetViews>
  <sheetFormatPr defaultColWidth="8.85546875" defaultRowHeight="16.5" x14ac:dyDescent="0.25"/>
  <cols>
    <col min="1" max="1" width="11.5703125" style="40" hidden="1" customWidth="1"/>
    <col min="2" max="2" width="8.140625" style="45" customWidth="1"/>
    <col min="3" max="3" width="103.5703125" style="58" customWidth="1"/>
    <col min="4" max="256" width="8.85546875" style="43"/>
    <col min="257" max="257" width="0" style="43" hidden="1" customWidth="1"/>
    <col min="258" max="258" width="8.140625" style="43" customWidth="1"/>
    <col min="259" max="259" width="99.5703125" style="43" customWidth="1"/>
    <col min="260" max="512" width="8.85546875" style="43"/>
    <col min="513" max="513" width="0" style="43" hidden="1" customWidth="1"/>
    <col min="514" max="514" width="8.140625" style="43" customWidth="1"/>
    <col min="515" max="515" width="99.5703125" style="43" customWidth="1"/>
    <col min="516" max="768" width="8.85546875" style="43"/>
    <col min="769" max="769" width="0" style="43" hidden="1" customWidth="1"/>
    <col min="770" max="770" width="8.140625" style="43" customWidth="1"/>
    <col min="771" max="771" width="99.5703125" style="43" customWidth="1"/>
    <col min="772" max="1024" width="8.85546875" style="43"/>
    <col min="1025" max="1025" width="0" style="43" hidden="1" customWidth="1"/>
    <col min="1026" max="1026" width="8.140625" style="43" customWidth="1"/>
    <col min="1027" max="1027" width="99.5703125" style="43" customWidth="1"/>
    <col min="1028" max="1280" width="8.85546875" style="43"/>
    <col min="1281" max="1281" width="0" style="43" hidden="1" customWidth="1"/>
    <col min="1282" max="1282" width="8.140625" style="43" customWidth="1"/>
    <col min="1283" max="1283" width="99.5703125" style="43" customWidth="1"/>
    <col min="1284" max="1536" width="8.85546875" style="43"/>
    <col min="1537" max="1537" width="0" style="43" hidden="1" customWidth="1"/>
    <col min="1538" max="1538" width="8.140625" style="43" customWidth="1"/>
    <col min="1539" max="1539" width="99.5703125" style="43" customWidth="1"/>
    <col min="1540" max="1792" width="8.85546875" style="43"/>
    <col min="1793" max="1793" width="0" style="43" hidden="1" customWidth="1"/>
    <col min="1794" max="1794" width="8.140625" style="43" customWidth="1"/>
    <col min="1795" max="1795" width="99.5703125" style="43" customWidth="1"/>
    <col min="1796" max="2048" width="8.85546875" style="43"/>
    <col min="2049" max="2049" width="0" style="43" hidden="1" customWidth="1"/>
    <col min="2050" max="2050" width="8.140625" style="43" customWidth="1"/>
    <col min="2051" max="2051" width="99.5703125" style="43" customWidth="1"/>
    <col min="2052" max="2304" width="8.85546875" style="43"/>
    <col min="2305" max="2305" width="0" style="43" hidden="1" customWidth="1"/>
    <col min="2306" max="2306" width="8.140625" style="43" customWidth="1"/>
    <col min="2307" max="2307" width="99.5703125" style="43" customWidth="1"/>
    <col min="2308" max="2560" width="8.85546875" style="43"/>
    <col min="2561" max="2561" width="0" style="43" hidden="1" customWidth="1"/>
    <col min="2562" max="2562" width="8.140625" style="43" customWidth="1"/>
    <col min="2563" max="2563" width="99.5703125" style="43" customWidth="1"/>
    <col min="2564" max="2816" width="8.85546875" style="43"/>
    <col min="2817" max="2817" width="0" style="43" hidden="1" customWidth="1"/>
    <col min="2818" max="2818" width="8.140625" style="43" customWidth="1"/>
    <col min="2819" max="2819" width="99.5703125" style="43" customWidth="1"/>
    <col min="2820" max="3072" width="8.85546875" style="43"/>
    <col min="3073" max="3073" width="0" style="43" hidden="1" customWidth="1"/>
    <col min="3074" max="3074" width="8.140625" style="43" customWidth="1"/>
    <col min="3075" max="3075" width="99.5703125" style="43" customWidth="1"/>
    <col min="3076" max="3328" width="8.85546875" style="43"/>
    <col min="3329" max="3329" width="0" style="43" hidden="1" customWidth="1"/>
    <col min="3330" max="3330" width="8.140625" style="43" customWidth="1"/>
    <col min="3331" max="3331" width="99.5703125" style="43" customWidth="1"/>
    <col min="3332" max="3584" width="8.85546875" style="43"/>
    <col min="3585" max="3585" width="0" style="43" hidden="1" customWidth="1"/>
    <col min="3586" max="3586" width="8.140625" style="43" customWidth="1"/>
    <col min="3587" max="3587" width="99.5703125" style="43" customWidth="1"/>
    <col min="3588" max="3840" width="8.85546875" style="43"/>
    <col min="3841" max="3841" width="0" style="43" hidden="1" customWidth="1"/>
    <col min="3842" max="3842" width="8.140625" style="43" customWidth="1"/>
    <col min="3843" max="3843" width="99.5703125" style="43" customWidth="1"/>
    <col min="3844" max="4096" width="8.85546875" style="43"/>
    <col min="4097" max="4097" width="0" style="43" hidden="1" customWidth="1"/>
    <col min="4098" max="4098" width="8.140625" style="43" customWidth="1"/>
    <col min="4099" max="4099" width="99.5703125" style="43" customWidth="1"/>
    <col min="4100" max="4352" width="8.85546875" style="43"/>
    <col min="4353" max="4353" width="0" style="43" hidden="1" customWidth="1"/>
    <col min="4354" max="4354" width="8.140625" style="43" customWidth="1"/>
    <col min="4355" max="4355" width="99.5703125" style="43" customWidth="1"/>
    <col min="4356" max="4608" width="8.85546875" style="43"/>
    <col min="4609" max="4609" width="0" style="43" hidden="1" customWidth="1"/>
    <col min="4610" max="4610" width="8.140625" style="43" customWidth="1"/>
    <col min="4611" max="4611" width="99.5703125" style="43" customWidth="1"/>
    <col min="4612" max="4864" width="8.85546875" style="43"/>
    <col min="4865" max="4865" width="0" style="43" hidden="1" customWidth="1"/>
    <col min="4866" max="4866" width="8.140625" style="43" customWidth="1"/>
    <col min="4867" max="4867" width="99.5703125" style="43" customWidth="1"/>
    <col min="4868" max="5120" width="8.85546875" style="43"/>
    <col min="5121" max="5121" width="0" style="43" hidden="1" customWidth="1"/>
    <col min="5122" max="5122" width="8.140625" style="43" customWidth="1"/>
    <col min="5123" max="5123" width="99.5703125" style="43" customWidth="1"/>
    <col min="5124" max="5376" width="8.85546875" style="43"/>
    <col min="5377" max="5377" width="0" style="43" hidden="1" customWidth="1"/>
    <col min="5378" max="5378" width="8.140625" style="43" customWidth="1"/>
    <col min="5379" max="5379" width="99.5703125" style="43" customWidth="1"/>
    <col min="5380" max="5632" width="8.85546875" style="43"/>
    <col min="5633" max="5633" width="0" style="43" hidden="1" customWidth="1"/>
    <col min="5634" max="5634" width="8.140625" style="43" customWidth="1"/>
    <col min="5635" max="5635" width="99.5703125" style="43" customWidth="1"/>
    <col min="5636" max="5888" width="8.85546875" style="43"/>
    <col min="5889" max="5889" width="0" style="43" hidden="1" customWidth="1"/>
    <col min="5890" max="5890" width="8.140625" style="43" customWidth="1"/>
    <col min="5891" max="5891" width="99.5703125" style="43" customWidth="1"/>
    <col min="5892" max="6144" width="8.85546875" style="43"/>
    <col min="6145" max="6145" width="0" style="43" hidden="1" customWidth="1"/>
    <col min="6146" max="6146" width="8.140625" style="43" customWidth="1"/>
    <col min="6147" max="6147" width="99.5703125" style="43" customWidth="1"/>
    <col min="6148" max="6400" width="8.85546875" style="43"/>
    <col min="6401" max="6401" width="0" style="43" hidden="1" customWidth="1"/>
    <col min="6402" max="6402" width="8.140625" style="43" customWidth="1"/>
    <col min="6403" max="6403" width="99.5703125" style="43" customWidth="1"/>
    <col min="6404" max="6656" width="8.85546875" style="43"/>
    <col min="6657" max="6657" width="0" style="43" hidden="1" customWidth="1"/>
    <col min="6658" max="6658" width="8.140625" style="43" customWidth="1"/>
    <col min="6659" max="6659" width="99.5703125" style="43" customWidth="1"/>
    <col min="6660" max="6912" width="8.85546875" style="43"/>
    <col min="6913" max="6913" width="0" style="43" hidden="1" customWidth="1"/>
    <col min="6914" max="6914" width="8.140625" style="43" customWidth="1"/>
    <col min="6915" max="6915" width="99.5703125" style="43" customWidth="1"/>
    <col min="6916" max="7168" width="8.85546875" style="43"/>
    <col min="7169" max="7169" width="0" style="43" hidden="1" customWidth="1"/>
    <col min="7170" max="7170" width="8.140625" style="43" customWidth="1"/>
    <col min="7171" max="7171" width="99.5703125" style="43" customWidth="1"/>
    <col min="7172" max="7424" width="8.85546875" style="43"/>
    <col min="7425" max="7425" width="0" style="43" hidden="1" customWidth="1"/>
    <col min="7426" max="7426" width="8.140625" style="43" customWidth="1"/>
    <col min="7427" max="7427" width="99.5703125" style="43" customWidth="1"/>
    <col min="7428" max="7680" width="8.85546875" style="43"/>
    <col min="7681" max="7681" width="0" style="43" hidden="1" customWidth="1"/>
    <col min="7682" max="7682" width="8.140625" style="43" customWidth="1"/>
    <col min="7683" max="7683" width="99.5703125" style="43" customWidth="1"/>
    <col min="7684" max="7936" width="8.85546875" style="43"/>
    <col min="7937" max="7937" width="0" style="43" hidden="1" customWidth="1"/>
    <col min="7938" max="7938" width="8.140625" style="43" customWidth="1"/>
    <col min="7939" max="7939" width="99.5703125" style="43" customWidth="1"/>
    <col min="7940" max="8192" width="8.85546875" style="43"/>
    <col min="8193" max="8193" width="0" style="43" hidden="1" customWidth="1"/>
    <col min="8194" max="8194" width="8.140625" style="43" customWidth="1"/>
    <col min="8195" max="8195" width="99.5703125" style="43" customWidth="1"/>
    <col min="8196" max="8448" width="8.85546875" style="43"/>
    <col min="8449" max="8449" width="0" style="43" hidden="1" customWidth="1"/>
    <col min="8450" max="8450" width="8.140625" style="43" customWidth="1"/>
    <col min="8451" max="8451" width="99.5703125" style="43" customWidth="1"/>
    <col min="8452" max="8704" width="8.85546875" style="43"/>
    <col min="8705" max="8705" width="0" style="43" hidden="1" customWidth="1"/>
    <col min="8706" max="8706" width="8.140625" style="43" customWidth="1"/>
    <col min="8707" max="8707" width="99.5703125" style="43" customWidth="1"/>
    <col min="8708" max="8960" width="8.85546875" style="43"/>
    <col min="8961" max="8961" width="0" style="43" hidden="1" customWidth="1"/>
    <col min="8962" max="8962" width="8.140625" style="43" customWidth="1"/>
    <col min="8963" max="8963" width="99.5703125" style="43" customWidth="1"/>
    <col min="8964" max="9216" width="8.85546875" style="43"/>
    <col min="9217" max="9217" width="0" style="43" hidden="1" customWidth="1"/>
    <col min="9218" max="9218" width="8.140625" style="43" customWidth="1"/>
    <col min="9219" max="9219" width="99.5703125" style="43" customWidth="1"/>
    <col min="9220" max="9472" width="8.85546875" style="43"/>
    <col min="9473" max="9473" width="0" style="43" hidden="1" customWidth="1"/>
    <col min="9474" max="9474" width="8.140625" style="43" customWidth="1"/>
    <col min="9475" max="9475" width="99.5703125" style="43" customWidth="1"/>
    <col min="9476" max="9728" width="8.85546875" style="43"/>
    <col min="9729" max="9729" width="0" style="43" hidden="1" customWidth="1"/>
    <col min="9730" max="9730" width="8.140625" style="43" customWidth="1"/>
    <col min="9731" max="9731" width="99.5703125" style="43" customWidth="1"/>
    <col min="9732" max="9984" width="8.85546875" style="43"/>
    <col min="9985" max="9985" width="0" style="43" hidden="1" customWidth="1"/>
    <col min="9986" max="9986" width="8.140625" style="43" customWidth="1"/>
    <col min="9987" max="9987" width="99.5703125" style="43" customWidth="1"/>
    <col min="9988" max="10240" width="8.85546875" style="43"/>
    <col min="10241" max="10241" width="0" style="43" hidden="1" customWidth="1"/>
    <col min="10242" max="10242" width="8.140625" style="43" customWidth="1"/>
    <col min="10243" max="10243" width="99.5703125" style="43" customWidth="1"/>
    <col min="10244" max="10496" width="8.85546875" style="43"/>
    <col min="10497" max="10497" width="0" style="43" hidden="1" customWidth="1"/>
    <col min="10498" max="10498" width="8.140625" style="43" customWidth="1"/>
    <col min="10499" max="10499" width="99.5703125" style="43" customWidth="1"/>
    <col min="10500" max="10752" width="8.85546875" style="43"/>
    <col min="10753" max="10753" width="0" style="43" hidden="1" customWidth="1"/>
    <col min="10754" max="10754" width="8.140625" style="43" customWidth="1"/>
    <col min="10755" max="10755" width="99.5703125" style="43" customWidth="1"/>
    <col min="10756" max="11008" width="8.85546875" style="43"/>
    <col min="11009" max="11009" width="0" style="43" hidden="1" customWidth="1"/>
    <col min="11010" max="11010" width="8.140625" style="43" customWidth="1"/>
    <col min="11011" max="11011" width="99.5703125" style="43" customWidth="1"/>
    <col min="11012" max="11264" width="8.85546875" style="43"/>
    <col min="11265" max="11265" width="0" style="43" hidden="1" customWidth="1"/>
    <col min="11266" max="11266" width="8.140625" style="43" customWidth="1"/>
    <col min="11267" max="11267" width="99.5703125" style="43" customWidth="1"/>
    <col min="11268" max="11520" width="8.85546875" style="43"/>
    <col min="11521" max="11521" width="0" style="43" hidden="1" customWidth="1"/>
    <col min="11522" max="11522" width="8.140625" style="43" customWidth="1"/>
    <col min="11523" max="11523" width="99.5703125" style="43" customWidth="1"/>
    <col min="11524" max="11776" width="8.85546875" style="43"/>
    <col min="11777" max="11777" width="0" style="43" hidden="1" customWidth="1"/>
    <col min="11778" max="11778" width="8.140625" style="43" customWidth="1"/>
    <col min="11779" max="11779" width="99.5703125" style="43" customWidth="1"/>
    <col min="11780" max="12032" width="8.85546875" style="43"/>
    <col min="12033" max="12033" width="0" style="43" hidden="1" customWidth="1"/>
    <col min="12034" max="12034" width="8.140625" style="43" customWidth="1"/>
    <col min="12035" max="12035" width="99.5703125" style="43" customWidth="1"/>
    <col min="12036" max="12288" width="8.85546875" style="43"/>
    <col min="12289" max="12289" width="0" style="43" hidden="1" customWidth="1"/>
    <col min="12290" max="12290" width="8.140625" style="43" customWidth="1"/>
    <col min="12291" max="12291" width="99.5703125" style="43" customWidth="1"/>
    <col min="12292" max="12544" width="8.85546875" style="43"/>
    <col min="12545" max="12545" width="0" style="43" hidden="1" customWidth="1"/>
    <col min="12546" max="12546" width="8.140625" style="43" customWidth="1"/>
    <col min="12547" max="12547" width="99.5703125" style="43" customWidth="1"/>
    <col min="12548" max="12800" width="8.85546875" style="43"/>
    <col min="12801" max="12801" width="0" style="43" hidden="1" customWidth="1"/>
    <col min="12802" max="12802" width="8.140625" style="43" customWidth="1"/>
    <col min="12803" max="12803" width="99.5703125" style="43" customWidth="1"/>
    <col min="12804" max="13056" width="8.85546875" style="43"/>
    <col min="13057" max="13057" width="0" style="43" hidden="1" customWidth="1"/>
    <col min="13058" max="13058" width="8.140625" style="43" customWidth="1"/>
    <col min="13059" max="13059" width="99.5703125" style="43" customWidth="1"/>
    <col min="13060" max="13312" width="8.85546875" style="43"/>
    <col min="13313" max="13313" width="0" style="43" hidden="1" customWidth="1"/>
    <col min="13314" max="13314" width="8.140625" style="43" customWidth="1"/>
    <col min="13315" max="13315" width="99.5703125" style="43" customWidth="1"/>
    <col min="13316" max="13568" width="8.85546875" style="43"/>
    <col min="13569" max="13569" width="0" style="43" hidden="1" customWidth="1"/>
    <col min="13570" max="13570" width="8.140625" style="43" customWidth="1"/>
    <col min="13571" max="13571" width="99.5703125" style="43" customWidth="1"/>
    <col min="13572" max="13824" width="8.85546875" style="43"/>
    <col min="13825" max="13825" width="0" style="43" hidden="1" customWidth="1"/>
    <col min="13826" max="13826" width="8.140625" style="43" customWidth="1"/>
    <col min="13827" max="13827" width="99.5703125" style="43" customWidth="1"/>
    <col min="13828" max="14080" width="8.85546875" style="43"/>
    <col min="14081" max="14081" width="0" style="43" hidden="1" customWidth="1"/>
    <col min="14082" max="14082" width="8.140625" style="43" customWidth="1"/>
    <col min="14083" max="14083" width="99.5703125" style="43" customWidth="1"/>
    <col min="14084" max="14336" width="8.85546875" style="43"/>
    <col min="14337" max="14337" width="0" style="43" hidden="1" customWidth="1"/>
    <col min="14338" max="14338" width="8.140625" style="43" customWidth="1"/>
    <col min="14339" max="14339" width="99.5703125" style="43" customWidth="1"/>
    <col min="14340" max="14592" width="8.85546875" style="43"/>
    <col min="14593" max="14593" width="0" style="43" hidden="1" customWidth="1"/>
    <col min="14594" max="14594" width="8.140625" style="43" customWidth="1"/>
    <col min="14595" max="14595" width="99.5703125" style="43" customWidth="1"/>
    <col min="14596" max="14848" width="8.85546875" style="43"/>
    <col min="14849" max="14849" width="0" style="43" hidden="1" customWidth="1"/>
    <col min="14850" max="14850" width="8.140625" style="43" customWidth="1"/>
    <col min="14851" max="14851" width="99.5703125" style="43" customWidth="1"/>
    <col min="14852" max="15104" width="8.85546875" style="43"/>
    <col min="15105" max="15105" width="0" style="43" hidden="1" customWidth="1"/>
    <col min="15106" max="15106" width="8.140625" style="43" customWidth="1"/>
    <col min="15107" max="15107" width="99.5703125" style="43" customWidth="1"/>
    <col min="15108" max="15360" width="8.85546875" style="43"/>
    <col min="15361" max="15361" width="0" style="43" hidden="1" customWidth="1"/>
    <col min="15362" max="15362" width="8.140625" style="43" customWidth="1"/>
    <col min="15363" max="15363" width="99.5703125" style="43" customWidth="1"/>
    <col min="15364" max="15616" width="8.85546875" style="43"/>
    <col min="15617" max="15617" width="0" style="43" hidden="1" customWidth="1"/>
    <col min="15618" max="15618" width="8.140625" style="43" customWidth="1"/>
    <col min="15619" max="15619" width="99.5703125" style="43" customWidth="1"/>
    <col min="15620" max="15872" width="8.85546875" style="43"/>
    <col min="15873" max="15873" width="0" style="43" hidden="1" customWidth="1"/>
    <col min="15874" max="15874" width="8.140625" style="43" customWidth="1"/>
    <col min="15875" max="15875" width="99.5703125" style="43" customWidth="1"/>
    <col min="15876" max="16128" width="8.85546875" style="43"/>
    <col min="16129" max="16129" width="0" style="43" hidden="1" customWidth="1"/>
    <col min="16130" max="16130" width="8.140625" style="43" customWidth="1"/>
    <col min="16131" max="16131" width="99.5703125" style="43" customWidth="1"/>
    <col min="16132" max="16384" width="8.85546875" style="43"/>
  </cols>
  <sheetData>
    <row r="1" spans="1:6" ht="18.75" x14ac:dyDescent="0.25">
      <c r="B1" s="41">
        <f>+'P&amp;L'!A1</f>
        <v>0</v>
      </c>
      <c r="C1" s="42"/>
    </row>
    <row r="2" spans="1:6" x14ac:dyDescent="0.25">
      <c r="B2" s="44">
        <f>BS!A2</f>
        <v>0</v>
      </c>
      <c r="C2" s="42"/>
    </row>
    <row r="3" spans="1:6" x14ac:dyDescent="0.25">
      <c r="B3" s="44" t="s">
        <v>1562</v>
      </c>
      <c r="C3" s="42"/>
    </row>
    <row r="4" spans="1:6" x14ac:dyDescent="0.25">
      <c r="C4" s="42"/>
    </row>
    <row r="5" spans="1:6" x14ac:dyDescent="0.25">
      <c r="A5" s="46" t="s">
        <v>53</v>
      </c>
      <c r="B5" s="46" t="s">
        <v>54</v>
      </c>
      <c r="C5" s="47" t="s">
        <v>55</v>
      </c>
    </row>
    <row r="6" spans="1:6" ht="15.75" customHeight="1" x14ac:dyDescent="0.25">
      <c r="A6" s="40" t="s">
        <v>56</v>
      </c>
      <c r="B6" s="48"/>
      <c r="C6" s="44"/>
    </row>
    <row r="7" spans="1:6" ht="15.75" customHeight="1" x14ac:dyDescent="0.3">
      <c r="B7" s="49" t="s">
        <v>57</v>
      </c>
      <c r="C7" s="50" t="s">
        <v>58</v>
      </c>
      <c r="D7" s="51"/>
      <c r="E7" s="51"/>
      <c r="F7" s="51"/>
    </row>
    <row r="8" spans="1:6" ht="82.5" x14ac:dyDescent="0.3">
      <c r="B8" s="49"/>
      <c r="C8" s="52" t="s">
        <v>59</v>
      </c>
      <c r="D8" s="51"/>
      <c r="E8" s="51"/>
      <c r="F8" s="51"/>
    </row>
    <row r="9" spans="1:6" ht="33" x14ac:dyDescent="0.3">
      <c r="B9" s="49"/>
      <c r="C9" s="53" t="s">
        <v>60</v>
      </c>
      <c r="D9" s="54"/>
      <c r="E9" s="54"/>
      <c r="F9" s="54"/>
    </row>
    <row r="10" spans="1:6" x14ac:dyDescent="0.3">
      <c r="B10" s="49"/>
      <c r="C10" s="53"/>
      <c r="D10" s="54"/>
      <c r="E10" s="54"/>
      <c r="F10" s="54"/>
    </row>
    <row r="11" spans="1:6" ht="15.75" customHeight="1" x14ac:dyDescent="0.3">
      <c r="B11" s="49" t="s">
        <v>61</v>
      </c>
      <c r="C11" s="55" t="s">
        <v>62</v>
      </c>
      <c r="D11" s="54"/>
      <c r="E11" s="54"/>
      <c r="F11" s="54"/>
    </row>
    <row r="12" spans="1:6" ht="82.5" x14ac:dyDescent="0.3">
      <c r="B12" s="49"/>
      <c r="C12" s="1533" t="s">
        <v>63</v>
      </c>
      <c r="D12" s="54"/>
      <c r="E12" s="54"/>
      <c r="F12" s="54"/>
    </row>
    <row r="13" spans="1:6" ht="15.75" customHeight="1" x14ac:dyDescent="0.3">
      <c r="B13" s="49"/>
      <c r="C13" s="53"/>
      <c r="D13" s="54"/>
      <c r="E13" s="54"/>
      <c r="F13" s="54"/>
    </row>
    <row r="14" spans="1:6" ht="15.75" customHeight="1" x14ac:dyDescent="0.3">
      <c r="B14" s="49" t="s">
        <v>64</v>
      </c>
      <c r="C14" s="55" t="s">
        <v>65</v>
      </c>
      <c r="D14" s="54"/>
      <c r="E14" s="54"/>
      <c r="F14" s="54"/>
    </row>
    <row r="15" spans="1:6" ht="49.5" x14ac:dyDescent="0.3">
      <c r="B15" s="49"/>
      <c r="C15" s="56" t="s">
        <v>730</v>
      </c>
      <c r="D15" s="54"/>
      <c r="E15" s="54"/>
      <c r="F15" s="54"/>
    </row>
    <row r="16" spans="1:6" ht="16.5" customHeight="1" x14ac:dyDescent="0.3">
      <c r="B16" s="49"/>
      <c r="C16" s="56"/>
      <c r="D16" s="54"/>
      <c r="E16" s="54"/>
      <c r="F16" s="54"/>
    </row>
    <row r="17" spans="2:6" ht="49.5" x14ac:dyDescent="0.3">
      <c r="B17" s="49"/>
      <c r="C17" s="56" t="s">
        <v>731</v>
      </c>
      <c r="D17" s="54"/>
      <c r="E17" s="54"/>
      <c r="F17" s="54"/>
    </row>
    <row r="18" spans="2:6" ht="15" customHeight="1" x14ac:dyDescent="0.3">
      <c r="B18" s="49"/>
      <c r="C18" s="56"/>
      <c r="D18" s="54"/>
      <c r="E18" s="54"/>
      <c r="F18" s="54"/>
    </row>
    <row r="19" spans="2:6" ht="15.75" customHeight="1" x14ac:dyDescent="0.3">
      <c r="B19" s="49" t="s">
        <v>66</v>
      </c>
      <c r="C19" s="55" t="s">
        <v>67</v>
      </c>
      <c r="D19" s="54"/>
      <c r="E19" s="54"/>
      <c r="F19" s="54"/>
    </row>
    <row r="20" spans="2:6" ht="15.75" customHeight="1" x14ac:dyDescent="0.3">
      <c r="B20" s="49"/>
      <c r="C20" s="55" t="s">
        <v>68</v>
      </c>
      <c r="D20" s="54"/>
      <c r="E20" s="54"/>
      <c r="F20" s="54"/>
    </row>
    <row r="21" spans="2:6" ht="49.5" x14ac:dyDescent="0.3">
      <c r="B21" s="49"/>
      <c r="C21" s="52" t="s">
        <v>69</v>
      </c>
      <c r="D21" s="54"/>
      <c r="E21" s="54"/>
      <c r="F21" s="54"/>
    </row>
    <row r="22" spans="2:6" x14ac:dyDescent="0.3">
      <c r="B22" s="49"/>
      <c r="C22" s="52"/>
      <c r="D22" s="54"/>
      <c r="E22" s="54"/>
      <c r="F22" s="54"/>
    </row>
    <row r="23" spans="2:6" ht="15.75" customHeight="1" x14ac:dyDescent="0.3">
      <c r="B23" s="49"/>
      <c r="C23" s="57" t="s">
        <v>70</v>
      </c>
      <c r="D23" s="54"/>
      <c r="E23" s="54"/>
      <c r="F23" s="54"/>
    </row>
    <row r="24" spans="2:6" ht="17.25" customHeight="1" x14ac:dyDescent="0.3">
      <c r="B24" s="49"/>
      <c r="C24" s="52" t="s">
        <v>71</v>
      </c>
      <c r="D24" s="54"/>
      <c r="E24" s="54"/>
      <c r="F24" s="54"/>
    </row>
    <row r="25" spans="2:6" ht="14.25" customHeight="1" x14ac:dyDescent="0.3">
      <c r="B25" s="49"/>
      <c r="C25" s="52"/>
      <c r="D25" s="54"/>
      <c r="E25" s="54"/>
      <c r="F25" s="54"/>
    </row>
    <row r="26" spans="2:6" ht="15.75" customHeight="1" x14ac:dyDescent="0.3">
      <c r="B26" s="49" t="s">
        <v>72</v>
      </c>
      <c r="C26" s="57" t="s">
        <v>73</v>
      </c>
      <c r="D26" s="54"/>
      <c r="E26" s="54"/>
      <c r="F26" s="54"/>
    </row>
    <row r="27" spans="2:6" ht="33" x14ac:dyDescent="0.3">
      <c r="B27" s="49"/>
      <c r="C27" s="52" t="s">
        <v>74</v>
      </c>
      <c r="D27" s="54"/>
      <c r="E27" s="54"/>
      <c r="F27" s="54"/>
    </row>
    <row r="28" spans="2:6" ht="15.75" customHeight="1" x14ac:dyDescent="0.3">
      <c r="B28" s="49"/>
      <c r="C28" s="56"/>
      <c r="D28" s="54"/>
      <c r="E28" s="54"/>
      <c r="F28" s="54"/>
    </row>
    <row r="29" spans="2:6" ht="15.75" customHeight="1" x14ac:dyDescent="0.3">
      <c r="B29" s="49" t="s">
        <v>75</v>
      </c>
      <c r="C29" s="55" t="s">
        <v>76</v>
      </c>
      <c r="D29" s="54"/>
      <c r="E29" s="54"/>
      <c r="F29" s="54"/>
    </row>
    <row r="30" spans="2:6" ht="32.25" customHeight="1" x14ac:dyDescent="0.3">
      <c r="B30" s="49"/>
      <c r="C30" s="56" t="s">
        <v>77</v>
      </c>
      <c r="D30" s="54"/>
      <c r="E30" s="54"/>
      <c r="F30" s="54"/>
    </row>
    <row r="31" spans="2:6" ht="15.75" customHeight="1" x14ac:dyDescent="0.3">
      <c r="B31" s="49"/>
      <c r="C31" s="56"/>
      <c r="D31" s="54"/>
      <c r="E31" s="54"/>
      <c r="F31" s="54"/>
    </row>
    <row r="32" spans="2:6" ht="15.75" customHeight="1" x14ac:dyDescent="0.3">
      <c r="B32" s="49" t="s">
        <v>78</v>
      </c>
      <c r="C32" s="55" t="s">
        <v>79</v>
      </c>
      <c r="D32" s="54"/>
      <c r="E32" s="54"/>
      <c r="F32" s="54"/>
    </row>
    <row r="33" spans="1:6" ht="16.5" customHeight="1" x14ac:dyDescent="0.3">
      <c r="B33" s="49"/>
      <c r="C33" s="56" t="s">
        <v>80</v>
      </c>
      <c r="D33" s="54"/>
      <c r="E33" s="54"/>
      <c r="F33" s="54"/>
    </row>
    <row r="34" spans="1:6" ht="15.75" customHeight="1" x14ac:dyDescent="0.3">
      <c r="B34" s="49"/>
      <c r="C34" s="56"/>
      <c r="D34" s="54"/>
      <c r="E34" s="54"/>
      <c r="F34" s="54"/>
    </row>
    <row r="35" spans="1:6" ht="15.75" customHeight="1" x14ac:dyDescent="0.3">
      <c r="B35" s="49" t="s">
        <v>81</v>
      </c>
      <c r="C35" s="55" t="s">
        <v>82</v>
      </c>
      <c r="D35" s="54"/>
      <c r="E35" s="54"/>
      <c r="F35" s="54"/>
    </row>
    <row r="36" spans="1:6" ht="15.75" customHeight="1" x14ac:dyDescent="0.3">
      <c r="A36" s="1565" t="s">
        <v>83</v>
      </c>
      <c r="B36" s="49"/>
      <c r="C36" s="53" t="s">
        <v>84</v>
      </c>
      <c r="D36" s="54"/>
      <c r="E36" s="54"/>
      <c r="F36" s="54"/>
    </row>
    <row r="37" spans="1:6" ht="15.75" customHeight="1" x14ac:dyDescent="0.3">
      <c r="A37" s="1565"/>
      <c r="B37" s="49"/>
      <c r="C37" s="53"/>
      <c r="D37" s="54"/>
      <c r="E37" s="54"/>
      <c r="F37" s="54"/>
    </row>
    <row r="38" spans="1:6" ht="15.75" customHeight="1" x14ac:dyDescent="0.3">
      <c r="A38" s="1565"/>
      <c r="B38" s="49" t="s">
        <v>85</v>
      </c>
      <c r="C38" s="55" t="s">
        <v>86</v>
      </c>
      <c r="D38" s="54"/>
      <c r="E38" s="54"/>
      <c r="F38" s="54"/>
    </row>
    <row r="39" spans="1:6" ht="32.25" customHeight="1" x14ac:dyDescent="0.3">
      <c r="A39" s="1565"/>
      <c r="B39" s="49"/>
      <c r="C39" s="56" t="s">
        <v>87</v>
      </c>
      <c r="D39" s="54"/>
      <c r="E39" s="54"/>
      <c r="F39" s="54"/>
    </row>
    <row r="40" spans="1:6" ht="15.75" customHeight="1" x14ac:dyDescent="0.3">
      <c r="A40" s="1565"/>
      <c r="B40" s="49"/>
      <c r="C40" s="56"/>
      <c r="D40" s="54"/>
      <c r="E40" s="54"/>
      <c r="F40" s="54"/>
    </row>
    <row r="41" spans="1:6" ht="49.5" x14ac:dyDescent="0.25">
      <c r="A41" s="1565"/>
      <c r="B41" s="59"/>
      <c r="C41" s="56" t="s">
        <v>88</v>
      </c>
    </row>
    <row r="42" spans="1:6" ht="15.75" customHeight="1" x14ac:dyDescent="0.3">
      <c r="A42" s="1565"/>
      <c r="B42" s="49"/>
      <c r="C42" s="53"/>
      <c r="D42" s="54"/>
      <c r="E42" s="54"/>
      <c r="F42" s="54"/>
    </row>
    <row r="43" spans="1:6" x14ac:dyDescent="0.25">
      <c r="B43" s="59" t="s">
        <v>89</v>
      </c>
      <c r="C43" s="60" t="s">
        <v>90</v>
      </c>
    </row>
    <row r="44" spans="1:6" ht="49.5" x14ac:dyDescent="0.25">
      <c r="B44" s="59"/>
      <c r="C44" s="56" t="s">
        <v>91</v>
      </c>
    </row>
    <row r="45" spans="1:6" x14ac:dyDescent="0.25">
      <c r="B45" s="59"/>
    </row>
    <row r="46" spans="1:6" x14ac:dyDescent="0.25">
      <c r="B46" s="59" t="s">
        <v>92</v>
      </c>
      <c r="C46" s="60" t="s">
        <v>93</v>
      </c>
    </row>
    <row r="47" spans="1:6" x14ac:dyDescent="0.25">
      <c r="B47" s="59"/>
      <c r="C47" s="1566" t="s">
        <v>94</v>
      </c>
    </row>
    <row r="48" spans="1:6" x14ac:dyDescent="0.25">
      <c r="B48" s="59"/>
      <c r="C48" s="1566"/>
    </row>
    <row r="49" spans="2:11" x14ac:dyDescent="0.25">
      <c r="B49" s="59"/>
      <c r="C49" s="1566"/>
    </row>
    <row r="50" spans="2:11" x14ac:dyDescent="0.25">
      <c r="B50" s="59"/>
      <c r="C50" s="1566"/>
    </row>
    <row r="51" spans="2:11" x14ac:dyDescent="0.25">
      <c r="B51" s="59"/>
      <c r="C51" s="1566"/>
    </row>
    <row r="52" spans="2:11" x14ac:dyDescent="0.25">
      <c r="B52" s="59"/>
      <c r="C52" s="56"/>
    </row>
    <row r="53" spans="2:11" x14ac:dyDescent="0.25">
      <c r="B53" s="59"/>
      <c r="C53" s="1566" t="s">
        <v>95</v>
      </c>
    </row>
    <row r="54" spans="2:11" x14ac:dyDescent="0.25">
      <c r="B54" s="59"/>
      <c r="C54" s="1566"/>
    </row>
    <row r="55" spans="2:11" x14ac:dyDescent="0.25">
      <c r="B55" s="59"/>
      <c r="C55" s="1566"/>
    </row>
    <row r="56" spans="2:11" x14ac:dyDescent="0.25">
      <c r="B56" s="59"/>
    </row>
    <row r="61" spans="2:11" x14ac:dyDescent="0.25">
      <c r="K61" s="43" t="s">
        <v>3</v>
      </c>
    </row>
  </sheetData>
  <mergeCells count="3">
    <mergeCell ref="A36:A42"/>
    <mergeCell ref="C47:C51"/>
    <mergeCell ref="C53:C55"/>
  </mergeCells>
  <pageMargins left="0.3" right="0.51181102362204722" top="0.51181102362204722" bottom="0.51181102362204722" header="0.51181102362204722" footer="0.51181102362204722"/>
  <pageSetup paperSize="9" scale="85" fitToHeight="0" orientation="portrait" r:id="rId1"/>
  <headerFooter alignWithMargins="0"/>
  <rowBreaks count="1" manualBreakCount="1">
    <brk id="27" max="2" man="1"/>
  </rowBreaks>
  <colBreaks count="1" manualBreakCount="1">
    <brk id="3"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4"/>
  <sheetViews>
    <sheetView showGridLines="0" view="pageBreakPreview" topLeftCell="A118" zoomScaleNormal="100" zoomScaleSheetLayoutView="100" workbookViewId="0">
      <selection activeCell="C136" sqref="C136"/>
    </sheetView>
  </sheetViews>
  <sheetFormatPr defaultRowHeight="13.5" zeroHeight="1" x14ac:dyDescent="0.25"/>
  <cols>
    <col min="1" max="1" width="38.5703125" style="28" customWidth="1"/>
    <col min="2" max="2" width="13.42578125" style="28" customWidth="1"/>
    <col min="3" max="3" width="17.42578125" style="28" customWidth="1"/>
    <col min="4" max="4" width="19.5703125" style="28" customWidth="1"/>
    <col min="5" max="5" width="18.5703125" style="28" customWidth="1"/>
    <col min="6" max="6" width="16.42578125" style="28" bestFit="1" customWidth="1"/>
    <col min="7" max="8" width="15" style="28" bestFit="1" customWidth="1"/>
    <col min="9" max="9" width="15.140625" style="28" bestFit="1" customWidth="1"/>
    <col min="10" max="10" width="19" style="28" bestFit="1" customWidth="1"/>
    <col min="11" max="11" width="18.140625" style="28" bestFit="1" customWidth="1"/>
    <col min="12" max="256" width="9.140625" style="28"/>
    <col min="257" max="257" width="40.5703125" style="28" customWidth="1"/>
    <col min="258" max="258" width="15.42578125" style="28" customWidth="1"/>
    <col min="259" max="259" width="17.42578125" style="28" customWidth="1"/>
    <col min="260" max="260" width="20.5703125" style="28" bestFit="1" customWidth="1"/>
    <col min="261" max="261" width="18.5703125" style="28" customWidth="1"/>
    <col min="262" max="262" width="15.5703125" style="28" bestFit="1" customWidth="1"/>
    <col min="263" max="263" width="15" style="28" bestFit="1" customWidth="1"/>
    <col min="264" max="512" width="9.140625" style="28"/>
    <col min="513" max="513" width="40.5703125" style="28" customWidth="1"/>
    <col min="514" max="514" width="15.42578125" style="28" customWidth="1"/>
    <col min="515" max="515" width="17.42578125" style="28" customWidth="1"/>
    <col min="516" max="516" width="20.5703125" style="28" bestFit="1" customWidth="1"/>
    <col min="517" max="517" width="18.5703125" style="28" customWidth="1"/>
    <col min="518" max="518" width="15.5703125" style="28" bestFit="1" customWidth="1"/>
    <col min="519" max="519" width="15" style="28" bestFit="1" customWidth="1"/>
    <col min="520" max="768" width="9.140625" style="28"/>
    <col min="769" max="769" width="40.5703125" style="28" customWidth="1"/>
    <col min="770" max="770" width="15.42578125" style="28" customWidth="1"/>
    <col min="771" max="771" width="17.42578125" style="28" customWidth="1"/>
    <col min="772" max="772" width="20.5703125" style="28" bestFit="1" customWidth="1"/>
    <col min="773" max="773" width="18.5703125" style="28" customWidth="1"/>
    <col min="774" max="774" width="15.5703125" style="28" bestFit="1" customWidth="1"/>
    <col min="775" max="775" width="15" style="28" bestFit="1" customWidth="1"/>
    <col min="776" max="1024" width="9.140625" style="28"/>
    <col min="1025" max="1025" width="40.5703125" style="28" customWidth="1"/>
    <col min="1026" max="1026" width="15.42578125" style="28" customWidth="1"/>
    <col min="1027" max="1027" width="17.42578125" style="28" customWidth="1"/>
    <col min="1028" max="1028" width="20.5703125" style="28" bestFit="1" customWidth="1"/>
    <col min="1029" max="1029" width="18.5703125" style="28" customWidth="1"/>
    <col min="1030" max="1030" width="15.5703125" style="28" bestFit="1" customWidth="1"/>
    <col min="1031" max="1031" width="15" style="28" bestFit="1" customWidth="1"/>
    <col min="1032" max="1280" width="9.140625" style="28"/>
    <col min="1281" max="1281" width="40.5703125" style="28" customWidth="1"/>
    <col min="1282" max="1282" width="15.42578125" style="28" customWidth="1"/>
    <col min="1283" max="1283" width="17.42578125" style="28" customWidth="1"/>
    <col min="1284" max="1284" width="20.5703125" style="28" bestFit="1" customWidth="1"/>
    <col min="1285" max="1285" width="18.5703125" style="28" customWidth="1"/>
    <col min="1286" max="1286" width="15.5703125" style="28" bestFit="1" customWidth="1"/>
    <col min="1287" max="1287" width="15" style="28" bestFit="1" customWidth="1"/>
    <col min="1288" max="1536" width="9.140625" style="28"/>
    <col min="1537" max="1537" width="40.5703125" style="28" customWidth="1"/>
    <col min="1538" max="1538" width="15.42578125" style="28" customWidth="1"/>
    <col min="1539" max="1539" width="17.42578125" style="28" customWidth="1"/>
    <col min="1540" max="1540" width="20.5703125" style="28" bestFit="1" customWidth="1"/>
    <col min="1541" max="1541" width="18.5703125" style="28" customWidth="1"/>
    <col min="1542" max="1542" width="15.5703125" style="28" bestFit="1" customWidth="1"/>
    <col min="1543" max="1543" width="15" style="28" bestFit="1" customWidth="1"/>
    <col min="1544" max="1792" width="9.140625" style="28"/>
    <col min="1793" max="1793" width="40.5703125" style="28" customWidth="1"/>
    <col min="1794" max="1794" width="15.42578125" style="28" customWidth="1"/>
    <col min="1795" max="1795" width="17.42578125" style="28" customWidth="1"/>
    <col min="1796" max="1796" width="20.5703125" style="28" bestFit="1" customWidth="1"/>
    <col min="1797" max="1797" width="18.5703125" style="28" customWidth="1"/>
    <col min="1798" max="1798" width="15.5703125" style="28" bestFit="1" customWidth="1"/>
    <col min="1799" max="1799" width="15" style="28" bestFit="1" customWidth="1"/>
    <col min="1800" max="2048" width="9.140625" style="28"/>
    <col min="2049" max="2049" width="40.5703125" style="28" customWidth="1"/>
    <col min="2050" max="2050" width="15.42578125" style="28" customWidth="1"/>
    <col min="2051" max="2051" width="17.42578125" style="28" customWidth="1"/>
    <col min="2052" max="2052" width="20.5703125" style="28" bestFit="1" customWidth="1"/>
    <col min="2053" max="2053" width="18.5703125" style="28" customWidth="1"/>
    <col min="2054" max="2054" width="15.5703125" style="28" bestFit="1" customWidth="1"/>
    <col min="2055" max="2055" width="15" style="28" bestFit="1" customWidth="1"/>
    <col min="2056" max="2304" width="9.140625" style="28"/>
    <col min="2305" max="2305" width="40.5703125" style="28" customWidth="1"/>
    <col min="2306" max="2306" width="15.42578125" style="28" customWidth="1"/>
    <col min="2307" max="2307" width="17.42578125" style="28" customWidth="1"/>
    <col min="2308" max="2308" width="20.5703125" style="28" bestFit="1" customWidth="1"/>
    <col min="2309" max="2309" width="18.5703125" style="28" customWidth="1"/>
    <col min="2310" max="2310" width="15.5703125" style="28" bestFit="1" customWidth="1"/>
    <col min="2311" max="2311" width="15" style="28" bestFit="1" customWidth="1"/>
    <col min="2312" max="2560" width="9.140625" style="28"/>
    <col min="2561" max="2561" width="40.5703125" style="28" customWidth="1"/>
    <col min="2562" max="2562" width="15.42578125" style="28" customWidth="1"/>
    <col min="2563" max="2563" width="17.42578125" style="28" customWidth="1"/>
    <col min="2564" max="2564" width="20.5703125" style="28" bestFit="1" customWidth="1"/>
    <col min="2565" max="2565" width="18.5703125" style="28" customWidth="1"/>
    <col min="2566" max="2566" width="15.5703125" style="28" bestFit="1" customWidth="1"/>
    <col min="2567" max="2567" width="15" style="28" bestFit="1" customWidth="1"/>
    <col min="2568" max="2816" width="9.140625" style="28"/>
    <col min="2817" max="2817" width="40.5703125" style="28" customWidth="1"/>
    <col min="2818" max="2818" width="15.42578125" style="28" customWidth="1"/>
    <col min="2819" max="2819" width="17.42578125" style="28" customWidth="1"/>
    <col min="2820" max="2820" width="20.5703125" style="28" bestFit="1" customWidth="1"/>
    <col min="2821" max="2821" width="18.5703125" style="28" customWidth="1"/>
    <col min="2822" max="2822" width="15.5703125" style="28" bestFit="1" customWidth="1"/>
    <col min="2823" max="2823" width="15" style="28" bestFit="1" customWidth="1"/>
    <col min="2824" max="3072" width="9.140625" style="28"/>
    <col min="3073" max="3073" width="40.5703125" style="28" customWidth="1"/>
    <col min="3074" max="3074" width="15.42578125" style="28" customWidth="1"/>
    <col min="3075" max="3075" width="17.42578125" style="28" customWidth="1"/>
    <col min="3076" max="3076" width="20.5703125" style="28" bestFit="1" customWidth="1"/>
    <col min="3077" max="3077" width="18.5703125" style="28" customWidth="1"/>
    <col min="3078" max="3078" width="15.5703125" style="28" bestFit="1" customWidth="1"/>
    <col min="3079" max="3079" width="15" style="28" bestFit="1" customWidth="1"/>
    <col min="3080" max="3328" width="9.140625" style="28"/>
    <col min="3329" max="3329" width="40.5703125" style="28" customWidth="1"/>
    <col min="3330" max="3330" width="15.42578125" style="28" customWidth="1"/>
    <col min="3331" max="3331" width="17.42578125" style="28" customWidth="1"/>
    <col min="3332" max="3332" width="20.5703125" style="28" bestFit="1" customWidth="1"/>
    <col min="3333" max="3333" width="18.5703125" style="28" customWidth="1"/>
    <col min="3334" max="3334" width="15.5703125" style="28" bestFit="1" customWidth="1"/>
    <col min="3335" max="3335" width="15" style="28" bestFit="1" customWidth="1"/>
    <col min="3336" max="3584" width="9.140625" style="28"/>
    <col min="3585" max="3585" width="40.5703125" style="28" customWidth="1"/>
    <col min="3586" max="3586" width="15.42578125" style="28" customWidth="1"/>
    <col min="3587" max="3587" width="17.42578125" style="28" customWidth="1"/>
    <col min="3588" max="3588" width="20.5703125" style="28" bestFit="1" customWidth="1"/>
    <col min="3589" max="3589" width="18.5703125" style="28" customWidth="1"/>
    <col min="3590" max="3590" width="15.5703125" style="28" bestFit="1" customWidth="1"/>
    <col min="3591" max="3591" width="15" style="28" bestFit="1" customWidth="1"/>
    <col min="3592" max="3840" width="9.140625" style="28"/>
    <col min="3841" max="3841" width="40.5703125" style="28" customWidth="1"/>
    <col min="3842" max="3842" width="15.42578125" style="28" customWidth="1"/>
    <col min="3843" max="3843" width="17.42578125" style="28" customWidth="1"/>
    <col min="3844" max="3844" width="20.5703125" style="28" bestFit="1" customWidth="1"/>
    <col min="3845" max="3845" width="18.5703125" style="28" customWidth="1"/>
    <col min="3846" max="3846" width="15.5703125" style="28" bestFit="1" customWidth="1"/>
    <col min="3847" max="3847" width="15" style="28" bestFit="1" customWidth="1"/>
    <col min="3848" max="4096" width="9.140625" style="28"/>
    <col min="4097" max="4097" width="40.5703125" style="28" customWidth="1"/>
    <col min="4098" max="4098" width="15.42578125" style="28" customWidth="1"/>
    <col min="4099" max="4099" width="17.42578125" style="28" customWidth="1"/>
    <col min="4100" max="4100" width="20.5703125" style="28" bestFit="1" customWidth="1"/>
    <col min="4101" max="4101" width="18.5703125" style="28" customWidth="1"/>
    <col min="4102" max="4102" width="15.5703125" style="28" bestFit="1" customWidth="1"/>
    <col min="4103" max="4103" width="15" style="28" bestFit="1" customWidth="1"/>
    <col min="4104" max="4352" width="9.140625" style="28"/>
    <col min="4353" max="4353" width="40.5703125" style="28" customWidth="1"/>
    <col min="4354" max="4354" width="15.42578125" style="28" customWidth="1"/>
    <col min="4355" max="4355" width="17.42578125" style="28" customWidth="1"/>
    <col min="4356" max="4356" width="20.5703125" style="28" bestFit="1" customWidth="1"/>
    <col min="4357" max="4357" width="18.5703125" style="28" customWidth="1"/>
    <col min="4358" max="4358" width="15.5703125" style="28" bestFit="1" customWidth="1"/>
    <col min="4359" max="4359" width="15" style="28" bestFit="1" customWidth="1"/>
    <col min="4360" max="4608" width="9.140625" style="28"/>
    <col min="4609" max="4609" width="40.5703125" style="28" customWidth="1"/>
    <col min="4610" max="4610" width="15.42578125" style="28" customWidth="1"/>
    <col min="4611" max="4611" width="17.42578125" style="28" customWidth="1"/>
    <col min="4612" max="4612" width="20.5703125" style="28" bestFit="1" customWidth="1"/>
    <col min="4613" max="4613" width="18.5703125" style="28" customWidth="1"/>
    <col min="4614" max="4614" width="15.5703125" style="28" bestFit="1" customWidth="1"/>
    <col min="4615" max="4615" width="15" style="28" bestFit="1" customWidth="1"/>
    <col min="4616" max="4864" width="9.140625" style="28"/>
    <col min="4865" max="4865" width="40.5703125" style="28" customWidth="1"/>
    <col min="4866" max="4866" width="15.42578125" style="28" customWidth="1"/>
    <col min="4867" max="4867" width="17.42578125" style="28" customWidth="1"/>
    <col min="4868" max="4868" width="20.5703125" style="28" bestFit="1" customWidth="1"/>
    <col min="4869" max="4869" width="18.5703125" style="28" customWidth="1"/>
    <col min="4870" max="4870" width="15.5703125" style="28" bestFit="1" customWidth="1"/>
    <col min="4871" max="4871" width="15" style="28" bestFit="1" customWidth="1"/>
    <col min="4872" max="5120" width="9.140625" style="28"/>
    <col min="5121" max="5121" width="40.5703125" style="28" customWidth="1"/>
    <col min="5122" max="5122" width="15.42578125" style="28" customWidth="1"/>
    <col min="5123" max="5123" width="17.42578125" style="28" customWidth="1"/>
    <col min="5124" max="5124" width="20.5703125" style="28" bestFit="1" customWidth="1"/>
    <col min="5125" max="5125" width="18.5703125" style="28" customWidth="1"/>
    <col min="5126" max="5126" width="15.5703125" style="28" bestFit="1" customWidth="1"/>
    <col min="5127" max="5127" width="15" style="28" bestFit="1" customWidth="1"/>
    <col min="5128" max="5376" width="9.140625" style="28"/>
    <col min="5377" max="5377" width="40.5703125" style="28" customWidth="1"/>
    <col min="5378" max="5378" width="15.42578125" style="28" customWidth="1"/>
    <col min="5379" max="5379" width="17.42578125" style="28" customWidth="1"/>
    <col min="5380" max="5380" width="20.5703125" style="28" bestFit="1" customWidth="1"/>
    <col min="5381" max="5381" width="18.5703125" style="28" customWidth="1"/>
    <col min="5382" max="5382" width="15.5703125" style="28" bestFit="1" customWidth="1"/>
    <col min="5383" max="5383" width="15" style="28" bestFit="1" customWidth="1"/>
    <col min="5384" max="5632" width="9.140625" style="28"/>
    <col min="5633" max="5633" width="40.5703125" style="28" customWidth="1"/>
    <col min="5634" max="5634" width="15.42578125" style="28" customWidth="1"/>
    <col min="5635" max="5635" width="17.42578125" style="28" customWidth="1"/>
    <col min="5636" max="5636" width="20.5703125" style="28" bestFit="1" customWidth="1"/>
    <col min="5637" max="5637" width="18.5703125" style="28" customWidth="1"/>
    <col min="5638" max="5638" width="15.5703125" style="28" bestFit="1" customWidth="1"/>
    <col min="5639" max="5639" width="15" style="28" bestFit="1" customWidth="1"/>
    <col min="5640" max="5888" width="9.140625" style="28"/>
    <col min="5889" max="5889" width="40.5703125" style="28" customWidth="1"/>
    <col min="5890" max="5890" width="15.42578125" style="28" customWidth="1"/>
    <col min="5891" max="5891" width="17.42578125" style="28" customWidth="1"/>
    <col min="5892" max="5892" width="20.5703125" style="28" bestFit="1" customWidth="1"/>
    <col min="5893" max="5893" width="18.5703125" style="28" customWidth="1"/>
    <col min="5894" max="5894" width="15.5703125" style="28" bestFit="1" customWidth="1"/>
    <col min="5895" max="5895" width="15" style="28" bestFit="1" customWidth="1"/>
    <col min="5896" max="6144" width="9.140625" style="28"/>
    <col min="6145" max="6145" width="40.5703125" style="28" customWidth="1"/>
    <col min="6146" max="6146" width="15.42578125" style="28" customWidth="1"/>
    <col min="6147" max="6147" width="17.42578125" style="28" customWidth="1"/>
    <col min="6148" max="6148" width="20.5703125" style="28" bestFit="1" customWidth="1"/>
    <col min="6149" max="6149" width="18.5703125" style="28" customWidth="1"/>
    <col min="6150" max="6150" width="15.5703125" style="28" bestFit="1" customWidth="1"/>
    <col min="6151" max="6151" width="15" style="28" bestFit="1" customWidth="1"/>
    <col min="6152" max="6400" width="9.140625" style="28"/>
    <col min="6401" max="6401" width="40.5703125" style="28" customWidth="1"/>
    <col min="6402" max="6402" width="15.42578125" style="28" customWidth="1"/>
    <col min="6403" max="6403" width="17.42578125" style="28" customWidth="1"/>
    <col min="6404" max="6404" width="20.5703125" style="28" bestFit="1" customWidth="1"/>
    <col min="6405" max="6405" width="18.5703125" style="28" customWidth="1"/>
    <col min="6406" max="6406" width="15.5703125" style="28" bestFit="1" customWidth="1"/>
    <col min="6407" max="6407" width="15" style="28" bestFit="1" customWidth="1"/>
    <col min="6408" max="6656" width="9.140625" style="28"/>
    <col min="6657" max="6657" width="40.5703125" style="28" customWidth="1"/>
    <col min="6658" max="6658" width="15.42578125" style="28" customWidth="1"/>
    <col min="6659" max="6659" width="17.42578125" style="28" customWidth="1"/>
    <col min="6660" max="6660" width="20.5703125" style="28" bestFit="1" customWidth="1"/>
    <col min="6661" max="6661" width="18.5703125" style="28" customWidth="1"/>
    <col min="6662" max="6662" width="15.5703125" style="28" bestFit="1" customWidth="1"/>
    <col min="6663" max="6663" width="15" style="28" bestFit="1" customWidth="1"/>
    <col min="6664" max="6912" width="9.140625" style="28"/>
    <col min="6913" max="6913" width="40.5703125" style="28" customWidth="1"/>
    <col min="6914" max="6914" width="15.42578125" style="28" customWidth="1"/>
    <col min="6915" max="6915" width="17.42578125" style="28" customWidth="1"/>
    <col min="6916" max="6916" width="20.5703125" style="28" bestFit="1" customWidth="1"/>
    <col min="6917" max="6917" width="18.5703125" style="28" customWidth="1"/>
    <col min="6918" max="6918" width="15.5703125" style="28" bestFit="1" customWidth="1"/>
    <col min="6919" max="6919" width="15" style="28" bestFit="1" customWidth="1"/>
    <col min="6920" max="7168" width="9.140625" style="28"/>
    <col min="7169" max="7169" width="40.5703125" style="28" customWidth="1"/>
    <col min="7170" max="7170" width="15.42578125" style="28" customWidth="1"/>
    <col min="7171" max="7171" width="17.42578125" style="28" customWidth="1"/>
    <col min="7172" max="7172" width="20.5703125" style="28" bestFit="1" customWidth="1"/>
    <col min="7173" max="7173" width="18.5703125" style="28" customWidth="1"/>
    <col min="7174" max="7174" width="15.5703125" style="28" bestFit="1" customWidth="1"/>
    <col min="7175" max="7175" width="15" style="28" bestFit="1" customWidth="1"/>
    <col min="7176" max="7424" width="9.140625" style="28"/>
    <col min="7425" max="7425" width="40.5703125" style="28" customWidth="1"/>
    <col min="7426" max="7426" width="15.42578125" style="28" customWidth="1"/>
    <col min="7427" max="7427" width="17.42578125" style="28" customWidth="1"/>
    <col min="7428" max="7428" width="20.5703125" style="28" bestFit="1" customWidth="1"/>
    <col min="7429" max="7429" width="18.5703125" style="28" customWidth="1"/>
    <col min="7430" max="7430" width="15.5703125" style="28" bestFit="1" customWidth="1"/>
    <col min="7431" max="7431" width="15" style="28" bestFit="1" customWidth="1"/>
    <col min="7432" max="7680" width="9.140625" style="28"/>
    <col min="7681" max="7681" width="40.5703125" style="28" customWidth="1"/>
    <col min="7682" max="7682" width="15.42578125" style="28" customWidth="1"/>
    <col min="7683" max="7683" width="17.42578125" style="28" customWidth="1"/>
    <col min="7684" max="7684" width="20.5703125" style="28" bestFit="1" customWidth="1"/>
    <col min="7685" max="7685" width="18.5703125" style="28" customWidth="1"/>
    <col min="7686" max="7686" width="15.5703125" style="28" bestFit="1" customWidth="1"/>
    <col min="7687" max="7687" width="15" style="28" bestFit="1" customWidth="1"/>
    <col min="7688" max="7936" width="9.140625" style="28"/>
    <col min="7937" max="7937" width="40.5703125" style="28" customWidth="1"/>
    <col min="7938" max="7938" width="15.42578125" style="28" customWidth="1"/>
    <col min="7939" max="7939" width="17.42578125" style="28" customWidth="1"/>
    <col min="7940" max="7940" width="20.5703125" style="28" bestFit="1" customWidth="1"/>
    <col min="7941" max="7941" width="18.5703125" style="28" customWidth="1"/>
    <col min="7942" max="7942" width="15.5703125" style="28" bestFit="1" customWidth="1"/>
    <col min="7943" max="7943" width="15" style="28" bestFit="1" customWidth="1"/>
    <col min="7944" max="8192" width="9.140625" style="28"/>
    <col min="8193" max="8193" width="40.5703125" style="28" customWidth="1"/>
    <col min="8194" max="8194" width="15.42578125" style="28" customWidth="1"/>
    <col min="8195" max="8195" width="17.42578125" style="28" customWidth="1"/>
    <col min="8196" max="8196" width="20.5703125" style="28" bestFit="1" customWidth="1"/>
    <col min="8197" max="8197" width="18.5703125" style="28" customWidth="1"/>
    <col min="8198" max="8198" width="15.5703125" style="28" bestFit="1" customWidth="1"/>
    <col min="8199" max="8199" width="15" style="28" bestFit="1" customWidth="1"/>
    <col min="8200" max="8448" width="9.140625" style="28"/>
    <col min="8449" max="8449" width="40.5703125" style="28" customWidth="1"/>
    <col min="8450" max="8450" width="15.42578125" style="28" customWidth="1"/>
    <col min="8451" max="8451" width="17.42578125" style="28" customWidth="1"/>
    <col min="8452" max="8452" width="20.5703125" style="28" bestFit="1" customWidth="1"/>
    <col min="8453" max="8453" width="18.5703125" style="28" customWidth="1"/>
    <col min="8454" max="8454" width="15.5703125" style="28" bestFit="1" customWidth="1"/>
    <col min="8455" max="8455" width="15" style="28" bestFit="1" customWidth="1"/>
    <col min="8456" max="8704" width="9.140625" style="28"/>
    <col min="8705" max="8705" width="40.5703125" style="28" customWidth="1"/>
    <col min="8706" max="8706" width="15.42578125" style="28" customWidth="1"/>
    <col min="8707" max="8707" width="17.42578125" style="28" customWidth="1"/>
    <col min="8708" max="8708" width="20.5703125" style="28" bestFit="1" customWidth="1"/>
    <col min="8709" max="8709" width="18.5703125" style="28" customWidth="1"/>
    <col min="8710" max="8710" width="15.5703125" style="28" bestFit="1" customWidth="1"/>
    <col min="8711" max="8711" width="15" style="28" bestFit="1" customWidth="1"/>
    <col min="8712" max="8960" width="9.140625" style="28"/>
    <col min="8961" max="8961" width="40.5703125" style="28" customWidth="1"/>
    <col min="8962" max="8962" width="15.42578125" style="28" customWidth="1"/>
    <col min="8963" max="8963" width="17.42578125" style="28" customWidth="1"/>
    <col min="8964" max="8964" width="20.5703125" style="28" bestFit="1" customWidth="1"/>
    <col min="8965" max="8965" width="18.5703125" style="28" customWidth="1"/>
    <col min="8966" max="8966" width="15.5703125" style="28" bestFit="1" customWidth="1"/>
    <col min="8967" max="8967" width="15" style="28" bestFit="1" customWidth="1"/>
    <col min="8968" max="9216" width="9.140625" style="28"/>
    <col min="9217" max="9217" width="40.5703125" style="28" customWidth="1"/>
    <col min="9218" max="9218" width="15.42578125" style="28" customWidth="1"/>
    <col min="9219" max="9219" width="17.42578125" style="28" customWidth="1"/>
    <col min="9220" max="9220" width="20.5703125" style="28" bestFit="1" customWidth="1"/>
    <col min="9221" max="9221" width="18.5703125" style="28" customWidth="1"/>
    <col min="9222" max="9222" width="15.5703125" style="28" bestFit="1" customWidth="1"/>
    <col min="9223" max="9223" width="15" style="28" bestFit="1" customWidth="1"/>
    <col min="9224" max="9472" width="9.140625" style="28"/>
    <col min="9473" max="9473" width="40.5703125" style="28" customWidth="1"/>
    <col min="9474" max="9474" width="15.42578125" style="28" customWidth="1"/>
    <col min="9475" max="9475" width="17.42578125" style="28" customWidth="1"/>
    <col min="9476" max="9476" width="20.5703125" style="28" bestFit="1" customWidth="1"/>
    <col min="9477" max="9477" width="18.5703125" style="28" customWidth="1"/>
    <col min="9478" max="9478" width="15.5703125" style="28" bestFit="1" customWidth="1"/>
    <col min="9479" max="9479" width="15" style="28" bestFit="1" customWidth="1"/>
    <col min="9480" max="9728" width="9.140625" style="28"/>
    <col min="9729" max="9729" width="40.5703125" style="28" customWidth="1"/>
    <col min="9730" max="9730" width="15.42578125" style="28" customWidth="1"/>
    <col min="9731" max="9731" width="17.42578125" style="28" customWidth="1"/>
    <col min="9732" max="9732" width="20.5703125" style="28" bestFit="1" customWidth="1"/>
    <col min="9733" max="9733" width="18.5703125" style="28" customWidth="1"/>
    <col min="9734" max="9734" width="15.5703125" style="28" bestFit="1" customWidth="1"/>
    <col min="9735" max="9735" width="15" style="28" bestFit="1" customWidth="1"/>
    <col min="9736" max="9984" width="9.140625" style="28"/>
    <col min="9985" max="9985" width="40.5703125" style="28" customWidth="1"/>
    <col min="9986" max="9986" width="15.42578125" style="28" customWidth="1"/>
    <col min="9987" max="9987" width="17.42578125" style="28" customWidth="1"/>
    <col min="9988" max="9988" width="20.5703125" style="28" bestFit="1" customWidth="1"/>
    <col min="9989" max="9989" width="18.5703125" style="28" customWidth="1"/>
    <col min="9990" max="9990" width="15.5703125" style="28" bestFit="1" customWidth="1"/>
    <col min="9991" max="9991" width="15" style="28" bestFit="1" customWidth="1"/>
    <col min="9992" max="10240" width="9.140625" style="28"/>
    <col min="10241" max="10241" width="40.5703125" style="28" customWidth="1"/>
    <col min="10242" max="10242" width="15.42578125" style="28" customWidth="1"/>
    <col min="10243" max="10243" width="17.42578125" style="28" customWidth="1"/>
    <col min="10244" max="10244" width="20.5703125" style="28" bestFit="1" customWidth="1"/>
    <col min="10245" max="10245" width="18.5703125" style="28" customWidth="1"/>
    <col min="10246" max="10246" width="15.5703125" style="28" bestFit="1" customWidth="1"/>
    <col min="10247" max="10247" width="15" style="28" bestFit="1" customWidth="1"/>
    <col min="10248" max="10496" width="9.140625" style="28"/>
    <col min="10497" max="10497" width="40.5703125" style="28" customWidth="1"/>
    <col min="10498" max="10498" width="15.42578125" style="28" customWidth="1"/>
    <col min="10499" max="10499" width="17.42578125" style="28" customWidth="1"/>
    <col min="10500" max="10500" width="20.5703125" style="28" bestFit="1" customWidth="1"/>
    <col min="10501" max="10501" width="18.5703125" style="28" customWidth="1"/>
    <col min="10502" max="10502" width="15.5703125" style="28" bestFit="1" customWidth="1"/>
    <col min="10503" max="10503" width="15" style="28" bestFit="1" customWidth="1"/>
    <col min="10504" max="10752" width="9.140625" style="28"/>
    <col min="10753" max="10753" width="40.5703125" style="28" customWidth="1"/>
    <col min="10754" max="10754" width="15.42578125" style="28" customWidth="1"/>
    <col min="10755" max="10755" width="17.42578125" style="28" customWidth="1"/>
    <col min="10756" max="10756" width="20.5703125" style="28" bestFit="1" customWidth="1"/>
    <col min="10757" max="10757" width="18.5703125" style="28" customWidth="1"/>
    <col min="10758" max="10758" width="15.5703125" style="28" bestFit="1" customWidth="1"/>
    <col min="10759" max="10759" width="15" style="28" bestFit="1" customWidth="1"/>
    <col min="10760" max="11008" width="9.140625" style="28"/>
    <col min="11009" max="11009" width="40.5703125" style="28" customWidth="1"/>
    <col min="11010" max="11010" width="15.42578125" style="28" customWidth="1"/>
    <col min="11011" max="11011" width="17.42578125" style="28" customWidth="1"/>
    <col min="11012" max="11012" width="20.5703125" style="28" bestFit="1" customWidth="1"/>
    <col min="11013" max="11013" width="18.5703125" style="28" customWidth="1"/>
    <col min="11014" max="11014" width="15.5703125" style="28" bestFit="1" customWidth="1"/>
    <col min="11015" max="11015" width="15" style="28" bestFit="1" customWidth="1"/>
    <col min="11016" max="11264" width="9.140625" style="28"/>
    <col min="11265" max="11265" width="40.5703125" style="28" customWidth="1"/>
    <col min="11266" max="11266" width="15.42578125" style="28" customWidth="1"/>
    <col min="11267" max="11267" width="17.42578125" style="28" customWidth="1"/>
    <col min="11268" max="11268" width="20.5703125" style="28" bestFit="1" customWidth="1"/>
    <col min="11269" max="11269" width="18.5703125" style="28" customWidth="1"/>
    <col min="11270" max="11270" width="15.5703125" style="28" bestFit="1" customWidth="1"/>
    <col min="11271" max="11271" width="15" style="28" bestFit="1" customWidth="1"/>
    <col min="11272" max="11520" width="9.140625" style="28"/>
    <col min="11521" max="11521" width="40.5703125" style="28" customWidth="1"/>
    <col min="11522" max="11522" width="15.42578125" style="28" customWidth="1"/>
    <col min="11523" max="11523" width="17.42578125" style="28" customWidth="1"/>
    <col min="11524" max="11524" width="20.5703125" style="28" bestFit="1" customWidth="1"/>
    <col min="11525" max="11525" width="18.5703125" style="28" customWidth="1"/>
    <col min="11526" max="11526" width="15.5703125" style="28" bestFit="1" customWidth="1"/>
    <col min="11527" max="11527" width="15" style="28" bestFit="1" customWidth="1"/>
    <col min="11528" max="11776" width="9.140625" style="28"/>
    <col min="11777" max="11777" width="40.5703125" style="28" customWidth="1"/>
    <col min="11778" max="11778" width="15.42578125" style="28" customWidth="1"/>
    <col min="11779" max="11779" width="17.42578125" style="28" customWidth="1"/>
    <col min="11780" max="11780" width="20.5703125" style="28" bestFit="1" customWidth="1"/>
    <col min="11781" max="11781" width="18.5703125" style="28" customWidth="1"/>
    <col min="11782" max="11782" width="15.5703125" style="28" bestFit="1" customWidth="1"/>
    <col min="11783" max="11783" width="15" style="28" bestFit="1" customWidth="1"/>
    <col min="11784" max="12032" width="9.140625" style="28"/>
    <col min="12033" max="12033" width="40.5703125" style="28" customWidth="1"/>
    <col min="12034" max="12034" width="15.42578125" style="28" customWidth="1"/>
    <col min="12035" max="12035" width="17.42578125" style="28" customWidth="1"/>
    <col min="12036" max="12036" width="20.5703125" style="28" bestFit="1" customWidth="1"/>
    <col min="12037" max="12037" width="18.5703125" style="28" customWidth="1"/>
    <col min="12038" max="12038" width="15.5703125" style="28" bestFit="1" customWidth="1"/>
    <col min="12039" max="12039" width="15" style="28" bestFit="1" customWidth="1"/>
    <col min="12040" max="12288" width="9.140625" style="28"/>
    <col min="12289" max="12289" width="40.5703125" style="28" customWidth="1"/>
    <col min="12290" max="12290" width="15.42578125" style="28" customWidth="1"/>
    <col min="12291" max="12291" width="17.42578125" style="28" customWidth="1"/>
    <col min="12292" max="12292" width="20.5703125" style="28" bestFit="1" customWidth="1"/>
    <col min="12293" max="12293" width="18.5703125" style="28" customWidth="1"/>
    <col min="12294" max="12294" width="15.5703125" style="28" bestFit="1" customWidth="1"/>
    <col min="12295" max="12295" width="15" style="28" bestFit="1" customWidth="1"/>
    <col min="12296" max="12544" width="9.140625" style="28"/>
    <col min="12545" max="12545" width="40.5703125" style="28" customWidth="1"/>
    <col min="12546" max="12546" width="15.42578125" style="28" customWidth="1"/>
    <col min="12547" max="12547" width="17.42578125" style="28" customWidth="1"/>
    <col min="12548" max="12548" width="20.5703125" style="28" bestFit="1" customWidth="1"/>
    <col min="12549" max="12549" width="18.5703125" style="28" customWidth="1"/>
    <col min="12550" max="12550" width="15.5703125" style="28" bestFit="1" customWidth="1"/>
    <col min="12551" max="12551" width="15" style="28" bestFit="1" customWidth="1"/>
    <col min="12552" max="12800" width="9.140625" style="28"/>
    <col min="12801" max="12801" width="40.5703125" style="28" customWidth="1"/>
    <col min="12802" max="12802" width="15.42578125" style="28" customWidth="1"/>
    <col min="12803" max="12803" width="17.42578125" style="28" customWidth="1"/>
    <col min="12804" max="12804" width="20.5703125" style="28" bestFit="1" customWidth="1"/>
    <col min="12805" max="12805" width="18.5703125" style="28" customWidth="1"/>
    <col min="12806" max="12806" width="15.5703125" style="28" bestFit="1" customWidth="1"/>
    <col min="12807" max="12807" width="15" style="28" bestFit="1" customWidth="1"/>
    <col min="12808" max="13056" width="9.140625" style="28"/>
    <col min="13057" max="13057" width="40.5703125" style="28" customWidth="1"/>
    <col min="13058" max="13058" width="15.42578125" style="28" customWidth="1"/>
    <col min="13059" max="13059" width="17.42578125" style="28" customWidth="1"/>
    <col min="13060" max="13060" width="20.5703125" style="28" bestFit="1" customWidth="1"/>
    <col min="13061" max="13061" width="18.5703125" style="28" customWidth="1"/>
    <col min="13062" max="13062" width="15.5703125" style="28" bestFit="1" customWidth="1"/>
    <col min="13063" max="13063" width="15" style="28" bestFit="1" customWidth="1"/>
    <col min="13064" max="13312" width="9.140625" style="28"/>
    <col min="13313" max="13313" width="40.5703125" style="28" customWidth="1"/>
    <col min="13314" max="13314" width="15.42578125" style="28" customWidth="1"/>
    <col min="13315" max="13315" width="17.42578125" style="28" customWidth="1"/>
    <col min="13316" max="13316" width="20.5703125" style="28" bestFit="1" customWidth="1"/>
    <col min="13317" max="13317" width="18.5703125" style="28" customWidth="1"/>
    <col min="13318" max="13318" width="15.5703125" style="28" bestFit="1" customWidth="1"/>
    <col min="13319" max="13319" width="15" style="28" bestFit="1" customWidth="1"/>
    <col min="13320" max="13568" width="9.140625" style="28"/>
    <col min="13569" max="13569" width="40.5703125" style="28" customWidth="1"/>
    <col min="13570" max="13570" width="15.42578125" style="28" customWidth="1"/>
    <col min="13571" max="13571" width="17.42578125" style="28" customWidth="1"/>
    <col min="13572" max="13572" width="20.5703125" style="28" bestFit="1" customWidth="1"/>
    <col min="13573" max="13573" width="18.5703125" style="28" customWidth="1"/>
    <col min="13574" max="13574" width="15.5703125" style="28" bestFit="1" customWidth="1"/>
    <col min="13575" max="13575" width="15" style="28" bestFit="1" customWidth="1"/>
    <col min="13576" max="13824" width="9.140625" style="28"/>
    <col min="13825" max="13825" width="40.5703125" style="28" customWidth="1"/>
    <col min="13826" max="13826" width="15.42578125" style="28" customWidth="1"/>
    <col min="13827" max="13827" width="17.42578125" style="28" customWidth="1"/>
    <col min="13828" max="13828" width="20.5703125" style="28" bestFit="1" customWidth="1"/>
    <col min="13829" max="13829" width="18.5703125" style="28" customWidth="1"/>
    <col min="13830" max="13830" width="15.5703125" style="28" bestFit="1" customWidth="1"/>
    <col min="13831" max="13831" width="15" style="28" bestFit="1" customWidth="1"/>
    <col min="13832" max="14080" width="9.140625" style="28"/>
    <col min="14081" max="14081" width="40.5703125" style="28" customWidth="1"/>
    <col min="14082" max="14082" width="15.42578125" style="28" customWidth="1"/>
    <col min="14083" max="14083" width="17.42578125" style="28" customWidth="1"/>
    <col min="14084" max="14084" width="20.5703125" style="28" bestFit="1" customWidth="1"/>
    <col min="14085" max="14085" width="18.5703125" style="28" customWidth="1"/>
    <col min="14086" max="14086" width="15.5703125" style="28" bestFit="1" customWidth="1"/>
    <col min="14087" max="14087" width="15" style="28" bestFit="1" customWidth="1"/>
    <col min="14088" max="14336" width="9.140625" style="28"/>
    <col min="14337" max="14337" width="40.5703125" style="28" customWidth="1"/>
    <col min="14338" max="14338" width="15.42578125" style="28" customWidth="1"/>
    <col min="14339" max="14339" width="17.42578125" style="28" customWidth="1"/>
    <col min="14340" max="14340" width="20.5703125" style="28" bestFit="1" customWidth="1"/>
    <col min="14341" max="14341" width="18.5703125" style="28" customWidth="1"/>
    <col min="14342" max="14342" width="15.5703125" style="28" bestFit="1" customWidth="1"/>
    <col min="14343" max="14343" width="15" style="28" bestFit="1" customWidth="1"/>
    <col min="14344" max="14592" width="9.140625" style="28"/>
    <col min="14593" max="14593" width="40.5703125" style="28" customWidth="1"/>
    <col min="14594" max="14594" width="15.42578125" style="28" customWidth="1"/>
    <col min="14595" max="14595" width="17.42578125" style="28" customWidth="1"/>
    <col min="14596" max="14596" width="20.5703125" style="28" bestFit="1" customWidth="1"/>
    <col min="14597" max="14597" width="18.5703125" style="28" customWidth="1"/>
    <col min="14598" max="14598" width="15.5703125" style="28" bestFit="1" customWidth="1"/>
    <col min="14599" max="14599" width="15" style="28" bestFit="1" customWidth="1"/>
    <col min="14600" max="14848" width="9.140625" style="28"/>
    <col min="14849" max="14849" width="40.5703125" style="28" customWidth="1"/>
    <col min="14850" max="14850" width="15.42578125" style="28" customWidth="1"/>
    <col min="14851" max="14851" width="17.42578125" style="28" customWidth="1"/>
    <col min="14852" max="14852" width="20.5703125" style="28" bestFit="1" customWidth="1"/>
    <col min="14853" max="14853" width="18.5703125" style="28" customWidth="1"/>
    <col min="14854" max="14854" width="15.5703125" style="28" bestFit="1" customWidth="1"/>
    <col min="14855" max="14855" width="15" style="28" bestFit="1" customWidth="1"/>
    <col min="14856" max="15104" width="9.140625" style="28"/>
    <col min="15105" max="15105" width="40.5703125" style="28" customWidth="1"/>
    <col min="15106" max="15106" width="15.42578125" style="28" customWidth="1"/>
    <col min="15107" max="15107" width="17.42578125" style="28" customWidth="1"/>
    <col min="15108" max="15108" width="20.5703125" style="28" bestFit="1" customWidth="1"/>
    <col min="15109" max="15109" width="18.5703125" style="28" customWidth="1"/>
    <col min="15110" max="15110" width="15.5703125" style="28" bestFit="1" customWidth="1"/>
    <col min="15111" max="15111" width="15" style="28" bestFit="1" customWidth="1"/>
    <col min="15112" max="15360" width="9.140625" style="28"/>
    <col min="15361" max="15361" width="40.5703125" style="28" customWidth="1"/>
    <col min="15362" max="15362" width="15.42578125" style="28" customWidth="1"/>
    <col min="15363" max="15363" width="17.42578125" style="28" customWidth="1"/>
    <col min="15364" max="15364" width="20.5703125" style="28" bestFit="1" customWidth="1"/>
    <col min="15365" max="15365" width="18.5703125" style="28" customWidth="1"/>
    <col min="15366" max="15366" width="15.5703125" style="28" bestFit="1" customWidth="1"/>
    <col min="15367" max="15367" width="15" style="28" bestFit="1" customWidth="1"/>
    <col min="15368" max="15616" width="9.140625" style="28"/>
    <col min="15617" max="15617" width="40.5703125" style="28" customWidth="1"/>
    <col min="15618" max="15618" width="15.42578125" style="28" customWidth="1"/>
    <col min="15619" max="15619" width="17.42578125" style="28" customWidth="1"/>
    <col min="15620" max="15620" width="20.5703125" style="28" bestFit="1" customWidth="1"/>
    <col min="15621" max="15621" width="18.5703125" style="28" customWidth="1"/>
    <col min="15622" max="15622" width="15.5703125" style="28" bestFit="1" customWidth="1"/>
    <col min="15623" max="15623" width="15" style="28" bestFit="1" customWidth="1"/>
    <col min="15624" max="15872" width="9.140625" style="28"/>
    <col min="15873" max="15873" width="40.5703125" style="28" customWidth="1"/>
    <col min="15874" max="15874" width="15.42578125" style="28" customWidth="1"/>
    <col min="15875" max="15875" width="17.42578125" style="28" customWidth="1"/>
    <col min="15876" max="15876" width="20.5703125" style="28" bestFit="1" customWidth="1"/>
    <col min="15877" max="15877" width="18.5703125" style="28" customWidth="1"/>
    <col min="15878" max="15878" width="15.5703125" style="28" bestFit="1" customWidth="1"/>
    <col min="15879" max="15879" width="15" style="28" bestFit="1" customWidth="1"/>
    <col min="15880" max="16128" width="9.140625" style="28"/>
    <col min="16129" max="16129" width="40.5703125" style="28" customWidth="1"/>
    <col min="16130" max="16130" width="15.42578125" style="28" customWidth="1"/>
    <col min="16131" max="16131" width="17.42578125" style="28" customWidth="1"/>
    <col min="16132" max="16132" width="20.5703125" style="28" bestFit="1" customWidth="1"/>
    <col min="16133" max="16133" width="18.5703125" style="28" customWidth="1"/>
    <col min="16134" max="16134" width="15.5703125" style="28" bestFit="1" customWidth="1"/>
    <col min="16135" max="16135" width="15" style="28" bestFit="1" customWidth="1"/>
    <col min="16136" max="16384" width="9.140625" style="28"/>
  </cols>
  <sheetData>
    <row r="1" spans="1:5" ht="15" x14ac:dyDescent="0.25">
      <c r="A1" s="61">
        <f>+'Note 1'!B1</f>
        <v>0</v>
      </c>
    </row>
    <row r="2" spans="1:5" ht="15" x14ac:dyDescent="0.25">
      <c r="A2" s="61">
        <f>+'Note 1'!B2</f>
        <v>0</v>
      </c>
    </row>
    <row r="3" spans="1:5" ht="15" x14ac:dyDescent="0.25">
      <c r="A3" s="61" t="str">
        <f>+'Note 1'!B3</f>
        <v>Notes to financial statements for the year ended March 31, 2025</v>
      </c>
    </row>
    <row r="4" spans="1:5" x14ac:dyDescent="0.25">
      <c r="A4" s="62"/>
      <c r="E4" s="63"/>
    </row>
    <row r="5" spans="1:5" ht="15" x14ac:dyDescent="0.25">
      <c r="A5" s="64" t="s">
        <v>96</v>
      </c>
    </row>
    <row r="6" spans="1:5" ht="30" x14ac:dyDescent="0.25">
      <c r="A6" s="65"/>
      <c r="B6" s="66"/>
      <c r="C6" s="66"/>
      <c r="D6" s="1260" t="str">
        <f>+BS!C5</f>
        <v xml:space="preserve">  Year ended 
  March 31, 2025</v>
      </c>
      <c r="E6" s="1260" t="str">
        <f>+BS!D5</f>
        <v xml:space="preserve">  Year ended 
  March 31, 2024</v>
      </c>
    </row>
    <row r="7" spans="1:5" ht="16.5" x14ac:dyDescent="0.25">
      <c r="A7" s="67" t="s">
        <v>97</v>
      </c>
      <c r="D7" s="64"/>
      <c r="E7" s="37"/>
    </row>
    <row r="8" spans="1:5" ht="17.25" thickBot="1" x14ac:dyDescent="0.3">
      <c r="A8" s="68" t="s">
        <v>1135</v>
      </c>
      <c r="D8" s="441">
        <v>75700000</v>
      </c>
      <c r="E8" s="441">
        <v>75700000</v>
      </c>
    </row>
    <row r="9" spans="1:5" ht="8.25" customHeight="1" thickTop="1" x14ac:dyDescent="0.25">
      <c r="A9" s="69"/>
      <c r="D9" s="442"/>
      <c r="E9" s="443"/>
    </row>
    <row r="10" spans="1:5" ht="16.5" x14ac:dyDescent="0.25">
      <c r="A10" s="67" t="s">
        <v>98</v>
      </c>
      <c r="D10" s="442"/>
      <c r="E10" s="443"/>
    </row>
    <row r="11" spans="1:5" ht="16.5" x14ac:dyDescent="0.25">
      <c r="A11" s="68" t="s">
        <v>1134</v>
      </c>
      <c r="D11" s="208">
        <v>54252100</v>
      </c>
      <c r="E11" s="208">
        <v>54252100</v>
      </c>
    </row>
    <row r="12" spans="1:5" ht="15" x14ac:dyDescent="0.25">
      <c r="A12" s="70" t="s">
        <v>99</v>
      </c>
      <c r="B12" s="66"/>
      <c r="C12" s="66"/>
      <c r="D12" s="436">
        <f>D11</f>
        <v>54252100</v>
      </c>
      <c r="E12" s="436">
        <f>E11</f>
        <v>54252100</v>
      </c>
    </row>
    <row r="13" spans="1:5" ht="4.5" customHeight="1" x14ac:dyDescent="0.25">
      <c r="A13" s="71"/>
      <c r="B13" s="72"/>
      <c r="C13" s="73"/>
      <c r="D13" s="37"/>
      <c r="E13" s="37"/>
    </row>
    <row r="14" spans="1:5" ht="16.5" x14ac:dyDescent="0.25">
      <c r="A14" s="74" t="s">
        <v>100</v>
      </c>
      <c r="B14" s="75"/>
      <c r="C14" s="76"/>
      <c r="D14" s="77"/>
      <c r="E14" s="77"/>
    </row>
    <row r="15" spans="1:5" ht="15.75" customHeight="1" x14ac:dyDescent="0.25">
      <c r="A15" s="1567"/>
      <c r="B15" s="1569">
        <v>45747</v>
      </c>
      <c r="C15" s="1570"/>
      <c r="D15" s="1569">
        <v>45382</v>
      </c>
      <c r="E15" s="1570"/>
    </row>
    <row r="16" spans="1:5" ht="15" x14ac:dyDescent="0.25">
      <c r="A16" s="1568"/>
      <c r="B16" s="78" t="s">
        <v>101</v>
      </c>
      <c r="C16" s="78" t="s">
        <v>102</v>
      </c>
      <c r="D16" s="78" t="s">
        <v>101</v>
      </c>
      <c r="E16" s="78" t="s">
        <v>102</v>
      </c>
    </row>
    <row r="17" spans="1:7" ht="15" x14ac:dyDescent="0.25">
      <c r="A17" s="79" t="s">
        <v>103</v>
      </c>
      <c r="B17" s="80"/>
      <c r="C17" s="80"/>
      <c r="D17" s="80"/>
      <c r="E17" s="80"/>
    </row>
    <row r="18" spans="1:7" ht="16.5" x14ac:dyDescent="0.25">
      <c r="A18" s="81" t="s">
        <v>104</v>
      </c>
      <c r="B18" s="208">
        <f>+D19</f>
        <v>5425210</v>
      </c>
      <c r="C18" s="208">
        <f>ROUND(B18*10,0)</f>
        <v>54252100</v>
      </c>
      <c r="D18" s="208">
        <v>5425210</v>
      </c>
      <c r="E18" s="208">
        <f>ROUND(D18*10,0)</f>
        <v>54252100</v>
      </c>
      <c r="F18" s="105"/>
      <c r="G18" s="105"/>
    </row>
    <row r="19" spans="1:7" ht="16.5" x14ac:dyDescent="0.25">
      <c r="A19" s="82" t="s">
        <v>105</v>
      </c>
      <c r="B19" s="439">
        <f>B18</f>
        <v>5425210</v>
      </c>
      <c r="C19" s="439">
        <f>C18</f>
        <v>54252100</v>
      </c>
      <c r="D19" s="439">
        <f>D18</f>
        <v>5425210</v>
      </c>
      <c r="E19" s="439">
        <f>E18</f>
        <v>54252100</v>
      </c>
    </row>
    <row r="20" spans="1:7" ht="16.5" x14ac:dyDescent="0.25">
      <c r="A20" s="71"/>
      <c r="B20" s="72"/>
      <c r="C20" s="73"/>
      <c r="D20" s="37"/>
      <c r="E20" s="37"/>
    </row>
    <row r="21" spans="1:7" ht="16.5" x14ac:dyDescent="0.25">
      <c r="A21" s="83" t="s">
        <v>106</v>
      </c>
      <c r="B21" s="84"/>
      <c r="C21" s="84"/>
      <c r="D21" s="84"/>
      <c r="E21" s="84"/>
    </row>
    <row r="22" spans="1:7" ht="56.25" customHeight="1" x14ac:dyDescent="0.25">
      <c r="A22" s="1571" t="s">
        <v>809</v>
      </c>
      <c r="B22" s="1571"/>
      <c r="C22" s="1571"/>
      <c r="D22" s="1571"/>
      <c r="E22" s="1571"/>
    </row>
    <row r="23" spans="1:7" ht="2.25" customHeight="1" x14ac:dyDescent="0.25">
      <c r="A23" s="71"/>
      <c r="B23" s="72"/>
      <c r="C23" s="73"/>
      <c r="D23" s="37"/>
      <c r="E23" s="37"/>
    </row>
    <row r="24" spans="1:7" ht="16.5" x14ac:dyDescent="0.25">
      <c r="A24" s="83" t="s">
        <v>107</v>
      </c>
      <c r="B24" s="86"/>
      <c r="C24" s="86"/>
      <c r="D24" s="87"/>
      <c r="E24" s="87"/>
    </row>
    <row r="25" spans="1:7" ht="15" customHeight="1" x14ac:dyDescent="0.25">
      <c r="A25" s="1572" t="s">
        <v>108</v>
      </c>
      <c r="B25" s="1569">
        <f>+B15</f>
        <v>45747</v>
      </c>
      <c r="C25" s="1570"/>
      <c r="D25" s="1569">
        <f>+D15</f>
        <v>45382</v>
      </c>
      <c r="E25" s="1570"/>
    </row>
    <row r="26" spans="1:7" ht="15" x14ac:dyDescent="0.25">
      <c r="A26" s="1573"/>
      <c r="B26" s="88" t="s">
        <v>101</v>
      </c>
      <c r="C26" s="88" t="s">
        <v>109</v>
      </c>
      <c r="D26" s="88" t="s">
        <v>101</v>
      </c>
      <c r="E26" s="88" t="s">
        <v>109</v>
      </c>
    </row>
    <row r="27" spans="1:7" ht="30" x14ac:dyDescent="0.25">
      <c r="A27" s="89" t="s">
        <v>103</v>
      </c>
      <c r="B27" s="90"/>
      <c r="C27" s="90"/>
      <c r="D27" s="90"/>
      <c r="E27" s="90"/>
    </row>
    <row r="28" spans="1:7" ht="16.5" x14ac:dyDescent="0.25">
      <c r="A28" s="91" t="s">
        <v>533</v>
      </c>
      <c r="B28" s="208">
        <v>1894771</v>
      </c>
      <c r="C28" s="92">
        <f>B28/$B$18</f>
        <v>0.3492530243068932</v>
      </c>
      <c r="D28" s="208">
        <v>1894771</v>
      </c>
      <c r="E28" s="92">
        <f>D28/$D$18</f>
        <v>0.3492530243068932</v>
      </c>
    </row>
    <row r="29" spans="1:7" ht="16.5" x14ac:dyDescent="0.25">
      <c r="A29" s="91" t="s">
        <v>535</v>
      </c>
      <c r="B29" s="208">
        <v>949850</v>
      </c>
      <c r="C29" s="92">
        <f>B29/$B$18</f>
        <v>0.17508078028315954</v>
      </c>
      <c r="D29" s="208">
        <v>949850</v>
      </c>
      <c r="E29" s="92">
        <f>D29/$D$18</f>
        <v>0.17508078028315954</v>
      </c>
    </row>
    <row r="30" spans="1:7" ht="16.5" x14ac:dyDescent="0.25">
      <c r="A30" s="91" t="s">
        <v>536</v>
      </c>
      <c r="B30" s="208">
        <v>915378</v>
      </c>
      <c r="C30" s="92">
        <f>B30/$B$18</f>
        <v>0.16872674053170292</v>
      </c>
      <c r="D30" s="208">
        <v>915378</v>
      </c>
      <c r="E30" s="92">
        <f>D30/$D$18</f>
        <v>0.16872674053170292</v>
      </c>
    </row>
    <row r="31" spans="1:7" ht="16.5" x14ac:dyDescent="0.25">
      <c r="A31" s="91" t="s">
        <v>537</v>
      </c>
      <c r="B31" s="208">
        <v>901760</v>
      </c>
      <c r="C31" s="92">
        <f>B31/$B$18</f>
        <v>0.1662166072834047</v>
      </c>
      <c r="D31" s="208">
        <v>901760</v>
      </c>
      <c r="E31" s="92">
        <f>D31/$D$18</f>
        <v>0.1662166072834047</v>
      </c>
    </row>
    <row r="32" spans="1:7" ht="16.5" x14ac:dyDescent="0.25">
      <c r="A32" s="93" t="s">
        <v>538</v>
      </c>
      <c r="B32" s="208">
        <v>312194</v>
      </c>
      <c r="C32" s="92">
        <f>B32/$B$18</f>
        <v>5.7545053555530572E-2</v>
      </c>
      <c r="D32" s="208">
        <v>312194</v>
      </c>
      <c r="E32" s="92">
        <f>D32/$D$18</f>
        <v>5.7545053555530572E-2</v>
      </c>
    </row>
    <row r="33" spans="1:5" ht="17.25" thickBot="1" x14ac:dyDescent="0.3">
      <c r="A33" s="91"/>
      <c r="B33" s="1265">
        <f>SUM(B28:B32)</f>
        <v>4973953</v>
      </c>
      <c r="C33" s="1266">
        <f>SUM(C28:C32)</f>
        <v>0.91682220596069086</v>
      </c>
      <c r="D33" s="1265">
        <f>SUM(D28:D32)</f>
        <v>4973953</v>
      </c>
      <c r="E33" s="1266">
        <f>SUM(E28:E32)</f>
        <v>0.91682220596069086</v>
      </c>
    </row>
    <row r="34" spans="1:5" ht="16.5" customHeight="1" thickTop="1" x14ac:dyDescent="0.25">
      <c r="A34" s="1577" t="s">
        <v>110</v>
      </c>
      <c r="B34" s="1577"/>
      <c r="C34" s="1577"/>
      <c r="D34" s="1577"/>
      <c r="E34" s="1577"/>
    </row>
    <row r="35" spans="1:5" ht="16.5" customHeight="1" x14ac:dyDescent="0.25">
      <c r="A35" s="1571"/>
      <c r="B35" s="1571"/>
      <c r="C35" s="1571"/>
      <c r="D35" s="1571"/>
      <c r="E35" s="1571"/>
    </row>
    <row r="36" spans="1:5" ht="16.5" customHeight="1" x14ac:dyDescent="0.25">
      <c r="A36" s="259" t="s">
        <v>111</v>
      </c>
      <c r="B36" s="94"/>
      <c r="C36" s="94"/>
      <c r="D36" s="94"/>
      <c r="E36" s="94"/>
    </row>
    <row r="37" spans="1:5" s="37" customFormat="1" ht="16.5" customHeight="1" x14ac:dyDescent="0.25">
      <c r="A37" s="1578" t="s">
        <v>112</v>
      </c>
      <c r="B37" s="1579">
        <f>+B25</f>
        <v>45747</v>
      </c>
      <c r="C37" s="1580"/>
      <c r="D37" s="1579">
        <f>+D25</f>
        <v>45382</v>
      </c>
      <c r="E37" s="1580"/>
    </row>
    <row r="38" spans="1:5" s="37" customFormat="1" ht="16.5" customHeight="1" x14ac:dyDescent="0.25">
      <c r="A38" s="1573"/>
      <c r="B38" s="260" t="s">
        <v>113</v>
      </c>
      <c r="C38" s="260" t="s">
        <v>109</v>
      </c>
      <c r="D38" s="260" t="s">
        <v>113</v>
      </c>
      <c r="E38" s="260" t="s">
        <v>109</v>
      </c>
    </row>
    <row r="39" spans="1:5" s="37" customFormat="1" ht="16.5" customHeight="1" x14ac:dyDescent="0.25">
      <c r="A39" s="89" t="s">
        <v>103</v>
      </c>
      <c r="B39" s="261"/>
      <c r="C39" s="261"/>
      <c r="D39" s="261"/>
      <c r="E39" s="261"/>
    </row>
    <row r="40" spans="1:5" s="37" customFormat="1" ht="16.5" customHeight="1" x14ac:dyDescent="0.25">
      <c r="A40" s="262" t="s">
        <v>533</v>
      </c>
      <c r="B40" s="444">
        <v>1894771</v>
      </c>
      <c r="C40" s="1264">
        <f>+B40/$B$19</f>
        <v>0.3492530243068932</v>
      </c>
      <c r="D40" s="445">
        <v>1894771</v>
      </c>
      <c r="E40" s="1264">
        <f>+D40/$D$19</f>
        <v>0.3492530243068932</v>
      </c>
    </row>
    <row r="41" spans="1:5" s="37" customFormat="1" ht="16.5" customHeight="1" x14ac:dyDescent="0.25">
      <c r="A41" s="262" t="s">
        <v>535</v>
      </c>
      <c r="B41" s="444">
        <v>949850</v>
      </c>
      <c r="C41" s="1264">
        <f>+B41/$B$19</f>
        <v>0.17508078028315954</v>
      </c>
      <c r="D41" s="445">
        <v>949850</v>
      </c>
      <c r="E41" s="1264">
        <f>+D41/$D$19</f>
        <v>0.17508078028315954</v>
      </c>
    </row>
    <row r="42" spans="1:5" s="37" customFormat="1" ht="16.5" customHeight="1" x14ac:dyDescent="0.25">
      <c r="A42" s="262" t="s">
        <v>536</v>
      </c>
      <c r="B42" s="444">
        <v>915378</v>
      </c>
      <c r="C42" s="1264">
        <f>+B42/$B$19</f>
        <v>0.16872674053170292</v>
      </c>
      <c r="D42" s="445">
        <v>915378</v>
      </c>
      <c r="E42" s="1264">
        <f>+D42/$D$19</f>
        <v>0.16872674053170292</v>
      </c>
    </row>
    <row r="43" spans="1:5" s="37" customFormat="1" ht="16.5" customHeight="1" x14ac:dyDescent="0.25">
      <c r="A43" s="262" t="s">
        <v>537</v>
      </c>
      <c r="B43" s="444">
        <v>901760</v>
      </c>
      <c r="C43" s="1264">
        <f>+B43/$B$19</f>
        <v>0.1662166072834047</v>
      </c>
      <c r="D43" s="445">
        <v>901760</v>
      </c>
      <c r="E43" s="1264">
        <f>+D43/$D$19</f>
        <v>0.1662166072834047</v>
      </c>
    </row>
    <row r="44" spans="1:5" s="37" customFormat="1" ht="16.5" customHeight="1" thickBot="1" x14ac:dyDescent="0.3">
      <c r="A44" s="263"/>
      <c r="B44" s="1265">
        <f>SUM(B40:B43)</f>
        <v>4661759</v>
      </c>
      <c r="C44" s="1266">
        <f>SUM(C40:C43)</f>
        <v>0.85927715240516034</v>
      </c>
      <c r="D44" s="1265">
        <f>SUM(D40:D43)</f>
        <v>4661759</v>
      </c>
      <c r="E44" s="1266">
        <f>SUM(E40:E43)</f>
        <v>0.85927715240516034</v>
      </c>
    </row>
    <row r="45" spans="1:5" ht="14.25" thickTop="1" x14ac:dyDescent="0.25">
      <c r="A45" s="85"/>
      <c r="B45" s="85"/>
      <c r="C45" s="85"/>
      <c r="D45" s="85"/>
      <c r="E45" s="85"/>
    </row>
    <row r="46" spans="1:5" ht="16.5" x14ac:dyDescent="0.25">
      <c r="A46" s="95" t="s">
        <v>114</v>
      </c>
      <c r="B46" s="96"/>
      <c r="C46" s="97"/>
      <c r="D46" s="37"/>
      <c r="E46" s="37"/>
    </row>
    <row r="47" spans="1:5" ht="30" x14ac:dyDescent="0.25">
      <c r="A47" s="98"/>
      <c r="B47" s="66"/>
      <c r="C47" s="66"/>
      <c r="D47" s="1260" t="str">
        <f>+$D$6</f>
        <v xml:space="preserve">  Year ended 
  March 31, 2025</v>
      </c>
      <c r="E47" s="1260" t="str">
        <f>+$E$6</f>
        <v xml:space="preserve">  Year ended 
  March 31, 2024</v>
      </c>
    </row>
    <row r="48" spans="1:5" ht="16.5" x14ac:dyDescent="0.3">
      <c r="A48" s="96" t="s">
        <v>873</v>
      </c>
      <c r="D48" s="208">
        <f>E52</f>
        <v>17546161</v>
      </c>
      <c r="E48" s="210">
        <v>17546161</v>
      </c>
    </row>
    <row r="49" spans="1:8" ht="15" x14ac:dyDescent="0.25">
      <c r="A49" s="99" t="s">
        <v>539</v>
      </c>
      <c r="D49" s="100"/>
      <c r="E49" s="100"/>
    </row>
    <row r="50" spans="1:8" ht="16.5" x14ac:dyDescent="0.3">
      <c r="A50" s="101" t="s">
        <v>115</v>
      </c>
      <c r="D50" s="208">
        <f>+'Trial Balance'!B11</f>
        <v>17546161</v>
      </c>
      <c r="E50" s="208">
        <v>17546161</v>
      </c>
    </row>
    <row r="51" spans="1:8" ht="16.5" x14ac:dyDescent="0.3">
      <c r="A51" s="101" t="s">
        <v>540</v>
      </c>
      <c r="D51" s="439">
        <v>0</v>
      </c>
      <c r="E51" s="439">
        <v>0</v>
      </c>
    </row>
    <row r="52" spans="1:8" ht="15.75" thickBot="1" x14ac:dyDescent="0.3">
      <c r="A52" s="99" t="s">
        <v>116</v>
      </c>
      <c r="D52" s="440">
        <f>SUM(D50:D51)</f>
        <v>17546161</v>
      </c>
      <c r="E52" s="440">
        <f>SUM(E50:E51)</f>
        <v>17546161</v>
      </c>
    </row>
    <row r="53" spans="1:8" ht="17.25" thickTop="1" x14ac:dyDescent="0.25">
      <c r="A53" s="99"/>
      <c r="D53" s="208"/>
      <c r="E53" s="208"/>
    </row>
    <row r="54" spans="1:8" ht="16.5" x14ac:dyDescent="0.25">
      <c r="A54" s="99" t="s">
        <v>117</v>
      </c>
      <c r="D54" s="442"/>
      <c r="E54" s="443"/>
    </row>
    <row r="55" spans="1:8" ht="16.5" x14ac:dyDescent="0.3">
      <c r="A55" s="101" t="s">
        <v>118</v>
      </c>
      <c r="D55" s="208">
        <f>E60</f>
        <v>297747815.88</v>
      </c>
      <c r="E55" s="208">
        <v>246743390</v>
      </c>
      <c r="F55" s="102"/>
      <c r="G55" s="102"/>
    </row>
    <row r="56" spans="1:8" ht="16.5" x14ac:dyDescent="0.3">
      <c r="A56" s="101" t="s">
        <v>119</v>
      </c>
      <c r="D56" s="447">
        <f>'P&amp;L'!C28</f>
        <v>-11440971.929999977</v>
      </c>
      <c r="E56" s="447">
        <f>'P&amp;L'!D28</f>
        <v>67280055.880000025</v>
      </c>
      <c r="F56" s="36"/>
      <c r="G56" s="103"/>
    </row>
    <row r="57" spans="1:8" ht="16.5" x14ac:dyDescent="0.3">
      <c r="A57" s="101" t="s">
        <v>872</v>
      </c>
      <c r="D57" s="447"/>
      <c r="E57" s="447"/>
      <c r="F57" s="36"/>
      <c r="G57" s="103"/>
    </row>
    <row r="58" spans="1:8" ht="16.5" x14ac:dyDescent="0.3">
      <c r="A58" s="101"/>
      <c r="D58" s="509">
        <f>SUM(D55:D57)</f>
        <v>286306843.95000005</v>
      </c>
      <c r="E58" s="509">
        <f>SUM(E55:E56)</f>
        <v>314023445.88</v>
      </c>
      <c r="F58" s="36"/>
    </row>
    <row r="59" spans="1:8" ht="16.5" x14ac:dyDescent="0.3">
      <c r="A59" s="101" t="s">
        <v>1138</v>
      </c>
      <c r="D59" s="446">
        <v>0</v>
      </c>
      <c r="E59" s="446">
        <f>+'Trial Balance'!D77</f>
        <v>16275630</v>
      </c>
      <c r="G59" s="36"/>
      <c r="H59" s="36"/>
    </row>
    <row r="60" spans="1:8" ht="17.25" thickBot="1" x14ac:dyDescent="0.35">
      <c r="A60" s="101" t="s">
        <v>120</v>
      </c>
      <c r="D60" s="510">
        <f>+D58-D59</f>
        <v>286306843.95000005</v>
      </c>
      <c r="E60" s="448">
        <f>+E58-E59</f>
        <v>297747815.88</v>
      </c>
      <c r="F60" s="347"/>
      <c r="G60" s="36"/>
    </row>
    <row r="61" spans="1:8" ht="17.25" thickTop="1" x14ac:dyDescent="0.3">
      <c r="A61" s="101"/>
      <c r="D61" s="447"/>
      <c r="E61" s="447"/>
      <c r="F61" s="36"/>
    </row>
    <row r="62" spans="1:8" ht="16.5" x14ac:dyDescent="0.3">
      <c r="A62" s="104" t="s">
        <v>121</v>
      </c>
      <c r="B62" s="66"/>
      <c r="C62" s="66"/>
      <c r="D62" s="449">
        <f>+D52+D60</f>
        <v>303853004.95000005</v>
      </c>
      <c r="E62" s="449">
        <f>+E52+E60</f>
        <v>315293976.88</v>
      </c>
      <c r="F62" s="105"/>
      <c r="H62" s="105"/>
    </row>
    <row r="63" spans="1:8" ht="16.5" x14ac:dyDescent="0.25">
      <c r="A63" s="37"/>
      <c r="B63" s="72"/>
      <c r="C63" s="72"/>
      <c r="D63" s="37"/>
      <c r="E63" s="37"/>
    </row>
    <row r="64" spans="1:8" s="107" customFormat="1" ht="15" x14ac:dyDescent="0.25">
      <c r="A64" s="106" t="s">
        <v>123</v>
      </c>
      <c r="B64" s="1581"/>
      <c r="C64" s="1581"/>
      <c r="D64" s="1581"/>
      <c r="E64" s="1581"/>
    </row>
    <row r="65" spans="1:13" s="107" customFormat="1" ht="30" x14ac:dyDescent="0.25">
      <c r="A65" s="108"/>
      <c r="B65" s="112"/>
      <c r="C65" s="112"/>
      <c r="D65" s="1260" t="str">
        <f>+D47</f>
        <v xml:space="preserve">  Year ended 
  March 31, 2025</v>
      </c>
      <c r="E65" s="1260" t="str">
        <f>+E47</f>
        <v xml:space="preserve">  Year ended 
  March 31, 2024</v>
      </c>
    </row>
    <row r="66" spans="1:13" s="107" customFormat="1" ht="16.5" x14ac:dyDescent="0.3">
      <c r="A66" s="101" t="s">
        <v>598</v>
      </c>
      <c r="B66" s="113"/>
      <c r="C66" s="114"/>
      <c r="D66" s="208">
        <v>0</v>
      </c>
      <c r="E66" s="208">
        <v>19799790</v>
      </c>
      <c r="H66" s="1311"/>
      <c r="I66" s="1312" t="s">
        <v>200</v>
      </c>
      <c r="J66" s="1312" t="s">
        <v>1823</v>
      </c>
      <c r="K66" s="1312" t="s">
        <v>1824</v>
      </c>
    </row>
    <row r="67" spans="1:13" s="107" customFormat="1" ht="16.5" x14ac:dyDescent="0.3">
      <c r="A67" s="101" t="s">
        <v>860</v>
      </c>
      <c r="B67" s="113"/>
      <c r="C67" s="114"/>
      <c r="D67" s="208">
        <f>+'TB 24-25'!E314-J67</f>
        <v>55928571.599999994</v>
      </c>
      <c r="E67" s="208">
        <f>80785714.32-12428568</f>
        <v>68357146.319999993</v>
      </c>
      <c r="F67" s="208"/>
      <c r="G67" s="1161"/>
      <c r="H67" s="1313" t="s">
        <v>1821</v>
      </c>
      <c r="I67" s="1314">
        <v>68357142.959999993</v>
      </c>
      <c r="J67" s="1314">
        <f>1035714.28*12</f>
        <v>12428571.359999999</v>
      </c>
      <c r="K67" s="1314">
        <f>+I67-J67</f>
        <v>55928571.599999994</v>
      </c>
    </row>
    <row r="68" spans="1:13" s="107" customFormat="1" ht="16.5" x14ac:dyDescent="0.3">
      <c r="A68" s="101" t="s">
        <v>599</v>
      </c>
      <c r="B68" s="113"/>
      <c r="C68" s="114"/>
      <c r="D68" s="208">
        <f>+'TB 24-25'!E164-J68</f>
        <v>2425136.48</v>
      </c>
      <c r="E68" s="208">
        <f>4469387-1180044</f>
        <v>3289343</v>
      </c>
      <c r="F68" s="208"/>
      <c r="G68" s="1161"/>
      <c r="H68" s="1313" t="s">
        <v>1822</v>
      </c>
      <c r="I68" s="1314">
        <v>3605180.48</v>
      </c>
      <c r="J68" s="1314">
        <f>98337*12</f>
        <v>1180044</v>
      </c>
      <c r="K68" s="1314">
        <f>+I68-J68</f>
        <v>2425136.48</v>
      </c>
    </row>
    <row r="69" spans="1:13" s="107" customFormat="1" ht="15.75" thickBot="1" x14ac:dyDescent="0.3">
      <c r="A69" s="108"/>
      <c r="B69" s="111"/>
      <c r="C69" s="111"/>
      <c r="D69" s="450">
        <f>SUM(D66:D68)</f>
        <v>58353708.079999991</v>
      </c>
      <c r="E69" s="450">
        <f>SUM(E66:E68)</f>
        <v>91446279.319999993</v>
      </c>
      <c r="F69" s="110"/>
      <c r="G69" s="1235"/>
      <c r="I69" s="1310">
        <f>SUM(I67:I68)</f>
        <v>71962323.439999998</v>
      </c>
      <c r="J69" s="1310">
        <f>SUM(J67:J68)</f>
        <v>13608615.359999999</v>
      </c>
      <c r="K69" s="1310">
        <f>SUM(K67:K68)</f>
        <v>58353708.079999991</v>
      </c>
    </row>
    <row r="70" spans="1:13" s="107" customFormat="1" ht="15.75" thickTop="1" x14ac:dyDescent="0.25">
      <c r="A70" s="1271"/>
      <c r="B70" s="1271"/>
      <c r="C70" s="1271"/>
      <c r="D70" s="1271"/>
      <c r="E70" s="1271"/>
      <c r="K70"/>
      <c r="L70"/>
      <c r="M70"/>
    </row>
    <row r="71" spans="1:13" s="107" customFormat="1" ht="15" x14ac:dyDescent="0.25">
      <c r="A71" s="106" t="s">
        <v>122</v>
      </c>
      <c r="B71" s="1581"/>
      <c r="C71" s="1581"/>
      <c r="D71" s="1581"/>
      <c r="E71" s="1581"/>
      <c r="K71"/>
      <c r="L71"/>
      <c r="M71"/>
    </row>
    <row r="72" spans="1:13" s="107" customFormat="1" ht="30" x14ac:dyDescent="0.25">
      <c r="A72" s="108"/>
      <c r="B72" s="109"/>
      <c r="C72" s="109"/>
      <c r="D72" s="1260" t="str">
        <f>+$D$6</f>
        <v xml:space="preserve">  Year ended 
  March 31, 2025</v>
      </c>
      <c r="E72" s="1260" t="str">
        <f>+$E$6</f>
        <v xml:space="preserve">  Year ended 
  March 31, 2024</v>
      </c>
      <c r="J72" s="289"/>
      <c r="K72"/>
      <c r="L72"/>
      <c r="M72"/>
    </row>
    <row r="73" spans="1:13" s="107" customFormat="1" ht="16.5" x14ac:dyDescent="0.25">
      <c r="A73" s="1582" t="s">
        <v>601</v>
      </c>
      <c r="B73" s="1582"/>
      <c r="C73" s="1582"/>
      <c r="D73" s="1182">
        <f>+'Deferred Tax'!C10</f>
        <v>3664245</v>
      </c>
      <c r="E73" s="451">
        <f>+'Deferred Tax'!D10</f>
        <v>4892104</v>
      </c>
      <c r="G73" s="110"/>
      <c r="J73"/>
      <c r="K73"/>
      <c r="L73"/>
      <c r="M73"/>
    </row>
    <row r="74" spans="1:13" s="107" customFormat="1" ht="15" x14ac:dyDescent="0.25">
      <c r="A74" s="108"/>
      <c r="B74" s="111"/>
      <c r="C74" s="111"/>
      <c r="D74" s="450">
        <f>SUM(D73:D73)</f>
        <v>3664245</v>
      </c>
      <c r="E74" s="450">
        <f>SUM(E73:E73)</f>
        <v>4892104</v>
      </c>
      <c r="I74" s="289"/>
      <c r="J74" s="289"/>
      <c r="K74"/>
      <c r="L74"/>
      <c r="M74"/>
    </row>
    <row r="75" spans="1:13" s="107" customFormat="1" ht="16.5" x14ac:dyDescent="0.25">
      <c r="A75" s="1583"/>
      <c r="B75" s="1583"/>
      <c r="C75" s="1583"/>
      <c r="D75" s="1583"/>
      <c r="E75" s="1583"/>
      <c r="F75" s="347"/>
      <c r="I75"/>
      <c r="J75"/>
      <c r="K75"/>
      <c r="L75"/>
      <c r="M75"/>
    </row>
    <row r="76" spans="1:13" ht="16.5" x14ac:dyDescent="0.25">
      <c r="A76" s="96" t="s">
        <v>681</v>
      </c>
      <c r="D76" s="72"/>
      <c r="E76" s="73"/>
      <c r="I76"/>
      <c r="J76"/>
      <c r="K76"/>
      <c r="L76"/>
      <c r="M76"/>
    </row>
    <row r="77" spans="1:13" ht="30" x14ac:dyDescent="0.25">
      <c r="A77" s="66"/>
      <c r="B77" s="66"/>
      <c r="C77" s="66"/>
      <c r="D77" s="1260" t="str">
        <f>+$D$6</f>
        <v xml:space="preserve">  Year ended 
  March 31, 2025</v>
      </c>
      <c r="E77" s="1260" t="str">
        <f>+$E$6</f>
        <v xml:space="preserve">  Year ended 
  March 31, 2024</v>
      </c>
      <c r="I77"/>
      <c r="J77"/>
      <c r="K77"/>
      <c r="L77"/>
      <c r="M77"/>
    </row>
    <row r="78" spans="1:13" ht="16.5" x14ac:dyDescent="0.3">
      <c r="A78" s="1305" t="s">
        <v>602</v>
      </c>
      <c r="D78" s="116"/>
      <c r="E78" s="116"/>
      <c r="F78" s="117"/>
      <c r="I78"/>
      <c r="J78"/>
      <c r="K78"/>
      <c r="L78"/>
      <c r="M78"/>
    </row>
    <row r="79" spans="1:13" ht="16.5" x14ac:dyDescent="0.3">
      <c r="A79" s="265" t="s">
        <v>603</v>
      </c>
      <c r="D79" s="452">
        <v>0</v>
      </c>
      <c r="E79" s="452">
        <f>+Creditors!O19</f>
        <v>1363613</v>
      </c>
      <c r="F79" s="117"/>
      <c r="I79"/>
      <c r="J79"/>
      <c r="K79"/>
      <c r="L79"/>
      <c r="M79"/>
    </row>
    <row r="80" spans="1:13" ht="16.5" x14ac:dyDescent="0.3">
      <c r="A80" s="265" t="s">
        <v>1820</v>
      </c>
      <c r="D80" s="452">
        <f>+F97</f>
        <v>12478163.109999998</v>
      </c>
      <c r="E80" s="452">
        <f>+Creditors!O20</f>
        <v>4596967</v>
      </c>
      <c r="F80" s="117"/>
      <c r="I80"/>
      <c r="J80"/>
      <c r="K80"/>
      <c r="L80"/>
      <c r="M80"/>
    </row>
    <row r="81" spans="1:13" ht="16.5" x14ac:dyDescent="0.3">
      <c r="A81" s="1305" t="s">
        <v>604</v>
      </c>
      <c r="D81" s="452"/>
      <c r="E81" s="452"/>
      <c r="F81" s="117"/>
      <c r="I81" s="289"/>
      <c r="J81" s="289"/>
      <c r="K81"/>
      <c r="L81"/>
      <c r="M81"/>
    </row>
    <row r="82" spans="1:13" ht="16.5" x14ac:dyDescent="0.3">
      <c r="A82" s="265" t="s">
        <v>603</v>
      </c>
      <c r="D82" s="452">
        <v>0</v>
      </c>
      <c r="E82" s="452">
        <f>+Creditors!O21</f>
        <v>440567</v>
      </c>
      <c r="F82" s="117"/>
      <c r="I82"/>
      <c r="J82"/>
      <c r="K82"/>
      <c r="L82"/>
      <c r="M82"/>
    </row>
    <row r="83" spans="1:13" ht="16.5" x14ac:dyDescent="0.3">
      <c r="A83" s="265" t="s">
        <v>1820</v>
      </c>
      <c r="D83" s="452">
        <v>0</v>
      </c>
      <c r="E83" s="452">
        <f>+Creditors!O22</f>
        <v>4021992</v>
      </c>
      <c r="F83" s="117"/>
      <c r="I83"/>
      <c r="J83"/>
      <c r="K83"/>
      <c r="L83"/>
      <c r="M83"/>
    </row>
    <row r="84" spans="1:13" ht="16.5" x14ac:dyDescent="0.3">
      <c r="A84" s="1305" t="s">
        <v>856</v>
      </c>
      <c r="D84" s="452">
        <v>0</v>
      </c>
      <c r="E84" s="452">
        <f>+Creditors!C107</f>
        <v>4278204.6000000006</v>
      </c>
      <c r="F84" s="117"/>
      <c r="I84"/>
      <c r="J84"/>
      <c r="K84"/>
      <c r="L84"/>
      <c r="M84"/>
    </row>
    <row r="85" spans="1:13" ht="16.5" x14ac:dyDescent="0.3">
      <c r="A85" s="118"/>
      <c r="B85" s="66"/>
      <c r="C85" s="66"/>
      <c r="D85" s="453">
        <f>SUM(D79:D84)</f>
        <v>12478163.109999998</v>
      </c>
      <c r="E85" s="453">
        <f>SUM(E79:E84)</f>
        <v>14701343.600000001</v>
      </c>
      <c r="G85" s="36"/>
      <c r="I85" s="289"/>
      <c r="J85" s="289"/>
      <c r="K85"/>
      <c r="L85"/>
      <c r="M85"/>
    </row>
    <row r="86" spans="1:13" ht="15" customHeight="1" x14ac:dyDescent="0.3">
      <c r="A86" s="39"/>
      <c r="D86" s="120"/>
      <c r="E86" s="120"/>
      <c r="I86"/>
      <c r="K86"/>
      <c r="L86"/>
      <c r="M86"/>
    </row>
    <row r="87" spans="1:13" s="37" customFormat="1" ht="15" customHeight="1" x14ac:dyDescent="0.3">
      <c r="A87" s="266" t="s">
        <v>1563</v>
      </c>
      <c r="B87" s="267"/>
      <c r="C87" s="267"/>
      <c r="D87" s="267"/>
      <c r="E87" s="267"/>
      <c r="F87" s="267"/>
      <c r="G87" s="268"/>
      <c r="K87"/>
      <c r="L87"/>
      <c r="M87"/>
    </row>
    <row r="88" spans="1:13" s="37" customFormat="1" ht="15" customHeight="1" x14ac:dyDescent="0.25">
      <c r="A88" s="1574" t="s">
        <v>0</v>
      </c>
      <c r="B88" s="732" t="s">
        <v>605</v>
      </c>
      <c r="C88" s="732"/>
      <c r="D88" s="732"/>
      <c r="E88" s="732"/>
      <c r="F88" s="732"/>
      <c r="K88"/>
      <c r="L88"/>
      <c r="M88"/>
    </row>
    <row r="89" spans="1:13" s="37" customFormat="1" ht="25.5" customHeight="1" thickBot="1" x14ac:dyDescent="0.3">
      <c r="A89" s="1575"/>
      <c r="B89" s="273" t="s">
        <v>732</v>
      </c>
      <c r="C89" s="274" t="s">
        <v>608</v>
      </c>
      <c r="D89" s="274" t="s">
        <v>609</v>
      </c>
      <c r="E89" s="274" t="s">
        <v>182</v>
      </c>
      <c r="F89" s="274" t="s">
        <v>183</v>
      </c>
      <c r="K89"/>
      <c r="L89"/>
      <c r="M89"/>
    </row>
    <row r="90" spans="1:13" s="37" customFormat="1" ht="15" customHeight="1" x14ac:dyDescent="0.3">
      <c r="A90" s="270" t="s">
        <v>610</v>
      </c>
      <c r="B90" s="267"/>
      <c r="C90" s="267"/>
      <c r="D90" s="267"/>
      <c r="E90" s="267"/>
      <c r="F90" s="267"/>
    </row>
    <row r="91" spans="1:13" s="37" customFormat="1" ht="15" customHeight="1" x14ac:dyDescent="0.3">
      <c r="A91" s="271" t="s">
        <v>611</v>
      </c>
      <c r="B91" s="454">
        <v>0</v>
      </c>
      <c r="C91" s="454">
        <v>0</v>
      </c>
      <c r="D91" s="454">
        <v>0</v>
      </c>
      <c r="E91" s="454">
        <v>0</v>
      </c>
      <c r="F91" s="454">
        <f>SUM(B91:E91)</f>
        <v>0</v>
      </c>
    </row>
    <row r="92" spans="1:13" s="37" customFormat="1" ht="15" customHeight="1" x14ac:dyDescent="0.3">
      <c r="A92" s="271" t="s">
        <v>612</v>
      </c>
      <c r="B92" s="454">
        <f>+'Creditor''s ageing'!D121+'Creditor''s ageing'!E121+'Creditor''s ageing'!F121+'Creditor''s ageing'!G121+'Creditor''s ageing'!H121</f>
        <v>12636265.509999998</v>
      </c>
      <c r="C92" s="454">
        <f>+'Creditor''s ageing'!I121</f>
        <v>-158102.39999999999</v>
      </c>
      <c r="D92" s="454">
        <v>0</v>
      </c>
      <c r="E92" s="454">
        <v>0</v>
      </c>
      <c r="F92" s="454">
        <f>SUM(B92:E92)</f>
        <v>12478163.109999998</v>
      </c>
    </row>
    <row r="93" spans="1:13" s="37" customFormat="1" ht="15" customHeight="1" x14ac:dyDescent="0.3">
      <c r="A93" s="270" t="s">
        <v>613</v>
      </c>
      <c r="B93" s="454"/>
      <c r="C93" s="454"/>
      <c r="D93" s="454"/>
      <c r="E93" s="454"/>
      <c r="F93" s="443"/>
    </row>
    <row r="94" spans="1:13" s="37" customFormat="1" ht="15" customHeight="1" x14ac:dyDescent="0.3">
      <c r="A94" s="271" t="s">
        <v>611</v>
      </c>
      <c r="B94" s="1272">
        <v>0</v>
      </c>
      <c r="C94" s="454">
        <v>0</v>
      </c>
      <c r="D94" s="454">
        <v>0</v>
      </c>
      <c r="E94" s="454">
        <v>0</v>
      </c>
      <c r="F94" s="454"/>
    </row>
    <row r="95" spans="1:13" s="37" customFormat="1" ht="15" customHeight="1" x14ac:dyDescent="0.3">
      <c r="A95" s="271" t="s">
        <v>612</v>
      </c>
      <c r="B95" s="1272">
        <v>0</v>
      </c>
      <c r="C95" s="454">
        <v>0</v>
      </c>
      <c r="D95" s="454">
        <v>0</v>
      </c>
      <c r="E95" s="454">
        <v>0</v>
      </c>
      <c r="F95" s="454">
        <v>0</v>
      </c>
    </row>
    <row r="96" spans="1:13" s="37" customFormat="1" ht="15" customHeight="1" x14ac:dyDescent="0.3">
      <c r="A96" s="268" t="s">
        <v>1553</v>
      </c>
      <c r="B96" s="1272">
        <v>0</v>
      </c>
      <c r="C96" s="1272"/>
      <c r="D96" s="348"/>
      <c r="E96" s="348"/>
      <c r="F96" s="454">
        <f>SUM(B95:E96)</f>
        <v>0</v>
      </c>
    </row>
    <row r="97" spans="1:11" s="37" customFormat="1" ht="15" customHeight="1" x14ac:dyDescent="0.25">
      <c r="A97" s="392" t="s">
        <v>183</v>
      </c>
      <c r="B97" s="453">
        <f>SUM(B91:B96)</f>
        <v>12636265.509999998</v>
      </c>
      <c r="C97" s="453">
        <f>SUM(C91:C96)</f>
        <v>-158102.39999999999</v>
      </c>
      <c r="D97" s="119">
        <f>SUM(D91:D96)</f>
        <v>0</v>
      </c>
      <c r="E97" s="119">
        <f>SUM(E91:E96)</f>
        <v>0</v>
      </c>
      <c r="F97" s="453">
        <f>SUM(F91:F96)</f>
        <v>12478163.109999998</v>
      </c>
    </row>
    <row r="98" spans="1:11" s="37" customFormat="1" ht="15" customHeight="1" x14ac:dyDescent="0.3">
      <c r="A98" s="39"/>
      <c r="D98" s="120"/>
      <c r="E98" s="120"/>
    </row>
    <row r="99" spans="1:11" ht="15" customHeight="1" x14ac:dyDescent="0.3">
      <c r="A99" s="266" t="s">
        <v>1130</v>
      </c>
      <c r="B99" s="267"/>
      <c r="C99" s="267"/>
      <c r="D99" s="267"/>
      <c r="E99" s="267"/>
      <c r="F99" s="267"/>
      <c r="G99" s="268"/>
    </row>
    <row r="100" spans="1:11" ht="15" customHeight="1" x14ac:dyDescent="0.25">
      <c r="A100" s="1574" t="s">
        <v>0</v>
      </c>
      <c r="B100" s="1576" t="s">
        <v>605</v>
      </c>
      <c r="C100" s="1576"/>
      <c r="D100" s="1576"/>
      <c r="E100" s="1576"/>
      <c r="F100" s="1237" t="s">
        <v>183</v>
      </c>
    </row>
    <row r="101" spans="1:11" ht="27.6" customHeight="1" thickBot="1" x14ac:dyDescent="0.3">
      <c r="A101" s="1575"/>
      <c r="B101" s="273" t="s">
        <v>732</v>
      </c>
      <c r="C101" s="274" t="s">
        <v>608</v>
      </c>
      <c r="D101" s="274" t="s">
        <v>609</v>
      </c>
      <c r="E101" s="274" t="s">
        <v>182</v>
      </c>
      <c r="F101" s="273"/>
    </row>
    <row r="102" spans="1:11" ht="15" customHeight="1" x14ac:dyDescent="0.3">
      <c r="A102" s="270" t="s">
        <v>610</v>
      </c>
      <c r="B102" s="267"/>
      <c r="C102" s="267"/>
      <c r="D102" s="267"/>
      <c r="E102" s="267"/>
      <c r="F102" s="267"/>
    </row>
    <row r="103" spans="1:11" ht="15" customHeight="1" x14ac:dyDescent="0.3">
      <c r="A103" s="271" t="s">
        <v>611</v>
      </c>
      <c r="B103" s="454">
        <f>+Creditors!N19+Creditors!N20</f>
        <v>5029014</v>
      </c>
      <c r="C103" s="454">
        <f>+Creditors!M19+Creditors!M20</f>
        <v>931566</v>
      </c>
      <c r="D103" s="363">
        <v>0</v>
      </c>
      <c r="E103" s="363">
        <v>0</v>
      </c>
      <c r="F103" s="454">
        <f>SUM(B103:E103)</f>
        <v>5960580</v>
      </c>
    </row>
    <row r="104" spans="1:11" ht="15" customHeight="1" x14ac:dyDescent="0.3">
      <c r="A104" s="271" t="s">
        <v>612</v>
      </c>
      <c r="B104" s="454">
        <f>+Creditors!N21+Creditors!N22</f>
        <v>3887216</v>
      </c>
      <c r="C104" s="454">
        <f>+Creditors!M21+Creditors!M22</f>
        <v>575343</v>
      </c>
      <c r="D104" s="363">
        <v>0</v>
      </c>
      <c r="E104" s="363">
        <v>0</v>
      </c>
      <c r="F104" s="454">
        <f>SUM(B104:E104)</f>
        <v>4462559</v>
      </c>
    </row>
    <row r="105" spans="1:11" ht="15" customHeight="1" x14ac:dyDescent="0.3">
      <c r="A105" s="270" t="s">
        <v>613</v>
      </c>
      <c r="B105" s="363"/>
      <c r="C105" s="363"/>
      <c r="D105" s="363"/>
      <c r="E105" s="363"/>
    </row>
    <row r="106" spans="1:11" ht="15" customHeight="1" x14ac:dyDescent="0.3">
      <c r="A106" s="271" t="s">
        <v>611</v>
      </c>
      <c r="B106" s="364">
        <v>0</v>
      </c>
      <c r="C106" s="363">
        <v>0</v>
      </c>
      <c r="D106" s="363">
        <v>0</v>
      </c>
      <c r="E106" s="363">
        <v>0</v>
      </c>
      <c r="F106" s="454">
        <f>SUM(B106:E106)</f>
        <v>0</v>
      </c>
    </row>
    <row r="107" spans="1:11" ht="15" customHeight="1" x14ac:dyDescent="0.3">
      <c r="A107" s="271" t="s">
        <v>612</v>
      </c>
      <c r="B107" s="364">
        <v>0</v>
      </c>
      <c r="C107" s="363">
        <v>0</v>
      </c>
      <c r="D107" s="363">
        <v>0</v>
      </c>
      <c r="E107" s="363">
        <v>0</v>
      </c>
      <c r="F107" s="454">
        <f>SUM(B107:E107)</f>
        <v>0</v>
      </c>
    </row>
    <row r="108" spans="1:11" ht="15" customHeight="1" x14ac:dyDescent="0.3">
      <c r="A108" s="268" t="s">
        <v>1553</v>
      </c>
      <c r="B108" s="364">
        <v>4278205</v>
      </c>
      <c r="C108" s="364"/>
      <c r="D108" s="267"/>
      <c r="E108" s="267"/>
      <c r="F108" s="454">
        <f>SUM(B108:E108)</f>
        <v>4278205</v>
      </c>
    </row>
    <row r="109" spans="1:11" ht="15" customHeight="1" thickBot="1" x14ac:dyDescent="0.3">
      <c r="A109" s="272" t="s">
        <v>183</v>
      </c>
      <c r="B109" s="455">
        <f>SUM(B103:B107)</f>
        <v>8916230</v>
      </c>
      <c r="C109" s="455">
        <f>SUM(C103:C107)</f>
        <v>1506909</v>
      </c>
      <c r="D109" s="365">
        <f>SUM(D103:D107)</f>
        <v>0</v>
      </c>
      <c r="E109" s="365">
        <f>SUM(E103:E107)</f>
        <v>0</v>
      </c>
      <c r="F109" s="455">
        <f>SUM(F103:F108)</f>
        <v>14701344</v>
      </c>
      <c r="G109" s="1161"/>
    </row>
    <row r="110" spans="1:11" ht="15" customHeight="1" x14ac:dyDescent="0.3">
      <c r="A110" s="39"/>
      <c r="D110" s="120"/>
      <c r="E110" s="120"/>
      <c r="G110" s="105"/>
    </row>
    <row r="111" spans="1:11" ht="16.5" x14ac:dyDescent="0.25">
      <c r="A111" s="95" t="s">
        <v>682</v>
      </c>
      <c r="D111" s="12"/>
      <c r="E111" s="115"/>
    </row>
    <row r="112" spans="1:11" ht="30" x14ac:dyDescent="0.25">
      <c r="A112" s="66"/>
      <c r="B112" s="66"/>
      <c r="C112" s="66"/>
      <c r="D112" s="1260" t="str">
        <f>+$D$6</f>
        <v xml:space="preserve">  Year ended 
  March 31, 2025</v>
      </c>
      <c r="E112" s="1260" t="str">
        <f>+$E$6</f>
        <v xml:space="preserve">  Year ended 
  March 31, 2024</v>
      </c>
      <c r="G112" s="121"/>
      <c r="I112"/>
      <c r="K112"/>
    </row>
    <row r="113" spans="1:11" ht="16.5" x14ac:dyDescent="0.3">
      <c r="A113" s="101" t="s">
        <v>124</v>
      </c>
      <c r="D113" s="208">
        <f>+J67+J68</f>
        <v>13608615.359999999</v>
      </c>
      <c r="E113" s="208">
        <v>13608612</v>
      </c>
      <c r="F113" s="36"/>
      <c r="G113" s="36"/>
      <c r="I113"/>
      <c r="K113"/>
    </row>
    <row r="114" spans="1:11" ht="16.5" x14ac:dyDescent="0.3">
      <c r="A114" s="101" t="s">
        <v>125</v>
      </c>
      <c r="D114" s="426">
        <f>+Sechdules!B155</f>
        <v>346743</v>
      </c>
      <c r="E114" s="426">
        <f>+Sechdules!C155</f>
        <v>4599565.34</v>
      </c>
      <c r="F114" s="36"/>
      <c r="G114" s="36"/>
      <c r="I114"/>
      <c r="K114"/>
    </row>
    <row r="115" spans="1:11" ht="16.5" x14ac:dyDescent="0.3">
      <c r="A115" s="101" t="s">
        <v>126</v>
      </c>
      <c r="D115" s="208">
        <f>Sechdules!B175</f>
        <v>8493843.120000001</v>
      </c>
      <c r="E115" s="208">
        <f>Sechdules!C175</f>
        <v>7935166.7199999997</v>
      </c>
      <c r="F115" s="36"/>
      <c r="G115" s="490"/>
      <c r="I115"/>
      <c r="K115"/>
    </row>
    <row r="116" spans="1:11" ht="15" x14ac:dyDescent="0.25">
      <c r="A116" s="123"/>
      <c r="B116" s="66"/>
      <c r="C116" s="66"/>
      <c r="D116" s="436">
        <f>SUM(D113:D115)</f>
        <v>22449201.48</v>
      </c>
      <c r="E116" s="436">
        <f>SUM(E113:E115)</f>
        <v>26143344.059999999</v>
      </c>
      <c r="G116" s="490"/>
      <c r="I116"/>
      <c r="K116"/>
    </row>
    <row r="117" spans="1:11" ht="16.5" x14ac:dyDescent="0.25">
      <c r="A117" s="122"/>
      <c r="B117" s="72"/>
      <c r="C117" s="73"/>
      <c r="D117" s="37"/>
      <c r="E117" s="37"/>
      <c r="G117" s="36"/>
      <c r="I117"/>
      <c r="K117"/>
    </row>
    <row r="118" spans="1:11" ht="16.5" x14ac:dyDescent="0.25">
      <c r="A118" s="124" t="s">
        <v>683</v>
      </c>
      <c r="B118" s="125"/>
      <c r="C118" s="125"/>
      <c r="D118" s="126"/>
      <c r="E118" s="126"/>
      <c r="I118"/>
      <c r="K118"/>
    </row>
    <row r="119" spans="1:11" ht="30.75" x14ac:dyDescent="0.3">
      <c r="A119" s="127"/>
      <c r="B119" s="128"/>
      <c r="C119" s="129"/>
      <c r="D119" s="1260" t="str">
        <f>+$D$6</f>
        <v xml:space="preserve">  Year ended 
  March 31, 2025</v>
      </c>
      <c r="E119" s="1260" t="str">
        <f>+$E$6</f>
        <v xml:space="preserve">  Year ended 
  March 31, 2024</v>
      </c>
      <c r="G119" s="1238"/>
      <c r="I119"/>
      <c r="K119"/>
    </row>
    <row r="120" spans="1:11" ht="16.5" x14ac:dyDescent="0.3">
      <c r="A120" s="101" t="s">
        <v>127</v>
      </c>
      <c r="B120" s="36"/>
      <c r="C120" s="36"/>
      <c r="D120" s="208">
        <f>+'P&amp;L'!C22</f>
        <v>0</v>
      </c>
      <c r="E120" s="208">
        <f>+'P&amp;L'!D22</f>
        <v>17927262</v>
      </c>
      <c r="G120" s="1238"/>
    </row>
    <row r="121" spans="1:11" ht="16.5" x14ac:dyDescent="0.25">
      <c r="A121" s="130"/>
      <c r="B121" s="131"/>
      <c r="C121" s="131"/>
      <c r="D121" s="457">
        <f>SUM(D120:D120)</f>
        <v>0</v>
      </c>
      <c r="E121" s="457">
        <f>SUM(E120:E120)</f>
        <v>17927262</v>
      </c>
    </row>
    <row r="122" spans="1:11" x14ac:dyDescent="0.25">
      <c r="G122" s="105"/>
      <c r="H122" s="36"/>
    </row>
    <row r="123" spans="1:11" x14ac:dyDescent="0.25"/>
    <row r="124" spans="1:11" x14ac:dyDescent="0.25"/>
    <row r="125" spans="1:11" x14ac:dyDescent="0.25"/>
    <row r="126" spans="1:11" x14ac:dyDescent="0.25"/>
    <row r="127" spans="1:11" x14ac:dyDescent="0.25"/>
    <row r="128" spans="1:11" x14ac:dyDescent="0.25"/>
    <row r="129" spans="5:5" x14ac:dyDescent="0.25">
      <c r="E129" s="36"/>
    </row>
    <row r="130" spans="5:5" x14ac:dyDescent="0.25"/>
    <row r="131" spans="5:5" x14ac:dyDescent="0.25"/>
    <row r="132" spans="5:5" x14ac:dyDescent="0.25"/>
    <row r="133" spans="5:5" x14ac:dyDescent="0.25"/>
    <row r="134" spans="5:5" x14ac:dyDescent="0.25"/>
    <row r="135" spans="5:5" x14ac:dyDescent="0.25"/>
    <row r="136" spans="5:5" x14ac:dyDescent="0.25"/>
    <row r="137" spans="5:5" x14ac:dyDescent="0.25"/>
    <row r="138" spans="5:5" x14ac:dyDescent="0.25"/>
    <row r="139" spans="5:5" x14ac:dyDescent="0.25"/>
    <row r="140" spans="5:5" x14ac:dyDescent="0.25"/>
    <row r="141" spans="5:5" x14ac:dyDescent="0.25"/>
    <row r="142" spans="5:5" x14ac:dyDescent="0.25"/>
    <row r="143" spans="5:5" x14ac:dyDescent="0.25"/>
    <row r="144" spans="5:5"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sheetData>
  <mergeCells count="20">
    <mergeCell ref="A100:A101"/>
    <mergeCell ref="A88:A89"/>
    <mergeCell ref="B100:E100"/>
    <mergeCell ref="A34:E35"/>
    <mergeCell ref="A37:A38"/>
    <mergeCell ref="B37:C37"/>
    <mergeCell ref="D37:E37"/>
    <mergeCell ref="B71:C71"/>
    <mergeCell ref="D71:E71"/>
    <mergeCell ref="A73:C73"/>
    <mergeCell ref="A75:E75"/>
    <mergeCell ref="B64:C64"/>
    <mergeCell ref="D64:E64"/>
    <mergeCell ref="A15:A16"/>
    <mergeCell ref="B15:C15"/>
    <mergeCell ref="D15:E15"/>
    <mergeCell ref="A22:E22"/>
    <mergeCell ref="A25:A26"/>
    <mergeCell ref="B25:C25"/>
    <mergeCell ref="D25:E25"/>
  </mergeCells>
  <printOptions horizontalCentered="1"/>
  <pageMargins left="0.31496062992125984" right="3.937007874015748E-2" top="0.74803149606299213" bottom="0.74803149606299213" header="0.51181102362204722" footer="0.51181102362204722"/>
  <pageSetup paperSize="9" scale="69" fitToHeight="0" orientation="portrait" r:id="rId1"/>
  <rowBreaks count="1" manualBreakCount="1">
    <brk id="62" max="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42"/>
  <sheetViews>
    <sheetView view="pageBreakPreview" topLeftCell="A25" zoomScaleNormal="100" zoomScaleSheetLayoutView="100" workbookViewId="0">
      <selection activeCell="D44" sqref="D44"/>
    </sheetView>
  </sheetViews>
  <sheetFormatPr defaultRowHeight="13.5" x14ac:dyDescent="0.25"/>
  <cols>
    <col min="1" max="1" width="3.42578125" style="133" customWidth="1"/>
    <col min="2" max="2" width="25.5703125" style="133" bestFit="1" customWidth="1"/>
    <col min="3" max="3" width="17.5703125" style="133" bestFit="1" customWidth="1"/>
    <col min="4" max="4" width="16" style="133" bestFit="1" customWidth="1"/>
    <col min="5" max="5" width="11.5703125" style="133" bestFit="1" customWidth="1"/>
    <col min="6" max="6" width="17.5703125" style="133" bestFit="1" customWidth="1"/>
    <col min="7" max="8" width="16.42578125" style="133" bestFit="1" customWidth="1"/>
    <col min="9" max="10" width="15.42578125" style="133" customWidth="1"/>
    <col min="11" max="11" width="17.5703125" style="133" bestFit="1" customWidth="1"/>
    <col min="12" max="12" width="22" style="133" bestFit="1" customWidth="1"/>
    <col min="13" max="13" width="11.5703125" style="134" bestFit="1" customWidth="1"/>
    <col min="14" max="15" width="13.140625" style="133" bestFit="1" customWidth="1"/>
    <col min="16" max="16" width="10.42578125" style="133" bestFit="1" customWidth="1"/>
    <col min="17" max="256" width="9.140625" style="133"/>
    <col min="257" max="257" width="3.42578125" style="133" customWidth="1"/>
    <col min="258" max="258" width="20.5703125" style="133" customWidth="1"/>
    <col min="259" max="259" width="15.42578125" style="133" customWidth="1"/>
    <col min="260" max="260" width="14.42578125" style="133" bestFit="1" customWidth="1"/>
    <col min="261" max="261" width="11.5703125" style="133" bestFit="1" customWidth="1"/>
    <col min="262" max="262" width="13.42578125" style="133" bestFit="1" customWidth="1"/>
    <col min="263" max="263" width="13.85546875" style="133" customWidth="1"/>
    <col min="264" max="264" width="13.140625" style="133" bestFit="1" customWidth="1"/>
    <col min="265" max="267" width="15.42578125" style="133" customWidth="1"/>
    <col min="268" max="268" width="15.140625" style="133" customWidth="1"/>
    <col min="269" max="269" width="11.5703125" style="133" bestFit="1" customWidth="1"/>
    <col min="270" max="271" width="13.140625" style="133" bestFit="1" customWidth="1"/>
    <col min="272" max="272" width="10.42578125" style="133" bestFit="1" customWidth="1"/>
    <col min="273" max="512" width="9.140625" style="133"/>
    <col min="513" max="513" width="3.42578125" style="133" customWidth="1"/>
    <col min="514" max="514" width="20.5703125" style="133" customWidth="1"/>
    <col min="515" max="515" width="15.42578125" style="133" customWidth="1"/>
    <col min="516" max="516" width="14.42578125" style="133" bestFit="1" customWidth="1"/>
    <col min="517" max="517" width="11.5703125" style="133" bestFit="1" customWidth="1"/>
    <col min="518" max="518" width="13.42578125" style="133" bestFit="1" customWidth="1"/>
    <col min="519" max="519" width="13.85546875" style="133" customWidth="1"/>
    <col min="520" max="520" width="13.140625" style="133" bestFit="1" customWidth="1"/>
    <col min="521" max="523" width="15.42578125" style="133" customWidth="1"/>
    <col min="524" max="524" width="15.140625" style="133" customWidth="1"/>
    <col min="525" max="525" width="11.5703125" style="133" bestFit="1" customWidth="1"/>
    <col min="526" max="527" width="13.140625" style="133" bestFit="1" customWidth="1"/>
    <col min="528" max="528" width="10.42578125" style="133" bestFit="1" customWidth="1"/>
    <col min="529" max="768" width="9.140625" style="133"/>
    <col min="769" max="769" width="3.42578125" style="133" customWidth="1"/>
    <col min="770" max="770" width="20.5703125" style="133" customWidth="1"/>
    <col min="771" max="771" width="15.42578125" style="133" customWidth="1"/>
    <col min="772" max="772" width="14.42578125" style="133" bestFit="1" customWidth="1"/>
    <col min="773" max="773" width="11.5703125" style="133" bestFit="1" customWidth="1"/>
    <col min="774" max="774" width="13.42578125" style="133" bestFit="1" customWidth="1"/>
    <col min="775" max="775" width="13.85546875" style="133" customWidth="1"/>
    <col min="776" max="776" width="13.140625" style="133" bestFit="1" customWidth="1"/>
    <col min="777" max="779" width="15.42578125" style="133" customWidth="1"/>
    <col min="780" max="780" width="15.140625" style="133" customWidth="1"/>
    <col min="781" max="781" width="11.5703125" style="133" bestFit="1" customWidth="1"/>
    <col min="782" max="783" width="13.140625" style="133" bestFit="1" customWidth="1"/>
    <col min="784" max="784" width="10.42578125" style="133" bestFit="1" customWidth="1"/>
    <col min="785" max="1024" width="9.140625" style="133"/>
    <col min="1025" max="1025" width="3.42578125" style="133" customWidth="1"/>
    <col min="1026" max="1026" width="20.5703125" style="133" customWidth="1"/>
    <col min="1027" max="1027" width="15.42578125" style="133" customWidth="1"/>
    <col min="1028" max="1028" width="14.42578125" style="133" bestFit="1" customWidth="1"/>
    <col min="1029" max="1029" width="11.5703125" style="133" bestFit="1" customWidth="1"/>
    <col min="1030" max="1030" width="13.42578125" style="133" bestFit="1" customWidth="1"/>
    <col min="1031" max="1031" width="13.85546875" style="133" customWidth="1"/>
    <col min="1032" max="1032" width="13.140625" style="133" bestFit="1" customWidth="1"/>
    <col min="1033" max="1035" width="15.42578125" style="133" customWidth="1"/>
    <col min="1036" max="1036" width="15.140625" style="133" customWidth="1"/>
    <col min="1037" max="1037" width="11.5703125" style="133" bestFit="1" customWidth="1"/>
    <col min="1038" max="1039" width="13.140625" style="133" bestFit="1" customWidth="1"/>
    <col min="1040" max="1040" width="10.42578125" style="133" bestFit="1" customWidth="1"/>
    <col min="1041" max="1280" width="9.140625" style="133"/>
    <col min="1281" max="1281" width="3.42578125" style="133" customWidth="1"/>
    <col min="1282" max="1282" width="20.5703125" style="133" customWidth="1"/>
    <col min="1283" max="1283" width="15.42578125" style="133" customWidth="1"/>
    <col min="1284" max="1284" width="14.42578125" style="133" bestFit="1" customWidth="1"/>
    <col min="1285" max="1285" width="11.5703125" style="133" bestFit="1" customWidth="1"/>
    <col min="1286" max="1286" width="13.42578125" style="133" bestFit="1" customWidth="1"/>
    <col min="1287" max="1287" width="13.85546875" style="133" customWidth="1"/>
    <col min="1288" max="1288" width="13.140625" style="133" bestFit="1" customWidth="1"/>
    <col min="1289" max="1291" width="15.42578125" style="133" customWidth="1"/>
    <col min="1292" max="1292" width="15.140625" style="133" customWidth="1"/>
    <col min="1293" max="1293" width="11.5703125" style="133" bestFit="1" customWidth="1"/>
    <col min="1294" max="1295" width="13.140625" style="133" bestFit="1" customWidth="1"/>
    <col min="1296" max="1296" width="10.42578125" style="133" bestFit="1" customWidth="1"/>
    <col min="1297" max="1536" width="9.140625" style="133"/>
    <col min="1537" max="1537" width="3.42578125" style="133" customWidth="1"/>
    <col min="1538" max="1538" width="20.5703125" style="133" customWidth="1"/>
    <col min="1539" max="1539" width="15.42578125" style="133" customWidth="1"/>
    <col min="1540" max="1540" width="14.42578125" style="133" bestFit="1" customWidth="1"/>
    <col min="1541" max="1541" width="11.5703125" style="133" bestFit="1" customWidth="1"/>
    <col min="1542" max="1542" width="13.42578125" style="133" bestFit="1" customWidth="1"/>
    <col min="1543" max="1543" width="13.85546875" style="133" customWidth="1"/>
    <col min="1544" max="1544" width="13.140625" style="133" bestFit="1" customWidth="1"/>
    <col min="1545" max="1547" width="15.42578125" style="133" customWidth="1"/>
    <col min="1548" max="1548" width="15.140625" style="133" customWidth="1"/>
    <col min="1549" max="1549" width="11.5703125" style="133" bestFit="1" customWidth="1"/>
    <col min="1550" max="1551" width="13.140625" style="133" bestFit="1" customWidth="1"/>
    <col min="1552" max="1552" width="10.42578125" style="133" bestFit="1" customWidth="1"/>
    <col min="1553" max="1792" width="9.140625" style="133"/>
    <col min="1793" max="1793" width="3.42578125" style="133" customWidth="1"/>
    <col min="1794" max="1794" width="20.5703125" style="133" customWidth="1"/>
    <col min="1795" max="1795" width="15.42578125" style="133" customWidth="1"/>
    <col min="1796" max="1796" width="14.42578125" style="133" bestFit="1" customWidth="1"/>
    <col min="1797" max="1797" width="11.5703125" style="133" bestFit="1" customWidth="1"/>
    <col min="1798" max="1798" width="13.42578125" style="133" bestFit="1" customWidth="1"/>
    <col min="1799" max="1799" width="13.85546875" style="133" customWidth="1"/>
    <col min="1800" max="1800" width="13.140625" style="133" bestFit="1" customWidth="1"/>
    <col min="1801" max="1803" width="15.42578125" style="133" customWidth="1"/>
    <col min="1804" max="1804" width="15.140625" style="133" customWidth="1"/>
    <col min="1805" max="1805" width="11.5703125" style="133" bestFit="1" customWidth="1"/>
    <col min="1806" max="1807" width="13.140625" style="133" bestFit="1" customWidth="1"/>
    <col min="1808" max="1808" width="10.42578125" style="133" bestFit="1" customWidth="1"/>
    <col min="1809" max="2048" width="9.140625" style="133"/>
    <col min="2049" max="2049" width="3.42578125" style="133" customWidth="1"/>
    <col min="2050" max="2050" width="20.5703125" style="133" customWidth="1"/>
    <col min="2051" max="2051" width="15.42578125" style="133" customWidth="1"/>
    <col min="2052" max="2052" width="14.42578125" style="133" bestFit="1" customWidth="1"/>
    <col min="2053" max="2053" width="11.5703125" style="133" bestFit="1" customWidth="1"/>
    <col min="2054" max="2054" width="13.42578125" style="133" bestFit="1" customWidth="1"/>
    <col min="2055" max="2055" width="13.85546875" style="133" customWidth="1"/>
    <col min="2056" max="2056" width="13.140625" style="133" bestFit="1" customWidth="1"/>
    <col min="2057" max="2059" width="15.42578125" style="133" customWidth="1"/>
    <col min="2060" max="2060" width="15.140625" style="133" customWidth="1"/>
    <col min="2061" max="2061" width="11.5703125" style="133" bestFit="1" customWidth="1"/>
    <col min="2062" max="2063" width="13.140625" style="133" bestFit="1" customWidth="1"/>
    <col min="2064" max="2064" width="10.42578125" style="133" bestFit="1" customWidth="1"/>
    <col min="2065" max="2304" width="9.140625" style="133"/>
    <col min="2305" max="2305" width="3.42578125" style="133" customWidth="1"/>
    <col min="2306" max="2306" width="20.5703125" style="133" customWidth="1"/>
    <col min="2307" max="2307" width="15.42578125" style="133" customWidth="1"/>
    <col min="2308" max="2308" width="14.42578125" style="133" bestFit="1" customWidth="1"/>
    <col min="2309" max="2309" width="11.5703125" style="133" bestFit="1" customWidth="1"/>
    <col min="2310" max="2310" width="13.42578125" style="133" bestFit="1" customWidth="1"/>
    <col min="2311" max="2311" width="13.85546875" style="133" customWidth="1"/>
    <col min="2312" max="2312" width="13.140625" style="133" bestFit="1" customWidth="1"/>
    <col min="2313" max="2315" width="15.42578125" style="133" customWidth="1"/>
    <col min="2316" max="2316" width="15.140625" style="133" customWidth="1"/>
    <col min="2317" max="2317" width="11.5703125" style="133" bestFit="1" customWidth="1"/>
    <col min="2318" max="2319" width="13.140625" style="133" bestFit="1" customWidth="1"/>
    <col min="2320" max="2320" width="10.42578125" style="133" bestFit="1" customWidth="1"/>
    <col min="2321" max="2560" width="9.140625" style="133"/>
    <col min="2561" max="2561" width="3.42578125" style="133" customWidth="1"/>
    <col min="2562" max="2562" width="20.5703125" style="133" customWidth="1"/>
    <col min="2563" max="2563" width="15.42578125" style="133" customWidth="1"/>
    <col min="2564" max="2564" width="14.42578125" style="133" bestFit="1" customWidth="1"/>
    <col min="2565" max="2565" width="11.5703125" style="133" bestFit="1" customWidth="1"/>
    <col min="2566" max="2566" width="13.42578125" style="133" bestFit="1" customWidth="1"/>
    <col min="2567" max="2567" width="13.85546875" style="133" customWidth="1"/>
    <col min="2568" max="2568" width="13.140625" style="133" bestFit="1" customWidth="1"/>
    <col min="2569" max="2571" width="15.42578125" style="133" customWidth="1"/>
    <col min="2572" max="2572" width="15.140625" style="133" customWidth="1"/>
    <col min="2573" max="2573" width="11.5703125" style="133" bestFit="1" customWidth="1"/>
    <col min="2574" max="2575" width="13.140625" style="133" bestFit="1" customWidth="1"/>
    <col min="2576" max="2576" width="10.42578125" style="133" bestFit="1" customWidth="1"/>
    <col min="2577" max="2816" width="9.140625" style="133"/>
    <col min="2817" max="2817" width="3.42578125" style="133" customWidth="1"/>
    <col min="2818" max="2818" width="20.5703125" style="133" customWidth="1"/>
    <col min="2819" max="2819" width="15.42578125" style="133" customWidth="1"/>
    <col min="2820" max="2820" width="14.42578125" style="133" bestFit="1" customWidth="1"/>
    <col min="2821" max="2821" width="11.5703125" style="133" bestFit="1" customWidth="1"/>
    <col min="2822" max="2822" width="13.42578125" style="133" bestFit="1" customWidth="1"/>
    <col min="2823" max="2823" width="13.85546875" style="133" customWidth="1"/>
    <col min="2824" max="2824" width="13.140625" style="133" bestFit="1" customWidth="1"/>
    <col min="2825" max="2827" width="15.42578125" style="133" customWidth="1"/>
    <col min="2828" max="2828" width="15.140625" style="133" customWidth="1"/>
    <col min="2829" max="2829" width="11.5703125" style="133" bestFit="1" customWidth="1"/>
    <col min="2830" max="2831" width="13.140625" style="133" bestFit="1" customWidth="1"/>
    <col min="2832" max="2832" width="10.42578125" style="133" bestFit="1" customWidth="1"/>
    <col min="2833" max="3072" width="9.140625" style="133"/>
    <col min="3073" max="3073" width="3.42578125" style="133" customWidth="1"/>
    <col min="3074" max="3074" width="20.5703125" style="133" customWidth="1"/>
    <col min="3075" max="3075" width="15.42578125" style="133" customWidth="1"/>
    <col min="3076" max="3076" width="14.42578125" style="133" bestFit="1" customWidth="1"/>
    <col min="3077" max="3077" width="11.5703125" style="133" bestFit="1" customWidth="1"/>
    <col min="3078" max="3078" width="13.42578125" style="133" bestFit="1" customWidth="1"/>
    <col min="3079" max="3079" width="13.85546875" style="133" customWidth="1"/>
    <col min="3080" max="3080" width="13.140625" style="133" bestFit="1" customWidth="1"/>
    <col min="3081" max="3083" width="15.42578125" style="133" customWidth="1"/>
    <col min="3084" max="3084" width="15.140625" style="133" customWidth="1"/>
    <col min="3085" max="3085" width="11.5703125" style="133" bestFit="1" customWidth="1"/>
    <col min="3086" max="3087" width="13.140625" style="133" bestFit="1" customWidth="1"/>
    <col min="3088" max="3088" width="10.42578125" style="133" bestFit="1" customWidth="1"/>
    <col min="3089" max="3328" width="9.140625" style="133"/>
    <col min="3329" max="3329" width="3.42578125" style="133" customWidth="1"/>
    <col min="3330" max="3330" width="20.5703125" style="133" customWidth="1"/>
    <col min="3331" max="3331" width="15.42578125" style="133" customWidth="1"/>
    <col min="3332" max="3332" width="14.42578125" style="133" bestFit="1" customWidth="1"/>
    <col min="3333" max="3333" width="11.5703125" style="133" bestFit="1" customWidth="1"/>
    <col min="3334" max="3334" width="13.42578125" style="133" bestFit="1" customWidth="1"/>
    <col min="3335" max="3335" width="13.85546875" style="133" customWidth="1"/>
    <col min="3336" max="3336" width="13.140625" style="133" bestFit="1" customWidth="1"/>
    <col min="3337" max="3339" width="15.42578125" style="133" customWidth="1"/>
    <col min="3340" max="3340" width="15.140625" style="133" customWidth="1"/>
    <col min="3341" max="3341" width="11.5703125" style="133" bestFit="1" customWidth="1"/>
    <col min="3342" max="3343" width="13.140625" style="133" bestFit="1" customWidth="1"/>
    <col min="3344" max="3344" width="10.42578125" style="133" bestFit="1" customWidth="1"/>
    <col min="3345" max="3584" width="9.140625" style="133"/>
    <col min="3585" max="3585" width="3.42578125" style="133" customWidth="1"/>
    <col min="3586" max="3586" width="20.5703125" style="133" customWidth="1"/>
    <col min="3587" max="3587" width="15.42578125" style="133" customWidth="1"/>
    <col min="3588" max="3588" width="14.42578125" style="133" bestFit="1" customWidth="1"/>
    <col min="3589" max="3589" width="11.5703125" style="133" bestFit="1" customWidth="1"/>
    <col min="3590" max="3590" width="13.42578125" style="133" bestFit="1" customWidth="1"/>
    <col min="3591" max="3591" width="13.85546875" style="133" customWidth="1"/>
    <col min="3592" max="3592" width="13.140625" style="133" bestFit="1" customWidth="1"/>
    <col min="3593" max="3595" width="15.42578125" style="133" customWidth="1"/>
    <col min="3596" max="3596" width="15.140625" style="133" customWidth="1"/>
    <col min="3597" max="3597" width="11.5703125" style="133" bestFit="1" customWidth="1"/>
    <col min="3598" max="3599" width="13.140625" style="133" bestFit="1" customWidth="1"/>
    <col min="3600" max="3600" width="10.42578125" style="133" bestFit="1" customWidth="1"/>
    <col min="3601" max="3840" width="9.140625" style="133"/>
    <col min="3841" max="3841" width="3.42578125" style="133" customWidth="1"/>
    <col min="3842" max="3842" width="20.5703125" style="133" customWidth="1"/>
    <col min="3843" max="3843" width="15.42578125" style="133" customWidth="1"/>
    <col min="3844" max="3844" width="14.42578125" style="133" bestFit="1" customWidth="1"/>
    <col min="3845" max="3845" width="11.5703125" style="133" bestFit="1" customWidth="1"/>
    <col min="3846" max="3846" width="13.42578125" style="133" bestFit="1" customWidth="1"/>
    <col min="3847" max="3847" width="13.85546875" style="133" customWidth="1"/>
    <col min="3848" max="3848" width="13.140625" style="133" bestFit="1" customWidth="1"/>
    <col min="3849" max="3851" width="15.42578125" style="133" customWidth="1"/>
    <col min="3852" max="3852" width="15.140625" style="133" customWidth="1"/>
    <col min="3853" max="3853" width="11.5703125" style="133" bestFit="1" customWidth="1"/>
    <col min="3854" max="3855" width="13.140625" style="133" bestFit="1" customWidth="1"/>
    <col min="3856" max="3856" width="10.42578125" style="133" bestFit="1" customWidth="1"/>
    <col min="3857" max="4096" width="9.140625" style="133"/>
    <col min="4097" max="4097" width="3.42578125" style="133" customWidth="1"/>
    <col min="4098" max="4098" width="20.5703125" style="133" customWidth="1"/>
    <col min="4099" max="4099" width="15.42578125" style="133" customWidth="1"/>
    <col min="4100" max="4100" width="14.42578125" style="133" bestFit="1" customWidth="1"/>
    <col min="4101" max="4101" width="11.5703125" style="133" bestFit="1" customWidth="1"/>
    <col min="4102" max="4102" width="13.42578125" style="133" bestFit="1" customWidth="1"/>
    <col min="4103" max="4103" width="13.85546875" style="133" customWidth="1"/>
    <col min="4104" max="4104" width="13.140625" style="133" bestFit="1" customWidth="1"/>
    <col min="4105" max="4107" width="15.42578125" style="133" customWidth="1"/>
    <col min="4108" max="4108" width="15.140625" style="133" customWidth="1"/>
    <col min="4109" max="4109" width="11.5703125" style="133" bestFit="1" customWidth="1"/>
    <col min="4110" max="4111" width="13.140625" style="133" bestFit="1" customWidth="1"/>
    <col min="4112" max="4112" width="10.42578125" style="133" bestFit="1" customWidth="1"/>
    <col min="4113" max="4352" width="9.140625" style="133"/>
    <col min="4353" max="4353" width="3.42578125" style="133" customWidth="1"/>
    <col min="4354" max="4354" width="20.5703125" style="133" customWidth="1"/>
    <col min="4355" max="4355" width="15.42578125" style="133" customWidth="1"/>
    <col min="4356" max="4356" width="14.42578125" style="133" bestFit="1" customWidth="1"/>
    <col min="4357" max="4357" width="11.5703125" style="133" bestFit="1" customWidth="1"/>
    <col min="4358" max="4358" width="13.42578125" style="133" bestFit="1" customWidth="1"/>
    <col min="4359" max="4359" width="13.85546875" style="133" customWidth="1"/>
    <col min="4360" max="4360" width="13.140625" style="133" bestFit="1" customWidth="1"/>
    <col min="4361" max="4363" width="15.42578125" style="133" customWidth="1"/>
    <col min="4364" max="4364" width="15.140625" style="133" customWidth="1"/>
    <col min="4365" max="4365" width="11.5703125" style="133" bestFit="1" customWidth="1"/>
    <col min="4366" max="4367" width="13.140625" style="133" bestFit="1" customWidth="1"/>
    <col min="4368" max="4368" width="10.42578125" style="133" bestFit="1" customWidth="1"/>
    <col min="4369" max="4608" width="9.140625" style="133"/>
    <col min="4609" max="4609" width="3.42578125" style="133" customWidth="1"/>
    <col min="4610" max="4610" width="20.5703125" style="133" customWidth="1"/>
    <col min="4611" max="4611" width="15.42578125" style="133" customWidth="1"/>
    <col min="4612" max="4612" width="14.42578125" style="133" bestFit="1" customWidth="1"/>
    <col min="4613" max="4613" width="11.5703125" style="133" bestFit="1" customWidth="1"/>
    <col min="4614" max="4614" width="13.42578125" style="133" bestFit="1" customWidth="1"/>
    <col min="4615" max="4615" width="13.85546875" style="133" customWidth="1"/>
    <col min="4616" max="4616" width="13.140625" style="133" bestFit="1" customWidth="1"/>
    <col min="4617" max="4619" width="15.42578125" style="133" customWidth="1"/>
    <col min="4620" max="4620" width="15.140625" style="133" customWidth="1"/>
    <col min="4621" max="4621" width="11.5703125" style="133" bestFit="1" customWidth="1"/>
    <col min="4622" max="4623" width="13.140625" style="133" bestFit="1" customWidth="1"/>
    <col min="4624" max="4624" width="10.42578125" style="133" bestFit="1" customWidth="1"/>
    <col min="4625" max="4864" width="9.140625" style="133"/>
    <col min="4865" max="4865" width="3.42578125" style="133" customWidth="1"/>
    <col min="4866" max="4866" width="20.5703125" style="133" customWidth="1"/>
    <col min="4867" max="4867" width="15.42578125" style="133" customWidth="1"/>
    <col min="4868" max="4868" width="14.42578125" style="133" bestFit="1" customWidth="1"/>
    <col min="4869" max="4869" width="11.5703125" style="133" bestFit="1" customWidth="1"/>
    <col min="4870" max="4870" width="13.42578125" style="133" bestFit="1" customWidth="1"/>
    <col min="4871" max="4871" width="13.85546875" style="133" customWidth="1"/>
    <col min="4872" max="4872" width="13.140625" style="133" bestFit="1" customWidth="1"/>
    <col min="4873" max="4875" width="15.42578125" style="133" customWidth="1"/>
    <col min="4876" max="4876" width="15.140625" style="133" customWidth="1"/>
    <col min="4877" max="4877" width="11.5703125" style="133" bestFit="1" customWidth="1"/>
    <col min="4878" max="4879" width="13.140625" style="133" bestFit="1" customWidth="1"/>
    <col min="4880" max="4880" width="10.42578125" style="133" bestFit="1" customWidth="1"/>
    <col min="4881" max="5120" width="9.140625" style="133"/>
    <col min="5121" max="5121" width="3.42578125" style="133" customWidth="1"/>
    <col min="5122" max="5122" width="20.5703125" style="133" customWidth="1"/>
    <col min="5123" max="5123" width="15.42578125" style="133" customWidth="1"/>
    <col min="5124" max="5124" width="14.42578125" style="133" bestFit="1" customWidth="1"/>
    <col min="5125" max="5125" width="11.5703125" style="133" bestFit="1" customWidth="1"/>
    <col min="5126" max="5126" width="13.42578125" style="133" bestFit="1" customWidth="1"/>
    <col min="5127" max="5127" width="13.85546875" style="133" customWidth="1"/>
    <col min="5128" max="5128" width="13.140625" style="133" bestFit="1" customWidth="1"/>
    <col min="5129" max="5131" width="15.42578125" style="133" customWidth="1"/>
    <col min="5132" max="5132" width="15.140625" style="133" customWidth="1"/>
    <col min="5133" max="5133" width="11.5703125" style="133" bestFit="1" customWidth="1"/>
    <col min="5134" max="5135" width="13.140625" style="133" bestFit="1" customWidth="1"/>
    <col min="5136" max="5136" width="10.42578125" style="133" bestFit="1" customWidth="1"/>
    <col min="5137" max="5376" width="9.140625" style="133"/>
    <col min="5377" max="5377" width="3.42578125" style="133" customWidth="1"/>
    <col min="5378" max="5378" width="20.5703125" style="133" customWidth="1"/>
    <col min="5379" max="5379" width="15.42578125" style="133" customWidth="1"/>
    <col min="5380" max="5380" width="14.42578125" style="133" bestFit="1" customWidth="1"/>
    <col min="5381" max="5381" width="11.5703125" style="133" bestFit="1" customWidth="1"/>
    <col min="5382" max="5382" width="13.42578125" style="133" bestFit="1" customWidth="1"/>
    <col min="5383" max="5383" width="13.85546875" style="133" customWidth="1"/>
    <col min="5384" max="5384" width="13.140625" style="133" bestFit="1" customWidth="1"/>
    <col min="5385" max="5387" width="15.42578125" style="133" customWidth="1"/>
    <col min="5388" max="5388" width="15.140625" style="133" customWidth="1"/>
    <col min="5389" max="5389" width="11.5703125" style="133" bestFit="1" customWidth="1"/>
    <col min="5390" max="5391" width="13.140625" style="133" bestFit="1" customWidth="1"/>
    <col min="5392" max="5392" width="10.42578125" style="133" bestFit="1" customWidth="1"/>
    <col min="5393" max="5632" width="9.140625" style="133"/>
    <col min="5633" max="5633" width="3.42578125" style="133" customWidth="1"/>
    <col min="5634" max="5634" width="20.5703125" style="133" customWidth="1"/>
    <col min="5635" max="5635" width="15.42578125" style="133" customWidth="1"/>
    <col min="5636" max="5636" width="14.42578125" style="133" bestFit="1" customWidth="1"/>
    <col min="5637" max="5637" width="11.5703125" style="133" bestFit="1" customWidth="1"/>
    <col min="5638" max="5638" width="13.42578125" style="133" bestFit="1" customWidth="1"/>
    <col min="5639" max="5639" width="13.85546875" style="133" customWidth="1"/>
    <col min="5640" max="5640" width="13.140625" style="133" bestFit="1" customWidth="1"/>
    <col min="5641" max="5643" width="15.42578125" style="133" customWidth="1"/>
    <col min="5644" max="5644" width="15.140625" style="133" customWidth="1"/>
    <col min="5645" max="5645" width="11.5703125" style="133" bestFit="1" customWidth="1"/>
    <col min="5646" max="5647" width="13.140625" style="133" bestFit="1" customWidth="1"/>
    <col min="5648" max="5648" width="10.42578125" style="133" bestFit="1" customWidth="1"/>
    <col min="5649" max="5888" width="9.140625" style="133"/>
    <col min="5889" max="5889" width="3.42578125" style="133" customWidth="1"/>
    <col min="5890" max="5890" width="20.5703125" style="133" customWidth="1"/>
    <col min="5891" max="5891" width="15.42578125" style="133" customWidth="1"/>
    <col min="5892" max="5892" width="14.42578125" style="133" bestFit="1" customWidth="1"/>
    <col min="5893" max="5893" width="11.5703125" style="133" bestFit="1" customWidth="1"/>
    <col min="5894" max="5894" width="13.42578125" style="133" bestFit="1" customWidth="1"/>
    <col min="5895" max="5895" width="13.85546875" style="133" customWidth="1"/>
    <col min="5896" max="5896" width="13.140625" style="133" bestFit="1" customWidth="1"/>
    <col min="5897" max="5899" width="15.42578125" style="133" customWidth="1"/>
    <col min="5900" max="5900" width="15.140625" style="133" customWidth="1"/>
    <col min="5901" max="5901" width="11.5703125" style="133" bestFit="1" customWidth="1"/>
    <col min="5902" max="5903" width="13.140625" style="133" bestFit="1" customWidth="1"/>
    <col min="5904" max="5904" width="10.42578125" style="133" bestFit="1" customWidth="1"/>
    <col min="5905" max="6144" width="9.140625" style="133"/>
    <col min="6145" max="6145" width="3.42578125" style="133" customWidth="1"/>
    <col min="6146" max="6146" width="20.5703125" style="133" customWidth="1"/>
    <col min="6147" max="6147" width="15.42578125" style="133" customWidth="1"/>
    <col min="6148" max="6148" width="14.42578125" style="133" bestFit="1" customWidth="1"/>
    <col min="6149" max="6149" width="11.5703125" style="133" bestFit="1" customWidth="1"/>
    <col min="6150" max="6150" width="13.42578125" style="133" bestFit="1" customWidth="1"/>
    <col min="6151" max="6151" width="13.85546875" style="133" customWidth="1"/>
    <col min="6152" max="6152" width="13.140625" style="133" bestFit="1" customWidth="1"/>
    <col min="6153" max="6155" width="15.42578125" style="133" customWidth="1"/>
    <col min="6156" max="6156" width="15.140625" style="133" customWidth="1"/>
    <col min="6157" max="6157" width="11.5703125" style="133" bestFit="1" customWidth="1"/>
    <col min="6158" max="6159" width="13.140625" style="133" bestFit="1" customWidth="1"/>
    <col min="6160" max="6160" width="10.42578125" style="133" bestFit="1" customWidth="1"/>
    <col min="6161" max="6400" width="9.140625" style="133"/>
    <col min="6401" max="6401" width="3.42578125" style="133" customWidth="1"/>
    <col min="6402" max="6402" width="20.5703125" style="133" customWidth="1"/>
    <col min="6403" max="6403" width="15.42578125" style="133" customWidth="1"/>
    <col min="6404" max="6404" width="14.42578125" style="133" bestFit="1" customWidth="1"/>
    <col min="6405" max="6405" width="11.5703125" style="133" bestFit="1" customWidth="1"/>
    <col min="6406" max="6406" width="13.42578125" style="133" bestFit="1" customWidth="1"/>
    <col min="6407" max="6407" width="13.85546875" style="133" customWidth="1"/>
    <col min="6408" max="6408" width="13.140625" style="133" bestFit="1" customWidth="1"/>
    <col min="6409" max="6411" width="15.42578125" style="133" customWidth="1"/>
    <col min="6412" max="6412" width="15.140625" style="133" customWidth="1"/>
    <col min="6413" max="6413" width="11.5703125" style="133" bestFit="1" customWidth="1"/>
    <col min="6414" max="6415" width="13.140625" style="133" bestFit="1" customWidth="1"/>
    <col min="6416" max="6416" width="10.42578125" style="133" bestFit="1" customWidth="1"/>
    <col min="6417" max="6656" width="9.140625" style="133"/>
    <col min="6657" max="6657" width="3.42578125" style="133" customWidth="1"/>
    <col min="6658" max="6658" width="20.5703125" style="133" customWidth="1"/>
    <col min="6659" max="6659" width="15.42578125" style="133" customWidth="1"/>
    <col min="6660" max="6660" width="14.42578125" style="133" bestFit="1" customWidth="1"/>
    <col min="6661" max="6661" width="11.5703125" style="133" bestFit="1" customWidth="1"/>
    <col min="6662" max="6662" width="13.42578125" style="133" bestFit="1" customWidth="1"/>
    <col min="6663" max="6663" width="13.85546875" style="133" customWidth="1"/>
    <col min="6664" max="6664" width="13.140625" style="133" bestFit="1" customWidth="1"/>
    <col min="6665" max="6667" width="15.42578125" style="133" customWidth="1"/>
    <col min="6668" max="6668" width="15.140625" style="133" customWidth="1"/>
    <col min="6669" max="6669" width="11.5703125" style="133" bestFit="1" customWidth="1"/>
    <col min="6670" max="6671" width="13.140625" style="133" bestFit="1" customWidth="1"/>
    <col min="6672" max="6672" width="10.42578125" style="133" bestFit="1" customWidth="1"/>
    <col min="6673" max="6912" width="9.140625" style="133"/>
    <col min="6913" max="6913" width="3.42578125" style="133" customWidth="1"/>
    <col min="6914" max="6914" width="20.5703125" style="133" customWidth="1"/>
    <col min="6915" max="6915" width="15.42578125" style="133" customWidth="1"/>
    <col min="6916" max="6916" width="14.42578125" style="133" bestFit="1" customWidth="1"/>
    <col min="6917" max="6917" width="11.5703125" style="133" bestFit="1" customWidth="1"/>
    <col min="6918" max="6918" width="13.42578125" style="133" bestFit="1" customWidth="1"/>
    <col min="6919" max="6919" width="13.85546875" style="133" customWidth="1"/>
    <col min="6920" max="6920" width="13.140625" style="133" bestFit="1" customWidth="1"/>
    <col min="6921" max="6923" width="15.42578125" style="133" customWidth="1"/>
    <col min="6924" max="6924" width="15.140625" style="133" customWidth="1"/>
    <col min="6925" max="6925" width="11.5703125" style="133" bestFit="1" customWidth="1"/>
    <col min="6926" max="6927" width="13.140625" style="133" bestFit="1" customWidth="1"/>
    <col min="6928" max="6928" width="10.42578125" style="133" bestFit="1" customWidth="1"/>
    <col min="6929" max="7168" width="9.140625" style="133"/>
    <col min="7169" max="7169" width="3.42578125" style="133" customWidth="1"/>
    <col min="7170" max="7170" width="20.5703125" style="133" customWidth="1"/>
    <col min="7171" max="7171" width="15.42578125" style="133" customWidth="1"/>
    <col min="7172" max="7172" width="14.42578125" style="133" bestFit="1" customWidth="1"/>
    <col min="7173" max="7173" width="11.5703125" style="133" bestFit="1" customWidth="1"/>
    <col min="7174" max="7174" width="13.42578125" style="133" bestFit="1" customWidth="1"/>
    <col min="7175" max="7175" width="13.85546875" style="133" customWidth="1"/>
    <col min="7176" max="7176" width="13.140625" style="133" bestFit="1" customWidth="1"/>
    <col min="7177" max="7179" width="15.42578125" style="133" customWidth="1"/>
    <col min="7180" max="7180" width="15.140625" style="133" customWidth="1"/>
    <col min="7181" max="7181" width="11.5703125" style="133" bestFit="1" customWidth="1"/>
    <col min="7182" max="7183" width="13.140625" style="133" bestFit="1" customWidth="1"/>
    <col min="7184" max="7184" width="10.42578125" style="133" bestFit="1" customWidth="1"/>
    <col min="7185" max="7424" width="9.140625" style="133"/>
    <col min="7425" max="7425" width="3.42578125" style="133" customWidth="1"/>
    <col min="7426" max="7426" width="20.5703125" style="133" customWidth="1"/>
    <col min="7427" max="7427" width="15.42578125" style="133" customWidth="1"/>
    <col min="7428" max="7428" width="14.42578125" style="133" bestFit="1" customWidth="1"/>
    <col min="7429" max="7429" width="11.5703125" style="133" bestFit="1" customWidth="1"/>
    <col min="7430" max="7430" width="13.42578125" style="133" bestFit="1" customWidth="1"/>
    <col min="7431" max="7431" width="13.85546875" style="133" customWidth="1"/>
    <col min="7432" max="7432" width="13.140625" style="133" bestFit="1" customWidth="1"/>
    <col min="7433" max="7435" width="15.42578125" style="133" customWidth="1"/>
    <col min="7436" max="7436" width="15.140625" style="133" customWidth="1"/>
    <col min="7437" max="7437" width="11.5703125" style="133" bestFit="1" customWidth="1"/>
    <col min="7438" max="7439" width="13.140625" style="133" bestFit="1" customWidth="1"/>
    <col min="7440" max="7440" width="10.42578125" style="133" bestFit="1" customWidth="1"/>
    <col min="7441" max="7680" width="9.140625" style="133"/>
    <col min="7681" max="7681" width="3.42578125" style="133" customWidth="1"/>
    <col min="7682" max="7682" width="20.5703125" style="133" customWidth="1"/>
    <col min="7683" max="7683" width="15.42578125" style="133" customWidth="1"/>
    <col min="7684" max="7684" width="14.42578125" style="133" bestFit="1" customWidth="1"/>
    <col min="7685" max="7685" width="11.5703125" style="133" bestFit="1" customWidth="1"/>
    <col min="7686" max="7686" width="13.42578125" style="133" bestFit="1" customWidth="1"/>
    <col min="7687" max="7687" width="13.85546875" style="133" customWidth="1"/>
    <col min="7688" max="7688" width="13.140625" style="133" bestFit="1" customWidth="1"/>
    <col min="7689" max="7691" width="15.42578125" style="133" customWidth="1"/>
    <col min="7692" max="7692" width="15.140625" style="133" customWidth="1"/>
    <col min="7693" max="7693" width="11.5703125" style="133" bestFit="1" customWidth="1"/>
    <col min="7694" max="7695" width="13.140625" style="133" bestFit="1" customWidth="1"/>
    <col min="7696" max="7696" width="10.42578125" style="133" bestFit="1" customWidth="1"/>
    <col min="7697" max="7936" width="9.140625" style="133"/>
    <col min="7937" max="7937" width="3.42578125" style="133" customWidth="1"/>
    <col min="7938" max="7938" width="20.5703125" style="133" customWidth="1"/>
    <col min="7939" max="7939" width="15.42578125" style="133" customWidth="1"/>
    <col min="7940" max="7940" width="14.42578125" style="133" bestFit="1" customWidth="1"/>
    <col min="7941" max="7941" width="11.5703125" style="133" bestFit="1" customWidth="1"/>
    <col min="7942" max="7942" width="13.42578125" style="133" bestFit="1" customWidth="1"/>
    <col min="7943" max="7943" width="13.85546875" style="133" customWidth="1"/>
    <col min="7944" max="7944" width="13.140625" style="133" bestFit="1" customWidth="1"/>
    <col min="7945" max="7947" width="15.42578125" style="133" customWidth="1"/>
    <col min="7948" max="7948" width="15.140625" style="133" customWidth="1"/>
    <col min="7949" max="7949" width="11.5703125" style="133" bestFit="1" customWidth="1"/>
    <col min="7950" max="7951" width="13.140625" style="133" bestFit="1" customWidth="1"/>
    <col min="7952" max="7952" width="10.42578125" style="133" bestFit="1" customWidth="1"/>
    <col min="7953" max="8192" width="9.140625" style="133"/>
    <col min="8193" max="8193" width="3.42578125" style="133" customWidth="1"/>
    <col min="8194" max="8194" width="20.5703125" style="133" customWidth="1"/>
    <col min="8195" max="8195" width="15.42578125" style="133" customWidth="1"/>
    <col min="8196" max="8196" width="14.42578125" style="133" bestFit="1" customWidth="1"/>
    <col min="8197" max="8197" width="11.5703125" style="133" bestFit="1" customWidth="1"/>
    <col min="8198" max="8198" width="13.42578125" style="133" bestFit="1" customWidth="1"/>
    <col min="8199" max="8199" width="13.85546875" style="133" customWidth="1"/>
    <col min="8200" max="8200" width="13.140625" style="133" bestFit="1" customWidth="1"/>
    <col min="8201" max="8203" width="15.42578125" style="133" customWidth="1"/>
    <col min="8204" max="8204" width="15.140625" style="133" customWidth="1"/>
    <col min="8205" max="8205" width="11.5703125" style="133" bestFit="1" customWidth="1"/>
    <col min="8206" max="8207" width="13.140625" style="133" bestFit="1" customWidth="1"/>
    <col min="8208" max="8208" width="10.42578125" style="133" bestFit="1" customWidth="1"/>
    <col min="8209" max="8448" width="9.140625" style="133"/>
    <col min="8449" max="8449" width="3.42578125" style="133" customWidth="1"/>
    <col min="8450" max="8450" width="20.5703125" style="133" customWidth="1"/>
    <col min="8451" max="8451" width="15.42578125" style="133" customWidth="1"/>
    <col min="8452" max="8452" width="14.42578125" style="133" bestFit="1" customWidth="1"/>
    <col min="8453" max="8453" width="11.5703125" style="133" bestFit="1" customWidth="1"/>
    <col min="8454" max="8454" width="13.42578125" style="133" bestFit="1" customWidth="1"/>
    <col min="8455" max="8455" width="13.85546875" style="133" customWidth="1"/>
    <col min="8456" max="8456" width="13.140625" style="133" bestFit="1" customWidth="1"/>
    <col min="8457" max="8459" width="15.42578125" style="133" customWidth="1"/>
    <col min="8460" max="8460" width="15.140625" style="133" customWidth="1"/>
    <col min="8461" max="8461" width="11.5703125" style="133" bestFit="1" customWidth="1"/>
    <col min="8462" max="8463" width="13.140625" style="133" bestFit="1" customWidth="1"/>
    <col min="8464" max="8464" width="10.42578125" style="133" bestFit="1" customWidth="1"/>
    <col min="8465" max="8704" width="9.140625" style="133"/>
    <col min="8705" max="8705" width="3.42578125" style="133" customWidth="1"/>
    <col min="8706" max="8706" width="20.5703125" style="133" customWidth="1"/>
    <col min="8707" max="8707" width="15.42578125" style="133" customWidth="1"/>
    <col min="8708" max="8708" width="14.42578125" style="133" bestFit="1" customWidth="1"/>
    <col min="8709" max="8709" width="11.5703125" style="133" bestFit="1" customWidth="1"/>
    <col min="8710" max="8710" width="13.42578125" style="133" bestFit="1" customWidth="1"/>
    <col min="8711" max="8711" width="13.85546875" style="133" customWidth="1"/>
    <col min="8712" max="8712" width="13.140625" style="133" bestFit="1" customWidth="1"/>
    <col min="8713" max="8715" width="15.42578125" style="133" customWidth="1"/>
    <col min="8716" max="8716" width="15.140625" style="133" customWidth="1"/>
    <col min="8717" max="8717" width="11.5703125" style="133" bestFit="1" customWidth="1"/>
    <col min="8718" max="8719" width="13.140625" style="133" bestFit="1" customWidth="1"/>
    <col min="8720" max="8720" width="10.42578125" style="133" bestFit="1" customWidth="1"/>
    <col min="8721" max="8960" width="9.140625" style="133"/>
    <col min="8961" max="8961" width="3.42578125" style="133" customWidth="1"/>
    <col min="8962" max="8962" width="20.5703125" style="133" customWidth="1"/>
    <col min="8963" max="8963" width="15.42578125" style="133" customWidth="1"/>
    <col min="8964" max="8964" width="14.42578125" style="133" bestFit="1" customWidth="1"/>
    <col min="8965" max="8965" width="11.5703125" style="133" bestFit="1" customWidth="1"/>
    <col min="8966" max="8966" width="13.42578125" style="133" bestFit="1" customWidth="1"/>
    <col min="8967" max="8967" width="13.85546875" style="133" customWidth="1"/>
    <col min="8968" max="8968" width="13.140625" style="133" bestFit="1" customWidth="1"/>
    <col min="8969" max="8971" width="15.42578125" style="133" customWidth="1"/>
    <col min="8972" max="8972" width="15.140625" style="133" customWidth="1"/>
    <col min="8973" max="8973" width="11.5703125" style="133" bestFit="1" customWidth="1"/>
    <col min="8974" max="8975" width="13.140625" style="133" bestFit="1" customWidth="1"/>
    <col min="8976" max="8976" width="10.42578125" style="133" bestFit="1" customWidth="1"/>
    <col min="8977" max="9216" width="9.140625" style="133"/>
    <col min="9217" max="9217" width="3.42578125" style="133" customWidth="1"/>
    <col min="9218" max="9218" width="20.5703125" style="133" customWidth="1"/>
    <col min="9219" max="9219" width="15.42578125" style="133" customWidth="1"/>
    <col min="9220" max="9220" width="14.42578125" style="133" bestFit="1" customWidth="1"/>
    <col min="9221" max="9221" width="11.5703125" style="133" bestFit="1" customWidth="1"/>
    <col min="9222" max="9222" width="13.42578125" style="133" bestFit="1" customWidth="1"/>
    <col min="9223" max="9223" width="13.85546875" style="133" customWidth="1"/>
    <col min="9224" max="9224" width="13.140625" style="133" bestFit="1" customWidth="1"/>
    <col min="9225" max="9227" width="15.42578125" style="133" customWidth="1"/>
    <col min="9228" max="9228" width="15.140625" style="133" customWidth="1"/>
    <col min="9229" max="9229" width="11.5703125" style="133" bestFit="1" customWidth="1"/>
    <col min="9230" max="9231" width="13.140625" style="133" bestFit="1" customWidth="1"/>
    <col min="9232" max="9232" width="10.42578125" style="133" bestFit="1" customWidth="1"/>
    <col min="9233" max="9472" width="9.140625" style="133"/>
    <col min="9473" max="9473" width="3.42578125" style="133" customWidth="1"/>
    <col min="9474" max="9474" width="20.5703125" style="133" customWidth="1"/>
    <col min="9475" max="9475" width="15.42578125" style="133" customWidth="1"/>
    <col min="9476" max="9476" width="14.42578125" style="133" bestFit="1" customWidth="1"/>
    <col min="9477" max="9477" width="11.5703125" style="133" bestFit="1" customWidth="1"/>
    <col min="9478" max="9478" width="13.42578125" style="133" bestFit="1" customWidth="1"/>
    <col min="9479" max="9479" width="13.85546875" style="133" customWidth="1"/>
    <col min="9480" max="9480" width="13.140625" style="133" bestFit="1" customWidth="1"/>
    <col min="9481" max="9483" width="15.42578125" style="133" customWidth="1"/>
    <col min="9484" max="9484" width="15.140625" style="133" customWidth="1"/>
    <col min="9485" max="9485" width="11.5703125" style="133" bestFit="1" customWidth="1"/>
    <col min="9486" max="9487" width="13.140625" style="133" bestFit="1" customWidth="1"/>
    <col min="9488" max="9488" width="10.42578125" style="133" bestFit="1" customWidth="1"/>
    <col min="9489" max="9728" width="9.140625" style="133"/>
    <col min="9729" max="9729" width="3.42578125" style="133" customWidth="1"/>
    <col min="9730" max="9730" width="20.5703125" style="133" customWidth="1"/>
    <col min="9731" max="9731" width="15.42578125" style="133" customWidth="1"/>
    <col min="9732" max="9732" width="14.42578125" style="133" bestFit="1" customWidth="1"/>
    <col min="9733" max="9733" width="11.5703125" style="133" bestFit="1" customWidth="1"/>
    <col min="9734" max="9734" width="13.42578125" style="133" bestFit="1" customWidth="1"/>
    <col min="9735" max="9735" width="13.85546875" style="133" customWidth="1"/>
    <col min="9736" max="9736" width="13.140625" style="133" bestFit="1" customWidth="1"/>
    <col min="9737" max="9739" width="15.42578125" style="133" customWidth="1"/>
    <col min="9740" max="9740" width="15.140625" style="133" customWidth="1"/>
    <col min="9741" max="9741" width="11.5703125" style="133" bestFit="1" customWidth="1"/>
    <col min="9742" max="9743" width="13.140625" style="133" bestFit="1" customWidth="1"/>
    <col min="9744" max="9744" width="10.42578125" style="133" bestFit="1" customWidth="1"/>
    <col min="9745" max="9984" width="9.140625" style="133"/>
    <col min="9985" max="9985" width="3.42578125" style="133" customWidth="1"/>
    <col min="9986" max="9986" width="20.5703125" style="133" customWidth="1"/>
    <col min="9987" max="9987" width="15.42578125" style="133" customWidth="1"/>
    <col min="9988" max="9988" width="14.42578125" style="133" bestFit="1" customWidth="1"/>
    <col min="9989" max="9989" width="11.5703125" style="133" bestFit="1" customWidth="1"/>
    <col min="9990" max="9990" width="13.42578125" style="133" bestFit="1" customWidth="1"/>
    <col min="9991" max="9991" width="13.85546875" style="133" customWidth="1"/>
    <col min="9992" max="9992" width="13.140625" style="133" bestFit="1" customWidth="1"/>
    <col min="9993" max="9995" width="15.42578125" style="133" customWidth="1"/>
    <col min="9996" max="9996" width="15.140625" style="133" customWidth="1"/>
    <col min="9997" max="9997" width="11.5703125" style="133" bestFit="1" customWidth="1"/>
    <col min="9998" max="9999" width="13.140625" style="133" bestFit="1" customWidth="1"/>
    <col min="10000" max="10000" width="10.42578125" style="133" bestFit="1" customWidth="1"/>
    <col min="10001" max="10240" width="9.140625" style="133"/>
    <col min="10241" max="10241" width="3.42578125" style="133" customWidth="1"/>
    <col min="10242" max="10242" width="20.5703125" style="133" customWidth="1"/>
    <col min="10243" max="10243" width="15.42578125" style="133" customWidth="1"/>
    <col min="10244" max="10244" width="14.42578125" style="133" bestFit="1" customWidth="1"/>
    <col min="10245" max="10245" width="11.5703125" style="133" bestFit="1" customWidth="1"/>
    <col min="10246" max="10246" width="13.42578125" style="133" bestFit="1" customWidth="1"/>
    <col min="10247" max="10247" width="13.85546875" style="133" customWidth="1"/>
    <col min="10248" max="10248" width="13.140625" style="133" bestFit="1" customWidth="1"/>
    <col min="10249" max="10251" width="15.42578125" style="133" customWidth="1"/>
    <col min="10252" max="10252" width="15.140625" style="133" customWidth="1"/>
    <col min="10253" max="10253" width="11.5703125" style="133" bestFit="1" customWidth="1"/>
    <col min="10254" max="10255" width="13.140625" style="133" bestFit="1" customWidth="1"/>
    <col min="10256" max="10256" width="10.42578125" style="133" bestFit="1" customWidth="1"/>
    <col min="10257" max="10496" width="9.140625" style="133"/>
    <col min="10497" max="10497" width="3.42578125" style="133" customWidth="1"/>
    <col min="10498" max="10498" width="20.5703125" style="133" customWidth="1"/>
    <col min="10499" max="10499" width="15.42578125" style="133" customWidth="1"/>
    <col min="10500" max="10500" width="14.42578125" style="133" bestFit="1" customWidth="1"/>
    <col min="10501" max="10501" width="11.5703125" style="133" bestFit="1" customWidth="1"/>
    <col min="10502" max="10502" width="13.42578125" style="133" bestFit="1" customWidth="1"/>
    <col min="10503" max="10503" width="13.85546875" style="133" customWidth="1"/>
    <col min="10504" max="10504" width="13.140625" style="133" bestFit="1" customWidth="1"/>
    <col min="10505" max="10507" width="15.42578125" style="133" customWidth="1"/>
    <col min="10508" max="10508" width="15.140625" style="133" customWidth="1"/>
    <col min="10509" max="10509" width="11.5703125" style="133" bestFit="1" customWidth="1"/>
    <col min="10510" max="10511" width="13.140625" style="133" bestFit="1" customWidth="1"/>
    <col min="10512" max="10512" width="10.42578125" style="133" bestFit="1" customWidth="1"/>
    <col min="10513" max="10752" width="9.140625" style="133"/>
    <col min="10753" max="10753" width="3.42578125" style="133" customWidth="1"/>
    <col min="10754" max="10754" width="20.5703125" style="133" customWidth="1"/>
    <col min="10755" max="10755" width="15.42578125" style="133" customWidth="1"/>
    <col min="10756" max="10756" width="14.42578125" style="133" bestFit="1" customWidth="1"/>
    <col min="10757" max="10757" width="11.5703125" style="133" bestFit="1" customWidth="1"/>
    <col min="10758" max="10758" width="13.42578125" style="133" bestFit="1" customWidth="1"/>
    <col min="10759" max="10759" width="13.85546875" style="133" customWidth="1"/>
    <col min="10760" max="10760" width="13.140625" style="133" bestFit="1" customWidth="1"/>
    <col min="10761" max="10763" width="15.42578125" style="133" customWidth="1"/>
    <col min="10764" max="10764" width="15.140625" style="133" customWidth="1"/>
    <col min="10765" max="10765" width="11.5703125" style="133" bestFit="1" customWidth="1"/>
    <col min="10766" max="10767" width="13.140625" style="133" bestFit="1" customWidth="1"/>
    <col min="10768" max="10768" width="10.42578125" style="133" bestFit="1" customWidth="1"/>
    <col min="10769" max="11008" width="9.140625" style="133"/>
    <col min="11009" max="11009" width="3.42578125" style="133" customWidth="1"/>
    <col min="11010" max="11010" width="20.5703125" style="133" customWidth="1"/>
    <col min="11011" max="11011" width="15.42578125" style="133" customWidth="1"/>
    <col min="11012" max="11012" width="14.42578125" style="133" bestFit="1" customWidth="1"/>
    <col min="11013" max="11013" width="11.5703125" style="133" bestFit="1" customWidth="1"/>
    <col min="11014" max="11014" width="13.42578125" style="133" bestFit="1" customWidth="1"/>
    <col min="11015" max="11015" width="13.85546875" style="133" customWidth="1"/>
    <col min="11016" max="11016" width="13.140625" style="133" bestFit="1" customWidth="1"/>
    <col min="11017" max="11019" width="15.42578125" style="133" customWidth="1"/>
    <col min="11020" max="11020" width="15.140625" style="133" customWidth="1"/>
    <col min="11021" max="11021" width="11.5703125" style="133" bestFit="1" customWidth="1"/>
    <col min="11022" max="11023" width="13.140625" style="133" bestFit="1" customWidth="1"/>
    <col min="11024" max="11024" width="10.42578125" style="133" bestFit="1" customWidth="1"/>
    <col min="11025" max="11264" width="9.140625" style="133"/>
    <col min="11265" max="11265" width="3.42578125" style="133" customWidth="1"/>
    <col min="11266" max="11266" width="20.5703125" style="133" customWidth="1"/>
    <col min="11267" max="11267" width="15.42578125" style="133" customWidth="1"/>
    <col min="11268" max="11268" width="14.42578125" style="133" bestFit="1" customWidth="1"/>
    <col min="11269" max="11269" width="11.5703125" style="133" bestFit="1" customWidth="1"/>
    <col min="11270" max="11270" width="13.42578125" style="133" bestFit="1" customWidth="1"/>
    <col min="11271" max="11271" width="13.85546875" style="133" customWidth="1"/>
    <col min="11272" max="11272" width="13.140625" style="133" bestFit="1" customWidth="1"/>
    <col min="11273" max="11275" width="15.42578125" style="133" customWidth="1"/>
    <col min="11276" max="11276" width="15.140625" style="133" customWidth="1"/>
    <col min="11277" max="11277" width="11.5703125" style="133" bestFit="1" customWidth="1"/>
    <col min="11278" max="11279" width="13.140625" style="133" bestFit="1" customWidth="1"/>
    <col min="11280" max="11280" width="10.42578125" style="133" bestFit="1" customWidth="1"/>
    <col min="11281" max="11520" width="9.140625" style="133"/>
    <col min="11521" max="11521" width="3.42578125" style="133" customWidth="1"/>
    <col min="11522" max="11522" width="20.5703125" style="133" customWidth="1"/>
    <col min="11523" max="11523" width="15.42578125" style="133" customWidth="1"/>
    <col min="11524" max="11524" width="14.42578125" style="133" bestFit="1" customWidth="1"/>
    <col min="11525" max="11525" width="11.5703125" style="133" bestFit="1" customWidth="1"/>
    <col min="11526" max="11526" width="13.42578125" style="133" bestFit="1" customWidth="1"/>
    <col min="11527" max="11527" width="13.85546875" style="133" customWidth="1"/>
    <col min="11528" max="11528" width="13.140625" style="133" bestFit="1" customWidth="1"/>
    <col min="11529" max="11531" width="15.42578125" style="133" customWidth="1"/>
    <col min="11532" max="11532" width="15.140625" style="133" customWidth="1"/>
    <col min="11533" max="11533" width="11.5703125" style="133" bestFit="1" customWidth="1"/>
    <col min="11534" max="11535" width="13.140625" style="133" bestFit="1" customWidth="1"/>
    <col min="11536" max="11536" width="10.42578125" style="133" bestFit="1" customWidth="1"/>
    <col min="11537" max="11776" width="9.140625" style="133"/>
    <col min="11777" max="11777" width="3.42578125" style="133" customWidth="1"/>
    <col min="11778" max="11778" width="20.5703125" style="133" customWidth="1"/>
    <col min="11779" max="11779" width="15.42578125" style="133" customWidth="1"/>
    <col min="11780" max="11780" width="14.42578125" style="133" bestFit="1" customWidth="1"/>
    <col min="11781" max="11781" width="11.5703125" style="133" bestFit="1" customWidth="1"/>
    <col min="11782" max="11782" width="13.42578125" style="133" bestFit="1" customWidth="1"/>
    <col min="11783" max="11783" width="13.85546875" style="133" customWidth="1"/>
    <col min="11784" max="11784" width="13.140625" style="133" bestFit="1" customWidth="1"/>
    <col min="11785" max="11787" width="15.42578125" style="133" customWidth="1"/>
    <col min="11788" max="11788" width="15.140625" style="133" customWidth="1"/>
    <col min="11789" max="11789" width="11.5703125" style="133" bestFit="1" customWidth="1"/>
    <col min="11790" max="11791" width="13.140625" style="133" bestFit="1" customWidth="1"/>
    <col min="11792" max="11792" width="10.42578125" style="133" bestFit="1" customWidth="1"/>
    <col min="11793" max="12032" width="9.140625" style="133"/>
    <col min="12033" max="12033" width="3.42578125" style="133" customWidth="1"/>
    <col min="12034" max="12034" width="20.5703125" style="133" customWidth="1"/>
    <col min="12035" max="12035" width="15.42578125" style="133" customWidth="1"/>
    <col min="12036" max="12036" width="14.42578125" style="133" bestFit="1" customWidth="1"/>
    <col min="12037" max="12037" width="11.5703125" style="133" bestFit="1" customWidth="1"/>
    <col min="12038" max="12038" width="13.42578125" style="133" bestFit="1" customWidth="1"/>
    <col min="12039" max="12039" width="13.85546875" style="133" customWidth="1"/>
    <col min="12040" max="12040" width="13.140625" style="133" bestFit="1" customWidth="1"/>
    <col min="12041" max="12043" width="15.42578125" style="133" customWidth="1"/>
    <col min="12044" max="12044" width="15.140625" style="133" customWidth="1"/>
    <col min="12045" max="12045" width="11.5703125" style="133" bestFit="1" customWidth="1"/>
    <col min="12046" max="12047" width="13.140625" style="133" bestFit="1" customWidth="1"/>
    <col min="12048" max="12048" width="10.42578125" style="133" bestFit="1" customWidth="1"/>
    <col min="12049" max="12288" width="9.140625" style="133"/>
    <col min="12289" max="12289" width="3.42578125" style="133" customWidth="1"/>
    <col min="12290" max="12290" width="20.5703125" style="133" customWidth="1"/>
    <col min="12291" max="12291" width="15.42578125" style="133" customWidth="1"/>
    <col min="12292" max="12292" width="14.42578125" style="133" bestFit="1" customWidth="1"/>
    <col min="12293" max="12293" width="11.5703125" style="133" bestFit="1" customWidth="1"/>
    <col min="12294" max="12294" width="13.42578125" style="133" bestFit="1" customWidth="1"/>
    <col min="12295" max="12295" width="13.85546875" style="133" customWidth="1"/>
    <col min="12296" max="12296" width="13.140625" style="133" bestFit="1" customWidth="1"/>
    <col min="12297" max="12299" width="15.42578125" style="133" customWidth="1"/>
    <col min="12300" max="12300" width="15.140625" style="133" customWidth="1"/>
    <col min="12301" max="12301" width="11.5703125" style="133" bestFit="1" customWidth="1"/>
    <col min="12302" max="12303" width="13.140625" style="133" bestFit="1" customWidth="1"/>
    <col min="12304" max="12304" width="10.42578125" style="133" bestFit="1" customWidth="1"/>
    <col min="12305" max="12544" width="9.140625" style="133"/>
    <col min="12545" max="12545" width="3.42578125" style="133" customWidth="1"/>
    <col min="12546" max="12546" width="20.5703125" style="133" customWidth="1"/>
    <col min="12547" max="12547" width="15.42578125" style="133" customWidth="1"/>
    <col min="12548" max="12548" width="14.42578125" style="133" bestFit="1" customWidth="1"/>
    <col min="12549" max="12549" width="11.5703125" style="133" bestFit="1" customWidth="1"/>
    <col min="12550" max="12550" width="13.42578125" style="133" bestFit="1" customWidth="1"/>
    <col min="12551" max="12551" width="13.85546875" style="133" customWidth="1"/>
    <col min="12552" max="12552" width="13.140625" style="133" bestFit="1" customWidth="1"/>
    <col min="12553" max="12555" width="15.42578125" style="133" customWidth="1"/>
    <col min="12556" max="12556" width="15.140625" style="133" customWidth="1"/>
    <col min="12557" max="12557" width="11.5703125" style="133" bestFit="1" customWidth="1"/>
    <col min="12558" max="12559" width="13.140625" style="133" bestFit="1" customWidth="1"/>
    <col min="12560" max="12560" width="10.42578125" style="133" bestFit="1" customWidth="1"/>
    <col min="12561" max="12800" width="9.140625" style="133"/>
    <col min="12801" max="12801" width="3.42578125" style="133" customWidth="1"/>
    <col min="12802" max="12802" width="20.5703125" style="133" customWidth="1"/>
    <col min="12803" max="12803" width="15.42578125" style="133" customWidth="1"/>
    <col min="12804" max="12804" width="14.42578125" style="133" bestFit="1" customWidth="1"/>
    <col min="12805" max="12805" width="11.5703125" style="133" bestFit="1" customWidth="1"/>
    <col min="12806" max="12806" width="13.42578125" style="133" bestFit="1" customWidth="1"/>
    <col min="12807" max="12807" width="13.85546875" style="133" customWidth="1"/>
    <col min="12808" max="12808" width="13.140625" style="133" bestFit="1" customWidth="1"/>
    <col min="12809" max="12811" width="15.42578125" style="133" customWidth="1"/>
    <col min="12812" max="12812" width="15.140625" style="133" customWidth="1"/>
    <col min="12813" max="12813" width="11.5703125" style="133" bestFit="1" customWidth="1"/>
    <col min="12814" max="12815" width="13.140625" style="133" bestFit="1" customWidth="1"/>
    <col min="12816" max="12816" width="10.42578125" style="133" bestFit="1" customWidth="1"/>
    <col min="12817" max="13056" width="9.140625" style="133"/>
    <col min="13057" max="13057" width="3.42578125" style="133" customWidth="1"/>
    <col min="13058" max="13058" width="20.5703125" style="133" customWidth="1"/>
    <col min="13059" max="13059" width="15.42578125" style="133" customWidth="1"/>
    <col min="13060" max="13060" width="14.42578125" style="133" bestFit="1" customWidth="1"/>
    <col min="13061" max="13061" width="11.5703125" style="133" bestFit="1" customWidth="1"/>
    <col min="13062" max="13062" width="13.42578125" style="133" bestFit="1" customWidth="1"/>
    <col min="13063" max="13063" width="13.85546875" style="133" customWidth="1"/>
    <col min="13064" max="13064" width="13.140625" style="133" bestFit="1" customWidth="1"/>
    <col min="13065" max="13067" width="15.42578125" style="133" customWidth="1"/>
    <col min="13068" max="13068" width="15.140625" style="133" customWidth="1"/>
    <col min="13069" max="13069" width="11.5703125" style="133" bestFit="1" customWidth="1"/>
    <col min="13070" max="13071" width="13.140625" style="133" bestFit="1" customWidth="1"/>
    <col min="13072" max="13072" width="10.42578125" style="133" bestFit="1" customWidth="1"/>
    <col min="13073" max="13312" width="9.140625" style="133"/>
    <col min="13313" max="13313" width="3.42578125" style="133" customWidth="1"/>
    <col min="13314" max="13314" width="20.5703125" style="133" customWidth="1"/>
    <col min="13315" max="13315" width="15.42578125" style="133" customWidth="1"/>
    <col min="13316" max="13316" width="14.42578125" style="133" bestFit="1" customWidth="1"/>
    <col min="13317" max="13317" width="11.5703125" style="133" bestFit="1" customWidth="1"/>
    <col min="13318" max="13318" width="13.42578125" style="133" bestFit="1" customWidth="1"/>
    <col min="13319" max="13319" width="13.85546875" style="133" customWidth="1"/>
    <col min="13320" max="13320" width="13.140625" style="133" bestFit="1" customWidth="1"/>
    <col min="13321" max="13323" width="15.42578125" style="133" customWidth="1"/>
    <col min="13324" max="13324" width="15.140625" style="133" customWidth="1"/>
    <col min="13325" max="13325" width="11.5703125" style="133" bestFit="1" customWidth="1"/>
    <col min="13326" max="13327" width="13.140625" style="133" bestFit="1" customWidth="1"/>
    <col min="13328" max="13328" width="10.42578125" style="133" bestFit="1" customWidth="1"/>
    <col min="13329" max="13568" width="9.140625" style="133"/>
    <col min="13569" max="13569" width="3.42578125" style="133" customWidth="1"/>
    <col min="13570" max="13570" width="20.5703125" style="133" customWidth="1"/>
    <col min="13571" max="13571" width="15.42578125" style="133" customWidth="1"/>
    <col min="13572" max="13572" width="14.42578125" style="133" bestFit="1" customWidth="1"/>
    <col min="13573" max="13573" width="11.5703125" style="133" bestFit="1" customWidth="1"/>
    <col min="13574" max="13574" width="13.42578125" style="133" bestFit="1" customWidth="1"/>
    <col min="13575" max="13575" width="13.85546875" style="133" customWidth="1"/>
    <col min="13576" max="13576" width="13.140625" style="133" bestFit="1" customWidth="1"/>
    <col min="13577" max="13579" width="15.42578125" style="133" customWidth="1"/>
    <col min="13580" max="13580" width="15.140625" style="133" customWidth="1"/>
    <col min="13581" max="13581" width="11.5703125" style="133" bestFit="1" customWidth="1"/>
    <col min="13582" max="13583" width="13.140625" style="133" bestFit="1" customWidth="1"/>
    <col min="13584" max="13584" width="10.42578125" style="133" bestFit="1" customWidth="1"/>
    <col min="13585" max="13824" width="9.140625" style="133"/>
    <col min="13825" max="13825" width="3.42578125" style="133" customWidth="1"/>
    <col min="13826" max="13826" width="20.5703125" style="133" customWidth="1"/>
    <col min="13827" max="13827" width="15.42578125" style="133" customWidth="1"/>
    <col min="13828" max="13828" width="14.42578125" style="133" bestFit="1" customWidth="1"/>
    <col min="13829" max="13829" width="11.5703125" style="133" bestFit="1" customWidth="1"/>
    <col min="13830" max="13830" width="13.42578125" style="133" bestFit="1" customWidth="1"/>
    <col min="13831" max="13831" width="13.85546875" style="133" customWidth="1"/>
    <col min="13832" max="13832" width="13.140625" style="133" bestFit="1" customWidth="1"/>
    <col min="13833" max="13835" width="15.42578125" style="133" customWidth="1"/>
    <col min="13836" max="13836" width="15.140625" style="133" customWidth="1"/>
    <col min="13837" max="13837" width="11.5703125" style="133" bestFit="1" customWidth="1"/>
    <col min="13838" max="13839" width="13.140625" style="133" bestFit="1" customWidth="1"/>
    <col min="13840" max="13840" width="10.42578125" style="133" bestFit="1" customWidth="1"/>
    <col min="13841" max="14080" width="9.140625" style="133"/>
    <col min="14081" max="14081" width="3.42578125" style="133" customWidth="1"/>
    <col min="14082" max="14082" width="20.5703125" style="133" customWidth="1"/>
    <col min="14083" max="14083" width="15.42578125" style="133" customWidth="1"/>
    <col min="14084" max="14084" width="14.42578125" style="133" bestFit="1" customWidth="1"/>
    <col min="14085" max="14085" width="11.5703125" style="133" bestFit="1" customWidth="1"/>
    <col min="14086" max="14086" width="13.42578125" style="133" bestFit="1" customWidth="1"/>
    <col min="14087" max="14087" width="13.85546875" style="133" customWidth="1"/>
    <col min="14088" max="14088" width="13.140625" style="133" bestFit="1" customWidth="1"/>
    <col min="14089" max="14091" width="15.42578125" style="133" customWidth="1"/>
    <col min="14092" max="14092" width="15.140625" style="133" customWidth="1"/>
    <col min="14093" max="14093" width="11.5703125" style="133" bestFit="1" customWidth="1"/>
    <col min="14094" max="14095" width="13.140625" style="133" bestFit="1" customWidth="1"/>
    <col min="14096" max="14096" width="10.42578125" style="133" bestFit="1" customWidth="1"/>
    <col min="14097" max="14336" width="9.140625" style="133"/>
    <col min="14337" max="14337" width="3.42578125" style="133" customWidth="1"/>
    <col min="14338" max="14338" width="20.5703125" style="133" customWidth="1"/>
    <col min="14339" max="14339" width="15.42578125" style="133" customWidth="1"/>
    <col min="14340" max="14340" width="14.42578125" style="133" bestFit="1" customWidth="1"/>
    <col min="14341" max="14341" width="11.5703125" style="133" bestFit="1" customWidth="1"/>
    <col min="14342" max="14342" width="13.42578125" style="133" bestFit="1" customWidth="1"/>
    <col min="14343" max="14343" width="13.85546875" style="133" customWidth="1"/>
    <col min="14344" max="14344" width="13.140625" style="133" bestFit="1" customWidth="1"/>
    <col min="14345" max="14347" width="15.42578125" style="133" customWidth="1"/>
    <col min="14348" max="14348" width="15.140625" style="133" customWidth="1"/>
    <col min="14349" max="14349" width="11.5703125" style="133" bestFit="1" customWidth="1"/>
    <col min="14350" max="14351" width="13.140625" style="133" bestFit="1" customWidth="1"/>
    <col min="14352" max="14352" width="10.42578125" style="133" bestFit="1" customWidth="1"/>
    <col min="14353" max="14592" width="9.140625" style="133"/>
    <col min="14593" max="14593" width="3.42578125" style="133" customWidth="1"/>
    <col min="14594" max="14594" width="20.5703125" style="133" customWidth="1"/>
    <col min="14595" max="14595" width="15.42578125" style="133" customWidth="1"/>
    <col min="14596" max="14596" width="14.42578125" style="133" bestFit="1" customWidth="1"/>
    <col min="14597" max="14597" width="11.5703125" style="133" bestFit="1" customWidth="1"/>
    <col min="14598" max="14598" width="13.42578125" style="133" bestFit="1" customWidth="1"/>
    <col min="14599" max="14599" width="13.85546875" style="133" customWidth="1"/>
    <col min="14600" max="14600" width="13.140625" style="133" bestFit="1" customWidth="1"/>
    <col min="14601" max="14603" width="15.42578125" style="133" customWidth="1"/>
    <col min="14604" max="14604" width="15.140625" style="133" customWidth="1"/>
    <col min="14605" max="14605" width="11.5703125" style="133" bestFit="1" customWidth="1"/>
    <col min="14606" max="14607" width="13.140625" style="133" bestFit="1" customWidth="1"/>
    <col min="14608" max="14608" width="10.42578125" style="133" bestFit="1" customWidth="1"/>
    <col min="14609" max="14848" width="9.140625" style="133"/>
    <col min="14849" max="14849" width="3.42578125" style="133" customWidth="1"/>
    <col min="14850" max="14850" width="20.5703125" style="133" customWidth="1"/>
    <col min="14851" max="14851" width="15.42578125" style="133" customWidth="1"/>
    <col min="14852" max="14852" width="14.42578125" style="133" bestFit="1" customWidth="1"/>
    <col min="14853" max="14853" width="11.5703125" style="133" bestFit="1" customWidth="1"/>
    <col min="14854" max="14854" width="13.42578125" style="133" bestFit="1" customWidth="1"/>
    <col min="14855" max="14855" width="13.85546875" style="133" customWidth="1"/>
    <col min="14856" max="14856" width="13.140625" style="133" bestFit="1" customWidth="1"/>
    <col min="14857" max="14859" width="15.42578125" style="133" customWidth="1"/>
    <col min="14860" max="14860" width="15.140625" style="133" customWidth="1"/>
    <col min="14861" max="14861" width="11.5703125" style="133" bestFit="1" customWidth="1"/>
    <col min="14862" max="14863" width="13.140625" style="133" bestFit="1" customWidth="1"/>
    <col min="14864" max="14864" width="10.42578125" style="133" bestFit="1" customWidth="1"/>
    <col min="14865" max="15104" width="9.140625" style="133"/>
    <col min="15105" max="15105" width="3.42578125" style="133" customWidth="1"/>
    <col min="15106" max="15106" width="20.5703125" style="133" customWidth="1"/>
    <col min="15107" max="15107" width="15.42578125" style="133" customWidth="1"/>
    <col min="15108" max="15108" width="14.42578125" style="133" bestFit="1" customWidth="1"/>
    <col min="15109" max="15109" width="11.5703125" style="133" bestFit="1" customWidth="1"/>
    <col min="15110" max="15110" width="13.42578125" style="133" bestFit="1" customWidth="1"/>
    <col min="15111" max="15111" width="13.85546875" style="133" customWidth="1"/>
    <col min="15112" max="15112" width="13.140625" style="133" bestFit="1" customWidth="1"/>
    <col min="15113" max="15115" width="15.42578125" style="133" customWidth="1"/>
    <col min="15116" max="15116" width="15.140625" style="133" customWidth="1"/>
    <col min="15117" max="15117" width="11.5703125" style="133" bestFit="1" customWidth="1"/>
    <col min="15118" max="15119" width="13.140625" style="133" bestFit="1" customWidth="1"/>
    <col min="15120" max="15120" width="10.42578125" style="133" bestFit="1" customWidth="1"/>
    <col min="15121" max="15360" width="9.140625" style="133"/>
    <col min="15361" max="15361" width="3.42578125" style="133" customWidth="1"/>
    <col min="15362" max="15362" width="20.5703125" style="133" customWidth="1"/>
    <col min="15363" max="15363" width="15.42578125" style="133" customWidth="1"/>
    <col min="15364" max="15364" width="14.42578125" style="133" bestFit="1" customWidth="1"/>
    <col min="15365" max="15365" width="11.5703125" style="133" bestFit="1" customWidth="1"/>
    <col min="15366" max="15366" width="13.42578125" style="133" bestFit="1" customWidth="1"/>
    <col min="15367" max="15367" width="13.85546875" style="133" customWidth="1"/>
    <col min="15368" max="15368" width="13.140625" style="133" bestFit="1" customWidth="1"/>
    <col min="15369" max="15371" width="15.42578125" style="133" customWidth="1"/>
    <col min="15372" max="15372" width="15.140625" style="133" customWidth="1"/>
    <col min="15373" max="15373" width="11.5703125" style="133" bestFit="1" customWidth="1"/>
    <col min="15374" max="15375" width="13.140625" style="133" bestFit="1" customWidth="1"/>
    <col min="15376" max="15376" width="10.42578125" style="133" bestFit="1" customWidth="1"/>
    <col min="15377" max="15616" width="9.140625" style="133"/>
    <col min="15617" max="15617" width="3.42578125" style="133" customWidth="1"/>
    <col min="15618" max="15618" width="20.5703125" style="133" customWidth="1"/>
    <col min="15619" max="15619" width="15.42578125" style="133" customWidth="1"/>
    <col min="15620" max="15620" width="14.42578125" style="133" bestFit="1" customWidth="1"/>
    <col min="15621" max="15621" width="11.5703125" style="133" bestFit="1" customWidth="1"/>
    <col min="15622" max="15622" width="13.42578125" style="133" bestFit="1" customWidth="1"/>
    <col min="15623" max="15623" width="13.85546875" style="133" customWidth="1"/>
    <col min="15624" max="15624" width="13.140625" style="133" bestFit="1" customWidth="1"/>
    <col min="15625" max="15627" width="15.42578125" style="133" customWidth="1"/>
    <col min="15628" max="15628" width="15.140625" style="133" customWidth="1"/>
    <col min="15629" max="15629" width="11.5703125" style="133" bestFit="1" customWidth="1"/>
    <col min="15630" max="15631" width="13.140625" style="133" bestFit="1" customWidth="1"/>
    <col min="15632" max="15632" width="10.42578125" style="133" bestFit="1" customWidth="1"/>
    <col min="15633" max="15872" width="9.140625" style="133"/>
    <col min="15873" max="15873" width="3.42578125" style="133" customWidth="1"/>
    <col min="15874" max="15874" width="20.5703125" style="133" customWidth="1"/>
    <col min="15875" max="15875" width="15.42578125" style="133" customWidth="1"/>
    <col min="15876" max="15876" width="14.42578125" style="133" bestFit="1" customWidth="1"/>
    <col min="15877" max="15877" width="11.5703125" style="133" bestFit="1" customWidth="1"/>
    <col min="15878" max="15878" width="13.42578125" style="133" bestFit="1" customWidth="1"/>
    <col min="15879" max="15879" width="13.85546875" style="133" customWidth="1"/>
    <col min="15880" max="15880" width="13.140625" style="133" bestFit="1" customWidth="1"/>
    <col min="15881" max="15883" width="15.42578125" style="133" customWidth="1"/>
    <col min="15884" max="15884" width="15.140625" style="133" customWidth="1"/>
    <col min="15885" max="15885" width="11.5703125" style="133" bestFit="1" customWidth="1"/>
    <col min="15886" max="15887" width="13.140625" style="133" bestFit="1" customWidth="1"/>
    <col min="15888" max="15888" width="10.42578125" style="133" bestFit="1" customWidth="1"/>
    <col min="15889" max="16128" width="9.140625" style="133"/>
    <col min="16129" max="16129" width="3.42578125" style="133" customWidth="1"/>
    <col min="16130" max="16130" width="20.5703125" style="133" customWidth="1"/>
    <col min="16131" max="16131" width="15.42578125" style="133" customWidth="1"/>
    <col min="16132" max="16132" width="14.42578125" style="133" bestFit="1" customWidth="1"/>
    <col min="16133" max="16133" width="11.5703125" style="133" bestFit="1" customWidth="1"/>
    <col min="16134" max="16134" width="13.42578125" style="133" bestFit="1" customWidth="1"/>
    <col min="16135" max="16135" width="13.85546875" style="133" customWidth="1"/>
    <col min="16136" max="16136" width="13.140625" style="133" bestFit="1" customWidth="1"/>
    <col min="16137" max="16139" width="15.42578125" style="133" customWidth="1"/>
    <col min="16140" max="16140" width="15.140625" style="133" customWidth="1"/>
    <col min="16141" max="16141" width="11.5703125" style="133" bestFit="1" customWidth="1"/>
    <col min="16142" max="16143" width="13.140625" style="133" bestFit="1" customWidth="1"/>
    <col min="16144" max="16144" width="10.42578125" style="133" bestFit="1" customWidth="1"/>
    <col min="16145" max="16384" width="9.140625" style="133"/>
  </cols>
  <sheetData>
    <row r="1" spans="1:15" ht="18.75" x14ac:dyDescent="0.25">
      <c r="A1" s="132">
        <f>'Note 1'!B1</f>
        <v>0</v>
      </c>
    </row>
    <row r="2" spans="1:15" ht="15" x14ac:dyDescent="0.25">
      <c r="A2" s="61">
        <f>+'Note 2 - 8'!A2</f>
        <v>0</v>
      </c>
    </row>
    <row r="3" spans="1:15" ht="15" x14ac:dyDescent="0.25">
      <c r="A3" s="61" t="str">
        <f>+'Note 2 - 8'!A3</f>
        <v>Notes to financial statements for the year ended March 31, 2025</v>
      </c>
    </row>
    <row r="4" spans="1:15" x14ac:dyDescent="0.25">
      <c r="A4" s="62"/>
    </row>
    <row r="5" spans="1:15" ht="18.75" x14ac:dyDescent="0.3">
      <c r="B5" s="1590"/>
      <c r="C5" s="1590"/>
      <c r="D5" s="135"/>
      <c r="E5" s="135"/>
      <c r="F5" s="135"/>
      <c r="G5" s="135"/>
      <c r="H5" s="135"/>
      <c r="J5" s="135"/>
      <c r="L5" s="136"/>
    </row>
    <row r="6" spans="1:15" s="137" customFormat="1" ht="16.5" x14ac:dyDescent="0.3">
      <c r="A6" s="1591" t="s">
        <v>727</v>
      </c>
      <c r="B6" s="1592"/>
      <c r="C6" s="1592"/>
      <c r="D6" s="1592"/>
      <c r="E6" s="1592"/>
      <c r="F6" s="1592"/>
      <c r="G6" s="1592"/>
      <c r="H6" s="1592"/>
      <c r="I6" s="1592"/>
      <c r="J6" s="1592"/>
      <c r="K6" s="1592"/>
      <c r="L6" s="1593"/>
      <c r="M6" s="1"/>
      <c r="N6" s="133"/>
    </row>
    <row r="7" spans="1:15" s="137" customFormat="1" ht="26.1" customHeight="1" x14ac:dyDescent="0.3">
      <c r="A7" s="1594" t="s">
        <v>0</v>
      </c>
      <c r="B7" s="1595"/>
      <c r="C7" s="1598" t="s">
        <v>128</v>
      </c>
      <c r="D7" s="1598"/>
      <c r="E7" s="1598"/>
      <c r="F7" s="1598"/>
      <c r="G7" s="1598" t="s">
        <v>129</v>
      </c>
      <c r="H7" s="1598"/>
      <c r="I7" s="1598"/>
      <c r="J7" s="1598"/>
      <c r="K7" s="1598" t="s">
        <v>130</v>
      </c>
      <c r="L7" s="1598"/>
      <c r="M7" s="1"/>
      <c r="N7" s="133"/>
      <c r="O7" s="138"/>
    </row>
    <row r="8" spans="1:15" s="137" customFormat="1" ht="33" x14ac:dyDescent="0.3">
      <c r="A8" s="1596"/>
      <c r="B8" s="1597"/>
      <c r="C8" s="139" t="s">
        <v>1564</v>
      </c>
      <c r="D8" s="339" t="s">
        <v>2</v>
      </c>
      <c r="E8" s="139" t="s">
        <v>131</v>
      </c>
      <c r="F8" s="139" t="s">
        <v>1565</v>
      </c>
      <c r="G8" s="139" t="str">
        <f>C8</f>
        <v>As at 1st April 2024</v>
      </c>
      <c r="H8" s="339" t="s">
        <v>132</v>
      </c>
      <c r="I8" s="139" t="s">
        <v>131</v>
      </c>
      <c r="J8" s="139" t="str">
        <f>F8</f>
        <v>As at 31st March  2025</v>
      </c>
      <c r="K8" s="139" t="str">
        <f>J8</f>
        <v>As at 31st March  2025</v>
      </c>
      <c r="L8" s="139" t="str">
        <f>G8</f>
        <v>As at 1st April 2024</v>
      </c>
      <c r="M8" s="1"/>
      <c r="N8" s="133"/>
    </row>
    <row r="9" spans="1:15" s="137" customFormat="1" ht="16.5" x14ac:dyDescent="0.3">
      <c r="A9" s="140" t="s">
        <v>196</v>
      </c>
      <c r="B9" s="141"/>
      <c r="C9" s="458"/>
      <c r="D9" s="459"/>
      <c r="E9" s="458"/>
      <c r="F9" s="460"/>
      <c r="G9" s="458"/>
      <c r="H9" s="1268"/>
      <c r="I9" s="461"/>
      <c r="J9" s="1269"/>
      <c r="K9" s="460"/>
      <c r="L9" s="461"/>
      <c r="M9" s="1"/>
      <c r="N9" s="133"/>
    </row>
    <row r="10" spans="1:15" s="137" customFormat="1" ht="16.5" x14ac:dyDescent="0.3">
      <c r="A10" s="142">
        <v>1</v>
      </c>
      <c r="B10" s="143" t="s">
        <v>664</v>
      </c>
      <c r="C10" s="462">
        <f>+'FA Register FY 24-25'!I618</f>
        <v>142213117.75</v>
      </c>
      <c r="D10" s="426">
        <f>+'FA Register FY 24-25'!J618</f>
        <v>331102</v>
      </c>
      <c r="E10" s="462">
        <f>+'FA Register Companies Act'!L562</f>
        <v>0</v>
      </c>
      <c r="F10" s="462">
        <f>+C10+D10-E10</f>
        <v>142544219.75</v>
      </c>
      <c r="G10" s="462">
        <f>+'FA Register FY 24-25'!N618</f>
        <v>1791462</v>
      </c>
      <c r="H10" s="426">
        <f>+'FA Register FY 24-25'!O618</f>
        <v>2536370</v>
      </c>
      <c r="I10" s="462">
        <f>+'FA Register Companies Act'!P576</f>
        <v>0</v>
      </c>
      <c r="J10" s="426">
        <f>+G10+H10-I10</f>
        <v>4327832</v>
      </c>
      <c r="K10" s="462">
        <f>+F10-J10</f>
        <v>138216387.75</v>
      </c>
      <c r="L10" s="462">
        <f>+C10-G10</f>
        <v>140421655.75</v>
      </c>
      <c r="M10" s="1"/>
      <c r="N10" s="133"/>
      <c r="O10" s="144"/>
    </row>
    <row r="11" spans="1:15" s="137" customFormat="1" ht="16.5" x14ac:dyDescent="0.3">
      <c r="A11" s="142">
        <v>2</v>
      </c>
      <c r="B11" s="143" t="s">
        <v>665</v>
      </c>
      <c r="C11" s="462">
        <f>+'FA Register FY 24-25'!I619</f>
        <v>5026782.4499999993</v>
      </c>
      <c r="D11" s="426">
        <f>+'FA Register FY 24-25'!J619</f>
        <v>281236.38</v>
      </c>
      <c r="E11" s="462">
        <v>0</v>
      </c>
      <c r="F11" s="462">
        <f>+C11+D11-E11</f>
        <v>5308018.8299999991</v>
      </c>
      <c r="G11" s="462">
        <f>+'FA Register FY 24-25'!N619</f>
        <v>4270541</v>
      </c>
      <c r="H11" s="426">
        <f>+'FA Register FY 24-25'!O619</f>
        <v>514611</v>
      </c>
      <c r="I11" s="462">
        <f>+'FA Register Companies Act'!P577</f>
        <v>0</v>
      </c>
      <c r="J11" s="426">
        <f>+G11+H11-I11</f>
        <v>4785152</v>
      </c>
      <c r="K11" s="462">
        <f>+F11-J11</f>
        <v>522866.82999999914</v>
      </c>
      <c r="L11" s="462">
        <f>+C11-G11</f>
        <v>756241.44999999925</v>
      </c>
      <c r="M11" s="1"/>
      <c r="N11" s="133"/>
      <c r="O11" s="144"/>
    </row>
    <row r="12" spans="1:15" s="137" customFormat="1" ht="16.5" x14ac:dyDescent="0.3">
      <c r="A12" s="142">
        <v>3</v>
      </c>
      <c r="B12" s="143" t="s">
        <v>666</v>
      </c>
      <c r="C12" s="462">
        <f>+'FA Register FY 24-25'!I620</f>
        <v>22019710.159999996</v>
      </c>
      <c r="D12" s="426">
        <f>+'FA Register FY 24-25'!J620</f>
        <v>43000</v>
      </c>
      <c r="E12" s="462">
        <v>0</v>
      </c>
      <c r="F12" s="462">
        <f>+C12+D12-E12</f>
        <v>22062710.159999996</v>
      </c>
      <c r="G12" s="462">
        <f>+'FA Register FY 24-25'!N620</f>
        <v>8066567</v>
      </c>
      <c r="H12" s="426">
        <f>+'FA Register FY 24-25'!O620</f>
        <v>2095841</v>
      </c>
      <c r="I12" s="462">
        <f>+'FA Register Companies Act'!P578</f>
        <v>0</v>
      </c>
      <c r="J12" s="426">
        <f t="shared" ref="J12:J16" si="0">+G12+H12-I12</f>
        <v>10162408</v>
      </c>
      <c r="K12" s="462">
        <f t="shared" ref="K12:K16" si="1">+F12-J12</f>
        <v>11900302.159999996</v>
      </c>
      <c r="L12" s="462">
        <f>+C12-G12</f>
        <v>13953143.159999996</v>
      </c>
      <c r="M12" s="1"/>
      <c r="N12" s="133"/>
      <c r="O12" s="144"/>
    </row>
    <row r="13" spans="1:15" s="137" customFormat="1" ht="16.5" x14ac:dyDescent="0.3">
      <c r="A13" s="142">
        <v>4</v>
      </c>
      <c r="B13" s="143" t="s">
        <v>133</v>
      </c>
      <c r="C13" s="462">
        <f>+'FA Register FY 24-25'!I621</f>
        <v>22283437.139999997</v>
      </c>
      <c r="D13" s="426">
        <f>+'FA Register FY 24-25'!J621</f>
        <v>1233978</v>
      </c>
      <c r="E13" s="462">
        <v>0</v>
      </c>
      <c r="F13" s="462">
        <f>+C13+D13-E13</f>
        <v>23517415.139999997</v>
      </c>
      <c r="G13" s="462">
        <f>+'FA Register FY 24-25'!N621</f>
        <v>9298939</v>
      </c>
      <c r="H13" s="426">
        <f>+'FA Register FY 24-25'!O621</f>
        <v>2182651</v>
      </c>
      <c r="I13" s="462">
        <f>+'FA Register Companies Act'!P579</f>
        <v>0</v>
      </c>
      <c r="J13" s="426">
        <f t="shared" si="0"/>
        <v>11481590</v>
      </c>
      <c r="K13" s="462">
        <f t="shared" si="1"/>
        <v>12035825.139999997</v>
      </c>
      <c r="L13" s="462">
        <f t="shared" ref="L13:L16" si="2">+C13-G13</f>
        <v>12984498.139999997</v>
      </c>
      <c r="M13" s="1"/>
      <c r="N13" s="133"/>
      <c r="O13" s="144"/>
    </row>
    <row r="14" spans="1:15" s="137" customFormat="1" ht="16.5" x14ac:dyDescent="0.3">
      <c r="A14" s="142">
        <v>5</v>
      </c>
      <c r="B14" s="143" t="s">
        <v>667</v>
      </c>
      <c r="C14" s="462">
        <f>+'FA Register FY 24-25'!I622</f>
        <v>5345399.6199999992</v>
      </c>
      <c r="D14" s="426">
        <f>+'FA Register FY 24-25'!J622</f>
        <v>1699263</v>
      </c>
      <c r="E14" s="462">
        <v>0</v>
      </c>
      <c r="F14" s="462">
        <f t="shared" ref="F14:F16" si="3">+C14+D14-E14</f>
        <v>7044662.6199999992</v>
      </c>
      <c r="G14" s="462">
        <f>+'FA Register FY 24-25'!N622</f>
        <v>4038644</v>
      </c>
      <c r="H14" s="426">
        <f>+'FA Register FY 24-25'!O622</f>
        <v>330529</v>
      </c>
      <c r="I14" s="462">
        <f>+'FA Register Companies Act'!P580</f>
        <v>0</v>
      </c>
      <c r="J14" s="426">
        <f t="shared" si="0"/>
        <v>4369173</v>
      </c>
      <c r="K14" s="462">
        <f t="shared" si="1"/>
        <v>2675489.6199999992</v>
      </c>
      <c r="L14" s="462">
        <f t="shared" si="2"/>
        <v>1306755.6199999992</v>
      </c>
      <c r="M14" s="1"/>
      <c r="N14" s="133"/>
      <c r="O14" s="144"/>
    </row>
    <row r="15" spans="1:15" s="137" customFormat="1" ht="16.5" x14ac:dyDescent="0.3">
      <c r="A15" s="142">
        <v>6</v>
      </c>
      <c r="B15" s="143" t="s">
        <v>668</v>
      </c>
      <c r="C15" s="462">
        <f>+'FA Register FY 24-25'!I623</f>
        <v>186391413.88999996</v>
      </c>
      <c r="D15" s="426">
        <f>+'FA Register FY 24-25'!J623</f>
        <v>7331625.9699999997</v>
      </c>
      <c r="E15" s="462">
        <v>0</v>
      </c>
      <c r="F15" s="462">
        <f t="shared" si="3"/>
        <v>193723039.85999995</v>
      </c>
      <c r="G15" s="462">
        <f>+'FA Register FY 24-25'!N623</f>
        <v>47931082</v>
      </c>
      <c r="H15" s="426">
        <f>+'FA Register FY 24-25'!O623</f>
        <v>12224603</v>
      </c>
      <c r="I15" s="462">
        <f>+'FA Register Companies Act'!P581</f>
        <v>0</v>
      </c>
      <c r="J15" s="426">
        <f t="shared" si="0"/>
        <v>60155685</v>
      </c>
      <c r="K15" s="462">
        <f t="shared" si="1"/>
        <v>133567354.85999995</v>
      </c>
      <c r="L15" s="462">
        <f t="shared" si="2"/>
        <v>138460331.88999996</v>
      </c>
      <c r="M15" s="1"/>
      <c r="N15" s="133"/>
      <c r="O15" s="144"/>
    </row>
    <row r="16" spans="1:15" s="137" customFormat="1" ht="16.5" x14ac:dyDescent="0.3">
      <c r="A16" s="142">
        <v>7</v>
      </c>
      <c r="B16" s="143" t="s">
        <v>669</v>
      </c>
      <c r="C16" s="462">
        <f>+'FA Register FY 24-25'!I624</f>
        <v>7191410.4699999997</v>
      </c>
      <c r="D16" s="426">
        <f>+'FA Register Companies Act'!J568</f>
        <v>0</v>
      </c>
      <c r="E16" s="462">
        <v>0</v>
      </c>
      <c r="F16" s="463">
        <f t="shared" si="3"/>
        <v>7191410.4699999997</v>
      </c>
      <c r="G16" s="462">
        <f>+'FA Register FY 24-25'!N624</f>
        <v>1735288</v>
      </c>
      <c r="H16" s="426">
        <f>+'FA Register FY 24-25'!O624</f>
        <v>853980</v>
      </c>
      <c r="I16" s="462">
        <f>+'FA Register Companies Act'!P582</f>
        <v>0</v>
      </c>
      <c r="J16" s="426">
        <f t="shared" si="0"/>
        <v>2589268</v>
      </c>
      <c r="K16" s="463">
        <f t="shared" si="1"/>
        <v>4602142.47</v>
      </c>
      <c r="L16" s="463">
        <f t="shared" si="2"/>
        <v>5456122.4699999997</v>
      </c>
      <c r="M16" s="1"/>
      <c r="N16" s="133"/>
      <c r="O16" s="144"/>
    </row>
    <row r="17" spans="1:15" s="147" customFormat="1" ht="18.75" customHeight="1" x14ac:dyDescent="0.3">
      <c r="A17" s="282"/>
      <c r="B17" s="280" t="s">
        <v>183</v>
      </c>
      <c r="C17" s="464">
        <f>SUM(C10:C16)</f>
        <v>390471271.47999996</v>
      </c>
      <c r="D17" s="465">
        <f>SUM(D10:D16)</f>
        <v>10920205.35</v>
      </c>
      <c r="E17" s="464">
        <f t="shared" ref="E17:L17" si="4">SUM(E10:E16)</f>
        <v>0</v>
      </c>
      <c r="F17" s="464">
        <f t="shared" si="4"/>
        <v>401391476.82999998</v>
      </c>
      <c r="G17" s="464">
        <f>SUM(G10:G16)</f>
        <v>77132523</v>
      </c>
      <c r="H17" s="464">
        <f t="shared" si="4"/>
        <v>20738585</v>
      </c>
      <c r="I17" s="464">
        <f>SUM(I10:I16)</f>
        <v>0</v>
      </c>
      <c r="J17" s="464">
        <f t="shared" si="4"/>
        <v>97871108</v>
      </c>
      <c r="K17" s="464">
        <f>SUM(K10:K16)</f>
        <v>303520368.82999998</v>
      </c>
      <c r="L17" s="464">
        <f t="shared" si="4"/>
        <v>313338748.47999996</v>
      </c>
      <c r="M17" s="1"/>
      <c r="N17" s="133"/>
      <c r="O17" s="144"/>
    </row>
    <row r="18" spans="1:15" s="137" customFormat="1" ht="16.5" x14ac:dyDescent="0.3">
      <c r="A18" s="281" t="s">
        <v>670</v>
      </c>
      <c r="B18" s="279"/>
      <c r="C18" s="458"/>
      <c r="D18" s="459"/>
      <c r="E18" s="458"/>
      <c r="F18" s="466"/>
      <c r="G18" s="461"/>
      <c r="H18" s="461"/>
      <c r="I18" s="461"/>
      <c r="J18" s="460"/>
      <c r="K18" s="460"/>
      <c r="L18" s="461"/>
      <c r="M18" s="1"/>
      <c r="N18" s="133"/>
    </row>
    <row r="19" spans="1:15" s="137" customFormat="1" ht="16.5" x14ac:dyDescent="0.3">
      <c r="A19" s="142">
        <v>1</v>
      </c>
      <c r="B19" s="143" t="s">
        <v>696</v>
      </c>
      <c r="C19" s="462">
        <f>+'FA Register FY 24-25'!I625</f>
        <v>3880501</v>
      </c>
      <c r="D19" s="426">
        <v>0</v>
      </c>
      <c r="E19" s="462"/>
      <c r="F19" s="463">
        <f t="shared" ref="F19" si="5">+C19+D19-E19</f>
        <v>3880501</v>
      </c>
      <c r="G19" s="463">
        <f>+'FA Register FY 24-25'!N625</f>
        <v>1691619</v>
      </c>
      <c r="H19" s="463">
        <f>+'FA Register FY 24-25'!O625</f>
        <v>497278</v>
      </c>
      <c r="I19" s="463">
        <f>+'FA Register Companies Act'!P583</f>
        <v>0</v>
      </c>
      <c r="J19" s="463">
        <f t="shared" ref="J19" si="6">+G19+H19-I19</f>
        <v>2188897</v>
      </c>
      <c r="K19" s="463">
        <f>+F19-J19</f>
        <v>1691604</v>
      </c>
      <c r="L19" s="463">
        <f t="shared" ref="L19" si="7">+C19-G19</f>
        <v>2188882</v>
      </c>
      <c r="M19" s="1"/>
      <c r="N19" s="133"/>
      <c r="O19" s="144"/>
    </row>
    <row r="20" spans="1:15" s="147" customFormat="1" ht="18.75" customHeight="1" x14ac:dyDescent="0.3">
      <c r="A20" s="282"/>
      <c r="B20" s="280" t="s">
        <v>183</v>
      </c>
      <c r="C20" s="464">
        <f>SUM(C19:C19)</f>
        <v>3880501</v>
      </c>
      <c r="D20" s="465">
        <f>SUM(D19:D19)</f>
        <v>0</v>
      </c>
      <c r="E20" s="464">
        <f t="shared" ref="E20:L20" si="8">SUM(E19:E19)</f>
        <v>0</v>
      </c>
      <c r="F20" s="464">
        <f t="shared" si="8"/>
        <v>3880501</v>
      </c>
      <c r="G20" s="464">
        <f t="shared" si="8"/>
        <v>1691619</v>
      </c>
      <c r="H20" s="464">
        <f>SUM(H19:H19)</f>
        <v>497278</v>
      </c>
      <c r="I20" s="464">
        <f t="shared" si="8"/>
        <v>0</v>
      </c>
      <c r="J20" s="464">
        <f t="shared" si="8"/>
        <v>2188897</v>
      </c>
      <c r="K20" s="464">
        <f t="shared" si="8"/>
        <v>1691604</v>
      </c>
      <c r="L20" s="464">
        <f t="shared" si="8"/>
        <v>2188882</v>
      </c>
      <c r="M20" s="1"/>
      <c r="N20" s="133"/>
      <c r="O20" s="144"/>
    </row>
    <row r="21" spans="1:15" s="147" customFormat="1" ht="18.75" customHeight="1" thickBot="1" x14ac:dyDescent="0.35">
      <c r="A21" s="1317"/>
      <c r="B21" s="1315"/>
      <c r="C21" s="1319"/>
      <c r="D21" s="1320"/>
      <c r="E21" s="1319"/>
      <c r="F21" s="1319"/>
      <c r="G21" s="1319"/>
      <c r="H21" s="1319"/>
      <c r="I21" s="1319"/>
      <c r="J21" s="1319"/>
      <c r="K21" s="1319"/>
      <c r="L21" s="1319"/>
      <c r="M21" s="1"/>
      <c r="N21" s="133"/>
      <c r="O21" s="144"/>
    </row>
    <row r="22" spans="1:15" s="147" customFormat="1" ht="18.75" customHeight="1" thickBot="1" x14ac:dyDescent="0.35">
      <c r="A22" s="1325"/>
      <c r="B22" s="1326" t="s">
        <v>203</v>
      </c>
      <c r="C22" s="1327">
        <f t="shared" ref="C22:L22" si="9">+C17+C20</f>
        <v>394351772.47999996</v>
      </c>
      <c r="D22" s="1327">
        <f t="shared" si="9"/>
        <v>10920205.35</v>
      </c>
      <c r="E22" s="1327">
        <f t="shared" si="9"/>
        <v>0</v>
      </c>
      <c r="F22" s="1327">
        <f t="shared" si="9"/>
        <v>405271977.82999998</v>
      </c>
      <c r="G22" s="1327">
        <f t="shared" si="9"/>
        <v>78824142</v>
      </c>
      <c r="H22" s="1327">
        <f t="shared" si="9"/>
        <v>21235863</v>
      </c>
      <c r="I22" s="1327">
        <f t="shared" si="9"/>
        <v>0</v>
      </c>
      <c r="J22" s="1327">
        <f t="shared" si="9"/>
        <v>100060005</v>
      </c>
      <c r="K22" s="1327">
        <f t="shared" si="9"/>
        <v>305211972.82999998</v>
      </c>
      <c r="L22" s="1327">
        <f t="shared" si="9"/>
        <v>315527630.47999996</v>
      </c>
      <c r="M22" s="1"/>
      <c r="N22" s="133"/>
      <c r="O22" s="144"/>
    </row>
    <row r="23" spans="1:15" s="147" customFormat="1" ht="18.75" customHeight="1" x14ac:dyDescent="0.3">
      <c r="A23" s="1317"/>
      <c r="B23" s="1315"/>
      <c r="C23" s="1316"/>
      <c r="D23" s="1324"/>
      <c r="E23" s="1316"/>
      <c r="F23" s="1316"/>
      <c r="G23" s="1316"/>
      <c r="H23" s="1316"/>
      <c r="I23" s="1316"/>
      <c r="J23" s="1316"/>
      <c r="K23" s="1316"/>
      <c r="L23" s="1318"/>
      <c r="M23" s="1"/>
      <c r="N23" s="133"/>
      <c r="O23" s="144"/>
    </row>
    <row r="24" spans="1:15" s="147" customFormat="1" ht="16.5" x14ac:dyDescent="0.3">
      <c r="A24" s="1321" t="s">
        <v>1825</v>
      </c>
      <c r="B24" s="1322"/>
      <c r="C24" s="464"/>
      <c r="D24" s="1323"/>
      <c r="E24" s="464"/>
      <c r="F24" s="464"/>
      <c r="G24" s="464"/>
      <c r="H24" s="464"/>
      <c r="I24" s="464"/>
      <c r="J24" s="464"/>
      <c r="K24" s="464"/>
      <c r="L24" s="464"/>
      <c r="M24" s="1"/>
      <c r="N24" s="133"/>
      <c r="O24" s="144"/>
    </row>
    <row r="25" spans="1:15" s="147" customFormat="1" ht="16.5" x14ac:dyDescent="0.3">
      <c r="A25" s="1584" t="s">
        <v>1826</v>
      </c>
      <c r="B25" s="1585"/>
      <c r="C25" s="1466">
        <f>+'FA Register FY 24-25'!B642</f>
        <v>6521806.0999999996</v>
      </c>
      <c r="D25" s="1467">
        <f>+'FA Register FY 24-25'!B648</f>
        <v>665851.19999999995</v>
      </c>
      <c r="E25" s="464"/>
      <c r="F25" s="462">
        <f>+C25+D25-E25</f>
        <v>7187657.2999999998</v>
      </c>
      <c r="G25" s="462">
        <v>0</v>
      </c>
      <c r="H25" s="426">
        <v>0</v>
      </c>
      <c r="I25" s="462">
        <v>0</v>
      </c>
      <c r="J25" s="426">
        <f>+G25+H25-I25</f>
        <v>0</v>
      </c>
      <c r="K25" s="462">
        <f>+F25-J25</f>
        <v>7187657.2999999998</v>
      </c>
      <c r="L25" s="462">
        <f>+C25-G25</f>
        <v>6521806.0999999996</v>
      </c>
      <c r="M25" s="1"/>
      <c r="N25" s="133"/>
      <c r="O25" s="144"/>
    </row>
    <row r="26" spans="1:15" s="147" customFormat="1" ht="16.5" x14ac:dyDescent="0.3">
      <c r="A26" s="1586"/>
      <c r="B26" s="1587"/>
      <c r="C26" s="464"/>
      <c r="D26" s="1323"/>
      <c r="E26" s="464"/>
      <c r="F26" s="464"/>
      <c r="G26" s="464"/>
      <c r="H26" s="464"/>
      <c r="I26" s="464"/>
      <c r="J26" s="464"/>
      <c r="K26" s="464"/>
      <c r="L26" s="464"/>
      <c r="M26" s="1"/>
      <c r="N26" s="133"/>
      <c r="O26" s="144"/>
    </row>
    <row r="27" spans="1:15" s="147" customFormat="1" ht="16.5" x14ac:dyDescent="0.3">
      <c r="A27" s="1584" t="s">
        <v>1827</v>
      </c>
      <c r="B27" s="1585"/>
      <c r="C27" s="464">
        <v>0</v>
      </c>
      <c r="D27" s="1467">
        <f>+'FA Register FY 24-25'!B654</f>
        <v>1741767.46</v>
      </c>
      <c r="E27" s="464"/>
      <c r="F27" s="462">
        <f>+C27+D27-E27</f>
        <v>1741767.46</v>
      </c>
      <c r="G27" s="462">
        <v>0</v>
      </c>
      <c r="H27" s="426">
        <v>0</v>
      </c>
      <c r="I27" s="462">
        <v>0</v>
      </c>
      <c r="J27" s="426">
        <f>+G27+H27-I27</f>
        <v>0</v>
      </c>
      <c r="K27" s="462">
        <f>+F27-J27</f>
        <v>1741767.46</v>
      </c>
      <c r="L27" s="462">
        <f>+C27-G27</f>
        <v>0</v>
      </c>
      <c r="M27" s="1"/>
      <c r="N27" s="133"/>
      <c r="O27" s="144"/>
    </row>
    <row r="28" spans="1:15" s="147" customFormat="1" ht="16.5" x14ac:dyDescent="0.3">
      <c r="A28" s="1588"/>
      <c r="B28" s="1589"/>
      <c r="C28" s="464"/>
      <c r="D28" s="1323"/>
      <c r="E28" s="464"/>
      <c r="F28" s="464"/>
      <c r="G28" s="464"/>
      <c r="H28" s="464"/>
      <c r="I28" s="464"/>
      <c r="J28" s="464"/>
      <c r="K28" s="464"/>
      <c r="L28" s="464"/>
      <c r="M28" s="1"/>
      <c r="N28" s="133"/>
      <c r="O28" s="144"/>
    </row>
    <row r="29" spans="1:15" ht="15.75" thickBot="1" x14ac:dyDescent="0.3">
      <c r="A29" s="145"/>
      <c r="B29" s="146" t="s">
        <v>203</v>
      </c>
      <c r="C29" s="467">
        <f t="shared" ref="C29:L29" si="10">SUM(C25:C28)</f>
        <v>6521806.0999999996</v>
      </c>
      <c r="D29" s="467">
        <f t="shared" si="10"/>
        <v>2407618.66</v>
      </c>
      <c r="E29" s="467">
        <f t="shared" si="10"/>
        <v>0</v>
      </c>
      <c r="F29" s="467">
        <f t="shared" si="10"/>
        <v>8929424.7599999998</v>
      </c>
      <c r="G29" s="467">
        <f t="shared" si="10"/>
        <v>0</v>
      </c>
      <c r="H29" s="467">
        <f t="shared" si="10"/>
        <v>0</v>
      </c>
      <c r="I29" s="467">
        <f t="shared" si="10"/>
        <v>0</v>
      </c>
      <c r="J29" s="467">
        <f t="shared" si="10"/>
        <v>0</v>
      </c>
      <c r="K29" s="467">
        <f t="shared" si="10"/>
        <v>8929424.7599999998</v>
      </c>
      <c r="L29" s="467">
        <f t="shared" si="10"/>
        <v>6521806.0999999996</v>
      </c>
    </row>
    <row r="30" spans="1:15" ht="15" x14ac:dyDescent="0.25">
      <c r="A30" s="1315"/>
      <c r="B30" s="1315"/>
      <c r="C30" s="1316"/>
      <c r="D30" s="1316"/>
      <c r="E30" s="1316"/>
      <c r="F30" s="1316"/>
      <c r="G30" s="1316"/>
      <c r="H30" s="1316"/>
      <c r="I30" s="1316"/>
      <c r="J30" s="1316"/>
      <c r="K30" s="1316"/>
      <c r="L30" s="1316"/>
    </row>
    <row r="32" spans="1:15" x14ac:dyDescent="0.25">
      <c r="F32" s="1091"/>
    </row>
    <row r="39" spans="7:11" x14ac:dyDescent="0.25">
      <c r="G39" s="1091">
        <f>+F29-G29</f>
        <v>8929424.7599999998</v>
      </c>
      <c r="I39" s="1091">
        <f>+H29-I29</f>
        <v>0</v>
      </c>
      <c r="K39" s="349">
        <f>+G39-I39</f>
        <v>8929424.7599999998</v>
      </c>
    </row>
    <row r="42" spans="7:11" x14ac:dyDescent="0.25">
      <c r="I42" s="1091">
        <f>+I39-'IT dep 24-25'!P28</f>
        <v>-35795004.965500005</v>
      </c>
    </row>
  </sheetData>
  <mergeCells count="10">
    <mergeCell ref="A25:B25"/>
    <mergeCell ref="A27:B27"/>
    <mergeCell ref="A26:B26"/>
    <mergeCell ref="A28:B28"/>
    <mergeCell ref="B5:C5"/>
    <mergeCell ref="A6:L6"/>
    <mergeCell ref="A7:B8"/>
    <mergeCell ref="C7:F7"/>
    <mergeCell ref="G7:J7"/>
    <mergeCell ref="K7:L7"/>
  </mergeCells>
  <printOptions horizontalCentered="1"/>
  <pageMargins left="0.23622047244094491" right="0.23622047244094491" top="0.74803149606299213" bottom="0.74803149606299213" header="0.31496062992125984" footer="0.31496062992125984"/>
  <pageSetup paperSize="9" scale="73"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0818A-9985-45EE-9E1F-56F21A5F04B2}">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91"/>
  <sheetViews>
    <sheetView showGridLines="0" view="pageBreakPreview" topLeftCell="A65" zoomScaleNormal="100" zoomScaleSheetLayoutView="100" workbookViewId="0">
      <selection activeCell="D80" sqref="D80"/>
    </sheetView>
  </sheetViews>
  <sheetFormatPr defaultColWidth="6.140625" defaultRowHeight="13.5" x14ac:dyDescent="0.25"/>
  <cols>
    <col min="1" max="1" width="46.42578125" style="148" customWidth="1"/>
    <col min="2" max="2" width="20.5703125" style="148" bestFit="1" customWidth="1"/>
    <col min="3" max="3" width="18.5703125" style="148" customWidth="1"/>
    <col min="4" max="4" width="14.85546875" style="148" bestFit="1" customWidth="1"/>
    <col min="5" max="5" width="10.7109375" style="148" customWidth="1"/>
    <col min="6" max="6" width="11.85546875" style="148" customWidth="1"/>
    <col min="7" max="7" width="16" style="148" bestFit="1" customWidth="1"/>
    <col min="8" max="8" width="9.140625" style="148" customWidth="1"/>
    <col min="9" max="9" width="17.85546875" style="148" bestFit="1" customWidth="1"/>
    <col min="10" max="246" width="9.140625" style="148" customWidth="1"/>
    <col min="247" max="247" width="5.5703125" style="148" customWidth="1"/>
    <col min="248" max="256" width="6.140625" style="148"/>
    <col min="257" max="257" width="69" style="148" customWidth="1"/>
    <col min="258" max="258" width="20.5703125" style="148" bestFit="1" customWidth="1"/>
    <col min="259" max="259" width="18.5703125" style="148" customWidth="1"/>
    <col min="260" max="260" width="12" style="148" bestFit="1" customWidth="1"/>
    <col min="261" max="261" width="9.5703125" style="148" bestFit="1" customWidth="1"/>
    <col min="262" max="502" width="9.140625" style="148" customWidth="1"/>
    <col min="503" max="503" width="5.5703125" style="148" customWidth="1"/>
    <col min="504" max="512" width="6.140625" style="148"/>
    <col min="513" max="513" width="69" style="148" customWidth="1"/>
    <col min="514" max="514" width="20.5703125" style="148" bestFit="1" customWidth="1"/>
    <col min="515" max="515" width="18.5703125" style="148" customWidth="1"/>
    <col min="516" max="516" width="12" style="148" bestFit="1" customWidth="1"/>
    <col min="517" max="517" width="9.5703125" style="148" bestFit="1" customWidth="1"/>
    <col min="518" max="758" width="9.140625" style="148" customWidth="1"/>
    <col min="759" max="759" width="5.5703125" style="148" customWidth="1"/>
    <col min="760" max="768" width="6.140625" style="148"/>
    <col min="769" max="769" width="69" style="148" customWidth="1"/>
    <col min="770" max="770" width="20.5703125" style="148" bestFit="1" customWidth="1"/>
    <col min="771" max="771" width="18.5703125" style="148" customWidth="1"/>
    <col min="772" max="772" width="12" style="148" bestFit="1" customWidth="1"/>
    <col min="773" max="773" width="9.5703125" style="148" bestFit="1" customWidth="1"/>
    <col min="774" max="1014" width="9.140625" style="148" customWidth="1"/>
    <col min="1015" max="1015" width="5.5703125" style="148" customWidth="1"/>
    <col min="1016" max="1024" width="6.140625" style="148"/>
    <col min="1025" max="1025" width="69" style="148" customWidth="1"/>
    <col min="1026" max="1026" width="20.5703125" style="148" bestFit="1" customWidth="1"/>
    <col min="1027" max="1027" width="18.5703125" style="148" customWidth="1"/>
    <col min="1028" max="1028" width="12" style="148" bestFit="1" customWidth="1"/>
    <col min="1029" max="1029" width="9.5703125" style="148" bestFit="1" customWidth="1"/>
    <col min="1030" max="1270" width="9.140625" style="148" customWidth="1"/>
    <col min="1271" max="1271" width="5.5703125" style="148" customWidth="1"/>
    <col min="1272" max="1280" width="6.140625" style="148"/>
    <col min="1281" max="1281" width="69" style="148" customWidth="1"/>
    <col min="1282" max="1282" width="20.5703125" style="148" bestFit="1" customWidth="1"/>
    <col min="1283" max="1283" width="18.5703125" style="148" customWidth="1"/>
    <col min="1284" max="1284" width="12" style="148" bestFit="1" customWidth="1"/>
    <col min="1285" max="1285" width="9.5703125" style="148" bestFit="1" customWidth="1"/>
    <col min="1286" max="1526" width="9.140625" style="148" customWidth="1"/>
    <col min="1527" max="1527" width="5.5703125" style="148" customWidth="1"/>
    <col min="1528" max="1536" width="6.140625" style="148"/>
    <col min="1537" max="1537" width="69" style="148" customWidth="1"/>
    <col min="1538" max="1538" width="20.5703125" style="148" bestFit="1" customWidth="1"/>
    <col min="1539" max="1539" width="18.5703125" style="148" customWidth="1"/>
    <col min="1540" max="1540" width="12" style="148" bestFit="1" customWidth="1"/>
    <col min="1541" max="1541" width="9.5703125" style="148" bestFit="1" customWidth="1"/>
    <col min="1542" max="1782" width="9.140625" style="148" customWidth="1"/>
    <col min="1783" max="1783" width="5.5703125" style="148" customWidth="1"/>
    <col min="1784" max="1792" width="6.140625" style="148"/>
    <col min="1793" max="1793" width="69" style="148" customWidth="1"/>
    <col min="1794" max="1794" width="20.5703125" style="148" bestFit="1" customWidth="1"/>
    <col min="1795" max="1795" width="18.5703125" style="148" customWidth="1"/>
    <col min="1796" max="1796" width="12" style="148" bestFit="1" customWidth="1"/>
    <col min="1797" max="1797" width="9.5703125" style="148" bestFit="1" customWidth="1"/>
    <col min="1798" max="2038" width="9.140625" style="148" customWidth="1"/>
    <col min="2039" max="2039" width="5.5703125" style="148" customWidth="1"/>
    <col min="2040" max="2048" width="6.140625" style="148"/>
    <col min="2049" max="2049" width="69" style="148" customWidth="1"/>
    <col min="2050" max="2050" width="20.5703125" style="148" bestFit="1" customWidth="1"/>
    <col min="2051" max="2051" width="18.5703125" style="148" customWidth="1"/>
    <col min="2052" max="2052" width="12" style="148" bestFit="1" customWidth="1"/>
    <col min="2053" max="2053" width="9.5703125" style="148" bestFit="1" customWidth="1"/>
    <col min="2054" max="2294" width="9.140625" style="148" customWidth="1"/>
    <col min="2295" max="2295" width="5.5703125" style="148" customWidth="1"/>
    <col min="2296" max="2304" width="6.140625" style="148"/>
    <col min="2305" max="2305" width="69" style="148" customWidth="1"/>
    <col min="2306" max="2306" width="20.5703125" style="148" bestFit="1" customWidth="1"/>
    <col min="2307" max="2307" width="18.5703125" style="148" customWidth="1"/>
    <col min="2308" max="2308" width="12" style="148" bestFit="1" customWidth="1"/>
    <col min="2309" max="2309" width="9.5703125" style="148" bestFit="1" customWidth="1"/>
    <col min="2310" max="2550" width="9.140625" style="148" customWidth="1"/>
    <col min="2551" max="2551" width="5.5703125" style="148" customWidth="1"/>
    <col min="2552" max="2560" width="6.140625" style="148"/>
    <col min="2561" max="2561" width="69" style="148" customWidth="1"/>
    <col min="2562" max="2562" width="20.5703125" style="148" bestFit="1" customWidth="1"/>
    <col min="2563" max="2563" width="18.5703125" style="148" customWidth="1"/>
    <col min="2564" max="2564" width="12" style="148" bestFit="1" customWidth="1"/>
    <col min="2565" max="2565" width="9.5703125" style="148" bestFit="1" customWidth="1"/>
    <col min="2566" max="2806" width="9.140625" style="148" customWidth="1"/>
    <col min="2807" max="2807" width="5.5703125" style="148" customWidth="1"/>
    <col min="2808" max="2816" width="6.140625" style="148"/>
    <col min="2817" max="2817" width="69" style="148" customWidth="1"/>
    <col min="2818" max="2818" width="20.5703125" style="148" bestFit="1" customWidth="1"/>
    <col min="2819" max="2819" width="18.5703125" style="148" customWidth="1"/>
    <col min="2820" max="2820" width="12" style="148" bestFit="1" customWidth="1"/>
    <col min="2821" max="2821" width="9.5703125" style="148" bestFit="1" customWidth="1"/>
    <col min="2822" max="3062" width="9.140625" style="148" customWidth="1"/>
    <col min="3063" max="3063" width="5.5703125" style="148" customWidth="1"/>
    <col min="3064" max="3072" width="6.140625" style="148"/>
    <col min="3073" max="3073" width="69" style="148" customWidth="1"/>
    <col min="3074" max="3074" width="20.5703125" style="148" bestFit="1" customWidth="1"/>
    <col min="3075" max="3075" width="18.5703125" style="148" customWidth="1"/>
    <col min="3076" max="3076" width="12" style="148" bestFit="1" customWidth="1"/>
    <col min="3077" max="3077" width="9.5703125" style="148" bestFit="1" customWidth="1"/>
    <col min="3078" max="3318" width="9.140625" style="148" customWidth="1"/>
    <col min="3319" max="3319" width="5.5703125" style="148" customWidth="1"/>
    <col min="3320" max="3328" width="6.140625" style="148"/>
    <col min="3329" max="3329" width="69" style="148" customWidth="1"/>
    <col min="3330" max="3330" width="20.5703125" style="148" bestFit="1" customWidth="1"/>
    <col min="3331" max="3331" width="18.5703125" style="148" customWidth="1"/>
    <col min="3332" max="3332" width="12" style="148" bestFit="1" customWidth="1"/>
    <col min="3333" max="3333" width="9.5703125" style="148" bestFit="1" customWidth="1"/>
    <col min="3334" max="3574" width="9.140625" style="148" customWidth="1"/>
    <col min="3575" max="3575" width="5.5703125" style="148" customWidth="1"/>
    <col min="3576" max="3584" width="6.140625" style="148"/>
    <col min="3585" max="3585" width="69" style="148" customWidth="1"/>
    <col min="3586" max="3586" width="20.5703125" style="148" bestFit="1" customWidth="1"/>
    <col min="3587" max="3587" width="18.5703125" style="148" customWidth="1"/>
    <col min="3588" max="3588" width="12" style="148" bestFit="1" customWidth="1"/>
    <col min="3589" max="3589" width="9.5703125" style="148" bestFit="1" customWidth="1"/>
    <col min="3590" max="3830" width="9.140625" style="148" customWidth="1"/>
    <col min="3831" max="3831" width="5.5703125" style="148" customWidth="1"/>
    <col min="3832" max="3840" width="6.140625" style="148"/>
    <col min="3841" max="3841" width="69" style="148" customWidth="1"/>
    <col min="3842" max="3842" width="20.5703125" style="148" bestFit="1" customWidth="1"/>
    <col min="3843" max="3843" width="18.5703125" style="148" customWidth="1"/>
    <col min="3844" max="3844" width="12" style="148" bestFit="1" customWidth="1"/>
    <col min="3845" max="3845" width="9.5703125" style="148" bestFit="1" customWidth="1"/>
    <col min="3846" max="4086" width="9.140625" style="148" customWidth="1"/>
    <col min="4087" max="4087" width="5.5703125" style="148" customWidth="1"/>
    <col min="4088" max="4096" width="6.140625" style="148"/>
    <col min="4097" max="4097" width="69" style="148" customWidth="1"/>
    <col min="4098" max="4098" width="20.5703125" style="148" bestFit="1" customWidth="1"/>
    <col min="4099" max="4099" width="18.5703125" style="148" customWidth="1"/>
    <col min="4100" max="4100" width="12" style="148" bestFit="1" customWidth="1"/>
    <col min="4101" max="4101" width="9.5703125" style="148" bestFit="1" customWidth="1"/>
    <col min="4102" max="4342" width="9.140625" style="148" customWidth="1"/>
    <col min="4343" max="4343" width="5.5703125" style="148" customWidth="1"/>
    <col min="4344" max="4352" width="6.140625" style="148"/>
    <col min="4353" max="4353" width="69" style="148" customWidth="1"/>
    <col min="4354" max="4354" width="20.5703125" style="148" bestFit="1" customWidth="1"/>
    <col min="4355" max="4355" width="18.5703125" style="148" customWidth="1"/>
    <col min="4356" max="4356" width="12" style="148" bestFit="1" customWidth="1"/>
    <col min="4357" max="4357" width="9.5703125" style="148" bestFit="1" customWidth="1"/>
    <col min="4358" max="4598" width="9.140625" style="148" customWidth="1"/>
    <col min="4599" max="4599" width="5.5703125" style="148" customWidth="1"/>
    <col min="4600" max="4608" width="6.140625" style="148"/>
    <col min="4609" max="4609" width="69" style="148" customWidth="1"/>
    <col min="4610" max="4610" width="20.5703125" style="148" bestFit="1" customWidth="1"/>
    <col min="4611" max="4611" width="18.5703125" style="148" customWidth="1"/>
    <col min="4612" max="4612" width="12" style="148" bestFit="1" customWidth="1"/>
    <col min="4613" max="4613" width="9.5703125" style="148" bestFit="1" customWidth="1"/>
    <col min="4614" max="4854" width="9.140625" style="148" customWidth="1"/>
    <col min="4855" max="4855" width="5.5703125" style="148" customWidth="1"/>
    <col min="4856" max="4864" width="6.140625" style="148"/>
    <col min="4865" max="4865" width="69" style="148" customWidth="1"/>
    <col min="4866" max="4866" width="20.5703125" style="148" bestFit="1" customWidth="1"/>
    <col min="4867" max="4867" width="18.5703125" style="148" customWidth="1"/>
    <col min="4868" max="4868" width="12" style="148" bestFit="1" customWidth="1"/>
    <col min="4869" max="4869" width="9.5703125" style="148" bestFit="1" customWidth="1"/>
    <col min="4870" max="5110" width="9.140625" style="148" customWidth="1"/>
    <col min="5111" max="5111" width="5.5703125" style="148" customWidth="1"/>
    <col min="5112" max="5120" width="6.140625" style="148"/>
    <col min="5121" max="5121" width="69" style="148" customWidth="1"/>
    <col min="5122" max="5122" width="20.5703125" style="148" bestFit="1" customWidth="1"/>
    <col min="5123" max="5123" width="18.5703125" style="148" customWidth="1"/>
    <col min="5124" max="5124" width="12" style="148" bestFit="1" customWidth="1"/>
    <col min="5125" max="5125" width="9.5703125" style="148" bestFit="1" customWidth="1"/>
    <col min="5126" max="5366" width="9.140625" style="148" customWidth="1"/>
    <col min="5367" max="5367" width="5.5703125" style="148" customWidth="1"/>
    <col min="5368" max="5376" width="6.140625" style="148"/>
    <col min="5377" max="5377" width="69" style="148" customWidth="1"/>
    <col min="5378" max="5378" width="20.5703125" style="148" bestFit="1" customWidth="1"/>
    <col min="5379" max="5379" width="18.5703125" style="148" customWidth="1"/>
    <col min="5380" max="5380" width="12" style="148" bestFit="1" customWidth="1"/>
    <col min="5381" max="5381" width="9.5703125" style="148" bestFit="1" customWidth="1"/>
    <col min="5382" max="5622" width="9.140625" style="148" customWidth="1"/>
    <col min="5623" max="5623" width="5.5703125" style="148" customWidth="1"/>
    <col min="5624" max="5632" width="6.140625" style="148"/>
    <col min="5633" max="5633" width="69" style="148" customWidth="1"/>
    <col min="5634" max="5634" width="20.5703125" style="148" bestFit="1" customWidth="1"/>
    <col min="5635" max="5635" width="18.5703125" style="148" customWidth="1"/>
    <col min="5636" max="5636" width="12" style="148" bestFit="1" customWidth="1"/>
    <col min="5637" max="5637" width="9.5703125" style="148" bestFit="1" customWidth="1"/>
    <col min="5638" max="5878" width="9.140625" style="148" customWidth="1"/>
    <col min="5879" max="5879" width="5.5703125" style="148" customWidth="1"/>
    <col min="5880" max="5888" width="6.140625" style="148"/>
    <col min="5889" max="5889" width="69" style="148" customWidth="1"/>
    <col min="5890" max="5890" width="20.5703125" style="148" bestFit="1" customWidth="1"/>
    <col min="5891" max="5891" width="18.5703125" style="148" customWidth="1"/>
    <col min="5892" max="5892" width="12" style="148" bestFit="1" customWidth="1"/>
    <col min="5893" max="5893" width="9.5703125" style="148" bestFit="1" customWidth="1"/>
    <col min="5894" max="6134" width="9.140625" style="148" customWidth="1"/>
    <col min="6135" max="6135" width="5.5703125" style="148" customWidth="1"/>
    <col min="6136" max="6144" width="6.140625" style="148"/>
    <col min="6145" max="6145" width="69" style="148" customWidth="1"/>
    <col min="6146" max="6146" width="20.5703125" style="148" bestFit="1" customWidth="1"/>
    <col min="6147" max="6147" width="18.5703125" style="148" customWidth="1"/>
    <col min="6148" max="6148" width="12" style="148" bestFit="1" customWidth="1"/>
    <col min="6149" max="6149" width="9.5703125" style="148" bestFit="1" customWidth="1"/>
    <col min="6150" max="6390" width="9.140625" style="148" customWidth="1"/>
    <col min="6391" max="6391" width="5.5703125" style="148" customWidth="1"/>
    <col min="6392" max="6400" width="6.140625" style="148"/>
    <col min="6401" max="6401" width="69" style="148" customWidth="1"/>
    <col min="6402" max="6402" width="20.5703125" style="148" bestFit="1" customWidth="1"/>
    <col min="6403" max="6403" width="18.5703125" style="148" customWidth="1"/>
    <col min="6404" max="6404" width="12" style="148" bestFit="1" customWidth="1"/>
    <col min="6405" max="6405" width="9.5703125" style="148" bestFit="1" customWidth="1"/>
    <col min="6406" max="6646" width="9.140625" style="148" customWidth="1"/>
    <col min="6647" max="6647" width="5.5703125" style="148" customWidth="1"/>
    <col min="6648" max="6656" width="6.140625" style="148"/>
    <col min="6657" max="6657" width="69" style="148" customWidth="1"/>
    <col min="6658" max="6658" width="20.5703125" style="148" bestFit="1" customWidth="1"/>
    <col min="6659" max="6659" width="18.5703125" style="148" customWidth="1"/>
    <col min="6660" max="6660" width="12" style="148" bestFit="1" customWidth="1"/>
    <col min="6661" max="6661" width="9.5703125" style="148" bestFit="1" customWidth="1"/>
    <col min="6662" max="6902" width="9.140625" style="148" customWidth="1"/>
    <col min="6903" max="6903" width="5.5703125" style="148" customWidth="1"/>
    <col min="6904" max="6912" width="6.140625" style="148"/>
    <col min="6913" max="6913" width="69" style="148" customWidth="1"/>
    <col min="6914" max="6914" width="20.5703125" style="148" bestFit="1" customWidth="1"/>
    <col min="6915" max="6915" width="18.5703125" style="148" customWidth="1"/>
    <col min="6916" max="6916" width="12" style="148" bestFit="1" customWidth="1"/>
    <col min="6917" max="6917" width="9.5703125" style="148" bestFit="1" customWidth="1"/>
    <col min="6918" max="7158" width="9.140625" style="148" customWidth="1"/>
    <col min="7159" max="7159" width="5.5703125" style="148" customWidth="1"/>
    <col min="7160" max="7168" width="6.140625" style="148"/>
    <col min="7169" max="7169" width="69" style="148" customWidth="1"/>
    <col min="7170" max="7170" width="20.5703125" style="148" bestFit="1" customWidth="1"/>
    <col min="7171" max="7171" width="18.5703125" style="148" customWidth="1"/>
    <col min="7172" max="7172" width="12" style="148" bestFit="1" customWidth="1"/>
    <col min="7173" max="7173" width="9.5703125" style="148" bestFit="1" customWidth="1"/>
    <col min="7174" max="7414" width="9.140625" style="148" customWidth="1"/>
    <col min="7415" max="7415" width="5.5703125" style="148" customWidth="1"/>
    <col min="7416" max="7424" width="6.140625" style="148"/>
    <col min="7425" max="7425" width="69" style="148" customWidth="1"/>
    <col min="7426" max="7426" width="20.5703125" style="148" bestFit="1" customWidth="1"/>
    <col min="7427" max="7427" width="18.5703125" style="148" customWidth="1"/>
    <col min="7428" max="7428" width="12" style="148" bestFit="1" customWidth="1"/>
    <col min="7429" max="7429" width="9.5703125" style="148" bestFit="1" customWidth="1"/>
    <col min="7430" max="7670" width="9.140625" style="148" customWidth="1"/>
    <col min="7671" max="7671" width="5.5703125" style="148" customWidth="1"/>
    <col min="7672" max="7680" width="6.140625" style="148"/>
    <col min="7681" max="7681" width="69" style="148" customWidth="1"/>
    <col min="7682" max="7682" width="20.5703125" style="148" bestFit="1" customWidth="1"/>
    <col min="7683" max="7683" width="18.5703125" style="148" customWidth="1"/>
    <col min="7684" max="7684" width="12" style="148" bestFit="1" customWidth="1"/>
    <col min="7685" max="7685" width="9.5703125" style="148" bestFit="1" customWidth="1"/>
    <col min="7686" max="7926" width="9.140625" style="148" customWidth="1"/>
    <col min="7927" max="7927" width="5.5703125" style="148" customWidth="1"/>
    <col min="7928" max="7936" width="6.140625" style="148"/>
    <col min="7937" max="7937" width="69" style="148" customWidth="1"/>
    <col min="7938" max="7938" width="20.5703125" style="148" bestFit="1" customWidth="1"/>
    <col min="7939" max="7939" width="18.5703125" style="148" customWidth="1"/>
    <col min="7940" max="7940" width="12" style="148" bestFit="1" customWidth="1"/>
    <col min="7941" max="7941" width="9.5703125" style="148" bestFit="1" customWidth="1"/>
    <col min="7942" max="8182" width="9.140625" style="148" customWidth="1"/>
    <col min="8183" max="8183" width="5.5703125" style="148" customWidth="1"/>
    <col min="8184" max="8192" width="6.140625" style="148"/>
    <col min="8193" max="8193" width="69" style="148" customWidth="1"/>
    <col min="8194" max="8194" width="20.5703125" style="148" bestFit="1" customWidth="1"/>
    <col min="8195" max="8195" width="18.5703125" style="148" customWidth="1"/>
    <col min="8196" max="8196" width="12" style="148" bestFit="1" customWidth="1"/>
    <col min="8197" max="8197" width="9.5703125" style="148" bestFit="1" customWidth="1"/>
    <col min="8198" max="8438" width="9.140625" style="148" customWidth="1"/>
    <col min="8439" max="8439" width="5.5703125" style="148" customWidth="1"/>
    <col min="8440" max="8448" width="6.140625" style="148"/>
    <col min="8449" max="8449" width="69" style="148" customWidth="1"/>
    <col min="8450" max="8450" width="20.5703125" style="148" bestFit="1" customWidth="1"/>
    <col min="8451" max="8451" width="18.5703125" style="148" customWidth="1"/>
    <col min="8452" max="8452" width="12" style="148" bestFit="1" customWidth="1"/>
    <col min="8453" max="8453" width="9.5703125" style="148" bestFit="1" customWidth="1"/>
    <col min="8454" max="8694" width="9.140625" style="148" customWidth="1"/>
    <col min="8695" max="8695" width="5.5703125" style="148" customWidth="1"/>
    <col min="8696" max="8704" width="6.140625" style="148"/>
    <col min="8705" max="8705" width="69" style="148" customWidth="1"/>
    <col min="8706" max="8706" width="20.5703125" style="148" bestFit="1" customWidth="1"/>
    <col min="8707" max="8707" width="18.5703125" style="148" customWidth="1"/>
    <col min="8708" max="8708" width="12" style="148" bestFit="1" customWidth="1"/>
    <col min="8709" max="8709" width="9.5703125" style="148" bestFit="1" customWidth="1"/>
    <col min="8710" max="8950" width="9.140625" style="148" customWidth="1"/>
    <col min="8951" max="8951" width="5.5703125" style="148" customWidth="1"/>
    <col min="8952" max="8960" width="6.140625" style="148"/>
    <col min="8961" max="8961" width="69" style="148" customWidth="1"/>
    <col min="8962" max="8962" width="20.5703125" style="148" bestFit="1" customWidth="1"/>
    <col min="8963" max="8963" width="18.5703125" style="148" customWidth="1"/>
    <col min="8964" max="8964" width="12" style="148" bestFit="1" customWidth="1"/>
    <col min="8965" max="8965" width="9.5703125" style="148" bestFit="1" customWidth="1"/>
    <col min="8966" max="9206" width="9.140625" style="148" customWidth="1"/>
    <col min="9207" max="9207" width="5.5703125" style="148" customWidth="1"/>
    <col min="9208" max="9216" width="6.140625" style="148"/>
    <col min="9217" max="9217" width="69" style="148" customWidth="1"/>
    <col min="9218" max="9218" width="20.5703125" style="148" bestFit="1" customWidth="1"/>
    <col min="9219" max="9219" width="18.5703125" style="148" customWidth="1"/>
    <col min="9220" max="9220" width="12" style="148" bestFit="1" customWidth="1"/>
    <col min="9221" max="9221" width="9.5703125" style="148" bestFit="1" customWidth="1"/>
    <col min="9222" max="9462" width="9.140625" style="148" customWidth="1"/>
    <col min="9463" max="9463" width="5.5703125" style="148" customWidth="1"/>
    <col min="9464" max="9472" width="6.140625" style="148"/>
    <col min="9473" max="9473" width="69" style="148" customWidth="1"/>
    <col min="9474" max="9474" width="20.5703125" style="148" bestFit="1" customWidth="1"/>
    <col min="9475" max="9475" width="18.5703125" style="148" customWidth="1"/>
    <col min="9476" max="9476" width="12" style="148" bestFit="1" customWidth="1"/>
    <col min="9477" max="9477" width="9.5703125" style="148" bestFit="1" customWidth="1"/>
    <col min="9478" max="9718" width="9.140625" style="148" customWidth="1"/>
    <col min="9719" max="9719" width="5.5703125" style="148" customWidth="1"/>
    <col min="9720" max="9728" width="6.140625" style="148"/>
    <col min="9729" max="9729" width="69" style="148" customWidth="1"/>
    <col min="9730" max="9730" width="20.5703125" style="148" bestFit="1" customWidth="1"/>
    <col min="9731" max="9731" width="18.5703125" style="148" customWidth="1"/>
    <col min="9732" max="9732" width="12" style="148" bestFit="1" customWidth="1"/>
    <col min="9733" max="9733" width="9.5703125" style="148" bestFit="1" customWidth="1"/>
    <col min="9734" max="9974" width="9.140625" style="148" customWidth="1"/>
    <col min="9975" max="9975" width="5.5703125" style="148" customWidth="1"/>
    <col min="9976" max="9984" width="6.140625" style="148"/>
    <col min="9985" max="9985" width="69" style="148" customWidth="1"/>
    <col min="9986" max="9986" width="20.5703125" style="148" bestFit="1" customWidth="1"/>
    <col min="9987" max="9987" width="18.5703125" style="148" customWidth="1"/>
    <col min="9988" max="9988" width="12" style="148" bestFit="1" customWidth="1"/>
    <col min="9989" max="9989" width="9.5703125" style="148" bestFit="1" customWidth="1"/>
    <col min="9990" max="10230" width="9.140625" style="148" customWidth="1"/>
    <col min="10231" max="10231" width="5.5703125" style="148" customWidth="1"/>
    <col min="10232" max="10240" width="6.140625" style="148"/>
    <col min="10241" max="10241" width="69" style="148" customWidth="1"/>
    <col min="10242" max="10242" width="20.5703125" style="148" bestFit="1" customWidth="1"/>
    <col min="10243" max="10243" width="18.5703125" style="148" customWidth="1"/>
    <col min="10244" max="10244" width="12" style="148" bestFit="1" customWidth="1"/>
    <col min="10245" max="10245" width="9.5703125" style="148" bestFit="1" customWidth="1"/>
    <col min="10246" max="10486" width="9.140625" style="148" customWidth="1"/>
    <col min="10487" max="10487" width="5.5703125" style="148" customWidth="1"/>
    <col min="10488" max="10496" width="6.140625" style="148"/>
    <col min="10497" max="10497" width="69" style="148" customWidth="1"/>
    <col min="10498" max="10498" width="20.5703125" style="148" bestFit="1" customWidth="1"/>
    <col min="10499" max="10499" width="18.5703125" style="148" customWidth="1"/>
    <col min="10500" max="10500" width="12" style="148" bestFit="1" customWidth="1"/>
    <col min="10501" max="10501" width="9.5703125" style="148" bestFit="1" customWidth="1"/>
    <col min="10502" max="10742" width="9.140625" style="148" customWidth="1"/>
    <col min="10743" max="10743" width="5.5703125" style="148" customWidth="1"/>
    <col min="10744" max="10752" width="6.140625" style="148"/>
    <col min="10753" max="10753" width="69" style="148" customWidth="1"/>
    <col min="10754" max="10754" width="20.5703125" style="148" bestFit="1" customWidth="1"/>
    <col min="10755" max="10755" width="18.5703125" style="148" customWidth="1"/>
    <col min="10756" max="10756" width="12" style="148" bestFit="1" customWidth="1"/>
    <col min="10757" max="10757" width="9.5703125" style="148" bestFit="1" customWidth="1"/>
    <col min="10758" max="10998" width="9.140625" style="148" customWidth="1"/>
    <col min="10999" max="10999" width="5.5703125" style="148" customWidth="1"/>
    <col min="11000" max="11008" width="6.140625" style="148"/>
    <col min="11009" max="11009" width="69" style="148" customWidth="1"/>
    <col min="11010" max="11010" width="20.5703125" style="148" bestFit="1" customWidth="1"/>
    <col min="11011" max="11011" width="18.5703125" style="148" customWidth="1"/>
    <col min="11012" max="11012" width="12" style="148" bestFit="1" customWidth="1"/>
    <col min="11013" max="11013" width="9.5703125" style="148" bestFit="1" customWidth="1"/>
    <col min="11014" max="11254" width="9.140625" style="148" customWidth="1"/>
    <col min="11255" max="11255" width="5.5703125" style="148" customWidth="1"/>
    <col min="11256" max="11264" width="6.140625" style="148"/>
    <col min="11265" max="11265" width="69" style="148" customWidth="1"/>
    <col min="11266" max="11266" width="20.5703125" style="148" bestFit="1" customWidth="1"/>
    <col min="11267" max="11267" width="18.5703125" style="148" customWidth="1"/>
    <col min="11268" max="11268" width="12" style="148" bestFit="1" customWidth="1"/>
    <col min="11269" max="11269" width="9.5703125" style="148" bestFit="1" customWidth="1"/>
    <col min="11270" max="11510" width="9.140625" style="148" customWidth="1"/>
    <col min="11511" max="11511" width="5.5703125" style="148" customWidth="1"/>
    <col min="11512" max="11520" width="6.140625" style="148"/>
    <col min="11521" max="11521" width="69" style="148" customWidth="1"/>
    <col min="11522" max="11522" width="20.5703125" style="148" bestFit="1" customWidth="1"/>
    <col min="11523" max="11523" width="18.5703125" style="148" customWidth="1"/>
    <col min="11524" max="11524" width="12" style="148" bestFit="1" customWidth="1"/>
    <col min="11525" max="11525" width="9.5703125" style="148" bestFit="1" customWidth="1"/>
    <col min="11526" max="11766" width="9.140625" style="148" customWidth="1"/>
    <col min="11767" max="11767" width="5.5703125" style="148" customWidth="1"/>
    <col min="11768" max="11776" width="6.140625" style="148"/>
    <col min="11777" max="11777" width="69" style="148" customWidth="1"/>
    <col min="11778" max="11778" width="20.5703125" style="148" bestFit="1" customWidth="1"/>
    <col min="11779" max="11779" width="18.5703125" style="148" customWidth="1"/>
    <col min="11780" max="11780" width="12" style="148" bestFit="1" customWidth="1"/>
    <col min="11781" max="11781" width="9.5703125" style="148" bestFit="1" customWidth="1"/>
    <col min="11782" max="12022" width="9.140625" style="148" customWidth="1"/>
    <col min="12023" max="12023" width="5.5703125" style="148" customWidth="1"/>
    <col min="12024" max="12032" width="6.140625" style="148"/>
    <col min="12033" max="12033" width="69" style="148" customWidth="1"/>
    <col min="12034" max="12034" width="20.5703125" style="148" bestFit="1" customWidth="1"/>
    <col min="12035" max="12035" width="18.5703125" style="148" customWidth="1"/>
    <col min="12036" max="12036" width="12" style="148" bestFit="1" customWidth="1"/>
    <col min="12037" max="12037" width="9.5703125" style="148" bestFit="1" customWidth="1"/>
    <col min="12038" max="12278" width="9.140625" style="148" customWidth="1"/>
    <col min="12279" max="12279" width="5.5703125" style="148" customWidth="1"/>
    <col min="12280" max="12288" width="6.140625" style="148"/>
    <col min="12289" max="12289" width="69" style="148" customWidth="1"/>
    <col min="12290" max="12290" width="20.5703125" style="148" bestFit="1" customWidth="1"/>
    <col min="12291" max="12291" width="18.5703125" style="148" customWidth="1"/>
    <col min="12292" max="12292" width="12" style="148" bestFit="1" customWidth="1"/>
    <col min="12293" max="12293" width="9.5703125" style="148" bestFit="1" customWidth="1"/>
    <col min="12294" max="12534" width="9.140625" style="148" customWidth="1"/>
    <col min="12535" max="12535" width="5.5703125" style="148" customWidth="1"/>
    <col min="12536" max="12544" width="6.140625" style="148"/>
    <col min="12545" max="12545" width="69" style="148" customWidth="1"/>
    <col min="12546" max="12546" width="20.5703125" style="148" bestFit="1" customWidth="1"/>
    <col min="12547" max="12547" width="18.5703125" style="148" customWidth="1"/>
    <col min="12548" max="12548" width="12" style="148" bestFit="1" customWidth="1"/>
    <col min="12549" max="12549" width="9.5703125" style="148" bestFit="1" customWidth="1"/>
    <col min="12550" max="12790" width="9.140625" style="148" customWidth="1"/>
    <col min="12791" max="12791" width="5.5703125" style="148" customWidth="1"/>
    <col min="12792" max="12800" width="6.140625" style="148"/>
    <col min="12801" max="12801" width="69" style="148" customWidth="1"/>
    <col min="12802" max="12802" width="20.5703125" style="148" bestFit="1" customWidth="1"/>
    <col min="12803" max="12803" width="18.5703125" style="148" customWidth="1"/>
    <col min="12804" max="12804" width="12" style="148" bestFit="1" customWidth="1"/>
    <col min="12805" max="12805" width="9.5703125" style="148" bestFit="1" customWidth="1"/>
    <col min="12806" max="13046" width="9.140625" style="148" customWidth="1"/>
    <col min="13047" max="13047" width="5.5703125" style="148" customWidth="1"/>
    <col min="13048" max="13056" width="6.140625" style="148"/>
    <col min="13057" max="13057" width="69" style="148" customWidth="1"/>
    <col min="13058" max="13058" width="20.5703125" style="148" bestFit="1" customWidth="1"/>
    <col min="13059" max="13059" width="18.5703125" style="148" customWidth="1"/>
    <col min="13060" max="13060" width="12" style="148" bestFit="1" customWidth="1"/>
    <col min="13061" max="13061" width="9.5703125" style="148" bestFit="1" customWidth="1"/>
    <col min="13062" max="13302" width="9.140625" style="148" customWidth="1"/>
    <col min="13303" max="13303" width="5.5703125" style="148" customWidth="1"/>
    <col min="13304" max="13312" width="6.140625" style="148"/>
    <col min="13313" max="13313" width="69" style="148" customWidth="1"/>
    <col min="13314" max="13314" width="20.5703125" style="148" bestFit="1" customWidth="1"/>
    <col min="13315" max="13315" width="18.5703125" style="148" customWidth="1"/>
    <col min="13316" max="13316" width="12" style="148" bestFit="1" customWidth="1"/>
    <col min="13317" max="13317" width="9.5703125" style="148" bestFit="1" customWidth="1"/>
    <col min="13318" max="13558" width="9.140625" style="148" customWidth="1"/>
    <col min="13559" max="13559" width="5.5703125" style="148" customWidth="1"/>
    <col min="13560" max="13568" width="6.140625" style="148"/>
    <col min="13569" max="13569" width="69" style="148" customWidth="1"/>
    <col min="13570" max="13570" width="20.5703125" style="148" bestFit="1" customWidth="1"/>
    <col min="13571" max="13571" width="18.5703125" style="148" customWidth="1"/>
    <col min="13572" max="13572" width="12" style="148" bestFit="1" customWidth="1"/>
    <col min="13573" max="13573" width="9.5703125" style="148" bestFit="1" customWidth="1"/>
    <col min="13574" max="13814" width="9.140625" style="148" customWidth="1"/>
    <col min="13815" max="13815" width="5.5703125" style="148" customWidth="1"/>
    <col min="13816" max="13824" width="6.140625" style="148"/>
    <col min="13825" max="13825" width="69" style="148" customWidth="1"/>
    <col min="13826" max="13826" width="20.5703125" style="148" bestFit="1" customWidth="1"/>
    <col min="13827" max="13827" width="18.5703125" style="148" customWidth="1"/>
    <col min="13828" max="13828" width="12" style="148" bestFit="1" customWidth="1"/>
    <col min="13829" max="13829" width="9.5703125" style="148" bestFit="1" customWidth="1"/>
    <col min="13830" max="14070" width="9.140625" style="148" customWidth="1"/>
    <col min="14071" max="14071" width="5.5703125" style="148" customWidth="1"/>
    <col min="14072" max="14080" width="6.140625" style="148"/>
    <col min="14081" max="14081" width="69" style="148" customWidth="1"/>
    <col min="14082" max="14082" width="20.5703125" style="148" bestFit="1" customWidth="1"/>
    <col min="14083" max="14083" width="18.5703125" style="148" customWidth="1"/>
    <col min="14084" max="14084" width="12" style="148" bestFit="1" customWidth="1"/>
    <col min="14085" max="14085" width="9.5703125" style="148" bestFit="1" customWidth="1"/>
    <col min="14086" max="14326" width="9.140625" style="148" customWidth="1"/>
    <col min="14327" max="14327" width="5.5703125" style="148" customWidth="1"/>
    <col min="14328" max="14336" width="6.140625" style="148"/>
    <col min="14337" max="14337" width="69" style="148" customWidth="1"/>
    <col min="14338" max="14338" width="20.5703125" style="148" bestFit="1" customWidth="1"/>
    <col min="14339" max="14339" width="18.5703125" style="148" customWidth="1"/>
    <col min="14340" max="14340" width="12" style="148" bestFit="1" customWidth="1"/>
    <col min="14341" max="14341" width="9.5703125" style="148" bestFit="1" customWidth="1"/>
    <col min="14342" max="14582" width="9.140625" style="148" customWidth="1"/>
    <col min="14583" max="14583" width="5.5703125" style="148" customWidth="1"/>
    <col min="14584" max="14592" width="6.140625" style="148"/>
    <col min="14593" max="14593" width="69" style="148" customWidth="1"/>
    <col min="14594" max="14594" width="20.5703125" style="148" bestFit="1" customWidth="1"/>
    <col min="14595" max="14595" width="18.5703125" style="148" customWidth="1"/>
    <col min="14596" max="14596" width="12" style="148" bestFit="1" customWidth="1"/>
    <col min="14597" max="14597" width="9.5703125" style="148" bestFit="1" customWidth="1"/>
    <col min="14598" max="14838" width="9.140625" style="148" customWidth="1"/>
    <col min="14839" max="14839" width="5.5703125" style="148" customWidth="1"/>
    <col min="14840" max="14848" width="6.140625" style="148"/>
    <col min="14849" max="14849" width="69" style="148" customWidth="1"/>
    <col min="14850" max="14850" width="20.5703125" style="148" bestFit="1" customWidth="1"/>
    <col min="14851" max="14851" width="18.5703125" style="148" customWidth="1"/>
    <col min="14852" max="14852" width="12" style="148" bestFit="1" customWidth="1"/>
    <col min="14853" max="14853" width="9.5703125" style="148" bestFit="1" customWidth="1"/>
    <col min="14854" max="15094" width="9.140625" style="148" customWidth="1"/>
    <col min="15095" max="15095" width="5.5703125" style="148" customWidth="1"/>
    <col min="15096" max="15104" width="6.140625" style="148"/>
    <col min="15105" max="15105" width="69" style="148" customWidth="1"/>
    <col min="15106" max="15106" width="20.5703125" style="148" bestFit="1" customWidth="1"/>
    <col min="15107" max="15107" width="18.5703125" style="148" customWidth="1"/>
    <col min="15108" max="15108" width="12" style="148" bestFit="1" customWidth="1"/>
    <col min="15109" max="15109" width="9.5703125" style="148" bestFit="1" customWidth="1"/>
    <col min="15110" max="15350" width="9.140625" style="148" customWidth="1"/>
    <col min="15351" max="15351" width="5.5703125" style="148" customWidth="1"/>
    <col min="15352" max="15360" width="6.140625" style="148"/>
    <col min="15361" max="15361" width="69" style="148" customWidth="1"/>
    <col min="15362" max="15362" width="20.5703125" style="148" bestFit="1" customWidth="1"/>
    <col min="15363" max="15363" width="18.5703125" style="148" customWidth="1"/>
    <col min="15364" max="15364" width="12" style="148" bestFit="1" customWidth="1"/>
    <col min="15365" max="15365" width="9.5703125" style="148" bestFit="1" customWidth="1"/>
    <col min="15366" max="15606" width="9.140625" style="148" customWidth="1"/>
    <col min="15607" max="15607" width="5.5703125" style="148" customWidth="1"/>
    <col min="15608" max="15616" width="6.140625" style="148"/>
    <col min="15617" max="15617" width="69" style="148" customWidth="1"/>
    <col min="15618" max="15618" width="20.5703125" style="148" bestFit="1" customWidth="1"/>
    <col min="15619" max="15619" width="18.5703125" style="148" customWidth="1"/>
    <col min="15620" max="15620" width="12" style="148" bestFit="1" customWidth="1"/>
    <col min="15621" max="15621" width="9.5703125" style="148" bestFit="1" customWidth="1"/>
    <col min="15622" max="15862" width="9.140625" style="148" customWidth="1"/>
    <col min="15863" max="15863" width="5.5703125" style="148" customWidth="1"/>
    <col min="15864" max="15872" width="6.140625" style="148"/>
    <col min="15873" max="15873" width="69" style="148" customWidth="1"/>
    <col min="15874" max="15874" width="20.5703125" style="148" bestFit="1" customWidth="1"/>
    <col min="15875" max="15875" width="18.5703125" style="148" customWidth="1"/>
    <col min="15876" max="15876" width="12" style="148" bestFit="1" customWidth="1"/>
    <col min="15877" max="15877" width="9.5703125" style="148" bestFit="1" customWidth="1"/>
    <col min="15878" max="16118" width="9.140625" style="148" customWidth="1"/>
    <col min="16119" max="16119" width="5.5703125" style="148" customWidth="1"/>
    <col min="16120" max="16128" width="6.140625" style="148"/>
    <col min="16129" max="16129" width="69" style="148" customWidth="1"/>
    <col min="16130" max="16130" width="20.5703125" style="148" bestFit="1" customWidth="1"/>
    <col min="16131" max="16131" width="18.5703125" style="148" customWidth="1"/>
    <col min="16132" max="16132" width="12" style="148" bestFit="1" customWidth="1"/>
    <col min="16133" max="16133" width="9.5703125" style="148" bestFit="1" customWidth="1"/>
    <col min="16134" max="16374" width="9.140625" style="148" customWidth="1"/>
    <col min="16375" max="16375" width="5.5703125" style="148" customWidth="1"/>
    <col min="16376" max="16384" width="6.140625" style="148"/>
  </cols>
  <sheetData>
    <row r="1" spans="1:10" ht="18.75" x14ac:dyDescent="0.25">
      <c r="A1" s="2">
        <f>+'Note 9'!A1</f>
        <v>0</v>
      </c>
    </row>
    <row r="2" spans="1:10" ht="16.5" x14ac:dyDescent="0.25">
      <c r="A2" s="149">
        <f>+'Note 9'!A2</f>
        <v>0</v>
      </c>
      <c r="B2" s="150"/>
      <c r="C2" s="150"/>
    </row>
    <row r="3" spans="1:10" ht="16.5" x14ac:dyDescent="0.25">
      <c r="A3" s="149" t="str">
        <f>+'Note 9'!A3</f>
        <v>Notes to financial statements for the year ended March 31, 2025</v>
      </c>
      <c r="B3" s="150"/>
      <c r="C3" s="150"/>
    </row>
    <row r="4" spans="1:10" ht="16.5" x14ac:dyDescent="0.25">
      <c r="A4" s="151"/>
      <c r="B4" s="150"/>
      <c r="C4" s="152"/>
    </row>
    <row r="5" spans="1:10" ht="16.5" x14ac:dyDescent="0.25">
      <c r="A5" s="153" t="s">
        <v>728</v>
      </c>
      <c r="B5" s="154"/>
      <c r="C5" s="150"/>
      <c r="H5"/>
      <c r="I5"/>
      <c r="J5"/>
    </row>
    <row r="6" spans="1:10" ht="30" x14ac:dyDescent="0.25">
      <c r="A6" s="155"/>
      <c r="B6" s="1260" t="str">
        <f>+'Note 2 - 8'!$D$6</f>
        <v xml:space="preserve">  Year ended 
  March 31, 2025</v>
      </c>
      <c r="C6" s="1260" t="str">
        <f>+'Note 2 - 8'!$E$6</f>
        <v xml:space="preserve">  Year ended 
  March 31, 2024</v>
      </c>
      <c r="H6"/>
      <c r="I6"/>
      <c r="J6"/>
    </row>
    <row r="7" spans="1:10" ht="15" x14ac:dyDescent="0.25">
      <c r="A7" s="161" t="s">
        <v>134</v>
      </c>
      <c r="B7" s="468"/>
      <c r="C7" s="469"/>
    </row>
    <row r="8" spans="1:10" ht="16.5" x14ac:dyDescent="0.25">
      <c r="A8" s="156" t="s">
        <v>1535</v>
      </c>
      <c r="B8" s="470">
        <f>Sechdules!B185</f>
        <v>9629447</v>
      </c>
      <c r="C8" s="470">
        <f>Sechdules!C185</f>
        <v>8180887</v>
      </c>
      <c r="H8"/>
      <c r="I8" s="1101"/>
      <c r="J8" s="289"/>
    </row>
    <row r="9" spans="1:10" ht="15" x14ac:dyDescent="0.25">
      <c r="A9" s="158"/>
      <c r="B9" s="471">
        <f>SUM(B8:B8)</f>
        <v>9629447</v>
      </c>
      <c r="C9" s="472">
        <f>SUM(C8:C8)</f>
        <v>8180887</v>
      </c>
      <c r="H9"/>
      <c r="I9"/>
      <c r="J9"/>
    </row>
    <row r="10" spans="1:10" ht="15" x14ac:dyDescent="0.25">
      <c r="A10" s="153"/>
      <c r="B10" s="159"/>
      <c r="C10" s="160"/>
      <c r="H10"/>
      <c r="I10" s="1101"/>
      <c r="J10"/>
    </row>
    <row r="11" spans="1:10" s="28" customFormat="1" ht="15" x14ac:dyDescent="0.25">
      <c r="A11" s="124" t="s">
        <v>729</v>
      </c>
      <c r="B11" s="125"/>
      <c r="C11" s="125"/>
      <c r="D11" s="148"/>
      <c r="E11" s="148"/>
    </row>
    <row r="12" spans="1:10" s="28" customFormat="1" ht="30.75" x14ac:dyDescent="0.3">
      <c r="A12" s="127"/>
      <c r="B12" s="1260" t="str">
        <f>+'Note 2 - 8'!$D$6</f>
        <v xml:space="preserve">  Year ended 
  March 31, 2025</v>
      </c>
      <c r="C12" s="1260" t="str">
        <f>+'Note 2 - 8'!$E$6</f>
        <v xml:space="preserve">  Year ended 
  March 31, 2024</v>
      </c>
      <c r="D12" s="148"/>
      <c r="E12" s="148"/>
    </row>
    <row r="13" spans="1:10" s="28" customFormat="1" ht="16.5" x14ac:dyDescent="0.3">
      <c r="A13" s="101" t="s">
        <v>614</v>
      </c>
      <c r="B13" s="208">
        <f>+'Note 16-23'!B26</f>
        <v>684295</v>
      </c>
      <c r="C13" s="208">
        <f>+'Note 16-23'!C26</f>
        <v>992170</v>
      </c>
      <c r="D13" s="148"/>
      <c r="E13" s="148"/>
    </row>
    <row r="14" spans="1:10" s="28" customFormat="1" ht="16.5" x14ac:dyDescent="0.25">
      <c r="A14" s="130"/>
      <c r="B14" s="457">
        <f>SUM(B13:B13)</f>
        <v>684295</v>
      </c>
      <c r="C14" s="457">
        <f>SUM(C13:C13)</f>
        <v>992170</v>
      </c>
      <c r="D14" s="148"/>
      <c r="E14" s="148"/>
      <c r="H14"/>
      <c r="I14"/>
      <c r="J14"/>
    </row>
    <row r="15" spans="1:10" s="28" customFormat="1" ht="15" x14ac:dyDescent="0.25">
      <c r="D15" s="148"/>
      <c r="E15" s="148"/>
      <c r="H15"/>
      <c r="I15"/>
      <c r="J15"/>
    </row>
    <row r="16" spans="1:10" ht="16.5" x14ac:dyDescent="0.25">
      <c r="A16" s="161" t="s">
        <v>684</v>
      </c>
      <c r="B16" s="162"/>
      <c r="C16" s="163"/>
      <c r="H16"/>
      <c r="I16"/>
      <c r="J16"/>
    </row>
    <row r="17" spans="1:10" ht="30" x14ac:dyDescent="0.25">
      <c r="A17" s="164"/>
      <c r="B17" s="1260" t="str">
        <f>+'Note 2 - 8'!$D$6</f>
        <v xml:space="preserve">  Year ended 
  March 31, 2025</v>
      </c>
      <c r="C17" s="1260" t="str">
        <f>+'Note 2 - 8'!$E$6</f>
        <v xml:space="preserve">  Year ended 
  March 31, 2024</v>
      </c>
      <c r="H17"/>
      <c r="I17"/>
      <c r="J17"/>
    </row>
    <row r="18" spans="1:10" ht="16.5" x14ac:dyDescent="0.25">
      <c r="A18" s="165" t="s">
        <v>134</v>
      </c>
      <c r="B18" s="162"/>
      <c r="C18" s="163"/>
      <c r="H18"/>
      <c r="I18"/>
      <c r="J18"/>
    </row>
    <row r="19" spans="1:10" ht="49.5" x14ac:dyDescent="0.25">
      <c r="A19" s="275" t="s">
        <v>135</v>
      </c>
      <c r="B19" s="473">
        <f>B32</f>
        <v>67023303.609999999</v>
      </c>
      <c r="C19" s="473">
        <f>+B43</f>
        <v>76970805.090000004</v>
      </c>
      <c r="H19"/>
      <c r="J19"/>
    </row>
    <row r="20" spans="1:10" ht="16.5" x14ac:dyDescent="0.25">
      <c r="A20" s="275" t="s">
        <v>136</v>
      </c>
      <c r="B20" s="731">
        <f>C32+D32</f>
        <v>6197594.0899999999</v>
      </c>
      <c r="C20" s="473">
        <f>+C43+D43</f>
        <v>6408101.2199999997</v>
      </c>
      <c r="H20"/>
      <c r="I20"/>
      <c r="J20"/>
    </row>
    <row r="21" spans="1:10" ht="15" x14ac:dyDescent="0.25">
      <c r="A21" s="166"/>
      <c r="B21" s="474">
        <f>SUM(B19:B20)</f>
        <v>73220897.700000003</v>
      </c>
      <c r="C21" s="474">
        <f>SUM(C19:C20)</f>
        <v>83378906.310000002</v>
      </c>
      <c r="D21" s="276"/>
      <c r="H21"/>
      <c r="I21"/>
      <c r="J21"/>
    </row>
    <row r="22" spans="1:10" ht="15" x14ac:dyDescent="0.25">
      <c r="A22" s="167"/>
      <c r="B22" s="168"/>
      <c r="C22" s="169"/>
      <c r="H22"/>
      <c r="I22"/>
      <c r="J22"/>
    </row>
    <row r="23" spans="1:10" ht="16.5" x14ac:dyDescent="0.3">
      <c r="A23" s="266" t="s">
        <v>1566</v>
      </c>
      <c r="B23" s="267"/>
      <c r="C23" s="267"/>
      <c r="D23" s="267"/>
      <c r="E23" s="267"/>
      <c r="F23" s="267"/>
      <c r="G23" s="267"/>
      <c r="H23"/>
      <c r="I23"/>
      <c r="J23"/>
    </row>
    <row r="24" spans="1:10" ht="15" x14ac:dyDescent="0.25">
      <c r="A24" s="1574" t="s">
        <v>0</v>
      </c>
      <c r="B24" s="1599" t="s">
        <v>605</v>
      </c>
      <c r="C24" s="1599"/>
      <c r="D24" s="1599"/>
      <c r="E24" s="1599"/>
      <c r="F24" s="1599"/>
      <c r="G24" s="1600" t="s">
        <v>183</v>
      </c>
      <c r="H24"/>
      <c r="I24"/>
      <c r="J24"/>
    </row>
    <row r="25" spans="1:10" ht="30" customHeight="1" thickBot="1" x14ac:dyDescent="0.3">
      <c r="A25" s="1575"/>
      <c r="B25" s="269" t="s">
        <v>606</v>
      </c>
      <c r="C25" s="269" t="s">
        <v>607</v>
      </c>
      <c r="D25" s="269" t="s">
        <v>608</v>
      </c>
      <c r="E25" s="269" t="s">
        <v>609</v>
      </c>
      <c r="F25" s="269" t="s">
        <v>182</v>
      </c>
      <c r="G25" s="1601"/>
      <c r="H25"/>
      <c r="I25"/>
      <c r="J25"/>
    </row>
    <row r="26" spans="1:10" ht="16.5" x14ac:dyDescent="0.3">
      <c r="A26" s="270" t="s">
        <v>615</v>
      </c>
      <c r="B26" s="267"/>
      <c r="C26" s="267"/>
      <c r="D26" s="267"/>
      <c r="E26" s="267"/>
      <c r="F26" s="267"/>
      <c r="G26" s="267"/>
      <c r="H26"/>
      <c r="I26"/>
      <c r="J26"/>
    </row>
    <row r="27" spans="1:10" ht="16.5" x14ac:dyDescent="0.3">
      <c r="A27" s="271" t="s">
        <v>616</v>
      </c>
      <c r="B27" s="348">
        <f>+'Debtor''s ageing'!D29+'Debtor''s ageing'!E29+'Debtor''s ageing'!F29+'Debtor''s ageing'!G29</f>
        <v>67023303.609999999</v>
      </c>
      <c r="C27" s="348">
        <f>+'Debtor''s ageing'!H29</f>
        <v>5980860.0899999999</v>
      </c>
      <c r="D27" s="267">
        <f>+'Debtor''s ageing'!I29</f>
        <v>216734</v>
      </c>
      <c r="E27" s="267">
        <v>0</v>
      </c>
      <c r="F27" s="267">
        <v>0</v>
      </c>
      <c r="G27" s="348">
        <f>SUM(B27:F27)</f>
        <v>73220897.700000003</v>
      </c>
      <c r="H27"/>
      <c r="I27"/>
      <c r="J27"/>
    </row>
    <row r="28" spans="1:10" ht="16.5" x14ac:dyDescent="0.3">
      <c r="A28" s="271" t="s">
        <v>617</v>
      </c>
      <c r="B28" s="267">
        <v>0</v>
      </c>
      <c r="C28" s="267">
        <v>0</v>
      </c>
      <c r="D28" s="267">
        <v>0</v>
      </c>
      <c r="E28" s="267">
        <v>0</v>
      </c>
      <c r="F28" s="267">
        <v>0</v>
      </c>
      <c r="G28" s="267">
        <f>SUM(B28:F28)</f>
        <v>0</v>
      </c>
      <c r="H28"/>
      <c r="I28"/>
      <c r="J28"/>
    </row>
    <row r="29" spans="1:10" ht="16.5" x14ac:dyDescent="0.3">
      <c r="A29" s="270" t="s">
        <v>618</v>
      </c>
      <c r="B29" s="267"/>
      <c r="C29" s="267"/>
      <c r="D29" s="267"/>
      <c r="E29" s="267"/>
      <c r="F29" s="267"/>
      <c r="G29" s="267"/>
      <c r="H29"/>
      <c r="I29"/>
      <c r="J29"/>
    </row>
    <row r="30" spans="1:10" ht="16.5" x14ac:dyDescent="0.3">
      <c r="A30" s="271" t="s">
        <v>616</v>
      </c>
      <c r="B30" s="267">
        <v>0</v>
      </c>
      <c r="C30" s="267">
        <v>0</v>
      </c>
      <c r="D30" s="267">
        <v>0</v>
      </c>
      <c r="E30" s="267">
        <v>0</v>
      </c>
      <c r="F30" s="267">
        <v>0</v>
      </c>
      <c r="G30" s="267">
        <f t="shared" ref="G30:G31" si="0">SUM(B30:F30)</f>
        <v>0</v>
      </c>
    </row>
    <row r="31" spans="1:10" ht="16.5" x14ac:dyDescent="0.3">
      <c r="A31" s="271" t="s">
        <v>617</v>
      </c>
      <c r="B31" s="267">
        <v>0</v>
      </c>
      <c r="C31" s="267">
        <v>0</v>
      </c>
      <c r="D31" s="267">
        <v>0</v>
      </c>
      <c r="E31" s="267">
        <v>0</v>
      </c>
      <c r="F31" s="267">
        <v>0</v>
      </c>
      <c r="G31" s="267">
        <f t="shared" si="0"/>
        <v>0</v>
      </c>
    </row>
    <row r="32" spans="1:10" ht="15.75" thickBot="1" x14ac:dyDescent="0.3">
      <c r="A32" s="272" t="s">
        <v>183</v>
      </c>
      <c r="B32" s="475">
        <f>SUM(B27:B31)</f>
        <v>67023303.609999999</v>
      </c>
      <c r="C32" s="475">
        <f>SUM(C27:C31)</f>
        <v>5980860.0899999999</v>
      </c>
      <c r="D32" s="475">
        <f>SUM(D27:D31)</f>
        <v>216734</v>
      </c>
      <c r="E32" s="341">
        <f t="shared" ref="E32:F32" si="1">SUM(E27:E31)</f>
        <v>0</v>
      </c>
      <c r="F32" s="341">
        <f t="shared" si="1"/>
        <v>0</v>
      </c>
      <c r="G32" s="475">
        <f>SUM(G27:G31)</f>
        <v>73220897.700000003</v>
      </c>
    </row>
    <row r="33" spans="1:7" ht="15" x14ac:dyDescent="0.25">
      <c r="A33" s="167"/>
      <c r="B33" s="168"/>
      <c r="C33" s="169"/>
    </row>
    <row r="34" spans="1:7" ht="16.5" x14ac:dyDescent="0.3">
      <c r="A34" s="266" t="s">
        <v>1132</v>
      </c>
      <c r="B34" s="267"/>
      <c r="C34" s="267"/>
      <c r="D34" s="267"/>
      <c r="E34" s="267"/>
      <c r="F34" s="267"/>
      <c r="G34" s="267"/>
    </row>
    <row r="35" spans="1:7" ht="15" x14ac:dyDescent="0.25">
      <c r="A35" s="1574" t="s">
        <v>0</v>
      </c>
      <c r="B35" s="1599" t="s">
        <v>605</v>
      </c>
      <c r="C35" s="1599"/>
      <c r="D35" s="1599"/>
      <c r="E35" s="1599"/>
      <c r="F35" s="1599"/>
      <c r="G35" s="1600" t="s">
        <v>183</v>
      </c>
    </row>
    <row r="36" spans="1:7" ht="37.5" customHeight="1" thickBot="1" x14ac:dyDescent="0.3">
      <c r="A36" s="1575"/>
      <c r="B36" s="269" t="s">
        <v>606</v>
      </c>
      <c r="C36" s="269" t="s">
        <v>607</v>
      </c>
      <c r="D36" s="269" t="s">
        <v>608</v>
      </c>
      <c r="E36" s="269" t="s">
        <v>609</v>
      </c>
      <c r="F36" s="269" t="s">
        <v>182</v>
      </c>
      <c r="G36" s="1601"/>
    </row>
    <row r="37" spans="1:7" ht="16.5" x14ac:dyDescent="0.3">
      <c r="A37" s="270" t="s">
        <v>615</v>
      </c>
      <c r="B37" s="267"/>
      <c r="C37" s="267"/>
      <c r="D37" s="267"/>
      <c r="E37" s="267"/>
      <c r="F37" s="267"/>
      <c r="G37" s="267"/>
    </row>
    <row r="38" spans="1:7" ht="16.5" x14ac:dyDescent="0.3">
      <c r="A38" s="271" t="s">
        <v>616</v>
      </c>
      <c r="B38" s="348">
        <v>76970805.090000004</v>
      </c>
      <c r="C38" s="348">
        <v>4266422</v>
      </c>
      <c r="D38" s="348">
        <v>2141679.2199999997</v>
      </c>
      <c r="E38" s="340">
        <v>0</v>
      </c>
      <c r="F38" s="340">
        <v>0</v>
      </c>
      <c r="G38" s="348">
        <f>SUM(B38:F38)</f>
        <v>83378906.310000002</v>
      </c>
    </row>
    <row r="39" spans="1:7" ht="16.5" x14ac:dyDescent="0.3">
      <c r="A39" s="271" t="s">
        <v>617</v>
      </c>
      <c r="B39" s="267">
        <v>0</v>
      </c>
      <c r="C39" s="267">
        <v>0</v>
      </c>
      <c r="D39" s="267">
        <v>0</v>
      </c>
      <c r="E39" s="267">
        <v>0</v>
      </c>
      <c r="F39" s="267">
        <v>0</v>
      </c>
      <c r="G39" s="267">
        <f>SUM(B39:F39)</f>
        <v>0</v>
      </c>
    </row>
    <row r="40" spans="1:7" ht="16.5" x14ac:dyDescent="0.3">
      <c r="A40" s="270" t="s">
        <v>618</v>
      </c>
      <c r="B40" s="267"/>
      <c r="C40" s="267"/>
      <c r="D40" s="267"/>
      <c r="E40" s="267"/>
      <c r="F40" s="267"/>
      <c r="G40" s="267"/>
    </row>
    <row r="41" spans="1:7" ht="16.5" x14ac:dyDescent="0.3">
      <c r="A41" s="271" t="s">
        <v>616</v>
      </c>
      <c r="B41" s="267">
        <v>0</v>
      </c>
      <c r="C41" s="267">
        <v>0</v>
      </c>
      <c r="D41" s="267">
        <v>0</v>
      </c>
      <c r="E41" s="267">
        <v>0</v>
      </c>
      <c r="F41" s="267">
        <v>0</v>
      </c>
      <c r="G41" s="267">
        <f t="shared" ref="G41:G42" si="2">SUM(B41:F41)</f>
        <v>0</v>
      </c>
    </row>
    <row r="42" spans="1:7" ht="16.5" x14ac:dyDescent="0.3">
      <c r="A42" s="271" t="s">
        <v>617</v>
      </c>
      <c r="B42" s="267">
        <v>0</v>
      </c>
      <c r="C42" s="267">
        <v>0</v>
      </c>
      <c r="D42" s="267">
        <v>0</v>
      </c>
      <c r="E42" s="267">
        <v>0</v>
      </c>
      <c r="F42" s="267">
        <v>0</v>
      </c>
      <c r="G42" s="267">
        <f t="shared" si="2"/>
        <v>0</v>
      </c>
    </row>
    <row r="43" spans="1:7" ht="15.75" thickBot="1" x14ac:dyDescent="0.3">
      <c r="A43" s="272" t="s">
        <v>183</v>
      </c>
      <c r="B43" s="475">
        <f t="shared" ref="B43:G43" si="3">SUM(B38:B42)</f>
        <v>76970805.090000004</v>
      </c>
      <c r="C43" s="475">
        <f t="shared" si="3"/>
        <v>4266422</v>
      </c>
      <c r="D43" s="475">
        <f t="shared" si="3"/>
        <v>2141679.2199999997</v>
      </c>
      <c r="E43" s="341">
        <f t="shared" si="3"/>
        <v>0</v>
      </c>
      <c r="F43" s="341">
        <f t="shared" si="3"/>
        <v>0</v>
      </c>
      <c r="G43" s="475">
        <f t="shared" si="3"/>
        <v>83378906.310000002</v>
      </c>
    </row>
    <row r="44" spans="1:7" ht="15" x14ac:dyDescent="0.25">
      <c r="A44" s="167"/>
      <c r="B44" s="168"/>
      <c r="C44" s="169"/>
    </row>
    <row r="45" spans="1:7" ht="16.5" x14ac:dyDescent="0.25">
      <c r="A45" s="153" t="s">
        <v>685</v>
      </c>
      <c r="B45" s="154"/>
      <c r="C45" s="150"/>
    </row>
    <row r="46" spans="1:7" ht="30" x14ac:dyDescent="0.25">
      <c r="A46" s="158"/>
      <c r="B46" s="1260" t="str">
        <f>+'Note 2 - 8'!$D$6</f>
        <v xml:space="preserve">  Year ended 
  March 31, 2025</v>
      </c>
      <c r="C46" s="1260" t="str">
        <f>+'Note 2 - 8'!$E$6</f>
        <v xml:space="preserve">  Year ended 
  March 31, 2024</v>
      </c>
    </row>
    <row r="47" spans="1:7" ht="16.5" x14ac:dyDescent="0.25">
      <c r="A47" s="153" t="s">
        <v>137</v>
      </c>
      <c r="B47" s="162"/>
      <c r="C47" s="163"/>
    </row>
    <row r="48" spans="1:7" ht="16.5" x14ac:dyDescent="0.25">
      <c r="A48" s="170" t="s">
        <v>138</v>
      </c>
      <c r="B48" s="473">
        <f>+Sechdules!B225</f>
        <v>10511887.369999999</v>
      </c>
      <c r="C48" s="473">
        <f>+Sechdules!C225</f>
        <v>18843387.18</v>
      </c>
    </row>
    <row r="49" spans="1:9" ht="16.5" x14ac:dyDescent="0.25">
      <c r="A49" s="170" t="s">
        <v>52</v>
      </c>
      <c r="B49" s="1181">
        <f>+'TB 24-25'!E132+'TB 24-25'!E133</f>
        <v>1032854.75</v>
      </c>
      <c r="C49" s="1181">
        <f>+'Trial Balance'!D37+3</f>
        <v>368229</v>
      </c>
      <c r="H49" s="306"/>
      <c r="I49" s="306"/>
    </row>
    <row r="50" spans="1:9" ht="16.5" x14ac:dyDescent="0.25">
      <c r="A50" s="171" t="s">
        <v>139</v>
      </c>
      <c r="B50" s="470"/>
      <c r="C50" s="470"/>
      <c r="H50" s="306"/>
      <c r="I50" s="306"/>
    </row>
    <row r="51" spans="1:9" ht="16.5" x14ac:dyDescent="0.25">
      <c r="A51" s="172" t="s">
        <v>1537</v>
      </c>
      <c r="B51" s="476">
        <f>+Sechdules!B237</f>
        <v>5298954</v>
      </c>
      <c r="C51" s="476">
        <f>+Sechdules!C237</f>
        <v>40298954</v>
      </c>
      <c r="H51" s="306"/>
      <c r="I51" s="306"/>
    </row>
    <row r="52" spans="1:9" ht="15" x14ac:dyDescent="0.25">
      <c r="A52" s="155"/>
      <c r="B52" s="477">
        <f>SUM(B48:B51)</f>
        <v>16843696.119999997</v>
      </c>
      <c r="C52" s="478">
        <f>SUM(C48:C51)</f>
        <v>59510570.18</v>
      </c>
      <c r="D52" s="731"/>
      <c r="H52" s="306"/>
      <c r="I52" s="306"/>
    </row>
    <row r="53" spans="1:9" ht="15" x14ac:dyDescent="0.25">
      <c r="A53" s="161"/>
      <c r="B53" s="173"/>
      <c r="C53" s="174"/>
      <c r="H53" s="306"/>
      <c r="I53" s="306"/>
    </row>
    <row r="54" spans="1:9" ht="16.5" x14ac:dyDescent="0.25">
      <c r="A54" s="153" t="s">
        <v>686</v>
      </c>
      <c r="B54" s="154"/>
      <c r="C54" s="150"/>
    </row>
    <row r="55" spans="1:9" ht="30" x14ac:dyDescent="0.25">
      <c r="A55" s="155"/>
      <c r="B55" s="1260" t="str">
        <f>+'Note 2 - 8'!$D$6</f>
        <v xml:space="preserve">  Year ended 
  March 31, 2025</v>
      </c>
      <c r="C55" s="1260" t="str">
        <f>+'Note 2 - 8'!$E$6</f>
        <v xml:space="preserve">  Year ended 
  March 31, 2024</v>
      </c>
    </row>
    <row r="56" spans="1:9" ht="15" x14ac:dyDescent="0.25">
      <c r="A56" s="161" t="s">
        <v>134</v>
      </c>
      <c r="B56" s="468"/>
      <c r="C56" s="469"/>
    </row>
    <row r="57" spans="1:9" ht="16.5" x14ac:dyDescent="0.25">
      <c r="A57" s="156" t="s">
        <v>140</v>
      </c>
      <c r="B57" s="470">
        <f>+'TB 24-25'!E378</f>
        <v>1313073.1399999999</v>
      </c>
      <c r="C57" s="470">
        <f>+'Trial Balance'!D41</f>
        <v>1589845</v>
      </c>
      <c r="E57" s="157"/>
    </row>
    <row r="58" spans="1:9" ht="16.5" x14ac:dyDescent="0.25">
      <c r="A58" s="156" t="s">
        <v>141</v>
      </c>
      <c r="B58" s="1183">
        <f>Sechdules!B257</f>
        <v>26694650</v>
      </c>
      <c r="C58" s="1183">
        <f>Sechdules!C257</f>
        <v>25665531</v>
      </c>
      <c r="E58" s="157"/>
    </row>
    <row r="59" spans="1:9" ht="16.5" x14ac:dyDescent="0.25">
      <c r="A59" s="153" t="s">
        <v>142</v>
      </c>
      <c r="B59" s="479"/>
      <c r="C59" s="479"/>
      <c r="E59" s="157"/>
      <c r="H59" s="731"/>
    </row>
    <row r="60" spans="1:9" ht="16.5" x14ac:dyDescent="0.25">
      <c r="A60" s="170" t="s">
        <v>143</v>
      </c>
      <c r="B60" s="470">
        <f>+'TB 24-25'!E501</f>
        <v>2749916</v>
      </c>
      <c r="C60" s="470">
        <f>'Trial Balance CB'!B340</f>
        <v>11285077</v>
      </c>
      <c r="D60" s="157"/>
      <c r="E60" s="157"/>
    </row>
    <row r="61" spans="1:9" ht="16.5" x14ac:dyDescent="0.25">
      <c r="A61" s="170" t="s">
        <v>144</v>
      </c>
      <c r="B61" s="1183">
        <f>Sechdules!B274</f>
        <v>9574655.7300000004</v>
      </c>
      <c r="C61" s="1183">
        <f>Sechdules!C274</f>
        <v>11785881.35</v>
      </c>
      <c r="E61" s="157"/>
    </row>
    <row r="62" spans="1:9" ht="15" x14ac:dyDescent="0.25">
      <c r="A62" s="158"/>
      <c r="B62" s="471">
        <f>SUM(B57:B61)</f>
        <v>40332294.870000005</v>
      </c>
      <c r="C62" s="472">
        <f>SUM(C57:C61)</f>
        <v>50326334.350000001</v>
      </c>
      <c r="D62" s="276"/>
    </row>
    <row r="63" spans="1:9" ht="15" x14ac:dyDescent="0.25">
      <c r="A63" s="153"/>
      <c r="B63" s="159"/>
      <c r="C63" s="160"/>
      <c r="D63" s="276"/>
    </row>
    <row r="64" spans="1:9" ht="15" x14ac:dyDescent="0.25">
      <c r="A64" s="167" t="s">
        <v>687</v>
      </c>
      <c r="B64" s="168"/>
      <c r="C64" s="342"/>
      <c r="D64" s="276"/>
    </row>
    <row r="65" spans="1:4" ht="30" x14ac:dyDescent="0.25">
      <c r="A65" s="158"/>
      <c r="B65" s="1260" t="str">
        <f>+'Note 2 - 8'!$D$6</f>
        <v xml:space="preserve">  Year ended 
  March 31, 2025</v>
      </c>
      <c r="C65" s="1260" t="str">
        <f>+'Note 2 - 8'!$E$6</f>
        <v xml:space="preserve">  Year ended 
  March 31, 2024</v>
      </c>
      <c r="D65" s="276"/>
    </row>
    <row r="66" spans="1:4" ht="16.5" x14ac:dyDescent="0.25">
      <c r="A66" s="170" t="s">
        <v>145</v>
      </c>
      <c r="B66" s="473">
        <f>+'TB 24-25'!E278</f>
        <v>198393</v>
      </c>
      <c r="C66" s="480">
        <v>218107</v>
      </c>
      <c r="D66" s="276"/>
    </row>
    <row r="67" spans="1:4" ht="15" x14ac:dyDescent="0.25">
      <c r="A67" s="158"/>
      <c r="B67" s="472">
        <f>SUM(B66:B66)</f>
        <v>198393</v>
      </c>
      <c r="C67" s="481">
        <f>SUM(C66:C66)</f>
        <v>218107</v>
      </c>
      <c r="D67" s="276"/>
    </row>
    <row r="68" spans="1:4" ht="16.5" x14ac:dyDescent="0.25">
      <c r="A68" s="150"/>
      <c r="B68" s="154"/>
      <c r="C68" s="150"/>
      <c r="D68" s="277"/>
    </row>
    <row r="69" spans="1:4" ht="16.5" x14ac:dyDescent="0.25">
      <c r="A69" s="175"/>
      <c r="B69" s="176"/>
      <c r="C69" s="177"/>
    </row>
    <row r="70" spans="1:4" ht="16.5" x14ac:dyDescent="0.25">
      <c r="A70" s="150"/>
      <c r="B70" s="154"/>
      <c r="C70" s="150"/>
      <c r="D70" s="277"/>
    </row>
    <row r="71" spans="1:4" ht="16.5" x14ac:dyDescent="0.25">
      <c r="A71" s="150"/>
      <c r="B71" s="154"/>
      <c r="C71" s="150"/>
    </row>
    <row r="72" spans="1:4" ht="16.5" x14ac:dyDescent="0.25">
      <c r="A72" s="150"/>
      <c r="B72" s="154"/>
      <c r="C72" s="150"/>
    </row>
    <row r="73" spans="1:4" ht="16.5" x14ac:dyDescent="0.25">
      <c r="A73" s="150"/>
      <c r="B73" s="154"/>
      <c r="C73" s="150"/>
    </row>
    <row r="74" spans="1:4" ht="16.5" x14ac:dyDescent="0.25">
      <c r="A74" s="150"/>
      <c r="B74" s="154"/>
      <c r="C74" s="150"/>
    </row>
    <row r="75" spans="1:4" ht="16.5" x14ac:dyDescent="0.25">
      <c r="A75" s="150"/>
      <c r="B75" s="154"/>
      <c r="C75" s="150"/>
    </row>
    <row r="76" spans="1:4" ht="16.5" x14ac:dyDescent="0.25">
      <c r="A76" s="150"/>
      <c r="B76" s="154"/>
      <c r="C76" s="150"/>
    </row>
    <row r="77" spans="1:4" ht="16.5" x14ac:dyDescent="0.25">
      <c r="A77" s="150"/>
      <c r="B77" s="154"/>
      <c r="C77" s="150"/>
    </row>
    <row r="78" spans="1:4" ht="16.5" x14ac:dyDescent="0.25">
      <c r="A78" s="150"/>
      <c r="B78" s="154"/>
      <c r="C78" s="150"/>
    </row>
    <row r="79" spans="1:4" ht="16.5" x14ac:dyDescent="0.25">
      <c r="A79" s="150"/>
      <c r="B79" s="154"/>
      <c r="C79" s="150"/>
    </row>
    <row r="80" spans="1:4" ht="16.5" x14ac:dyDescent="0.25">
      <c r="A80" s="150"/>
      <c r="B80" s="154"/>
      <c r="C80" s="150"/>
    </row>
    <row r="81" spans="1:3" ht="16.5" x14ac:dyDescent="0.25">
      <c r="A81" s="150"/>
      <c r="B81" s="154"/>
      <c r="C81" s="150"/>
    </row>
    <row r="82" spans="1:3" ht="16.5" x14ac:dyDescent="0.25">
      <c r="A82" s="150"/>
      <c r="B82" s="154"/>
      <c r="C82" s="150"/>
    </row>
    <row r="83" spans="1:3" ht="16.5" x14ac:dyDescent="0.25">
      <c r="A83" s="150"/>
      <c r="B83" s="154"/>
      <c r="C83" s="150"/>
    </row>
    <row r="84" spans="1:3" ht="16.5" x14ac:dyDescent="0.25">
      <c r="A84" s="150"/>
      <c r="B84" s="154"/>
      <c r="C84" s="150"/>
    </row>
    <row r="85" spans="1:3" ht="16.5" x14ac:dyDescent="0.25">
      <c r="A85" s="150"/>
      <c r="B85" s="154"/>
      <c r="C85" s="150"/>
    </row>
    <row r="86" spans="1:3" ht="16.5" x14ac:dyDescent="0.25">
      <c r="A86" s="150"/>
      <c r="B86" s="154"/>
      <c r="C86" s="150"/>
    </row>
    <row r="87" spans="1:3" ht="16.5" x14ac:dyDescent="0.25">
      <c r="A87" s="150"/>
      <c r="B87" s="154"/>
      <c r="C87" s="150"/>
    </row>
    <row r="88" spans="1:3" ht="16.5" x14ac:dyDescent="0.25">
      <c r="A88" s="150"/>
      <c r="B88" s="150"/>
      <c r="C88" s="150"/>
    </row>
    <row r="89" spans="1:3" ht="16.5" x14ac:dyDescent="0.25">
      <c r="A89" s="150"/>
      <c r="B89" s="150"/>
      <c r="C89" s="150"/>
    </row>
    <row r="90" spans="1:3" ht="16.5" x14ac:dyDescent="0.25">
      <c r="A90" s="150"/>
      <c r="B90" s="150"/>
      <c r="C90" s="150"/>
    </row>
    <row r="91" spans="1:3" ht="16.5" x14ac:dyDescent="0.25">
      <c r="A91" s="150"/>
      <c r="B91" s="150"/>
      <c r="C91" s="150"/>
    </row>
  </sheetData>
  <mergeCells count="6">
    <mergeCell ref="A24:A25"/>
    <mergeCell ref="B24:F24"/>
    <mergeCell ref="G24:G25"/>
    <mergeCell ref="A35:A36"/>
    <mergeCell ref="B35:F35"/>
    <mergeCell ref="G35:G36"/>
  </mergeCells>
  <printOptions horizontalCentered="1"/>
  <pageMargins left="0.35433070866141736" right="0.31496062992125984" top="0.35433070866141736" bottom="0.35433070866141736" header="0.39370078740157483" footer="0.43307086614173229"/>
  <pageSetup paperSize="9" scale="67" fitToHeight="6" orientation="portrait" r:id="rId1"/>
  <rowBreaks count="1" manualBreakCount="1">
    <brk id="67" max="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5612"/>
  <sheetViews>
    <sheetView showGridLines="0" view="pageBreakPreview" topLeftCell="A110" zoomScaleNormal="100" zoomScaleSheetLayoutView="100" workbookViewId="0">
      <selection activeCell="B127" sqref="B127"/>
    </sheetView>
  </sheetViews>
  <sheetFormatPr defaultColWidth="4.42578125" defaultRowHeight="13.5" zeroHeight="1" x14ac:dyDescent="0.25"/>
  <cols>
    <col min="1" max="1" width="65.85546875" style="178" customWidth="1"/>
    <col min="2" max="2" width="20.5703125" style="1161" customWidth="1"/>
    <col min="3" max="3" width="20.5703125" style="180" customWidth="1"/>
    <col min="4" max="4" width="11.5703125" style="180" bestFit="1" customWidth="1"/>
    <col min="5" max="5" width="32.140625" style="178" bestFit="1" customWidth="1"/>
    <col min="6" max="6" width="13.7109375" style="178" bestFit="1" customWidth="1"/>
    <col min="7" max="7" width="12.5703125" style="178" bestFit="1" customWidth="1"/>
    <col min="8" max="8" width="4.42578125" style="178"/>
    <col min="9" max="9" width="13.42578125" style="178" bestFit="1" customWidth="1"/>
    <col min="10" max="256" width="4.42578125" style="178"/>
    <col min="257" max="257" width="65.85546875" style="178" customWidth="1"/>
    <col min="258" max="259" width="20.5703125" style="178" customWidth="1"/>
    <col min="260" max="260" width="11.5703125" style="178" bestFit="1" customWidth="1"/>
    <col min="261" max="261" width="10.5703125" style="178" bestFit="1" customWidth="1"/>
    <col min="262" max="262" width="7.5703125" style="178" bestFit="1" customWidth="1"/>
    <col min="263" max="264" width="4.42578125" style="178"/>
    <col min="265" max="265" width="8" style="178" bestFit="1" customWidth="1"/>
    <col min="266" max="512" width="4.42578125" style="178"/>
    <col min="513" max="513" width="65.85546875" style="178" customWidth="1"/>
    <col min="514" max="515" width="20.5703125" style="178" customWidth="1"/>
    <col min="516" max="516" width="11.5703125" style="178" bestFit="1" customWidth="1"/>
    <col min="517" max="517" width="10.5703125" style="178" bestFit="1" customWidth="1"/>
    <col min="518" max="518" width="7.5703125" style="178" bestFit="1" customWidth="1"/>
    <col min="519" max="520" width="4.42578125" style="178"/>
    <col min="521" max="521" width="8" style="178" bestFit="1" customWidth="1"/>
    <col min="522" max="768" width="4.42578125" style="178"/>
    <col min="769" max="769" width="65.85546875" style="178" customWidth="1"/>
    <col min="770" max="771" width="20.5703125" style="178" customWidth="1"/>
    <col min="772" max="772" width="11.5703125" style="178" bestFit="1" customWidth="1"/>
    <col min="773" max="773" width="10.5703125" style="178" bestFit="1" customWidth="1"/>
    <col min="774" max="774" width="7.5703125" style="178" bestFit="1" customWidth="1"/>
    <col min="775" max="776" width="4.42578125" style="178"/>
    <col min="777" max="777" width="8" style="178" bestFit="1" customWidth="1"/>
    <col min="778" max="1024" width="4.42578125" style="178"/>
    <col min="1025" max="1025" width="65.85546875" style="178" customWidth="1"/>
    <col min="1026" max="1027" width="20.5703125" style="178" customWidth="1"/>
    <col min="1028" max="1028" width="11.5703125" style="178" bestFit="1" customWidth="1"/>
    <col min="1029" max="1029" width="10.5703125" style="178" bestFit="1" customWidth="1"/>
    <col min="1030" max="1030" width="7.5703125" style="178" bestFit="1" customWidth="1"/>
    <col min="1031" max="1032" width="4.42578125" style="178"/>
    <col min="1033" max="1033" width="8" style="178" bestFit="1" customWidth="1"/>
    <col min="1034" max="1280" width="4.42578125" style="178"/>
    <col min="1281" max="1281" width="65.85546875" style="178" customWidth="1"/>
    <col min="1282" max="1283" width="20.5703125" style="178" customWidth="1"/>
    <col min="1284" max="1284" width="11.5703125" style="178" bestFit="1" customWidth="1"/>
    <col min="1285" max="1285" width="10.5703125" style="178" bestFit="1" customWidth="1"/>
    <col min="1286" max="1286" width="7.5703125" style="178" bestFit="1" customWidth="1"/>
    <col min="1287" max="1288" width="4.42578125" style="178"/>
    <col min="1289" max="1289" width="8" style="178" bestFit="1" customWidth="1"/>
    <col min="1290" max="1536" width="4.42578125" style="178"/>
    <col min="1537" max="1537" width="65.85546875" style="178" customWidth="1"/>
    <col min="1538" max="1539" width="20.5703125" style="178" customWidth="1"/>
    <col min="1540" max="1540" width="11.5703125" style="178" bestFit="1" customWidth="1"/>
    <col min="1541" max="1541" width="10.5703125" style="178" bestFit="1" customWidth="1"/>
    <col min="1542" max="1542" width="7.5703125" style="178" bestFit="1" customWidth="1"/>
    <col min="1543" max="1544" width="4.42578125" style="178"/>
    <col min="1545" max="1545" width="8" style="178" bestFit="1" customWidth="1"/>
    <col min="1546" max="1792" width="4.42578125" style="178"/>
    <col min="1793" max="1793" width="65.85546875" style="178" customWidth="1"/>
    <col min="1794" max="1795" width="20.5703125" style="178" customWidth="1"/>
    <col min="1796" max="1796" width="11.5703125" style="178" bestFit="1" customWidth="1"/>
    <col min="1797" max="1797" width="10.5703125" style="178" bestFit="1" customWidth="1"/>
    <col min="1798" max="1798" width="7.5703125" style="178" bestFit="1" customWidth="1"/>
    <col min="1799" max="1800" width="4.42578125" style="178"/>
    <col min="1801" max="1801" width="8" style="178" bestFit="1" customWidth="1"/>
    <col min="1802" max="2048" width="4.42578125" style="178"/>
    <col min="2049" max="2049" width="65.85546875" style="178" customWidth="1"/>
    <col min="2050" max="2051" width="20.5703125" style="178" customWidth="1"/>
    <col min="2052" max="2052" width="11.5703125" style="178" bestFit="1" customWidth="1"/>
    <col min="2053" max="2053" width="10.5703125" style="178" bestFit="1" customWidth="1"/>
    <col min="2054" max="2054" width="7.5703125" style="178" bestFit="1" customWidth="1"/>
    <col min="2055" max="2056" width="4.42578125" style="178"/>
    <col min="2057" max="2057" width="8" style="178" bestFit="1" customWidth="1"/>
    <col min="2058" max="2304" width="4.42578125" style="178"/>
    <col min="2305" max="2305" width="65.85546875" style="178" customWidth="1"/>
    <col min="2306" max="2307" width="20.5703125" style="178" customWidth="1"/>
    <col min="2308" max="2308" width="11.5703125" style="178" bestFit="1" customWidth="1"/>
    <col min="2309" max="2309" width="10.5703125" style="178" bestFit="1" customWidth="1"/>
    <col min="2310" max="2310" width="7.5703125" style="178" bestFit="1" customWidth="1"/>
    <col min="2311" max="2312" width="4.42578125" style="178"/>
    <col min="2313" max="2313" width="8" style="178" bestFit="1" customWidth="1"/>
    <col min="2314" max="2560" width="4.42578125" style="178"/>
    <col min="2561" max="2561" width="65.85546875" style="178" customWidth="1"/>
    <col min="2562" max="2563" width="20.5703125" style="178" customWidth="1"/>
    <col min="2564" max="2564" width="11.5703125" style="178" bestFit="1" customWidth="1"/>
    <col min="2565" max="2565" width="10.5703125" style="178" bestFit="1" customWidth="1"/>
    <col min="2566" max="2566" width="7.5703125" style="178" bestFit="1" customWidth="1"/>
    <col min="2567" max="2568" width="4.42578125" style="178"/>
    <col min="2569" max="2569" width="8" style="178" bestFit="1" customWidth="1"/>
    <col min="2570" max="2816" width="4.42578125" style="178"/>
    <col min="2817" max="2817" width="65.85546875" style="178" customWidth="1"/>
    <col min="2818" max="2819" width="20.5703125" style="178" customWidth="1"/>
    <col min="2820" max="2820" width="11.5703125" style="178" bestFit="1" customWidth="1"/>
    <col min="2821" max="2821" width="10.5703125" style="178" bestFit="1" customWidth="1"/>
    <col min="2822" max="2822" width="7.5703125" style="178" bestFit="1" customWidth="1"/>
    <col min="2823" max="2824" width="4.42578125" style="178"/>
    <col min="2825" max="2825" width="8" style="178" bestFit="1" customWidth="1"/>
    <col min="2826" max="3072" width="4.42578125" style="178"/>
    <col min="3073" max="3073" width="65.85546875" style="178" customWidth="1"/>
    <col min="3074" max="3075" width="20.5703125" style="178" customWidth="1"/>
    <col min="3076" max="3076" width="11.5703125" style="178" bestFit="1" customWidth="1"/>
    <col min="3077" max="3077" width="10.5703125" style="178" bestFit="1" customWidth="1"/>
    <col min="3078" max="3078" width="7.5703125" style="178" bestFit="1" customWidth="1"/>
    <col min="3079" max="3080" width="4.42578125" style="178"/>
    <col min="3081" max="3081" width="8" style="178" bestFit="1" customWidth="1"/>
    <col min="3082" max="3328" width="4.42578125" style="178"/>
    <col min="3329" max="3329" width="65.85546875" style="178" customWidth="1"/>
    <col min="3330" max="3331" width="20.5703125" style="178" customWidth="1"/>
    <col min="3332" max="3332" width="11.5703125" style="178" bestFit="1" customWidth="1"/>
    <col min="3333" max="3333" width="10.5703125" style="178" bestFit="1" customWidth="1"/>
    <col min="3334" max="3334" width="7.5703125" style="178" bestFit="1" customWidth="1"/>
    <col min="3335" max="3336" width="4.42578125" style="178"/>
    <col min="3337" max="3337" width="8" style="178" bestFit="1" customWidth="1"/>
    <col min="3338" max="3584" width="4.42578125" style="178"/>
    <col min="3585" max="3585" width="65.85546875" style="178" customWidth="1"/>
    <col min="3586" max="3587" width="20.5703125" style="178" customWidth="1"/>
    <col min="3588" max="3588" width="11.5703125" style="178" bestFit="1" customWidth="1"/>
    <col min="3589" max="3589" width="10.5703125" style="178" bestFit="1" customWidth="1"/>
    <col min="3590" max="3590" width="7.5703125" style="178" bestFit="1" customWidth="1"/>
    <col min="3591" max="3592" width="4.42578125" style="178"/>
    <col min="3593" max="3593" width="8" style="178" bestFit="1" customWidth="1"/>
    <col min="3594" max="3840" width="4.42578125" style="178"/>
    <col min="3841" max="3841" width="65.85546875" style="178" customWidth="1"/>
    <col min="3842" max="3843" width="20.5703125" style="178" customWidth="1"/>
    <col min="3844" max="3844" width="11.5703125" style="178" bestFit="1" customWidth="1"/>
    <col min="3845" max="3845" width="10.5703125" style="178" bestFit="1" customWidth="1"/>
    <col min="3846" max="3846" width="7.5703125" style="178" bestFit="1" customWidth="1"/>
    <col min="3847" max="3848" width="4.42578125" style="178"/>
    <col min="3849" max="3849" width="8" style="178" bestFit="1" customWidth="1"/>
    <col min="3850" max="4096" width="4.42578125" style="178"/>
    <col min="4097" max="4097" width="65.85546875" style="178" customWidth="1"/>
    <col min="4098" max="4099" width="20.5703125" style="178" customWidth="1"/>
    <col min="4100" max="4100" width="11.5703125" style="178" bestFit="1" customWidth="1"/>
    <col min="4101" max="4101" width="10.5703125" style="178" bestFit="1" customWidth="1"/>
    <col min="4102" max="4102" width="7.5703125" style="178" bestFit="1" customWidth="1"/>
    <col min="4103" max="4104" width="4.42578125" style="178"/>
    <col min="4105" max="4105" width="8" style="178" bestFit="1" customWidth="1"/>
    <col min="4106" max="4352" width="4.42578125" style="178"/>
    <col min="4353" max="4353" width="65.85546875" style="178" customWidth="1"/>
    <col min="4354" max="4355" width="20.5703125" style="178" customWidth="1"/>
    <col min="4356" max="4356" width="11.5703125" style="178" bestFit="1" customWidth="1"/>
    <col min="4357" max="4357" width="10.5703125" style="178" bestFit="1" customWidth="1"/>
    <col min="4358" max="4358" width="7.5703125" style="178" bestFit="1" customWidth="1"/>
    <col min="4359" max="4360" width="4.42578125" style="178"/>
    <col min="4361" max="4361" width="8" style="178" bestFit="1" customWidth="1"/>
    <col min="4362" max="4608" width="4.42578125" style="178"/>
    <col min="4609" max="4609" width="65.85546875" style="178" customWidth="1"/>
    <col min="4610" max="4611" width="20.5703125" style="178" customWidth="1"/>
    <col min="4612" max="4612" width="11.5703125" style="178" bestFit="1" customWidth="1"/>
    <col min="4613" max="4613" width="10.5703125" style="178" bestFit="1" customWidth="1"/>
    <col min="4614" max="4614" width="7.5703125" style="178" bestFit="1" customWidth="1"/>
    <col min="4615" max="4616" width="4.42578125" style="178"/>
    <col min="4617" max="4617" width="8" style="178" bestFit="1" customWidth="1"/>
    <col min="4618" max="4864" width="4.42578125" style="178"/>
    <col min="4865" max="4865" width="65.85546875" style="178" customWidth="1"/>
    <col min="4866" max="4867" width="20.5703125" style="178" customWidth="1"/>
    <col min="4868" max="4868" width="11.5703125" style="178" bestFit="1" customWidth="1"/>
    <col min="4869" max="4869" width="10.5703125" style="178" bestFit="1" customWidth="1"/>
    <col min="4870" max="4870" width="7.5703125" style="178" bestFit="1" customWidth="1"/>
    <col min="4871" max="4872" width="4.42578125" style="178"/>
    <col min="4873" max="4873" width="8" style="178" bestFit="1" customWidth="1"/>
    <col min="4874" max="5120" width="4.42578125" style="178"/>
    <col min="5121" max="5121" width="65.85546875" style="178" customWidth="1"/>
    <col min="5122" max="5123" width="20.5703125" style="178" customWidth="1"/>
    <col min="5124" max="5124" width="11.5703125" style="178" bestFit="1" customWidth="1"/>
    <col min="5125" max="5125" width="10.5703125" style="178" bestFit="1" customWidth="1"/>
    <col min="5126" max="5126" width="7.5703125" style="178" bestFit="1" customWidth="1"/>
    <col min="5127" max="5128" width="4.42578125" style="178"/>
    <col min="5129" max="5129" width="8" style="178" bestFit="1" customWidth="1"/>
    <col min="5130" max="5376" width="4.42578125" style="178"/>
    <col min="5377" max="5377" width="65.85546875" style="178" customWidth="1"/>
    <col min="5378" max="5379" width="20.5703125" style="178" customWidth="1"/>
    <col min="5380" max="5380" width="11.5703125" style="178" bestFit="1" customWidth="1"/>
    <col min="5381" max="5381" width="10.5703125" style="178" bestFit="1" customWidth="1"/>
    <col min="5382" max="5382" width="7.5703125" style="178" bestFit="1" customWidth="1"/>
    <col min="5383" max="5384" width="4.42578125" style="178"/>
    <col min="5385" max="5385" width="8" style="178" bestFit="1" customWidth="1"/>
    <col min="5386" max="5632" width="4.42578125" style="178"/>
    <col min="5633" max="5633" width="65.85546875" style="178" customWidth="1"/>
    <col min="5634" max="5635" width="20.5703125" style="178" customWidth="1"/>
    <col min="5636" max="5636" width="11.5703125" style="178" bestFit="1" customWidth="1"/>
    <col min="5637" max="5637" width="10.5703125" style="178" bestFit="1" customWidth="1"/>
    <col min="5638" max="5638" width="7.5703125" style="178" bestFit="1" customWidth="1"/>
    <col min="5639" max="5640" width="4.42578125" style="178"/>
    <col min="5641" max="5641" width="8" style="178" bestFit="1" customWidth="1"/>
    <col min="5642" max="5888" width="4.42578125" style="178"/>
    <col min="5889" max="5889" width="65.85546875" style="178" customWidth="1"/>
    <col min="5890" max="5891" width="20.5703125" style="178" customWidth="1"/>
    <col min="5892" max="5892" width="11.5703125" style="178" bestFit="1" customWidth="1"/>
    <col min="5893" max="5893" width="10.5703125" style="178" bestFit="1" customWidth="1"/>
    <col min="5894" max="5894" width="7.5703125" style="178" bestFit="1" customWidth="1"/>
    <col min="5895" max="5896" width="4.42578125" style="178"/>
    <col min="5897" max="5897" width="8" style="178" bestFit="1" customWidth="1"/>
    <col min="5898" max="6144" width="4.42578125" style="178"/>
    <col min="6145" max="6145" width="65.85546875" style="178" customWidth="1"/>
    <col min="6146" max="6147" width="20.5703125" style="178" customWidth="1"/>
    <col min="6148" max="6148" width="11.5703125" style="178" bestFit="1" customWidth="1"/>
    <col min="6149" max="6149" width="10.5703125" style="178" bestFit="1" customWidth="1"/>
    <col min="6150" max="6150" width="7.5703125" style="178" bestFit="1" customWidth="1"/>
    <col min="6151" max="6152" width="4.42578125" style="178"/>
    <col min="6153" max="6153" width="8" style="178" bestFit="1" customWidth="1"/>
    <col min="6154" max="6400" width="4.42578125" style="178"/>
    <col min="6401" max="6401" width="65.85546875" style="178" customWidth="1"/>
    <col min="6402" max="6403" width="20.5703125" style="178" customWidth="1"/>
    <col min="6404" max="6404" width="11.5703125" style="178" bestFit="1" customWidth="1"/>
    <col min="6405" max="6405" width="10.5703125" style="178" bestFit="1" customWidth="1"/>
    <col min="6406" max="6406" width="7.5703125" style="178" bestFit="1" customWidth="1"/>
    <col min="6407" max="6408" width="4.42578125" style="178"/>
    <col min="6409" max="6409" width="8" style="178" bestFit="1" customWidth="1"/>
    <col min="6410" max="6656" width="4.42578125" style="178"/>
    <col min="6657" max="6657" width="65.85546875" style="178" customWidth="1"/>
    <col min="6658" max="6659" width="20.5703125" style="178" customWidth="1"/>
    <col min="6660" max="6660" width="11.5703125" style="178" bestFit="1" customWidth="1"/>
    <col min="6661" max="6661" width="10.5703125" style="178" bestFit="1" customWidth="1"/>
    <col min="6662" max="6662" width="7.5703125" style="178" bestFit="1" customWidth="1"/>
    <col min="6663" max="6664" width="4.42578125" style="178"/>
    <col min="6665" max="6665" width="8" style="178" bestFit="1" customWidth="1"/>
    <col min="6666" max="6912" width="4.42578125" style="178"/>
    <col min="6913" max="6913" width="65.85546875" style="178" customWidth="1"/>
    <col min="6914" max="6915" width="20.5703125" style="178" customWidth="1"/>
    <col min="6916" max="6916" width="11.5703125" style="178" bestFit="1" customWidth="1"/>
    <col min="6917" max="6917" width="10.5703125" style="178" bestFit="1" customWidth="1"/>
    <col min="6918" max="6918" width="7.5703125" style="178" bestFit="1" customWidth="1"/>
    <col min="6919" max="6920" width="4.42578125" style="178"/>
    <col min="6921" max="6921" width="8" style="178" bestFit="1" customWidth="1"/>
    <col min="6922" max="7168" width="4.42578125" style="178"/>
    <col min="7169" max="7169" width="65.85546875" style="178" customWidth="1"/>
    <col min="7170" max="7171" width="20.5703125" style="178" customWidth="1"/>
    <col min="7172" max="7172" width="11.5703125" style="178" bestFit="1" customWidth="1"/>
    <col min="7173" max="7173" width="10.5703125" style="178" bestFit="1" customWidth="1"/>
    <col min="7174" max="7174" width="7.5703125" style="178" bestFit="1" customWidth="1"/>
    <col min="7175" max="7176" width="4.42578125" style="178"/>
    <col min="7177" max="7177" width="8" style="178" bestFit="1" customWidth="1"/>
    <col min="7178" max="7424" width="4.42578125" style="178"/>
    <col min="7425" max="7425" width="65.85546875" style="178" customWidth="1"/>
    <col min="7426" max="7427" width="20.5703125" style="178" customWidth="1"/>
    <col min="7428" max="7428" width="11.5703125" style="178" bestFit="1" customWidth="1"/>
    <col min="7429" max="7429" width="10.5703125" style="178" bestFit="1" customWidth="1"/>
    <col min="7430" max="7430" width="7.5703125" style="178" bestFit="1" customWidth="1"/>
    <col min="7431" max="7432" width="4.42578125" style="178"/>
    <col min="7433" max="7433" width="8" style="178" bestFit="1" customWidth="1"/>
    <col min="7434" max="7680" width="4.42578125" style="178"/>
    <col min="7681" max="7681" width="65.85546875" style="178" customWidth="1"/>
    <col min="7682" max="7683" width="20.5703125" style="178" customWidth="1"/>
    <col min="7684" max="7684" width="11.5703125" style="178" bestFit="1" customWidth="1"/>
    <col min="7685" max="7685" width="10.5703125" style="178" bestFit="1" customWidth="1"/>
    <col min="7686" max="7686" width="7.5703125" style="178" bestFit="1" customWidth="1"/>
    <col min="7687" max="7688" width="4.42578125" style="178"/>
    <col min="7689" max="7689" width="8" style="178" bestFit="1" customWidth="1"/>
    <col min="7690" max="7936" width="4.42578125" style="178"/>
    <col min="7937" max="7937" width="65.85546875" style="178" customWidth="1"/>
    <col min="7938" max="7939" width="20.5703125" style="178" customWidth="1"/>
    <col min="7940" max="7940" width="11.5703125" style="178" bestFit="1" customWidth="1"/>
    <col min="7941" max="7941" width="10.5703125" style="178" bestFit="1" customWidth="1"/>
    <col min="7942" max="7942" width="7.5703125" style="178" bestFit="1" customWidth="1"/>
    <col min="7943" max="7944" width="4.42578125" style="178"/>
    <col min="7945" max="7945" width="8" style="178" bestFit="1" customWidth="1"/>
    <col min="7946" max="8192" width="4.42578125" style="178"/>
    <col min="8193" max="8193" width="65.85546875" style="178" customWidth="1"/>
    <col min="8194" max="8195" width="20.5703125" style="178" customWidth="1"/>
    <col min="8196" max="8196" width="11.5703125" style="178" bestFit="1" customWidth="1"/>
    <col min="8197" max="8197" width="10.5703125" style="178" bestFit="1" customWidth="1"/>
    <col min="8198" max="8198" width="7.5703125" style="178" bestFit="1" customWidth="1"/>
    <col min="8199" max="8200" width="4.42578125" style="178"/>
    <col min="8201" max="8201" width="8" style="178" bestFit="1" customWidth="1"/>
    <col min="8202" max="8448" width="4.42578125" style="178"/>
    <col min="8449" max="8449" width="65.85546875" style="178" customWidth="1"/>
    <col min="8450" max="8451" width="20.5703125" style="178" customWidth="1"/>
    <col min="8452" max="8452" width="11.5703125" style="178" bestFit="1" customWidth="1"/>
    <col min="8453" max="8453" width="10.5703125" style="178" bestFit="1" customWidth="1"/>
    <col min="8454" max="8454" width="7.5703125" style="178" bestFit="1" customWidth="1"/>
    <col min="8455" max="8456" width="4.42578125" style="178"/>
    <col min="8457" max="8457" width="8" style="178" bestFit="1" customWidth="1"/>
    <col min="8458" max="8704" width="4.42578125" style="178"/>
    <col min="8705" max="8705" width="65.85546875" style="178" customWidth="1"/>
    <col min="8706" max="8707" width="20.5703125" style="178" customWidth="1"/>
    <col min="8708" max="8708" width="11.5703125" style="178" bestFit="1" customWidth="1"/>
    <col min="8709" max="8709" width="10.5703125" style="178" bestFit="1" customWidth="1"/>
    <col min="8710" max="8710" width="7.5703125" style="178" bestFit="1" customWidth="1"/>
    <col min="8711" max="8712" width="4.42578125" style="178"/>
    <col min="8713" max="8713" width="8" style="178" bestFit="1" customWidth="1"/>
    <col min="8714" max="8960" width="4.42578125" style="178"/>
    <col min="8961" max="8961" width="65.85546875" style="178" customWidth="1"/>
    <col min="8962" max="8963" width="20.5703125" style="178" customWidth="1"/>
    <col min="8964" max="8964" width="11.5703125" style="178" bestFit="1" customWidth="1"/>
    <col min="8965" max="8965" width="10.5703125" style="178" bestFit="1" customWidth="1"/>
    <col min="8966" max="8966" width="7.5703125" style="178" bestFit="1" customWidth="1"/>
    <col min="8967" max="8968" width="4.42578125" style="178"/>
    <col min="8969" max="8969" width="8" style="178" bestFit="1" customWidth="1"/>
    <col min="8970" max="9216" width="4.42578125" style="178"/>
    <col min="9217" max="9217" width="65.85546875" style="178" customWidth="1"/>
    <col min="9218" max="9219" width="20.5703125" style="178" customWidth="1"/>
    <col min="9220" max="9220" width="11.5703125" style="178" bestFit="1" customWidth="1"/>
    <col min="9221" max="9221" width="10.5703125" style="178" bestFit="1" customWidth="1"/>
    <col min="9222" max="9222" width="7.5703125" style="178" bestFit="1" customWidth="1"/>
    <col min="9223" max="9224" width="4.42578125" style="178"/>
    <col min="9225" max="9225" width="8" style="178" bestFit="1" customWidth="1"/>
    <col min="9226" max="9472" width="4.42578125" style="178"/>
    <col min="9473" max="9473" width="65.85546875" style="178" customWidth="1"/>
    <col min="9474" max="9475" width="20.5703125" style="178" customWidth="1"/>
    <col min="9476" max="9476" width="11.5703125" style="178" bestFit="1" customWidth="1"/>
    <col min="9477" max="9477" width="10.5703125" style="178" bestFit="1" customWidth="1"/>
    <col min="9478" max="9478" width="7.5703125" style="178" bestFit="1" customWidth="1"/>
    <col min="9479" max="9480" width="4.42578125" style="178"/>
    <col min="9481" max="9481" width="8" style="178" bestFit="1" customWidth="1"/>
    <col min="9482" max="9728" width="4.42578125" style="178"/>
    <col min="9729" max="9729" width="65.85546875" style="178" customWidth="1"/>
    <col min="9730" max="9731" width="20.5703125" style="178" customWidth="1"/>
    <col min="9732" max="9732" width="11.5703125" style="178" bestFit="1" customWidth="1"/>
    <col min="9733" max="9733" width="10.5703125" style="178" bestFit="1" customWidth="1"/>
    <col min="9734" max="9734" width="7.5703125" style="178" bestFit="1" customWidth="1"/>
    <col min="9735" max="9736" width="4.42578125" style="178"/>
    <col min="9737" max="9737" width="8" style="178" bestFit="1" customWidth="1"/>
    <col min="9738" max="9984" width="4.42578125" style="178"/>
    <col min="9985" max="9985" width="65.85546875" style="178" customWidth="1"/>
    <col min="9986" max="9987" width="20.5703125" style="178" customWidth="1"/>
    <col min="9988" max="9988" width="11.5703125" style="178" bestFit="1" customWidth="1"/>
    <col min="9989" max="9989" width="10.5703125" style="178" bestFit="1" customWidth="1"/>
    <col min="9990" max="9990" width="7.5703125" style="178" bestFit="1" customWidth="1"/>
    <col min="9991" max="9992" width="4.42578125" style="178"/>
    <col min="9993" max="9993" width="8" style="178" bestFit="1" customWidth="1"/>
    <col min="9994" max="10240" width="4.42578125" style="178"/>
    <col min="10241" max="10241" width="65.85546875" style="178" customWidth="1"/>
    <col min="10242" max="10243" width="20.5703125" style="178" customWidth="1"/>
    <col min="10244" max="10244" width="11.5703125" style="178" bestFit="1" customWidth="1"/>
    <col min="10245" max="10245" width="10.5703125" style="178" bestFit="1" customWidth="1"/>
    <col min="10246" max="10246" width="7.5703125" style="178" bestFit="1" customWidth="1"/>
    <col min="10247" max="10248" width="4.42578125" style="178"/>
    <col min="10249" max="10249" width="8" style="178" bestFit="1" customWidth="1"/>
    <col min="10250" max="10496" width="4.42578125" style="178"/>
    <col min="10497" max="10497" width="65.85546875" style="178" customWidth="1"/>
    <col min="10498" max="10499" width="20.5703125" style="178" customWidth="1"/>
    <col min="10500" max="10500" width="11.5703125" style="178" bestFit="1" customWidth="1"/>
    <col min="10501" max="10501" width="10.5703125" style="178" bestFit="1" customWidth="1"/>
    <col min="10502" max="10502" width="7.5703125" style="178" bestFit="1" customWidth="1"/>
    <col min="10503" max="10504" width="4.42578125" style="178"/>
    <col min="10505" max="10505" width="8" style="178" bestFit="1" customWidth="1"/>
    <col min="10506" max="10752" width="4.42578125" style="178"/>
    <col min="10753" max="10753" width="65.85546875" style="178" customWidth="1"/>
    <col min="10754" max="10755" width="20.5703125" style="178" customWidth="1"/>
    <col min="10756" max="10756" width="11.5703125" style="178" bestFit="1" customWidth="1"/>
    <col min="10757" max="10757" width="10.5703125" style="178" bestFit="1" customWidth="1"/>
    <col min="10758" max="10758" width="7.5703125" style="178" bestFit="1" customWidth="1"/>
    <col min="10759" max="10760" width="4.42578125" style="178"/>
    <col min="10761" max="10761" width="8" style="178" bestFit="1" customWidth="1"/>
    <col min="10762" max="11008" width="4.42578125" style="178"/>
    <col min="11009" max="11009" width="65.85546875" style="178" customWidth="1"/>
    <col min="11010" max="11011" width="20.5703125" style="178" customWidth="1"/>
    <col min="11012" max="11012" width="11.5703125" style="178" bestFit="1" customWidth="1"/>
    <col min="11013" max="11013" width="10.5703125" style="178" bestFit="1" customWidth="1"/>
    <col min="11014" max="11014" width="7.5703125" style="178" bestFit="1" customWidth="1"/>
    <col min="11015" max="11016" width="4.42578125" style="178"/>
    <col min="11017" max="11017" width="8" style="178" bestFit="1" customWidth="1"/>
    <col min="11018" max="11264" width="4.42578125" style="178"/>
    <col min="11265" max="11265" width="65.85546875" style="178" customWidth="1"/>
    <col min="11266" max="11267" width="20.5703125" style="178" customWidth="1"/>
    <col min="11268" max="11268" width="11.5703125" style="178" bestFit="1" customWidth="1"/>
    <col min="11269" max="11269" width="10.5703125" style="178" bestFit="1" customWidth="1"/>
    <col min="11270" max="11270" width="7.5703125" style="178" bestFit="1" customWidth="1"/>
    <col min="11271" max="11272" width="4.42578125" style="178"/>
    <col min="11273" max="11273" width="8" style="178" bestFit="1" customWidth="1"/>
    <col min="11274" max="11520" width="4.42578125" style="178"/>
    <col min="11521" max="11521" width="65.85546875" style="178" customWidth="1"/>
    <col min="11522" max="11523" width="20.5703125" style="178" customWidth="1"/>
    <col min="11524" max="11524" width="11.5703125" style="178" bestFit="1" customWidth="1"/>
    <col min="11525" max="11525" width="10.5703125" style="178" bestFit="1" customWidth="1"/>
    <col min="11526" max="11526" width="7.5703125" style="178" bestFit="1" customWidth="1"/>
    <col min="11527" max="11528" width="4.42578125" style="178"/>
    <col min="11529" max="11529" width="8" style="178" bestFit="1" customWidth="1"/>
    <col min="11530" max="11776" width="4.42578125" style="178"/>
    <col min="11777" max="11777" width="65.85546875" style="178" customWidth="1"/>
    <col min="11778" max="11779" width="20.5703125" style="178" customWidth="1"/>
    <col min="11780" max="11780" width="11.5703125" style="178" bestFit="1" customWidth="1"/>
    <col min="11781" max="11781" width="10.5703125" style="178" bestFit="1" customWidth="1"/>
    <col min="11782" max="11782" width="7.5703125" style="178" bestFit="1" customWidth="1"/>
    <col min="11783" max="11784" width="4.42578125" style="178"/>
    <col min="11785" max="11785" width="8" style="178" bestFit="1" customWidth="1"/>
    <col min="11786" max="12032" width="4.42578125" style="178"/>
    <col min="12033" max="12033" width="65.85546875" style="178" customWidth="1"/>
    <col min="12034" max="12035" width="20.5703125" style="178" customWidth="1"/>
    <col min="12036" max="12036" width="11.5703125" style="178" bestFit="1" customWidth="1"/>
    <col min="12037" max="12037" width="10.5703125" style="178" bestFit="1" customWidth="1"/>
    <col min="12038" max="12038" width="7.5703125" style="178" bestFit="1" customWidth="1"/>
    <col min="12039" max="12040" width="4.42578125" style="178"/>
    <col min="12041" max="12041" width="8" style="178" bestFit="1" customWidth="1"/>
    <col min="12042" max="12288" width="4.42578125" style="178"/>
    <col min="12289" max="12289" width="65.85546875" style="178" customWidth="1"/>
    <col min="12290" max="12291" width="20.5703125" style="178" customWidth="1"/>
    <col min="12292" max="12292" width="11.5703125" style="178" bestFit="1" customWidth="1"/>
    <col min="12293" max="12293" width="10.5703125" style="178" bestFit="1" customWidth="1"/>
    <col min="12294" max="12294" width="7.5703125" style="178" bestFit="1" customWidth="1"/>
    <col min="12295" max="12296" width="4.42578125" style="178"/>
    <col min="12297" max="12297" width="8" style="178" bestFit="1" customWidth="1"/>
    <col min="12298" max="12544" width="4.42578125" style="178"/>
    <col min="12545" max="12545" width="65.85546875" style="178" customWidth="1"/>
    <col min="12546" max="12547" width="20.5703125" style="178" customWidth="1"/>
    <col min="12548" max="12548" width="11.5703125" style="178" bestFit="1" customWidth="1"/>
    <col min="12549" max="12549" width="10.5703125" style="178" bestFit="1" customWidth="1"/>
    <col min="12550" max="12550" width="7.5703125" style="178" bestFit="1" customWidth="1"/>
    <col min="12551" max="12552" width="4.42578125" style="178"/>
    <col min="12553" max="12553" width="8" style="178" bestFit="1" customWidth="1"/>
    <col min="12554" max="12800" width="4.42578125" style="178"/>
    <col min="12801" max="12801" width="65.85546875" style="178" customWidth="1"/>
    <col min="12802" max="12803" width="20.5703125" style="178" customWidth="1"/>
    <col min="12804" max="12804" width="11.5703125" style="178" bestFit="1" customWidth="1"/>
    <col min="12805" max="12805" width="10.5703125" style="178" bestFit="1" customWidth="1"/>
    <col min="12806" max="12806" width="7.5703125" style="178" bestFit="1" customWidth="1"/>
    <col min="12807" max="12808" width="4.42578125" style="178"/>
    <col min="12809" max="12809" width="8" style="178" bestFit="1" customWidth="1"/>
    <col min="12810" max="13056" width="4.42578125" style="178"/>
    <col min="13057" max="13057" width="65.85546875" style="178" customWidth="1"/>
    <col min="13058" max="13059" width="20.5703125" style="178" customWidth="1"/>
    <col min="13060" max="13060" width="11.5703125" style="178" bestFit="1" customWidth="1"/>
    <col min="13061" max="13061" width="10.5703125" style="178" bestFit="1" customWidth="1"/>
    <col min="13062" max="13062" width="7.5703125" style="178" bestFit="1" customWidth="1"/>
    <col min="13063" max="13064" width="4.42578125" style="178"/>
    <col min="13065" max="13065" width="8" style="178" bestFit="1" customWidth="1"/>
    <col min="13066" max="13312" width="4.42578125" style="178"/>
    <col min="13313" max="13313" width="65.85546875" style="178" customWidth="1"/>
    <col min="13314" max="13315" width="20.5703125" style="178" customWidth="1"/>
    <col min="13316" max="13316" width="11.5703125" style="178" bestFit="1" customWidth="1"/>
    <col min="13317" max="13317" width="10.5703125" style="178" bestFit="1" customWidth="1"/>
    <col min="13318" max="13318" width="7.5703125" style="178" bestFit="1" customWidth="1"/>
    <col min="13319" max="13320" width="4.42578125" style="178"/>
    <col min="13321" max="13321" width="8" style="178" bestFit="1" customWidth="1"/>
    <col min="13322" max="13568" width="4.42578125" style="178"/>
    <col min="13569" max="13569" width="65.85546875" style="178" customWidth="1"/>
    <col min="13570" max="13571" width="20.5703125" style="178" customWidth="1"/>
    <col min="13572" max="13572" width="11.5703125" style="178" bestFit="1" customWidth="1"/>
    <col min="13573" max="13573" width="10.5703125" style="178" bestFit="1" customWidth="1"/>
    <col min="13574" max="13574" width="7.5703125" style="178" bestFit="1" customWidth="1"/>
    <col min="13575" max="13576" width="4.42578125" style="178"/>
    <col min="13577" max="13577" width="8" style="178" bestFit="1" customWidth="1"/>
    <col min="13578" max="13824" width="4.42578125" style="178"/>
    <col min="13825" max="13825" width="65.85546875" style="178" customWidth="1"/>
    <col min="13826" max="13827" width="20.5703125" style="178" customWidth="1"/>
    <col min="13828" max="13828" width="11.5703125" style="178" bestFit="1" customWidth="1"/>
    <col min="13829" max="13829" width="10.5703125" style="178" bestFit="1" customWidth="1"/>
    <col min="13830" max="13830" width="7.5703125" style="178" bestFit="1" customWidth="1"/>
    <col min="13831" max="13832" width="4.42578125" style="178"/>
    <col min="13833" max="13833" width="8" style="178" bestFit="1" customWidth="1"/>
    <col min="13834" max="14080" width="4.42578125" style="178"/>
    <col min="14081" max="14081" width="65.85546875" style="178" customWidth="1"/>
    <col min="14082" max="14083" width="20.5703125" style="178" customWidth="1"/>
    <col min="14084" max="14084" width="11.5703125" style="178" bestFit="1" customWidth="1"/>
    <col min="14085" max="14085" width="10.5703125" style="178" bestFit="1" customWidth="1"/>
    <col min="14086" max="14086" width="7.5703125" style="178" bestFit="1" customWidth="1"/>
    <col min="14087" max="14088" width="4.42578125" style="178"/>
    <col min="14089" max="14089" width="8" style="178" bestFit="1" customWidth="1"/>
    <col min="14090" max="14336" width="4.42578125" style="178"/>
    <col min="14337" max="14337" width="65.85546875" style="178" customWidth="1"/>
    <col min="14338" max="14339" width="20.5703125" style="178" customWidth="1"/>
    <col min="14340" max="14340" width="11.5703125" style="178" bestFit="1" customWidth="1"/>
    <col min="14341" max="14341" width="10.5703125" style="178" bestFit="1" customWidth="1"/>
    <col min="14342" max="14342" width="7.5703125" style="178" bestFit="1" customWidth="1"/>
    <col min="14343" max="14344" width="4.42578125" style="178"/>
    <col min="14345" max="14345" width="8" style="178" bestFit="1" customWidth="1"/>
    <col min="14346" max="14592" width="4.42578125" style="178"/>
    <col min="14593" max="14593" width="65.85546875" style="178" customWidth="1"/>
    <col min="14594" max="14595" width="20.5703125" style="178" customWidth="1"/>
    <col min="14596" max="14596" width="11.5703125" style="178" bestFit="1" customWidth="1"/>
    <col min="14597" max="14597" width="10.5703125" style="178" bestFit="1" customWidth="1"/>
    <col min="14598" max="14598" width="7.5703125" style="178" bestFit="1" customWidth="1"/>
    <col min="14599" max="14600" width="4.42578125" style="178"/>
    <col min="14601" max="14601" width="8" style="178" bestFit="1" customWidth="1"/>
    <col min="14602" max="14848" width="4.42578125" style="178"/>
    <col min="14849" max="14849" width="65.85546875" style="178" customWidth="1"/>
    <col min="14850" max="14851" width="20.5703125" style="178" customWidth="1"/>
    <col min="14852" max="14852" width="11.5703125" style="178" bestFit="1" customWidth="1"/>
    <col min="14853" max="14853" width="10.5703125" style="178" bestFit="1" customWidth="1"/>
    <col min="14854" max="14854" width="7.5703125" style="178" bestFit="1" customWidth="1"/>
    <col min="14855" max="14856" width="4.42578125" style="178"/>
    <col min="14857" max="14857" width="8" style="178" bestFit="1" customWidth="1"/>
    <col min="14858" max="15104" width="4.42578125" style="178"/>
    <col min="15105" max="15105" width="65.85546875" style="178" customWidth="1"/>
    <col min="15106" max="15107" width="20.5703125" style="178" customWidth="1"/>
    <col min="15108" max="15108" width="11.5703125" style="178" bestFit="1" customWidth="1"/>
    <col min="15109" max="15109" width="10.5703125" style="178" bestFit="1" customWidth="1"/>
    <col min="15110" max="15110" width="7.5703125" style="178" bestFit="1" customWidth="1"/>
    <col min="15111" max="15112" width="4.42578125" style="178"/>
    <col min="15113" max="15113" width="8" style="178" bestFit="1" customWidth="1"/>
    <col min="15114" max="15360" width="4.42578125" style="178"/>
    <col min="15361" max="15361" width="65.85546875" style="178" customWidth="1"/>
    <col min="15362" max="15363" width="20.5703125" style="178" customWidth="1"/>
    <col min="15364" max="15364" width="11.5703125" style="178" bestFit="1" customWidth="1"/>
    <col min="15365" max="15365" width="10.5703125" style="178" bestFit="1" customWidth="1"/>
    <col min="15366" max="15366" width="7.5703125" style="178" bestFit="1" customWidth="1"/>
    <col min="15367" max="15368" width="4.42578125" style="178"/>
    <col min="15369" max="15369" width="8" style="178" bestFit="1" customWidth="1"/>
    <col min="15370" max="15616" width="4.42578125" style="178"/>
    <col min="15617" max="15617" width="65.85546875" style="178" customWidth="1"/>
    <col min="15618" max="15619" width="20.5703125" style="178" customWidth="1"/>
    <col min="15620" max="15620" width="11.5703125" style="178" bestFit="1" customWidth="1"/>
    <col min="15621" max="15621" width="10.5703125" style="178" bestFit="1" customWidth="1"/>
    <col min="15622" max="15622" width="7.5703125" style="178" bestFit="1" customWidth="1"/>
    <col min="15623" max="15624" width="4.42578125" style="178"/>
    <col min="15625" max="15625" width="8" style="178" bestFit="1" customWidth="1"/>
    <col min="15626" max="15872" width="4.42578125" style="178"/>
    <col min="15873" max="15873" width="65.85546875" style="178" customWidth="1"/>
    <col min="15874" max="15875" width="20.5703125" style="178" customWidth="1"/>
    <col min="15876" max="15876" width="11.5703125" style="178" bestFit="1" customWidth="1"/>
    <col min="15877" max="15877" width="10.5703125" style="178" bestFit="1" customWidth="1"/>
    <col min="15878" max="15878" width="7.5703125" style="178" bestFit="1" customWidth="1"/>
    <col min="15879" max="15880" width="4.42578125" style="178"/>
    <col min="15881" max="15881" width="8" style="178" bestFit="1" customWidth="1"/>
    <col min="15882" max="16128" width="4.42578125" style="178"/>
    <col min="16129" max="16129" width="65.85546875" style="178" customWidth="1"/>
    <col min="16130" max="16131" width="20.5703125" style="178" customWidth="1"/>
    <col min="16132" max="16132" width="11.5703125" style="178" bestFit="1" customWidth="1"/>
    <col min="16133" max="16133" width="10.5703125" style="178" bestFit="1" customWidth="1"/>
    <col min="16134" max="16134" width="7.5703125" style="178" bestFit="1" customWidth="1"/>
    <col min="16135" max="16136" width="4.42578125" style="178"/>
    <col min="16137" max="16137" width="8" style="178" bestFit="1" customWidth="1"/>
    <col min="16138" max="16384" width="4.42578125" style="178"/>
  </cols>
  <sheetData>
    <row r="1" spans="1:5" ht="18.75" x14ac:dyDescent="0.25">
      <c r="A1" s="2">
        <f>'Note 10-15'!A1</f>
        <v>0</v>
      </c>
      <c r="C1" s="178"/>
      <c r="D1" s="178"/>
    </row>
    <row r="2" spans="1:5" ht="15" x14ac:dyDescent="0.25">
      <c r="A2" s="179">
        <f>+'Note 10-15'!A2</f>
        <v>0</v>
      </c>
      <c r="E2" s="252"/>
    </row>
    <row r="3" spans="1:5" ht="15" x14ac:dyDescent="0.25">
      <c r="A3" s="179" t="str">
        <f>+'Note 10-15'!A3</f>
        <v>Notes to financial statements for the year ended March 31, 2025</v>
      </c>
      <c r="E3" s="252"/>
    </row>
    <row r="4" spans="1:5" x14ac:dyDescent="0.25">
      <c r="A4" s="181"/>
      <c r="C4" s="182"/>
      <c r="E4" s="252"/>
    </row>
    <row r="5" spans="1:5" ht="16.5" x14ac:dyDescent="0.3">
      <c r="A5" s="183" t="s">
        <v>688</v>
      </c>
      <c r="B5" s="1162"/>
      <c r="C5" s="184"/>
      <c r="E5" s="252"/>
    </row>
    <row r="6" spans="1:5" ht="30.75" x14ac:dyDescent="0.3">
      <c r="A6" s="185"/>
      <c r="B6" s="1260" t="str">
        <f>+'Note 2 - 8'!$D$6</f>
        <v xml:space="preserve">  Year ended 
  March 31, 2025</v>
      </c>
      <c r="C6" s="1260" t="str">
        <f>+'Note 2 - 8'!$E$6</f>
        <v xml:space="preserve">  Year ended 
  March 31, 2024</v>
      </c>
      <c r="D6" s="186"/>
      <c r="E6" s="252"/>
    </row>
    <row r="7" spans="1:5" ht="16.5" x14ac:dyDescent="0.3">
      <c r="A7" s="183" t="s">
        <v>619</v>
      </c>
      <c r="B7" s="1"/>
      <c r="C7" s="187"/>
      <c r="D7" s="188"/>
    </row>
    <row r="8" spans="1:5" ht="16.5" x14ac:dyDescent="0.3">
      <c r="A8" s="1236" t="s">
        <v>1550</v>
      </c>
      <c r="B8" s="1">
        <f>+'TB 24-25'!E422+'TB 24-25'!E434+'TB 24-25'!E435+'TB 24-25'!E436+'TB 24-25'!E437+'TB 24-25'!E567+'TB 24-25'!E568</f>
        <v>142525322.02000001</v>
      </c>
      <c r="C8" s="1">
        <f>+'Trial Balance'!D48+'Trial Balance'!D49+'Trial Balance'!D50+'Trial Balance'!D53+'Trial Balance'!D54+'Trial Balance'!D51</f>
        <v>185109683.62</v>
      </c>
      <c r="D8" s="188"/>
      <c r="E8" s="252"/>
    </row>
    <row r="9" spans="1:5" ht="16.5" x14ac:dyDescent="0.3">
      <c r="A9" s="1236" t="s">
        <v>620</v>
      </c>
      <c r="B9" s="473">
        <f>+'TB 24-25'!E433+'TB 24-25'!E566</f>
        <v>100233531.53</v>
      </c>
      <c r="C9" s="473">
        <f>+'Trial Balance'!D47+'Trial Balance'!D52</f>
        <v>145748779.19999999</v>
      </c>
      <c r="D9" s="1185"/>
      <c r="E9" s="1185"/>
    </row>
    <row r="10" spans="1:5" ht="16.5" x14ac:dyDescent="0.3">
      <c r="A10" s="190"/>
      <c r="B10" s="434">
        <f>SUM(B8:B9)</f>
        <v>242758853.55000001</v>
      </c>
      <c r="C10" s="434">
        <f>SUM(C8:C9)</f>
        <v>330858462.81999999</v>
      </c>
      <c r="D10" s="1185"/>
      <c r="E10" s="1185"/>
    </row>
    <row r="11" spans="1:5" ht="16.5" x14ac:dyDescent="0.3">
      <c r="A11" s="191"/>
      <c r="B11" s="1163"/>
      <c r="C11" s="192"/>
      <c r="D11" s="1185"/>
      <c r="E11" s="1185"/>
    </row>
    <row r="12" spans="1:5" ht="16.5" x14ac:dyDescent="0.25">
      <c r="A12" s="194" t="s">
        <v>689</v>
      </c>
      <c r="B12" s="443"/>
      <c r="C12" s="192"/>
      <c r="D12" s="1185"/>
      <c r="E12" s="1185"/>
    </row>
    <row r="13" spans="1:5" ht="30" x14ac:dyDescent="0.25">
      <c r="A13" s="195"/>
      <c r="B13" s="1260" t="str">
        <f>+'Note 2 - 8'!$D$6</f>
        <v xml:space="preserve">  Year ended 
  March 31, 2025</v>
      </c>
      <c r="C13" s="1260" t="str">
        <f>+'Note 2 - 8'!$E$6</f>
        <v xml:space="preserve">  Year ended 
  March 31, 2024</v>
      </c>
      <c r="D13" s="1185"/>
      <c r="E13" s="1185"/>
    </row>
    <row r="14" spans="1:5" ht="16.5" x14ac:dyDescent="0.25">
      <c r="A14" s="196" t="s">
        <v>146</v>
      </c>
      <c r="B14" s="208">
        <f>+'TB 24-25'!E277</f>
        <v>675838</v>
      </c>
      <c r="C14" s="208">
        <f>2735025+267800</f>
        <v>3002825</v>
      </c>
      <c r="D14" s="1185"/>
      <c r="E14" s="1185"/>
    </row>
    <row r="15" spans="1:5" ht="16.5" x14ac:dyDescent="0.3">
      <c r="A15" s="197" t="s">
        <v>650</v>
      </c>
      <c r="B15" s="444">
        <f>+'TB 24-25'!E217</f>
        <v>2976334.72</v>
      </c>
      <c r="C15" s="444">
        <f>8975187.16</f>
        <v>8975187.1600000001</v>
      </c>
      <c r="D15" s="188"/>
    </row>
    <row r="16" spans="1:5" ht="16.5" x14ac:dyDescent="0.3">
      <c r="A16" s="197" t="s">
        <v>1667</v>
      </c>
      <c r="B16" s="444">
        <f>+'TB 24-25'!E264</f>
        <v>1079268</v>
      </c>
      <c r="C16" s="444">
        <v>0</v>
      </c>
      <c r="D16" s="188"/>
    </row>
    <row r="17" spans="1:7" ht="16.5" x14ac:dyDescent="0.3">
      <c r="A17" s="197" t="s">
        <v>1763</v>
      </c>
      <c r="B17" s="444">
        <f>+'TB 24-25'!E280</f>
        <v>208079</v>
      </c>
      <c r="C17" s="444">
        <v>0</v>
      </c>
      <c r="D17" s="188"/>
    </row>
    <row r="18" spans="1:7" ht="16.5" x14ac:dyDescent="0.3">
      <c r="A18" s="197" t="s">
        <v>1764</v>
      </c>
      <c r="B18" s="444">
        <f>+'TB 24-25'!E570</f>
        <v>388819.8</v>
      </c>
      <c r="C18" s="444">
        <v>0</v>
      </c>
      <c r="D18" s="188"/>
    </row>
    <row r="19" spans="1:7" ht="15" x14ac:dyDescent="0.25">
      <c r="A19" s="201"/>
      <c r="B19" s="436">
        <f>SUM(B14:B18)</f>
        <v>5328339.5200000005</v>
      </c>
      <c r="C19" s="436">
        <f>SUM(C14:C18)</f>
        <v>11978012.16</v>
      </c>
      <c r="D19" s="189"/>
    </row>
    <row r="20" spans="1:7" ht="16.5" x14ac:dyDescent="0.3">
      <c r="A20" s="197"/>
      <c r="B20" s="208"/>
      <c r="C20" s="203"/>
      <c r="D20" s="193"/>
    </row>
    <row r="21" spans="1:7" ht="16.5" x14ac:dyDescent="0.25">
      <c r="A21" s="194" t="s">
        <v>690</v>
      </c>
      <c r="B21" s="208"/>
      <c r="C21" s="203"/>
    </row>
    <row r="22" spans="1:7" ht="30" x14ac:dyDescent="0.25">
      <c r="A22" s="195"/>
      <c r="B22" s="1260" t="str">
        <f>+'Note 2 - 8'!$D$6</f>
        <v xml:space="preserve">  Year ended 
  March 31, 2025</v>
      </c>
      <c r="C22" s="1260" t="str">
        <f>+'Note 2 - 8'!$E$6</f>
        <v xml:space="preserve">  Year ended 
  March 31, 2024</v>
      </c>
      <c r="E22" s="252"/>
    </row>
    <row r="23" spans="1:7" ht="16.5" x14ac:dyDescent="0.3">
      <c r="A23" s="197" t="s">
        <v>651</v>
      </c>
      <c r="B23" s="209">
        <f>+C26</f>
        <v>992170</v>
      </c>
      <c r="C23" s="209">
        <f>+'Trial Balance'!B33</f>
        <v>1013265</v>
      </c>
      <c r="D23" s="1186"/>
      <c r="E23" s="1187"/>
    </row>
    <row r="24" spans="1:7" ht="16.5" x14ac:dyDescent="0.25">
      <c r="A24" s="197" t="s">
        <v>1765</v>
      </c>
      <c r="B24" s="482">
        <f>+'TB 24-25'!E393+'TB 24-25'!E113</f>
        <v>23610192.149999999</v>
      </c>
      <c r="C24" s="482">
        <f>+'Trial Balance'!D56+'Trial Balance'!D57+'Trial Balance'!D58</f>
        <v>23967614.510000002</v>
      </c>
      <c r="D24" s="200"/>
      <c r="E24" s="252"/>
    </row>
    <row r="25" spans="1:7" ht="16.5" x14ac:dyDescent="0.25">
      <c r="A25" s="197"/>
      <c r="B25" s="209">
        <f>+B23+B24</f>
        <v>24602362.149999999</v>
      </c>
      <c r="C25" s="209">
        <f>+C23+C24</f>
        <v>24980879.510000002</v>
      </c>
      <c r="D25" s="202"/>
    </row>
    <row r="26" spans="1:7" ht="16.5" x14ac:dyDescent="0.25">
      <c r="A26" s="197" t="s">
        <v>1766</v>
      </c>
      <c r="B26" s="564">
        <f>+'TB 24-25'!E12</f>
        <v>684295</v>
      </c>
      <c r="C26" s="564">
        <v>992170</v>
      </c>
      <c r="D26" s="198"/>
    </row>
    <row r="27" spans="1:7" ht="15" x14ac:dyDescent="0.25">
      <c r="A27" s="201" t="s">
        <v>672</v>
      </c>
      <c r="B27" s="434">
        <f>+B25-B26</f>
        <v>23918067.149999999</v>
      </c>
      <c r="C27" s="434">
        <f>+C25-C26</f>
        <v>23988709.510000002</v>
      </c>
      <c r="D27" s="198"/>
    </row>
    <row r="28" spans="1:7" ht="16.5" x14ac:dyDescent="0.3">
      <c r="A28" s="197"/>
      <c r="B28" s="208"/>
      <c r="C28" s="203"/>
      <c r="D28" s="188"/>
    </row>
    <row r="29" spans="1:7" ht="16.5" x14ac:dyDescent="0.25">
      <c r="A29" s="194" t="s">
        <v>691</v>
      </c>
      <c r="B29" s="208"/>
      <c r="C29" s="203"/>
      <c r="D29" s="198"/>
    </row>
    <row r="30" spans="1:7" ht="30" x14ac:dyDescent="0.25">
      <c r="A30" s="195"/>
      <c r="B30" s="1260" t="str">
        <f>+'Note 2 - 8'!$D$6</f>
        <v xml:space="preserve">  Year ended 
  March 31, 2025</v>
      </c>
      <c r="C30" s="1260" t="str">
        <f>+'Note 2 - 8'!$E$6</f>
        <v xml:space="preserve">  Year ended 
  March 31, 2024</v>
      </c>
      <c r="D30" s="1191"/>
    </row>
    <row r="31" spans="1:7" ht="16.5" x14ac:dyDescent="0.25">
      <c r="A31" s="197" t="s">
        <v>147</v>
      </c>
      <c r="B31" s="208">
        <f>Sechdules!B283</f>
        <v>87587686</v>
      </c>
      <c r="C31" s="208">
        <f>Sechdules!C283</f>
        <v>82217814</v>
      </c>
      <c r="D31" s="198"/>
      <c r="G31" s="1232"/>
    </row>
    <row r="32" spans="1:7" ht="16.5" x14ac:dyDescent="0.25">
      <c r="A32" s="197" t="s">
        <v>675</v>
      </c>
      <c r="B32" s="445">
        <f>+'TB 24-25'!I417</f>
        <v>2998092</v>
      </c>
      <c r="C32" s="445">
        <v>5782558</v>
      </c>
      <c r="D32" s="198"/>
      <c r="G32" s="1232"/>
    </row>
    <row r="33" spans="1:7" ht="16.5" x14ac:dyDescent="0.25">
      <c r="A33" s="197" t="s">
        <v>148</v>
      </c>
      <c r="B33" s="444">
        <f>+Sechdules!B297</f>
        <v>951334.94</v>
      </c>
      <c r="C33" s="444">
        <f>+Sechdules!C297</f>
        <v>987499.15999999992</v>
      </c>
      <c r="D33" s="202"/>
      <c r="G33" s="1233"/>
    </row>
    <row r="34" spans="1:7" ht="15" x14ac:dyDescent="0.25">
      <c r="A34" s="201"/>
      <c r="B34" s="436">
        <f>ROUND(SUM(B31:B33),0)</f>
        <v>91537113</v>
      </c>
      <c r="C34" s="434">
        <f>ROUND(SUM(C31:C33),0)</f>
        <v>88987871</v>
      </c>
      <c r="D34" s="198"/>
      <c r="E34" s="1246"/>
    </row>
    <row r="35" spans="1:7" ht="16.5" x14ac:dyDescent="0.25">
      <c r="A35" s="197"/>
      <c r="B35" s="208"/>
      <c r="C35" s="203"/>
      <c r="D35" s="198"/>
      <c r="E35" s="1246"/>
    </row>
    <row r="36" spans="1:7" ht="16.5" x14ac:dyDescent="0.3">
      <c r="A36" s="194" t="s">
        <v>692</v>
      </c>
      <c r="B36" s="442"/>
      <c r="C36" s="192"/>
      <c r="D36" s="188"/>
      <c r="E36" s="1246"/>
      <c r="F36" s="199"/>
    </row>
    <row r="37" spans="1:7" ht="30" x14ac:dyDescent="0.25">
      <c r="A37" s="195"/>
      <c r="B37" s="1260" t="str">
        <f>+'Note 2 - 8'!$D$6</f>
        <v xml:space="preserve">  Year ended 
  March 31, 2025</v>
      </c>
      <c r="C37" s="1260" t="str">
        <f>+'Note 2 - 8'!$E$6</f>
        <v xml:space="preserve">  Year ended 
  March 31, 2024</v>
      </c>
      <c r="D37" s="198"/>
      <c r="E37" s="1246"/>
      <c r="F37" s="1256"/>
    </row>
    <row r="38" spans="1:7" ht="16.5" x14ac:dyDescent="0.25">
      <c r="A38" s="197" t="s">
        <v>652</v>
      </c>
      <c r="B38" s="209">
        <f>+'TB 24-25'!E97</f>
        <v>10380016.52</v>
      </c>
      <c r="C38" s="209">
        <f>+'Trial Balance'!D62</f>
        <v>7414000</v>
      </c>
      <c r="D38"/>
      <c r="E38" s="258"/>
      <c r="F38" s="1239"/>
    </row>
    <row r="39" spans="1:7" ht="16.5" x14ac:dyDescent="0.25">
      <c r="A39" s="197" t="s">
        <v>242</v>
      </c>
      <c r="B39" s="209">
        <f>+'TB 24-25'!E99</f>
        <v>79319.679999999993</v>
      </c>
      <c r="C39" s="209">
        <f>+'Trial Balance'!D81</f>
        <v>183682.38</v>
      </c>
      <c r="D39"/>
      <c r="E39"/>
    </row>
    <row r="40" spans="1:7" ht="16.5" x14ac:dyDescent="0.25">
      <c r="A40" s="197" t="s">
        <v>654</v>
      </c>
      <c r="B40" s="209">
        <f>+'TB 24-25'!E550+'TB 24-25'!E549</f>
        <v>28736828</v>
      </c>
      <c r="C40" s="209">
        <f>+'Trial Balance'!D71+'Trial Balance'!D72</f>
        <v>30876459</v>
      </c>
      <c r="D40"/>
      <c r="E40"/>
      <c r="F40" s="287"/>
    </row>
    <row r="41" spans="1:7" ht="16.5" x14ac:dyDescent="0.25">
      <c r="A41" s="197" t="s">
        <v>655</v>
      </c>
      <c r="B41" s="209">
        <f>Sechdules!B316</f>
        <v>16021501.079999998</v>
      </c>
      <c r="C41" s="209">
        <f>Sechdules!C316</f>
        <v>17581341.310000002</v>
      </c>
      <c r="D41"/>
      <c r="E41"/>
      <c r="F41"/>
    </row>
    <row r="42" spans="1:7" ht="16.5" x14ac:dyDescent="0.25">
      <c r="A42" s="197" t="s">
        <v>661</v>
      </c>
      <c r="B42" s="209">
        <f>+'TB 24-25'!E304</f>
        <v>3815070</v>
      </c>
      <c r="C42" s="209">
        <f>+'Trial Balance'!D123</f>
        <v>3501405</v>
      </c>
      <c r="D42" s="289"/>
      <c r="E42" s="289"/>
      <c r="F42"/>
    </row>
    <row r="43" spans="1:7" ht="16.5" x14ac:dyDescent="0.25">
      <c r="A43" s="197" t="s">
        <v>149</v>
      </c>
      <c r="B43" s="209">
        <f>Sechdules!B289</f>
        <v>19983600</v>
      </c>
      <c r="C43" s="209">
        <f>Sechdules!C289</f>
        <v>20156552</v>
      </c>
      <c r="D43" s="289"/>
      <c r="E43" s="289"/>
      <c r="F43"/>
    </row>
    <row r="44" spans="1:7" ht="16.5" x14ac:dyDescent="0.25">
      <c r="A44" s="197" t="s">
        <v>656</v>
      </c>
      <c r="B44" s="209">
        <f>+'TB 24-25'!E325+'TB 24-25'!E388</f>
        <v>210370</v>
      </c>
      <c r="C44" s="209">
        <f>+'Trial Balance'!D135+'Trial Balance'!D137</f>
        <v>102170</v>
      </c>
      <c r="D44" s="198"/>
      <c r="E44" s="1172"/>
      <c r="F44" s="289"/>
    </row>
    <row r="45" spans="1:7" ht="16.5" x14ac:dyDescent="0.25">
      <c r="A45" s="197" t="s">
        <v>662</v>
      </c>
      <c r="B45" s="209">
        <f>+Sechdules!B380</f>
        <v>732048</v>
      </c>
      <c r="C45" s="209">
        <f>+Sechdules!C380</f>
        <v>167440</v>
      </c>
      <c r="D45" s="198"/>
      <c r="F45" s="1174"/>
    </row>
    <row r="46" spans="1:7" ht="16.5" x14ac:dyDescent="0.25">
      <c r="A46" s="197" t="s">
        <v>657</v>
      </c>
      <c r="B46" s="209">
        <f>Sechdules!B323</f>
        <v>369721</v>
      </c>
      <c r="C46" s="209">
        <f>Sechdules!C323</f>
        <v>256684.97999999998</v>
      </c>
      <c r="D46" s="1185"/>
      <c r="E46" s="1219"/>
      <c r="F46" s="1101"/>
    </row>
    <row r="47" spans="1:7" ht="16.5" x14ac:dyDescent="0.25">
      <c r="A47" s="197" t="s">
        <v>659</v>
      </c>
      <c r="B47" s="209">
        <f>+'TB 24-25'!E61</f>
        <v>66150</v>
      </c>
      <c r="C47" s="209">
        <f>+'Trial Balance'!D79</f>
        <v>33120</v>
      </c>
      <c r="D47" s="198"/>
      <c r="E47" s="1173"/>
      <c r="F47" s="737"/>
    </row>
    <row r="48" spans="1:7" ht="16.5" x14ac:dyDescent="0.25">
      <c r="A48" s="197" t="s">
        <v>150</v>
      </c>
      <c r="B48" s="209">
        <f>+'TB 24-25'!E159</f>
        <v>78383.259999999995</v>
      </c>
      <c r="C48" s="209">
        <f>+'Trial Balance'!D92</f>
        <v>11910.2</v>
      </c>
      <c r="D48" s="198"/>
      <c r="E48" s="198"/>
      <c r="F48"/>
    </row>
    <row r="49" spans="1:7" ht="16.5" x14ac:dyDescent="0.25">
      <c r="A49" s="197" t="s">
        <v>151</v>
      </c>
      <c r="B49" s="209">
        <f>+'TB 24-25'!E380</f>
        <v>846274.58</v>
      </c>
      <c r="C49" s="209">
        <f>+'Trial Balance'!D131</f>
        <v>2419542.29</v>
      </c>
      <c r="D49" s="1219"/>
      <c r="E49" s="1219"/>
      <c r="F49"/>
    </row>
    <row r="50" spans="1:7" ht="16.5" x14ac:dyDescent="0.25">
      <c r="A50" s="197" t="s">
        <v>1510</v>
      </c>
      <c r="B50" s="209">
        <f>+'TB 24-25'!E162</f>
        <v>2497238.5099999998</v>
      </c>
      <c r="C50" s="209">
        <f>'Trial Balance'!C93</f>
        <v>2470922</v>
      </c>
      <c r="D50" s="198"/>
      <c r="E50" s="197"/>
      <c r="F50"/>
    </row>
    <row r="51" spans="1:7" ht="16.5" x14ac:dyDescent="0.25">
      <c r="A51" s="197" t="s">
        <v>658</v>
      </c>
      <c r="B51" s="209">
        <f>+'TB 24-25'!E510</f>
        <v>268471.40000000002</v>
      </c>
      <c r="C51" s="209">
        <f>+'Trial Balance'!D157</f>
        <v>335978.02</v>
      </c>
      <c r="D51" s="198"/>
      <c r="E51" s="288"/>
      <c r="F51" s="1171"/>
      <c r="G51" s="1171"/>
    </row>
    <row r="52" spans="1:7" ht="16.5" x14ac:dyDescent="0.25">
      <c r="A52" s="197" t="s">
        <v>152</v>
      </c>
      <c r="B52" s="209">
        <f>+'TB 24-25'!E525</f>
        <v>61008.35</v>
      </c>
      <c r="C52" s="209">
        <f>+'Trial Balance'!D161</f>
        <v>133986</v>
      </c>
      <c r="D52" s="198"/>
      <c r="E52" s="288"/>
      <c r="F52" s="1171"/>
      <c r="G52" s="1171"/>
    </row>
    <row r="53" spans="1:7" ht="16.5" x14ac:dyDescent="0.25">
      <c r="A53" s="197" t="s">
        <v>499</v>
      </c>
      <c r="B53" s="209">
        <f>+'TB 24-25'!E523</f>
        <v>443400</v>
      </c>
      <c r="C53" s="209">
        <f>+'Trial Balance'!D159</f>
        <v>351574</v>
      </c>
      <c r="D53" s="198"/>
      <c r="E53" s="288"/>
      <c r="F53" s="1171"/>
      <c r="G53" s="1171"/>
    </row>
    <row r="54" spans="1:7" ht="16.5" x14ac:dyDescent="0.25">
      <c r="A54" s="197" t="s">
        <v>153</v>
      </c>
      <c r="B54" s="209">
        <f>+'TB 24-25'!E190</f>
        <v>11553060.539999999</v>
      </c>
      <c r="C54" s="209">
        <f>+'Trial Balance'!D97-315392</f>
        <v>10627931.539999999</v>
      </c>
      <c r="D54" s="198"/>
      <c r="E54" s="288"/>
      <c r="F54" s="1171"/>
      <c r="G54" s="1171"/>
    </row>
    <row r="55" spans="1:7" ht="16.5" x14ac:dyDescent="0.25">
      <c r="A55" s="197" t="s">
        <v>663</v>
      </c>
      <c r="B55" s="209">
        <f>+'TB 24-25'!E432</f>
        <v>1705604.96</v>
      </c>
      <c r="C55" s="209">
        <f>+'Trial Balance'!D145</f>
        <v>1173753</v>
      </c>
      <c r="D55" s="198"/>
      <c r="E55" s="288"/>
      <c r="F55" s="1171"/>
      <c r="G55" s="1171"/>
    </row>
    <row r="56" spans="1:7" ht="16.5" x14ac:dyDescent="0.25">
      <c r="A56" s="197" t="s">
        <v>226</v>
      </c>
      <c r="B56" s="209">
        <f>+'TB 24-25'!E74</f>
        <v>2653566</v>
      </c>
      <c r="C56" s="208">
        <f>+'Trial Balance'!D80</f>
        <v>2636798</v>
      </c>
      <c r="D56" s="198"/>
      <c r="E56" s="288"/>
      <c r="F56" s="1171"/>
      <c r="G56" s="1171"/>
    </row>
    <row r="57" spans="1:7" ht="16.5" x14ac:dyDescent="0.25">
      <c r="A57" s="194" t="s">
        <v>154</v>
      </c>
      <c r="B57" s="209">
        <v>0</v>
      </c>
      <c r="C57" s="1161"/>
      <c r="D57" s="198"/>
      <c r="E57" s="197"/>
      <c r="F57"/>
    </row>
    <row r="58" spans="1:7" ht="16.5" x14ac:dyDescent="0.25">
      <c r="A58" s="205" t="s">
        <v>660</v>
      </c>
      <c r="B58" s="209">
        <f>+'TB 24-25'!E187</f>
        <v>681596.28</v>
      </c>
      <c r="C58" s="208">
        <f>+'Trial Balance'!D96-858703</f>
        <v>527336.21</v>
      </c>
      <c r="D58" s="198"/>
      <c r="E58" s="197"/>
      <c r="F58"/>
    </row>
    <row r="59" spans="1:7" ht="16.5" x14ac:dyDescent="0.25">
      <c r="A59" s="205" t="s">
        <v>155</v>
      </c>
      <c r="B59" s="456">
        <f>Sechdules!B337</f>
        <v>5319311.4799999995</v>
      </c>
      <c r="C59" s="456">
        <f>Sechdules!C337-278369</f>
        <v>4601029.25</v>
      </c>
      <c r="D59" s="198"/>
      <c r="F59"/>
    </row>
    <row r="60" spans="1:7" ht="16.5" x14ac:dyDescent="0.25">
      <c r="A60" s="205" t="s">
        <v>653</v>
      </c>
      <c r="B60" s="209">
        <f>+'TB 24-25'!E410</f>
        <v>559780.57999999996</v>
      </c>
      <c r="C60" s="208">
        <f>+'Trial Balance'!D141-1469755</f>
        <v>297680.41999999993</v>
      </c>
      <c r="D60" s="198"/>
      <c r="E60" s="197"/>
      <c r="F60"/>
    </row>
    <row r="61" spans="1:7" ht="16.5" x14ac:dyDescent="0.25">
      <c r="A61" s="197" t="s">
        <v>254</v>
      </c>
      <c r="B61" s="209">
        <f>+'TB 24-25'!E122</f>
        <v>4003845.42</v>
      </c>
      <c r="C61" s="208">
        <f>+'Trial Balance'!D84</f>
        <v>4861950.41</v>
      </c>
      <c r="D61" s="198"/>
      <c r="E61" s="197"/>
      <c r="F61"/>
    </row>
    <row r="62" spans="1:7" ht="16.5" x14ac:dyDescent="0.25">
      <c r="A62" s="197" t="s">
        <v>156</v>
      </c>
      <c r="B62" s="208">
        <f>Sechdules!B345</f>
        <v>2366811</v>
      </c>
      <c r="C62" s="208">
        <f>Sechdules!C345</f>
        <v>2378041</v>
      </c>
      <c r="D62" s="198"/>
      <c r="E62" s="205"/>
      <c r="F62"/>
    </row>
    <row r="63" spans="1:7" ht="16.5" x14ac:dyDescent="0.25">
      <c r="A63" s="197" t="s">
        <v>158</v>
      </c>
      <c r="B63" s="209">
        <f>+B98</f>
        <v>35000</v>
      </c>
      <c r="C63" s="208">
        <v>35000</v>
      </c>
      <c r="D63" s="198"/>
      <c r="E63" s="205"/>
      <c r="F63"/>
    </row>
    <row r="64" spans="1:7" ht="16.5" x14ac:dyDescent="0.25">
      <c r="A64" s="223" t="s">
        <v>307</v>
      </c>
      <c r="B64" s="209">
        <f>+'TB 24-25'!E202</f>
        <v>72800</v>
      </c>
      <c r="C64" s="456">
        <f>+'Trial Balance'!D100</f>
        <v>98050</v>
      </c>
      <c r="D64" s="198"/>
      <c r="E64" s="205"/>
      <c r="F64" s="199"/>
    </row>
    <row r="65" spans="1:6" ht="16.5" x14ac:dyDescent="0.25">
      <c r="A65" s="223" t="s">
        <v>311</v>
      </c>
      <c r="B65" s="209">
        <f>+'TB 24-25'!E215</f>
        <v>116552</v>
      </c>
      <c r="C65" s="456">
        <f>+'Trial Balance'!D101</f>
        <v>521160.1</v>
      </c>
      <c r="D65" s="198"/>
      <c r="E65" s="205"/>
      <c r="F65" s="199"/>
    </row>
    <row r="66" spans="1:6" ht="16.5" x14ac:dyDescent="0.25">
      <c r="A66" s="223" t="s">
        <v>1441</v>
      </c>
      <c r="B66" s="209">
        <f>+'TB 24-25'!E172+'TB 24-25'!E227</f>
        <v>495481.93</v>
      </c>
      <c r="C66" s="456">
        <f>+'Trial Balance'!D103+'Trial Balance'!D95</f>
        <v>1124322.3700000001</v>
      </c>
      <c r="D66" s="198"/>
      <c r="E66" s="197"/>
      <c r="F66" s="199"/>
    </row>
    <row r="67" spans="1:6" ht="16.5" x14ac:dyDescent="0.25">
      <c r="A67" s="223" t="s">
        <v>885</v>
      </c>
      <c r="B67" s="209">
        <v>0</v>
      </c>
      <c r="C67" s="456">
        <f>+'Trial Balance'!D120</f>
        <v>636117</v>
      </c>
      <c r="D67" s="198"/>
      <c r="E67" s="197"/>
      <c r="F67" s="199"/>
    </row>
    <row r="68" spans="1:6" ht="16.5" x14ac:dyDescent="0.25">
      <c r="A68" s="223" t="s">
        <v>643</v>
      </c>
      <c r="B68" s="209">
        <f>+'TB 24-25'!E315</f>
        <v>67500</v>
      </c>
      <c r="C68" s="1181">
        <f>+'Trial Balance'!D124</f>
        <v>288000</v>
      </c>
      <c r="D68" s="198"/>
      <c r="E68" s="197"/>
      <c r="F68" s="199"/>
    </row>
    <row r="69" spans="1:6" ht="16.5" x14ac:dyDescent="0.25">
      <c r="A69" s="223" t="s">
        <v>828</v>
      </c>
      <c r="B69" s="209">
        <f>+'TB 24-25'!E457</f>
        <v>100000</v>
      </c>
      <c r="C69" s="456">
        <f>+'Trial Balance'!D147</f>
        <v>25000</v>
      </c>
      <c r="D69" s="198"/>
      <c r="E69" s="223"/>
      <c r="F69" s="199"/>
    </row>
    <row r="70" spans="1:6" ht="16.5" x14ac:dyDescent="0.25">
      <c r="A70" s="223" t="s">
        <v>281</v>
      </c>
      <c r="B70" s="209">
        <v>0</v>
      </c>
      <c r="C70" s="443">
        <f>+'Trial Balance'!D94</f>
        <v>64124</v>
      </c>
      <c r="D70" s="198"/>
      <c r="E70" s="199"/>
      <c r="F70" s="199"/>
    </row>
    <row r="71" spans="1:6" ht="16.5" x14ac:dyDescent="0.3">
      <c r="A71" s="268" t="s">
        <v>500</v>
      </c>
      <c r="B71" s="209">
        <f>+'TB 24-25'!E524</f>
        <v>264157</v>
      </c>
      <c r="C71" s="1163">
        <f>'Trial Balance'!C160</f>
        <v>1046782.92</v>
      </c>
      <c r="D71" s="198"/>
      <c r="E71" s="199"/>
      <c r="F71" s="199"/>
    </row>
    <row r="72" spans="1:6" ht="16.5" x14ac:dyDescent="0.25">
      <c r="A72" s="223" t="s">
        <v>647</v>
      </c>
      <c r="B72" s="209">
        <v>0</v>
      </c>
      <c r="C72" s="443">
        <f>+'Trial Balance'!D148</f>
        <v>237500</v>
      </c>
      <c r="D72" s="198"/>
      <c r="E72" s="199"/>
      <c r="F72" s="199"/>
    </row>
    <row r="73" spans="1:6" ht="16.5" x14ac:dyDescent="0.25">
      <c r="A73" s="223" t="s">
        <v>160</v>
      </c>
      <c r="B73" s="208">
        <f>Sechdules!B366</f>
        <v>1285875</v>
      </c>
      <c r="C73" s="208">
        <f>Sechdules!C366</f>
        <v>357233.19</v>
      </c>
      <c r="D73" s="198"/>
      <c r="E73" s="199"/>
      <c r="F73" s="199"/>
    </row>
    <row r="74" spans="1:6" ht="16.5" x14ac:dyDescent="0.25">
      <c r="A74" s="195"/>
      <c r="B74" s="436">
        <f>SUM(B38:B73)</f>
        <v>115870342.57000002</v>
      </c>
      <c r="C74" s="434">
        <f>SUM(C38:C73)</f>
        <v>117534576.58999999</v>
      </c>
      <c r="D74" s="198"/>
      <c r="E74" s="199"/>
      <c r="F74" s="199"/>
    </row>
    <row r="75" spans="1:6" ht="15" x14ac:dyDescent="0.25">
      <c r="A75" s="206" t="s">
        <v>161</v>
      </c>
      <c r="B75" s="438"/>
      <c r="C75" s="435"/>
      <c r="D75" s="198"/>
      <c r="E75" s="199"/>
      <c r="F75" s="199"/>
    </row>
    <row r="76" spans="1:6" ht="15" x14ac:dyDescent="0.25">
      <c r="A76" s="206"/>
      <c r="B76" s="438"/>
      <c r="C76" s="207"/>
      <c r="D76" s="198"/>
      <c r="E76" s="199"/>
      <c r="F76" s="199"/>
    </row>
    <row r="77" spans="1:6" ht="16.5" x14ac:dyDescent="0.25">
      <c r="A77" s="194" t="s">
        <v>693</v>
      </c>
      <c r="B77" s="438"/>
      <c r="C77" s="203"/>
      <c r="D77" s="198"/>
      <c r="E77" s="199"/>
      <c r="F77" s="199"/>
    </row>
    <row r="78" spans="1:6" ht="30" x14ac:dyDescent="0.25">
      <c r="A78" s="201"/>
      <c r="B78" s="1260" t="str">
        <f>+'Note 2 - 8'!$D$6</f>
        <v xml:space="preserve">  Year ended 
  March 31, 2025</v>
      </c>
      <c r="C78" s="1260" t="str">
        <f>+'Note 2 - 8'!$E$6</f>
        <v xml:space="preserve">  Year ended 
  March 31, 2024</v>
      </c>
      <c r="D78" s="198"/>
      <c r="E78" s="199"/>
      <c r="F78" s="199"/>
    </row>
    <row r="79" spans="1:6" ht="16.5" x14ac:dyDescent="0.25">
      <c r="A79" s="197" t="s">
        <v>671</v>
      </c>
      <c r="B79" s="208">
        <f>+'P&amp;L'!C16</f>
        <v>21235863</v>
      </c>
      <c r="C79" s="208">
        <f>+'P&amp;L'!D16</f>
        <v>18479778</v>
      </c>
      <c r="D79" s="198"/>
      <c r="E79" s="199"/>
      <c r="F79" s="199"/>
    </row>
    <row r="80" spans="1:6" ht="16.5" x14ac:dyDescent="0.25">
      <c r="A80" s="195"/>
      <c r="B80" s="436">
        <f>SUM(B79:B79)</f>
        <v>21235863</v>
      </c>
      <c r="C80" s="434">
        <f>SUM(C79:C79)</f>
        <v>18479778</v>
      </c>
    </row>
    <row r="81" spans="1:7" ht="16.5" x14ac:dyDescent="0.25">
      <c r="A81" s="197"/>
      <c r="B81" s="438"/>
      <c r="C81" s="203"/>
      <c r="D81" s="192"/>
      <c r="E81" s="192"/>
      <c r="F81" s="197"/>
      <c r="G81" s="197"/>
    </row>
    <row r="82" spans="1:7" s="197" customFormat="1" ht="16.5" x14ac:dyDescent="0.25">
      <c r="A82" s="194" t="s">
        <v>1540</v>
      </c>
      <c r="B82" s="438"/>
      <c r="C82" s="203"/>
      <c r="D82" s="192"/>
      <c r="E82" s="192"/>
    </row>
    <row r="83" spans="1:7" s="197" customFormat="1" ht="30" x14ac:dyDescent="0.25">
      <c r="A83" s="201"/>
      <c r="B83" s="1260" t="str">
        <f>+'Note 2 - 8'!$D$6</f>
        <v xml:space="preserve">  Year ended 
  March 31, 2025</v>
      </c>
      <c r="C83" s="1260" t="str">
        <f>+'Note 2 - 8'!$E$6</f>
        <v xml:space="preserve">  Year ended 
  March 31, 2024</v>
      </c>
      <c r="D83" s="180"/>
      <c r="E83" s="199"/>
      <c r="F83" s="178"/>
      <c r="G83" s="178"/>
    </row>
    <row r="84" spans="1:7" ht="16.5" x14ac:dyDescent="0.25">
      <c r="A84" s="197" t="s">
        <v>162</v>
      </c>
      <c r="B84" s="208">
        <v>0</v>
      </c>
      <c r="C84" s="209">
        <v>0</v>
      </c>
    </row>
    <row r="85" spans="1:7" ht="16.5" x14ac:dyDescent="0.25">
      <c r="A85" s="197" t="s">
        <v>163</v>
      </c>
      <c r="B85" s="208">
        <v>0</v>
      </c>
      <c r="C85" s="209">
        <v>0</v>
      </c>
      <c r="E85" s="199"/>
    </row>
    <row r="86" spans="1:7" ht="16.5" x14ac:dyDescent="0.3">
      <c r="A86" s="197" t="s">
        <v>157</v>
      </c>
      <c r="B86" s="210">
        <v>0</v>
      </c>
      <c r="C86" s="211">
        <v>0</v>
      </c>
    </row>
    <row r="87" spans="1:7" ht="16.5" x14ac:dyDescent="0.25">
      <c r="A87" s="195"/>
      <c r="B87" s="436">
        <f>ROUND(SUM(B84:B86),0)</f>
        <v>0</v>
      </c>
      <c r="C87" s="213">
        <v>0</v>
      </c>
    </row>
    <row r="88" spans="1:7" ht="16.5" x14ac:dyDescent="0.25">
      <c r="A88" s="197"/>
      <c r="B88" s="438"/>
      <c r="C88" s="214"/>
    </row>
    <row r="89" spans="1:7" ht="16.5" x14ac:dyDescent="0.25">
      <c r="A89" s="194" t="s">
        <v>1541</v>
      </c>
      <c r="B89" s="438"/>
      <c r="C89" s="203"/>
    </row>
    <row r="90" spans="1:7" ht="30" x14ac:dyDescent="0.25">
      <c r="A90" s="201"/>
      <c r="B90" s="1260" t="str">
        <f>+'Note 2 - 8'!$D$6</f>
        <v xml:space="preserve">  Year ended 
  March 31, 2025</v>
      </c>
      <c r="C90" s="1260" t="str">
        <f>+'Note 2 - 8'!$E$6</f>
        <v xml:space="preserve">  Year ended 
  March 31, 2024</v>
      </c>
    </row>
    <row r="91" spans="1:7" ht="16.5" x14ac:dyDescent="0.3">
      <c r="A91" s="197" t="s">
        <v>164</v>
      </c>
      <c r="B91" s="210">
        <f>Sechdules!B374</f>
        <v>8194636.6200000001</v>
      </c>
      <c r="C91" s="210">
        <f>Sechdules!C374</f>
        <v>8064763.6200000001</v>
      </c>
    </row>
    <row r="92" spans="1:7" ht="16.5" x14ac:dyDescent="0.25">
      <c r="A92" s="195"/>
      <c r="B92" s="434">
        <f>ROUND(SUM(B91:B91),0)</f>
        <v>8194637</v>
      </c>
      <c r="C92" s="434">
        <f>ROUND(SUM(C91:C91),0)</f>
        <v>8064764</v>
      </c>
      <c r="D92" s="192"/>
      <c r="E92" s="212"/>
      <c r="F92" s="212"/>
      <c r="G92" s="212"/>
    </row>
    <row r="93" spans="1:7" s="212" customFormat="1" ht="16.5" x14ac:dyDescent="0.25">
      <c r="A93" s="215"/>
      <c r="B93" s="1164"/>
      <c r="C93" s="216"/>
      <c r="D93" s="192"/>
    </row>
    <row r="94" spans="1:7" s="212" customFormat="1" ht="16.5" x14ac:dyDescent="0.25">
      <c r="A94" s="217" t="s">
        <v>1542</v>
      </c>
      <c r="B94" s="438"/>
      <c r="C94" s="207"/>
      <c r="D94" s="192"/>
    </row>
    <row r="95" spans="1:7" s="212" customFormat="1" ht="30" x14ac:dyDescent="0.25">
      <c r="A95" s="218"/>
      <c r="B95" s="1260" t="str">
        <f>+'Note 2 - 8'!$D$6</f>
        <v xml:space="preserve">  Year ended 
  March 31, 2025</v>
      </c>
      <c r="C95" s="1260" t="str">
        <f>+'Note 2 - 8'!$E$6</f>
        <v xml:space="preserve">  Year ended 
  March 31, 2024</v>
      </c>
      <c r="D95" s="192"/>
    </row>
    <row r="96" spans="1:7" s="212" customFormat="1" ht="16.5" x14ac:dyDescent="0.3">
      <c r="A96" s="219" t="s">
        <v>165</v>
      </c>
      <c r="B96" s="208">
        <f>+'TB 24-25'!E85</f>
        <v>35000</v>
      </c>
      <c r="C96" s="209">
        <v>35000</v>
      </c>
      <c r="D96" s="192"/>
    </row>
    <row r="97" spans="1:8" s="212" customFormat="1" ht="16.5" x14ac:dyDescent="0.3">
      <c r="A97" s="219" t="s">
        <v>166</v>
      </c>
      <c r="B97" s="456">
        <v>0</v>
      </c>
      <c r="C97" s="456">
        <v>0</v>
      </c>
      <c r="D97" s="180"/>
    </row>
    <row r="98" spans="1:8" s="212" customFormat="1" ht="16.5" x14ac:dyDescent="0.25">
      <c r="A98" s="220"/>
      <c r="B98" s="436">
        <f>SUM(B96:B97)</f>
        <v>35000</v>
      </c>
      <c r="C98" s="436">
        <f>SUM(C96:C97)</f>
        <v>35000</v>
      </c>
      <c r="D98" s="180"/>
      <c r="E98" s="178"/>
      <c r="F98" s="178"/>
      <c r="G98" s="178"/>
    </row>
    <row r="99" spans="1:8" s="212" customFormat="1" ht="16.5" x14ac:dyDescent="0.25">
      <c r="B99" s="438"/>
      <c r="C99" s="438"/>
      <c r="D99" s="180"/>
      <c r="E99" s="178"/>
      <c r="F99" s="178"/>
      <c r="G99" s="178"/>
    </row>
    <row r="100" spans="1:8" ht="15" x14ac:dyDescent="0.25">
      <c r="A100" s="412" t="s">
        <v>1543</v>
      </c>
      <c r="B100" s="1165"/>
      <c r="C100" s="420"/>
    </row>
    <row r="101" spans="1:8" ht="30" x14ac:dyDescent="0.25">
      <c r="A101" s="414"/>
      <c r="B101" s="1260" t="str">
        <f>+'Note 2 - 8'!$D$6</f>
        <v xml:space="preserve">  Year ended 
  March 31, 2025</v>
      </c>
      <c r="C101" s="1260" t="str">
        <f>+'Note 2 - 8'!$E$6</f>
        <v xml:space="preserve">  Year ended 
  March 31, 2024</v>
      </c>
      <c r="E101" s="1239"/>
    </row>
    <row r="102" spans="1:8" ht="16.5" x14ac:dyDescent="0.3">
      <c r="A102" s="416" t="s">
        <v>819</v>
      </c>
      <c r="B102" s="1166"/>
      <c r="C102" s="1241"/>
    </row>
    <row r="103" spans="1:8" x14ac:dyDescent="0.25">
      <c r="A103" s="417" t="s">
        <v>820</v>
      </c>
      <c r="B103" s="1240">
        <f>B9/83.9</f>
        <v>1194678.564123957</v>
      </c>
      <c r="C103" s="1240">
        <f>C9/83.9</f>
        <v>1737172.5768772345</v>
      </c>
      <c r="E103" s="180"/>
    </row>
    <row r="104" spans="1:8" ht="16.5" x14ac:dyDescent="0.3">
      <c r="A104" s="418"/>
      <c r="B104" s="483"/>
      <c r="C104" s="413"/>
      <c r="E104" s="180"/>
    </row>
    <row r="105" spans="1:8" ht="15" x14ac:dyDescent="0.25">
      <c r="A105" s="412" t="s">
        <v>1544</v>
      </c>
      <c r="B105" s="1165"/>
      <c r="C105" s="412"/>
    </row>
    <row r="106" spans="1:8" x14ac:dyDescent="0.25">
      <c r="A106" s="1603" t="s">
        <v>822</v>
      </c>
      <c r="B106" s="1603"/>
      <c r="C106" s="422"/>
      <c r="D106" s="413"/>
      <c r="E106" s="413"/>
      <c r="F106" s="413"/>
      <c r="G106" s="413"/>
    </row>
    <row r="107" spans="1:8" s="221" customFormat="1" ht="30.75" x14ac:dyDescent="0.3">
      <c r="A107" s="414"/>
      <c r="B107" s="1260" t="str">
        <f>+'Note 2 - 8'!$D$6</f>
        <v xml:space="preserve">  Year ended 
  March 31, 2025</v>
      </c>
      <c r="C107" s="1260" t="str">
        <f>+'Note 2 - 8'!$E$6</f>
        <v xml:space="preserve">  Year ended 
  March 31, 2024</v>
      </c>
      <c r="D107" s="413"/>
      <c r="E107" s="413"/>
      <c r="F107" s="413"/>
      <c r="G107" s="423"/>
      <c r="H107" s="413"/>
    </row>
    <row r="108" spans="1:8" s="221" customFormat="1" ht="15" x14ac:dyDescent="0.3">
      <c r="A108" s="416" t="s">
        <v>819</v>
      </c>
      <c r="B108" s="1227"/>
      <c r="C108" s="1242"/>
      <c r="D108" s="413"/>
      <c r="E108" s="413"/>
      <c r="F108" s="413"/>
      <c r="G108" s="415"/>
      <c r="H108" s="423"/>
    </row>
    <row r="109" spans="1:8" s="221" customFormat="1" x14ac:dyDescent="0.2">
      <c r="A109" s="417" t="s">
        <v>820</v>
      </c>
      <c r="B109" s="1240">
        <f>B9/83.9</f>
        <v>1194678.564123957</v>
      </c>
      <c r="C109" s="1240">
        <f>C9/83.9</f>
        <v>1737172.5768772345</v>
      </c>
      <c r="D109" s="413"/>
      <c r="E109" s="413"/>
      <c r="F109" s="413"/>
      <c r="H109" s="415"/>
    </row>
    <row r="110" spans="1:8" s="221" customFormat="1" x14ac:dyDescent="0.2">
      <c r="A110" s="418"/>
      <c r="B110" s="1234"/>
      <c r="C110" s="415"/>
      <c r="D110" s="413"/>
      <c r="E110" s="413"/>
      <c r="F110" s="413"/>
      <c r="H110" s="415"/>
    </row>
    <row r="111" spans="1:8" s="221" customFormat="1" ht="16.5" x14ac:dyDescent="0.25">
      <c r="A111" s="230" t="s">
        <v>1545</v>
      </c>
      <c r="B111" s="1167"/>
      <c r="C111" s="410"/>
      <c r="D111" s="413"/>
      <c r="E111" s="413"/>
      <c r="F111" s="413"/>
      <c r="G111" s="419"/>
    </row>
    <row r="112" spans="1:8" s="221" customFormat="1" x14ac:dyDescent="0.2">
      <c r="A112" s="1602" t="s">
        <v>821</v>
      </c>
      <c r="B112" s="1602"/>
      <c r="C112" s="1602"/>
      <c r="D112" s="413"/>
      <c r="E112" s="413"/>
      <c r="F112" s="413"/>
      <c r="G112" s="413"/>
      <c r="H112" s="419"/>
    </row>
    <row r="113" spans="1:8" s="221" customFormat="1" ht="21" customHeight="1" x14ac:dyDescent="0.2">
      <c r="A113" s="1602"/>
      <c r="B113" s="1602"/>
      <c r="C113" s="1602"/>
      <c r="D113" s="424"/>
      <c r="E113" s="424"/>
      <c r="F113" s="424"/>
      <c r="G113" s="424"/>
      <c r="H113" s="413"/>
    </row>
    <row r="114" spans="1:8" s="221" customFormat="1" ht="29.25" customHeight="1" x14ac:dyDescent="0.2">
      <c r="B114" s="1168"/>
      <c r="D114" s="413"/>
      <c r="E114" s="413"/>
      <c r="F114" s="413"/>
      <c r="H114" s="424"/>
    </row>
    <row r="115" spans="1:8" s="221" customFormat="1" x14ac:dyDescent="0.2">
      <c r="B115" s="1168"/>
      <c r="D115" s="413"/>
      <c r="E115" s="413"/>
      <c r="F115" s="413"/>
    </row>
    <row r="116" spans="1:8" s="221" customFormat="1" x14ac:dyDescent="0.2">
      <c r="B116" s="1168"/>
      <c r="D116" s="413"/>
      <c r="E116" s="413"/>
      <c r="F116" s="413"/>
    </row>
    <row r="117" spans="1:8" s="221" customFormat="1" ht="16.5" x14ac:dyDescent="0.2">
      <c r="B117" s="1168"/>
      <c r="D117" s="410"/>
      <c r="E117" s="410"/>
      <c r="F117" s="410"/>
      <c r="G117" s="410"/>
    </row>
    <row r="118" spans="1:8" s="221" customFormat="1" ht="16.5" x14ac:dyDescent="0.2">
      <c r="B118" s="1168"/>
      <c r="D118" s="421"/>
      <c r="E118" s="421"/>
      <c r="F118" s="421"/>
      <c r="G118" s="421"/>
      <c r="H118" s="410"/>
    </row>
    <row r="119" spans="1:8" s="221" customFormat="1" ht="12.75" customHeight="1" x14ac:dyDescent="0.2">
      <c r="B119" s="1168"/>
      <c r="D119" s="421"/>
      <c r="E119" s="421"/>
      <c r="F119" s="421"/>
      <c r="G119" s="421"/>
      <c r="H119" s="421"/>
    </row>
    <row r="120" spans="1:8" s="221" customFormat="1" ht="17.850000000000001" customHeight="1" x14ac:dyDescent="0.2">
      <c r="B120" s="1168"/>
      <c r="H120" s="421"/>
    </row>
    <row r="121" spans="1:8" s="221" customFormat="1" ht="12.75" x14ac:dyDescent="0.2">
      <c r="B121" s="1168"/>
    </row>
    <row r="122" spans="1:8" s="221" customFormat="1" ht="12.75" x14ac:dyDescent="0.2">
      <c r="B122" s="1168"/>
    </row>
    <row r="123" spans="1:8" s="221" customFormat="1" ht="12.75" x14ac:dyDescent="0.2">
      <c r="B123" s="1168"/>
    </row>
    <row r="124" spans="1:8" s="221" customFormat="1" ht="12.75" x14ac:dyDescent="0.2">
      <c r="B124" s="1168"/>
    </row>
    <row r="125" spans="1:8" s="221" customFormat="1" ht="12.75" x14ac:dyDescent="0.2">
      <c r="B125" s="1168"/>
    </row>
    <row r="126" spans="1:8" s="221" customFormat="1" ht="12.75" x14ac:dyDescent="0.2">
      <c r="B126" s="1168"/>
    </row>
    <row r="127" spans="1:8" s="221" customFormat="1" ht="12.75" x14ac:dyDescent="0.2">
      <c r="B127" s="1168"/>
    </row>
    <row r="128" spans="1:8" s="221" customFormat="1" ht="12.75" x14ac:dyDescent="0.2">
      <c r="B128" s="1168"/>
    </row>
    <row r="129" spans="2:2" s="221" customFormat="1" ht="12.75" x14ac:dyDescent="0.2">
      <c r="B129" s="1168"/>
    </row>
    <row r="130" spans="2:2" s="221" customFormat="1" ht="12.75" x14ac:dyDescent="0.2">
      <c r="B130" s="1168"/>
    </row>
    <row r="131" spans="2:2" s="221" customFormat="1" ht="12.75" x14ac:dyDescent="0.2">
      <c r="B131" s="1168"/>
    </row>
    <row r="132" spans="2:2" s="221" customFormat="1" ht="12.75" x14ac:dyDescent="0.2">
      <c r="B132" s="1168"/>
    </row>
    <row r="133" spans="2:2" s="221" customFormat="1" ht="12.75" x14ac:dyDescent="0.2">
      <c r="B133" s="1168"/>
    </row>
    <row r="134" spans="2:2" s="221" customFormat="1" ht="12.75" x14ac:dyDescent="0.2">
      <c r="B134" s="1168"/>
    </row>
    <row r="135" spans="2:2" s="221" customFormat="1" ht="12.75" x14ac:dyDescent="0.2">
      <c r="B135" s="1168"/>
    </row>
    <row r="136" spans="2:2" s="221" customFormat="1" ht="12.75" x14ac:dyDescent="0.2">
      <c r="B136" s="1168"/>
    </row>
    <row r="137" spans="2:2" s="221" customFormat="1" ht="12.75" x14ac:dyDescent="0.2">
      <c r="B137" s="1168"/>
    </row>
    <row r="138" spans="2:2" s="221" customFormat="1" ht="12.75" x14ac:dyDescent="0.2">
      <c r="B138" s="1168"/>
    </row>
    <row r="139" spans="2:2" s="221" customFormat="1" ht="12.75" x14ac:dyDescent="0.2">
      <c r="B139" s="1168"/>
    </row>
    <row r="140" spans="2:2" s="221" customFormat="1" ht="12.75" x14ac:dyDescent="0.2">
      <c r="B140" s="1168"/>
    </row>
    <row r="141" spans="2:2" s="221" customFormat="1" ht="12.75" x14ac:dyDescent="0.2">
      <c r="B141" s="1168"/>
    </row>
    <row r="142" spans="2:2" s="221" customFormat="1" ht="12.75" x14ac:dyDescent="0.2">
      <c r="B142" s="1168"/>
    </row>
    <row r="143" spans="2:2" s="221" customFormat="1" ht="12.75" x14ac:dyDescent="0.2">
      <c r="B143" s="1168"/>
    </row>
    <row r="144" spans="2:2" s="221" customFormat="1" ht="12.75" x14ac:dyDescent="0.2">
      <c r="B144" s="1168"/>
    </row>
    <row r="145" spans="2:2" s="221" customFormat="1" ht="12.75" x14ac:dyDescent="0.2">
      <c r="B145" s="1168"/>
    </row>
    <row r="146" spans="2:2" s="221" customFormat="1" ht="12.75" x14ac:dyDescent="0.2">
      <c r="B146" s="1168"/>
    </row>
    <row r="147" spans="2:2" s="221" customFormat="1" ht="12.75" x14ac:dyDescent="0.2">
      <c r="B147" s="1168"/>
    </row>
    <row r="148" spans="2:2" s="221" customFormat="1" ht="12.75" x14ac:dyDescent="0.2">
      <c r="B148" s="1168"/>
    </row>
    <row r="149" spans="2:2" s="221" customFormat="1" ht="12.75" x14ac:dyDescent="0.2">
      <c r="B149" s="1168"/>
    </row>
    <row r="150" spans="2:2" s="221" customFormat="1" ht="12.75" x14ac:dyDescent="0.2">
      <c r="B150" s="1168"/>
    </row>
    <row r="151" spans="2:2" s="221" customFormat="1" ht="12.75" x14ac:dyDescent="0.2">
      <c r="B151" s="1168"/>
    </row>
    <row r="152" spans="2:2" s="221" customFormat="1" ht="12.75" x14ac:dyDescent="0.2">
      <c r="B152" s="1168"/>
    </row>
    <row r="153" spans="2:2" s="221" customFormat="1" ht="12.75" x14ac:dyDescent="0.2">
      <c r="B153" s="1168"/>
    </row>
    <row r="154" spans="2:2" s="221" customFormat="1" ht="12.75" x14ac:dyDescent="0.2">
      <c r="B154" s="1168"/>
    </row>
    <row r="155" spans="2:2" s="221" customFormat="1" ht="12.75" x14ac:dyDescent="0.2">
      <c r="B155" s="1168"/>
    </row>
    <row r="156" spans="2:2" s="221" customFormat="1" ht="12.75" x14ac:dyDescent="0.2">
      <c r="B156" s="1168"/>
    </row>
    <row r="157" spans="2:2" s="221" customFormat="1" ht="12.75" x14ac:dyDescent="0.2">
      <c r="B157" s="1168"/>
    </row>
    <row r="158" spans="2:2" s="221" customFormat="1" ht="12.75" x14ac:dyDescent="0.2">
      <c r="B158" s="1168"/>
    </row>
    <row r="159" spans="2:2" s="221" customFormat="1" ht="12.75" x14ac:dyDescent="0.2">
      <c r="B159" s="1168"/>
    </row>
    <row r="160" spans="2:2" s="221" customFormat="1" ht="12.75" x14ac:dyDescent="0.2">
      <c r="B160" s="1168"/>
    </row>
    <row r="161" spans="2:2" s="221" customFormat="1" ht="12.75" x14ac:dyDescent="0.2">
      <c r="B161" s="1168"/>
    </row>
    <row r="162" spans="2:2" s="221" customFormat="1" ht="12.75" x14ac:dyDescent="0.2">
      <c r="B162" s="1168"/>
    </row>
    <row r="163" spans="2:2" s="221" customFormat="1" ht="12.75" x14ac:dyDescent="0.2">
      <c r="B163" s="1168"/>
    </row>
    <row r="164" spans="2:2" s="221" customFormat="1" ht="12.75" x14ac:dyDescent="0.2">
      <c r="B164" s="1168"/>
    </row>
    <row r="165" spans="2:2" s="221" customFormat="1" ht="12.75" x14ac:dyDescent="0.2">
      <c r="B165" s="1168"/>
    </row>
    <row r="166" spans="2:2" s="221" customFormat="1" ht="12.75" x14ac:dyDescent="0.2">
      <c r="B166" s="1168"/>
    </row>
    <row r="167" spans="2:2" s="221" customFormat="1" ht="12.75" x14ac:dyDescent="0.2">
      <c r="B167" s="1168"/>
    </row>
    <row r="168" spans="2:2" s="221" customFormat="1" ht="12.75" x14ac:dyDescent="0.2">
      <c r="B168" s="1168"/>
    </row>
    <row r="169" spans="2:2" s="221" customFormat="1" ht="12.75" x14ac:dyDescent="0.2">
      <c r="B169" s="1168"/>
    </row>
    <row r="170" spans="2:2" s="221" customFormat="1" ht="12.75" x14ac:dyDescent="0.2">
      <c r="B170" s="1168"/>
    </row>
    <row r="171" spans="2:2" s="221" customFormat="1" ht="12.75" x14ac:dyDescent="0.2">
      <c r="B171" s="1168"/>
    </row>
    <row r="172" spans="2:2" s="221" customFormat="1" ht="12.75" x14ac:dyDescent="0.2">
      <c r="B172" s="1168"/>
    </row>
    <row r="173" spans="2:2" s="221" customFormat="1" ht="12.75" x14ac:dyDescent="0.2">
      <c r="B173" s="1168"/>
    </row>
    <row r="174" spans="2:2" s="221" customFormat="1" ht="12.75" x14ac:dyDescent="0.2">
      <c r="B174" s="1168"/>
    </row>
    <row r="175" spans="2:2" s="221" customFormat="1" ht="12.75" x14ac:dyDescent="0.2">
      <c r="B175" s="1168"/>
    </row>
    <row r="176" spans="2:2" s="221" customFormat="1" ht="12.75" x14ac:dyDescent="0.2">
      <c r="B176" s="1168"/>
    </row>
    <row r="177" spans="2:2" s="221" customFormat="1" ht="12.75" x14ac:dyDescent="0.2">
      <c r="B177" s="1168"/>
    </row>
    <row r="178" spans="2:2" s="221" customFormat="1" ht="12.75" x14ac:dyDescent="0.2">
      <c r="B178" s="1168"/>
    </row>
    <row r="179" spans="2:2" s="221" customFormat="1" ht="12.75" x14ac:dyDescent="0.2">
      <c r="B179" s="1168"/>
    </row>
    <row r="180" spans="2:2" s="221" customFormat="1" ht="12.75" x14ac:dyDescent="0.2">
      <c r="B180" s="1168"/>
    </row>
    <row r="181" spans="2:2" s="221" customFormat="1" ht="12.75" x14ac:dyDescent="0.2">
      <c r="B181" s="1168"/>
    </row>
    <row r="182" spans="2:2" s="221" customFormat="1" ht="12.75" x14ac:dyDescent="0.2">
      <c r="B182" s="1168"/>
    </row>
    <row r="183" spans="2:2" s="221" customFormat="1" ht="12.75" x14ac:dyDescent="0.2">
      <c r="B183" s="1168"/>
    </row>
    <row r="184" spans="2:2" s="221" customFormat="1" ht="12.75" x14ac:dyDescent="0.2">
      <c r="B184" s="1168"/>
    </row>
    <row r="185" spans="2:2" s="221" customFormat="1" ht="12.75" x14ac:dyDescent="0.2">
      <c r="B185" s="1168"/>
    </row>
    <row r="186" spans="2:2" s="221" customFormat="1" ht="12.75" x14ac:dyDescent="0.2">
      <c r="B186" s="1168"/>
    </row>
    <row r="187" spans="2:2" s="221" customFormat="1" ht="12.75" x14ac:dyDescent="0.2">
      <c r="B187" s="1168"/>
    </row>
    <row r="188" spans="2:2" s="221" customFormat="1" ht="12.75" x14ac:dyDescent="0.2">
      <c r="B188" s="1168"/>
    </row>
    <row r="189" spans="2:2" s="221" customFormat="1" ht="12.75" x14ac:dyDescent="0.2">
      <c r="B189" s="1168"/>
    </row>
    <row r="190" spans="2:2" s="221" customFormat="1" ht="12.75" x14ac:dyDescent="0.2">
      <c r="B190" s="1168"/>
    </row>
    <row r="191" spans="2:2" s="221" customFormat="1" ht="12.75" x14ac:dyDescent="0.2">
      <c r="B191" s="1168"/>
    </row>
    <row r="192" spans="2:2" s="221" customFormat="1" ht="12.75" x14ac:dyDescent="0.2">
      <c r="B192" s="1168"/>
    </row>
    <row r="193" spans="2:2" s="221" customFormat="1" ht="12.75" x14ac:dyDescent="0.2">
      <c r="B193" s="1168"/>
    </row>
    <row r="194" spans="2:2" s="221" customFormat="1" ht="12.75" x14ac:dyDescent="0.2">
      <c r="B194" s="1168"/>
    </row>
    <row r="195" spans="2:2" s="221" customFormat="1" ht="12.75" x14ac:dyDescent="0.2">
      <c r="B195" s="1168"/>
    </row>
    <row r="196" spans="2:2" s="221" customFormat="1" ht="12.75" x14ac:dyDescent="0.2">
      <c r="B196" s="1168"/>
    </row>
    <row r="197" spans="2:2" s="221" customFormat="1" ht="12.75" x14ac:dyDescent="0.2">
      <c r="B197" s="1168"/>
    </row>
    <row r="198" spans="2:2" s="221" customFormat="1" ht="12.75" x14ac:dyDescent="0.2">
      <c r="B198" s="1168"/>
    </row>
    <row r="199" spans="2:2" s="221" customFormat="1" ht="12.75" x14ac:dyDescent="0.2">
      <c r="B199" s="1168"/>
    </row>
    <row r="200" spans="2:2" s="221" customFormat="1" ht="12.75" x14ac:dyDescent="0.2">
      <c r="B200" s="1168"/>
    </row>
    <row r="201" spans="2:2" s="221" customFormat="1" ht="12.75" x14ac:dyDescent="0.2">
      <c r="B201" s="1168"/>
    </row>
    <row r="202" spans="2:2" s="221" customFormat="1" ht="12.75" x14ac:dyDescent="0.2">
      <c r="B202" s="1168"/>
    </row>
    <row r="203" spans="2:2" s="221" customFormat="1" ht="12.75" x14ac:dyDescent="0.2">
      <c r="B203" s="1168"/>
    </row>
    <row r="204" spans="2:2" s="221" customFormat="1" ht="12.75" x14ac:dyDescent="0.2">
      <c r="B204" s="1168"/>
    </row>
    <row r="205" spans="2:2" s="221" customFormat="1" ht="12.75" x14ac:dyDescent="0.2">
      <c r="B205" s="1168"/>
    </row>
    <row r="206" spans="2:2" s="221" customFormat="1" ht="12.75" x14ac:dyDescent="0.2">
      <c r="B206" s="1168"/>
    </row>
    <row r="207" spans="2:2" s="221" customFormat="1" ht="12.75" x14ac:dyDescent="0.2">
      <c r="B207" s="1168"/>
    </row>
    <row r="208" spans="2:2" s="221" customFormat="1" ht="12.75" x14ac:dyDescent="0.2">
      <c r="B208" s="1168"/>
    </row>
    <row r="209" spans="2:2" s="221" customFormat="1" ht="12.75" x14ac:dyDescent="0.2">
      <c r="B209" s="1168"/>
    </row>
    <row r="210" spans="2:2" s="221" customFormat="1" ht="12.75" x14ac:dyDescent="0.2">
      <c r="B210" s="1168"/>
    </row>
    <row r="211" spans="2:2" s="221" customFormat="1" ht="12.75" x14ac:dyDescent="0.2">
      <c r="B211" s="1168"/>
    </row>
    <row r="212" spans="2:2" s="221" customFormat="1" ht="12.75" x14ac:dyDescent="0.2">
      <c r="B212" s="1168"/>
    </row>
    <row r="213" spans="2:2" s="221" customFormat="1" ht="12.75" x14ac:dyDescent="0.2">
      <c r="B213" s="1168"/>
    </row>
    <row r="214" spans="2:2" s="221" customFormat="1" ht="12.75" x14ac:dyDescent="0.2">
      <c r="B214" s="1168"/>
    </row>
    <row r="215" spans="2:2" s="221" customFormat="1" ht="12.75" x14ac:dyDescent="0.2">
      <c r="B215" s="1168"/>
    </row>
    <row r="216" spans="2:2" s="221" customFormat="1" ht="12.75" x14ac:dyDescent="0.2">
      <c r="B216" s="1168"/>
    </row>
    <row r="217" spans="2:2" s="221" customFormat="1" ht="12.75" x14ac:dyDescent="0.2">
      <c r="B217" s="1168"/>
    </row>
    <row r="218" spans="2:2" s="221" customFormat="1" ht="12.75" x14ac:dyDescent="0.2">
      <c r="B218" s="1168"/>
    </row>
    <row r="219" spans="2:2" s="221" customFormat="1" ht="12.75" x14ac:dyDescent="0.2">
      <c r="B219" s="1168"/>
    </row>
    <row r="220" spans="2:2" s="221" customFormat="1" ht="12.75" x14ac:dyDescent="0.2">
      <c r="B220" s="1168"/>
    </row>
    <row r="221" spans="2:2" s="221" customFormat="1" ht="12.75" x14ac:dyDescent="0.2">
      <c r="B221" s="1168"/>
    </row>
    <row r="222" spans="2:2" s="221" customFormat="1" ht="12.75" x14ac:dyDescent="0.2">
      <c r="B222" s="1168"/>
    </row>
    <row r="223" spans="2:2" s="221" customFormat="1" ht="12.75" x14ac:dyDescent="0.2">
      <c r="B223" s="1168"/>
    </row>
    <row r="224" spans="2:2" s="221" customFormat="1" ht="12.75" x14ac:dyDescent="0.2">
      <c r="B224" s="1168"/>
    </row>
    <row r="225" spans="2:2" s="221" customFormat="1" ht="12.75" x14ac:dyDescent="0.2">
      <c r="B225" s="1168"/>
    </row>
    <row r="226" spans="2:2" s="221" customFormat="1" ht="12.75" x14ac:dyDescent="0.2">
      <c r="B226" s="1168"/>
    </row>
    <row r="227" spans="2:2" s="221" customFormat="1" ht="12.75" x14ac:dyDescent="0.2">
      <c r="B227" s="1168"/>
    </row>
    <row r="228" spans="2:2" s="221" customFormat="1" ht="12.75" x14ac:dyDescent="0.2">
      <c r="B228" s="1168"/>
    </row>
    <row r="229" spans="2:2" s="221" customFormat="1" ht="12.75" x14ac:dyDescent="0.2">
      <c r="B229" s="1168"/>
    </row>
    <row r="230" spans="2:2" s="221" customFormat="1" ht="12.75" x14ac:dyDescent="0.2">
      <c r="B230" s="1168"/>
    </row>
    <row r="231" spans="2:2" s="221" customFormat="1" ht="12.75" x14ac:dyDescent="0.2">
      <c r="B231" s="1168"/>
    </row>
    <row r="232" spans="2:2" s="221" customFormat="1" ht="12.75" x14ac:dyDescent="0.2">
      <c r="B232" s="1168"/>
    </row>
    <row r="233" spans="2:2" s="221" customFormat="1" ht="12.75" x14ac:dyDescent="0.2">
      <c r="B233" s="1168"/>
    </row>
    <row r="234" spans="2:2" s="221" customFormat="1" ht="12.75" x14ac:dyDescent="0.2">
      <c r="B234" s="1168"/>
    </row>
    <row r="235" spans="2:2" s="221" customFormat="1" ht="12.75" x14ac:dyDescent="0.2">
      <c r="B235" s="1168"/>
    </row>
    <row r="236" spans="2:2" s="221" customFormat="1" ht="12.75" x14ac:dyDescent="0.2">
      <c r="B236" s="1168"/>
    </row>
    <row r="237" spans="2:2" s="221" customFormat="1" ht="12.75" x14ac:dyDescent="0.2">
      <c r="B237" s="1168"/>
    </row>
    <row r="238" spans="2:2" s="221" customFormat="1" ht="12.75" x14ac:dyDescent="0.2">
      <c r="B238" s="1168"/>
    </row>
    <row r="239" spans="2:2" s="221" customFormat="1" ht="12.75" x14ac:dyDescent="0.2">
      <c r="B239" s="1168"/>
    </row>
    <row r="240" spans="2:2" s="221" customFormat="1" ht="12.75" x14ac:dyDescent="0.2">
      <c r="B240" s="1168"/>
    </row>
    <row r="241" spans="2:2" s="221" customFormat="1" ht="12.75" x14ac:dyDescent="0.2">
      <c r="B241" s="1168"/>
    </row>
    <row r="242" spans="2:2" s="221" customFormat="1" ht="12.75" x14ac:dyDescent="0.2">
      <c r="B242" s="1168"/>
    </row>
    <row r="243" spans="2:2" s="221" customFormat="1" ht="12.75" x14ac:dyDescent="0.2">
      <c r="B243" s="1168"/>
    </row>
    <row r="244" spans="2:2" s="221" customFormat="1" ht="12.75" x14ac:dyDescent="0.2">
      <c r="B244" s="1168"/>
    </row>
    <row r="245" spans="2:2" s="221" customFormat="1" ht="12.75" x14ac:dyDescent="0.2">
      <c r="B245" s="1168"/>
    </row>
    <row r="246" spans="2:2" s="221" customFormat="1" ht="12.75" x14ac:dyDescent="0.2">
      <c r="B246" s="1168"/>
    </row>
    <row r="247" spans="2:2" s="221" customFormat="1" ht="12.75" x14ac:dyDescent="0.2">
      <c r="B247" s="1168"/>
    </row>
    <row r="248" spans="2:2" s="221" customFormat="1" ht="12.75" x14ac:dyDescent="0.2">
      <c r="B248" s="1168"/>
    </row>
    <row r="249" spans="2:2" s="221" customFormat="1" ht="12.75" x14ac:dyDescent="0.2">
      <c r="B249" s="1168"/>
    </row>
    <row r="250" spans="2:2" s="221" customFormat="1" ht="12.75" x14ac:dyDescent="0.2">
      <c r="B250" s="1168"/>
    </row>
    <row r="251" spans="2:2" s="221" customFormat="1" ht="12.75" x14ac:dyDescent="0.2">
      <c r="B251" s="1168"/>
    </row>
    <row r="252" spans="2:2" s="221" customFormat="1" ht="12.75" x14ac:dyDescent="0.2">
      <c r="B252" s="1168"/>
    </row>
    <row r="253" spans="2:2" s="221" customFormat="1" ht="12.75" x14ac:dyDescent="0.2">
      <c r="B253" s="1168"/>
    </row>
    <row r="254" spans="2:2" s="221" customFormat="1" ht="12.75" x14ac:dyDescent="0.2">
      <c r="B254" s="1168"/>
    </row>
    <row r="255" spans="2:2" s="221" customFormat="1" ht="12.75" x14ac:dyDescent="0.2">
      <c r="B255" s="1168"/>
    </row>
    <row r="256" spans="2:2" s="221" customFormat="1" ht="12.75" x14ac:dyDescent="0.2">
      <c r="B256" s="1168"/>
    </row>
    <row r="257" spans="2:2" s="221" customFormat="1" ht="12.75" x14ac:dyDescent="0.2">
      <c r="B257" s="1168"/>
    </row>
    <row r="258" spans="2:2" s="221" customFormat="1" ht="12.75" x14ac:dyDescent="0.2">
      <c r="B258" s="1168"/>
    </row>
    <row r="259" spans="2:2" s="221" customFormat="1" ht="12.75" x14ac:dyDescent="0.2">
      <c r="B259" s="1168"/>
    </row>
    <row r="260" spans="2:2" s="221" customFormat="1" ht="12.75" x14ac:dyDescent="0.2">
      <c r="B260" s="1168"/>
    </row>
    <row r="261" spans="2:2" s="221" customFormat="1" ht="12.75" x14ac:dyDescent="0.2">
      <c r="B261" s="1168"/>
    </row>
    <row r="262" spans="2:2" s="221" customFormat="1" ht="12.75" x14ac:dyDescent="0.2">
      <c r="B262" s="1168"/>
    </row>
    <row r="263" spans="2:2" s="221" customFormat="1" ht="12.75" x14ac:dyDescent="0.2">
      <c r="B263" s="1168"/>
    </row>
    <row r="264" spans="2:2" s="221" customFormat="1" ht="12.75" x14ac:dyDescent="0.2">
      <c r="B264" s="1168"/>
    </row>
    <row r="265" spans="2:2" s="221" customFormat="1" ht="12.75" x14ac:dyDescent="0.2">
      <c r="B265" s="1168"/>
    </row>
    <row r="266" spans="2:2" s="221" customFormat="1" ht="12.75" x14ac:dyDescent="0.2">
      <c r="B266" s="1168"/>
    </row>
    <row r="267" spans="2:2" s="221" customFormat="1" ht="12.75" x14ac:dyDescent="0.2">
      <c r="B267" s="1168"/>
    </row>
    <row r="268" spans="2:2" s="221" customFormat="1" ht="12.75" x14ac:dyDescent="0.2">
      <c r="B268" s="1168"/>
    </row>
    <row r="269" spans="2:2" s="221" customFormat="1" ht="12.75" x14ac:dyDescent="0.2">
      <c r="B269" s="1168"/>
    </row>
    <row r="270" spans="2:2" s="221" customFormat="1" ht="12.75" x14ac:dyDescent="0.2">
      <c r="B270" s="1168"/>
    </row>
    <row r="271" spans="2:2" s="221" customFormat="1" ht="12.75" x14ac:dyDescent="0.2">
      <c r="B271" s="1168"/>
    </row>
    <row r="272" spans="2:2" s="221" customFormat="1" ht="12.75" x14ac:dyDescent="0.2">
      <c r="B272" s="1168"/>
    </row>
    <row r="273" spans="2:2" s="221" customFormat="1" ht="12.75" x14ac:dyDescent="0.2">
      <c r="B273" s="1168"/>
    </row>
    <row r="274" spans="2:2" s="221" customFormat="1" ht="12.75" x14ac:dyDescent="0.2">
      <c r="B274" s="1168"/>
    </row>
    <row r="275" spans="2:2" s="221" customFormat="1" ht="12.75" x14ac:dyDescent="0.2">
      <c r="B275" s="1168"/>
    </row>
    <row r="276" spans="2:2" s="221" customFormat="1" ht="12.75" x14ac:dyDescent="0.2">
      <c r="B276" s="1168"/>
    </row>
    <row r="277" spans="2:2" s="221" customFormat="1" ht="12.75" x14ac:dyDescent="0.2">
      <c r="B277" s="1168"/>
    </row>
    <row r="278" spans="2:2" s="221" customFormat="1" ht="12.75" x14ac:dyDescent="0.2">
      <c r="B278" s="1168"/>
    </row>
    <row r="279" spans="2:2" s="221" customFormat="1" ht="12.75" x14ac:dyDescent="0.2">
      <c r="B279" s="1168"/>
    </row>
    <row r="280" spans="2:2" s="221" customFormat="1" ht="12.75" x14ac:dyDescent="0.2">
      <c r="B280" s="1168"/>
    </row>
    <row r="281" spans="2:2" s="221" customFormat="1" ht="12.75" x14ac:dyDescent="0.2">
      <c r="B281" s="1168"/>
    </row>
    <row r="282" spans="2:2" s="221" customFormat="1" ht="12.75" x14ac:dyDescent="0.2">
      <c r="B282" s="1168"/>
    </row>
    <row r="283" spans="2:2" s="221" customFormat="1" ht="12.75" x14ac:dyDescent="0.2">
      <c r="B283" s="1168"/>
    </row>
    <row r="284" spans="2:2" s="221" customFormat="1" ht="12.75" x14ac:dyDescent="0.2">
      <c r="B284" s="1168"/>
    </row>
    <row r="285" spans="2:2" s="221" customFormat="1" ht="12.75" x14ac:dyDescent="0.2">
      <c r="B285" s="1168"/>
    </row>
    <row r="286" spans="2:2" s="221" customFormat="1" ht="12.75" x14ac:dyDescent="0.2">
      <c r="B286" s="1168"/>
    </row>
    <row r="287" spans="2:2" s="221" customFormat="1" ht="12.75" x14ac:dyDescent="0.2">
      <c r="B287" s="1168"/>
    </row>
    <row r="288" spans="2:2" s="221" customFormat="1" ht="12.75" x14ac:dyDescent="0.2">
      <c r="B288" s="1168"/>
    </row>
    <row r="289" spans="2:2" s="221" customFormat="1" ht="12.75" x14ac:dyDescent="0.2">
      <c r="B289" s="1168"/>
    </row>
    <row r="290" spans="2:2" s="221" customFormat="1" ht="12.75" x14ac:dyDescent="0.2">
      <c r="B290" s="1168"/>
    </row>
    <row r="291" spans="2:2" s="221" customFormat="1" ht="12.75" x14ac:dyDescent="0.2">
      <c r="B291" s="1168"/>
    </row>
    <row r="292" spans="2:2" s="221" customFormat="1" ht="12.75" x14ac:dyDescent="0.2">
      <c r="B292" s="1168"/>
    </row>
    <row r="293" spans="2:2" s="221" customFormat="1" ht="12.75" x14ac:dyDescent="0.2">
      <c r="B293" s="1168"/>
    </row>
    <row r="294" spans="2:2" s="221" customFormat="1" ht="12.75" x14ac:dyDescent="0.2">
      <c r="B294" s="1168"/>
    </row>
    <row r="295" spans="2:2" s="221" customFormat="1" ht="12.75" x14ac:dyDescent="0.2">
      <c r="B295" s="1168"/>
    </row>
    <row r="296" spans="2:2" s="221" customFormat="1" ht="12.75" x14ac:dyDescent="0.2">
      <c r="B296" s="1168"/>
    </row>
    <row r="297" spans="2:2" s="221" customFormat="1" ht="12.75" x14ac:dyDescent="0.2">
      <c r="B297" s="1168"/>
    </row>
    <row r="298" spans="2:2" s="221" customFormat="1" ht="12.75" x14ac:dyDescent="0.2">
      <c r="B298" s="1168"/>
    </row>
    <row r="299" spans="2:2" s="221" customFormat="1" ht="12.75" x14ac:dyDescent="0.2">
      <c r="B299" s="1168"/>
    </row>
    <row r="300" spans="2:2" s="221" customFormat="1" ht="12.75" x14ac:dyDescent="0.2">
      <c r="B300" s="1168"/>
    </row>
    <row r="301" spans="2:2" s="221" customFormat="1" ht="12.75" x14ac:dyDescent="0.2">
      <c r="B301" s="1168"/>
    </row>
    <row r="302" spans="2:2" s="221" customFormat="1" ht="12.75" x14ac:dyDescent="0.2">
      <c r="B302" s="1168"/>
    </row>
    <row r="303" spans="2:2" s="221" customFormat="1" ht="12.75" x14ac:dyDescent="0.2">
      <c r="B303" s="1168"/>
    </row>
    <row r="304" spans="2:2" s="221" customFormat="1" ht="12.75" x14ac:dyDescent="0.2">
      <c r="B304" s="1168"/>
    </row>
    <row r="305" spans="2:2" s="221" customFormat="1" ht="12.75" x14ac:dyDescent="0.2">
      <c r="B305" s="1168"/>
    </row>
    <row r="306" spans="2:2" s="221" customFormat="1" ht="12.75" x14ac:dyDescent="0.2">
      <c r="B306" s="1168"/>
    </row>
    <row r="307" spans="2:2" s="221" customFormat="1" ht="12.75" x14ac:dyDescent="0.2">
      <c r="B307" s="1168"/>
    </row>
    <row r="308" spans="2:2" s="221" customFormat="1" ht="12.75" x14ac:dyDescent="0.2">
      <c r="B308" s="1168"/>
    </row>
    <row r="309" spans="2:2" s="221" customFormat="1" ht="12.75" x14ac:dyDescent="0.2">
      <c r="B309" s="1168"/>
    </row>
    <row r="310" spans="2:2" s="221" customFormat="1" ht="12.75" x14ac:dyDescent="0.2">
      <c r="B310" s="1168"/>
    </row>
    <row r="311" spans="2:2" s="221" customFormat="1" ht="12.75" x14ac:dyDescent="0.2">
      <c r="B311" s="1168"/>
    </row>
    <row r="312" spans="2:2" s="221" customFormat="1" ht="12.75" x14ac:dyDescent="0.2">
      <c r="B312" s="1168"/>
    </row>
    <row r="313" spans="2:2" s="221" customFormat="1" ht="12.75" x14ac:dyDescent="0.2">
      <c r="B313" s="1168"/>
    </row>
    <row r="314" spans="2:2" s="221" customFormat="1" ht="12.75" x14ac:dyDescent="0.2">
      <c r="B314" s="1168"/>
    </row>
    <row r="315" spans="2:2" s="221" customFormat="1" ht="12.75" x14ac:dyDescent="0.2">
      <c r="B315" s="1168"/>
    </row>
    <row r="316" spans="2:2" s="221" customFormat="1" ht="12.75" x14ac:dyDescent="0.2">
      <c r="B316" s="1168"/>
    </row>
    <row r="317" spans="2:2" s="221" customFormat="1" ht="12.75" x14ac:dyDescent="0.2">
      <c r="B317" s="1168"/>
    </row>
    <row r="318" spans="2:2" s="221" customFormat="1" ht="12.75" x14ac:dyDescent="0.2">
      <c r="B318" s="1168"/>
    </row>
    <row r="319" spans="2:2" s="221" customFormat="1" ht="12.75" x14ac:dyDescent="0.2">
      <c r="B319" s="1168"/>
    </row>
    <row r="320" spans="2:2" s="221" customFormat="1" ht="12.75" x14ac:dyDescent="0.2">
      <c r="B320" s="1168"/>
    </row>
    <row r="321" spans="2:2" s="221" customFormat="1" ht="12.75" x14ac:dyDescent="0.2">
      <c r="B321" s="1168"/>
    </row>
    <row r="322" spans="2:2" s="221" customFormat="1" ht="12.75" x14ac:dyDescent="0.2">
      <c r="B322" s="1168"/>
    </row>
    <row r="323" spans="2:2" s="221" customFormat="1" ht="12.75" x14ac:dyDescent="0.2">
      <c r="B323" s="1168"/>
    </row>
    <row r="324" spans="2:2" s="221" customFormat="1" ht="12.75" x14ac:dyDescent="0.2">
      <c r="B324" s="1168"/>
    </row>
    <row r="325" spans="2:2" s="221" customFormat="1" ht="12.75" x14ac:dyDescent="0.2">
      <c r="B325" s="1168"/>
    </row>
    <row r="326" spans="2:2" s="221" customFormat="1" ht="12.75" x14ac:dyDescent="0.2">
      <c r="B326" s="1168"/>
    </row>
    <row r="327" spans="2:2" s="221" customFormat="1" ht="12.75" x14ac:dyDescent="0.2">
      <c r="B327" s="1168"/>
    </row>
    <row r="328" spans="2:2" s="221" customFormat="1" ht="12.75" x14ac:dyDescent="0.2">
      <c r="B328" s="1168"/>
    </row>
    <row r="329" spans="2:2" s="221" customFormat="1" ht="12.75" x14ac:dyDescent="0.2">
      <c r="B329" s="1168"/>
    </row>
    <row r="330" spans="2:2" s="221" customFormat="1" ht="12.75" x14ac:dyDescent="0.2">
      <c r="B330" s="1168"/>
    </row>
    <row r="331" spans="2:2" s="221" customFormat="1" ht="12.75" x14ac:dyDescent="0.2">
      <c r="B331" s="1168"/>
    </row>
    <row r="332" spans="2:2" s="221" customFormat="1" ht="12.75" x14ac:dyDescent="0.2">
      <c r="B332" s="1168"/>
    </row>
    <row r="333" spans="2:2" s="221" customFormat="1" ht="12.75" x14ac:dyDescent="0.2">
      <c r="B333" s="1168"/>
    </row>
    <row r="334" spans="2:2" s="221" customFormat="1" ht="12.75" x14ac:dyDescent="0.2">
      <c r="B334" s="1168"/>
    </row>
    <row r="335" spans="2:2" s="221" customFormat="1" ht="12.75" x14ac:dyDescent="0.2">
      <c r="B335" s="1168"/>
    </row>
    <row r="336" spans="2:2" s="221" customFormat="1" ht="12.75" x14ac:dyDescent="0.2">
      <c r="B336" s="1168"/>
    </row>
    <row r="337" spans="2:2" s="221" customFormat="1" ht="12.75" x14ac:dyDescent="0.2">
      <c r="B337" s="1168"/>
    </row>
    <row r="338" spans="2:2" s="221" customFormat="1" ht="12.75" x14ac:dyDescent="0.2">
      <c r="B338" s="1168"/>
    </row>
    <row r="339" spans="2:2" s="221" customFormat="1" ht="12.75" x14ac:dyDescent="0.2">
      <c r="B339" s="1168"/>
    </row>
    <row r="340" spans="2:2" s="221" customFormat="1" ht="12.75" x14ac:dyDescent="0.2">
      <c r="B340" s="1168"/>
    </row>
    <row r="341" spans="2:2" s="221" customFormat="1" ht="12.75" x14ac:dyDescent="0.2">
      <c r="B341" s="1168"/>
    </row>
    <row r="342" spans="2:2" s="221" customFormat="1" ht="12.75" x14ac:dyDescent="0.2">
      <c r="B342" s="1168"/>
    </row>
    <row r="343" spans="2:2" s="221" customFormat="1" ht="12.75" x14ac:dyDescent="0.2">
      <c r="B343" s="1168"/>
    </row>
    <row r="344" spans="2:2" s="221" customFormat="1" ht="12.75" x14ac:dyDescent="0.2">
      <c r="B344" s="1168"/>
    </row>
    <row r="345" spans="2:2" s="221" customFormat="1" ht="12.75" x14ac:dyDescent="0.2">
      <c r="B345" s="1168"/>
    </row>
    <row r="346" spans="2:2" s="221" customFormat="1" ht="12.75" x14ac:dyDescent="0.2">
      <c r="B346" s="1168"/>
    </row>
    <row r="347" spans="2:2" s="221" customFormat="1" ht="12.75" x14ac:dyDescent="0.2">
      <c r="B347" s="1168"/>
    </row>
    <row r="348" spans="2:2" s="221" customFormat="1" ht="12.75" x14ac:dyDescent="0.2">
      <c r="B348" s="1168"/>
    </row>
    <row r="349" spans="2:2" s="221" customFormat="1" ht="12.75" x14ac:dyDescent="0.2">
      <c r="B349" s="1168"/>
    </row>
    <row r="350" spans="2:2" s="221" customFormat="1" ht="12.75" x14ac:dyDescent="0.2">
      <c r="B350" s="1168"/>
    </row>
    <row r="351" spans="2:2" s="221" customFormat="1" ht="12.75" x14ac:dyDescent="0.2">
      <c r="B351" s="1168"/>
    </row>
    <row r="352" spans="2:2" s="221" customFormat="1" ht="12.75" x14ac:dyDescent="0.2">
      <c r="B352" s="1168"/>
    </row>
    <row r="353" spans="2:2" s="221" customFormat="1" ht="12.75" x14ac:dyDescent="0.2">
      <c r="B353" s="1168"/>
    </row>
    <row r="354" spans="2:2" s="221" customFormat="1" ht="12.75" x14ac:dyDescent="0.2">
      <c r="B354" s="1168"/>
    </row>
    <row r="355" spans="2:2" s="221" customFormat="1" ht="12.75" x14ac:dyDescent="0.2">
      <c r="B355" s="1168"/>
    </row>
    <row r="356" spans="2:2" s="221" customFormat="1" ht="12.75" x14ac:dyDescent="0.2">
      <c r="B356" s="1168"/>
    </row>
    <row r="357" spans="2:2" s="221" customFormat="1" ht="12.75" x14ac:dyDescent="0.2">
      <c r="B357" s="1168"/>
    </row>
    <row r="358" spans="2:2" s="221" customFormat="1" ht="12.75" x14ac:dyDescent="0.2">
      <c r="B358" s="1168"/>
    </row>
    <row r="359" spans="2:2" s="221" customFormat="1" ht="12.75" x14ac:dyDescent="0.2">
      <c r="B359" s="1168"/>
    </row>
    <row r="360" spans="2:2" s="221" customFormat="1" ht="12.75" x14ac:dyDescent="0.2">
      <c r="B360" s="1168"/>
    </row>
    <row r="361" spans="2:2" s="221" customFormat="1" ht="12.75" x14ac:dyDescent="0.2">
      <c r="B361" s="1168"/>
    </row>
    <row r="362" spans="2:2" s="221" customFormat="1" ht="12.75" x14ac:dyDescent="0.2">
      <c r="B362" s="1168"/>
    </row>
    <row r="363" spans="2:2" s="221" customFormat="1" ht="12.75" x14ac:dyDescent="0.2">
      <c r="B363" s="1168"/>
    </row>
    <row r="364" spans="2:2" s="221" customFormat="1" ht="12.75" x14ac:dyDescent="0.2">
      <c r="B364" s="1168"/>
    </row>
    <row r="365" spans="2:2" s="221" customFormat="1" ht="12.75" x14ac:dyDescent="0.2">
      <c r="B365" s="1168"/>
    </row>
    <row r="366" spans="2:2" s="221" customFormat="1" ht="12.75" x14ac:dyDescent="0.2">
      <c r="B366" s="1168"/>
    </row>
    <row r="367" spans="2:2" s="221" customFormat="1" ht="12.75" x14ac:dyDescent="0.2">
      <c r="B367" s="1168"/>
    </row>
    <row r="368" spans="2:2" s="221" customFormat="1" ht="12.75" x14ac:dyDescent="0.2">
      <c r="B368" s="1168"/>
    </row>
    <row r="369" spans="2:2" s="221" customFormat="1" ht="12.75" x14ac:dyDescent="0.2">
      <c r="B369" s="1168"/>
    </row>
    <row r="370" spans="2:2" s="221" customFormat="1" ht="12.75" x14ac:dyDescent="0.2">
      <c r="B370" s="1168"/>
    </row>
    <row r="371" spans="2:2" s="221" customFormat="1" ht="12.75" x14ac:dyDescent="0.2">
      <c r="B371" s="1168"/>
    </row>
    <row r="372" spans="2:2" s="221" customFormat="1" ht="12.75" x14ac:dyDescent="0.2">
      <c r="B372" s="1168"/>
    </row>
    <row r="373" spans="2:2" s="221" customFormat="1" ht="12.75" x14ac:dyDescent="0.2">
      <c r="B373" s="1168"/>
    </row>
    <row r="374" spans="2:2" s="221" customFormat="1" ht="12.75" x14ac:dyDescent="0.2">
      <c r="B374" s="1168"/>
    </row>
    <row r="375" spans="2:2" s="221" customFormat="1" ht="12.75" x14ac:dyDescent="0.2">
      <c r="B375" s="1168"/>
    </row>
    <row r="376" spans="2:2" s="221" customFormat="1" ht="12.75" x14ac:dyDescent="0.2">
      <c r="B376" s="1168"/>
    </row>
    <row r="377" spans="2:2" s="221" customFormat="1" ht="12.75" x14ac:dyDescent="0.2">
      <c r="B377" s="1168"/>
    </row>
    <row r="378" spans="2:2" s="221" customFormat="1" ht="12.75" x14ac:dyDescent="0.2">
      <c r="B378" s="1168"/>
    </row>
    <row r="379" spans="2:2" s="221" customFormat="1" ht="12.75" x14ac:dyDescent="0.2">
      <c r="B379" s="1168"/>
    </row>
    <row r="380" spans="2:2" s="221" customFormat="1" ht="12.75" x14ac:dyDescent="0.2">
      <c r="B380" s="1168"/>
    </row>
    <row r="381" spans="2:2" s="221" customFormat="1" ht="12.75" x14ac:dyDescent="0.2">
      <c r="B381" s="1168"/>
    </row>
    <row r="382" spans="2:2" s="221" customFormat="1" ht="12.75" x14ac:dyDescent="0.2">
      <c r="B382" s="1168"/>
    </row>
    <row r="383" spans="2:2" s="221" customFormat="1" ht="12.75" x14ac:dyDescent="0.2">
      <c r="B383" s="1168"/>
    </row>
    <row r="384" spans="2:2" s="221" customFormat="1" ht="12.75" x14ac:dyDescent="0.2">
      <c r="B384" s="1168"/>
    </row>
    <row r="385" spans="2:2" s="221" customFormat="1" ht="12.75" x14ac:dyDescent="0.2">
      <c r="B385" s="1168"/>
    </row>
    <row r="386" spans="2:2" s="221" customFormat="1" ht="12.75" x14ac:dyDescent="0.2">
      <c r="B386" s="1168"/>
    </row>
    <row r="387" spans="2:2" s="221" customFormat="1" ht="12.75" x14ac:dyDescent="0.2">
      <c r="B387" s="1168"/>
    </row>
    <row r="388" spans="2:2" s="221" customFormat="1" ht="12.75" x14ac:dyDescent="0.2">
      <c r="B388" s="1168"/>
    </row>
    <row r="389" spans="2:2" s="221" customFormat="1" ht="12.75" x14ac:dyDescent="0.2">
      <c r="B389" s="1168"/>
    </row>
    <row r="390" spans="2:2" s="221" customFormat="1" ht="12.75" x14ac:dyDescent="0.2">
      <c r="B390" s="1168"/>
    </row>
    <row r="391" spans="2:2" s="221" customFormat="1" ht="12.75" x14ac:dyDescent="0.2">
      <c r="B391" s="1168"/>
    </row>
    <row r="392" spans="2:2" s="221" customFormat="1" ht="12.75" x14ac:dyDescent="0.2">
      <c r="B392" s="1168"/>
    </row>
    <row r="393" spans="2:2" s="221" customFormat="1" ht="12.75" x14ac:dyDescent="0.2">
      <c r="B393" s="1168"/>
    </row>
    <row r="394" spans="2:2" s="221" customFormat="1" ht="12.75" x14ac:dyDescent="0.2">
      <c r="B394" s="1168"/>
    </row>
    <row r="395" spans="2:2" s="221" customFormat="1" ht="12.75" x14ac:dyDescent="0.2">
      <c r="B395" s="1168"/>
    </row>
    <row r="396" spans="2:2" s="221" customFormat="1" ht="12.75" x14ac:dyDescent="0.2">
      <c r="B396" s="1168"/>
    </row>
    <row r="397" spans="2:2" s="221" customFormat="1" ht="12.75" x14ac:dyDescent="0.2">
      <c r="B397" s="1168"/>
    </row>
    <row r="398" spans="2:2" s="221" customFormat="1" ht="12.75" x14ac:dyDescent="0.2">
      <c r="B398" s="1168"/>
    </row>
    <row r="399" spans="2:2" s="221" customFormat="1" ht="12.75" x14ac:dyDescent="0.2">
      <c r="B399" s="1168"/>
    </row>
    <row r="400" spans="2:2" s="221" customFormat="1" ht="12.75" x14ac:dyDescent="0.2">
      <c r="B400" s="1168"/>
    </row>
    <row r="401" spans="2:2" s="221" customFormat="1" ht="12.75" x14ac:dyDescent="0.2">
      <c r="B401" s="1168"/>
    </row>
    <row r="402" spans="2:2" s="221" customFormat="1" ht="12.75" x14ac:dyDescent="0.2">
      <c r="B402" s="1168"/>
    </row>
    <row r="403" spans="2:2" s="221" customFormat="1" ht="12.75" x14ac:dyDescent="0.2">
      <c r="B403" s="1168"/>
    </row>
    <row r="404" spans="2:2" s="221" customFormat="1" ht="12.75" x14ac:dyDescent="0.2">
      <c r="B404" s="1168"/>
    </row>
    <row r="405" spans="2:2" s="221" customFormat="1" ht="12.75" x14ac:dyDescent="0.2">
      <c r="B405" s="1168"/>
    </row>
    <row r="406" spans="2:2" s="221" customFormat="1" ht="12.75" x14ac:dyDescent="0.2">
      <c r="B406" s="1168"/>
    </row>
    <row r="407" spans="2:2" s="221" customFormat="1" ht="12.75" x14ac:dyDescent="0.2">
      <c r="B407" s="1168"/>
    </row>
    <row r="408" spans="2:2" s="221" customFormat="1" ht="12.75" x14ac:dyDescent="0.2">
      <c r="B408" s="1168"/>
    </row>
    <row r="409" spans="2:2" s="221" customFormat="1" ht="12.75" x14ac:dyDescent="0.2">
      <c r="B409" s="1168"/>
    </row>
    <row r="410" spans="2:2" s="221" customFormat="1" ht="12.75" x14ac:dyDescent="0.2">
      <c r="B410" s="1168"/>
    </row>
    <row r="411" spans="2:2" s="221" customFormat="1" ht="12.75" x14ac:dyDescent="0.2">
      <c r="B411" s="1168"/>
    </row>
    <row r="412" spans="2:2" s="221" customFormat="1" ht="12.75" x14ac:dyDescent="0.2">
      <c r="B412" s="1168"/>
    </row>
    <row r="413" spans="2:2" s="221" customFormat="1" ht="12.75" x14ac:dyDescent="0.2">
      <c r="B413" s="1168"/>
    </row>
    <row r="414" spans="2:2" s="221" customFormat="1" ht="12.75" x14ac:dyDescent="0.2">
      <c r="B414" s="1168"/>
    </row>
    <row r="415" spans="2:2" s="221" customFormat="1" ht="12.75" x14ac:dyDescent="0.2">
      <c r="B415" s="1168"/>
    </row>
    <row r="416" spans="2:2" s="221" customFormat="1" ht="12.75" x14ac:dyDescent="0.2">
      <c r="B416" s="1168"/>
    </row>
    <row r="417" spans="2:2" s="221" customFormat="1" ht="12.75" x14ac:dyDescent="0.2">
      <c r="B417" s="1168"/>
    </row>
    <row r="418" spans="2:2" s="221" customFormat="1" ht="12.75" x14ac:dyDescent="0.2">
      <c r="B418" s="1168"/>
    </row>
    <row r="419" spans="2:2" s="221" customFormat="1" ht="12.75" x14ac:dyDescent="0.2">
      <c r="B419" s="1168"/>
    </row>
    <row r="420" spans="2:2" s="221" customFormat="1" ht="12.75" x14ac:dyDescent="0.2">
      <c r="B420" s="1168"/>
    </row>
    <row r="421" spans="2:2" s="221" customFormat="1" ht="12.75" x14ac:dyDescent="0.2">
      <c r="B421" s="1168"/>
    </row>
    <row r="422" spans="2:2" s="221" customFormat="1" ht="12.75" x14ac:dyDescent="0.2">
      <c r="B422" s="1168"/>
    </row>
    <row r="423" spans="2:2" s="221" customFormat="1" ht="12.75" x14ac:dyDescent="0.2">
      <c r="B423" s="1168"/>
    </row>
    <row r="424" spans="2:2" s="221" customFormat="1" ht="12.75" x14ac:dyDescent="0.2">
      <c r="B424" s="1168"/>
    </row>
    <row r="425" spans="2:2" s="221" customFormat="1" ht="12.75" x14ac:dyDescent="0.2">
      <c r="B425" s="1168"/>
    </row>
    <row r="426" spans="2:2" s="221" customFormat="1" ht="12.75" x14ac:dyDescent="0.2">
      <c r="B426" s="1168"/>
    </row>
    <row r="427" spans="2:2" s="221" customFormat="1" ht="12.75" x14ac:dyDescent="0.2">
      <c r="B427" s="1168"/>
    </row>
    <row r="428" spans="2:2" s="221" customFormat="1" ht="12.75" x14ac:dyDescent="0.2">
      <c r="B428" s="1168"/>
    </row>
    <row r="429" spans="2:2" s="221" customFormat="1" ht="12.75" x14ac:dyDescent="0.2">
      <c r="B429" s="1168"/>
    </row>
    <row r="430" spans="2:2" s="221" customFormat="1" ht="12.75" x14ac:dyDescent="0.2">
      <c r="B430" s="1168"/>
    </row>
    <row r="431" spans="2:2" s="221" customFormat="1" ht="12.75" x14ac:dyDescent="0.2">
      <c r="B431" s="1168"/>
    </row>
    <row r="432" spans="2:2" s="221" customFormat="1" ht="12.75" x14ac:dyDescent="0.2">
      <c r="B432" s="1168"/>
    </row>
    <row r="433" spans="2:2" s="221" customFormat="1" ht="12.75" x14ac:dyDescent="0.2">
      <c r="B433" s="1168"/>
    </row>
    <row r="434" spans="2:2" s="221" customFormat="1" ht="12.75" x14ac:dyDescent="0.2">
      <c r="B434" s="1168"/>
    </row>
    <row r="435" spans="2:2" s="221" customFormat="1" ht="12.75" x14ac:dyDescent="0.2">
      <c r="B435" s="1168"/>
    </row>
    <row r="436" spans="2:2" s="221" customFormat="1" ht="12.75" x14ac:dyDescent="0.2">
      <c r="B436" s="1168"/>
    </row>
    <row r="437" spans="2:2" s="221" customFormat="1" ht="12.75" x14ac:dyDescent="0.2">
      <c r="B437" s="1168"/>
    </row>
    <row r="438" spans="2:2" s="221" customFormat="1" ht="12.75" x14ac:dyDescent="0.2">
      <c r="B438" s="1168"/>
    </row>
    <row r="439" spans="2:2" s="221" customFormat="1" ht="12.75" x14ac:dyDescent="0.2">
      <c r="B439" s="1168"/>
    </row>
    <row r="440" spans="2:2" s="221" customFormat="1" ht="12.75" x14ac:dyDescent="0.2">
      <c r="B440" s="1168"/>
    </row>
    <row r="441" spans="2:2" s="221" customFormat="1" ht="12.75" x14ac:dyDescent="0.2">
      <c r="B441" s="1168"/>
    </row>
    <row r="442" spans="2:2" s="221" customFormat="1" ht="12.75" x14ac:dyDescent="0.2">
      <c r="B442" s="1168"/>
    </row>
    <row r="443" spans="2:2" s="221" customFormat="1" ht="12.75" x14ac:dyDescent="0.2">
      <c r="B443" s="1168"/>
    </row>
    <row r="444" spans="2:2" s="221" customFormat="1" ht="12.75" x14ac:dyDescent="0.2">
      <c r="B444" s="1168"/>
    </row>
    <row r="445" spans="2:2" s="221" customFormat="1" ht="12.75" x14ac:dyDescent="0.2">
      <c r="B445" s="1168"/>
    </row>
    <row r="446" spans="2:2" s="221" customFormat="1" ht="12.75" x14ac:dyDescent="0.2">
      <c r="B446" s="1168"/>
    </row>
    <row r="447" spans="2:2" s="221" customFormat="1" ht="12.75" x14ac:dyDescent="0.2">
      <c r="B447" s="1168"/>
    </row>
    <row r="448" spans="2:2" s="221" customFormat="1" ht="12.75" x14ac:dyDescent="0.2">
      <c r="B448" s="1168"/>
    </row>
    <row r="449" spans="2:2" s="221" customFormat="1" ht="12.75" x14ac:dyDescent="0.2">
      <c r="B449" s="1168"/>
    </row>
    <row r="450" spans="2:2" s="221" customFormat="1" ht="12.75" x14ac:dyDescent="0.2">
      <c r="B450" s="1168"/>
    </row>
    <row r="451" spans="2:2" s="221" customFormat="1" ht="12.75" x14ac:dyDescent="0.2">
      <c r="B451" s="1168"/>
    </row>
    <row r="452" spans="2:2" s="221" customFormat="1" ht="12.75" x14ac:dyDescent="0.2">
      <c r="B452" s="1168"/>
    </row>
    <row r="453" spans="2:2" s="221" customFormat="1" ht="12.75" x14ac:dyDescent="0.2">
      <c r="B453" s="1168"/>
    </row>
    <row r="454" spans="2:2" s="221" customFormat="1" ht="12.75" x14ac:dyDescent="0.2">
      <c r="B454" s="1168"/>
    </row>
    <row r="455" spans="2:2" s="221" customFormat="1" ht="12.75" x14ac:dyDescent="0.2">
      <c r="B455" s="1168"/>
    </row>
    <row r="456" spans="2:2" s="221" customFormat="1" ht="12.75" x14ac:dyDescent="0.2">
      <c r="B456" s="1168"/>
    </row>
    <row r="457" spans="2:2" s="221" customFormat="1" ht="12.75" x14ac:dyDescent="0.2">
      <c r="B457" s="1168"/>
    </row>
    <row r="458" spans="2:2" s="221" customFormat="1" ht="12.75" x14ac:dyDescent="0.2">
      <c r="B458" s="1168"/>
    </row>
    <row r="459" spans="2:2" s="221" customFormat="1" ht="12.75" x14ac:dyDescent="0.2">
      <c r="B459" s="1168"/>
    </row>
    <row r="460" spans="2:2" s="221" customFormat="1" ht="12.75" x14ac:dyDescent="0.2">
      <c r="B460" s="1168"/>
    </row>
    <row r="461" spans="2:2" s="221" customFormat="1" ht="12.75" x14ac:dyDescent="0.2">
      <c r="B461" s="1168"/>
    </row>
    <row r="462" spans="2:2" s="221" customFormat="1" ht="12.75" x14ac:dyDescent="0.2">
      <c r="B462" s="1168"/>
    </row>
    <row r="463" spans="2:2" s="221" customFormat="1" ht="12.75" x14ac:dyDescent="0.2">
      <c r="B463" s="1168"/>
    </row>
    <row r="464" spans="2:2" s="221" customFormat="1" ht="12.75" x14ac:dyDescent="0.2">
      <c r="B464" s="1168"/>
    </row>
    <row r="465" spans="2:2" s="221" customFormat="1" ht="12.75" x14ac:dyDescent="0.2">
      <c r="B465" s="1168"/>
    </row>
    <row r="466" spans="2:2" s="221" customFormat="1" ht="12.75" x14ac:dyDescent="0.2">
      <c r="B466" s="1168"/>
    </row>
    <row r="467" spans="2:2" s="221" customFormat="1" ht="12.75" x14ac:dyDescent="0.2">
      <c r="B467" s="1168"/>
    </row>
    <row r="468" spans="2:2" s="221" customFormat="1" ht="12.75" x14ac:dyDescent="0.2">
      <c r="B468" s="1168"/>
    </row>
    <row r="469" spans="2:2" s="221" customFormat="1" ht="12.75" x14ac:dyDescent="0.2">
      <c r="B469" s="1168"/>
    </row>
    <row r="470" spans="2:2" s="221" customFormat="1" ht="12.75" x14ac:dyDescent="0.2">
      <c r="B470" s="1168"/>
    </row>
    <row r="471" spans="2:2" s="221" customFormat="1" ht="12.75" x14ac:dyDescent="0.2">
      <c r="B471" s="1168"/>
    </row>
    <row r="472" spans="2:2" s="221" customFormat="1" ht="12.75" x14ac:dyDescent="0.2">
      <c r="B472" s="1168"/>
    </row>
    <row r="473" spans="2:2" s="221" customFormat="1" ht="12.75" x14ac:dyDescent="0.2">
      <c r="B473" s="1168"/>
    </row>
    <row r="474" spans="2:2" s="221" customFormat="1" ht="12.75" x14ac:dyDescent="0.2">
      <c r="B474" s="1168"/>
    </row>
    <row r="475" spans="2:2" s="221" customFormat="1" ht="12.75" x14ac:dyDescent="0.2">
      <c r="B475" s="1168"/>
    </row>
    <row r="476" spans="2:2" s="221" customFormat="1" ht="12.75" x14ac:dyDescent="0.2">
      <c r="B476" s="1168"/>
    </row>
    <row r="477" spans="2:2" s="221" customFormat="1" ht="12.75" x14ac:dyDescent="0.2">
      <c r="B477" s="1168"/>
    </row>
    <row r="478" spans="2:2" s="221" customFormat="1" ht="12.75" x14ac:dyDescent="0.2">
      <c r="B478" s="1168"/>
    </row>
    <row r="479" spans="2:2" s="221" customFormat="1" ht="12.75" x14ac:dyDescent="0.2">
      <c r="B479" s="1168"/>
    </row>
    <row r="480" spans="2:2" s="221" customFormat="1" ht="12.75" x14ac:dyDescent="0.2">
      <c r="B480" s="1168"/>
    </row>
    <row r="481" spans="2:2" s="221" customFormat="1" ht="12.75" x14ac:dyDescent="0.2">
      <c r="B481" s="1168"/>
    </row>
    <row r="482" spans="2:2" s="221" customFormat="1" ht="12.75" x14ac:dyDescent="0.2">
      <c r="B482" s="1168"/>
    </row>
    <row r="483" spans="2:2" s="221" customFormat="1" ht="12.75" x14ac:dyDescent="0.2">
      <c r="B483" s="1168"/>
    </row>
    <row r="484" spans="2:2" s="221" customFormat="1" ht="12.75" x14ac:dyDescent="0.2">
      <c r="B484" s="1168"/>
    </row>
    <row r="485" spans="2:2" s="221" customFormat="1" ht="12.75" x14ac:dyDescent="0.2">
      <c r="B485" s="1168"/>
    </row>
    <row r="486" spans="2:2" s="221" customFormat="1" ht="12.75" x14ac:dyDescent="0.2">
      <c r="B486" s="1168"/>
    </row>
    <row r="487" spans="2:2" s="221" customFormat="1" ht="12.75" x14ac:dyDescent="0.2">
      <c r="B487" s="1168"/>
    </row>
    <row r="488" spans="2:2" s="221" customFormat="1" ht="12.75" x14ac:dyDescent="0.2">
      <c r="B488" s="1168"/>
    </row>
    <row r="489" spans="2:2" s="221" customFormat="1" ht="12.75" x14ac:dyDescent="0.2">
      <c r="B489" s="1168"/>
    </row>
    <row r="490" spans="2:2" s="221" customFormat="1" ht="12.75" x14ac:dyDescent="0.2">
      <c r="B490" s="1168"/>
    </row>
    <row r="491" spans="2:2" s="221" customFormat="1" ht="12.75" x14ac:dyDescent="0.2">
      <c r="B491" s="1168"/>
    </row>
    <row r="492" spans="2:2" s="221" customFormat="1" ht="12.75" x14ac:dyDescent="0.2">
      <c r="B492" s="1168"/>
    </row>
    <row r="493" spans="2:2" s="221" customFormat="1" ht="12.75" x14ac:dyDescent="0.2">
      <c r="B493" s="1168"/>
    </row>
    <row r="494" spans="2:2" s="221" customFormat="1" ht="12.75" x14ac:dyDescent="0.2">
      <c r="B494" s="1168"/>
    </row>
    <row r="495" spans="2:2" s="221" customFormat="1" ht="12.75" x14ac:dyDescent="0.2">
      <c r="B495" s="1168"/>
    </row>
    <row r="496" spans="2:2" s="221" customFormat="1" ht="12.75" x14ac:dyDescent="0.2">
      <c r="B496" s="1168"/>
    </row>
    <row r="497" spans="2:2" s="221" customFormat="1" ht="12.75" x14ac:dyDescent="0.2">
      <c r="B497" s="1168"/>
    </row>
    <row r="498" spans="2:2" s="221" customFormat="1" ht="12.75" x14ac:dyDescent="0.2">
      <c r="B498" s="1168"/>
    </row>
    <row r="499" spans="2:2" s="221" customFormat="1" ht="12.75" x14ac:dyDescent="0.2">
      <c r="B499" s="1168"/>
    </row>
    <row r="500" spans="2:2" s="221" customFormat="1" ht="12.75" x14ac:dyDescent="0.2">
      <c r="B500" s="1168"/>
    </row>
    <row r="501" spans="2:2" s="221" customFormat="1" ht="12.75" x14ac:dyDescent="0.2">
      <c r="B501" s="1168"/>
    </row>
    <row r="502" spans="2:2" s="221" customFormat="1" ht="12.75" x14ac:dyDescent="0.2">
      <c r="B502" s="1168"/>
    </row>
    <row r="503" spans="2:2" s="221" customFormat="1" ht="12.75" x14ac:dyDescent="0.2">
      <c r="B503" s="1168"/>
    </row>
    <row r="504" spans="2:2" s="221" customFormat="1" ht="12.75" x14ac:dyDescent="0.2">
      <c r="B504" s="1168"/>
    </row>
    <row r="505" spans="2:2" s="221" customFormat="1" ht="12.75" x14ac:dyDescent="0.2">
      <c r="B505" s="1168"/>
    </row>
    <row r="506" spans="2:2" s="221" customFormat="1" ht="12.75" x14ac:dyDescent="0.2">
      <c r="B506" s="1168"/>
    </row>
    <row r="507" spans="2:2" s="221" customFormat="1" ht="12.75" x14ac:dyDescent="0.2">
      <c r="B507" s="1168"/>
    </row>
    <row r="508" spans="2:2" s="221" customFormat="1" ht="12.75" x14ac:dyDescent="0.2">
      <c r="B508" s="1168"/>
    </row>
    <row r="509" spans="2:2" s="221" customFormat="1" ht="12.75" x14ac:dyDescent="0.2">
      <c r="B509" s="1168"/>
    </row>
    <row r="510" spans="2:2" s="221" customFormat="1" ht="12.75" x14ac:dyDescent="0.2">
      <c r="B510" s="1168"/>
    </row>
    <row r="511" spans="2:2" s="221" customFormat="1" ht="12.75" x14ac:dyDescent="0.2">
      <c r="B511" s="1168"/>
    </row>
    <row r="512" spans="2:2" s="221" customFormat="1" ht="12.75" x14ac:dyDescent="0.2">
      <c r="B512" s="1168"/>
    </row>
    <row r="513" spans="2:2" s="221" customFormat="1" ht="12.75" x14ac:dyDescent="0.2">
      <c r="B513" s="1168"/>
    </row>
    <row r="514" spans="2:2" s="221" customFormat="1" ht="12.75" x14ac:dyDescent="0.2">
      <c r="B514" s="1168"/>
    </row>
    <row r="515" spans="2:2" s="221" customFormat="1" ht="12.75" x14ac:dyDescent="0.2">
      <c r="B515" s="1168"/>
    </row>
    <row r="516" spans="2:2" s="221" customFormat="1" ht="12.75" x14ac:dyDescent="0.2">
      <c r="B516" s="1168"/>
    </row>
    <row r="517" spans="2:2" s="221" customFormat="1" ht="12.75" x14ac:dyDescent="0.2">
      <c r="B517" s="1168"/>
    </row>
    <row r="518" spans="2:2" s="221" customFormat="1" ht="12.75" x14ac:dyDescent="0.2">
      <c r="B518" s="1168"/>
    </row>
    <row r="519" spans="2:2" s="221" customFormat="1" ht="12.75" x14ac:dyDescent="0.2">
      <c r="B519" s="1168"/>
    </row>
    <row r="520" spans="2:2" s="221" customFormat="1" ht="12.75" x14ac:dyDescent="0.2">
      <c r="B520" s="1168"/>
    </row>
    <row r="521" spans="2:2" s="221" customFormat="1" ht="12.75" x14ac:dyDescent="0.2">
      <c r="B521" s="1168"/>
    </row>
    <row r="522" spans="2:2" s="221" customFormat="1" ht="12.75" x14ac:dyDescent="0.2">
      <c r="B522" s="1168"/>
    </row>
    <row r="523" spans="2:2" s="221" customFormat="1" ht="12.75" x14ac:dyDescent="0.2">
      <c r="B523" s="1168"/>
    </row>
    <row r="524" spans="2:2" s="221" customFormat="1" ht="12.75" x14ac:dyDescent="0.2">
      <c r="B524" s="1168"/>
    </row>
    <row r="525" spans="2:2" s="221" customFormat="1" ht="12.75" x14ac:dyDescent="0.2">
      <c r="B525" s="1168"/>
    </row>
    <row r="526" spans="2:2" s="221" customFormat="1" ht="12.75" x14ac:dyDescent="0.2">
      <c r="B526" s="1168"/>
    </row>
    <row r="527" spans="2:2" s="221" customFormat="1" ht="12.75" x14ac:dyDescent="0.2">
      <c r="B527" s="1168"/>
    </row>
    <row r="528" spans="2:2" s="221" customFormat="1" ht="12.75" x14ac:dyDescent="0.2">
      <c r="B528" s="1168"/>
    </row>
    <row r="529" spans="2:2" s="221" customFormat="1" ht="12.75" x14ac:dyDescent="0.2">
      <c r="B529" s="1168"/>
    </row>
    <row r="530" spans="2:2" s="221" customFormat="1" ht="12.75" x14ac:dyDescent="0.2">
      <c r="B530" s="1168"/>
    </row>
    <row r="531" spans="2:2" s="221" customFormat="1" ht="12.75" x14ac:dyDescent="0.2">
      <c r="B531" s="1168"/>
    </row>
    <row r="532" spans="2:2" s="221" customFormat="1" ht="12.75" x14ac:dyDescent="0.2">
      <c r="B532" s="1168"/>
    </row>
    <row r="533" spans="2:2" s="221" customFormat="1" ht="12.75" x14ac:dyDescent="0.2">
      <c r="B533" s="1168"/>
    </row>
    <row r="534" spans="2:2" s="221" customFormat="1" ht="12.75" x14ac:dyDescent="0.2">
      <c r="B534" s="1168"/>
    </row>
    <row r="535" spans="2:2" s="221" customFormat="1" ht="12.75" x14ac:dyDescent="0.2">
      <c r="B535" s="1168"/>
    </row>
    <row r="536" spans="2:2" s="221" customFormat="1" ht="12.75" x14ac:dyDescent="0.2">
      <c r="B536" s="1168"/>
    </row>
    <row r="537" spans="2:2" s="221" customFormat="1" ht="12.75" x14ac:dyDescent="0.2">
      <c r="B537" s="1168"/>
    </row>
    <row r="538" spans="2:2" s="221" customFormat="1" ht="12.75" x14ac:dyDescent="0.2">
      <c r="B538" s="1168"/>
    </row>
    <row r="539" spans="2:2" s="221" customFormat="1" ht="12.75" x14ac:dyDescent="0.2">
      <c r="B539" s="1168"/>
    </row>
    <row r="540" spans="2:2" s="221" customFormat="1" ht="12.75" x14ac:dyDescent="0.2">
      <c r="B540" s="1168"/>
    </row>
    <row r="541" spans="2:2" s="221" customFormat="1" ht="12.75" x14ac:dyDescent="0.2">
      <c r="B541" s="1168"/>
    </row>
    <row r="542" spans="2:2" s="221" customFormat="1" ht="12.75" x14ac:dyDescent="0.2">
      <c r="B542" s="1168"/>
    </row>
    <row r="543" spans="2:2" s="221" customFormat="1" ht="12.75" x14ac:dyDescent="0.2">
      <c r="B543" s="1168"/>
    </row>
    <row r="544" spans="2:2" s="221" customFormat="1" ht="12.75" x14ac:dyDescent="0.2">
      <c r="B544" s="1168"/>
    </row>
    <row r="545" spans="2:2" s="221" customFormat="1" ht="12.75" x14ac:dyDescent="0.2">
      <c r="B545" s="1168"/>
    </row>
    <row r="546" spans="2:2" s="221" customFormat="1" ht="12.75" x14ac:dyDescent="0.2">
      <c r="B546" s="1168"/>
    </row>
    <row r="547" spans="2:2" s="221" customFormat="1" ht="12.75" x14ac:dyDescent="0.2">
      <c r="B547" s="1168"/>
    </row>
    <row r="548" spans="2:2" s="221" customFormat="1" ht="12.75" x14ac:dyDescent="0.2">
      <c r="B548" s="1168"/>
    </row>
    <row r="549" spans="2:2" s="221" customFormat="1" ht="12.75" x14ac:dyDescent="0.2">
      <c r="B549" s="1168"/>
    </row>
    <row r="550" spans="2:2" s="221" customFormat="1" ht="12.75" x14ac:dyDescent="0.2">
      <c r="B550" s="1168"/>
    </row>
    <row r="551" spans="2:2" s="221" customFormat="1" ht="12.75" x14ac:dyDescent="0.2">
      <c r="B551" s="1168"/>
    </row>
    <row r="552" spans="2:2" s="221" customFormat="1" ht="12.75" x14ac:dyDescent="0.2">
      <c r="B552" s="1168"/>
    </row>
    <row r="553" spans="2:2" s="221" customFormat="1" ht="12.75" x14ac:dyDescent="0.2">
      <c r="B553" s="1168"/>
    </row>
    <row r="554" spans="2:2" s="221" customFormat="1" ht="12.75" x14ac:dyDescent="0.2">
      <c r="B554" s="1168"/>
    </row>
    <row r="555" spans="2:2" s="221" customFormat="1" ht="12.75" x14ac:dyDescent="0.2">
      <c r="B555" s="1168"/>
    </row>
    <row r="556" spans="2:2" s="221" customFormat="1" ht="12.75" x14ac:dyDescent="0.2">
      <c r="B556" s="1168"/>
    </row>
    <row r="557" spans="2:2" s="221" customFormat="1" ht="12.75" x14ac:dyDescent="0.2">
      <c r="B557" s="1168"/>
    </row>
    <row r="558" spans="2:2" s="221" customFormat="1" ht="12.75" x14ac:dyDescent="0.2">
      <c r="B558" s="1168"/>
    </row>
    <row r="559" spans="2:2" s="221" customFormat="1" ht="12.75" x14ac:dyDescent="0.2">
      <c r="B559" s="1168"/>
    </row>
    <row r="560" spans="2:2" s="221" customFormat="1" ht="12.75" x14ac:dyDescent="0.2">
      <c r="B560" s="1168"/>
    </row>
    <row r="561" spans="2:2" s="221" customFormat="1" ht="12.75" x14ac:dyDescent="0.2">
      <c r="B561" s="1168"/>
    </row>
    <row r="562" spans="2:2" s="221" customFormat="1" ht="12.75" x14ac:dyDescent="0.2">
      <c r="B562" s="1168"/>
    </row>
    <row r="563" spans="2:2" s="221" customFormat="1" ht="12.75" x14ac:dyDescent="0.2">
      <c r="B563" s="1168"/>
    </row>
    <row r="564" spans="2:2" s="221" customFormat="1" ht="12.75" x14ac:dyDescent="0.2">
      <c r="B564" s="1168"/>
    </row>
    <row r="565" spans="2:2" s="221" customFormat="1" ht="12.75" x14ac:dyDescent="0.2">
      <c r="B565" s="1168"/>
    </row>
    <row r="566" spans="2:2" s="221" customFormat="1" ht="12.75" x14ac:dyDescent="0.2">
      <c r="B566" s="1168"/>
    </row>
    <row r="567" spans="2:2" s="221" customFormat="1" ht="12.75" x14ac:dyDescent="0.2">
      <c r="B567" s="1168"/>
    </row>
    <row r="568" spans="2:2" s="221" customFormat="1" ht="12.75" x14ac:dyDescent="0.2">
      <c r="B568" s="1168"/>
    </row>
    <row r="569" spans="2:2" s="221" customFormat="1" ht="12.75" x14ac:dyDescent="0.2">
      <c r="B569" s="1168"/>
    </row>
    <row r="570" spans="2:2" s="221" customFormat="1" ht="12.75" x14ac:dyDescent="0.2">
      <c r="B570" s="1168"/>
    </row>
    <row r="571" spans="2:2" s="221" customFormat="1" ht="12.75" x14ac:dyDescent="0.2">
      <c r="B571" s="1168"/>
    </row>
    <row r="572" spans="2:2" s="221" customFormat="1" ht="12.75" x14ac:dyDescent="0.2">
      <c r="B572" s="1168"/>
    </row>
    <row r="573" spans="2:2" s="221" customFormat="1" ht="12.75" x14ac:dyDescent="0.2">
      <c r="B573" s="1168"/>
    </row>
    <row r="574" spans="2:2" s="221" customFormat="1" ht="12.75" x14ac:dyDescent="0.2">
      <c r="B574" s="1168"/>
    </row>
    <row r="575" spans="2:2" s="221" customFormat="1" ht="12.75" x14ac:dyDescent="0.2">
      <c r="B575" s="1168"/>
    </row>
    <row r="576" spans="2:2" s="221" customFormat="1" ht="12.75" x14ac:dyDescent="0.2">
      <c r="B576" s="1168"/>
    </row>
    <row r="577" spans="2:2" s="221" customFormat="1" ht="12.75" x14ac:dyDescent="0.2">
      <c r="B577" s="1168"/>
    </row>
    <row r="578" spans="2:2" s="221" customFormat="1" ht="12.75" x14ac:dyDescent="0.2">
      <c r="B578" s="1168"/>
    </row>
    <row r="579" spans="2:2" s="221" customFormat="1" ht="12.75" x14ac:dyDescent="0.2">
      <c r="B579" s="1168"/>
    </row>
    <row r="580" spans="2:2" s="221" customFormat="1" ht="12.75" x14ac:dyDescent="0.2">
      <c r="B580" s="1168"/>
    </row>
    <row r="581" spans="2:2" s="221" customFormat="1" ht="12.75" x14ac:dyDescent="0.2">
      <c r="B581" s="1168"/>
    </row>
    <row r="582" spans="2:2" s="221" customFormat="1" ht="12.75" x14ac:dyDescent="0.2">
      <c r="B582" s="1168"/>
    </row>
    <row r="583" spans="2:2" s="221" customFormat="1" ht="12.75" x14ac:dyDescent="0.2">
      <c r="B583" s="1168"/>
    </row>
    <row r="584" spans="2:2" s="221" customFormat="1" ht="12.75" x14ac:dyDescent="0.2">
      <c r="B584" s="1168"/>
    </row>
    <row r="585" spans="2:2" s="221" customFormat="1" ht="12.75" x14ac:dyDescent="0.2">
      <c r="B585" s="1168"/>
    </row>
    <row r="586" spans="2:2" s="221" customFormat="1" ht="12.75" x14ac:dyDescent="0.2">
      <c r="B586" s="1168"/>
    </row>
    <row r="587" spans="2:2" s="221" customFormat="1" ht="12.75" x14ac:dyDescent="0.2">
      <c r="B587" s="1168"/>
    </row>
    <row r="588" spans="2:2" s="221" customFormat="1" ht="12.75" x14ac:dyDescent="0.2">
      <c r="B588" s="1168"/>
    </row>
    <row r="589" spans="2:2" s="221" customFormat="1" ht="12.75" x14ac:dyDescent="0.2">
      <c r="B589" s="1168"/>
    </row>
    <row r="590" spans="2:2" s="221" customFormat="1" ht="12.75" x14ac:dyDescent="0.2">
      <c r="B590" s="1168"/>
    </row>
    <row r="591" spans="2:2" s="221" customFormat="1" ht="12.75" x14ac:dyDescent="0.2">
      <c r="B591" s="1168"/>
    </row>
    <row r="592" spans="2:2" s="221" customFormat="1" ht="12.75" x14ac:dyDescent="0.2">
      <c r="B592" s="1168"/>
    </row>
    <row r="593" spans="2:2" s="221" customFormat="1" ht="12.75" x14ac:dyDescent="0.2">
      <c r="B593" s="1168"/>
    </row>
    <row r="594" spans="2:2" s="221" customFormat="1" ht="12.75" x14ac:dyDescent="0.2">
      <c r="B594" s="1168"/>
    </row>
    <row r="595" spans="2:2" s="221" customFormat="1" ht="12.75" x14ac:dyDescent="0.2">
      <c r="B595" s="1168"/>
    </row>
    <row r="596" spans="2:2" s="221" customFormat="1" ht="12.75" x14ac:dyDescent="0.2">
      <c r="B596" s="1168"/>
    </row>
    <row r="597" spans="2:2" s="221" customFormat="1" ht="12.75" x14ac:dyDescent="0.2">
      <c r="B597" s="1168"/>
    </row>
    <row r="598" spans="2:2" s="221" customFormat="1" ht="12.75" x14ac:dyDescent="0.2">
      <c r="B598" s="1168"/>
    </row>
    <row r="599" spans="2:2" s="221" customFormat="1" ht="12.75" x14ac:dyDescent="0.2">
      <c r="B599" s="1168"/>
    </row>
    <row r="600" spans="2:2" s="221" customFormat="1" ht="12.75" x14ac:dyDescent="0.2">
      <c r="B600" s="1168"/>
    </row>
    <row r="601" spans="2:2" s="221" customFormat="1" ht="12.75" x14ac:dyDescent="0.2">
      <c r="B601" s="1168"/>
    </row>
    <row r="602" spans="2:2" s="221" customFormat="1" ht="12.75" x14ac:dyDescent="0.2">
      <c r="B602" s="1168"/>
    </row>
    <row r="603" spans="2:2" s="221" customFormat="1" ht="12.75" x14ac:dyDescent="0.2">
      <c r="B603" s="1168"/>
    </row>
    <row r="604" spans="2:2" s="221" customFormat="1" ht="12.75" x14ac:dyDescent="0.2">
      <c r="B604" s="1168"/>
    </row>
    <row r="605" spans="2:2" s="221" customFormat="1" ht="12.75" x14ac:dyDescent="0.2">
      <c r="B605" s="1168"/>
    </row>
    <row r="606" spans="2:2" s="221" customFormat="1" ht="12.75" x14ac:dyDescent="0.2">
      <c r="B606" s="1168"/>
    </row>
    <row r="607" spans="2:2" s="221" customFormat="1" ht="12.75" x14ac:dyDescent="0.2">
      <c r="B607" s="1168"/>
    </row>
    <row r="608" spans="2:2" s="221" customFormat="1" ht="12.75" x14ac:dyDescent="0.2">
      <c r="B608" s="1168"/>
    </row>
    <row r="609" spans="2:2" s="221" customFormat="1" ht="12.75" x14ac:dyDescent="0.2">
      <c r="B609" s="1168"/>
    </row>
    <row r="610" spans="2:2" s="221" customFormat="1" ht="12.75" x14ac:dyDescent="0.2">
      <c r="B610" s="1168"/>
    </row>
    <row r="611" spans="2:2" s="221" customFormat="1" ht="12.75" x14ac:dyDescent="0.2">
      <c r="B611" s="1168"/>
    </row>
    <row r="612" spans="2:2" s="221" customFormat="1" ht="12.75" x14ac:dyDescent="0.2">
      <c r="B612" s="1168"/>
    </row>
    <row r="613" spans="2:2" s="221" customFormat="1" ht="12.75" x14ac:dyDescent="0.2">
      <c r="B613" s="1168"/>
    </row>
    <row r="614" spans="2:2" s="221" customFormat="1" ht="12.75" x14ac:dyDescent="0.2">
      <c r="B614" s="1168"/>
    </row>
    <row r="615" spans="2:2" s="221" customFormat="1" ht="12.75" x14ac:dyDescent="0.2">
      <c r="B615" s="1168"/>
    </row>
    <row r="616" spans="2:2" s="221" customFormat="1" ht="12.75" x14ac:dyDescent="0.2">
      <c r="B616" s="1168"/>
    </row>
    <row r="617" spans="2:2" s="221" customFormat="1" ht="12.75" x14ac:dyDescent="0.2">
      <c r="B617" s="1168"/>
    </row>
    <row r="618" spans="2:2" s="221" customFormat="1" ht="12.75" x14ac:dyDescent="0.2">
      <c r="B618" s="1168"/>
    </row>
    <row r="619" spans="2:2" s="221" customFormat="1" ht="12.75" x14ac:dyDescent="0.2">
      <c r="B619" s="1168"/>
    </row>
    <row r="620" spans="2:2" s="221" customFormat="1" ht="12.75" x14ac:dyDescent="0.2">
      <c r="B620" s="1168"/>
    </row>
    <row r="621" spans="2:2" s="221" customFormat="1" ht="12.75" x14ac:dyDescent="0.2">
      <c r="B621" s="1168"/>
    </row>
    <row r="622" spans="2:2" s="221" customFormat="1" ht="12.75" x14ac:dyDescent="0.2">
      <c r="B622" s="1168"/>
    </row>
    <row r="623" spans="2:2" s="221" customFormat="1" ht="12.75" x14ac:dyDescent="0.2">
      <c r="B623" s="1168"/>
    </row>
    <row r="624" spans="2:2" s="221" customFormat="1" ht="12.75" x14ac:dyDescent="0.2">
      <c r="B624" s="1168"/>
    </row>
    <row r="625" spans="2:2" s="221" customFormat="1" ht="12.75" x14ac:dyDescent="0.2">
      <c r="B625" s="1168"/>
    </row>
    <row r="626" spans="2:2" s="221" customFormat="1" ht="12.75" x14ac:dyDescent="0.2">
      <c r="B626" s="1168"/>
    </row>
    <row r="627" spans="2:2" s="221" customFormat="1" ht="12.75" x14ac:dyDescent="0.2">
      <c r="B627" s="1168"/>
    </row>
    <row r="628" spans="2:2" s="221" customFormat="1" ht="12.75" x14ac:dyDescent="0.2">
      <c r="B628" s="1168"/>
    </row>
    <row r="629" spans="2:2" s="221" customFormat="1" ht="12.75" x14ac:dyDescent="0.2">
      <c r="B629" s="1168"/>
    </row>
    <row r="630" spans="2:2" s="221" customFormat="1" ht="12.75" x14ac:dyDescent="0.2">
      <c r="B630" s="1168"/>
    </row>
    <row r="631" spans="2:2" s="221" customFormat="1" ht="12.75" x14ac:dyDescent="0.2">
      <c r="B631" s="1168"/>
    </row>
    <row r="632" spans="2:2" s="221" customFormat="1" ht="12.75" x14ac:dyDescent="0.2">
      <c r="B632" s="1168"/>
    </row>
    <row r="633" spans="2:2" s="221" customFormat="1" ht="12.75" x14ac:dyDescent="0.2">
      <c r="B633" s="1168"/>
    </row>
    <row r="634" spans="2:2" s="221" customFormat="1" ht="12.75" x14ac:dyDescent="0.2">
      <c r="B634" s="1168"/>
    </row>
    <row r="635" spans="2:2" s="221" customFormat="1" ht="12.75" x14ac:dyDescent="0.2">
      <c r="B635" s="1168"/>
    </row>
    <row r="636" spans="2:2" s="221" customFormat="1" ht="12.75" x14ac:dyDescent="0.2">
      <c r="B636" s="1168"/>
    </row>
    <row r="637" spans="2:2" s="221" customFormat="1" ht="12.75" x14ac:dyDescent="0.2">
      <c r="B637" s="1168"/>
    </row>
    <row r="638" spans="2:2" s="221" customFormat="1" ht="12.75" x14ac:dyDescent="0.2">
      <c r="B638" s="1168"/>
    </row>
    <row r="639" spans="2:2" s="221" customFormat="1" ht="12.75" x14ac:dyDescent="0.2">
      <c r="B639" s="1168"/>
    </row>
    <row r="640" spans="2:2" s="221" customFormat="1" ht="12.75" x14ac:dyDescent="0.2">
      <c r="B640" s="1168"/>
    </row>
    <row r="641" spans="2:2" s="221" customFormat="1" ht="12.75" x14ac:dyDescent="0.2">
      <c r="B641" s="1168"/>
    </row>
    <row r="642" spans="2:2" s="221" customFormat="1" ht="12.75" x14ac:dyDescent="0.2">
      <c r="B642" s="1168"/>
    </row>
    <row r="643" spans="2:2" s="221" customFormat="1" ht="12.75" x14ac:dyDescent="0.2">
      <c r="B643" s="1168"/>
    </row>
    <row r="644" spans="2:2" s="221" customFormat="1" ht="12.75" x14ac:dyDescent="0.2">
      <c r="B644" s="1168"/>
    </row>
    <row r="645" spans="2:2" s="221" customFormat="1" ht="12.75" x14ac:dyDescent="0.2">
      <c r="B645" s="1168"/>
    </row>
    <row r="646" spans="2:2" s="221" customFormat="1" ht="12.75" x14ac:dyDescent="0.2">
      <c r="B646" s="1168"/>
    </row>
    <row r="647" spans="2:2" s="221" customFormat="1" ht="12.75" x14ac:dyDescent="0.2">
      <c r="B647" s="1168"/>
    </row>
    <row r="648" spans="2:2" s="221" customFormat="1" ht="12.75" x14ac:dyDescent="0.2">
      <c r="B648" s="1168"/>
    </row>
    <row r="649" spans="2:2" s="221" customFormat="1" ht="12.75" x14ac:dyDescent="0.2">
      <c r="B649" s="1168"/>
    </row>
    <row r="650" spans="2:2" s="221" customFormat="1" ht="12.75" x14ac:dyDescent="0.2">
      <c r="B650" s="1168"/>
    </row>
    <row r="651" spans="2:2" s="221" customFormat="1" ht="12.75" x14ac:dyDescent="0.2">
      <c r="B651" s="1168"/>
    </row>
    <row r="652" spans="2:2" s="221" customFormat="1" ht="12.75" x14ac:dyDescent="0.2">
      <c r="B652" s="1168"/>
    </row>
    <row r="653" spans="2:2" s="221" customFormat="1" ht="12.75" x14ac:dyDescent="0.2">
      <c r="B653" s="1168"/>
    </row>
    <row r="654" spans="2:2" s="221" customFormat="1" ht="12.75" x14ac:dyDescent="0.2">
      <c r="B654" s="1168"/>
    </row>
    <row r="655" spans="2:2" s="221" customFormat="1" ht="12.75" x14ac:dyDescent="0.2">
      <c r="B655" s="1168"/>
    </row>
    <row r="656" spans="2:2" s="221" customFormat="1" ht="12.75" x14ac:dyDescent="0.2">
      <c r="B656" s="1168"/>
    </row>
    <row r="657" spans="2:2" s="221" customFormat="1" ht="12.75" x14ac:dyDescent="0.2">
      <c r="B657" s="1168"/>
    </row>
    <row r="658" spans="2:2" s="221" customFormat="1" ht="12.75" x14ac:dyDescent="0.2">
      <c r="B658" s="1168"/>
    </row>
    <row r="659" spans="2:2" s="221" customFormat="1" ht="12.75" x14ac:dyDescent="0.2">
      <c r="B659" s="1168"/>
    </row>
    <row r="660" spans="2:2" s="221" customFormat="1" ht="12.75" x14ac:dyDescent="0.2">
      <c r="B660" s="1168"/>
    </row>
    <row r="661" spans="2:2" s="221" customFormat="1" ht="12.75" x14ac:dyDescent="0.2">
      <c r="B661" s="1168"/>
    </row>
    <row r="662" spans="2:2" s="221" customFormat="1" ht="12.75" x14ac:dyDescent="0.2">
      <c r="B662" s="1168"/>
    </row>
    <row r="663" spans="2:2" s="221" customFormat="1" ht="12.75" x14ac:dyDescent="0.2">
      <c r="B663" s="1168"/>
    </row>
    <row r="664" spans="2:2" s="221" customFormat="1" ht="12.75" x14ac:dyDescent="0.2">
      <c r="B664" s="1168"/>
    </row>
    <row r="665" spans="2:2" s="221" customFormat="1" ht="12.75" x14ac:dyDescent="0.2">
      <c r="B665" s="1168"/>
    </row>
    <row r="666" spans="2:2" s="221" customFormat="1" ht="12.75" x14ac:dyDescent="0.2">
      <c r="B666" s="1168"/>
    </row>
    <row r="667" spans="2:2" s="221" customFormat="1" ht="12.75" x14ac:dyDescent="0.2">
      <c r="B667" s="1168"/>
    </row>
    <row r="668" spans="2:2" s="221" customFormat="1" ht="12.75" x14ac:dyDescent="0.2">
      <c r="B668" s="1168"/>
    </row>
    <row r="669" spans="2:2" s="221" customFormat="1" ht="12.75" x14ac:dyDescent="0.2">
      <c r="B669" s="1168"/>
    </row>
    <row r="670" spans="2:2" s="221" customFormat="1" ht="12.75" x14ac:dyDescent="0.2">
      <c r="B670" s="1168"/>
    </row>
    <row r="671" spans="2:2" s="221" customFormat="1" ht="12.75" x14ac:dyDescent="0.2">
      <c r="B671" s="1168"/>
    </row>
    <row r="672" spans="2:2" s="221" customFormat="1" ht="12.75" x14ac:dyDescent="0.2">
      <c r="B672" s="1168"/>
    </row>
    <row r="673" spans="2:2" s="221" customFormat="1" ht="12.75" x14ac:dyDescent="0.2">
      <c r="B673" s="1168"/>
    </row>
    <row r="674" spans="2:2" s="221" customFormat="1" ht="12.75" x14ac:dyDescent="0.2">
      <c r="B674" s="1168"/>
    </row>
    <row r="675" spans="2:2" s="221" customFormat="1" ht="12.75" x14ac:dyDescent="0.2">
      <c r="B675" s="1168"/>
    </row>
    <row r="676" spans="2:2" s="221" customFormat="1" ht="12.75" x14ac:dyDescent="0.2">
      <c r="B676" s="1168"/>
    </row>
    <row r="677" spans="2:2" s="221" customFormat="1" ht="12.75" x14ac:dyDescent="0.2">
      <c r="B677" s="1168"/>
    </row>
    <row r="678" spans="2:2" s="221" customFormat="1" ht="12.75" x14ac:dyDescent="0.2">
      <c r="B678" s="1168"/>
    </row>
    <row r="679" spans="2:2" s="221" customFormat="1" ht="12.75" x14ac:dyDescent="0.2">
      <c r="B679" s="1168"/>
    </row>
    <row r="680" spans="2:2" s="221" customFormat="1" ht="12.75" x14ac:dyDescent="0.2">
      <c r="B680" s="1168"/>
    </row>
    <row r="681" spans="2:2" s="221" customFormat="1" ht="12.75" x14ac:dyDescent="0.2">
      <c r="B681" s="1168"/>
    </row>
    <row r="682" spans="2:2" s="221" customFormat="1" ht="12.75" x14ac:dyDescent="0.2">
      <c r="B682" s="1168"/>
    </row>
    <row r="683" spans="2:2" s="221" customFormat="1" ht="12.75" x14ac:dyDescent="0.2">
      <c r="B683" s="1168"/>
    </row>
    <row r="684" spans="2:2" s="221" customFormat="1" ht="12.75" x14ac:dyDescent="0.2">
      <c r="B684" s="1168"/>
    </row>
    <row r="685" spans="2:2" s="221" customFormat="1" ht="12.75" x14ac:dyDescent="0.2">
      <c r="B685" s="1168"/>
    </row>
    <row r="686" spans="2:2" s="221" customFormat="1" ht="12.75" x14ac:dyDescent="0.2">
      <c r="B686" s="1168"/>
    </row>
    <row r="687" spans="2:2" s="221" customFormat="1" ht="12.75" x14ac:dyDescent="0.2">
      <c r="B687" s="1168"/>
    </row>
    <row r="688" spans="2:2" s="221" customFormat="1" ht="12.75" x14ac:dyDescent="0.2">
      <c r="B688" s="1168"/>
    </row>
    <row r="689" spans="2:2" s="221" customFormat="1" ht="12.75" x14ac:dyDescent="0.2">
      <c r="B689" s="1168"/>
    </row>
    <row r="690" spans="2:2" s="221" customFormat="1" ht="12.75" x14ac:dyDescent="0.2">
      <c r="B690" s="1168"/>
    </row>
    <row r="691" spans="2:2" s="221" customFormat="1" ht="12.75" x14ac:dyDescent="0.2">
      <c r="B691" s="1168"/>
    </row>
    <row r="692" spans="2:2" s="221" customFormat="1" ht="12.75" x14ac:dyDescent="0.2">
      <c r="B692" s="1168"/>
    </row>
    <row r="693" spans="2:2" s="221" customFormat="1" ht="12.75" x14ac:dyDescent="0.2">
      <c r="B693" s="1168"/>
    </row>
    <row r="694" spans="2:2" s="221" customFormat="1" ht="12.75" x14ac:dyDescent="0.2">
      <c r="B694" s="1168"/>
    </row>
    <row r="695" spans="2:2" s="221" customFormat="1" ht="12.75" x14ac:dyDescent="0.2">
      <c r="B695" s="1168"/>
    </row>
    <row r="696" spans="2:2" s="221" customFormat="1" ht="12.75" x14ac:dyDescent="0.2">
      <c r="B696" s="1168"/>
    </row>
    <row r="697" spans="2:2" s="221" customFormat="1" ht="12.75" x14ac:dyDescent="0.2">
      <c r="B697" s="1168"/>
    </row>
    <row r="698" spans="2:2" s="221" customFormat="1" ht="12.75" x14ac:dyDescent="0.2">
      <c r="B698" s="1168"/>
    </row>
    <row r="699" spans="2:2" s="221" customFormat="1" ht="12.75" x14ac:dyDescent="0.2">
      <c r="B699" s="1168"/>
    </row>
    <row r="700" spans="2:2" s="221" customFormat="1" ht="12.75" x14ac:dyDescent="0.2">
      <c r="B700" s="1168"/>
    </row>
    <row r="701" spans="2:2" s="221" customFormat="1" ht="12.75" x14ac:dyDescent="0.2">
      <c r="B701" s="1168"/>
    </row>
    <row r="702" spans="2:2" s="221" customFormat="1" ht="12.75" x14ac:dyDescent="0.2">
      <c r="B702" s="1168"/>
    </row>
    <row r="703" spans="2:2" s="221" customFormat="1" ht="12.75" x14ac:dyDescent="0.2">
      <c r="B703" s="1168"/>
    </row>
    <row r="704" spans="2:2" s="221" customFormat="1" ht="12.75" x14ac:dyDescent="0.2">
      <c r="B704" s="1168"/>
    </row>
    <row r="705" spans="2:2" s="221" customFormat="1" ht="12.75" x14ac:dyDescent="0.2">
      <c r="B705" s="1168"/>
    </row>
    <row r="706" spans="2:2" s="221" customFormat="1" ht="12.75" x14ac:dyDescent="0.2">
      <c r="B706" s="1168"/>
    </row>
    <row r="707" spans="2:2" s="221" customFormat="1" ht="12.75" x14ac:dyDescent="0.2">
      <c r="B707" s="1168"/>
    </row>
    <row r="708" spans="2:2" s="221" customFormat="1" ht="12.75" x14ac:dyDescent="0.2">
      <c r="B708" s="1168"/>
    </row>
    <row r="709" spans="2:2" s="221" customFormat="1" ht="12.75" x14ac:dyDescent="0.2">
      <c r="B709" s="1168"/>
    </row>
    <row r="710" spans="2:2" s="221" customFormat="1" ht="12.75" x14ac:dyDescent="0.2">
      <c r="B710" s="1168"/>
    </row>
    <row r="711" spans="2:2" s="221" customFormat="1" ht="12.75" x14ac:dyDescent="0.2">
      <c r="B711" s="1168"/>
    </row>
    <row r="712" spans="2:2" s="221" customFormat="1" ht="12.75" x14ac:dyDescent="0.2">
      <c r="B712" s="1168"/>
    </row>
    <row r="713" spans="2:2" s="221" customFormat="1" ht="12.75" x14ac:dyDescent="0.2">
      <c r="B713" s="1168"/>
    </row>
    <row r="714" spans="2:2" s="221" customFormat="1" ht="12.75" x14ac:dyDescent="0.2">
      <c r="B714" s="1168"/>
    </row>
    <row r="715" spans="2:2" s="221" customFormat="1" ht="12.75" x14ac:dyDescent="0.2">
      <c r="B715" s="1168"/>
    </row>
    <row r="716" spans="2:2" s="221" customFormat="1" ht="12.75" x14ac:dyDescent="0.2">
      <c r="B716" s="1168"/>
    </row>
    <row r="717" spans="2:2" s="221" customFormat="1" ht="12.75" x14ac:dyDescent="0.2">
      <c r="B717" s="1168"/>
    </row>
    <row r="718" spans="2:2" s="221" customFormat="1" ht="12.75" x14ac:dyDescent="0.2">
      <c r="B718" s="1168"/>
    </row>
    <row r="719" spans="2:2" s="221" customFormat="1" ht="12.75" x14ac:dyDescent="0.2">
      <c r="B719" s="1168"/>
    </row>
    <row r="720" spans="2:2" s="221" customFormat="1" ht="12.75" x14ac:dyDescent="0.2">
      <c r="B720" s="1168"/>
    </row>
    <row r="721" spans="2:2" s="221" customFormat="1" ht="12.75" x14ac:dyDescent="0.2">
      <c r="B721" s="1168"/>
    </row>
    <row r="722" spans="2:2" s="221" customFormat="1" ht="12.75" x14ac:dyDescent="0.2">
      <c r="B722" s="1168"/>
    </row>
    <row r="723" spans="2:2" s="221" customFormat="1" ht="12.75" x14ac:dyDescent="0.2">
      <c r="B723" s="1168"/>
    </row>
    <row r="724" spans="2:2" s="221" customFormat="1" ht="12.75" x14ac:dyDescent="0.2">
      <c r="B724" s="1168"/>
    </row>
    <row r="725" spans="2:2" s="221" customFormat="1" ht="12.75" x14ac:dyDescent="0.2">
      <c r="B725" s="1168"/>
    </row>
    <row r="726" spans="2:2" s="221" customFormat="1" ht="12.75" x14ac:dyDescent="0.2">
      <c r="B726" s="1168"/>
    </row>
    <row r="727" spans="2:2" s="221" customFormat="1" ht="12.75" x14ac:dyDescent="0.2">
      <c r="B727" s="1168"/>
    </row>
    <row r="728" spans="2:2" s="221" customFormat="1" ht="12.75" x14ac:dyDescent="0.2">
      <c r="B728" s="1168"/>
    </row>
    <row r="729" spans="2:2" s="221" customFormat="1" ht="12.75" x14ac:dyDescent="0.2">
      <c r="B729" s="1168"/>
    </row>
    <row r="730" spans="2:2" s="221" customFormat="1" ht="12.75" x14ac:dyDescent="0.2">
      <c r="B730" s="1168"/>
    </row>
    <row r="731" spans="2:2" s="221" customFormat="1" ht="12.75" x14ac:dyDescent="0.2">
      <c r="B731" s="1168"/>
    </row>
    <row r="732" spans="2:2" s="221" customFormat="1" ht="12.75" x14ac:dyDescent="0.2">
      <c r="B732" s="1168"/>
    </row>
    <row r="733" spans="2:2" s="221" customFormat="1" ht="12.75" x14ac:dyDescent="0.2">
      <c r="B733" s="1168"/>
    </row>
    <row r="734" spans="2:2" s="221" customFormat="1" ht="12.75" x14ac:dyDescent="0.2">
      <c r="B734" s="1168"/>
    </row>
    <row r="735" spans="2:2" s="221" customFormat="1" ht="12.75" x14ac:dyDescent="0.2">
      <c r="B735" s="1168"/>
    </row>
    <row r="736" spans="2:2" s="221" customFormat="1" ht="12.75" x14ac:dyDescent="0.2">
      <c r="B736" s="1168"/>
    </row>
    <row r="737" spans="2:2" s="221" customFormat="1" ht="12.75" x14ac:dyDescent="0.2">
      <c r="B737" s="1168"/>
    </row>
    <row r="738" spans="2:2" s="221" customFormat="1" ht="12.75" x14ac:dyDescent="0.2">
      <c r="B738" s="1168"/>
    </row>
    <row r="739" spans="2:2" s="221" customFormat="1" ht="12.75" x14ac:dyDescent="0.2">
      <c r="B739" s="1168"/>
    </row>
    <row r="740" spans="2:2" s="221" customFormat="1" ht="12.75" x14ac:dyDescent="0.2">
      <c r="B740" s="1168"/>
    </row>
    <row r="741" spans="2:2" s="221" customFormat="1" ht="12.75" x14ac:dyDescent="0.2">
      <c r="B741" s="1168"/>
    </row>
    <row r="742" spans="2:2" s="221" customFormat="1" ht="12.75" x14ac:dyDescent="0.2">
      <c r="B742" s="1168"/>
    </row>
    <row r="743" spans="2:2" s="221" customFormat="1" ht="12.75" x14ac:dyDescent="0.2">
      <c r="B743" s="1168"/>
    </row>
    <row r="744" spans="2:2" s="221" customFormat="1" ht="12.75" x14ac:dyDescent="0.2">
      <c r="B744" s="1168"/>
    </row>
    <row r="745" spans="2:2" s="221" customFormat="1" ht="12.75" x14ac:dyDescent="0.2">
      <c r="B745" s="1168"/>
    </row>
    <row r="746" spans="2:2" s="221" customFormat="1" ht="12.75" x14ac:dyDescent="0.2">
      <c r="B746" s="1168"/>
    </row>
    <row r="747" spans="2:2" s="221" customFormat="1" ht="12.75" x14ac:dyDescent="0.2">
      <c r="B747" s="1168"/>
    </row>
    <row r="748" spans="2:2" s="221" customFormat="1" ht="12.75" x14ac:dyDescent="0.2">
      <c r="B748" s="1168"/>
    </row>
    <row r="749" spans="2:2" s="221" customFormat="1" ht="12.75" x14ac:dyDescent="0.2">
      <c r="B749" s="1168"/>
    </row>
    <row r="750" spans="2:2" s="221" customFormat="1" ht="12.75" x14ac:dyDescent="0.2">
      <c r="B750" s="1168"/>
    </row>
    <row r="751" spans="2:2" s="221" customFormat="1" ht="12.75" x14ac:dyDescent="0.2">
      <c r="B751" s="1168"/>
    </row>
    <row r="752" spans="2:2" s="221" customFormat="1" ht="12.75" x14ac:dyDescent="0.2">
      <c r="B752" s="1168"/>
    </row>
    <row r="753" spans="2:2" s="221" customFormat="1" ht="12.75" x14ac:dyDescent="0.2">
      <c r="B753" s="1168"/>
    </row>
    <row r="754" spans="2:2" s="221" customFormat="1" ht="12.75" x14ac:dyDescent="0.2">
      <c r="B754" s="1168"/>
    </row>
    <row r="755" spans="2:2" s="221" customFormat="1" ht="12.75" x14ac:dyDescent="0.2">
      <c r="B755" s="1168"/>
    </row>
    <row r="756" spans="2:2" s="221" customFormat="1" ht="12.75" x14ac:dyDescent="0.2">
      <c r="B756" s="1168"/>
    </row>
    <row r="757" spans="2:2" s="221" customFormat="1" ht="12.75" x14ac:dyDescent="0.2">
      <c r="B757" s="1168"/>
    </row>
    <row r="758" spans="2:2" s="221" customFormat="1" ht="12.75" x14ac:dyDescent="0.2">
      <c r="B758" s="1168"/>
    </row>
    <row r="759" spans="2:2" s="221" customFormat="1" ht="12.75" x14ac:dyDescent="0.2">
      <c r="B759" s="1168"/>
    </row>
    <row r="760" spans="2:2" s="221" customFormat="1" ht="12.75" x14ac:dyDescent="0.2">
      <c r="B760" s="1168"/>
    </row>
    <row r="761" spans="2:2" s="221" customFormat="1" ht="12.75" x14ac:dyDescent="0.2">
      <c r="B761" s="1168"/>
    </row>
    <row r="762" spans="2:2" s="221" customFormat="1" ht="12.75" x14ac:dyDescent="0.2">
      <c r="B762" s="1168"/>
    </row>
    <row r="763" spans="2:2" s="221" customFormat="1" ht="12.75" x14ac:dyDescent="0.2">
      <c r="B763" s="1168"/>
    </row>
    <row r="764" spans="2:2" s="221" customFormat="1" ht="12.75" x14ac:dyDescent="0.2">
      <c r="B764" s="1168"/>
    </row>
    <row r="765" spans="2:2" s="221" customFormat="1" ht="12.75" x14ac:dyDescent="0.2">
      <c r="B765" s="1168"/>
    </row>
    <row r="766" spans="2:2" s="221" customFormat="1" ht="12.75" x14ac:dyDescent="0.2">
      <c r="B766" s="1168"/>
    </row>
    <row r="767" spans="2:2" s="221" customFormat="1" ht="12.75" x14ac:dyDescent="0.2">
      <c r="B767" s="1168"/>
    </row>
    <row r="768" spans="2:2" s="221" customFormat="1" ht="12.75" x14ac:dyDescent="0.2">
      <c r="B768" s="1168"/>
    </row>
    <row r="769" spans="2:2" s="221" customFormat="1" ht="12.75" x14ac:dyDescent="0.2">
      <c r="B769" s="1168"/>
    </row>
    <row r="770" spans="2:2" s="221" customFormat="1" ht="12.75" x14ac:dyDescent="0.2">
      <c r="B770" s="1168"/>
    </row>
    <row r="771" spans="2:2" s="221" customFormat="1" ht="12.75" x14ac:dyDescent="0.2">
      <c r="B771" s="1168"/>
    </row>
    <row r="772" spans="2:2" s="221" customFormat="1" ht="12.75" x14ac:dyDescent="0.2">
      <c r="B772" s="1168"/>
    </row>
    <row r="773" spans="2:2" s="221" customFormat="1" ht="12.75" x14ac:dyDescent="0.2">
      <c r="B773" s="1168"/>
    </row>
    <row r="774" spans="2:2" s="221" customFormat="1" ht="12.75" x14ac:dyDescent="0.2">
      <c r="B774" s="1168"/>
    </row>
    <row r="775" spans="2:2" s="221" customFormat="1" ht="12.75" x14ac:dyDescent="0.2">
      <c r="B775" s="1168"/>
    </row>
    <row r="776" spans="2:2" s="221" customFormat="1" ht="12.75" x14ac:dyDescent="0.2">
      <c r="B776" s="1168"/>
    </row>
    <row r="777" spans="2:2" s="221" customFormat="1" ht="12.75" x14ac:dyDescent="0.2">
      <c r="B777" s="1168"/>
    </row>
    <row r="778" spans="2:2" s="221" customFormat="1" ht="12.75" x14ac:dyDescent="0.2">
      <c r="B778" s="1168"/>
    </row>
    <row r="779" spans="2:2" s="221" customFormat="1" ht="12.75" x14ac:dyDescent="0.2">
      <c r="B779" s="1168"/>
    </row>
    <row r="780" spans="2:2" s="221" customFormat="1" ht="12.75" x14ac:dyDescent="0.2">
      <c r="B780" s="1168"/>
    </row>
    <row r="781" spans="2:2" s="221" customFormat="1" ht="12.75" x14ac:dyDescent="0.2">
      <c r="B781" s="1168"/>
    </row>
    <row r="782" spans="2:2" s="221" customFormat="1" ht="12.75" x14ac:dyDescent="0.2">
      <c r="B782" s="1168"/>
    </row>
    <row r="783" spans="2:2" s="221" customFormat="1" ht="12.75" x14ac:dyDescent="0.2">
      <c r="B783" s="1168"/>
    </row>
    <row r="784" spans="2:2" s="221" customFormat="1" ht="12.75" x14ac:dyDescent="0.2">
      <c r="B784" s="1168"/>
    </row>
    <row r="785" spans="2:2" s="221" customFormat="1" ht="12.75" x14ac:dyDescent="0.2">
      <c r="B785" s="1168"/>
    </row>
    <row r="786" spans="2:2" s="221" customFormat="1" ht="12.75" x14ac:dyDescent="0.2">
      <c r="B786" s="1168"/>
    </row>
    <row r="787" spans="2:2" s="221" customFormat="1" ht="12.75" x14ac:dyDescent="0.2">
      <c r="B787" s="1168"/>
    </row>
    <row r="788" spans="2:2" s="221" customFormat="1" ht="12.75" x14ac:dyDescent="0.2">
      <c r="B788" s="1168"/>
    </row>
    <row r="789" spans="2:2" s="221" customFormat="1" ht="12.75" x14ac:dyDescent="0.2">
      <c r="B789" s="1168"/>
    </row>
    <row r="790" spans="2:2" s="221" customFormat="1" ht="12.75" x14ac:dyDescent="0.2">
      <c r="B790" s="1168"/>
    </row>
    <row r="791" spans="2:2" s="221" customFormat="1" ht="12.75" x14ac:dyDescent="0.2">
      <c r="B791" s="1168"/>
    </row>
    <row r="792" spans="2:2" s="221" customFormat="1" ht="12.75" x14ac:dyDescent="0.2">
      <c r="B792" s="1168"/>
    </row>
    <row r="793" spans="2:2" s="221" customFormat="1" ht="12.75" x14ac:dyDescent="0.2">
      <c r="B793" s="1168"/>
    </row>
    <row r="794" spans="2:2" s="221" customFormat="1" ht="12.75" x14ac:dyDescent="0.2">
      <c r="B794" s="1168"/>
    </row>
    <row r="795" spans="2:2" s="221" customFormat="1" ht="12.75" x14ac:dyDescent="0.2">
      <c r="B795" s="1168"/>
    </row>
    <row r="796" spans="2:2" s="221" customFormat="1" ht="12.75" x14ac:dyDescent="0.2">
      <c r="B796" s="1168"/>
    </row>
    <row r="797" spans="2:2" s="221" customFormat="1" ht="12.75" x14ac:dyDescent="0.2">
      <c r="B797" s="1168"/>
    </row>
    <row r="798" spans="2:2" s="221" customFormat="1" ht="12.75" x14ac:dyDescent="0.2">
      <c r="B798" s="1168"/>
    </row>
    <row r="799" spans="2:2" s="221" customFormat="1" ht="12.75" x14ac:dyDescent="0.2">
      <c r="B799" s="1168"/>
    </row>
    <row r="800" spans="2:2" s="221" customFormat="1" ht="12.75" x14ac:dyDescent="0.2">
      <c r="B800" s="1168"/>
    </row>
    <row r="801" spans="2:2" s="221" customFormat="1" ht="12.75" x14ac:dyDescent="0.2">
      <c r="B801" s="1168"/>
    </row>
    <row r="802" spans="2:2" s="221" customFormat="1" ht="12.75" x14ac:dyDescent="0.2">
      <c r="B802" s="1168"/>
    </row>
    <row r="803" spans="2:2" s="221" customFormat="1" ht="12.75" x14ac:dyDescent="0.2">
      <c r="B803" s="1168"/>
    </row>
    <row r="804" spans="2:2" s="221" customFormat="1" ht="12.75" x14ac:dyDescent="0.2">
      <c r="B804" s="1168"/>
    </row>
    <row r="805" spans="2:2" s="221" customFormat="1" ht="12.75" x14ac:dyDescent="0.2">
      <c r="B805" s="1168"/>
    </row>
    <row r="806" spans="2:2" s="221" customFormat="1" ht="12.75" x14ac:dyDescent="0.2">
      <c r="B806" s="1168"/>
    </row>
    <row r="807" spans="2:2" s="221" customFormat="1" ht="12.75" x14ac:dyDescent="0.2">
      <c r="B807" s="1168"/>
    </row>
    <row r="808" spans="2:2" s="221" customFormat="1" ht="12.75" x14ac:dyDescent="0.2">
      <c r="B808" s="1168"/>
    </row>
    <row r="809" spans="2:2" s="221" customFormat="1" ht="12.75" x14ac:dyDescent="0.2">
      <c r="B809" s="1168"/>
    </row>
    <row r="810" spans="2:2" s="221" customFormat="1" ht="12.75" x14ac:dyDescent="0.2">
      <c r="B810" s="1168"/>
    </row>
    <row r="811" spans="2:2" s="221" customFormat="1" ht="12.75" x14ac:dyDescent="0.2">
      <c r="B811" s="1168"/>
    </row>
    <row r="812" spans="2:2" s="221" customFormat="1" ht="12.75" x14ac:dyDescent="0.2">
      <c r="B812" s="1168"/>
    </row>
    <row r="813" spans="2:2" s="221" customFormat="1" ht="12.75" x14ac:dyDescent="0.2">
      <c r="B813" s="1168"/>
    </row>
    <row r="814" spans="2:2" s="221" customFormat="1" ht="12.75" x14ac:dyDescent="0.2">
      <c r="B814" s="1168"/>
    </row>
    <row r="815" spans="2:2" s="221" customFormat="1" ht="12.75" x14ac:dyDescent="0.2">
      <c r="B815" s="1168"/>
    </row>
    <row r="816" spans="2:2" s="221" customFormat="1" ht="12.75" x14ac:dyDescent="0.2">
      <c r="B816" s="1168"/>
    </row>
    <row r="817" spans="2:2" s="221" customFormat="1" ht="12.75" x14ac:dyDescent="0.2">
      <c r="B817" s="1168"/>
    </row>
    <row r="818" spans="2:2" s="221" customFormat="1" ht="12.75" x14ac:dyDescent="0.2">
      <c r="B818" s="1168"/>
    </row>
    <row r="819" spans="2:2" s="221" customFormat="1" ht="12.75" x14ac:dyDescent="0.2">
      <c r="B819" s="1168"/>
    </row>
    <row r="820" spans="2:2" s="221" customFormat="1" ht="12.75" x14ac:dyDescent="0.2">
      <c r="B820" s="1168"/>
    </row>
    <row r="821" spans="2:2" s="221" customFormat="1" ht="12.75" x14ac:dyDescent="0.2">
      <c r="B821" s="1168"/>
    </row>
    <row r="822" spans="2:2" s="221" customFormat="1" ht="12.75" x14ac:dyDescent="0.2">
      <c r="B822" s="1168"/>
    </row>
    <row r="823" spans="2:2" s="221" customFormat="1" ht="12.75" x14ac:dyDescent="0.2">
      <c r="B823" s="1168"/>
    </row>
    <row r="824" spans="2:2" s="221" customFormat="1" ht="12.75" x14ac:dyDescent="0.2">
      <c r="B824" s="1168"/>
    </row>
    <row r="825" spans="2:2" s="221" customFormat="1" ht="12.75" x14ac:dyDescent="0.2">
      <c r="B825" s="1168"/>
    </row>
    <row r="826" spans="2:2" s="221" customFormat="1" ht="12.75" x14ac:dyDescent="0.2">
      <c r="B826" s="1168"/>
    </row>
    <row r="827" spans="2:2" s="221" customFormat="1" ht="12.75" x14ac:dyDescent="0.2">
      <c r="B827" s="1168"/>
    </row>
    <row r="828" spans="2:2" s="221" customFormat="1" ht="12.75" x14ac:dyDescent="0.2">
      <c r="B828" s="1168"/>
    </row>
    <row r="829" spans="2:2" s="221" customFormat="1" ht="12.75" x14ac:dyDescent="0.2">
      <c r="B829" s="1168"/>
    </row>
    <row r="830" spans="2:2" s="221" customFormat="1" ht="12.75" x14ac:dyDescent="0.2">
      <c r="B830" s="1168"/>
    </row>
    <row r="831" spans="2:2" s="221" customFormat="1" ht="12.75" x14ac:dyDescent="0.2">
      <c r="B831" s="1168"/>
    </row>
    <row r="832" spans="2:2" s="221" customFormat="1" ht="12.75" x14ac:dyDescent="0.2">
      <c r="B832" s="1168"/>
    </row>
    <row r="833" spans="2:2" s="221" customFormat="1" ht="12.75" x14ac:dyDescent="0.2">
      <c r="B833" s="1168"/>
    </row>
    <row r="834" spans="2:2" s="221" customFormat="1" ht="12.75" x14ac:dyDescent="0.2">
      <c r="B834" s="1168"/>
    </row>
    <row r="835" spans="2:2" s="221" customFormat="1" ht="12.75" x14ac:dyDescent="0.2">
      <c r="B835" s="1168"/>
    </row>
    <row r="836" spans="2:2" s="221" customFormat="1" ht="12.75" x14ac:dyDescent="0.2">
      <c r="B836" s="1168"/>
    </row>
    <row r="837" spans="2:2" s="221" customFormat="1" ht="12.75" x14ac:dyDescent="0.2">
      <c r="B837" s="1168"/>
    </row>
    <row r="838" spans="2:2" s="221" customFormat="1" ht="12.75" x14ac:dyDescent="0.2">
      <c r="B838" s="1168"/>
    </row>
    <row r="839" spans="2:2" s="221" customFormat="1" ht="12.75" x14ac:dyDescent="0.2">
      <c r="B839" s="1168"/>
    </row>
    <row r="840" spans="2:2" s="221" customFormat="1" ht="12.75" x14ac:dyDescent="0.2">
      <c r="B840" s="1168"/>
    </row>
    <row r="841" spans="2:2" s="221" customFormat="1" ht="12.75" x14ac:dyDescent="0.2">
      <c r="B841" s="1168"/>
    </row>
    <row r="842" spans="2:2" s="221" customFormat="1" ht="12.75" x14ac:dyDescent="0.2">
      <c r="B842" s="1168"/>
    </row>
    <row r="843" spans="2:2" s="221" customFormat="1" ht="12.75" x14ac:dyDescent="0.2">
      <c r="B843" s="1168"/>
    </row>
    <row r="844" spans="2:2" s="221" customFormat="1" ht="12.75" x14ac:dyDescent="0.2">
      <c r="B844" s="1168"/>
    </row>
    <row r="845" spans="2:2" s="221" customFormat="1" ht="12.75" x14ac:dyDescent="0.2">
      <c r="B845" s="1168"/>
    </row>
    <row r="846" spans="2:2" s="221" customFormat="1" ht="12.75" x14ac:dyDescent="0.2">
      <c r="B846" s="1168"/>
    </row>
    <row r="847" spans="2:2" s="221" customFormat="1" ht="12.75" x14ac:dyDescent="0.2">
      <c r="B847" s="1168"/>
    </row>
    <row r="848" spans="2:2" s="221" customFormat="1" ht="12.75" x14ac:dyDescent="0.2">
      <c r="B848" s="1168"/>
    </row>
    <row r="849" spans="2:2" s="221" customFormat="1" ht="12.75" x14ac:dyDescent="0.2">
      <c r="B849" s="1168"/>
    </row>
    <row r="850" spans="2:2" s="221" customFormat="1" ht="12.75" x14ac:dyDescent="0.2">
      <c r="B850" s="1168"/>
    </row>
    <row r="851" spans="2:2" s="221" customFormat="1" ht="12.75" x14ac:dyDescent="0.2">
      <c r="B851" s="1168"/>
    </row>
    <row r="852" spans="2:2" s="221" customFormat="1" ht="12.75" x14ac:dyDescent="0.2">
      <c r="B852" s="1168"/>
    </row>
    <row r="853" spans="2:2" s="221" customFormat="1" ht="12.75" x14ac:dyDescent="0.2">
      <c r="B853" s="1168"/>
    </row>
    <row r="854" spans="2:2" s="221" customFormat="1" ht="12.75" x14ac:dyDescent="0.2">
      <c r="B854" s="1168"/>
    </row>
    <row r="855" spans="2:2" s="221" customFormat="1" ht="12.75" x14ac:dyDescent="0.2">
      <c r="B855" s="1168"/>
    </row>
    <row r="856" spans="2:2" s="221" customFormat="1" ht="12.75" x14ac:dyDescent="0.2">
      <c r="B856" s="1168"/>
    </row>
    <row r="857" spans="2:2" s="221" customFormat="1" ht="12.75" x14ac:dyDescent="0.2">
      <c r="B857" s="1168"/>
    </row>
    <row r="858" spans="2:2" s="221" customFormat="1" ht="12.75" x14ac:dyDescent="0.2">
      <c r="B858" s="1168"/>
    </row>
    <row r="859" spans="2:2" s="221" customFormat="1" ht="12.75" x14ac:dyDescent="0.2">
      <c r="B859" s="1168"/>
    </row>
    <row r="860" spans="2:2" s="221" customFormat="1" ht="12.75" x14ac:dyDescent="0.2">
      <c r="B860" s="1168"/>
    </row>
    <row r="861" spans="2:2" s="221" customFormat="1" ht="12.75" x14ac:dyDescent="0.2">
      <c r="B861" s="1168"/>
    </row>
    <row r="862" spans="2:2" s="221" customFormat="1" ht="12.75" x14ac:dyDescent="0.2">
      <c r="B862" s="1168"/>
    </row>
    <row r="863" spans="2:2" s="221" customFormat="1" ht="12.75" x14ac:dyDescent="0.2">
      <c r="B863" s="1168"/>
    </row>
    <row r="864" spans="2:2" s="221" customFormat="1" ht="12.75" x14ac:dyDescent="0.2">
      <c r="B864" s="1168"/>
    </row>
    <row r="865" spans="2:2" s="221" customFormat="1" ht="12.75" x14ac:dyDescent="0.2">
      <c r="B865" s="1168"/>
    </row>
    <row r="866" spans="2:2" s="221" customFormat="1" ht="12.75" x14ac:dyDescent="0.2">
      <c r="B866" s="1168"/>
    </row>
    <row r="867" spans="2:2" s="221" customFormat="1" ht="12.75" x14ac:dyDescent="0.2">
      <c r="B867" s="1168"/>
    </row>
    <row r="868" spans="2:2" s="221" customFormat="1" ht="12.75" x14ac:dyDescent="0.2">
      <c r="B868" s="1168"/>
    </row>
    <row r="869" spans="2:2" s="221" customFormat="1" ht="12.75" x14ac:dyDescent="0.2">
      <c r="B869" s="1168"/>
    </row>
    <row r="870" spans="2:2" s="221" customFormat="1" ht="12.75" x14ac:dyDescent="0.2">
      <c r="B870" s="1168"/>
    </row>
    <row r="871" spans="2:2" s="221" customFormat="1" ht="12.75" x14ac:dyDescent="0.2">
      <c r="B871" s="1168"/>
    </row>
    <row r="872" spans="2:2" s="221" customFormat="1" ht="12.75" x14ac:dyDescent="0.2">
      <c r="B872" s="1168"/>
    </row>
    <row r="873" spans="2:2" s="221" customFormat="1" ht="12.75" x14ac:dyDescent="0.2">
      <c r="B873" s="1168"/>
    </row>
    <row r="874" spans="2:2" s="221" customFormat="1" ht="12.75" x14ac:dyDescent="0.2">
      <c r="B874" s="1168"/>
    </row>
    <row r="875" spans="2:2" s="221" customFormat="1" ht="12.75" x14ac:dyDescent="0.2">
      <c r="B875" s="1168"/>
    </row>
    <row r="876" spans="2:2" s="221" customFormat="1" ht="12.75" x14ac:dyDescent="0.2">
      <c r="B876" s="1168"/>
    </row>
    <row r="877" spans="2:2" s="221" customFormat="1" ht="12.75" x14ac:dyDescent="0.2">
      <c r="B877" s="1168"/>
    </row>
    <row r="878" spans="2:2" s="221" customFormat="1" ht="12.75" x14ac:dyDescent="0.2">
      <c r="B878" s="1168"/>
    </row>
    <row r="879" spans="2:2" s="221" customFormat="1" ht="12.75" x14ac:dyDescent="0.2">
      <c r="B879" s="1168"/>
    </row>
    <row r="880" spans="2:2" s="221" customFormat="1" ht="12.75" x14ac:dyDescent="0.2">
      <c r="B880" s="1168"/>
    </row>
    <row r="881" spans="2:2" s="221" customFormat="1" ht="12.75" x14ac:dyDescent="0.2">
      <c r="B881" s="1168"/>
    </row>
    <row r="882" spans="2:2" s="221" customFormat="1" ht="12.75" x14ac:dyDescent="0.2">
      <c r="B882" s="1168"/>
    </row>
    <row r="883" spans="2:2" s="221" customFormat="1" ht="12.75" x14ac:dyDescent="0.2">
      <c r="B883" s="1168"/>
    </row>
    <row r="884" spans="2:2" s="221" customFormat="1" ht="12.75" x14ac:dyDescent="0.2">
      <c r="B884" s="1168"/>
    </row>
    <row r="885" spans="2:2" s="221" customFormat="1" ht="12.75" x14ac:dyDescent="0.2">
      <c r="B885" s="1168"/>
    </row>
    <row r="886" spans="2:2" s="221" customFormat="1" ht="12.75" x14ac:dyDescent="0.2">
      <c r="B886" s="1168"/>
    </row>
    <row r="887" spans="2:2" s="221" customFormat="1" ht="12.75" x14ac:dyDescent="0.2">
      <c r="B887" s="1168"/>
    </row>
    <row r="888" spans="2:2" s="221" customFormat="1" ht="12.75" x14ac:dyDescent="0.2">
      <c r="B888" s="1168"/>
    </row>
    <row r="889" spans="2:2" s="221" customFormat="1" ht="12.75" x14ac:dyDescent="0.2">
      <c r="B889" s="1168"/>
    </row>
    <row r="890" spans="2:2" s="221" customFormat="1" ht="12.75" x14ac:dyDescent="0.2">
      <c r="B890" s="1168"/>
    </row>
    <row r="891" spans="2:2" s="221" customFormat="1" ht="12.75" x14ac:dyDescent="0.2">
      <c r="B891" s="1168"/>
    </row>
    <row r="892" spans="2:2" s="221" customFormat="1" ht="12.75" x14ac:dyDescent="0.2">
      <c r="B892" s="1168"/>
    </row>
    <row r="893" spans="2:2" s="221" customFormat="1" ht="12.75" x14ac:dyDescent="0.2">
      <c r="B893" s="1168"/>
    </row>
    <row r="894" spans="2:2" s="221" customFormat="1" ht="12.75" x14ac:dyDescent="0.2">
      <c r="B894" s="1168"/>
    </row>
    <row r="895" spans="2:2" s="221" customFormat="1" ht="12.75" x14ac:dyDescent="0.2">
      <c r="B895" s="1168"/>
    </row>
    <row r="896" spans="2:2" s="221" customFormat="1" ht="12.75" x14ac:dyDescent="0.2">
      <c r="B896" s="1168"/>
    </row>
    <row r="897" spans="2:2" s="221" customFormat="1" ht="12.75" x14ac:dyDescent="0.2">
      <c r="B897" s="1168"/>
    </row>
    <row r="898" spans="2:2" s="221" customFormat="1" ht="12.75" x14ac:dyDescent="0.2">
      <c r="B898" s="1168"/>
    </row>
    <row r="899" spans="2:2" s="221" customFormat="1" ht="12.75" x14ac:dyDescent="0.2">
      <c r="B899" s="1168"/>
    </row>
    <row r="900" spans="2:2" s="221" customFormat="1" ht="12.75" x14ac:dyDescent="0.2">
      <c r="B900" s="1168"/>
    </row>
    <row r="901" spans="2:2" s="221" customFormat="1" ht="12.75" x14ac:dyDescent="0.2">
      <c r="B901" s="1168"/>
    </row>
    <row r="902" spans="2:2" s="221" customFormat="1" ht="12.75" x14ac:dyDescent="0.2">
      <c r="B902" s="1168"/>
    </row>
    <row r="903" spans="2:2" s="221" customFormat="1" ht="12.75" x14ac:dyDescent="0.2">
      <c r="B903" s="1168"/>
    </row>
    <row r="904" spans="2:2" s="221" customFormat="1" ht="12.75" x14ac:dyDescent="0.2">
      <c r="B904" s="1168"/>
    </row>
    <row r="905" spans="2:2" s="221" customFormat="1" ht="12.75" x14ac:dyDescent="0.2">
      <c r="B905" s="1168"/>
    </row>
    <row r="906" spans="2:2" s="221" customFormat="1" ht="12.75" x14ac:dyDescent="0.2">
      <c r="B906" s="1168"/>
    </row>
    <row r="907" spans="2:2" s="221" customFormat="1" ht="12.75" x14ac:dyDescent="0.2">
      <c r="B907" s="1168"/>
    </row>
    <row r="908" spans="2:2" s="221" customFormat="1" ht="12.75" x14ac:dyDescent="0.2">
      <c r="B908" s="1168"/>
    </row>
    <row r="909" spans="2:2" s="221" customFormat="1" ht="12.75" x14ac:dyDescent="0.2">
      <c r="B909" s="1168"/>
    </row>
    <row r="910" spans="2:2" s="221" customFormat="1" ht="12.75" x14ac:dyDescent="0.2">
      <c r="B910" s="1168"/>
    </row>
    <row r="911" spans="2:2" s="221" customFormat="1" ht="12.75" x14ac:dyDescent="0.2">
      <c r="B911" s="1168"/>
    </row>
    <row r="912" spans="2:2" s="221" customFormat="1" ht="12.75" x14ac:dyDescent="0.2">
      <c r="B912" s="1168"/>
    </row>
    <row r="913" spans="2:2" s="221" customFormat="1" ht="12.75" x14ac:dyDescent="0.2">
      <c r="B913" s="1168"/>
    </row>
    <row r="914" spans="2:2" s="221" customFormat="1" ht="12.75" x14ac:dyDescent="0.2">
      <c r="B914" s="1168"/>
    </row>
    <row r="915" spans="2:2" s="221" customFormat="1" ht="12.75" x14ac:dyDescent="0.2">
      <c r="B915" s="1168"/>
    </row>
    <row r="916" spans="2:2" s="221" customFormat="1" ht="12.75" x14ac:dyDescent="0.2">
      <c r="B916" s="1168"/>
    </row>
    <row r="917" spans="2:2" s="221" customFormat="1" ht="12.75" x14ac:dyDescent="0.2">
      <c r="B917" s="1168"/>
    </row>
    <row r="918" spans="2:2" s="221" customFormat="1" ht="12.75" x14ac:dyDescent="0.2">
      <c r="B918" s="1168"/>
    </row>
    <row r="919" spans="2:2" s="221" customFormat="1" ht="12.75" x14ac:dyDescent="0.2">
      <c r="B919" s="1168"/>
    </row>
    <row r="920" spans="2:2" s="221" customFormat="1" ht="12.75" x14ac:dyDescent="0.2">
      <c r="B920" s="1168"/>
    </row>
    <row r="921" spans="2:2" s="221" customFormat="1" ht="12.75" x14ac:dyDescent="0.2">
      <c r="B921" s="1168"/>
    </row>
    <row r="922" spans="2:2" s="221" customFormat="1" ht="12.75" x14ac:dyDescent="0.2">
      <c r="B922" s="1168"/>
    </row>
    <row r="923" spans="2:2" s="221" customFormat="1" ht="12.75" x14ac:dyDescent="0.2">
      <c r="B923" s="1168"/>
    </row>
    <row r="924" spans="2:2" s="221" customFormat="1" ht="12.75" x14ac:dyDescent="0.2">
      <c r="B924" s="1168"/>
    </row>
    <row r="925" spans="2:2" s="221" customFormat="1" ht="12.75" x14ac:dyDescent="0.2">
      <c r="B925" s="1168"/>
    </row>
    <row r="926" spans="2:2" s="221" customFormat="1" ht="12.75" x14ac:dyDescent="0.2">
      <c r="B926" s="1168"/>
    </row>
    <row r="927" spans="2:2" s="221" customFormat="1" ht="12.75" x14ac:dyDescent="0.2">
      <c r="B927" s="1168"/>
    </row>
    <row r="928" spans="2:2" s="221" customFormat="1" ht="12.75" x14ac:dyDescent="0.2">
      <c r="B928" s="1168"/>
    </row>
    <row r="929" spans="2:2" s="221" customFormat="1" ht="12.75" x14ac:dyDescent="0.2">
      <c r="B929" s="1168"/>
    </row>
    <row r="930" spans="2:2" s="221" customFormat="1" ht="12.75" x14ac:dyDescent="0.2">
      <c r="B930" s="1168"/>
    </row>
    <row r="931" spans="2:2" s="221" customFormat="1" ht="12.75" x14ac:dyDescent="0.2">
      <c r="B931" s="1168"/>
    </row>
    <row r="932" spans="2:2" s="221" customFormat="1" ht="12.75" x14ac:dyDescent="0.2">
      <c r="B932" s="1168"/>
    </row>
    <row r="933" spans="2:2" s="221" customFormat="1" ht="12.75" x14ac:dyDescent="0.2">
      <c r="B933" s="1168"/>
    </row>
    <row r="934" spans="2:2" s="221" customFormat="1" ht="12.75" x14ac:dyDescent="0.2">
      <c r="B934" s="1168"/>
    </row>
    <row r="935" spans="2:2" s="221" customFormat="1" ht="12.75" x14ac:dyDescent="0.2">
      <c r="B935" s="1168"/>
    </row>
    <row r="936" spans="2:2" s="221" customFormat="1" ht="12.75" x14ac:dyDescent="0.2">
      <c r="B936" s="1168"/>
    </row>
    <row r="937" spans="2:2" s="221" customFormat="1" ht="12.75" x14ac:dyDescent="0.2">
      <c r="B937" s="1168"/>
    </row>
    <row r="938" spans="2:2" s="221" customFormat="1" ht="12.75" x14ac:dyDescent="0.2">
      <c r="B938" s="1168"/>
    </row>
    <row r="939" spans="2:2" s="221" customFormat="1" ht="12.75" x14ac:dyDescent="0.2">
      <c r="B939" s="1168"/>
    </row>
    <row r="940" spans="2:2" s="221" customFormat="1" ht="12.75" x14ac:dyDescent="0.2">
      <c r="B940" s="1168"/>
    </row>
    <row r="941" spans="2:2" s="221" customFormat="1" ht="12.75" x14ac:dyDescent="0.2">
      <c r="B941" s="1168"/>
    </row>
    <row r="942" spans="2:2" s="221" customFormat="1" ht="12.75" x14ac:dyDescent="0.2">
      <c r="B942" s="1168"/>
    </row>
    <row r="943" spans="2:2" s="221" customFormat="1" ht="12.75" x14ac:dyDescent="0.2">
      <c r="B943" s="1168"/>
    </row>
    <row r="944" spans="2:2" s="221" customFormat="1" ht="12.75" x14ac:dyDescent="0.2">
      <c r="B944" s="1168"/>
    </row>
    <row r="945" spans="2:2" s="221" customFormat="1" ht="12.75" x14ac:dyDescent="0.2">
      <c r="B945" s="1168"/>
    </row>
    <row r="946" spans="2:2" s="221" customFormat="1" ht="12.75" x14ac:dyDescent="0.2">
      <c r="B946" s="1168"/>
    </row>
    <row r="947" spans="2:2" s="221" customFormat="1" ht="12.75" x14ac:dyDescent="0.2">
      <c r="B947" s="1168"/>
    </row>
    <row r="948" spans="2:2" s="221" customFormat="1" ht="12.75" x14ac:dyDescent="0.2">
      <c r="B948" s="1168"/>
    </row>
    <row r="949" spans="2:2" s="221" customFormat="1" ht="12.75" x14ac:dyDescent="0.2">
      <c r="B949" s="1168"/>
    </row>
    <row r="950" spans="2:2" s="221" customFormat="1" ht="12.75" x14ac:dyDescent="0.2">
      <c r="B950" s="1168"/>
    </row>
    <row r="951" spans="2:2" s="221" customFormat="1" ht="12.75" x14ac:dyDescent="0.2">
      <c r="B951" s="1168"/>
    </row>
    <row r="952" spans="2:2" s="221" customFormat="1" ht="12.75" x14ac:dyDescent="0.2">
      <c r="B952" s="1168"/>
    </row>
    <row r="953" spans="2:2" s="221" customFormat="1" ht="12.75" x14ac:dyDescent="0.2">
      <c r="B953" s="1168"/>
    </row>
    <row r="954" spans="2:2" s="221" customFormat="1" ht="12.75" x14ac:dyDescent="0.2">
      <c r="B954" s="1168"/>
    </row>
    <row r="955" spans="2:2" s="221" customFormat="1" ht="12.75" x14ac:dyDescent="0.2">
      <c r="B955" s="1168"/>
    </row>
    <row r="956" spans="2:2" s="221" customFormat="1" ht="12.75" x14ac:dyDescent="0.2">
      <c r="B956" s="1168"/>
    </row>
    <row r="957" spans="2:2" s="221" customFormat="1" ht="12.75" x14ac:dyDescent="0.2">
      <c r="B957" s="1168"/>
    </row>
    <row r="958" spans="2:2" s="221" customFormat="1" ht="12.75" x14ac:dyDescent="0.2">
      <c r="B958" s="1168"/>
    </row>
    <row r="959" spans="2:2" s="221" customFormat="1" ht="12.75" x14ac:dyDescent="0.2">
      <c r="B959" s="1168"/>
    </row>
    <row r="960" spans="2:2" s="221" customFormat="1" ht="12.75" x14ac:dyDescent="0.2">
      <c r="B960" s="1168"/>
    </row>
    <row r="961" spans="2:2" s="221" customFormat="1" ht="12.75" x14ac:dyDescent="0.2">
      <c r="B961" s="1168"/>
    </row>
    <row r="962" spans="2:2" s="221" customFormat="1" ht="12.75" x14ac:dyDescent="0.2">
      <c r="B962" s="1168"/>
    </row>
    <row r="963" spans="2:2" s="221" customFormat="1" ht="12.75" x14ac:dyDescent="0.2">
      <c r="B963" s="1168"/>
    </row>
    <row r="964" spans="2:2" s="221" customFormat="1" ht="12.75" x14ac:dyDescent="0.2">
      <c r="B964" s="1168"/>
    </row>
    <row r="965" spans="2:2" s="221" customFormat="1" ht="12.75" x14ac:dyDescent="0.2">
      <c r="B965" s="1168"/>
    </row>
    <row r="966" spans="2:2" s="221" customFormat="1" ht="12.75" x14ac:dyDescent="0.2">
      <c r="B966" s="1168"/>
    </row>
    <row r="967" spans="2:2" s="221" customFormat="1" ht="12.75" x14ac:dyDescent="0.2">
      <c r="B967" s="1168"/>
    </row>
    <row r="968" spans="2:2" s="221" customFormat="1" ht="12.75" x14ac:dyDescent="0.2">
      <c r="B968" s="1168"/>
    </row>
    <row r="969" spans="2:2" s="221" customFormat="1" ht="12.75" x14ac:dyDescent="0.2">
      <c r="B969" s="1168"/>
    </row>
    <row r="970" spans="2:2" s="221" customFormat="1" ht="12.75" x14ac:dyDescent="0.2">
      <c r="B970" s="1168"/>
    </row>
    <row r="971" spans="2:2" s="221" customFormat="1" ht="12.75" x14ac:dyDescent="0.2">
      <c r="B971" s="1168"/>
    </row>
    <row r="972" spans="2:2" s="221" customFormat="1" ht="12.75" x14ac:dyDescent="0.2">
      <c r="B972" s="1168"/>
    </row>
    <row r="973" spans="2:2" s="221" customFormat="1" ht="12.75" x14ac:dyDescent="0.2">
      <c r="B973" s="1168"/>
    </row>
    <row r="974" spans="2:2" s="221" customFormat="1" ht="12.75" x14ac:dyDescent="0.2">
      <c r="B974" s="1168"/>
    </row>
    <row r="975" spans="2:2" s="221" customFormat="1" ht="12.75" x14ac:dyDescent="0.2">
      <c r="B975" s="1168"/>
    </row>
    <row r="976" spans="2:2" s="221" customFormat="1" ht="12.75" x14ac:dyDescent="0.2">
      <c r="B976" s="1168"/>
    </row>
    <row r="977" spans="2:2" s="221" customFormat="1" ht="12.75" x14ac:dyDescent="0.2">
      <c r="B977" s="1168"/>
    </row>
    <row r="978" spans="2:2" s="221" customFormat="1" ht="12.75" x14ac:dyDescent="0.2">
      <c r="B978" s="1168"/>
    </row>
    <row r="979" spans="2:2" s="221" customFormat="1" ht="12.75" x14ac:dyDescent="0.2">
      <c r="B979" s="1168"/>
    </row>
    <row r="980" spans="2:2" s="221" customFormat="1" ht="12.75" x14ac:dyDescent="0.2">
      <c r="B980" s="1168"/>
    </row>
    <row r="981" spans="2:2" s="221" customFormat="1" ht="12.75" x14ac:dyDescent="0.2">
      <c r="B981" s="1168"/>
    </row>
    <row r="982" spans="2:2" s="221" customFormat="1" ht="12.75" x14ac:dyDescent="0.2">
      <c r="B982" s="1168"/>
    </row>
    <row r="983" spans="2:2" s="221" customFormat="1" ht="12.75" x14ac:dyDescent="0.2">
      <c r="B983" s="1168"/>
    </row>
    <row r="984" spans="2:2" s="221" customFormat="1" ht="12.75" x14ac:dyDescent="0.2">
      <c r="B984" s="1168"/>
    </row>
    <row r="985" spans="2:2" s="221" customFormat="1" ht="12.75" x14ac:dyDescent="0.2">
      <c r="B985" s="1168"/>
    </row>
    <row r="986" spans="2:2" s="221" customFormat="1" ht="12.75" x14ac:dyDescent="0.2">
      <c r="B986" s="1168"/>
    </row>
    <row r="987" spans="2:2" s="221" customFormat="1" ht="12.75" x14ac:dyDescent="0.2">
      <c r="B987" s="1168"/>
    </row>
    <row r="988" spans="2:2" s="221" customFormat="1" ht="12.75" x14ac:dyDescent="0.2">
      <c r="B988" s="1168"/>
    </row>
    <row r="989" spans="2:2" s="221" customFormat="1" ht="12.75" x14ac:dyDescent="0.2">
      <c r="B989" s="1168"/>
    </row>
    <row r="990" spans="2:2" s="221" customFormat="1" ht="12.75" x14ac:dyDescent="0.2">
      <c r="B990" s="1168"/>
    </row>
    <row r="991" spans="2:2" s="221" customFormat="1" ht="12.75" x14ac:dyDescent="0.2">
      <c r="B991" s="1168"/>
    </row>
    <row r="992" spans="2:2" s="221" customFormat="1" ht="12.75" x14ac:dyDescent="0.2">
      <c r="B992" s="1168"/>
    </row>
    <row r="993" spans="2:2" s="221" customFormat="1" ht="12.75" x14ac:dyDescent="0.2">
      <c r="B993" s="1168"/>
    </row>
    <row r="994" spans="2:2" s="221" customFormat="1" ht="12.75" x14ac:dyDescent="0.2">
      <c r="B994" s="1168"/>
    </row>
    <row r="995" spans="2:2" s="221" customFormat="1" ht="12.75" x14ac:dyDescent="0.2">
      <c r="B995" s="1168"/>
    </row>
    <row r="996" spans="2:2" s="221" customFormat="1" ht="12.75" x14ac:dyDescent="0.2">
      <c r="B996" s="1168"/>
    </row>
    <row r="997" spans="2:2" s="221" customFormat="1" ht="12.75" x14ac:dyDescent="0.2">
      <c r="B997" s="1168"/>
    </row>
    <row r="998" spans="2:2" s="221" customFormat="1" ht="12.75" x14ac:dyDescent="0.2">
      <c r="B998" s="1168"/>
    </row>
    <row r="999" spans="2:2" s="221" customFormat="1" ht="12.75" x14ac:dyDescent="0.2">
      <c r="B999" s="1168"/>
    </row>
    <row r="1000" spans="2:2" s="221" customFormat="1" ht="12.75" x14ac:dyDescent="0.2">
      <c r="B1000" s="1168"/>
    </row>
    <row r="1001" spans="2:2" s="221" customFormat="1" ht="12.75" x14ac:dyDescent="0.2">
      <c r="B1001" s="1168"/>
    </row>
    <row r="1002" spans="2:2" s="221" customFormat="1" ht="12.75" x14ac:dyDescent="0.2">
      <c r="B1002" s="1168"/>
    </row>
    <row r="1003" spans="2:2" s="221" customFormat="1" ht="12.75" x14ac:dyDescent="0.2">
      <c r="B1003" s="1168"/>
    </row>
    <row r="1004" spans="2:2" s="221" customFormat="1" ht="12.75" x14ac:dyDescent="0.2">
      <c r="B1004" s="1168"/>
    </row>
    <row r="1005" spans="2:2" s="221" customFormat="1" ht="12.75" x14ac:dyDescent="0.2">
      <c r="B1005" s="1168"/>
    </row>
    <row r="1006" spans="2:2" s="221" customFormat="1" ht="12.75" x14ac:dyDescent="0.2">
      <c r="B1006" s="1168"/>
    </row>
    <row r="1007" spans="2:2" s="221" customFormat="1" ht="12.75" x14ac:dyDescent="0.2">
      <c r="B1007" s="1168"/>
    </row>
    <row r="1008" spans="2:2" s="221" customFormat="1" ht="12.75" x14ac:dyDescent="0.2">
      <c r="B1008" s="1168"/>
    </row>
    <row r="1009" spans="2:2" s="221" customFormat="1" ht="12.75" x14ac:dyDescent="0.2">
      <c r="B1009" s="1168"/>
    </row>
    <row r="1010" spans="2:2" s="221" customFormat="1" ht="12.75" x14ac:dyDescent="0.2">
      <c r="B1010" s="1168"/>
    </row>
    <row r="1011" spans="2:2" s="221" customFormat="1" ht="12.75" x14ac:dyDescent="0.2">
      <c r="B1011" s="1168"/>
    </row>
    <row r="1012" spans="2:2" s="221" customFormat="1" ht="12.75" x14ac:dyDescent="0.2">
      <c r="B1012" s="1168"/>
    </row>
    <row r="1013" spans="2:2" s="221" customFormat="1" ht="12.75" x14ac:dyDescent="0.2">
      <c r="B1013" s="1168"/>
    </row>
    <row r="1014" spans="2:2" s="221" customFormat="1" ht="12.75" x14ac:dyDescent="0.2">
      <c r="B1014" s="1168"/>
    </row>
    <row r="1015" spans="2:2" s="221" customFormat="1" ht="12.75" x14ac:dyDescent="0.2">
      <c r="B1015" s="1168"/>
    </row>
    <row r="1016" spans="2:2" s="221" customFormat="1" ht="12.75" x14ac:dyDescent="0.2">
      <c r="B1016" s="1168"/>
    </row>
    <row r="1017" spans="2:2" s="221" customFormat="1" ht="12.75" x14ac:dyDescent="0.2">
      <c r="B1017" s="1168"/>
    </row>
    <row r="1018" spans="2:2" s="221" customFormat="1" ht="12.75" x14ac:dyDescent="0.2">
      <c r="B1018" s="1168"/>
    </row>
    <row r="1019" spans="2:2" s="221" customFormat="1" ht="12.75" x14ac:dyDescent="0.2">
      <c r="B1019" s="1168"/>
    </row>
    <row r="1020" spans="2:2" s="221" customFormat="1" ht="12.75" x14ac:dyDescent="0.2">
      <c r="B1020" s="1168"/>
    </row>
    <row r="1021" spans="2:2" s="221" customFormat="1" ht="12.75" x14ac:dyDescent="0.2">
      <c r="B1021" s="1168"/>
    </row>
    <row r="1022" spans="2:2" s="221" customFormat="1" ht="12.75" x14ac:dyDescent="0.2">
      <c r="B1022" s="1168"/>
    </row>
    <row r="1023" spans="2:2" s="221" customFormat="1" ht="12.75" x14ac:dyDescent="0.2">
      <c r="B1023" s="1168"/>
    </row>
    <row r="1024" spans="2:2" s="221" customFormat="1" ht="12.75" x14ac:dyDescent="0.2">
      <c r="B1024" s="1168"/>
    </row>
    <row r="1025" spans="2:2" s="221" customFormat="1" ht="12.75" x14ac:dyDescent="0.2">
      <c r="B1025" s="1168"/>
    </row>
    <row r="1026" spans="2:2" s="221" customFormat="1" ht="12.75" x14ac:dyDescent="0.2">
      <c r="B1026" s="1168"/>
    </row>
    <row r="1027" spans="2:2" s="221" customFormat="1" ht="12.75" x14ac:dyDescent="0.2">
      <c r="B1027" s="1168"/>
    </row>
    <row r="1028" spans="2:2" s="221" customFormat="1" ht="12.75" x14ac:dyDescent="0.2">
      <c r="B1028" s="1168"/>
    </row>
    <row r="1029" spans="2:2" s="221" customFormat="1" ht="12.75" x14ac:dyDescent="0.2">
      <c r="B1029" s="1168"/>
    </row>
    <row r="1030" spans="2:2" s="221" customFormat="1" ht="12.75" x14ac:dyDescent="0.2">
      <c r="B1030" s="1168"/>
    </row>
    <row r="1031" spans="2:2" s="221" customFormat="1" ht="12.75" x14ac:dyDescent="0.2">
      <c r="B1031" s="1168"/>
    </row>
    <row r="1032" spans="2:2" s="221" customFormat="1" ht="12.75" x14ac:dyDescent="0.2">
      <c r="B1032" s="1168"/>
    </row>
    <row r="1033" spans="2:2" s="221" customFormat="1" ht="12.75" x14ac:dyDescent="0.2">
      <c r="B1033" s="1168"/>
    </row>
    <row r="1034" spans="2:2" s="221" customFormat="1" ht="12.75" x14ac:dyDescent="0.2">
      <c r="B1034" s="1168"/>
    </row>
    <row r="1035" spans="2:2" s="221" customFormat="1" ht="12.75" x14ac:dyDescent="0.2">
      <c r="B1035" s="1168"/>
    </row>
    <row r="1036" spans="2:2" s="221" customFormat="1" ht="12.75" x14ac:dyDescent="0.2">
      <c r="B1036" s="1168"/>
    </row>
    <row r="1037" spans="2:2" s="221" customFormat="1" ht="12.75" x14ac:dyDescent="0.2">
      <c r="B1037" s="1168"/>
    </row>
    <row r="1038" spans="2:2" s="221" customFormat="1" ht="12.75" x14ac:dyDescent="0.2">
      <c r="B1038" s="1168"/>
    </row>
    <row r="1039" spans="2:2" s="221" customFormat="1" ht="12.75" x14ac:dyDescent="0.2">
      <c r="B1039" s="1168"/>
    </row>
    <row r="1040" spans="2:2" s="221" customFormat="1" ht="12.75" x14ac:dyDescent="0.2">
      <c r="B1040" s="1168"/>
    </row>
    <row r="1041" spans="2:2" s="221" customFormat="1" ht="12.75" x14ac:dyDescent="0.2">
      <c r="B1041" s="1168"/>
    </row>
    <row r="1042" spans="2:2" s="221" customFormat="1" ht="12.75" x14ac:dyDescent="0.2">
      <c r="B1042" s="1168"/>
    </row>
    <row r="1043" spans="2:2" s="221" customFormat="1" ht="12.75" x14ac:dyDescent="0.2">
      <c r="B1043" s="1168"/>
    </row>
    <row r="1044" spans="2:2" s="221" customFormat="1" ht="12.75" x14ac:dyDescent="0.2">
      <c r="B1044" s="1168"/>
    </row>
    <row r="1045" spans="2:2" s="221" customFormat="1" ht="12.75" x14ac:dyDescent="0.2">
      <c r="B1045" s="1168"/>
    </row>
    <row r="1046" spans="2:2" s="221" customFormat="1" ht="12.75" x14ac:dyDescent="0.2">
      <c r="B1046" s="1168"/>
    </row>
    <row r="1047" spans="2:2" s="221" customFormat="1" ht="12.75" x14ac:dyDescent="0.2">
      <c r="B1047" s="1168"/>
    </row>
    <row r="1048" spans="2:2" s="221" customFormat="1" ht="12.75" x14ac:dyDescent="0.2">
      <c r="B1048" s="1168"/>
    </row>
    <row r="1049" spans="2:2" s="221" customFormat="1" ht="12.75" x14ac:dyDescent="0.2">
      <c r="B1049" s="1168"/>
    </row>
    <row r="1050" spans="2:2" s="221" customFormat="1" ht="12.75" x14ac:dyDescent="0.2">
      <c r="B1050" s="1168"/>
    </row>
    <row r="1051" spans="2:2" s="221" customFormat="1" ht="12.75" x14ac:dyDescent="0.2">
      <c r="B1051" s="1168"/>
    </row>
    <row r="1052" spans="2:2" s="221" customFormat="1" ht="12.75" x14ac:dyDescent="0.2">
      <c r="B1052" s="1168"/>
    </row>
    <row r="1053" spans="2:2" s="221" customFormat="1" ht="12.75" x14ac:dyDescent="0.2">
      <c r="B1053" s="1168"/>
    </row>
    <row r="1054" spans="2:2" s="221" customFormat="1" ht="12.75" x14ac:dyDescent="0.2">
      <c r="B1054" s="1168"/>
    </row>
    <row r="1055" spans="2:2" s="221" customFormat="1" ht="12.75" x14ac:dyDescent="0.2">
      <c r="B1055" s="1168"/>
    </row>
    <row r="1056" spans="2:2" s="221" customFormat="1" ht="12.75" x14ac:dyDescent="0.2">
      <c r="B1056" s="1168"/>
    </row>
    <row r="1057" spans="2:2" s="221" customFormat="1" ht="12.75" x14ac:dyDescent="0.2">
      <c r="B1057" s="1168"/>
    </row>
    <row r="1058" spans="2:2" s="221" customFormat="1" ht="12.75" x14ac:dyDescent="0.2">
      <c r="B1058" s="1168"/>
    </row>
    <row r="1059" spans="2:2" s="221" customFormat="1" ht="12.75" x14ac:dyDescent="0.2">
      <c r="B1059" s="1168"/>
    </row>
    <row r="1060" spans="2:2" s="221" customFormat="1" ht="12.75" x14ac:dyDescent="0.2">
      <c r="B1060" s="1168"/>
    </row>
    <row r="1061" spans="2:2" s="221" customFormat="1" ht="12.75" x14ac:dyDescent="0.2">
      <c r="B1061" s="1168"/>
    </row>
    <row r="1062" spans="2:2" s="221" customFormat="1" ht="12.75" x14ac:dyDescent="0.2">
      <c r="B1062" s="1168"/>
    </row>
    <row r="1063" spans="2:2" s="221" customFormat="1" ht="12.75" x14ac:dyDescent="0.2">
      <c r="B1063" s="1168"/>
    </row>
    <row r="1064" spans="2:2" s="221" customFormat="1" ht="12.75" x14ac:dyDescent="0.2">
      <c r="B1064" s="1168"/>
    </row>
    <row r="1065" spans="2:2" s="221" customFormat="1" ht="12.75" x14ac:dyDescent="0.2">
      <c r="B1065" s="1168"/>
    </row>
    <row r="1066" spans="2:2" s="221" customFormat="1" ht="12.75" x14ac:dyDescent="0.2">
      <c r="B1066" s="1168"/>
    </row>
    <row r="1067" spans="2:2" s="221" customFormat="1" ht="12.75" x14ac:dyDescent="0.2">
      <c r="B1067" s="1168"/>
    </row>
    <row r="1068" spans="2:2" s="221" customFormat="1" ht="12.75" x14ac:dyDescent="0.2">
      <c r="B1068" s="1168"/>
    </row>
    <row r="1069" spans="2:2" s="221" customFormat="1" ht="12.75" x14ac:dyDescent="0.2">
      <c r="B1069" s="1168"/>
    </row>
    <row r="1070" spans="2:2" s="221" customFormat="1" ht="12.75" x14ac:dyDescent="0.2">
      <c r="B1070" s="1168"/>
    </row>
    <row r="1071" spans="2:2" s="221" customFormat="1" ht="12.75" x14ac:dyDescent="0.2">
      <c r="B1071" s="1168"/>
    </row>
    <row r="1072" spans="2:2" s="221" customFormat="1" ht="12.75" x14ac:dyDescent="0.2">
      <c r="B1072" s="1168"/>
    </row>
    <row r="1073" spans="2:2" s="221" customFormat="1" ht="12.75" x14ac:dyDescent="0.2">
      <c r="B1073" s="1168"/>
    </row>
    <row r="1074" spans="2:2" s="221" customFormat="1" ht="12.75" x14ac:dyDescent="0.2">
      <c r="B1074" s="1168"/>
    </row>
    <row r="1075" spans="2:2" s="221" customFormat="1" ht="12.75" x14ac:dyDescent="0.2">
      <c r="B1075" s="1168"/>
    </row>
    <row r="1076" spans="2:2" s="221" customFormat="1" ht="12.75" x14ac:dyDescent="0.2">
      <c r="B1076" s="1168"/>
    </row>
    <row r="1077" spans="2:2" s="221" customFormat="1" ht="12.75" x14ac:dyDescent="0.2">
      <c r="B1077" s="1168"/>
    </row>
    <row r="1078" spans="2:2" s="221" customFormat="1" ht="12.75" x14ac:dyDescent="0.2">
      <c r="B1078" s="1168"/>
    </row>
    <row r="1079" spans="2:2" s="221" customFormat="1" ht="12.75" x14ac:dyDescent="0.2">
      <c r="B1079" s="1168"/>
    </row>
    <row r="1080" spans="2:2" s="221" customFormat="1" ht="12.75" x14ac:dyDescent="0.2">
      <c r="B1080" s="1168"/>
    </row>
    <row r="1081" spans="2:2" s="221" customFormat="1" ht="12.75" x14ac:dyDescent="0.2">
      <c r="B1081" s="1168"/>
    </row>
    <row r="1082" spans="2:2" s="221" customFormat="1" ht="12.75" x14ac:dyDescent="0.2">
      <c r="B1082" s="1168"/>
    </row>
    <row r="1083" spans="2:2" s="221" customFormat="1" ht="12.75" x14ac:dyDescent="0.2">
      <c r="B1083" s="1168"/>
    </row>
    <row r="1084" spans="2:2" s="221" customFormat="1" ht="12.75" x14ac:dyDescent="0.2">
      <c r="B1084" s="1168"/>
    </row>
    <row r="1085" spans="2:2" s="221" customFormat="1" ht="12.75" x14ac:dyDescent="0.2">
      <c r="B1085" s="1168"/>
    </row>
    <row r="1086" spans="2:2" s="221" customFormat="1" ht="12.75" x14ac:dyDescent="0.2">
      <c r="B1086" s="1168"/>
    </row>
    <row r="1087" spans="2:2" s="221" customFormat="1" ht="12.75" x14ac:dyDescent="0.2">
      <c r="B1087" s="1168"/>
    </row>
    <row r="1088" spans="2:2" s="221" customFormat="1" ht="12.75" x14ac:dyDescent="0.2">
      <c r="B1088" s="1168"/>
    </row>
    <row r="1089" spans="2:2" s="221" customFormat="1" ht="12.75" x14ac:dyDescent="0.2">
      <c r="B1089" s="1168"/>
    </row>
    <row r="1090" spans="2:2" s="221" customFormat="1" ht="12.75" x14ac:dyDescent="0.2">
      <c r="B1090" s="1168"/>
    </row>
    <row r="1091" spans="2:2" s="221" customFormat="1" ht="12.75" x14ac:dyDescent="0.2">
      <c r="B1091" s="1168"/>
    </row>
    <row r="1092" spans="2:2" s="221" customFormat="1" ht="12.75" x14ac:dyDescent="0.2">
      <c r="B1092" s="1168"/>
    </row>
    <row r="1093" spans="2:2" s="221" customFormat="1" ht="12.75" x14ac:dyDescent="0.2">
      <c r="B1093" s="1168"/>
    </row>
    <row r="1094" spans="2:2" s="221" customFormat="1" ht="12.75" x14ac:dyDescent="0.2">
      <c r="B1094" s="1168"/>
    </row>
    <row r="1095" spans="2:2" s="221" customFormat="1" ht="12.75" x14ac:dyDescent="0.2">
      <c r="B1095" s="1168"/>
    </row>
    <row r="1096" spans="2:2" s="221" customFormat="1" ht="12.75" x14ac:dyDescent="0.2">
      <c r="B1096" s="1168"/>
    </row>
    <row r="1097" spans="2:2" s="221" customFormat="1" ht="12.75" x14ac:dyDescent="0.2">
      <c r="B1097" s="1168"/>
    </row>
    <row r="1098" spans="2:2" s="221" customFormat="1" ht="12.75" x14ac:dyDescent="0.2">
      <c r="B1098" s="1168"/>
    </row>
    <row r="1099" spans="2:2" s="221" customFormat="1" ht="12.75" x14ac:dyDescent="0.2">
      <c r="B1099" s="1168"/>
    </row>
    <row r="1100" spans="2:2" s="221" customFormat="1" ht="12.75" x14ac:dyDescent="0.2">
      <c r="B1100" s="1168"/>
    </row>
    <row r="1101" spans="2:2" s="221" customFormat="1" ht="12.75" x14ac:dyDescent="0.2">
      <c r="B1101" s="1168"/>
    </row>
    <row r="1102" spans="2:2" s="221" customFormat="1" ht="12.75" x14ac:dyDescent="0.2">
      <c r="B1102" s="1168"/>
    </row>
    <row r="1103" spans="2:2" s="221" customFormat="1" ht="12.75" x14ac:dyDescent="0.2">
      <c r="B1103" s="1168"/>
    </row>
    <row r="1104" spans="2:2" s="221" customFormat="1" ht="12.75" x14ac:dyDescent="0.2">
      <c r="B1104" s="1168"/>
    </row>
    <row r="1105" spans="2:2" s="221" customFormat="1" ht="12.75" x14ac:dyDescent="0.2">
      <c r="B1105" s="1168"/>
    </row>
    <row r="1106" spans="2:2" s="221" customFormat="1" ht="12.75" x14ac:dyDescent="0.2">
      <c r="B1106" s="1168"/>
    </row>
    <row r="1107" spans="2:2" s="221" customFormat="1" ht="12.75" x14ac:dyDescent="0.2">
      <c r="B1107" s="1168"/>
    </row>
    <row r="1108" spans="2:2" s="221" customFormat="1" ht="12.75" x14ac:dyDescent="0.2">
      <c r="B1108" s="1168"/>
    </row>
    <row r="1109" spans="2:2" s="221" customFormat="1" ht="12.75" x14ac:dyDescent="0.2">
      <c r="B1109" s="1168"/>
    </row>
    <row r="1110" spans="2:2" s="221" customFormat="1" ht="12.75" x14ac:dyDescent="0.2">
      <c r="B1110" s="1168"/>
    </row>
    <row r="1111" spans="2:2" s="221" customFormat="1" ht="12.75" x14ac:dyDescent="0.2">
      <c r="B1111" s="1168"/>
    </row>
    <row r="1112" spans="2:2" s="221" customFormat="1" ht="12.75" x14ac:dyDescent="0.2">
      <c r="B1112" s="1168"/>
    </row>
    <row r="1113" spans="2:2" s="221" customFormat="1" ht="12.75" x14ac:dyDescent="0.2">
      <c r="B1113" s="1168"/>
    </row>
    <row r="1114" spans="2:2" s="221" customFormat="1" ht="12.75" x14ac:dyDescent="0.2">
      <c r="B1114" s="1168"/>
    </row>
    <row r="1115" spans="2:2" s="221" customFormat="1" ht="12.75" x14ac:dyDescent="0.2">
      <c r="B1115" s="1168"/>
    </row>
    <row r="1116" spans="2:2" s="221" customFormat="1" ht="12.75" x14ac:dyDescent="0.2">
      <c r="B1116" s="1168"/>
    </row>
    <row r="1117" spans="2:2" s="221" customFormat="1" ht="12.75" x14ac:dyDescent="0.2">
      <c r="B1117" s="1168"/>
    </row>
    <row r="1118" spans="2:2" s="221" customFormat="1" ht="12.75" x14ac:dyDescent="0.2">
      <c r="B1118" s="1168"/>
    </row>
    <row r="1119" spans="2:2" s="221" customFormat="1" ht="12.75" x14ac:dyDescent="0.2">
      <c r="B1119" s="1168"/>
    </row>
    <row r="1120" spans="2:2" s="221" customFormat="1" ht="12.75" x14ac:dyDescent="0.2">
      <c r="B1120" s="1168"/>
    </row>
    <row r="1121" spans="2:2" s="221" customFormat="1" ht="12.75" x14ac:dyDescent="0.2">
      <c r="B1121" s="1168"/>
    </row>
    <row r="1122" spans="2:2" s="221" customFormat="1" ht="12.75" x14ac:dyDescent="0.2">
      <c r="B1122" s="1168"/>
    </row>
    <row r="1123" spans="2:2" s="221" customFormat="1" ht="12.75" x14ac:dyDescent="0.2">
      <c r="B1123" s="1168"/>
    </row>
    <row r="1124" spans="2:2" s="221" customFormat="1" ht="12.75" x14ac:dyDescent="0.2">
      <c r="B1124" s="1168"/>
    </row>
    <row r="1125" spans="2:2" s="221" customFormat="1" ht="12.75" x14ac:dyDescent="0.2">
      <c r="B1125" s="1168"/>
    </row>
    <row r="1126" spans="2:2" s="221" customFormat="1" ht="12.75" x14ac:dyDescent="0.2">
      <c r="B1126" s="1168"/>
    </row>
    <row r="1127" spans="2:2" s="221" customFormat="1" ht="12.75" x14ac:dyDescent="0.2">
      <c r="B1127" s="1168"/>
    </row>
    <row r="1128" spans="2:2" s="221" customFormat="1" ht="12.75" x14ac:dyDescent="0.2">
      <c r="B1128" s="1168"/>
    </row>
    <row r="1129" spans="2:2" s="221" customFormat="1" ht="12.75" x14ac:dyDescent="0.2">
      <c r="B1129" s="1168"/>
    </row>
    <row r="1130" spans="2:2" s="221" customFormat="1" ht="12.75" x14ac:dyDescent="0.2">
      <c r="B1130" s="1168"/>
    </row>
    <row r="1131" spans="2:2" s="221" customFormat="1" ht="12.75" x14ac:dyDescent="0.2">
      <c r="B1131" s="1168"/>
    </row>
    <row r="1132" spans="2:2" s="221" customFormat="1" ht="12.75" x14ac:dyDescent="0.2">
      <c r="B1132" s="1168"/>
    </row>
    <row r="1133" spans="2:2" s="221" customFormat="1" ht="12.75" x14ac:dyDescent="0.2">
      <c r="B1133" s="1168"/>
    </row>
    <row r="1134" spans="2:2" s="221" customFormat="1" ht="12.75" x14ac:dyDescent="0.2">
      <c r="B1134" s="1168"/>
    </row>
    <row r="1135" spans="2:2" s="221" customFormat="1" ht="12.75" x14ac:dyDescent="0.2">
      <c r="B1135" s="1168"/>
    </row>
    <row r="1136" spans="2:2" s="221" customFormat="1" ht="12.75" x14ac:dyDescent="0.2">
      <c r="B1136" s="1168"/>
    </row>
    <row r="1137" spans="2:2" s="221" customFormat="1" ht="12.75" x14ac:dyDescent="0.2">
      <c r="B1137" s="1168"/>
    </row>
    <row r="1138" spans="2:2" s="221" customFormat="1" ht="12.75" x14ac:dyDescent="0.2">
      <c r="B1138" s="1168"/>
    </row>
    <row r="1139" spans="2:2" s="221" customFormat="1" ht="12.75" x14ac:dyDescent="0.2">
      <c r="B1139" s="1168"/>
    </row>
    <row r="1140" spans="2:2" s="221" customFormat="1" ht="12.75" x14ac:dyDescent="0.2">
      <c r="B1140" s="1168"/>
    </row>
    <row r="1141" spans="2:2" s="221" customFormat="1" ht="12.75" x14ac:dyDescent="0.2">
      <c r="B1141" s="1168"/>
    </row>
    <row r="1142" spans="2:2" s="221" customFormat="1" ht="12.75" x14ac:dyDescent="0.2">
      <c r="B1142" s="1168"/>
    </row>
    <row r="1143" spans="2:2" s="221" customFormat="1" ht="12.75" x14ac:dyDescent="0.2">
      <c r="B1143" s="1168"/>
    </row>
    <row r="1144" spans="2:2" s="221" customFormat="1" ht="12.75" x14ac:dyDescent="0.2">
      <c r="B1144" s="1168"/>
    </row>
    <row r="1145" spans="2:2" s="221" customFormat="1" ht="12.75" x14ac:dyDescent="0.2">
      <c r="B1145" s="1168"/>
    </row>
    <row r="1146" spans="2:2" s="221" customFormat="1" ht="12.75" x14ac:dyDescent="0.2">
      <c r="B1146" s="1168"/>
    </row>
    <row r="1147" spans="2:2" s="221" customFormat="1" ht="12.75" x14ac:dyDescent="0.2">
      <c r="B1147" s="1168"/>
    </row>
    <row r="1148" spans="2:2" s="221" customFormat="1" ht="12.75" x14ac:dyDescent="0.2">
      <c r="B1148" s="1168"/>
    </row>
    <row r="1149" spans="2:2" s="221" customFormat="1" ht="12.75" x14ac:dyDescent="0.2">
      <c r="B1149" s="1168"/>
    </row>
    <row r="1150" spans="2:2" s="221" customFormat="1" ht="12.75" x14ac:dyDescent="0.2">
      <c r="B1150" s="1168"/>
    </row>
    <row r="1151" spans="2:2" s="221" customFormat="1" ht="12.75" x14ac:dyDescent="0.2">
      <c r="B1151" s="1168"/>
    </row>
    <row r="1152" spans="2:2" s="221" customFormat="1" ht="12.75" x14ac:dyDescent="0.2">
      <c r="B1152" s="1168"/>
    </row>
    <row r="1153" spans="2:2" s="221" customFormat="1" ht="12.75" x14ac:dyDescent="0.2">
      <c r="B1153" s="1168"/>
    </row>
    <row r="1154" spans="2:2" s="221" customFormat="1" ht="12.75" x14ac:dyDescent="0.2">
      <c r="B1154" s="1168"/>
    </row>
    <row r="1155" spans="2:2" s="221" customFormat="1" ht="12.75" x14ac:dyDescent="0.2">
      <c r="B1155" s="1168"/>
    </row>
    <row r="1156" spans="2:2" s="221" customFormat="1" ht="12.75" x14ac:dyDescent="0.2">
      <c r="B1156" s="1168"/>
    </row>
    <row r="1157" spans="2:2" s="221" customFormat="1" ht="12.75" x14ac:dyDescent="0.2">
      <c r="B1157" s="1168"/>
    </row>
    <row r="1158" spans="2:2" s="221" customFormat="1" ht="12.75" x14ac:dyDescent="0.2">
      <c r="B1158" s="1168"/>
    </row>
    <row r="1159" spans="2:2" s="221" customFormat="1" ht="12.75" x14ac:dyDescent="0.2">
      <c r="B1159" s="1168"/>
    </row>
    <row r="1160" spans="2:2" s="221" customFormat="1" ht="12.75" x14ac:dyDescent="0.2">
      <c r="B1160" s="1168"/>
    </row>
    <row r="1161" spans="2:2" s="221" customFormat="1" ht="12.75" x14ac:dyDescent="0.2">
      <c r="B1161" s="1168"/>
    </row>
    <row r="1162" spans="2:2" s="221" customFormat="1" ht="12.75" x14ac:dyDescent="0.2">
      <c r="B1162" s="1168"/>
    </row>
    <row r="1163" spans="2:2" s="221" customFormat="1" ht="12.75" x14ac:dyDescent="0.2">
      <c r="B1163" s="1168"/>
    </row>
    <row r="1164" spans="2:2" s="221" customFormat="1" ht="12.75" x14ac:dyDescent="0.2">
      <c r="B1164" s="1168"/>
    </row>
    <row r="1165" spans="2:2" s="221" customFormat="1" ht="12.75" x14ac:dyDescent="0.2">
      <c r="B1165" s="1168"/>
    </row>
    <row r="1166" spans="2:2" s="221" customFormat="1" ht="12.75" x14ac:dyDescent="0.2">
      <c r="B1166" s="1168"/>
    </row>
    <row r="1167" spans="2:2" s="221" customFormat="1" ht="12.75" x14ac:dyDescent="0.2">
      <c r="B1167" s="1168"/>
    </row>
    <row r="1168" spans="2:2" s="221" customFormat="1" ht="12.75" x14ac:dyDescent="0.2">
      <c r="B1168" s="1168"/>
    </row>
    <row r="1169" spans="2:2" s="221" customFormat="1" ht="12.75" x14ac:dyDescent="0.2">
      <c r="B1169" s="1168"/>
    </row>
    <row r="1170" spans="2:2" s="221" customFormat="1" ht="12.75" x14ac:dyDescent="0.2">
      <c r="B1170" s="1168"/>
    </row>
    <row r="1171" spans="2:2" s="221" customFormat="1" ht="12.75" x14ac:dyDescent="0.2">
      <c r="B1171" s="1168"/>
    </row>
    <row r="1172" spans="2:2" s="221" customFormat="1" ht="12.75" x14ac:dyDescent="0.2">
      <c r="B1172" s="1168"/>
    </row>
    <row r="1173" spans="2:2" s="221" customFormat="1" ht="12.75" x14ac:dyDescent="0.2">
      <c r="B1173" s="1168"/>
    </row>
    <row r="1174" spans="2:2" s="221" customFormat="1" ht="12.75" x14ac:dyDescent="0.2">
      <c r="B1174" s="1168"/>
    </row>
    <row r="1175" spans="2:2" s="221" customFormat="1" ht="12.75" x14ac:dyDescent="0.2">
      <c r="B1175" s="1168"/>
    </row>
    <row r="1176" spans="2:2" s="221" customFormat="1" ht="12.75" x14ac:dyDescent="0.2">
      <c r="B1176" s="1168"/>
    </row>
    <row r="1177" spans="2:2" s="221" customFormat="1" ht="12.75" x14ac:dyDescent="0.2">
      <c r="B1177" s="1168"/>
    </row>
    <row r="1178" spans="2:2" s="221" customFormat="1" ht="12.75" x14ac:dyDescent="0.2">
      <c r="B1178" s="1168"/>
    </row>
    <row r="1179" spans="2:2" s="221" customFormat="1" ht="12.75" x14ac:dyDescent="0.2">
      <c r="B1179" s="1168"/>
    </row>
    <row r="1180" spans="2:2" s="221" customFormat="1" ht="12.75" x14ac:dyDescent="0.2">
      <c r="B1180" s="1168"/>
    </row>
    <row r="1181" spans="2:2" s="221" customFormat="1" ht="12.75" x14ac:dyDescent="0.2">
      <c r="B1181" s="1168"/>
    </row>
    <row r="1182" spans="2:2" s="221" customFormat="1" ht="12.75" x14ac:dyDescent="0.2">
      <c r="B1182" s="1168"/>
    </row>
    <row r="1183" spans="2:2" s="221" customFormat="1" ht="12.75" x14ac:dyDescent="0.2">
      <c r="B1183" s="1168"/>
    </row>
    <row r="1184" spans="2:2" s="221" customFormat="1" ht="12.75" x14ac:dyDescent="0.2">
      <c r="B1184" s="1168"/>
    </row>
    <row r="1185" spans="2:2" s="221" customFormat="1" ht="12.75" x14ac:dyDescent="0.2">
      <c r="B1185" s="1168"/>
    </row>
    <row r="1186" spans="2:2" s="221" customFormat="1" ht="12.75" x14ac:dyDescent="0.2">
      <c r="B1186" s="1168"/>
    </row>
    <row r="1187" spans="2:2" s="221" customFormat="1" ht="12.75" x14ac:dyDescent="0.2">
      <c r="B1187" s="1168"/>
    </row>
    <row r="1188" spans="2:2" s="221" customFormat="1" ht="12.75" x14ac:dyDescent="0.2">
      <c r="B1188" s="1168"/>
    </row>
    <row r="1189" spans="2:2" s="221" customFormat="1" ht="12.75" x14ac:dyDescent="0.2">
      <c r="B1189" s="1168"/>
    </row>
    <row r="1190" spans="2:2" s="221" customFormat="1" ht="12.75" x14ac:dyDescent="0.2">
      <c r="B1190" s="1168"/>
    </row>
    <row r="1191" spans="2:2" s="221" customFormat="1" ht="12.75" x14ac:dyDescent="0.2">
      <c r="B1191" s="1168"/>
    </row>
    <row r="1192" spans="2:2" s="221" customFormat="1" ht="12.75" x14ac:dyDescent="0.2">
      <c r="B1192" s="1168"/>
    </row>
    <row r="1193" spans="2:2" s="221" customFormat="1" ht="12.75" x14ac:dyDescent="0.2">
      <c r="B1193" s="1168"/>
    </row>
    <row r="1194" spans="2:2" s="221" customFormat="1" ht="12.75" x14ac:dyDescent="0.2">
      <c r="B1194" s="1168"/>
    </row>
    <row r="1195" spans="2:2" s="221" customFormat="1" ht="12.75" x14ac:dyDescent="0.2">
      <c r="B1195" s="1168"/>
    </row>
    <row r="1196" spans="2:2" s="221" customFormat="1" ht="12.75" x14ac:dyDescent="0.2">
      <c r="B1196" s="1168"/>
    </row>
    <row r="1197" spans="2:2" s="221" customFormat="1" ht="12.75" x14ac:dyDescent="0.2">
      <c r="B1197" s="1168"/>
    </row>
    <row r="1198" spans="2:2" s="221" customFormat="1" ht="12.75" x14ac:dyDescent="0.2">
      <c r="B1198" s="1168"/>
    </row>
    <row r="1199" spans="2:2" s="221" customFormat="1" ht="12.75" x14ac:dyDescent="0.2">
      <c r="B1199" s="1168"/>
    </row>
    <row r="1200" spans="2:2" s="221" customFormat="1" ht="12.75" x14ac:dyDescent="0.2">
      <c r="B1200" s="1168"/>
    </row>
    <row r="1201" spans="2:2" s="221" customFormat="1" ht="12.75" x14ac:dyDescent="0.2">
      <c r="B1201" s="1168"/>
    </row>
    <row r="1202" spans="2:2" s="221" customFormat="1" ht="12.75" x14ac:dyDescent="0.2">
      <c r="B1202" s="1168"/>
    </row>
    <row r="1203" spans="2:2" s="221" customFormat="1" ht="12.75" x14ac:dyDescent="0.2">
      <c r="B1203" s="1168"/>
    </row>
    <row r="1204" spans="2:2" s="221" customFormat="1" ht="12.75" x14ac:dyDescent="0.2">
      <c r="B1204" s="1168"/>
    </row>
    <row r="1205" spans="2:2" s="221" customFormat="1" ht="12.75" x14ac:dyDescent="0.2">
      <c r="B1205" s="1168"/>
    </row>
    <row r="1206" spans="2:2" s="221" customFormat="1" ht="12.75" x14ac:dyDescent="0.2">
      <c r="B1206" s="1168"/>
    </row>
    <row r="1207" spans="2:2" s="221" customFormat="1" ht="12.75" x14ac:dyDescent="0.2">
      <c r="B1207" s="1168"/>
    </row>
    <row r="1208" spans="2:2" s="221" customFormat="1" ht="12.75" x14ac:dyDescent="0.2">
      <c r="B1208" s="1168"/>
    </row>
    <row r="1209" spans="2:2" s="221" customFormat="1" ht="12.75" x14ac:dyDescent="0.2">
      <c r="B1209" s="1168"/>
    </row>
    <row r="1210" spans="2:2" s="221" customFormat="1" ht="12.75" x14ac:dyDescent="0.2">
      <c r="B1210" s="1168"/>
    </row>
    <row r="1211" spans="2:2" s="221" customFormat="1" ht="12.75" x14ac:dyDescent="0.2">
      <c r="B1211" s="1168"/>
    </row>
    <row r="1212" spans="2:2" s="221" customFormat="1" ht="12.75" x14ac:dyDescent="0.2">
      <c r="B1212" s="1168"/>
    </row>
    <row r="1213" spans="2:2" s="221" customFormat="1" ht="12.75" x14ac:dyDescent="0.2">
      <c r="B1213" s="1168"/>
    </row>
    <row r="1214" spans="2:2" s="221" customFormat="1" ht="12.75" x14ac:dyDescent="0.2">
      <c r="B1214" s="1168"/>
    </row>
    <row r="1215" spans="2:2" s="221" customFormat="1" ht="12.75" x14ac:dyDescent="0.2">
      <c r="B1215" s="1168"/>
    </row>
    <row r="1216" spans="2:2" s="221" customFormat="1" ht="12.75" x14ac:dyDescent="0.2">
      <c r="B1216" s="1168"/>
    </row>
    <row r="1217" spans="2:2" s="221" customFormat="1" ht="12.75" x14ac:dyDescent="0.2">
      <c r="B1217" s="1168"/>
    </row>
    <row r="1218" spans="2:2" s="221" customFormat="1" ht="12.75" x14ac:dyDescent="0.2">
      <c r="B1218" s="1168"/>
    </row>
    <row r="1219" spans="2:2" s="221" customFormat="1" ht="12.75" x14ac:dyDescent="0.2">
      <c r="B1219" s="1168"/>
    </row>
    <row r="1220" spans="2:2" s="221" customFormat="1" ht="12.75" x14ac:dyDescent="0.2">
      <c r="B1220" s="1168"/>
    </row>
    <row r="1221" spans="2:2" s="221" customFormat="1" ht="12.75" x14ac:dyDescent="0.2">
      <c r="B1221" s="1168"/>
    </row>
    <row r="1222" spans="2:2" s="221" customFormat="1" ht="12.75" x14ac:dyDescent="0.2">
      <c r="B1222" s="1168"/>
    </row>
    <row r="1223" spans="2:2" s="221" customFormat="1" ht="12.75" x14ac:dyDescent="0.2">
      <c r="B1223" s="1168"/>
    </row>
    <row r="1224" spans="2:2" s="221" customFormat="1" ht="12.75" x14ac:dyDescent="0.2">
      <c r="B1224" s="1168"/>
    </row>
    <row r="1225" spans="2:2" s="221" customFormat="1" ht="12.75" x14ac:dyDescent="0.2">
      <c r="B1225" s="1168"/>
    </row>
    <row r="1226" spans="2:2" s="221" customFormat="1" ht="12.75" x14ac:dyDescent="0.2">
      <c r="B1226" s="1168"/>
    </row>
    <row r="1227" spans="2:2" s="221" customFormat="1" ht="12.75" x14ac:dyDescent="0.2">
      <c r="B1227" s="1168"/>
    </row>
    <row r="1228" spans="2:2" s="221" customFormat="1" ht="12.75" x14ac:dyDescent="0.2">
      <c r="B1228" s="1168"/>
    </row>
    <row r="1229" spans="2:2" s="221" customFormat="1" ht="12.75" x14ac:dyDescent="0.2">
      <c r="B1229" s="1168"/>
    </row>
    <row r="1230" spans="2:2" s="221" customFormat="1" ht="12.75" x14ac:dyDescent="0.2">
      <c r="B1230" s="1168"/>
    </row>
    <row r="1231" spans="2:2" s="221" customFormat="1" ht="12.75" x14ac:dyDescent="0.2">
      <c r="B1231" s="1168"/>
    </row>
    <row r="1232" spans="2:2" s="221" customFormat="1" ht="12.75" x14ac:dyDescent="0.2">
      <c r="B1232" s="1168"/>
    </row>
    <row r="1233" spans="2:2" s="221" customFormat="1" ht="12.75" x14ac:dyDescent="0.2">
      <c r="B1233" s="1168"/>
    </row>
    <row r="1234" spans="2:2" s="221" customFormat="1" ht="12.75" x14ac:dyDescent="0.2">
      <c r="B1234" s="1168"/>
    </row>
    <row r="1235" spans="2:2" s="221" customFormat="1" ht="12.75" x14ac:dyDescent="0.2">
      <c r="B1235" s="1168"/>
    </row>
    <row r="1236" spans="2:2" s="221" customFormat="1" ht="12.75" x14ac:dyDescent="0.2">
      <c r="B1236" s="1168"/>
    </row>
    <row r="1237" spans="2:2" s="221" customFormat="1" ht="12.75" x14ac:dyDescent="0.2">
      <c r="B1237" s="1168"/>
    </row>
    <row r="1238" spans="2:2" s="221" customFormat="1" ht="12.75" x14ac:dyDescent="0.2">
      <c r="B1238" s="1168"/>
    </row>
    <row r="1239" spans="2:2" s="221" customFormat="1" ht="12.75" x14ac:dyDescent="0.2">
      <c r="B1239" s="1168"/>
    </row>
    <row r="1240" spans="2:2" s="221" customFormat="1" ht="12.75" x14ac:dyDescent="0.2">
      <c r="B1240" s="1168"/>
    </row>
    <row r="1241" spans="2:2" s="221" customFormat="1" ht="12.75" x14ac:dyDescent="0.2">
      <c r="B1241" s="1168"/>
    </row>
    <row r="1242" spans="2:2" s="221" customFormat="1" ht="12.75" x14ac:dyDescent="0.2">
      <c r="B1242" s="1168"/>
    </row>
    <row r="1243" spans="2:2" s="221" customFormat="1" ht="12.75" x14ac:dyDescent="0.2">
      <c r="B1243" s="1168"/>
    </row>
    <row r="1244" spans="2:2" s="221" customFormat="1" ht="12.75" x14ac:dyDescent="0.2">
      <c r="B1244" s="1168"/>
    </row>
    <row r="1245" spans="2:2" s="221" customFormat="1" ht="12.75" x14ac:dyDescent="0.2">
      <c r="B1245" s="1168"/>
    </row>
    <row r="1246" spans="2:2" s="221" customFormat="1" ht="12.75" x14ac:dyDescent="0.2">
      <c r="B1246" s="1168"/>
    </row>
    <row r="1247" spans="2:2" s="221" customFormat="1" ht="12.75" x14ac:dyDescent="0.2">
      <c r="B1247" s="1168"/>
    </row>
    <row r="1248" spans="2:2" s="221" customFormat="1" ht="12.75" x14ac:dyDescent="0.2">
      <c r="B1248" s="1168"/>
    </row>
    <row r="1249" spans="2:2" s="221" customFormat="1" ht="12.75" x14ac:dyDescent="0.2">
      <c r="B1249" s="1168"/>
    </row>
    <row r="1250" spans="2:2" s="221" customFormat="1" ht="12.75" x14ac:dyDescent="0.2">
      <c r="B1250" s="1168"/>
    </row>
    <row r="1251" spans="2:2" s="221" customFormat="1" ht="12.75" x14ac:dyDescent="0.2">
      <c r="B1251" s="1168"/>
    </row>
    <row r="1252" spans="2:2" s="221" customFormat="1" ht="12.75" x14ac:dyDescent="0.2">
      <c r="B1252" s="1168"/>
    </row>
    <row r="1253" spans="2:2" s="221" customFormat="1" ht="12.75" x14ac:dyDescent="0.2">
      <c r="B1253" s="1168"/>
    </row>
    <row r="1254" spans="2:2" s="221" customFormat="1" ht="12.75" x14ac:dyDescent="0.2">
      <c r="B1254" s="1168"/>
    </row>
    <row r="1255" spans="2:2" s="221" customFormat="1" ht="12.75" x14ac:dyDescent="0.2">
      <c r="B1255" s="1168"/>
    </row>
    <row r="1256" spans="2:2" s="221" customFormat="1" ht="12.75" x14ac:dyDescent="0.2">
      <c r="B1256" s="1168"/>
    </row>
    <row r="1257" spans="2:2" s="221" customFormat="1" ht="12.75" x14ac:dyDescent="0.2">
      <c r="B1257" s="1168"/>
    </row>
    <row r="1258" spans="2:2" s="221" customFormat="1" ht="12.75" x14ac:dyDescent="0.2">
      <c r="B1258" s="1168"/>
    </row>
    <row r="1259" spans="2:2" s="221" customFormat="1" ht="12.75" x14ac:dyDescent="0.2">
      <c r="B1259" s="1168"/>
    </row>
    <row r="1260" spans="2:2" s="221" customFormat="1" ht="12.75" x14ac:dyDescent="0.2">
      <c r="B1260" s="1168"/>
    </row>
    <row r="1261" spans="2:2" s="221" customFormat="1" ht="12.75" x14ac:dyDescent="0.2">
      <c r="B1261" s="1168"/>
    </row>
    <row r="1262" spans="2:2" s="221" customFormat="1" ht="12.75" x14ac:dyDescent="0.2">
      <c r="B1262" s="1168"/>
    </row>
    <row r="1263" spans="2:2" s="221" customFormat="1" ht="12.75" x14ac:dyDescent="0.2">
      <c r="B1263" s="1168"/>
    </row>
    <row r="1264" spans="2:2" s="221" customFormat="1" ht="12.75" x14ac:dyDescent="0.2">
      <c r="B1264" s="1168"/>
    </row>
    <row r="1265" spans="2:2" s="221" customFormat="1" ht="12.75" x14ac:dyDescent="0.2">
      <c r="B1265" s="1168"/>
    </row>
    <row r="1266" spans="2:2" s="221" customFormat="1" ht="12.75" x14ac:dyDescent="0.2">
      <c r="B1266" s="1168"/>
    </row>
    <row r="1267" spans="2:2" s="221" customFormat="1" ht="12.75" x14ac:dyDescent="0.2">
      <c r="B1267" s="1168"/>
    </row>
    <row r="1268" spans="2:2" s="221" customFormat="1" ht="12.75" x14ac:dyDescent="0.2">
      <c r="B1268" s="1168"/>
    </row>
    <row r="1269" spans="2:2" s="221" customFormat="1" ht="12.75" x14ac:dyDescent="0.2">
      <c r="B1269" s="1168"/>
    </row>
    <row r="1270" spans="2:2" s="221" customFormat="1" ht="12.75" x14ac:dyDescent="0.2">
      <c r="B1270" s="1168"/>
    </row>
    <row r="1271" spans="2:2" s="221" customFormat="1" ht="12.75" x14ac:dyDescent="0.2">
      <c r="B1271" s="1168"/>
    </row>
    <row r="1272" spans="2:2" s="221" customFormat="1" ht="12.75" x14ac:dyDescent="0.2">
      <c r="B1272" s="1168"/>
    </row>
    <row r="1273" spans="2:2" s="221" customFormat="1" ht="12.75" x14ac:dyDescent="0.2">
      <c r="B1273" s="1168"/>
    </row>
    <row r="1274" spans="2:2" s="221" customFormat="1" ht="12.75" x14ac:dyDescent="0.2">
      <c r="B1274" s="1168"/>
    </row>
    <row r="1275" spans="2:2" s="221" customFormat="1" ht="12.75" x14ac:dyDescent="0.2">
      <c r="B1275" s="1168"/>
    </row>
    <row r="1276" spans="2:2" s="221" customFormat="1" ht="12.75" x14ac:dyDescent="0.2">
      <c r="B1276" s="1168"/>
    </row>
    <row r="1277" spans="2:2" s="221" customFormat="1" ht="12.75" x14ac:dyDescent="0.2">
      <c r="B1277" s="1168"/>
    </row>
    <row r="1278" spans="2:2" s="221" customFormat="1" ht="12.75" x14ac:dyDescent="0.2">
      <c r="B1278" s="1168"/>
    </row>
    <row r="1279" spans="2:2" s="221" customFormat="1" ht="12.75" x14ac:dyDescent="0.2">
      <c r="B1279" s="1168"/>
    </row>
    <row r="1280" spans="2:2" s="221" customFormat="1" ht="12.75" x14ac:dyDescent="0.2">
      <c r="B1280" s="1168"/>
    </row>
    <row r="1281" spans="2:2" s="221" customFormat="1" ht="12.75" x14ac:dyDescent="0.2">
      <c r="B1281" s="1168"/>
    </row>
    <row r="1282" spans="2:2" s="221" customFormat="1" ht="12.75" x14ac:dyDescent="0.2">
      <c r="B1282" s="1168"/>
    </row>
    <row r="1283" spans="2:2" s="221" customFormat="1" ht="12.75" x14ac:dyDescent="0.2">
      <c r="B1283" s="1168"/>
    </row>
    <row r="1284" spans="2:2" s="221" customFormat="1" ht="12.75" x14ac:dyDescent="0.2">
      <c r="B1284" s="1168"/>
    </row>
    <row r="1285" spans="2:2" s="221" customFormat="1" ht="12.75" x14ac:dyDescent="0.2">
      <c r="B1285" s="1168"/>
    </row>
    <row r="1286" spans="2:2" s="221" customFormat="1" ht="12.75" x14ac:dyDescent="0.2">
      <c r="B1286" s="1168"/>
    </row>
    <row r="1287" spans="2:2" s="221" customFormat="1" ht="12.75" x14ac:dyDescent="0.2">
      <c r="B1287" s="1168"/>
    </row>
    <row r="1288" spans="2:2" s="221" customFormat="1" ht="12.75" x14ac:dyDescent="0.2">
      <c r="B1288" s="1168"/>
    </row>
    <row r="1289" spans="2:2" s="221" customFormat="1" ht="12.75" x14ac:dyDescent="0.2">
      <c r="B1289" s="1168"/>
    </row>
    <row r="1290" spans="2:2" s="221" customFormat="1" ht="12.75" x14ac:dyDescent="0.2">
      <c r="B1290" s="1168"/>
    </row>
    <row r="1291" spans="2:2" s="221" customFormat="1" ht="12.75" x14ac:dyDescent="0.2">
      <c r="B1291" s="1168"/>
    </row>
    <row r="1292" spans="2:2" s="221" customFormat="1" ht="12.75" x14ac:dyDescent="0.2">
      <c r="B1292" s="1168"/>
    </row>
    <row r="1293" spans="2:2" s="221" customFormat="1" ht="12.75" x14ac:dyDescent="0.2">
      <c r="B1293" s="1168"/>
    </row>
    <row r="1294" spans="2:2" s="221" customFormat="1" ht="12.75" x14ac:dyDescent="0.2">
      <c r="B1294" s="1168"/>
    </row>
    <row r="1295" spans="2:2" s="221" customFormat="1" ht="12.75" x14ac:dyDescent="0.2">
      <c r="B1295" s="1168"/>
    </row>
    <row r="1296" spans="2:2" s="221" customFormat="1" ht="12.75" x14ac:dyDescent="0.2">
      <c r="B1296" s="1168"/>
    </row>
    <row r="1297" spans="2:2" s="221" customFormat="1" ht="12.75" x14ac:dyDescent="0.2">
      <c r="B1297" s="1168"/>
    </row>
    <row r="1298" spans="2:2" s="221" customFormat="1" ht="12.75" x14ac:dyDescent="0.2">
      <c r="B1298" s="1168"/>
    </row>
    <row r="1299" spans="2:2" s="221" customFormat="1" ht="12.75" x14ac:dyDescent="0.2">
      <c r="B1299" s="1168"/>
    </row>
    <row r="1300" spans="2:2" s="221" customFormat="1" ht="12.75" x14ac:dyDescent="0.2">
      <c r="B1300" s="1168"/>
    </row>
    <row r="1301" spans="2:2" s="221" customFormat="1" ht="12.75" x14ac:dyDescent="0.2">
      <c r="B1301" s="1168"/>
    </row>
    <row r="1302" spans="2:2" s="221" customFormat="1" ht="12.75" x14ac:dyDescent="0.2">
      <c r="B1302" s="1168"/>
    </row>
    <row r="1303" spans="2:2" s="221" customFormat="1" ht="12.75" x14ac:dyDescent="0.2">
      <c r="B1303" s="1168"/>
    </row>
    <row r="1304" spans="2:2" s="221" customFormat="1" ht="12.75" x14ac:dyDescent="0.2">
      <c r="B1304" s="1168"/>
    </row>
    <row r="1305" spans="2:2" s="221" customFormat="1" ht="12.75" x14ac:dyDescent="0.2">
      <c r="B1305" s="1168"/>
    </row>
    <row r="1306" spans="2:2" s="221" customFormat="1" ht="12.75" x14ac:dyDescent="0.2">
      <c r="B1306" s="1168"/>
    </row>
    <row r="1307" spans="2:2" s="221" customFormat="1" ht="12.75" x14ac:dyDescent="0.2">
      <c r="B1307" s="1168"/>
    </row>
    <row r="1308" spans="2:2" s="221" customFormat="1" ht="12.75" x14ac:dyDescent="0.2">
      <c r="B1308" s="1168"/>
    </row>
    <row r="1309" spans="2:2" s="221" customFormat="1" ht="12.75" x14ac:dyDescent="0.2">
      <c r="B1309" s="1168"/>
    </row>
    <row r="1310" spans="2:2" s="221" customFormat="1" ht="12.75" x14ac:dyDescent="0.2">
      <c r="B1310" s="1168"/>
    </row>
    <row r="1311" spans="2:2" s="221" customFormat="1" ht="12.75" x14ac:dyDescent="0.2">
      <c r="B1311" s="1168"/>
    </row>
    <row r="1312" spans="2:2" s="221" customFormat="1" ht="12.75" x14ac:dyDescent="0.2">
      <c r="B1312" s="1168"/>
    </row>
    <row r="1313" spans="2:2" s="221" customFormat="1" ht="12.75" x14ac:dyDescent="0.2">
      <c r="B1313" s="1168"/>
    </row>
    <row r="1314" spans="2:2" s="221" customFormat="1" ht="12.75" x14ac:dyDescent="0.2">
      <c r="B1314" s="1168"/>
    </row>
    <row r="1315" spans="2:2" s="221" customFormat="1" ht="12.75" x14ac:dyDescent="0.2">
      <c r="B1315" s="1168"/>
    </row>
    <row r="1316" spans="2:2" s="221" customFormat="1" ht="12.75" x14ac:dyDescent="0.2">
      <c r="B1316" s="1168"/>
    </row>
    <row r="1317" spans="2:2" s="221" customFormat="1" ht="12.75" x14ac:dyDescent="0.2">
      <c r="B1317" s="1168"/>
    </row>
    <row r="1318" spans="2:2" s="221" customFormat="1" ht="12.75" x14ac:dyDescent="0.2">
      <c r="B1318" s="1168"/>
    </row>
    <row r="1319" spans="2:2" s="221" customFormat="1" ht="12.75" x14ac:dyDescent="0.2">
      <c r="B1319" s="1168"/>
    </row>
    <row r="1320" spans="2:2" s="221" customFormat="1" ht="12.75" x14ac:dyDescent="0.2">
      <c r="B1320" s="1168"/>
    </row>
    <row r="1321" spans="2:2" s="221" customFormat="1" ht="12.75" x14ac:dyDescent="0.2">
      <c r="B1321" s="1168"/>
    </row>
    <row r="1322" spans="2:2" s="221" customFormat="1" ht="12.75" x14ac:dyDescent="0.2">
      <c r="B1322" s="1168"/>
    </row>
    <row r="1323" spans="2:2" s="221" customFormat="1" ht="12.75" x14ac:dyDescent="0.2">
      <c r="B1323" s="1168"/>
    </row>
    <row r="1324" spans="2:2" s="221" customFormat="1" ht="12.75" x14ac:dyDescent="0.2">
      <c r="B1324" s="1168"/>
    </row>
    <row r="1325" spans="2:2" s="221" customFormat="1" ht="12.75" x14ac:dyDescent="0.2">
      <c r="B1325" s="1168"/>
    </row>
    <row r="1326" spans="2:2" s="221" customFormat="1" ht="12.75" x14ac:dyDescent="0.2">
      <c r="B1326" s="1168"/>
    </row>
    <row r="1327" spans="2:2" s="221" customFormat="1" ht="12.75" x14ac:dyDescent="0.2">
      <c r="B1327" s="1168"/>
    </row>
    <row r="1328" spans="2:2" s="221" customFormat="1" ht="12.75" x14ac:dyDescent="0.2">
      <c r="B1328" s="1168"/>
    </row>
    <row r="1329" spans="2:2" s="221" customFormat="1" ht="12.75" x14ac:dyDescent="0.2">
      <c r="B1329" s="1168"/>
    </row>
    <row r="1330" spans="2:2" s="221" customFormat="1" ht="12.75" x14ac:dyDescent="0.2">
      <c r="B1330" s="1168"/>
    </row>
    <row r="1331" spans="2:2" s="221" customFormat="1" ht="12.75" x14ac:dyDescent="0.2">
      <c r="B1331" s="1168"/>
    </row>
    <row r="1332" spans="2:2" s="221" customFormat="1" ht="12.75" x14ac:dyDescent="0.2">
      <c r="B1332" s="1168"/>
    </row>
    <row r="1333" spans="2:2" s="221" customFormat="1" ht="12.75" x14ac:dyDescent="0.2">
      <c r="B1333" s="1168"/>
    </row>
    <row r="1334" spans="2:2" s="221" customFormat="1" ht="12.75" x14ac:dyDescent="0.2">
      <c r="B1334" s="1168"/>
    </row>
    <row r="1335" spans="2:2" s="221" customFormat="1" ht="12.75" x14ac:dyDescent="0.2">
      <c r="B1335" s="1168"/>
    </row>
    <row r="1336" spans="2:2" s="221" customFormat="1" ht="12.75" x14ac:dyDescent="0.2">
      <c r="B1336" s="1168"/>
    </row>
    <row r="1337" spans="2:2" s="221" customFormat="1" ht="12.75" x14ac:dyDescent="0.2">
      <c r="B1337" s="1168"/>
    </row>
    <row r="1338" spans="2:2" s="221" customFormat="1" ht="12.75" x14ac:dyDescent="0.2">
      <c r="B1338" s="1168"/>
    </row>
    <row r="1339" spans="2:2" s="221" customFormat="1" ht="12.75" x14ac:dyDescent="0.2">
      <c r="B1339" s="1168"/>
    </row>
    <row r="1340" spans="2:2" s="221" customFormat="1" ht="12.75" x14ac:dyDescent="0.2">
      <c r="B1340" s="1168"/>
    </row>
    <row r="1341" spans="2:2" s="221" customFormat="1" ht="12.75" x14ac:dyDescent="0.2">
      <c r="B1341" s="1168"/>
    </row>
    <row r="1342" spans="2:2" s="221" customFormat="1" ht="12.75" x14ac:dyDescent="0.2">
      <c r="B1342" s="1168"/>
    </row>
    <row r="1343" spans="2:2" s="221" customFormat="1" ht="12.75" x14ac:dyDescent="0.2">
      <c r="B1343" s="1168"/>
    </row>
    <row r="1344" spans="2:2" s="221" customFormat="1" ht="12.75" x14ac:dyDescent="0.2">
      <c r="B1344" s="1168"/>
    </row>
    <row r="1345" spans="2:2" s="221" customFormat="1" ht="12.75" x14ac:dyDescent="0.2">
      <c r="B1345" s="1168"/>
    </row>
    <row r="1346" spans="2:2" s="221" customFormat="1" ht="12.75" x14ac:dyDescent="0.2">
      <c r="B1346" s="1168"/>
    </row>
    <row r="1347" spans="2:2" s="221" customFormat="1" ht="12.75" x14ac:dyDescent="0.2">
      <c r="B1347" s="1168"/>
    </row>
    <row r="1348" spans="2:2" s="221" customFormat="1" ht="12.75" x14ac:dyDescent="0.2">
      <c r="B1348" s="1168"/>
    </row>
    <row r="1349" spans="2:2" s="221" customFormat="1" ht="12.75" x14ac:dyDescent="0.2">
      <c r="B1349" s="1168"/>
    </row>
    <row r="1350" spans="2:2" s="221" customFormat="1" ht="12.75" x14ac:dyDescent="0.2">
      <c r="B1350" s="1168"/>
    </row>
    <row r="1351" spans="2:2" s="221" customFormat="1" ht="12.75" x14ac:dyDescent="0.2">
      <c r="B1351" s="1168"/>
    </row>
    <row r="1352" spans="2:2" s="221" customFormat="1" ht="12.75" x14ac:dyDescent="0.2">
      <c r="B1352" s="1168"/>
    </row>
    <row r="1353" spans="2:2" s="221" customFormat="1" ht="12.75" x14ac:dyDescent="0.2">
      <c r="B1353" s="1168"/>
    </row>
    <row r="1354" spans="2:2" s="221" customFormat="1" ht="12.75" x14ac:dyDescent="0.2">
      <c r="B1354" s="1168"/>
    </row>
    <row r="1355" spans="2:2" s="221" customFormat="1" ht="12.75" x14ac:dyDescent="0.2">
      <c r="B1355" s="1168"/>
    </row>
    <row r="1356" spans="2:2" s="221" customFormat="1" ht="12.75" x14ac:dyDescent="0.2">
      <c r="B1356" s="1168"/>
    </row>
    <row r="1357" spans="2:2" s="221" customFormat="1" ht="12.75" x14ac:dyDescent="0.2">
      <c r="B1357" s="1168"/>
    </row>
    <row r="1358" spans="2:2" s="221" customFormat="1" ht="12.75" x14ac:dyDescent="0.2">
      <c r="B1358" s="1168"/>
    </row>
    <row r="1359" spans="2:2" s="221" customFormat="1" ht="12.75" x14ac:dyDescent="0.2">
      <c r="B1359" s="1168"/>
    </row>
    <row r="1360" spans="2:2" s="221" customFormat="1" ht="12.75" x14ac:dyDescent="0.2">
      <c r="B1360" s="1168"/>
    </row>
    <row r="1361" spans="2:2" s="221" customFormat="1" ht="12.75" x14ac:dyDescent="0.2">
      <c r="B1361" s="1168"/>
    </row>
    <row r="1362" spans="2:2" s="221" customFormat="1" ht="12.75" x14ac:dyDescent="0.2">
      <c r="B1362" s="1168"/>
    </row>
    <row r="1363" spans="2:2" s="221" customFormat="1" ht="12.75" x14ac:dyDescent="0.2">
      <c r="B1363" s="1168"/>
    </row>
    <row r="1364" spans="2:2" s="221" customFormat="1" ht="12.75" x14ac:dyDescent="0.2">
      <c r="B1364" s="1168"/>
    </row>
    <row r="1365" spans="2:2" s="221" customFormat="1" ht="12.75" x14ac:dyDescent="0.2">
      <c r="B1365" s="1168"/>
    </row>
    <row r="1366" spans="2:2" s="221" customFormat="1" ht="12.75" x14ac:dyDescent="0.2">
      <c r="B1366" s="1168"/>
    </row>
    <row r="1367" spans="2:2" s="221" customFormat="1" ht="12.75" x14ac:dyDescent="0.2">
      <c r="B1367" s="1168"/>
    </row>
    <row r="1368" spans="2:2" s="221" customFormat="1" ht="12.75" x14ac:dyDescent="0.2">
      <c r="B1368" s="1168"/>
    </row>
    <row r="1369" spans="2:2" s="221" customFormat="1" ht="12.75" x14ac:dyDescent="0.2">
      <c r="B1369" s="1168"/>
    </row>
    <row r="1370" spans="2:2" s="221" customFormat="1" ht="12.75" x14ac:dyDescent="0.2">
      <c r="B1370" s="1168"/>
    </row>
    <row r="1371" spans="2:2" s="221" customFormat="1" ht="12.75" x14ac:dyDescent="0.2">
      <c r="B1371" s="1168"/>
    </row>
    <row r="1372" spans="2:2" s="221" customFormat="1" ht="12.75" x14ac:dyDescent="0.2">
      <c r="B1372" s="1168"/>
    </row>
    <row r="1373" spans="2:2" s="221" customFormat="1" ht="12.75" x14ac:dyDescent="0.2">
      <c r="B1373" s="1168"/>
    </row>
    <row r="1374" spans="2:2" s="221" customFormat="1" ht="12.75" x14ac:dyDescent="0.2">
      <c r="B1374" s="1168"/>
    </row>
    <row r="1375" spans="2:2" s="221" customFormat="1" ht="12.75" x14ac:dyDescent="0.2">
      <c r="B1375" s="1168"/>
    </row>
    <row r="1376" spans="2:2" s="221" customFormat="1" ht="12.75" x14ac:dyDescent="0.2">
      <c r="B1376" s="1168"/>
    </row>
    <row r="1377" spans="2:2" s="221" customFormat="1" ht="12.75" x14ac:dyDescent="0.2">
      <c r="B1377" s="1168"/>
    </row>
    <row r="1378" spans="2:2" s="221" customFormat="1" ht="12.75" x14ac:dyDescent="0.2">
      <c r="B1378" s="1168"/>
    </row>
    <row r="1379" spans="2:2" s="221" customFormat="1" ht="12.75" x14ac:dyDescent="0.2">
      <c r="B1379" s="1168"/>
    </row>
    <row r="1380" spans="2:2" s="221" customFormat="1" ht="12.75" x14ac:dyDescent="0.2">
      <c r="B1380" s="1168"/>
    </row>
    <row r="1381" spans="2:2" s="221" customFormat="1" ht="12.75" x14ac:dyDescent="0.2">
      <c r="B1381" s="1168"/>
    </row>
    <row r="1382" spans="2:2" s="221" customFormat="1" ht="12.75" x14ac:dyDescent="0.2">
      <c r="B1382" s="1168"/>
    </row>
    <row r="1383" spans="2:2" s="221" customFormat="1" ht="12.75" x14ac:dyDescent="0.2">
      <c r="B1383" s="1168"/>
    </row>
    <row r="1384" spans="2:2" s="221" customFormat="1" ht="12.75" x14ac:dyDescent="0.2">
      <c r="B1384" s="1168"/>
    </row>
    <row r="1385" spans="2:2" s="221" customFormat="1" ht="12.75" x14ac:dyDescent="0.2">
      <c r="B1385" s="1168"/>
    </row>
    <row r="1386" spans="2:2" s="221" customFormat="1" ht="12.75" x14ac:dyDescent="0.2">
      <c r="B1386" s="1168"/>
    </row>
    <row r="1387" spans="2:2" s="221" customFormat="1" ht="12.75" x14ac:dyDescent="0.2">
      <c r="B1387" s="1168"/>
    </row>
    <row r="1388" spans="2:2" s="221" customFormat="1" ht="12.75" x14ac:dyDescent="0.2">
      <c r="B1388" s="1168"/>
    </row>
    <row r="1389" spans="2:2" s="221" customFormat="1" ht="12.75" x14ac:dyDescent="0.2">
      <c r="B1389" s="1168"/>
    </row>
    <row r="1390" spans="2:2" s="221" customFormat="1" ht="12.75" x14ac:dyDescent="0.2">
      <c r="B1390" s="1168"/>
    </row>
    <row r="1391" spans="2:2" s="221" customFormat="1" ht="12.75" x14ac:dyDescent="0.2">
      <c r="B1391" s="1168"/>
    </row>
    <row r="1392" spans="2:2" s="221" customFormat="1" ht="12.75" x14ac:dyDescent="0.2">
      <c r="B1392" s="1168"/>
    </row>
    <row r="1393" spans="2:2" s="221" customFormat="1" ht="12.75" x14ac:dyDescent="0.2">
      <c r="B1393" s="1168"/>
    </row>
    <row r="1394" spans="2:2" s="221" customFormat="1" ht="12.75" x14ac:dyDescent="0.2">
      <c r="B1394" s="1168"/>
    </row>
    <row r="1395" spans="2:2" s="221" customFormat="1" ht="12.75" x14ac:dyDescent="0.2">
      <c r="B1395" s="1168"/>
    </row>
    <row r="1396" spans="2:2" s="221" customFormat="1" ht="12.75" x14ac:dyDescent="0.2">
      <c r="B1396" s="1168"/>
    </row>
    <row r="1397" spans="2:2" s="221" customFormat="1" ht="12.75" x14ac:dyDescent="0.2">
      <c r="B1397" s="1168"/>
    </row>
    <row r="1398" spans="2:2" s="221" customFormat="1" ht="12.75" x14ac:dyDescent="0.2">
      <c r="B1398" s="1168"/>
    </row>
    <row r="1399" spans="2:2" s="221" customFormat="1" ht="12.75" x14ac:dyDescent="0.2">
      <c r="B1399" s="1168"/>
    </row>
    <row r="1400" spans="2:2" s="221" customFormat="1" ht="12.75" x14ac:dyDescent="0.2">
      <c r="B1400" s="1168"/>
    </row>
    <row r="1401" spans="2:2" s="221" customFormat="1" ht="12.75" x14ac:dyDescent="0.2">
      <c r="B1401" s="1168"/>
    </row>
    <row r="1402" spans="2:2" s="221" customFormat="1" ht="12.75" x14ac:dyDescent="0.2">
      <c r="B1402" s="1168"/>
    </row>
    <row r="1403" spans="2:2" s="221" customFormat="1" ht="12.75" x14ac:dyDescent="0.2">
      <c r="B1403" s="1168"/>
    </row>
    <row r="1404" spans="2:2" s="221" customFormat="1" ht="12.75" x14ac:dyDescent="0.2">
      <c r="B1404" s="1168"/>
    </row>
    <row r="1405" spans="2:2" s="221" customFormat="1" ht="12.75" x14ac:dyDescent="0.2">
      <c r="B1405" s="1168"/>
    </row>
    <row r="1406" spans="2:2" s="221" customFormat="1" ht="12.75" x14ac:dyDescent="0.2">
      <c r="B1406" s="1168"/>
    </row>
    <row r="1407" spans="2:2" s="221" customFormat="1" ht="12.75" x14ac:dyDescent="0.2">
      <c r="B1407" s="1168"/>
    </row>
    <row r="1408" spans="2:2" s="221" customFormat="1" ht="12.75" x14ac:dyDescent="0.2">
      <c r="B1408" s="1168"/>
    </row>
    <row r="1409" spans="2:2" s="221" customFormat="1" ht="12.75" x14ac:dyDescent="0.2">
      <c r="B1409" s="1168"/>
    </row>
    <row r="1410" spans="2:2" s="221" customFormat="1" ht="12.75" x14ac:dyDescent="0.2">
      <c r="B1410" s="1168"/>
    </row>
    <row r="1411" spans="2:2" s="221" customFormat="1" ht="12.75" x14ac:dyDescent="0.2">
      <c r="B1411" s="1168"/>
    </row>
    <row r="1412" spans="2:2" s="221" customFormat="1" ht="12.75" x14ac:dyDescent="0.2">
      <c r="B1412" s="1168"/>
    </row>
    <row r="1413" spans="2:2" s="221" customFormat="1" ht="12.75" x14ac:dyDescent="0.2">
      <c r="B1413" s="1168"/>
    </row>
    <row r="1414" spans="2:2" s="221" customFormat="1" ht="12.75" x14ac:dyDescent="0.2">
      <c r="B1414" s="1168"/>
    </row>
    <row r="1415" spans="2:2" s="221" customFormat="1" ht="12.75" x14ac:dyDescent="0.2">
      <c r="B1415" s="1168"/>
    </row>
    <row r="1416" spans="2:2" s="221" customFormat="1" ht="12.75" x14ac:dyDescent="0.2">
      <c r="B1416" s="1168"/>
    </row>
    <row r="1417" spans="2:2" s="221" customFormat="1" ht="12.75" x14ac:dyDescent="0.2">
      <c r="B1417" s="1168"/>
    </row>
    <row r="1418" spans="2:2" s="221" customFormat="1" ht="12.75" x14ac:dyDescent="0.2">
      <c r="B1418" s="1168"/>
    </row>
    <row r="1419" spans="2:2" s="221" customFormat="1" ht="12.75" x14ac:dyDescent="0.2">
      <c r="B1419" s="1168"/>
    </row>
    <row r="1420" spans="2:2" s="221" customFormat="1" ht="12.75" x14ac:dyDescent="0.2">
      <c r="B1420" s="1168"/>
    </row>
    <row r="1421" spans="2:2" s="221" customFormat="1" ht="12.75" x14ac:dyDescent="0.2">
      <c r="B1421" s="1168"/>
    </row>
    <row r="1422" spans="2:2" s="221" customFormat="1" ht="12.75" x14ac:dyDescent="0.2">
      <c r="B1422" s="1168"/>
    </row>
    <row r="1423" spans="2:2" s="221" customFormat="1" ht="12.75" x14ac:dyDescent="0.2">
      <c r="B1423" s="1168"/>
    </row>
    <row r="1424" spans="2:2" s="221" customFormat="1" ht="12.75" x14ac:dyDescent="0.2">
      <c r="B1424" s="1168"/>
    </row>
    <row r="1425" spans="2:2" s="221" customFormat="1" ht="12.75" x14ac:dyDescent="0.2">
      <c r="B1425" s="1168"/>
    </row>
    <row r="1426" spans="2:2" s="221" customFormat="1" ht="12.75" x14ac:dyDescent="0.2">
      <c r="B1426" s="1168"/>
    </row>
    <row r="1427" spans="2:2" s="221" customFormat="1" ht="12.75" x14ac:dyDescent="0.2">
      <c r="B1427" s="1168"/>
    </row>
    <row r="1428" spans="2:2" s="221" customFormat="1" ht="12.75" x14ac:dyDescent="0.2">
      <c r="B1428" s="1168"/>
    </row>
    <row r="1429" spans="2:2" s="221" customFormat="1" ht="12.75" x14ac:dyDescent="0.2">
      <c r="B1429" s="1168"/>
    </row>
    <row r="1430" spans="2:2" s="221" customFormat="1" ht="12.75" x14ac:dyDescent="0.2">
      <c r="B1430" s="1168"/>
    </row>
    <row r="1431" spans="2:2" s="221" customFormat="1" ht="12.75" x14ac:dyDescent="0.2">
      <c r="B1431" s="1168"/>
    </row>
    <row r="1432" spans="2:2" s="221" customFormat="1" ht="12.75" x14ac:dyDescent="0.2">
      <c r="B1432" s="1168"/>
    </row>
    <row r="1433" spans="2:2" s="221" customFormat="1" ht="12.75" x14ac:dyDescent="0.2">
      <c r="B1433" s="1168"/>
    </row>
    <row r="1434" spans="2:2" s="221" customFormat="1" ht="12.75" x14ac:dyDescent="0.2">
      <c r="B1434" s="1168"/>
    </row>
    <row r="1435" spans="2:2" s="221" customFormat="1" ht="12.75" x14ac:dyDescent="0.2">
      <c r="B1435" s="1168"/>
    </row>
    <row r="1436" spans="2:2" s="221" customFormat="1" ht="12.75" x14ac:dyDescent="0.2">
      <c r="B1436" s="1168"/>
    </row>
    <row r="1437" spans="2:2" s="221" customFormat="1" ht="12.75" x14ac:dyDescent="0.2">
      <c r="B1437" s="1168"/>
    </row>
    <row r="1438" spans="2:2" s="221" customFormat="1" ht="12.75" x14ac:dyDescent="0.2">
      <c r="B1438" s="1168"/>
    </row>
    <row r="1439" spans="2:2" s="221" customFormat="1" ht="12.75" x14ac:dyDescent="0.2">
      <c r="B1439" s="1168"/>
    </row>
    <row r="1440" spans="2:2" s="221" customFormat="1" ht="12.75" x14ac:dyDescent="0.2">
      <c r="B1440" s="1168"/>
    </row>
    <row r="1441" spans="2:2" s="221" customFormat="1" ht="12.75" x14ac:dyDescent="0.2">
      <c r="B1441" s="1168"/>
    </row>
    <row r="1442" spans="2:2" s="221" customFormat="1" ht="12.75" x14ac:dyDescent="0.2">
      <c r="B1442" s="1168"/>
    </row>
    <row r="1443" spans="2:2" s="221" customFormat="1" ht="12.75" x14ac:dyDescent="0.2">
      <c r="B1443" s="1168"/>
    </row>
    <row r="1444" spans="2:2" s="221" customFormat="1" ht="12.75" x14ac:dyDescent="0.2">
      <c r="B1444" s="1168"/>
    </row>
    <row r="1445" spans="2:2" s="221" customFormat="1" ht="12.75" x14ac:dyDescent="0.2">
      <c r="B1445" s="1168"/>
    </row>
    <row r="1446" spans="2:2" s="221" customFormat="1" ht="12.75" x14ac:dyDescent="0.2">
      <c r="B1446" s="1168"/>
    </row>
    <row r="1447" spans="2:2" s="221" customFormat="1" ht="12.75" x14ac:dyDescent="0.2">
      <c r="B1447" s="1168"/>
    </row>
    <row r="1448" spans="2:2" s="221" customFormat="1" ht="12.75" x14ac:dyDescent="0.2">
      <c r="B1448" s="1168"/>
    </row>
    <row r="1449" spans="2:2" s="221" customFormat="1" ht="12.75" x14ac:dyDescent="0.2">
      <c r="B1449" s="1168"/>
    </row>
    <row r="1450" spans="2:2" s="221" customFormat="1" ht="12.75" x14ac:dyDescent="0.2">
      <c r="B1450" s="1168"/>
    </row>
    <row r="1451" spans="2:2" s="221" customFormat="1" ht="12.75" x14ac:dyDescent="0.2">
      <c r="B1451" s="1168"/>
    </row>
    <row r="1452" spans="2:2" s="221" customFormat="1" ht="12.75" x14ac:dyDescent="0.2">
      <c r="B1452" s="1168"/>
    </row>
    <row r="1453" spans="2:2" s="221" customFormat="1" ht="12.75" x14ac:dyDescent="0.2">
      <c r="B1453" s="1168"/>
    </row>
    <row r="1454" spans="2:2" s="221" customFormat="1" ht="12.75" x14ac:dyDescent="0.2">
      <c r="B1454" s="1168"/>
    </row>
    <row r="1455" spans="2:2" s="221" customFormat="1" ht="12.75" x14ac:dyDescent="0.2">
      <c r="B1455" s="1168"/>
    </row>
    <row r="1456" spans="2:2" s="221" customFormat="1" ht="12.75" x14ac:dyDescent="0.2">
      <c r="B1456" s="1168"/>
    </row>
    <row r="1457" spans="2:2" s="221" customFormat="1" ht="12.75" x14ac:dyDescent="0.2">
      <c r="B1457" s="1168"/>
    </row>
    <row r="1458" spans="2:2" s="221" customFormat="1" ht="12.75" x14ac:dyDescent="0.2">
      <c r="B1458" s="1168"/>
    </row>
    <row r="1459" spans="2:2" s="221" customFormat="1" ht="12.75" x14ac:dyDescent="0.2">
      <c r="B1459" s="1168"/>
    </row>
    <row r="1460" spans="2:2" s="221" customFormat="1" ht="12.75" x14ac:dyDescent="0.2">
      <c r="B1460" s="1168"/>
    </row>
    <row r="1461" spans="2:2" s="221" customFormat="1" ht="12.75" x14ac:dyDescent="0.2">
      <c r="B1461" s="1168"/>
    </row>
    <row r="1462" spans="2:2" s="221" customFormat="1" ht="12.75" x14ac:dyDescent="0.2">
      <c r="B1462" s="1168"/>
    </row>
    <row r="1463" spans="2:2" s="221" customFormat="1" ht="12.75" x14ac:dyDescent="0.2">
      <c r="B1463" s="1168"/>
    </row>
    <row r="1464" spans="2:2" s="221" customFormat="1" ht="12.75" x14ac:dyDescent="0.2">
      <c r="B1464" s="1168"/>
    </row>
    <row r="1465" spans="2:2" s="221" customFormat="1" ht="12.75" x14ac:dyDescent="0.2">
      <c r="B1465" s="1168"/>
    </row>
    <row r="1466" spans="2:2" s="221" customFormat="1" ht="12.75" x14ac:dyDescent="0.2">
      <c r="B1466" s="1168"/>
    </row>
    <row r="1467" spans="2:2" s="221" customFormat="1" ht="12.75" x14ac:dyDescent="0.2">
      <c r="B1467" s="1168"/>
    </row>
    <row r="1468" spans="2:2" s="221" customFormat="1" ht="12.75" x14ac:dyDescent="0.2">
      <c r="B1468" s="1168"/>
    </row>
    <row r="1469" spans="2:2" s="221" customFormat="1" ht="12.75" x14ac:dyDescent="0.2">
      <c r="B1469" s="1168"/>
    </row>
    <row r="1470" spans="2:2" s="221" customFormat="1" ht="12.75" x14ac:dyDescent="0.2">
      <c r="B1470" s="1168"/>
    </row>
    <row r="1471" spans="2:2" s="221" customFormat="1" ht="12.75" x14ac:dyDescent="0.2">
      <c r="B1471" s="1168"/>
    </row>
    <row r="1472" spans="2:2" s="221" customFormat="1" ht="12.75" x14ac:dyDescent="0.2">
      <c r="B1472" s="1168"/>
    </row>
    <row r="1473" spans="2:2" s="221" customFormat="1" ht="12.75" x14ac:dyDescent="0.2">
      <c r="B1473" s="1168"/>
    </row>
    <row r="1474" spans="2:2" s="221" customFormat="1" ht="12.75" x14ac:dyDescent="0.2">
      <c r="B1474" s="1168"/>
    </row>
    <row r="1475" spans="2:2" s="221" customFormat="1" ht="12.75" x14ac:dyDescent="0.2">
      <c r="B1475" s="1168"/>
    </row>
    <row r="1476" spans="2:2" s="221" customFormat="1" ht="12.75" x14ac:dyDescent="0.2">
      <c r="B1476" s="1168"/>
    </row>
    <row r="1477" spans="2:2" s="221" customFormat="1" ht="12.75" x14ac:dyDescent="0.2">
      <c r="B1477" s="1168"/>
    </row>
    <row r="1478" spans="2:2" s="221" customFormat="1" ht="12.75" x14ac:dyDescent="0.2">
      <c r="B1478" s="1168"/>
    </row>
    <row r="1479" spans="2:2" s="221" customFormat="1" ht="12.75" x14ac:dyDescent="0.2">
      <c r="B1479" s="1168"/>
    </row>
    <row r="1480" spans="2:2" s="221" customFormat="1" ht="12.75" x14ac:dyDescent="0.2">
      <c r="B1480" s="1168"/>
    </row>
    <row r="1481" spans="2:2" s="221" customFormat="1" ht="12.75" x14ac:dyDescent="0.2">
      <c r="B1481" s="1168"/>
    </row>
    <row r="1482" spans="2:2" s="221" customFormat="1" ht="12.75" x14ac:dyDescent="0.2">
      <c r="B1482" s="1168"/>
    </row>
    <row r="1483" spans="2:2" s="221" customFormat="1" ht="12.75" x14ac:dyDescent="0.2">
      <c r="B1483" s="1168"/>
    </row>
    <row r="1484" spans="2:2" s="221" customFormat="1" ht="12.75" x14ac:dyDescent="0.2">
      <c r="B1484" s="1168"/>
    </row>
    <row r="1485" spans="2:2" s="221" customFormat="1" ht="12.75" x14ac:dyDescent="0.2">
      <c r="B1485" s="1168"/>
    </row>
    <row r="1486" spans="2:2" s="221" customFormat="1" ht="12.75" x14ac:dyDescent="0.2">
      <c r="B1486" s="1168"/>
    </row>
    <row r="1487" spans="2:2" s="221" customFormat="1" ht="12.75" x14ac:dyDescent="0.2">
      <c r="B1487" s="1168"/>
    </row>
    <row r="1488" spans="2:2" s="221" customFormat="1" ht="12.75" x14ac:dyDescent="0.2">
      <c r="B1488" s="1168"/>
    </row>
    <row r="1489" spans="2:2" s="221" customFormat="1" ht="12.75" x14ac:dyDescent="0.2">
      <c r="B1489" s="1168"/>
    </row>
    <row r="1490" spans="2:2" s="221" customFormat="1" ht="12.75" x14ac:dyDescent="0.2">
      <c r="B1490" s="1168"/>
    </row>
    <row r="1491" spans="2:2" s="221" customFormat="1" ht="12.75" x14ac:dyDescent="0.2">
      <c r="B1491" s="1168"/>
    </row>
    <row r="1492" spans="2:2" s="221" customFormat="1" ht="12.75" x14ac:dyDescent="0.2">
      <c r="B1492" s="1168"/>
    </row>
    <row r="1493" spans="2:2" s="221" customFormat="1" ht="12.75" x14ac:dyDescent="0.2">
      <c r="B1493" s="1168"/>
    </row>
    <row r="1494" spans="2:2" s="221" customFormat="1" ht="12.75" x14ac:dyDescent="0.2">
      <c r="B1494" s="1168"/>
    </row>
    <row r="1495" spans="2:2" s="221" customFormat="1" ht="12.75" x14ac:dyDescent="0.2">
      <c r="B1495" s="1168"/>
    </row>
    <row r="1496" spans="2:2" s="221" customFormat="1" ht="12.75" x14ac:dyDescent="0.2">
      <c r="B1496" s="1168"/>
    </row>
    <row r="1497" spans="2:2" s="221" customFormat="1" ht="12.75" x14ac:dyDescent="0.2">
      <c r="B1497" s="1168"/>
    </row>
    <row r="1498" spans="2:2" s="221" customFormat="1" ht="12.75" x14ac:dyDescent="0.2">
      <c r="B1498" s="1168"/>
    </row>
    <row r="1499" spans="2:2" s="221" customFormat="1" ht="12.75" x14ac:dyDescent="0.2">
      <c r="B1499" s="1168"/>
    </row>
    <row r="1500" spans="2:2" s="221" customFormat="1" ht="12.75" x14ac:dyDescent="0.2">
      <c r="B1500" s="1168"/>
    </row>
    <row r="1501" spans="2:2" s="221" customFormat="1" ht="12.75" x14ac:dyDescent="0.2">
      <c r="B1501" s="1168"/>
    </row>
    <row r="1502" spans="2:2" s="221" customFormat="1" ht="12.75" x14ac:dyDescent="0.2">
      <c r="B1502" s="1168"/>
    </row>
    <row r="1503" spans="2:2" s="221" customFormat="1" ht="12.75" x14ac:dyDescent="0.2">
      <c r="B1503" s="1168"/>
    </row>
    <row r="1504" spans="2:2" s="221" customFormat="1" ht="12.75" x14ac:dyDescent="0.2">
      <c r="B1504" s="1168"/>
    </row>
    <row r="1505" spans="2:2" s="221" customFormat="1" ht="12.75" x14ac:dyDescent="0.2">
      <c r="B1505" s="1168"/>
    </row>
    <row r="1506" spans="2:2" s="221" customFormat="1" ht="12.75" x14ac:dyDescent="0.2">
      <c r="B1506" s="1168"/>
    </row>
    <row r="1507" spans="2:2" s="221" customFormat="1" ht="12.75" x14ac:dyDescent="0.2">
      <c r="B1507" s="1168"/>
    </row>
    <row r="1508" spans="2:2" s="221" customFormat="1" ht="12.75" x14ac:dyDescent="0.2">
      <c r="B1508" s="1168"/>
    </row>
    <row r="1509" spans="2:2" s="221" customFormat="1" ht="12.75" x14ac:dyDescent="0.2">
      <c r="B1509" s="1168"/>
    </row>
    <row r="1510" spans="2:2" s="221" customFormat="1" ht="12.75" x14ac:dyDescent="0.2">
      <c r="B1510" s="1168"/>
    </row>
    <row r="1511" spans="2:2" s="221" customFormat="1" ht="12.75" x14ac:dyDescent="0.2">
      <c r="B1511" s="1168"/>
    </row>
    <row r="1512" spans="2:2" s="221" customFormat="1" ht="12.75" x14ac:dyDescent="0.2">
      <c r="B1512" s="1168"/>
    </row>
    <row r="1513" spans="2:2" s="221" customFormat="1" ht="12.75" x14ac:dyDescent="0.2">
      <c r="B1513" s="1168"/>
    </row>
    <row r="1514" spans="2:2" s="221" customFormat="1" ht="12.75" x14ac:dyDescent="0.2">
      <c r="B1514" s="1168"/>
    </row>
    <row r="1515" spans="2:2" s="221" customFormat="1" ht="12.75" x14ac:dyDescent="0.2">
      <c r="B1515" s="1168"/>
    </row>
    <row r="1516" spans="2:2" s="221" customFormat="1" ht="12.75" x14ac:dyDescent="0.2">
      <c r="B1516" s="1168"/>
    </row>
    <row r="1517" spans="2:2" s="221" customFormat="1" ht="12.75" x14ac:dyDescent="0.2">
      <c r="B1517" s="1168"/>
    </row>
    <row r="1518" spans="2:2" s="221" customFormat="1" ht="12.75" x14ac:dyDescent="0.2">
      <c r="B1518" s="1168"/>
    </row>
    <row r="1519" spans="2:2" s="221" customFormat="1" ht="12.75" x14ac:dyDescent="0.2">
      <c r="B1519" s="1168"/>
    </row>
    <row r="1520" spans="2:2" s="221" customFormat="1" ht="12.75" x14ac:dyDescent="0.2">
      <c r="B1520" s="1168"/>
    </row>
    <row r="1521" spans="2:2" s="221" customFormat="1" ht="12.75" x14ac:dyDescent="0.2">
      <c r="B1521" s="1168"/>
    </row>
    <row r="1522" spans="2:2" s="221" customFormat="1" ht="12.75" x14ac:dyDescent="0.2">
      <c r="B1522" s="1168"/>
    </row>
    <row r="1523" spans="2:2" s="221" customFormat="1" ht="12.75" x14ac:dyDescent="0.2">
      <c r="B1523" s="1168"/>
    </row>
    <row r="1524" spans="2:2" s="221" customFormat="1" ht="12.75" x14ac:dyDescent="0.2">
      <c r="B1524" s="1168"/>
    </row>
    <row r="1525" spans="2:2" s="221" customFormat="1" ht="12.75" x14ac:dyDescent="0.2">
      <c r="B1525" s="1168"/>
    </row>
    <row r="1526" spans="2:2" s="221" customFormat="1" ht="12.75" x14ac:dyDescent="0.2">
      <c r="B1526" s="1168"/>
    </row>
    <row r="1527" spans="2:2" s="221" customFormat="1" ht="12.75" x14ac:dyDescent="0.2">
      <c r="B1527" s="1168"/>
    </row>
    <row r="1528" spans="2:2" s="221" customFormat="1" ht="12.75" x14ac:dyDescent="0.2">
      <c r="B1528" s="1168"/>
    </row>
    <row r="1529" spans="2:2" s="221" customFormat="1" ht="12.75" x14ac:dyDescent="0.2">
      <c r="B1529" s="1168"/>
    </row>
    <row r="1530" spans="2:2" s="221" customFormat="1" ht="12.75" x14ac:dyDescent="0.2">
      <c r="B1530" s="1168"/>
    </row>
    <row r="1531" spans="2:2" s="221" customFormat="1" ht="12.75" x14ac:dyDescent="0.2">
      <c r="B1531" s="1168"/>
    </row>
    <row r="1532" spans="2:2" s="221" customFormat="1" ht="12.75" x14ac:dyDescent="0.2">
      <c r="B1532" s="1168"/>
    </row>
    <row r="1533" spans="2:2" s="221" customFormat="1" ht="12.75" x14ac:dyDescent="0.2">
      <c r="B1533" s="1168"/>
    </row>
    <row r="1534" spans="2:2" s="221" customFormat="1" ht="12.75" x14ac:dyDescent="0.2">
      <c r="B1534" s="1168"/>
    </row>
    <row r="1535" spans="2:2" s="221" customFormat="1" ht="12.75" x14ac:dyDescent="0.2">
      <c r="B1535" s="1168"/>
    </row>
    <row r="1536" spans="2:2" s="221" customFormat="1" ht="12.75" x14ac:dyDescent="0.2">
      <c r="B1536" s="1168"/>
    </row>
    <row r="1537" spans="2:2" s="221" customFormat="1" ht="12.75" x14ac:dyDescent="0.2">
      <c r="B1537" s="1168"/>
    </row>
    <row r="1538" spans="2:2" s="221" customFormat="1" ht="12.75" x14ac:dyDescent="0.2">
      <c r="B1538" s="1168"/>
    </row>
    <row r="1539" spans="2:2" s="221" customFormat="1" ht="12.75" x14ac:dyDescent="0.2">
      <c r="B1539" s="1168"/>
    </row>
    <row r="1540" spans="2:2" s="221" customFormat="1" ht="12.75" x14ac:dyDescent="0.2">
      <c r="B1540" s="1168"/>
    </row>
    <row r="1541" spans="2:2" s="221" customFormat="1" ht="12.75" x14ac:dyDescent="0.2">
      <c r="B1541" s="1168"/>
    </row>
    <row r="1542" spans="2:2" s="221" customFormat="1" ht="12.75" x14ac:dyDescent="0.2">
      <c r="B1542" s="1168"/>
    </row>
    <row r="1543" spans="2:2" s="221" customFormat="1" ht="12.75" x14ac:dyDescent="0.2">
      <c r="B1543" s="1168"/>
    </row>
    <row r="1544" spans="2:2" s="221" customFormat="1" ht="12.75" x14ac:dyDescent="0.2">
      <c r="B1544" s="1168"/>
    </row>
    <row r="1545" spans="2:2" s="221" customFormat="1" ht="12.75" x14ac:dyDescent="0.2">
      <c r="B1545" s="1168"/>
    </row>
    <row r="1546" spans="2:2" s="221" customFormat="1" ht="12.75" x14ac:dyDescent="0.2">
      <c r="B1546" s="1168"/>
    </row>
    <row r="1547" spans="2:2" s="221" customFormat="1" ht="12.75" x14ac:dyDescent="0.2">
      <c r="B1547" s="1168"/>
    </row>
    <row r="1548" spans="2:2" s="221" customFormat="1" ht="12.75" x14ac:dyDescent="0.2">
      <c r="B1548" s="1168"/>
    </row>
    <row r="1549" spans="2:2" s="221" customFormat="1" ht="12.75" x14ac:dyDescent="0.2">
      <c r="B1549" s="1168"/>
    </row>
    <row r="1550" spans="2:2" s="221" customFormat="1" ht="12.75" x14ac:dyDescent="0.2">
      <c r="B1550" s="1168"/>
    </row>
    <row r="1551" spans="2:2" s="221" customFormat="1" ht="12.75" x14ac:dyDescent="0.2">
      <c r="B1551" s="1168"/>
    </row>
    <row r="1552" spans="2:2" s="221" customFormat="1" ht="12.75" x14ac:dyDescent="0.2">
      <c r="B1552" s="1168"/>
    </row>
    <row r="1553" spans="2:2" s="221" customFormat="1" ht="12.75" x14ac:dyDescent="0.2">
      <c r="B1553" s="1168"/>
    </row>
    <row r="1554" spans="2:2" s="221" customFormat="1" ht="12.75" x14ac:dyDescent="0.2">
      <c r="B1554" s="1168"/>
    </row>
    <row r="1555" spans="2:2" s="221" customFormat="1" ht="12.75" x14ac:dyDescent="0.2">
      <c r="B1555" s="1168"/>
    </row>
    <row r="1556" spans="2:2" s="221" customFormat="1" ht="12.75" x14ac:dyDescent="0.2">
      <c r="B1556" s="1168"/>
    </row>
    <row r="1557" spans="2:2" s="221" customFormat="1" ht="12.75" x14ac:dyDescent="0.2">
      <c r="B1557" s="1168"/>
    </row>
    <row r="1558" spans="2:2" s="221" customFormat="1" ht="12.75" x14ac:dyDescent="0.2">
      <c r="B1558" s="1168"/>
    </row>
    <row r="1559" spans="2:2" s="221" customFormat="1" ht="12.75" x14ac:dyDescent="0.2">
      <c r="B1559" s="1168"/>
    </row>
    <row r="1560" spans="2:2" s="221" customFormat="1" ht="12.75" x14ac:dyDescent="0.2">
      <c r="B1560" s="1168"/>
    </row>
    <row r="1561" spans="2:2" s="221" customFormat="1" ht="12.75" x14ac:dyDescent="0.2">
      <c r="B1561" s="1168"/>
    </row>
    <row r="1562" spans="2:2" s="221" customFormat="1" ht="12.75" x14ac:dyDescent="0.2">
      <c r="B1562" s="1168"/>
    </row>
    <row r="1563" spans="2:2" s="221" customFormat="1" ht="12.75" x14ac:dyDescent="0.2">
      <c r="B1563" s="1168"/>
    </row>
    <row r="1564" spans="2:2" s="221" customFormat="1" ht="12.75" x14ac:dyDescent="0.2">
      <c r="B1564" s="1168"/>
    </row>
    <row r="1565" spans="2:2" s="221" customFormat="1" ht="12.75" x14ac:dyDescent="0.2">
      <c r="B1565" s="1168"/>
    </row>
    <row r="1566" spans="2:2" s="221" customFormat="1" ht="12.75" x14ac:dyDescent="0.2">
      <c r="B1566" s="1168"/>
    </row>
    <row r="1567" spans="2:2" s="221" customFormat="1" ht="12.75" x14ac:dyDescent="0.2">
      <c r="B1567" s="1168"/>
    </row>
    <row r="1568" spans="2:2" s="221" customFormat="1" ht="12.75" x14ac:dyDescent="0.2">
      <c r="B1568" s="1168"/>
    </row>
    <row r="1569" spans="2:2" s="221" customFormat="1" ht="12.75" x14ac:dyDescent="0.2">
      <c r="B1569" s="1168"/>
    </row>
    <row r="1570" spans="2:2" s="221" customFormat="1" ht="12.75" x14ac:dyDescent="0.2">
      <c r="B1570" s="1168"/>
    </row>
    <row r="1571" spans="2:2" s="221" customFormat="1" ht="12.75" x14ac:dyDescent="0.2">
      <c r="B1571" s="1168"/>
    </row>
    <row r="1572" spans="2:2" s="221" customFormat="1" ht="12.75" x14ac:dyDescent="0.2">
      <c r="B1572" s="1168"/>
    </row>
    <row r="1573" spans="2:2" s="221" customFormat="1" ht="12.75" x14ac:dyDescent="0.2">
      <c r="B1573" s="1168"/>
    </row>
    <row r="1574" spans="2:2" s="221" customFormat="1" ht="12.75" x14ac:dyDescent="0.2">
      <c r="B1574" s="1168"/>
    </row>
    <row r="1575" spans="2:2" s="221" customFormat="1" ht="12.75" x14ac:dyDescent="0.2">
      <c r="B1575" s="1168"/>
    </row>
    <row r="1576" spans="2:2" s="221" customFormat="1" ht="12.75" x14ac:dyDescent="0.2">
      <c r="B1576" s="1168"/>
    </row>
    <row r="1577" spans="2:2" s="221" customFormat="1" ht="12.75" x14ac:dyDescent="0.2">
      <c r="B1577" s="1168"/>
    </row>
    <row r="1578" spans="2:2" s="221" customFormat="1" ht="12.75" x14ac:dyDescent="0.2">
      <c r="B1578" s="1168"/>
    </row>
    <row r="1579" spans="2:2" s="221" customFormat="1" ht="12.75" x14ac:dyDescent="0.2">
      <c r="B1579" s="1168"/>
    </row>
    <row r="1580" spans="2:2" s="221" customFormat="1" ht="12.75" x14ac:dyDescent="0.2">
      <c r="B1580" s="1168"/>
    </row>
    <row r="1581" spans="2:2" s="221" customFormat="1" ht="12.75" x14ac:dyDescent="0.2">
      <c r="B1581" s="1168"/>
    </row>
    <row r="1582" spans="2:2" s="221" customFormat="1" ht="12.75" x14ac:dyDescent="0.2">
      <c r="B1582" s="1168"/>
    </row>
    <row r="1583" spans="2:2" s="221" customFormat="1" ht="12.75" x14ac:dyDescent="0.2">
      <c r="B1583" s="1168"/>
    </row>
    <row r="1584" spans="2:2" s="221" customFormat="1" ht="12.75" x14ac:dyDescent="0.2">
      <c r="B1584" s="1168"/>
    </row>
    <row r="1585" spans="2:2" s="221" customFormat="1" ht="12.75" x14ac:dyDescent="0.2">
      <c r="B1585" s="1168"/>
    </row>
    <row r="1586" spans="2:2" s="221" customFormat="1" ht="12.75" x14ac:dyDescent="0.2">
      <c r="B1586" s="1168"/>
    </row>
    <row r="1587" spans="2:2" s="221" customFormat="1" ht="12.75" x14ac:dyDescent="0.2">
      <c r="B1587" s="1168"/>
    </row>
    <row r="1588" spans="2:2" s="221" customFormat="1" ht="12.75" x14ac:dyDescent="0.2">
      <c r="B1588" s="1168"/>
    </row>
    <row r="1589" spans="2:2" s="221" customFormat="1" ht="12.75" x14ac:dyDescent="0.2">
      <c r="B1589" s="1168"/>
    </row>
    <row r="1590" spans="2:2" s="221" customFormat="1" ht="12.75" x14ac:dyDescent="0.2">
      <c r="B1590" s="1168"/>
    </row>
    <row r="1591" spans="2:2" s="221" customFormat="1" ht="12.75" x14ac:dyDescent="0.2">
      <c r="B1591" s="1168"/>
    </row>
    <row r="1592" spans="2:2" s="221" customFormat="1" ht="12.75" x14ac:dyDescent="0.2">
      <c r="B1592" s="1168"/>
    </row>
    <row r="1593" spans="2:2" s="221" customFormat="1" ht="12.75" x14ac:dyDescent="0.2">
      <c r="B1593" s="1168"/>
    </row>
    <row r="1594" spans="2:2" s="221" customFormat="1" ht="12.75" x14ac:dyDescent="0.2">
      <c r="B1594" s="1168"/>
    </row>
    <row r="1595" spans="2:2" s="221" customFormat="1" ht="12.75" x14ac:dyDescent="0.2">
      <c r="B1595" s="1168"/>
    </row>
    <row r="1596" spans="2:2" s="221" customFormat="1" ht="12.75" x14ac:dyDescent="0.2">
      <c r="B1596" s="1168"/>
    </row>
    <row r="1597" spans="2:2" s="221" customFormat="1" ht="12.75" x14ac:dyDescent="0.2">
      <c r="B1597" s="1168"/>
    </row>
    <row r="1598" spans="2:2" s="221" customFormat="1" ht="12.75" x14ac:dyDescent="0.2">
      <c r="B1598" s="1168"/>
    </row>
    <row r="1599" spans="2:2" s="221" customFormat="1" ht="12.75" x14ac:dyDescent="0.2">
      <c r="B1599" s="1168"/>
    </row>
    <row r="1600" spans="2:2" s="221" customFormat="1" ht="12.75" x14ac:dyDescent="0.2">
      <c r="B1600" s="1168"/>
    </row>
    <row r="1601" spans="2:2" s="221" customFormat="1" ht="12.75" x14ac:dyDescent="0.2">
      <c r="B1601" s="1168"/>
    </row>
    <row r="1602" spans="2:2" s="221" customFormat="1" ht="12.75" x14ac:dyDescent="0.2">
      <c r="B1602" s="1168"/>
    </row>
    <row r="1603" spans="2:2" s="221" customFormat="1" ht="12.75" x14ac:dyDescent="0.2">
      <c r="B1603" s="1168"/>
    </row>
    <row r="1604" spans="2:2" s="221" customFormat="1" ht="12.75" x14ac:dyDescent="0.2">
      <c r="B1604" s="1168"/>
    </row>
    <row r="1605" spans="2:2" s="221" customFormat="1" ht="12.75" x14ac:dyDescent="0.2">
      <c r="B1605" s="1168"/>
    </row>
    <row r="1606" spans="2:2" s="221" customFormat="1" ht="12.75" x14ac:dyDescent="0.2">
      <c r="B1606" s="1168"/>
    </row>
    <row r="1607" spans="2:2" s="221" customFormat="1" ht="12.75" x14ac:dyDescent="0.2">
      <c r="B1607" s="1168"/>
    </row>
    <row r="1608" spans="2:2" s="221" customFormat="1" ht="12.75" x14ac:dyDescent="0.2">
      <c r="B1608" s="1168"/>
    </row>
    <row r="1609" spans="2:2" s="221" customFormat="1" ht="12.75" x14ac:dyDescent="0.2">
      <c r="B1609" s="1168"/>
    </row>
    <row r="1610" spans="2:2" s="221" customFormat="1" ht="12.75" x14ac:dyDescent="0.2">
      <c r="B1610" s="1168"/>
    </row>
    <row r="1611" spans="2:2" s="221" customFormat="1" ht="12.75" x14ac:dyDescent="0.2">
      <c r="B1611" s="1168"/>
    </row>
    <row r="1612" spans="2:2" s="221" customFormat="1" ht="12.75" x14ac:dyDescent="0.2">
      <c r="B1612" s="1168"/>
    </row>
    <row r="1613" spans="2:2" s="221" customFormat="1" ht="12.75" x14ac:dyDescent="0.2">
      <c r="B1613" s="1168"/>
    </row>
    <row r="1614" spans="2:2" s="221" customFormat="1" ht="12.75" x14ac:dyDescent="0.2">
      <c r="B1614" s="1168"/>
    </row>
    <row r="1615" spans="2:2" s="221" customFormat="1" ht="12.75" x14ac:dyDescent="0.2">
      <c r="B1615" s="1168"/>
    </row>
    <row r="1616" spans="2:2" s="221" customFormat="1" ht="12.75" x14ac:dyDescent="0.2">
      <c r="B1616" s="1168"/>
    </row>
    <row r="1617" spans="2:2" s="221" customFormat="1" ht="12.75" x14ac:dyDescent="0.2">
      <c r="B1617" s="1168"/>
    </row>
    <row r="1618" spans="2:2" s="221" customFormat="1" ht="12.75" x14ac:dyDescent="0.2">
      <c r="B1618" s="1168"/>
    </row>
    <row r="1619" spans="2:2" s="221" customFormat="1" ht="12.75" x14ac:dyDescent="0.2">
      <c r="B1619" s="1168"/>
    </row>
    <row r="1620" spans="2:2" s="221" customFormat="1" ht="12.75" x14ac:dyDescent="0.2">
      <c r="B1620" s="1168"/>
    </row>
    <row r="1621" spans="2:2" s="221" customFormat="1" ht="12.75" x14ac:dyDescent="0.2">
      <c r="B1621" s="1168"/>
    </row>
    <row r="1622" spans="2:2" s="221" customFormat="1" ht="12.75" x14ac:dyDescent="0.2">
      <c r="B1622" s="1168"/>
    </row>
    <row r="1623" spans="2:2" s="221" customFormat="1" ht="12.75" x14ac:dyDescent="0.2">
      <c r="B1623" s="1168"/>
    </row>
    <row r="1624" spans="2:2" s="221" customFormat="1" ht="12.75" x14ac:dyDescent="0.2">
      <c r="B1624" s="1168"/>
    </row>
    <row r="1625" spans="2:2" s="221" customFormat="1" ht="12.75" x14ac:dyDescent="0.2">
      <c r="B1625" s="1168"/>
    </row>
    <row r="1626" spans="2:2" s="221" customFormat="1" ht="12.75" x14ac:dyDescent="0.2">
      <c r="B1626" s="1168"/>
    </row>
    <row r="1627" spans="2:2" s="221" customFormat="1" ht="12.75" x14ac:dyDescent="0.2">
      <c r="B1627" s="1168"/>
    </row>
    <row r="1628" spans="2:2" s="221" customFormat="1" ht="12.75" x14ac:dyDescent="0.2">
      <c r="B1628" s="1168"/>
    </row>
    <row r="1629" spans="2:2" s="221" customFormat="1" ht="12.75" x14ac:dyDescent="0.2">
      <c r="B1629" s="1168"/>
    </row>
    <row r="1630" spans="2:2" s="221" customFormat="1" ht="12.75" x14ac:dyDescent="0.2">
      <c r="B1630" s="1168"/>
    </row>
    <row r="1631" spans="2:2" s="221" customFormat="1" ht="12.75" x14ac:dyDescent="0.2">
      <c r="B1631" s="1168"/>
    </row>
    <row r="1632" spans="2:2" s="221" customFormat="1" ht="12.75" x14ac:dyDescent="0.2">
      <c r="B1632" s="1168"/>
    </row>
    <row r="1633" spans="2:2" s="221" customFormat="1" ht="12.75" x14ac:dyDescent="0.2">
      <c r="B1633" s="1168"/>
    </row>
    <row r="1634" spans="2:2" s="221" customFormat="1" ht="12.75" x14ac:dyDescent="0.2">
      <c r="B1634" s="1168"/>
    </row>
    <row r="1635" spans="2:2" s="221" customFormat="1" ht="12.75" x14ac:dyDescent="0.2">
      <c r="B1635" s="1168"/>
    </row>
    <row r="1636" spans="2:2" s="221" customFormat="1" ht="12.75" x14ac:dyDescent="0.2">
      <c r="B1636" s="1168"/>
    </row>
    <row r="1637" spans="2:2" s="221" customFormat="1" ht="12.75" x14ac:dyDescent="0.2">
      <c r="B1637" s="1168"/>
    </row>
    <row r="1638" spans="2:2" s="221" customFormat="1" ht="12.75" x14ac:dyDescent="0.2">
      <c r="B1638" s="1168"/>
    </row>
    <row r="1639" spans="2:2" s="221" customFormat="1" ht="12.75" x14ac:dyDescent="0.2">
      <c r="B1639" s="1168"/>
    </row>
    <row r="1640" spans="2:2" s="221" customFormat="1" ht="12.75" x14ac:dyDescent="0.2">
      <c r="B1640" s="1168"/>
    </row>
    <row r="1641" spans="2:2" s="221" customFormat="1" ht="12.75" x14ac:dyDescent="0.2">
      <c r="B1641" s="1168"/>
    </row>
    <row r="1642" spans="2:2" s="221" customFormat="1" ht="12.75" x14ac:dyDescent="0.2">
      <c r="B1642" s="1168"/>
    </row>
    <row r="1643" spans="2:2" s="221" customFormat="1" ht="12.75" x14ac:dyDescent="0.2">
      <c r="B1643" s="1168"/>
    </row>
    <row r="1644" spans="2:2" s="221" customFormat="1" ht="12.75" x14ac:dyDescent="0.2">
      <c r="B1644" s="1168"/>
    </row>
    <row r="1645" spans="2:2" s="221" customFormat="1" ht="12.75" x14ac:dyDescent="0.2">
      <c r="B1645" s="1168"/>
    </row>
    <row r="1646" spans="2:2" s="221" customFormat="1" ht="12.75" x14ac:dyDescent="0.2">
      <c r="B1646" s="1168"/>
    </row>
    <row r="1647" spans="2:2" s="221" customFormat="1" ht="12.75" x14ac:dyDescent="0.2">
      <c r="B1647" s="1168"/>
    </row>
    <row r="1648" spans="2:2" s="221" customFormat="1" ht="12.75" x14ac:dyDescent="0.2">
      <c r="B1648" s="1168"/>
    </row>
    <row r="1649" spans="2:2" s="221" customFormat="1" ht="12.75" x14ac:dyDescent="0.2">
      <c r="B1649" s="1168"/>
    </row>
    <row r="1650" spans="2:2" s="221" customFormat="1" ht="12.75" x14ac:dyDescent="0.2">
      <c r="B1650" s="1168"/>
    </row>
    <row r="1651" spans="2:2" s="221" customFormat="1" ht="12.75" x14ac:dyDescent="0.2">
      <c r="B1651" s="1168"/>
    </row>
    <row r="1652" spans="2:2" s="221" customFormat="1" ht="12.75" x14ac:dyDescent="0.2">
      <c r="B1652" s="1168"/>
    </row>
    <row r="1653" spans="2:2" s="221" customFormat="1" ht="12.75" x14ac:dyDescent="0.2">
      <c r="B1653" s="1168"/>
    </row>
    <row r="1654" spans="2:2" s="221" customFormat="1" ht="12.75" x14ac:dyDescent="0.2">
      <c r="B1654" s="1168"/>
    </row>
    <row r="1655" spans="2:2" s="221" customFormat="1" ht="12.75" x14ac:dyDescent="0.2">
      <c r="B1655" s="1168"/>
    </row>
    <row r="1656" spans="2:2" s="221" customFormat="1" ht="12.75" x14ac:dyDescent="0.2">
      <c r="B1656" s="1168"/>
    </row>
    <row r="1657" spans="2:2" s="221" customFormat="1" ht="12.75" x14ac:dyDescent="0.2">
      <c r="B1657" s="1168"/>
    </row>
    <row r="1658" spans="2:2" s="221" customFormat="1" ht="12.75" x14ac:dyDescent="0.2">
      <c r="B1658" s="1168"/>
    </row>
    <row r="1659" spans="2:2" s="221" customFormat="1" ht="12.75" x14ac:dyDescent="0.2">
      <c r="B1659" s="1168"/>
    </row>
    <row r="1660" spans="2:2" s="221" customFormat="1" ht="12.75" x14ac:dyDescent="0.2">
      <c r="B1660" s="1168"/>
    </row>
    <row r="1661" spans="2:2" s="221" customFormat="1" ht="12.75" x14ac:dyDescent="0.2">
      <c r="B1661" s="1168"/>
    </row>
    <row r="1662" spans="2:2" s="221" customFormat="1" ht="12.75" x14ac:dyDescent="0.2">
      <c r="B1662" s="1168"/>
    </row>
    <row r="1663" spans="2:2" s="221" customFormat="1" ht="12.75" x14ac:dyDescent="0.2">
      <c r="B1663" s="1168"/>
    </row>
    <row r="1664" spans="2:2" s="221" customFormat="1" ht="12.75" x14ac:dyDescent="0.2">
      <c r="B1664" s="1168"/>
    </row>
    <row r="1665" spans="2:2" s="221" customFormat="1" ht="12.75" x14ac:dyDescent="0.2">
      <c r="B1665" s="1168"/>
    </row>
    <row r="1666" spans="2:2" s="221" customFormat="1" ht="12.75" x14ac:dyDescent="0.2">
      <c r="B1666" s="1168"/>
    </row>
    <row r="1667" spans="2:2" s="221" customFormat="1" ht="12.75" x14ac:dyDescent="0.2">
      <c r="B1667" s="1168"/>
    </row>
    <row r="1668" spans="2:2" s="221" customFormat="1" ht="12.75" x14ac:dyDescent="0.2">
      <c r="B1668" s="1168"/>
    </row>
    <row r="1669" spans="2:2" s="221" customFormat="1" ht="12.75" x14ac:dyDescent="0.2">
      <c r="B1669" s="1168"/>
    </row>
    <row r="1670" spans="2:2" s="221" customFormat="1" ht="12.75" x14ac:dyDescent="0.2">
      <c r="B1670" s="1168"/>
    </row>
    <row r="1671" spans="2:2" s="221" customFormat="1" ht="12.75" x14ac:dyDescent="0.2">
      <c r="B1671" s="1168"/>
    </row>
    <row r="1672" spans="2:2" s="221" customFormat="1" ht="12.75" x14ac:dyDescent="0.2">
      <c r="B1672" s="1168"/>
    </row>
    <row r="1673" spans="2:2" s="221" customFormat="1" ht="12.75" x14ac:dyDescent="0.2">
      <c r="B1673" s="1168"/>
    </row>
    <row r="1674" spans="2:2" s="221" customFormat="1" ht="12.75" x14ac:dyDescent="0.2">
      <c r="B1674" s="1168"/>
    </row>
    <row r="1675" spans="2:2" s="221" customFormat="1" ht="12.75" x14ac:dyDescent="0.2">
      <c r="B1675" s="1168"/>
    </row>
    <row r="1676" spans="2:2" s="221" customFormat="1" ht="12.75" x14ac:dyDescent="0.2">
      <c r="B1676" s="1168"/>
    </row>
    <row r="1677" spans="2:2" s="221" customFormat="1" ht="12.75" x14ac:dyDescent="0.2">
      <c r="B1677" s="1168"/>
    </row>
    <row r="1678" spans="2:2" s="221" customFormat="1" ht="12.75" x14ac:dyDescent="0.2">
      <c r="B1678" s="1168"/>
    </row>
    <row r="1679" spans="2:2" s="221" customFormat="1" ht="12.75" x14ac:dyDescent="0.2">
      <c r="B1679" s="1168"/>
    </row>
    <row r="1680" spans="2:2" s="221" customFormat="1" ht="12.75" x14ac:dyDescent="0.2">
      <c r="B1680" s="1168"/>
    </row>
    <row r="1681" spans="2:2" s="221" customFormat="1" ht="12.75" x14ac:dyDescent="0.2">
      <c r="B1681" s="1168"/>
    </row>
    <row r="1682" spans="2:2" s="221" customFormat="1" ht="12.75" x14ac:dyDescent="0.2">
      <c r="B1682" s="1168"/>
    </row>
    <row r="1683" spans="2:2" s="221" customFormat="1" ht="12.75" x14ac:dyDescent="0.2">
      <c r="B1683" s="1168"/>
    </row>
    <row r="1684" spans="2:2" s="221" customFormat="1" ht="12.75" x14ac:dyDescent="0.2">
      <c r="B1684" s="1168"/>
    </row>
    <row r="1685" spans="2:2" s="221" customFormat="1" ht="12.75" x14ac:dyDescent="0.2">
      <c r="B1685" s="1168"/>
    </row>
    <row r="1686" spans="2:2" s="221" customFormat="1" ht="12.75" x14ac:dyDescent="0.2">
      <c r="B1686" s="1168"/>
    </row>
    <row r="1687" spans="2:2" s="221" customFormat="1" ht="12.75" x14ac:dyDescent="0.2">
      <c r="B1687" s="1168"/>
    </row>
    <row r="1688" spans="2:2" s="221" customFormat="1" ht="12.75" x14ac:dyDescent="0.2">
      <c r="B1688" s="1168"/>
    </row>
    <row r="1689" spans="2:2" s="221" customFormat="1" ht="12.75" x14ac:dyDescent="0.2">
      <c r="B1689" s="1168"/>
    </row>
    <row r="1690" spans="2:2" s="221" customFormat="1" ht="12.75" x14ac:dyDescent="0.2">
      <c r="B1690" s="1168"/>
    </row>
    <row r="1691" spans="2:2" s="221" customFormat="1" ht="12.75" x14ac:dyDescent="0.2">
      <c r="B1691" s="1168"/>
    </row>
    <row r="1692" spans="2:2" s="221" customFormat="1" ht="12.75" x14ac:dyDescent="0.2">
      <c r="B1692" s="1168"/>
    </row>
    <row r="1693" spans="2:2" s="221" customFormat="1" ht="12.75" x14ac:dyDescent="0.2">
      <c r="B1693" s="1168"/>
    </row>
    <row r="1694" spans="2:2" s="221" customFormat="1" ht="12.75" x14ac:dyDescent="0.2">
      <c r="B1694" s="1168"/>
    </row>
    <row r="1695" spans="2:2" s="221" customFormat="1" ht="12.75" x14ac:dyDescent="0.2">
      <c r="B1695" s="1168"/>
    </row>
    <row r="1696" spans="2:2" s="221" customFormat="1" ht="12.75" x14ac:dyDescent="0.2">
      <c r="B1696" s="1168"/>
    </row>
    <row r="1697" spans="2:2" s="221" customFormat="1" ht="12.75" x14ac:dyDescent="0.2">
      <c r="B1697" s="1168"/>
    </row>
    <row r="1698" spans="2:2" s="221" customFormat="1" ht="12.75" x14ac:dyDescent="0.2">
      <c r="B1698" s="1168"/>
    </row>
    <row r="1699" spans="2:2" s="221" customFormat="1" ht="12.75" x14ac:dyDescent="0.2">
      <c r="B1699" s="1168"/>
    </row>
    <row r="1700" spans="2:2" s="221" customFormat="1" ht="12.75" x14ac:dyDescent="0.2">
      <c r="B1700" s="1168"/>
    </row>
    <row r="1701" spans="2:2" s="221" customFormat="1" ht="12.75" x14ac:dyDescent="0.2">
      <c r="B1701" s="1168"/>
    </row>
    <row r="1702" spans="2:2" s="221" customFormat="1" ht="12.75" x14ac:dyDescent="0.2">
      <c r="B1702" s="1168"/>
    </row>
    <row r="1703" spans="2:2" s="221" customFormat="1" ht="12.75" x14ac:dyDescent="0.2">
      <c r="B1703" s="1168"/>
    </row>
    <row r="1704" spans="2:2" s="221" customFormat="1" ht="12.75" x14ac:dyDescent="0.2">
      <c r="B1704" s="1168"/>
    </row>
    <row r="1705" spans="2:2" s="221" customFormat="1" ht="12.75" x14ac:dyDescent="0.2">
      <c r="B1705" s="1168"/>
    </row>
    <row r="1706" spans="2:2" s="221" customFormat="1" ht="12.75" x14ac:dyDescent="0.2">
      <c r="B1706" s="1168"/>
    </row>
    <row r="1707" spans="2:2" s="221" customFormat="1" ht="12.75" x14ac:dyDescent="0.2">
      <c r="B1707" s="1168"/>
    </row>
    <row r="1708" spans="2:2" s="221" customFormat="1" ht="12.75" x14ac:dyDescent="0.2">
      <c r="B1708" s="1168"/>
    </row>
    <row r="1709" spans="2:2" s="221" customFormat="1" ht="12.75" x14ac:dyDescent="0.2">
      <c r="B1709" s="1168"/>
    </row>
    <row r="1710" spans="2:2" s="221" customFormat="1" ht="12.75" x14ac:dyDescent="0.2">
      <c r="B1710" s="1168"/>
    </row>
    <row r="1711" spans="2:2" s="221" customFormat="1" ht="12.75" x14ac:dyDescent="0.2">
      <c r="B1711" s="1168"/>
    </row>
    <row r="1712" spans="2:2" s="221" customFormat="1" ht="12.75" x14ac:dyDescent="0.2">
      <c r="B1712" s="1168"/>
    </row>
    <row r="1713" spans="2:2" s="221" customFormat="1" ht="12.75" x14ac:dyDescent="0.2">
      <c r="B1713" s="1168"/>
    </row>
    <row r="1714" spans="2:2" s="221" customFormat="1" ht="12.75" x14ac:dyDescent="0.2">
      <c r="B1714" s="1168"/>
    </row>
    <row r="1715" spans="2:2" s="221" customFormat="1" ht="12.75" x14ac:dyDescent="0.2">
      <c r="B1715" s="1168"/>
    </row>
    <row r="1716" spans="2:2" s="221" customFormat="1" ht="12.75" x14ac:dyDescent="0.2">
      <c r="B1716" s="1168"/>
    </row>
    <row r="1717" spans="2:2" s="221" customFormat="1" ht="12.75" x14ac:dyDescent="0.2">
      <c r="B1717" s="1168"/>
    </row>
    <row r="1718" spans="2:2" s="221" customFormat="1" ht="12.75" x14ac:dyDescent="0.2">
      <c r="B1718" s="1168"/>
    </row>
    <row r="1719" spans="2:2" s="221" customFormat="1" ht="12.75" x14ac:dyDescent="0.2">
      <c r="B1719" s="1168"/>
    </row>
    <row r="1720" spans="2:2" s="221" customFormat="1" ht="12.75" x14ac:dyDescent="0.2">
      <c r="B1720" s="1168"/>
    </row>
    <row r="1721" spans="2:2" s="221" customFormat="1" ht="12.75" x14ac:dyDescent="0.2">
      <c r="B1721" s="1168"/>
    </row>
    <row r="1722" spans="2:2" s="221" customFormat="1" ht="12.75" x14ac:dyDescent="0.2">
      <c r="B1722" s="1168"/>
    </row>
    <row r="1723" spans="2:2" s="221" customFormat="1" ht="12.75" x14ac:dyDescent="0.2">
      <c r="B1723" s="1168"/>
    </row>
    <row r="1724" spans="2:2" s="221" customFormat="1" ht="12.75" x14ac:dyDescent="0.2">
      <c r="B1724" s="1168"/>
    </row>
    <row r="1725" spans="2:2" s="221" customFormat="1" ht="12.75" x14ac:dyDescent="0.2">
      <c r="B1725" s="1168"/>
    </row>
    <row r="1726" spans="2:2" s="221" customFormat="1" ht="12.75" x14ac:dyDescent="0.2">
      <c r="B1726" s="1168"/>
    </row>
    <row r="1727" spans="2:2" s="221" customFormat="1" ht="12.75" x14ac:dyDescent="0.2">
      <c r="B1727" s="1168"/>
    </row>
    <row r="1728" spans="2:2" s="221" customFormat="1" ht="12.75" x14ac:dyDescent="0.2">
      <c r="B1728" s="1168"/>
    </row>
    <row r="1729" spans="2:2" s="221" customFormat="1" ht="12.75" x14ac:dyDescent="0.2">
      <c r="B1729" s="1168"/>
    </row>
    <row r="1730" spans="2:2" s="221" customFormat="1" ht="12.75" x14ac:dyDescent="0.2">
      <c r="B1730" s="1168"/>
    </row>
    <row r="1731" spans="2:2" s="221" customFormat="1" ht="12.75" x14ac:dyDescent="0.2">
      <c r="B1731" s="1168"/>
    </row>
    <row r="1732" spans="2:2" s="221" customFormat="1" ht="12.75" x14ac:dyDescent="0.2">
      <c r="B1732" s="1168"/>
    </row>
    <row r="1733" spans="2:2" s="221" customFormat="1" ht="12.75" x14ac:dyDescent="0.2">
      <c r="B1733" s="1168"/>
    </row>
    <row r="1734" spans="2:2" s="221" customFormat="1" ht="12.75" x14ac:dyDescent="0.2">
      <c r="B1734" s="1168"/>
    </row>
    <row r="1735" spans="2:2" s="221" customFormat="1" ht="12.75" x14ac:dyDescent="0.2">
      <c r="B1735" s="1168"/>
    </row>
    <row r="1736" spans="2:2" s="221" customFormat="1" ht="12.75" x14ac:dyDescent="0.2">
      <c r="B1736" s="1168"/>
    </row>
    <row r="1737" spans="2:2" s="221" customFormat="1" ht="12.75" x14ac:dyDescent="0.2">
      <c r="B1737" s="1168"/>
    </row>
    <row r="1738" spans="2:2" s="221" customFormat="1" ht="12.75" x14ac:dyDescent="0.2">
      <c r="B1738" s="1168"/>
    </row>
    <row r="1739" spans="2:2" s="221" customFormat="1" ht="12.75" x14ac:dyDescent="0.2">
      <c r="B1739" s="1168"/>
    </row>
    <row r="1740" spans="2:2" s="221" customFormat="1" ht="12.75" x14ac:dyDescent="0.2">
      <c r="B1740" s="1168"/>
    </row>
    <row r="1741" spans="2:2" s="221" customFormat="1" ht="12.75" x14ac:dyDescent="0.2">
      <c r="B1741" s="1168"/>
    </row>
    <row r="1742" spans="2:2" s="221" customFormat="1" ht="12.75" x14ac:dyDescent="0.2">
      <c r="B1742" s="1168"/>
    </row>
    <row r="1743" spans="2:2" s="221" customFormat="1" ht="12.75" x14ac:dyDescent="0.2">
      <c r="B1743" s="1168"/>
    </row>
    <row r="1744" spans="2:2" s="221" customFormat="1" ht="12.75" x14ac:dyDescent="0.2">
      <c r="B1744" s="1168"/>
    </row>
    <row r="1745" spans="2:2" s="221" customFormat="1" ht="12.75" x14ac:dyDescent="0.2">
      <c r="B1745" s="1168"/>
    </row>
    <row r="1746" spans="2:2" s="221" customFormat="1" ht="12.75" x14ac:dyDescent="0.2">
      <c r="B1746" s="1168"/>
    </row>
    <row r="1747" spans="2:2" s="221" customFormat="1" ht="12.75" x14ac:dyDescent="0.2">
      <c r="B1747" s="1168"/>
    </row>
    <row r="1748" spans="2:2" s="221" customFormat="1" ht="12.75" x14ac:dyDescent="0.2">
      <c r="B1748" s="1168"/>
    </row>
    <row r="1749" spans="2:2" s="221" customFormat="1" ht="12.75" x14ac:dyDescent="0.2">
      <c r="B1749" s="1168"/>
    </row>
    <row r="1750" spans="2:2" s="221" customFormat="1" ht="12.75" x14ac:dyDescent="0.2">
      <c r="B1750" s="1168"/>
    </row>
    <row r="1751" spans="2:2" s="221" customFormat="1" ht="12.75" x14ac:dyDescent="0.2">
      <c r="B1751" s="1168"/>
    </row>
    <row r="1752" spans="2:2" s="221" customFormat="1" ht="12.75" x14ac:dyDescent="0.2">
      <c r="B1752" s="1168"/>
    </row>
    <row r="1753" spans="2:2" s="221" customFormat="1" ht="12.75" x14ac:dyDescent="0.2">
      <c r="B1753" s="1168"/>
    </row>
    <row r="1754" spans="2:2" s="221" customFormat="1" ht="12.75" x14ac:dyDescent="0.2">
      <c r="B1754" s="1168"/>
    </row>
    <row r="1755" spans="2:2" s="221" customFormat="1" ht="12.75" x14ac:dyDescent="0.2">
      <c r="B1755" s="1168"/>
    </row>
    <row r="1756" spans="2:2" s="221" customFormat="1" ht="12.75" x14ac:dyDescent="0.2">
      <c r="B1756" s="1168"/>
    </row>
    <row r="1757" spans="2:2" s="221" customFormat="1" ht="12.75" x14ac:dyDescent="0.2">
      <c r="B1757" s="1168"/>
    </row>
    <row r="1758" spans="2:2" s="221" customFormat="1" ht="12.75" x14ac:dyDescent="0.2">
      <c r="B1758" s="1168"/>
    </row>
    <row r="1759" spans="2:2" s="221" customFormat="1" ht="12.75" x14ac:dyDescent="0.2">
      <c r="B1759" s="1168"/>
    </row>
    <row r="1760" spans="2:2" s="221" customFormat="1" ht="12.75" x14ac:dyDescent="0.2">
      <c r="B1760" s="1168"/>
    </row>
    <row r="1761" spans="2:2" s="221" customFormat="1" ht="12.75" x14ac:dyDescent="0.2">
      <c r="B1761" s="1168"/>
    </row>
    <row r="1762" spans="2:2" s="221" customFormat="1" ht="12.75" x14ac:dyDescent="0.2">
      <c r="B1762" s="1168"/>
    </row>
    <row r="1763" spans="2:2" s="221" customFormat="1" ht="12.75" x14ac:dyDescent="0.2">
      <c r="B1763" s="1168"/>
    </row>
    <row r="1764" spans="2:2" s="221" customFormat="1" ht="12.75" x14ac:dyDescent="0.2">
      <c r="B1764" s="1168"/>
    </row>
    <row r="1765" spans="2:2" s="221" customFormat="1" ht="12.75" x14ac:dyDescent="0.2">
      <c r="B1765" s="1168"/>
    </row>
    <row r="1766" spans="2:2" s="221" customFormat="1" ht="12.75" x14ac:dyDescent="0.2">
      <c r="B1766" s="1168"/>
    </row>
    <row r="1767" spans="2:2" s="221" customFormat="1" ht="12.75" x14ac:dyDescent="0.2">
      <c r="B1767" s="1168"/>
    </row>
    <row r="1768" spans="2:2" s="221" customFormat="1" ht="12.75" x14ac:dyDescent="0.2">
      <c r="B1768" s="1168"/>
    </row>
    <row r="1769" spans="2:2" s="221" customFormat="1" ht="12.75" x14ac:dyDescent="0.2">
      <c r="B1769" s="1168"/>
    </row>
    <row r="1770" spans="2:2" s="221" customFormat="1" ht="12.75" x14ac:dyDescent="0.2">
      <c r="B1770" s="1168"/>
    </row>
    <row r="1771" spans="2:2" s="221" customFormat="1" ht="12.75" x14ac:dyDescent="0.2">
      <c r="B1771" s="1168"/>
    </row>
    <row r="1772" spans="2:2" s="221" customFormat="1" ht="12.75" x14ac:dyDescent="0.2">
      <c r="B1772" s="1168"/>
    </row>
    <row r="1773" spans="2:2" s="221" customFormat="1" ht="12.75" x14ac:dyDescent="0.2">
      <c r="B1773" s="1168"/>
    </row>
    <row r="1774" spans="2:2" s="221" customFormat="1" ht="12.75" x14ac:dyDescent="0.2">
      <c r="B1774" s="1168"/>
    </row>
    <row r="1775" spans="2:2" s="221" customFormat="1" ht="12.75" x14ac:dyDescent="0.2">
      <c r="B1775" s="1168"/>
    </row>
    <row r="1776" spans="2:2" s="221" customFormat="1" ht="12.75" x14ac:dyDescent="0.2">
      <c r="B1776" s="1168"/>
    </row>
    <row r="1777" spans="2:2" s="221" customFormat="1" ht="12.75" x14ac:dyDescent="0.2">
      <c r="B1777" s="1168"/>
    </row>
    <row r="1778" spans="2:2" s="221" customFormat="1" ht="12.75" x14ac:dyDescent="0.2">
      <c r="B1778" s="1168"/>
    </row>
    <row r="1779" spans="2:2" s="221" customFormat="1" ht="12.75" x14ac:dyDescent="0.2">
      <c r="B1779" s="1168"/>
    </row>
    <row r="1780" spans="2:2" s="221" customFormat="1" ht="12.75" x14ac:dyDescent="0.2">
      <c r="B1780" s="1168"/>
    </row>
    <row r="1781" spans="2:2" s="221" customFormat="1" ht="12.75" x14ac:dyDescent="0.2">
      <c r="B1781" s="1168"/>
    </row>
    <row r="1782" spans="2:2" s="221" customFormat="1" ht="12.75" x14ac:dyDescent="0.2">
      <c r="B1782" s="1168"/>
    </row>
    <row r="1783" spans="2:2" s="221" customFormat="1" ht="12.75" x14ac:dyDescent="0.2">
      <c r="B1783" s="1168"/>
    </row>
    <row r="1784" spans="2:2" s="221" customFormat="1" ht="12.75" x14ac:dyDescent="0.2">
      <c r="B1784" s="1168"/>
    </row>
    <row r="1785" spans="2:2" s="221" customFormat="1" ht="12.75" x14ac:dyDescent="0.2">
      <c r="B1785" s="1168"/>
    </row>
    <row r="1786" spans="2:2" s="221" customFormat="1" ht="12.75" x14ac:dyDescent="0.2">
      <c r="B1786" s="1168"/>
    </row>
    <row r="1787" spans="2:2" s="221" customFormat="1" ht="12.75" x14ac:dyDescent="0.2">
      <c r="B1787" s="1168"/>
    </row>
    <row r="1788" spans="2:2" s="221" customFormat="1" ht="12.75" x14ac:dyDescent="0.2">
      <c r="B1788" s="1168"/>
    </row>
    <row r="1789" spans="2:2" s="221" customFormat="1" ht="12.75" x14ac:dyDescent="0.2">
      <c r="B1789" s="1168"/>
    </row>
    <row r="1790" spans="2:2" s="221" customFormat="1" ht="12.75" x14ac:dyDescent="0.2">
      <c r="B1790" s="1168"/>
    </row>
    <row r="1791" spans="2:2" s="221" customFormat="1" ht="12.75" x14ac:dyDescent="0.2">
      <c r="B1791" s="1168"/>
    </row>
    <row r="1792" spans="2:2" s="221" customFormat="1" ht="12.75" x14ac:dyDescent="0.2">
      <c r="B1792" s="1168"/>
    </row>
    <row r="1793" spans="2:2" s="221" customFormat="1" ht="12.75" x14ac:dyDescent="0.2">
      <c r="B1793" s="1168"/>
    </row>
    <row r="1794" spans="2:2" s="221" customFormat="1" ht="12.75" x14ac:dyDescent="0.2">
      <c r="B1794" s="1168"/>
    </row>
    <row r="1795" spans="2:2" s="221" customFormat="1" ht="12.75" x14ac:dyDescent="0.2">
      <c r="B1795" s="1168"/>
    </row>
    <row r="1796" spans="2:2" s="221" customFormat="1" ht="12.75" x14ac:dyDescent="0.2">
      <c r="B1796" s="1168"/>
    </row>
    <row r="1797" spans="2:2" s="221" customFormat="1" ht="12.75" x14ac:dyDescent="0.2">
      <c r="B1797" s="1168"/>
    </row>
    <row r="1798" spans="2:2" s="221" customFormat="1" ht="12.75" x14ac:dyDescent="0.2">
      <c r="B1798" s="1168"/>
    </row>
    <row r="1799" spans="2:2" s="221" customFormat="1" ht="12.75" x14ac:dyDescent="0.2">
      <c r="B1799" s="1168"/>
    </row>
    <row r="1800" spans="2:2" s="221" customFormat="1" ht="12.75" x14ac:dyDescent="0.2">
      <c r="B1800" s="1168"/>
    </row>
    <row r="1801" spans="2:2" s="221" customFormat="1" ht="12.75" x14ac:dyDescent="0.2">
      <c r="B1801" s="1168"/>
    </row>
    <row r="1802" spans="2:2" s="221" customFormat="1" ht="12.75" x14ac:dyDescent="0.2">
      <c r="B1802" s="1168"/>
    </row>
    <row r="1803" spans="2:2" s="221" customFormat="1" ht="12.75" x14ac:dyDescent="0.2">
      <c r="B1803" s="1168"/>
    </row>
    <row r="1804" spans="2:2" s="221" customFormat="1" ht="12.75" x14ac:dyDescent="0.2">
      <c r="B1804" s="1168"/>
    </row>
    <row r="1805" spans="2:2" s="221" customFormat="1" ht="12.75" x14ac:dyDescent="0.2">
      <c r="B1805" s="1168"/>
    </row>
    <row r="1806" spans="2:2" s="221" customFormat="1" ht="12.75" x14ac:dyDescent="0.2">
      <c r="B1806" s="1168"/>
    </row>
    <row r="1807" spans="2:2" s="221" customFormat="1" ht="12.75" x14ac:dyDescent="0.2">
      <c r="B1807" s="1168"/>
    </row>
    <row r="1808" spans="2:2" s="221" customFormat="1" ht="12.75" x14ac:dyDescent="0.2">
      <c r="B1808" s="1168"/>
    </row>
    <row r="1809" spans="2:2" s="221" customFormat="1" ht="12.75" x14ac:dyDescent="0.2">
      <c r="B1809" s="1168"/>
    </row>
    <row r="1810" spans="2:2" s="221" customFormat="1" ht="12.75" x14ac:dyDescent="0.2">
      <c r="B1810" s="1168"/>
    </row>
    <row r="1811" spans="2:2" s="221" customFormat="1" ht="12.75" x14ac:dyDescent="0.2">
      <c r="B1811" s="1168"/>
    </row>
    <row r="1812" spans="2:2" s="221" customFormat="1" ht="12.75" x14ac:dyDescent="0.2">
      <c r="B1812" s="1168"/>
    </row>
    <row r="1813" spans="2:2" s="221" customFormat="1" ht="12.75" x14ac:dyDescent="0.2">
      <c r="B1813" s="1168"/>
    </row>
    <row r="1814" spans="2:2" s="221" customFormat="1" ht="12.75" x14ac:dyDescent="0.2">
      <c r="B1814" s="1168"/>
    </row>
    <row r="1815" spans="2:2" s="221" customFormat="1" ht="12.75" x14ac:dyDescent="0.2">
      <c r="B1815" s="1168"/>
    </row>
    <row r="1816" spans="2:2" s="221" customFormat="1" ht="12.75" x14ac:dyDescent="0.2">
      <c r="B1816" s="1168"/>
    </row>
    <row r="1817" spans="2:2" s="221" customFormat="1" ht="12.75" x14ac:dyDescent="0.2">
      <c r="B1817" s="1168"/>
    </row>
    <row r="1818" spans="2:2" s="221" customFormat="1" ht="12.75" x14ac:dyDescent="0.2">
      <c r="B1818" s="1168"/>
    </row>
    <row r="1819" spans="2:2" s="221" customFormat="1" ht="12.75" x14ac:dyDescent="0.2">
      <c r="B1819" s="1168"/>
    </row>
    <row r="1820" spans="2:2" s="221" customFormat="1" ht="12.75" x14ac:dyDescent="0.2">
      <c r="B1820" s="1168"/>
    </row>
    <row r="1821" spans="2:2" s="221" customFormat="1" ht="12.75" x14ac:dyDescent="0.2">
      <c r="B1821" s="1168"/>
    </row>
    <row r="1822" spans="2:2" s="221" customFormat="1" ht="12.75" x14ac:dyDescent="0.2">
      <c r="B1822" s="1168"/>
    </row>
    <row r="1823" spans="2:2" s="221" customFormat="1" ht="12.75" x14ac:dyDescent="0.2">
      <c r="B1823" s="1168"/>
    </row>
    <row r="1824" spans="2:2" s="221" customFormat="1" ht="12.75" x14ac:dyDescent="0.2">
      <c r="B1824" s="1168"/>
    </row>
    <row r="1825" spans="2:2" s="221" customFormat="1" ht="12.75" x14ac:dyDescent="0.2">
      <c r="B1825" s="1168"/>
    </row>
    <row r="1826" spans="2:2" s="221" customFormat="1" ht="12.75" x14ac:dyDescent="0.2">
      <c r="B1826" s="1168"/>
    </row>
    <row r="1827" spans="2:2" s="221" customFormat="1" ht="12.75" x14ac:dyDescent="0.2">
      <c r="B1827" s="1168"/>
    </row>
    <row r="1828" spans="2:2" s="221" customFormat="1" ht="12.75" x14ac:dyDescent="0.2">
      <c r="B1828" s="1168"/>
    </row>
    <row r="1829" spans="2:2" s="221" customFormat="1" ht="12.75" x14ac:dyDescent="0.2">
      <c r="B1829" s="1168"/>
    </row>
    <row r="1830" spans="2:2" s="221" customFormat="1" ht="12.75" x14ac:dyDescent="0.2">
      <c r="B1830" s="1168"/>
    </row>
    <row r="1831" spans="2:2" s="221" customFormat="1" ht="12.75" x14ac:dyDescent="0.2">
      <c r="B1831" s="1168"/>
    </row>
    <row r="1832" spans="2:2" s="221" customFormat="1" ht="12.75" x14ac:dyDescent="0.2">
      <c r="B1832" s="1168"/>
    </row>
    <row r="1833" spans="2:2" s="221" customFormat="1" ht="12.75" x14ac:dyDescent="0.2">
      <c r="B1833" s="1168"/>
    </row>
    <row r="1834" spans="2:2" s="221" customFormat="1" ht="12.75" x14ac:dyDescent="0.2">
      <c r="B1834" s="1168"/>
    </row>
    <row r="1835" spans="2:2" s="221" customFormat="1" ht="12.75" x14ac:dyDescent="0.2">
      <c r="B1835" s="1168"/>
    </row>
    <row r="1836" spans="2:2" s="221" customFormat="1" ht="12.75" x14ac:dyDescent="0.2">
      <c r="B1836" s="1168"/>
    </row>
    <row r="1837" spans="2:2" s="221" customFormat="1" ht="12.75" x14ac:dyDescent="0.2">
      <c r="B1837" s="1168"/>
    </row>
    <row r="1838" spans="2:2" s="221" customFormat="1" ht="12.75" x14ac:dyDescent="0.2">
      <c r="B1838" s="1168"/>
    </row>
    <row r="1839" spans="2:2" s="221" customFormat="1" ht="12.75" x14ac:dyDescent="0.2">
      <c r="B1839" s="1168"/>
    </row>
    <row r="1840" spans="2:2" s="221" customFormat="1" ht="12.75" x14ac:dyDescent="0.2">
      <c r="B1840" s="1168"/>
    </row>
    <row r="1841" spans="2:2" s="221" customFormat="1" ht="12.75" x14ac:dyDescent="0.2">
      <c r="B1841" s="1168"/>
    </row>
    <row r="1842" spans="2:2" s="221" customFormat="1" ht="12.75" x14ac:dyDescent="0.2">
      <c r="B1842" s="1168"/>
    </row>
    <row r="1843" spans="2:2" s="221" customFormat="1" ht="12.75" x14ac:dyDescent="0.2">
      <c r="B1843" s="1168"/>
    </row>
    <row r="1844" spans="2:2" s="221" customFormat="1" ht="12.75" x14ac:dyDescent="0.2">
      <c r="B1844" s="1168"/>
    </row>
    <row r="1845" spans="2:2" s="221" customFormat="1" ht="12.75" x14ac:dyDescent="0.2">
      <c r="B1845" s="1168"/>
    </row>
    <row r="1846" spans="2:2" s="221" customFormat="1" ht="12.75" x14ac:dyDescent="0.2">
      <c r="B1846" s="1168"/>
    </row>
    <row r="1847" spans="2:2" s="221" customFormat="1" ht="12.75" x14ac:dyDescent="0.2">
      <c r="B1847" s="1168"/>
    </row>
    <row r="1848" spans="2:2" s="221" customFormat="1" ht="12.75" x14ac:dyDescent="0.2">
      <c r="B1848" s="1168"/>
    </row>
    <row r="1849" spans="2:2" s="221" customFormat="1" ht="12.75" x14ac:dyDescent="0.2">
      <c r="B1849" s="1168"/>
    </row>
    <row r="1850" spans="2:2" s="221" customFormat="1" ht="12.75" x14ac:dyDescent="0.2">
      <c r="B1850" s="1168"/>
    </row>
    <row r="1851" spans="2:2" s="221" customFormat="1" ht="12.75" x14ac:dyDescent="0.2">
      <c r="B1851" s="1168"/>
    </row>
    <row r="1852" spans="2:2" s="221" customFormat="1" ht="12.75" x14ac:dyDescent="0.2">
      <c r="B1852" s="1168"/>
    </row>
    <row r="1853" spans="2:2" s="221" customFormat="1" ht="12.75" x14ac:dyDescent="0.2">
      <c r="B1853" s="1168"/>
    </row>
    <row r="1854" spans="2:2" s="221" customFormat="1" ht="12.75" x14ac:dyDescent="0.2">
      <c r="B1854" s="1168"/>
    </row>
    <row r="1855" spans="2:2" s="221" customFormat="1" ht="12.75" x14ac:dyDescent="0.2">
      <c r="B1855" s="1168"/>
    </row>
    <row r="1856" spans="2:2" s="221" customFormat="1" ht="12.75" x14ac:dyDescent="0.2">
      <c r="B1856" s="1168"/>
    </row>
    <row r="1857" spans="2:2" s="221" customFormat="1" ht="12.75" x14ac:dyDescent="0.2">
      <c r="B1857" s="1168"/>
    </row>
    <row r="1858" spans="2:2" s="221" customFormat="1" ht="12.75" x14ac:dyDescent="0.2">
      <c r="B1858" s="1168"/>
    </row>
    <row r="1859" spans="2:2" s="221" customFormat="1" ht="12.75" x14ac:dyDescent="0.2">
      <c r="B1859" s="1168"/>
    </row>
    <row r="1860" spans="2:2" s="221" customFormat="1" ht="12.75" x14ac:dyDescent="0.2">
      <c r="B1860" s="1168"/>
    </row>
    <row r="1861" spans="2:2" s="221" customFormat="1" ht="12.75" x14ac:dyDescent="0.2">
      <c r="B1861" s="1168"/>
    </row>
    <row r="1862" spans="2:2" s="221" customFormat="1" ht="12.75" x14ac:dyDescent="0.2">
      <c r="B1862" s="1168"/>
    </row>
    <row r="1863" spans="2:2" s="221" customFormat="1" ht="12.75" x14ac:dyDescent="0.2">
      <c r="B1863" s="1168"/>
    </row>
    <row r="1864" spans="2:2" s="221" customFormat="1" ht="12.75" x14ac:dyDescent="0.2">
      <c r="B1864" s="1168"/>
    </row>
    <row r="1865" spans="2:2" s="221" customFormat="1" ht="12.75" x14ac:dyDescent="0.2">
      <c r="B1865" s="1168"/>
    </row>
    <row r="1866" spans="2:2" s="221" customFormat="1" ht="12.75" x14ac:dyDescent="0.2">
      <c r="B1866" s="1168"/>
    </row>
    <row r="1867" spans="2:2" s="221" customFormat="1" ht="12.75" x14ac:dyDescent="0.2">
      <c r="B1867" s="1168"/>
    </row>
    <row r="1868" spans="2:2" s="221" customFormat="1" ht="12.75" x14ac:dyDescent="0.2">
      <c r="B1868" s="1168"/>
    </row>
    <row r="1869" spans="2:2" s="221" customFormat="1" ht="12.75" x14ac:dyDescent="0.2">
      <c r="B1869" s="1168"/>
    </row>
    <row r="1870" spans="2:2" s="221" customFormat="1" ht="12.75" x14ac:dyDescent="0.2">
      <c r="B1870" s="1168"/>
    </row>
    <row r="1871" spans="2:2" s="221" customFormat="1" ht="12.75" x14ac:dyDescent="0.2">
      <c r="B1871" s="1168"/>
    </row>
    <row r="1872" spans="2:2" s="221" customFormat="1" ht="12.75" x14ac:dyDescent="0.2">
      <c r="B1872" s="1168"/>
    </row>
    <row r="1873" spans="2:2" s="221" customFormat="1" ht="12.75" x14ac:dyDescent="0.2">
      <c r="B1873" s="1168"/>
    </row>
    <row r="1874" spans="2:2" s="221" customFormat="1" ht="12.75" x14ac:dyDescent="0.2">
      <c r="B1874" s="1168"/>
    </row>
    <row r="1875" spans="2:2" s="221" customFormat="1" ht="12.75" x14ac:dyDescent="0.2">
      <c r="B1875" s="1168"/>
    </row>
    <row r="1876" spans="2:2" s="221" customFormat="1" ht="12.75" x14ac:dyDescent="0.2">
      <c r="B1876" s="1168"/>
    </row>
    <row r="1877" spans="2:2" s="221" customFormat="1" ht="12.75" x14ac:dyDescent="0.2">
      <c r="B1877" s="1168"/>
    </row>
    <row r="1878" spans="2:2" s="221" customFormat="1" ht="12.75" x14ac:dyDescent="0.2">
      <c r="B1878" s="1168"/>
    </row>
    <row r="1879" spans="2:2" s="221" customFormat="1" ht="12.75" x14ac:dyDescent="0.2">
      <c r="B1879" s="1168"/>
    </row>
    <row r="1880" spans="2:2" s="221" customFormat="1" ht="12.75" x14ac:dyDescent="0.2">
      <c r="B1880" s="1168"/>
    </row>
    <row r="1881" spans="2:2" s="221" customFormat="1" ht="12.75" x14ac:dyDescent="0.2">
      <c r="B1881" s="1168"/>
    </row>
    <row r="1882" spans="2:2" s="221" customFormat="1" ht="12.75" x14ac:dyDescent="0.2">
      <c r="B1882" s="1168"/>
    </row>
    <row r="1883" spans="2:2" s="221" customFormat="1" ht="12.75" x14ac:dyDescent="0.2">
      <c r="B1883" s="1168"/>
    </row>
    <row r="1884" spans="2:2" s="221" customFormat="1" ht="12.75" x14ac:dyDescent="0.2">
      <c r="B1884" s="1168"/>
    </row>
    <row r="1885" spans="2:2" s="221" customFormat="1" ht="12.75" x14ac:dyDescent="0.2">
      <c r="B1885" s="1168"/>
    </row>
    <row r="1886" spans="2:2" s="221" customFormat="1" ht="12.75" x14ac:dyDescent="0.2">
      <c r="B1886" s="1168"/>
    </row>
    <row r="1887" spans="2:2" s="221" customFormat="1" ht="12.75" x14ac:dyDescent="0.2">
      <c r="B1887" s="1168"/>
    </row>
    <row r="1888" spans="2:2" s="221" customFormat="1" ht="12.75" x14ac:dyDescent="0.2">
      <c r="B1888" s="1168"/>
    </row>
    <row r="1889" spans="2:2" s="221" customFormat="1" ht="12.75" x14ac:dyDescent="0.2">
      <c r="B1889" s="1168"/>
    </row>
    <row r="1890" spans="2:2" s="221" customFormat="1" ht="12.75" x14ac:dyDescent="0.2">
      <c r="B1890" s="1168"/>
    </row>
    <row r="1891" spans="2:2" s="221" customFormat="1" ht="12.75" x14ac:dyDescent="0.2">
      <c r="B1891" s="1168"/>
    </row>
    <row r="1892" spans="2:2" s="221" customFormat="1" ht="12.75" x14ac:dyDescent="0.2">
      <c r="B1892" s="1168"/>
    </row>
    <row r="1893" spans="2:2" s="221" customFormat="1" ht="12.75" x14ac:dyDescent="0.2">
      <c r="B1893" s="1168"/>
    </row>
    <row r="1894" spans="2:2" s="221" customFormat="1" ht="12.75" x14ac:dyDescent="0.2">
      <c r="B1894" s="1168"/>
    </row>
    <row r="1895" spans="2:2" s="221" customFormat="1" ht="12.75" x14ac:dyDescent="0.2">
      <c r="B1895" s="1168"/>
    </row>
    <row r="1896" spans="2:2" s="221" customFormat="1" ht="12.75" x14ac:dyDescent="0.2">
      <c r="B1896" s="1168"/>
    </row>
    <row r="1897" spans="2:2" s="221" customFormat="1" ht="12.75" x14ac:dyDescent="0.2">
      <c r="B1897" s="1168"/>
    </row>
    <row r="1898" spans="2:2" s="221" customFormat="1" ht="12.75" x14ac:dyDescent="0.2">
      <c r="B1898" s="1168"/>
    </row>
    <row r="1899" spans="2:2" s="221" customFormat="1" ht="12.75" x14ac:dyDescent="0.2">
      <c r="B1899" s="1168"/>
    </row>
    <row r="1900" spans="2:2" s="221" customFormat="1" ht="12.75" x14ac:dyDescent="0.2">
      <c r="B1900" s="1168"/>
    </row>
    <row r="1901" spans="2:2" s="221" customFormat="1" ht="12.75" x14ac:dyDescent="0.2">
      <c r="B1901" s="1168"/>
    </row>
    <row r="1902" spans="2:2" s="221" customFormat="1" ht="12.75" x14ac:dyDescent="0.2">
      <c r="B1902" s="1168"/>
    </row>
    <row r="1903" spans="2:2" s="221" customFormat="1" ht="12.75" x14ac:dyDescent="0.2">
      <c r="B1903" s="1168"/>
    </row>
    <row r="1904" spans="2:2" s="221" customFormat="1" ht="12.75" x14ac:dyDescent="0.2">
      <c r="B1904" s="1168"/>
    </row>
    <row r="1905" spans="2:2" s="221" customFormat="1" ht="12.75" x14ac:dyDescent="0.2">
      <c r="B1905" s="1168"/>
    </row>
    <row r="1906" spans="2:2" s="221" customFormat="1" ht="12.75" x14ac:dyDescent="0.2">
      <c r="B1906" s="1168"/>
    </row>
    <row r="1907" spans="2:2" s="221" customFormat="1" ht="12.75" x14ac:dyDescent="0.2">
      <c r="B1907" s="1168"/>
    </row>
    <row r="1908" spans="2:2" s="221" customFormat="1" ht="12.75" x14ac:dyDescent="0.2">
      <c r="B1908" s="1168"/>
    </row>
    <row r="1909" spans="2:2" s="221" customFormat="1" ht="12.75" x14ac:dyDescent="0.2">
      <c r="B1909" s="1168"/>
    </row>
    <row r="1910" spans="2:2" s="221" customFormat="1" ht="12.75" x14ac:dyDescent="0.2">
      <c r="B1910" s="1168"/>
    </row>
    <row r="1911" spans="2:2" s="221" customFormat="1" ht="12.75" x14ac:dyDescent="0.2">
      <c r="B1911" s="1168"/>
    </row>
    <row r="1912" spans="2:2" s="221" customFormat="1" ht="12.75" x14ac:dyDescent="0.2">
      <c r="B1912" s="1168"/>
    </row>
    <row r="1913" spans="2:2" s="221" customFormat="1" ht="12.75" x14ac:dyDescent="0.2">
      <c r="B1913" s="1168"/>
    </row>
    <row r="1914" spans="2:2" s="221" customFormat="1" ht="12.75" x14ac:dyDescent="0.2">
      <c r="B1914" s="1168"/>
    </row>
    <row r="1915" spans="2:2" s="221" customFormat="1" ht="12.75" x14ac:dyDescent="0.2">
      <c r="B1915" s="1168"/>
    </row>
    <row r="1916" spans="2:2" s="221" customFormat="1" ht="12.75" x14ac:dyDescent="0.2">
      <c r="B1916" s="1168"/>
    </row>
    <row r="1917" spans="2:2" s="221" customFormat="1" ht="12.75" x14ac:dyDescent="0.2">
      <c r="B1917" s="1168"/>
    </row>
    <row r="1918" spans="2:2" s="221" customFormat="1" ht="12.75" x14ac:dyDescent="0.2">
      <c r="B1918" s="1168"/>
    </row>
    <row r="1919" spans="2:2" s="221" customFormat="1" ht="12.75" x14ac:dyDescent="0.2">
      <c r="B1919" s="1168"/>
    </row>
    <row r="1920" spans="2:2" s="221" customFormat="1" ht="12.75" x14ac:dyDescent="0.2">
      <c r="B1920" s="1168"/>
    </row>
    <row r="1921" spans="2:2" s="221" customFormat="1" ht="12.75" x14ac:dyDescent="0.2">
      <c r="B1921" s="1168"/>
    </row>
    <row r="1922" spans="2:2" s="221" customFormat="1" ht="12.75" x14ac:dyDescent="0.2">
      <c r="B1922" s="1168"/>
    </row>
    <row r="1923" spans="2:2" s="221" customFormat="1" ht="12.75" x14ac:dyDescent="0.2">
      <c r="B1923" s="1168"/>
    </row>
    <row r="1924" spans="2:2" s="221" customFormat="1" ht="12.75" x14ac:dyDescent="0.2">
      <c r="B1924" s="1168"/>
    </row>
    <row r="1925" spans="2:2" s="221" customFormat="1" ht="12.75" x14ac:dyDescent="0.2">
      <c r="B1925" s="1168"/>
    </row>
    <row r="1926" spans="2:2" s="221" customFormat="1" ht="12.75" x14ac:dyDescent="0.2">
      <c r="B1926" s="1168"/>
    </row>
    <row r="1927" spans="2:2" s="221" customFormat="1" ht="12.75" x14ac:dyDescent="0.2">
      <c r="B1927" s="1168"/>
    </row>
    <row r="1928" spans="2:2" s="221" customFormat="1" ht="12.75" x14ac:dyDescent="0.2">
      <c r="B1928" s="1168"/>
    </row>
    <row r="1929" spans="2:2" s="221" customFormat="1" ht="12.75" x14ac:dyDescent="0.2">
      <c r="B1929" s="1168"/>
    </row>
    <row r="1930" spans="2:2" s="221" customFormat="1" ht="12.75" x14ac:dyDescent="0.2">
      <c r="B1930" s="1168"/>
    </row>
    <row r="1931" spans="2:2" s="221" customFormat="1" ht="12.75" x14ac:dyDescent="0.2">
      <c r="B1931" s="1168"/>
    </row>
    <row r="1932" spans="2:2" s="221" customFormat="1" ht="12.75" x14ac:dyDescent="0.2">
      <c r="B1932" s="1168"/>
    </row>
    <row r="1933" spans="2:2" s="221" customFormat="1" ht="12.75" x14ac:dyDescent="0.2">
      <c r="B1933" s="1168"/>
    </row>
    <row r="1934" spans="2:2" s="221" customFormat="1" ht="12.75" x14ac:dyDescent="0.2">
      <c r="B1934" s="1168"/>
    </row>
    <row r="1935" spans="2:2" s="221" customFormat="1" ht="12.75" x14ac:dyDescent="0.2">
      <c r="B1935" s="1168"/>
    </row>
    <row r="1936" spans="2:2" s="221" customFormat="1" ht="12.75" x14ac:dyDescent="0.2">
      <c r="B1936" s="1168"/>
    </row>
    <row r="1937" spans="2:2" s="221" customFormat="1" ht="12.75" x14ac:dyDescent="0.2">
      <c r="B1937" s="1168"/>
    </row>
    <row r="1938" spans="2:2" s="221" customFormat="1" ht="12.75" x14ac:dyDescent="0.2">
      <c r="B1938" s="1168"/>
    </row>
    <row r="1939" spans="2:2" s="221" customFormat="1" ht="12.75" x14ac:dyDescent="0.2">
      <c r="B1939" s="1168"/>
    </row>
    <row r="1940" spans="2:2" s="221" customFormat="1" ht="12.75" x14ac:dyDescent="0.2">
      <c r="B1940" s="1168"/>
    </row>
    <row r="1941" spans="2:2" s="221" customFormat="1" ht="12.75" x14ac:dyDescent="0.2">
      <c r="B1941" s="1168"/>
    </row>
    <row r="1942" spans="2:2" s="221" customFormat="1" ht="12.75" x14ac:dyDescent="0.2">
      <c r="B1942" s="1168"/>
    </row>
    <row r="1943" spans="2:2" s="221" customFormat="1" ht="12.75" x14ac:dyDescent="0.2">
      <c r="B1943" s="1168"/>
    </row>
    <row r="1944" spans="2:2" s="221" customFormat="1" ht="12.75" x14ac:dyDescent="0.2">
      <c r="B1944" s="1168"/>
    </row>
    <row r="1945" spans="2:2" s="221" customFormat="1" ht="12.75" x14ac:dyDescent="0.2">
      <c r="B1945" s="1168"/>
    </row>
    <row r="1946" spans="2:2" s="221" customFormat="1" ht="12.75" x14ac:dyDescent="0.2">
      <c r="B1946" s="1168"/>
    </row>
    <row r="1947" spans="2:2" s="221" customFormat="1" ht="12.75" x14ac:dyDescent="0.2">
      <c r="B1947" s="1168"/>
    </row>
    <row r="1948" spans="2:2" s="221" customFormat="1" ht="12.75" x14ac:dyDescent="0.2">
      <c r="B1948" s="1168"/>
    </row>
    <row r="1949" spans="2:2" s="221" customFormat="1" ht="12.75" x14ac:dyDescent="0.2">
      <c r="B1949" s="1168"/>
    </row>
    <row r="1950" spans="2:2" s="221" customFormat="1" ht="12.75" x14ac:dyDescent="0.2">
      <c r="B1950" s="1168"/>
    </row>
    <row r="1951" spans="2:2" s="221" customFormat="1" ht="12.75" x14ac:dyDescent="0.2">
      <c r="B1951" s="1168"/>
    </row>
    <row r="1952" spans="2:2" s="221" customFormat="1" ht="12.75" x14ac:dyDescent="0.2">
      <c r="B1952" s="1168"/>
    </row>
    <row r="1953" spans="2:2" s="221" customFormat="1" ht="12.75" x14ac:dyDescent="0.2">
      <c r="B1953" s="1168"/>
    </row>
    <row r="1954" spans="2:2" s="221" customFormat="1" ht="12.75" x14ac:dyDescent="0.2">
      <c r="B1954" s="1168"/>
    </row>
    <row r="1955" spans="2:2" s="221" customFormat="1" ht="12.75" x14ac:dyDescent="0.2">
      <c r="B1955" s="1168"/>
    </row>
    <row r="1956" spans="2:2" s="221" customFormat="1" ht="12.75" x14ac:dyDescent="0.2">
      <c r="B1956" s="1168"/>
    </row>
    <row r="1957" spans="2:2" s="221" customFormat="1" ht="12.75" x14ac:dyDescent="0.2">
      <c r="B1957" s="1168"/>
    </row>
    <row r="1958" spans="2:2" s="221" customFormat="1" ht="12.75" x14ac:dyDescent="0.2">
      <c r="B1958" s="1168"/>
    </row>
    <row r="1959" spans="2:2" s="221" customFormat="1" ht="12.75" x14ac:dyDescent="0.2">
      <c r="B1959" s="1168"/>
    </row>
    <row r="1960" spans="2:2" s="221" customFormat="1" ht="12.75" x14ac:dyDescent="0.2">
      <c r="B1960" s="1168"/>
    </row>
    <row r="1961" spans="2:2" s="221" customFormat="1" ht="12.75" x14ac:dyDescent="0.2">
      <c r="B1961" s="1168"/>
    </row>
    <row r="1962" spans="2:2" s="221" customFormat="1" ht="12.75" x14ac:dyDescent="0.2">
      <c r="B1962" s="1168"/>
    </row>
    <row r="1963" spans="2:2" s="221" customFormat="1" ht="12.75" x14ac:dyDescent="0.2">
      <c r="B1963" s="1168"/>
    </row>
    <row r="1964" spans="2:2" s="221" customFormat="1" ht="12.75" x14ac:dyDescent="0.2">
      <c r="B1964" s="1168"/>
    </row>
    <row r="1965" spans="2:2" s="221" customFormat="1" ht="12.75" x14ac:dyDescent="0.2">
      <c r="B1965" s="1168"/>
    </row>
    <row r="1966" spans="2:2" s="221" customFormat="1" ht="12.75" x14ac:dyDescent="0.2">
      <c r="B1966" s="1168"/>
    </row>
    <row r="1967" spans="2:2" s="221" customFormat="1" ht="12.75" x14ac:dyDescent="0.2">
      <c r="B1967" s="1168"/>
    </row>
    <row r="1968" spans="2:2" s="221" customFormat="1" ht="12.75" x14ac:dyDescent="0.2">
      <c r="B1968" s="1168"/>
    </row>
    <row r="1969" spans="2:2" s="221" customFormat="1" ht="12.75" x14ac:dyDescent="0.2">
      <c r="B1969" s="1168"/>
    </row>
    <row r="1970" spans="2:2" s="221" customFormat="1" ht="12.75" x14ac:dyDescent="0.2">
      <c r="B1970" s="1168"/>
    </row>
    <row r="1971" spans="2:2" s="221" customFormat="1" ht="12.75" x14ac:dyDescent="0.2">
      <c r="B1971" s="1168"/>
    </row>
    <row r="1972" spans="2:2" s="221" customFormat="1" ht="12.75" x14ac:dyDescent="0.2">
      <c r="B1972" s="1168"/>
    </row>
    <row r="1973" spans="2:2" s="221" customFormat="1" ht="12.75" x14ac:dyDescent="0.2">
      <c r="B1973" s="1168"/>
    </row>
    <row r="1974" spans="2:2" s="221" customFormat="1" ht="12.75" x14ac:dyDescent="0.2">
      <c r="B1974" s="1168"/>
    </row>
    <row r="1975" spans="2:2" s="221" customFormat="1" ht="12.75" x14ac:dyDescent="0.2">
      <c r="B1975" s="1168"/>
    </row>
    <row r="1976" spans="2:2" s="221" customFormat="1" ht="12.75" x14ac:dyDescent="0.2">
      <c r="B1976" s="1168"/>
    </row>
    <row r="1977" spans="2:2" s="221" customFormat="1" ht="12.75" x14ac:dyDescent="0.2">
      <c r="B1977" s="1168"/>
    </row>
    <row r="1978" spans="2:2" s="221" customFormat="1" ht="12.75" x14ac:dyDescent="0.2">
      <c r="B1978" s="1168"/>
    </row>
    <row r="1979" spans="2:2" s="221" customFormat="1" ht="12.75" x14ac:dyDescent="0.2">
      <c r="B1979" s="1168"/>
    </row>
    <row r="1980" spans="2:2" s="221" customFormat="1" ht="12.75" x14ac:dyDescent="0.2">
      <c r="B1980" s="1168"/>
    </row>
    <row r="1981" spans="2:2" s="221" customFormat="1" ht="12.75" x14ac:dyDescent="0.2">
      <c r="B1981" s="1168"/>
    </row>
    <row r="1982" spans="2:2" s="221" customFormat="1" ht="12.75" x14ac:dyDescent="0.2">
      <c r="B1982" s="1168"/>
    </row>
    <row r="1983" spans="2:2" s="221" customFormat="1" ht="12.75" x14ac:dyDescent="0.2">
      <c r="B1983" s="1168"/>
    </row>
    <row r="1984" spans="2:2" s="221" customFormat="1" ht="12.75" x14ac:dyDescent="0.2">
      <c r="B1984" s="1168"/>
    </row>
    <row r="1985" spans="2:2" s="221" customFormat="1" ht="12.75" x14ac:dyDescent="0.2">
      <c r="B1985" s="1168"/>
    </row>
    <row r="1986" spans="2:2" s="221" customFormat="1" ht="12.75" x14ac:dyDescent="0.2">
      <c r="B1986" s="1168"/>
    </row>
    <row r="1987" spans="2:2" s="221" customFormat="1" ht="12.75" x14ac:dyDescent="0.2">
      <c r="B1987" s="1168"/>
    </row>
    <row r="1988" spans="2:2" s="221" customFormat="1" ht="12.75" x14ac:dyDescent="0.2">
      <c r="B1988" s="1168"/>
    </row>
    <row r="1989" spans="2:2" s="221" customFormat="1" ht="12.75" x14ac:dyDescent="0.2">
      <c r="B1989" s="1168"/>
    </row>
    <row r="1990" spans="2:2" s="221" customFormat="1" ht="12.75" x14ac:dyDescent="0.2">
      <c r="B1990" s="1168"/>
    </row>
    <row r="1991" spans="2:2" s="221" customFormat="1" ht="12.75" x14ac:dyDescent="0.2">
      <c r="B1991" s="1168"/>
    </row>
    <row r="1992" spans="2:2" s="221" customFormat="1" ht="12.75" x14ac:dyDescent="0.2">
      <c r="B1992" s="1168"/>
    </row>
    <row r="1993" spans="2:2" s="221" customFormat="1" ht="12.75" x14ac:dyDescent="0.2">
      <c r="B1993" s="1168"/>
    </row>
    <row r="1994" spans="2:2" s="221" customFormat="1" ht="12.75" x14ac:dyDescent="0.2">
      <c r="B1994" s="1168"/>
    </row>
    <row r="1995" spans="2:2" s="221" customFormat="1" ht="12.75" x14ac:dyDescent="0.2">
      <c r="B1995" s="1168"/>
    </row>
    <row r="1996" spans="2:2" s="221" customFormat="1" ht="12.75" x14ac:dyDescent="0.2">
      <c r="B1996" s="1168"/>
    </row>
    <row r="1997" spans="2:2" s="221" customFormat="1" ht="12.75" x14ac:dyDescent="0.2">
      <c r="B1997" s="1168"/>
    </row>
    <row r="1998" spans="2:2" s="221" customFormat="1" ht="12.75" x14ac:dyDescent="0.2">
      <c r="B1998" s="1168"/>
    </row>
    <row r="1999" spans="2:2" s="221" customFormat="1" ht="12.75" x14ac:dyDescent="0.2">
      <c r="B1999" s="1168"/>
    </row>
    <row r="2000" spans="2:2" s="221" customFormat="1" ht="12.75" x14ac:dyDescent="0.2">
      <c r="B2000" s="1168"/>
    </row>
    <row r="2001" spans="2:2" s="221" customFormat="1" ht="12.75" x14ac:dyDescent="0.2">
      <c r="B2001" s="1168"/>
    </row>
    <row r="2002" spans="2:2" s="221" customFormat="1" ht="12.75" x14ac:dyDescent="0.2">
      <c r="B2002" s="1168"/>
    </row>
    <row r="2003" spans="2:2" s="221" customFormat="1" ht="12.75" x14ac:dyDescent="0.2">
      <c r="B2003" s="1168"/>
    </row>
    <row r="2004" spans="2:2" s="221" customFormat="1" ht="12.75" x14ac:dyDescent="0.2">
      <c r="B2004" s="1168"/>
    </row>
    <row r="2005" spans="2:2" s="221" customFormat="1" ht="12.75" x14ac:dyDescent="0.2">
      <c r="B2005" s="1168"/>
    </row>
    <row r="2006" spans="2:2" s="221" customFormat="1" ht="12.75" x14ac:dyDescent="0.2">
      <c r="B2006" s="1168"/>
    </row>
    <row r="2007" spans="2:2" s="221" customFormat="1" ht="12.75" x14ac:dyDescent="0.2">
      <c r="B2007" s="1168"/>
    </row>
    <row r="2008" spans="2:2" s="221" customFormat="1" ht="12.75" x14ac:dyDescent="0.2">
      <c r="B2008" s="1168"/>
    </row>
    <row r="2009" spans="2:2" s="221" customFormat="1" ht="12.75" x14ac:dyDescent="0.2">
      <c r="B2009" s="1168"/>
    </row>
    <row r="2010" spans="2:2" s="221" customFormat="1" ht="12.75" x14ac:dyDescent="0.2">
      <c r="B2010" s="1168"/>
    </row>
    <row r="2011" spans="2:2" s="221" customFormat="1" ht="12.75" x14ac:dyDescent="0.2">
      <c r="B2011" s="1168"/>
    </row>
    <row r="2012" spans="2:2" s="221" customFormat="1" ht="12.75" x14ac:dyDescent="0.2">
      <c r="B2012" s="1168"/>
    </row>
    <row r="2013" spans="2:2" s="221" customFormat="1" ht="12.75" x14ac:dyDescent="0.2">
      <c r="B2013" s="1168"/>
    </row>
    <row r="2014" spans="2:2" s="221" customFormat="1" ht="12.75" x14ac:dyDescent="0.2">
      <c r="B2014" s="1168"/>
    </row>
    <row r="2015" spans="2:2" s="221" customFormat="1" ht="12.75" x14ac:dyDescent="0.2">
      <c r="B2015" s="1168"/>
    </row>
    <row r="2016" spans="2:2" s="221" customFormat="1" ht="12.75" x14ac:dyDescent="0.2">
      <c r="B2016" s="1168"/>
    </row>
    <row r="2017" spans="2:2" s="221" customFormat="1" ht="12.75" x14ac:dyDescent="0.2">
      <c r="B2017" s="1168"/>
    </row>
    <row r="2018" spans="2:2" s="221" customFormat="1" ht="12.75" x14ac:dyDescent="0.2">
      <c r="B2018" s="1168"/>
    </row>
    <row r="2019" spans="2:2" s="221" customFormat="1" ht="12.75" x14ac:dyDescent="0.2">
      <c r="B2019" s="1168"/>
    </row>
    <row r="2020" spans="2:2" s="221" customFormat="1" ht="12.75" x14ac:dyDescent="0.2">
      <c r="B2020" s="1168"/>
    </row>
    <row r="2021" spans="2:2" s="221" customFormat="1" ht="12.75" x14ac:dyDescent="0.2">
      <c r="B2021" s="1168"/>
    </row>
    <row r="2022" spans="2:2" s="221" customFormat="1" ht="12.75" x14ac:dyDescent="0.2">
      <c r="B2022" s="1168"/>
    </row>
    <row r="2023" spans="2:2" s="221" customFormat="1" ht="12.75" x14ac:dyDescent="0.2">
      <c r="B2023" s="1168"/>
    </row>
    <row r="2024" spans="2:2" s="221" customFormat="1" ht="12.75" x14ac:dyDescent="0.2">
      <c r="B2024" s="1168"/>
    </row>
    <row r="2025" spans="2:2" s="221" customFormat="1" ht="12.75" x14ac:dyDescent="0.2">
      <c r="B2025" s="1168"/>
    </row>
    <row r="2026" spans="2:2" s="221" customFormat="1" ht="12.75" x14ac:dyDescent="0.2">
      <c r="B2026" s="1168"/>
    </row>
    <row r="2027" spans="2:2" s="221" customFormat="1" ht="12.75" x14ac:dyDescent="0.2">
      <c r="B2027" s="1168"/>
    </row>
    <row r="2028" spans="2:2" s="221" customFormat="1" ht="12.75" x14ac:dyDescent="0.2">
      <c r="B2028" s="1168"/>
    </row>
    <row r="2029" spans="2:2" s="221" customFormat="1" ht="12.75" x14ac:dyDescent="0.2">
      <c r="B2029" s="1168"/>
    </row>
    <row r="2030" spans="2:2" s="221" customFormat="1" ht="12.75" x14ac:dyDescent="0.2">
      <c r="B2030" s="1168"/>
    </row>
    <row r="2031" spans="2:2" s="221" customFormat="1" ht="12.75" x14ac:dyDescent="0.2">
      <c r="B2031" s="1168"/>
    </row>
    <row r="2032" spans="2:2" s="221" customFormat="1" ht="12.75" x14ac:dyDescent="0.2">
      <c r="B2032" s="1168"/>
    </row>
    <row r="2033" spans="2:2" s="221" customFormat="1" ht="12.75" x14ac:dyDescent="0.2">
      <c r="B2033" s="1168"/>
    </row>
    <row r="2034" spans="2:2" s="221" customFormat="1" ht="12.75" x14ac:dyDescent="0.2">
      <c r="B2034" s="1168"/>
    </row>
    <row r="2035" spans="2:2" s="221" customFormat="1" ht="12.75" x14ac:dyDescent="0.2">
      <c r="B2035" s="1168"/>
    </row>
    <row r="2036" spans="2:2" s="221" customFormat="1" ht="12.75" x14ac:dyDescent="0.2">
      <c r="B2036" s="1168"/>
    </row>
    <row r="2037" spans="2:2" s="221" customFormat="1" ht="12.75" x14ac:dyDescent="0.2">
      <c r="B2037" s="1168"/>
    </row>
    <row r="2038" spans="2:2" s="221" customFormat="1" ht="12.75" x14ac:dyDescent="0.2">
      <c r="B2038" s="1168"/>
    </row>
    <row r="2039" spans="2:2" s="221" customFormat="1" ht="12.75" x14ac:dyDescent="0.2">
      <c r="B2039" s="1168"/>
    </row>
    <row r="2040" spans="2:2" s="221" customFormat="1" ht="12.75" x14ac:dyDescent="0.2">
      <c r="B2040" s="1168"/>
    </row>
    <row r="2041" spans="2:2" s="221" customFormat="1" ht="12.75" x14ac:dyDescent="0.2">
      <c r="B2041" s="1168"/>
    </row>
    <row r="2042" spans="2:2" s="221" customFormat="1" ht="12.75" x14ac:dyDescent="0.2">
      <c r="B2042" s="1168"/>
    </row>
    <row r="2043" spans="2:2" s="221" customFormat="1" ht="12.75" x14ac:dyDescent="0.2">
      <c r="B2043" s="1168"/>
    </row>
    <row r="2044" spans="2:2" s="221" customFormat="1" ht="12.75" x14ac:dyDescent="0.2">
      <c r="B2044" s="1168"/>
    </row>
    <row r="2045" spans="2:2" s="221" customFormat="1" ht="12.75" x14ac:dyDescent="0.2">
      <c r="B2045" s="1168"/>
    </row>
    <row r="2046" spans="2:2" s="221" customFormat="1" ht="12.75" x14ac:dyDescent="0.2">
      <c r="B2046" s="1168"/>
    </row>
    <row r="2047" spans="2:2" s="221" customFormat="1" ht="12.75" x14ac:dyDescent="0.2">
      <c r="B2047" s="1168"/>
    </row>
    <row r="2048" spans="2:2" s="221" customFormat="1" ht="12.75" x14ac:dyDescent="0.2">
      <c r="B2048" s="1168"/>
    </row>
    <row r="2049" spans="2:2" s="221" customFormat="1" ht="12.75" x14ac:dyDescent="0.2">
      <c r="B2049" s="1168"/>
    </row>
    <row r="2050" spans="2:2" s="221" customFormat="1" ht="12.75" x14ac:dyDescent="0.2">
      <c r="B2050" s="1168"/>
    </row>
    <row r="2051" spans="2:2" s="221" customFormat="1" ht="12.75" x14ac:dyDescent="0.2">
      <c r="B2051" s="1168"/>
    </row>
    <row r="2052" spans="2:2" s="221" customFormat="1" ht="12.75" x14ac:dyDescent="0.2">
      <c r="B2052" s="1168"/>
    </row>
    <row r="2053" spans="2:2" s="221" customFormat="1" ht="12.75" x14ac:dyDescent="0.2">
      <c r="B2053" s="1168"/>
    </row>
    <row r="2054" spans="2:2" s="221" customFormat="1" ht="12.75" x14ac:dyDescent="0.2">
      <c r="B2054" s="1168"/>
    </row>
    <row r="2055" spans="2:2" s="221" customFormat="1" ht="12.75" x14ac:dyDescent="0.2">
      <c r="B2055" s="1168"/>
    </row>
    <row r="2056" spans="2:2" s="221" customFormat="1" ht="12.75" x14ac:dyDescent="0.2">
      <c r="B2056" s="1168"/>
    </row>
    <row r="2057" spans="2:2" s="221" customFormat="1" ht="12.75" x14ac:dyDescent="0.2">
      <c r="B2057" s="1168"/>
    </row>
    <row r="2058" spans="2:2" s="221" customFormat="1" ht="12.75" x14ac:dyDescent="0.2">
      <c r="B2058" s="1168"/>
    </row>
    <row r="2059" spans="2:2" s="221" customFormat="1" ht="12.75" x14ac:dyDescent="0.2">
      <c r="B2059" s="1168"/>
    </row>
    <row r="2060" spans="2:2" s="221" customFormat="1" ht="12.75" x14ac:dyDescent="0.2">
      <c r="B2060" s="1168"/>
    </row>
    <row r="2061" spans="2:2" s="221" customFormat="1" ht="12.75" x14ac:dyDescent="0.2">
      <c r="B2061" s="1168"/>
    </row>
    <row r="2062" spans="2:2" s="221" customFormat="1" ht="12.75" x14ac:dyDescent="0.2">
      <c r="B2062" s="1168"/>
    </row>
    <row r="2063" spans="2:2" s="221" customFormat="1" ht="12.75" x14ac:dyDescent="0.2">
      <c r="B2063" s="1168"/>
    </row>
    <row r="2064" spans="2:2" s="221" customFormat="1" ht="12.75" x14ac:dyDescent="0.2">
      <c r="B2064" s="1168"/>
    </row>
    <row r="2065" spans="2:2" s="221" customFormat="1" ht="12.75" x14ac:dyDescent="0.2">
      <c r="B2065" s="1168"/>
    </row>
    <row r="2066" spans="2:2" s="221" customFormat="1" ht="12.75" x14ac:dyDescent="0.2">
      <c r="B2066" s="1168"/>
    </row>
    <row r="2067" spans="2:2" s="221" customFormat="1" ht="12.75" x14ac:dyDescent="0.2">
      <c r="B2067" s="1168"/>
    </row>
    <row r="2068" spans="2:2" s="221" customFormat="1" ht="12.75" x14ac:dyDescent="0.2">
      <c r="B2068" s="1168"/>
    </row>
    <row r="2069" spans="2:2" s="221" customFormat="1" ht="12.75" x14ac:dyDescent="0.2">
      <c r="B2069" s="1168"/>
    </row>
    <row r="2070" spans="2:2" s="221" customFormat="1" ht="12.75" x14ac:dyDescent="0.2">
      <c r="B2070" s="1168"/>
    </row>
    <row r="2071" spans="2:2" s="221" customFormat="1" ht="12.75" x14ac:dyDescent="0.2">
      <c r="B2071" s="1168"/>
    </row>
    <row r="2072" spans="2:2" s="221" customFormat="1" ht="12.75" x14ac:dyDescent="0.2">
      <c r="B2072" s="1168"/>
    </row>
    <row r="2073" spans="2:2" s="221" customFormat="1" ht="12.75" x14ac:dyDescent="0.2">
      <c r="B2073" s="1168"/>
    </row>
    <row r="2074" spans="2:2" s="221" customFormat="1" ht="12.75" x14ac:dyDescent="0.2">
      <c r="B2074" s="1168"/>
    </row>
    <row r="2075" spans="2:2" s="221" customFormat="1" ht="12.75" x14ac:dyDescent="0.2">
      <c r="B2075" s="1168"/>
    </row>
    <row r="2076" spans="2:2" s="221" customFormat="1" ht="12.75" x14ac:dyDescent="0.2">
      <c r="B2076" s="1168"/>
    </row>
    <row r="2077" spans="2:2" s="221" customFormat="1" ht="12.75" x14ac:dyDescent="0.2">
      <c r="B2077" s="1168"/>
    </row>
    <row r="2078" spans="2:2" s="221" customFormat="1" ht="12.75" x14ac:dyDescent="0.2">
      <c r="B2078" s="1168"/>
    </row>
    <row r="2079" spans="2:2" s="221" customFormat="1" ht="12.75" x14ac:dyDescent="0.2">
      <c r="B2079" s="1168"/>
    </row>
    <row r="2080" spans="2:2" s="221" customFormat="1" ht="12.75" x14ac:dyDescent="0.2">
      <c r="B2080" s="1168"/>
    </row>
    <row r="2081" spans="2:2" s="221" customFormat="1" ht="12.75" x14ac:dyDescent="0.2">
      <c r="B2081" s="1168"/>
    </row>
    <row r="2082" spans="2:2" s="221" customFormat="1" ht="12.75" x14ac:dyDescent="0.2">
      <c r="B2082" s="1168"/>
    </row>
    <row r="2083" spans="2:2" s="221" customFormat="1" ht="12.75" x14ac:dyDescent="0.2">
      <c r="B2083" s="1168"/>
    </row>
    <row r="2084" spans="2:2" s="221" customFormat="1" ht="12.75" x14ac:dyDescent="0.2">
      <c r="B2084" s="1168"/>
    </row>
    <row r="2085" spans="2:2" s="221" customFormat="1" ht="12.75" x14ac:dyDescent="0.2">
      <c r="B2085" s="1168"/>
    </row>
    <row r="2086" spans="2:2" s="221" customFormat="1" ht="12.75" x14ac:dyDescent="0.2">
      <c r="B2086" s="1168"/>
    </row>
    <row r="2087" spans="2:2" s="221" customFormat="1" ht="12.75" x14ac:dyDescent="0.2">
      <c r="B2087" s="1168"/>
    </row>
    <row r="2088" spans="2:2" s="221" customFormat="1" ht="12.75" x14ac:dyDescent="0.2">
      <c r="B2088" s="1168"/>
    </row>
    <row r="2089" spans="2:2" s="221" customFormat="1" ht="12.75" x14ac:dyDescent="0.2">
      <c r="B2089" s="1168"/>
    </row>
    <row r="2090" spans="2:2" s="221" customFormat="1" ht="12.75" x14ac:dyDescent="0.2">
      <c r="B2090" s="1168"/>
    </row>
    <row r="2091" spans="2:2" s="221" customFormat="1" ht="12.75" x14ac:dyDescent="0.2">
      <c r="B2091" s="1168"/>
    </row>
    <row r="2092" spans="2:2" s="221" customFormat="1" ht="12.75" x14ac:dyDescent="0.2">
      <c r="B2092" s="1168"/>
    </row>
    <row r="2093" spans="2:2" s="221" customFormat="1" ht="12.75" x14ac:dyDescent="0.2">
      <c r="B2093" s="1168"/>
    </row>
    <row r="2094" spans="2:2" s="221" customFormat="1" ht="12.75" x14ac:dyDescent="0.2">
      <c r="B2094" s="1168"/>
    </row>
    <row r="2095" spans="2:2" s="221" customFormat="1" ht="12.75" x14ac:dyDescent="0.2">
      <c r="B2095" s="1168"/>
    </row>
    <row r="2096" spans="2:2" s="221" customFormat="1" ht="12.75" x14ac:dyDescent="0.2">
      <c r="B2096" s="1168"/>
    </row>
    <row r="2097" spans="2:2" s="221" customFormat="1" ht="12.75" x14ac:dyDescent="0.2">
      <c r="B2097" s="1168"/>
    </row>
    <row r="2098" spans="2:2" s="221" customFormat="1" ht="12.75" x14ac:dyDescent="0.2">
      <c r="B2098" s="1168"/>
    </row>
    <row r="2099" spans="2:2" s="221" customFormat="1" ht="12.75" x14ac:dyDescent="0.2">
      <c r="B2099" s="1168"/>
    </row>
    <row r="2100" spans="2:2" s="221" customFormat="1" ht="12.75" x14ac:dyDescent="0.2">
      <c r="B2100" s="1168"/>
    </row>
    <row r="2101" spans="2:2" s="221" customFormat="1" ht="12.75" x14ac:dyDescent="0.2">
      <c r="B2101" s="1168"/>
    </row>
    <row r="2102" spans="2:2" s="221" customFormat="1" ht="12.75" x14ac:dyDescent="0.2">
      <c r="B2102" s="1168"/>
    </row>
    <row r="2103" spans="2:2" s="221" customFormat="1" ht="12.75" x14ac:dyDescent="0.2">
      <c r="B2103" s="1168"/>
    </row>
    <row r="2104" spans="2:2" s="221" customFormat="1" ht="12.75" x14ac:dyDescent="0.2">
      <c r="B2104" s="1168"/>
    </row>
    <row r="2105" spans="2:2" s="221" customFormat="1" ht="12.75" x14ac:dyDescent="0.2">
      <c r="B2105" s="1168"/>
    </row>
    <row r="2106" spans="2:2" s="221" customFormat="1" ht="12.75" x14ac:dyDescent="0.2">
      <c r="B2106" s="1168"/>
    </row>
    <row r="2107" spans="2:2" s="221" customFormat="1" ht="12.75" x14ac:dyDescent="0.2">
      <c r="B2107" s="1168"/>
    </row>
    <row r="2108" spans="2:2" s="221" customFormat="1" ht="12.75" x14ac:dyDescent="0.2">
      <c r="B2108" s="1168"/>
    </row>
    <row r="2109" spans="2:2" s="221" customFormat="1" ht="12.75" x14ac:dyDescent="0.2">
      <c r="B2109" s="1168"/>
    </row>
    <row r="2110" spans="2:2" s="221" customFormat="1" ht="12.75" x14ac:dyDescent="0.2">
      <c r="B2110" s="1168"/>
    </row>
    <row r="2111" spans="2:2" s="221" customFormat="1" ht="12.75" x14ac:dyDescent="0.2">
      <c r="B2111" s="1168"/>
    </row>
    <row r="2112" spans="2:2" s="221" customFormat="1" ht="12.75" x14ac:dyDescent="0.2">
      <c r="B2112" s="1168"/>
    </row>
    <row r="2113" spans="2:2" s="221" customFormat="1" ht="12.75" x14ac:dyDescent="0.2">
      <c r="B2113" s="1168"/>
    </row>
    <row r="2114" spans="2:2" s="221" customFormat="1" ht="12.75" x14ac:dyDescent="0.2">
      <c r="B2114" s="1168"/>
    </row>
    <row r="2115" spans="2:2" s="221" customFormat="1" ht="12.75" x14ac:dyDescent="0.2">
      <c r="B2115" s="1168"/>
    </row>
    <row r="2116" spans="2:2" s="221" customFormat="1" ht="12.75" x14ac:dyDescent="0.2">
      <c r="B2116" s="1168"/>
    </row>
    <row r="2117" spans="2:2" s="221" customFormat="1" ht="12.75" x14ac:dyDescent="0.2">
      <c r="B2117" s="1168"/>
    </row>
    <row r="2118" spans="2:2" s="221" customFormat="1" ht="12.75" x14ac:dyDescent="0.2">
      <c r="B2118" s="1168"/>
    </row>
    <row r="2119" spans="2:2" s="221" customFormat="1" ht="12.75" x14ac:dyDescent="0.2">
      <c r="B2119" s="1168"/>
    </row>
    <row r="2120" spans="2:2" s="221" customFormat="1" ht="12.75" x14ac:dyDescent="0.2">
      <c r="B2120" s="1168"/>
    </row>
    <row r="2121" spans="2:2" s="221" customFormat="1" ht="12.75" x14ac:dyDescent="0.2">
      <c r="B2121" s="1168"/>
    </row>
    <row r="2122" spans="2:2" s="221" customFormat="1" ht="12.75" x14ac:dyDescent="0.2">
      <c r="B2122" s="1168"/>
    </row>
    <row r="2123" spans="2:2" s="221" customFormat="1" ht="12.75" x14ac:dyDescent="0.2">
      <c r="B2123" s="1168"/>
    </row>
    <row r="2124" spans="2:2" s="221" customFormat="1" ht="12.75" x14ac:dyDescent="0.2">
      <c r="B2124" s="1168"/>
    </row>
    <row r="2125" spans="2:2" s="221" customFormat="1" ht="12.75" x14ac:dyDescent="0.2">
      <c r="B2125" s="1168"/>
    </row>
    <row r="2126" spans="2:2" s="221" customFormat="1" ht="12.75" x14ac:dyDescent="0.2">
      <c r="B2126" s="1168"/>
    </row>
    <row r="2127" spans="2:2" s="221" customFormat="1" ht="12.75" x14ac:dyDescent="0.2">
      <c r="B2127" s="1168"/>
    </row>
    <row r="2128" spans="2:2" s="221" customFormat="1" ht="12.75" x14ac:dyDescent="0.2">
      <c r="B2128" s="1168"/>
    </row>
    <row r="2129" spans="2:2" s="221" customFormat="1" ht="12.75" x14ac:dyDescent="0.2">
      <c r="B2129" s="1168"/>
    </row>
    <row r="2130" spans="2:2" s="221" customFormat="1" ht="12.75" x14ac:dyDescent="0.2">
      <c r="B2130" s="1168"/>
    </row>
    <row r="2131" spans="2:2" s="221" customFormat="1" ht="12.75" x14ac:dyDescent="0.2">
      <c r="B2131" s="1168"/>
    </row>
    <row r="2132" spans="2:2" s="221" customFormat="1" ht="12.75" x14ac:dyDescent="0.2">
      <c r="B2132" s="1168"/>
    </row>
    <row r="2133" spans="2:2" s="221" customFormat="1" ht="12.75" x14ac:dyDescent="0.2">
      <c r="B2133" s="1168"/>
    </row>
    <row r="2134" spans="2:2" s="221" customFormat="1" ht="12.75" x14ac:dyDescent="0.2">
      <c r="B2134" s="1168"/>
    </row>
    <row r="2135" spans="2:2" s="221" customFormat="1" ht="12.75" x14ac:dyDescent="0.2">
      <c r="B2135" s="1168"/>
    </row>
    <row r="2136" spans="2:2" s="221" customFormat="1" ht="12.75" x14ac:dyDescent="0.2">
      <c r="B2136" s="1168"/>
    </row>
    <row r="2137" spans="2:2" s="221" customFormat="1" ht="12.75" x14ac:dyDescent="0.2">
      <c r="B2137" s="1168"/>
    </row>
    <row r="2138" spans="2:2" s="221" customFormat="1" ht="12.75" x14ac:dyDescent="0.2">
      <c r="B2138" s="1168"/>
    </row>
    <row r="2139" spans="2:2" s="221" customFormat="1" ht="12.75" x14ac:dyDescent="0.2">
      <c r="B2139" s="1168"/>
    </row>
    <row r="2140" spans="2:2" s="221" customFormat="1" ht="12.75" x14ac:dyDescent="0.2">
      <c r="B2140" s="1168"/>
    </row>
    <row r="2141" spans="2:2" s="221" customFormat="1" ht="12.75" x14ac:dyDescent="0.2">
      <c r="B2141" s="1168"/>
    </row>
    <row r="2142" spans="2:2" s="221" customFormat="1" ht="12.75" x14ac:dyDescent="0.2">
      <c r="B2142" s="1168"/>
    </row>
    <row r="2143" spans="2:2" s="221" customFormat="1" ht="12.75" x14ac:dyDescent="0.2">
      <c r="B2143" s="1168"/>
    </row>
    <row r="2144" spans="2:2" s="221" customFormat="1" ht="12.75" x14ac:dyDescent="0.2">
      <c r="B2144" s="1168"/>
    </row>
    <row r="2145" spans="2:2" s="221" customFormat="1" ht="12.75" x14ac:dyDescent="0.2">
      <c r="B2145" s="1168"/>
    </row>
    <row r="2146" spans="2:2" s="221" customFormat="1" ht="12.75" x14ac:dyDescent="0.2">
      <c r="B2146" s="1168"/>
    </row>
    <row r="2147" spans="2:2" s="221" customFormat="1" ht="12.75" x14ac:dyDescent="0.2">
      <c r="B2147" s="1168"/>
    </row>
    <row r="2148" spans="2:2" s="221" customFormat="1" ht="12.75" x14ac:dyDescent="0.2">
      <c r="B2148" s="1168"/>
    </row>
    <row r="2149" spans="2:2" s="221" customFormat="1" ht="12.75" x14ac:dyDescent="0.2">
      <c r="B2149" s="1168"/>
    </row>
    <row r="2150" spans="2:2" s="221" customFormat="1" ht="12.75" x14ac:dyDescent="0.2">
      <c r="B2150" s="1168"/>
    </row>
    <row r="2151" spans="2:2" s="221" customFormat="1" ht="12.75" x14ac:dyDescent="0.2">
      <c r="B2151" s="1168"/>
    </row>
    <row r="2152" spans="2:2" s="221" customFormat="1" ht="12.75" x14ac:dyDescent="0.2">
      <c r="B2152" s="1168"/>
    </row>
    <row r="2153" spans="2:2" s="221" customFormat="1" ht="12.75" x14ac:dyDescent="0.2">
      <c r="B2153" s="1168"/>
    </row>
    <row r="2154" spans="2:2" s="221" customFormat="1" ht="12.75" x14ac:dyDescent="0.2">
      <c r="B2154" s="1168"/>
    </row>
    <row r="2155" spans="2:2" s="221" customFormat="1" ht="12.75" x14ac:dyDescent="0.2">
      <c r="B2155" s="1168"/>
    </row>
    <row r="2156" spans="2:2" s="221" customFormat="1" ht="12.75" x14ac:dyDescent="0.2">
      <c r="B2156" s="1168"/>
    </row>
    <row r="2157" spans="2:2" s="221" customFormat="1" ht="12.75" x14ac:dyDescent="0.2">
      <c r="B2157" s="1168"/>
    </row>
    <row r="2158" spans="2:2" s="221" customFormat="1" ht="12.75" x14ac:dyDescent="0.2">
      <c r="B2158" s="1168"/>
    </row>
    <row r="2159" spans="2:2" s="221" customFormat="1" ht="12.75" x14ac:dyDescent="0.2">
      <c r="B2159" s="1168"/>
    </row>
    <row r="2160" spans="2:2" s="221" customFormat="1" ht="12.75" x14ac:dyDescent="0.2">
      <c r="B2160" s="1168"/>
    </row>
    <row r="2161" spans="2:2" s="221" customFormat="1" ht="12.75" x14ac:dyDescent="0.2">
      <c r="B2161" s="1168"/>
    </row>
    <row r="2162" spans="2:2" s="221" customFormat="1" ht="12.75" x14ac:dyDescent="0.2">
      <c r="B2162" s="1168"/>
    </row>
    <row r="2163" spans="2:2" s="221" customFormat="1" ht="12.75" x14ac:dyDescent="0.2">
      <c r="B2163" s="1168"/>
    </row>
    <row r="2164" spans="2:2" s="221" customFormat="1" ht="12.75" x14ac:dyDescent="0.2">
      <c r="B2164" s="1168"/>
    </row>
    <row r="2165" spans="2:2" s="221" customFormat="1" ht="12.75" x14ac:dyDescent="0.2">
      <c r="B2165" s="1168"/>
    </row>
    <row r="2166" spans="2:2" s="221" customFormat="1" ht="12.75" x14ac:dyDescent="0.2">
      <c r="B2166" s="1168"/>
    </row>
    <row r="2167" spans="2:2" s="221" customFormat="1" ht="12.75" x14ac:dyDescent="0.2">
      <c r="B2167" s="1168"/>
    </row>
    <row r="2168" spans="2:2" s="221" customFormat="1" ht="12.75" x14ac:dyDescent="0.2">
      <c r="B2168" s="1168"/>
    </row>
    <row r="2169" spans="2:2" s="221" customFormat="1" ht="12.75" x14ac:dyDescent="0.2">
      <c r="B2169" s="1168"/>
    </row>
    <row r="2170" spans="2:2" s="221" customFormat="1" ht="12.75" x14ac:dyDescent="0.2">
      <c r="B2170" s="1168"/>
    </row>
    <row r="2171" spans="2:2" s="221" customFormat="1" ht="12.75" x14ac:dyDescent="0.2">
      <c r="B2171" s="1168"/>
    </row>
    <row r="2172" spans="2:2" s="221" customFormat="1" ht="12.75" x14ac:dyDescent="0.2">
      <c r="B2172" s="1168"/>
    </row>
    <row r="2173" spans="2:2" s="221" customFormat="1" ht="12.75" x14ac:dyDescent="0.2">
      <c r="B2173" s="1168"/>
    </row>
    <row r="2174" spans="2:2" s="221" customFormat="1" ht="12.75" x14ac:dyDescent="0.2">
      <c r="B2174" s="1168"/>
    </row>
    <row r="2175" spans="2:2" s="221" customFormat="1" ht="12.75" x14ac:dyDescent="0.2">
      <c r="B2175" s="1168"/>
    </row>
    <row r="2176" spans="2:2" s="221" customFormat="1" ht="12.75" x14ac:dyDescent="0.2">
      <c r="B2176" s="1168"/>
    </row>
    <row r="2177" spans="2:2" s="221" customFormat="1" ht="12.75" x14ac:dyDescent="0.2">
      <c r="B2177" s="1168"/>
    </row>
    <row r="2178" spans="2:2" s="221" customFormat="1" ht="12.75" x14ac:dyDescent="0.2">
      <c r="B2178" s="1168"/>
    </row>
    <row r="2179" spans="2:2" s="221" customFormat="1" ht="12.75" x14ac:dyDescent="0.2">
      <c r="B2179" s="1168"/>
    </row>
    <row r="2180" spans="2:2" s="221" customFormat="1" ht="12.75" x14ac:dyDescent="0.2">
      <c r="B2180" s="1168"/>
    </row>
    <row r="2181" spans="2:2" s="221" customFormat="1" ht="12.75" x14ac:dyDescent="0.2">
      <c r="B2181" s="1168"/>
    </row>
    <row r="2182" spans="2:2" s="221" customFormat="1" ht="12.75" x14ac:dyDescent="0.2">
      <c r="B2182" s="1168"/>
    </row>
    <row r="2183" spans="2:2" s="221" customFormat="1" ht="12.75" x14ac:dyDescent="0.2">
      <c r="B2183" s="1168"/>
    </row>
    <row r="2184" spans="2:2" s="221" customFormat="1" ht="12.75" x14ac:dyDescent="0.2">
      <c r="B2184" s="1168"/>
    </row>
    <row r="2185" spans="2:2" s="221" customFormat="1" ht="12.75" x14ac:dyDescent="0.2">
      <c r="B2185" s="1168"/>
    </row>
    <row r="2186" spans="2:2" s="221" customFormat="1" ht="12.75" x14ac:dyDescent="0.2">
      <c r="B2186" s="1168"/>
    </row>
    <row r="2187" spans="2:2" s="221" customFormat="1" ht="12.75" x14ac:dyDescent="0.2">
      <c r="B2187" s="1168"/>
    </row>
    <row r="2188" spans="2:2" s="221" customFormat="1" ht="12.75" x14ac:dyDescent="0.2">
      <c r="B2188" s="1168"/>
    </row>
    <row r="2189" spans="2:2" s="221" customFormat="1" ht="12.75" x14ac:dyDescent="0.2">
      <c r="B2189" s="1168"/>
    </row>
    <row r="2190" spans="2:2" s="221" customFormat="1" ht="12.75" x14ac:dyDescent="0.2">
      <c r="B2190" s="1168"/>
    </row>
    <row r="2191" spans="2:2" s="221" customFormat="1" ht="12.75" x14ac:dyDescent="0.2">
      <c r="B2191" s="1168"/>
    </row>
    <row r="2192" spans="2:2" s="221" customFormat="1" ht="12.75" x14ac:dyDescent="0.2">
      <c r="B2192" s="1168"/>
    </row>
    <row r="2193" spans="2:2" s="221" customFormat="1" ht="12.75" x14ac:dyDescent="0.2">
      <c r="B2193" s="1168"/>
    </row>
    <row r="2194" spans="2:2" s="221" customFormat="1" ht="12.75" x14ac:dyDescent="0.2">
      <c r="B2194" s="1168"/>
    </row>
    <row r="2195" spans="2:2" s="221" customFormat="1" ht="12.75" x14ac:dyDescent="0.2">
      <c r="B2195" s="1168"/>
    </row>
    <row r="2196" spans="2:2" s="221" customFormat="1" ht="12.75" x14ac:dyDescent="0.2">
      <c r="B2196" s="1168"/>
    </row>
    <row r="2197" spans="2:2" s="221" customFormat="1" ht="12.75" x14ac:dyDescent="0.2">
      <c r="B2197" s="1168"/>
    </row>
    <row r="2198" spans="2:2" s="221" customFormat="1" ht="12.75" x14ac:dyDescent="0.2">
      <c r="B2198" s="1168"/>
    </row>
    <row r="2199" spans="2:2" s="221" customFormat="1" ht="12.75" x14ac:dyDescent="0.2">
      <c r="B2199" s="1168"/>
    </row>
    <row r="2200" spans="2:2" s="221" customFormat="1" ht="12.75" x14ac:dyDescent="0.2">
      <c r="B2200" s="1168"/>
    </row>
    <row r="2201" spans="2:2" s="221" customFormat="1" ht="12.75" x14ac:dyDescent="0.2">
      <c r="B2201" s="1168"/>
    </row>
    <row r="2202" spans="2:2" s="221" customFormat="1" ht="12.75" x14ac:dyDescent="0.2">
      <c r="B2202" s="1168"/>
    </row>
    <row r="2203" spans="2:2" s="221" customFormat="1" ht="12.75" x14ac:dyDescent="0.2">
      <c r="B2203" s="1168"/>
    </row>
    <row r="2204" spans="2:2" s="221" customFormat="1" ht="12.75" x14ac:dyDescent="0.2">
      <c r="B2204" s="1168"/>
    </row>
    <row r="2205" spans="2:2" s="221" customFormat="1" ht="12.75" x14ac:dyDescent="0.2">
      <c r="B2205" s="1168"/>
    </row>
    <row r="2206" spans="2:2" s="221" customFormat="1" ht="12.75" x14ac:dyDescent="0.2">
      <c r="B2206" s="1168"/>
    </row>
    <row r="2207" spans="2:2" s="221" customFormat="1" ht="12.75" x14ac:dyDescent="0.2">
      <c r="B2207" s="1168"/>
    </row>
    <row r="2208" spans="2:2" s="221" customFormat="1" ht="12.75" x14ac:dyDescent="0.2">
      <c r="B2208" s="1168"/>
    </row>
    <row r="2209" spans="2:2" s="221" customFormat="1" ht="12.75" x14ac:dyDescent="0.2">
      <c r="B2209" s="1168"/>
    </row>
    <row r="2210" spans="2:2" s="221" customFormat="1" ht="12.75" x14ac:dyDescent="0.2">
      <c r="B2210" s="1168"/>
    </row>
    <row r="2211" spans="2:2" s="221" customFormat="1" ht="12.75" x14ac:dyDescent="0.2">
      <c r="B2211" s="1168"/>
    </row>
    <row r="2212" spans="2:2" s="221" customFormat="1" ht="12.75" x14ac:dyDescent="0.2">
      <c r="B2212" s="1168"/>
    </row>
    <row r="2213" spans="2:2" s="221" customFormat="1" ht="12.75" x14ac:dyDescent="0.2">
      <c r="B2213" s="1168"/>
    </row>
    <row r="2214" spans="2:2" s="221" customFormat="1" ht="12.75" x14ac:dyDescent="0.2">
      <c r="B2214" s="1168"/>
    </row>
    <row r="2215" spans="2:2" s="221" customFormat="1" ht="12.75" x14ac:dyDescent="0.2">
      <c r="B2215" s="1168"/>
    </row>
    <row r="2216" spans="2:2" s="221" customFormat="1" ht="12.75" x14ac:dyDescent="0.2">
      <c r="B2216" s="1168"/>
    </row>
    <row r="2217" spans="2:2" s="221" customFormat="1" ht="12.75" x14ac:dyDescent="0.2">
      <c r="B2217" s="1168"/>
    </row>
    <row r="2218" spans="2:2" s="221" customFormat="1" ht="12.75" x14ac:dyDescent="0.2">
      <c r="B2218" s="1168"/>
    </row>
    <row r="2219" spans="2:2" s="221" customFormat="1" ht="12.75" x14ac:dyDescent="0.2">
      <c r="B2219" s="1168"/>
    </row>
    <row r="2220" spans="2:2" s="221" customFormat="1" ht="12.75" x14ac:dyDescent="0.2">
      <c r="B2220" s="1168"/>
    </row>
    <row r="2221" spans="2:2" s="221" customFormat="1" ht="12.75" x14ac:dyDescent="0.2">
      <c r="B2221" s="1168"/>
    </row>
    <row r="2222" spans="2:2" s="221" customFormat="1" ht="12.75" x14ac:dyDescent="0.2">
      <c r="B2222" s="1168"/>
    </row>
    <row r="2223" spans="2:2" s="221" customFormat="1" ht="12.75" x14ac:dyDescent="0.2">
      <c r="B2223" s="1168"/>
    </row>
    <row r="2224" spans="2:2" s="221" customFormat="1" ht="12.75" x14ac:dyDescent="0.2">
      <c r="B2224" s="1168"/>
    </row>
    <row r="2225" spans="2:2" s="221" customFormat="1" ht="12.75" x14ac:dyDescent="0.2">
      <c r="B2225" s="1168"/>
    </row>
    <row r="2226" spans="2:2" s="221" customFormat="1" ht="12.75" x14ac:dyDescent="0.2">
      <c r="B2226" s="1168"/>
    </row>
    <row r="2227" spans="2:2" s="221" customFormat="1" ht="12.75" x14ac:dyDescent="0.2">
      <c r="B2227" s="1168"/>
    </row>
    <row r="2228" spans="2:2" s="221" customFormat="1" ht="12.75" x14ac:dyDescent="0.2">
      <c r="B2228" s="1168"/>
    </row>
    <row r="2229" spans="2:2" s="221" customFormat="1" ht="12.75" x14ac:dyDescent="0.2">
      <c r="B2229" s="1168"/>
    </row>
    <row r="2230" spans="2:2" s="221" customFormat="1" ht="12.75" x14ac:dyDescent="0.2">
      <c r="B2230" s="1168"/>
    </row>
    <row r="2231" spans="2:2" s="221" customFormat="1" ht="12.75" x14ac:dyDescent="0.2">
      <c r="B2231" s="1168"/>
    </row>
    <row r="2232" spans="2:2" s="221" customFormat="1" ht="12.75" x14ac:dyDescent="0.2">
      <c r="B2232" s="1168"/>
    </row>
    <row r="2233" spans="2:2" s="221" customFormat="1" ht="12.75" x14ac:dyDescent="0.2">
      <c r="B2233" s="1168"/>
    </row>
    <row r="2234" spans="2:2" s="221" customFormat="1" ht="12.75" x14ac:dyDescent="0.2">
      <c r="B2234" s="1168"/>
    </row>
    <row r="2235" spans="2:2" s="221" customFormat="1" ht="12.75" x14ac:dyDescent="0.2">
      <c r="B2235" s="1168"/>
    </row>
    <row r="2236" spans="2:2" s="221" customFormat="1" ht="12.75" x14ac:dyDescent="0.2">
      <c r="B2236" s="1168"/>
    </row>
    <row r="2237" spans="2:2" s="221" customFormat="1" ht="12.75" x14ac:dyDescent="0.2">
      <c r="B2237" s="1168"/>
    </row>
    <row r="2238" spans="2:2" s="221" customFormat="1" ht="12.75" x14ac:dyDescent="0.2">
      <c r="B2238" s="1168"/>
    </row>
    <row r="2239" spans="2:2" s="221" customFormat="1" ht="12.75" x14ac:dyDescent="0.2">
      <c r="B2239" s="1168"/>
    </row>
    <row r="2240" spans="2:2" s="221" customFormat="1" ht="12.75" x14ac:dyDescent="0.2">
      <c r="B2240" s="1168"/>
    </row>
    <row r="2241" spans="2:2" s="221" customFormat="1" ht="12.75" x14ac:dyDescent="0.2">
      <c r="B2241" s="1168"/>
    </row>
    <row r="2242" spans="2:2" s="221" customFormat="1" ht="12.75" x14ac:dyDescent="0.2">
      <c r="B2242" s="1168"/>
    </row>
    <row r="2243" spans="2:2" s="221" customFormat="1" ht="12.75" x14ac:dyDescent="0.2">
      <c r="B2243" s="1168"/>
    </row>
    <row r="2244" spans="2:2" s="221" customFormat="1" ht="12.75" x14ac:dyDescent="0.2">
      <c r="B2244" s="1168"/>
    </row>
    <row r="2245" spans="2:2" s="221" customFormat="1" ht="12.75" x14ac:dyDescent="0.2">
      <c r="B2245" s="1168"/>
    </row>
    <row r="2246" spans="2:2" s="221" customFormat="1" ht="12.75" x14ac:dyDescent="0.2">
      <c r="B2246" s="1168"/>
    </row>
    <row r="2247" spans="2:2" s="221" customFormat="1" ht="12.75" x14ac:dyDescent="0.2">
      <c r="B2247" s="1168"/>
    </row>
    <row r="2248" spans="2:2" s="221" customFormat="1" ht="12.75" x14ac:dyDescent="0.2">
      <c r="B2248" s="1168"/>
    </row>
    <row r="2249" spans="2:2" s="221" customFormat="1" ht="12.75" x14ac:dyDescent="0.2">
      <c r="B2249" s="1168"/>
    </row>
    <row r="2250" spans="2:2" s="221" customFormat="1" ht="12.75" x14ac:dyDescent="0.2">
      <c r="B2250" s="1168"/>
    </row>
    <row r="2251" spans="2:2" s="221" customFormat="1" ht="12.75" x14ac:dyDescent="0.2">
      <c r="B2251" s="1168"/>
    </row>
    <row r="2252" spans="2:2" s="221" customFormat="1" ht="12.75" x14ac:dyDescent="0.2">
      <c r="B2252" s="1168"/>
    </row>
    <row r="2253" spans="2:2" s="221" customFormat="1" ht="12.75" x14ac:dyDescent="0.2">
      <c r="B2253" s="1168"/>
    </row>
    <row r="2254" spans="2:2" s="221" customFormat="1" ht="12.75" x14ac:dyDescent="0.2">
      <c r="B2254" s="1168"/>
    </row>
    <row r="2255" spans="2:2" s="221" customFormat="1" ht="12.75" x14ac:dyDescent="0.2">
      <c r="B2255" s="1168"/>
    </row>
    <row r="2256" spans="2:2" s="221" customFormat="1" ht="12.75" x14ac:dyDescent="0.2">
      <c r="B2256" s="1168"/>
    </row>
    <row r="2257" spans="2:2" s="221" customFormat="1" ht="12.75" x14ac:dyDescent="0.2">
      <c r="B2257" s="1168"/>
    </row>
    <row r="2258" spans="2:2" s="221" customFormat="1" ht="12.75" x14ac:dyDescent="0.2">
      <c r="B2258" s="1168"/>
    </row>
    <row r="2259" spans="2:2" s="221" customFormat="1" ht="12.75" x14ac:dyDescent="0.2">
      <c r="B2259" s="1168"/>
    </row>
    <row r="2260" spans="2:2" s="221" customFormat="1" ht="12.75" x14ac:dyDescent="0.2">
      <c r="B2260" s="1168"/>
    </row>
    <row r="2261" spans="2:2" s="221" customFormat="1" ht="12.75" x14ac:dyDescent="0.2">
      <c r="B2261" s="1168"/>
    </row>
    <row r="2262" spans="2:2" s="221" customFormat="1" ht="12.75" x14ac:dyDescent="0.2">
      <c r="B2262" s="1168"/>
    </row>
    <row r="2263" spans="2:2" s="221" customFormat="1" ht="12.75" x14ac:dyDescent="0.2">
      <c r="B2263" s="1168"/>
    </row>
    <row r="2264" spans="2:2" s="221" customFormat="1" ht="12.75" x14ac:dyDescent="0.2">
      <c r="B2264" s="1168"/>
    </row>
    <row r="2265" spans="2:2" s="221" customFormat="1" ht="12.75" x14ac:dyDescent="0.2">
      <c r="B2265" s="1168"/>
    </row>
    <row r="2266" spans="2:2" s="221" customFormat="1" ht="12.75" x14ac:dyDescent="0.2">
      <c r="B2266" s="1168"/>
    </row>
    <row r="2267" spans="2:2" s="221" customFormat="1" ht="12.75" x14ac:dyDescent="0.2">
      <c r="B2267" s="1168"/>
    </row>
    <row r="2268" spans="2:2" s="221" customFormat="1" ht="12.75" x14ac:dyDescent="0.2">
      <c r="B2268" s="1168"/>
    </row>
    <row r="2269" spans="2:2" s="221" customFormat="1" ht="12.75" x14ac:dyDescent="0.2">
      <c r="B2269" s="1168"/>
    </row>
    <row r="2270" spans="2:2" s="221" customFormat="1" ht="12.75" x14ac:dyDescent="0.2">
      <c r="B2270" s="1168"/>
    </row>
    <row r="2271" spans="2:2" s="221" customFormat="1" ht="12.75" x14ac:dyDescent="0.2">
      <c r="B2271" s="1168"/>
    </row>
    <row r="2272" spans="2:2" s="221" customFormat="1" ht="12.75" x14ac:dyDescent="0.2">
      <c r="B2272" s="1168"/>
    </row>
    <row r="2273" spans="2:2" s="221" customFormat="1" ht="12.75" x14ac:dyDescent="0.2">
      <c r="B2273" s="1168"/>
    </row>
    <row r="2274" spans="2:2" s="221" customFormat="1" ht="12.75" x14ac:dyDescent="0.2">
      <c r="B2274" s="1168"/>
    </row>
    <row r="2275" spans="2:2" s="221" customFormat="1" ht="12.75" x14ac:dyDescent="0.2">
      <c r="B2275" s="1168"/>
    </row>
    <row r="2276" spans="2:2" s="221" customFormat="1" ht="12.75" x14ac:dyDescent="0.2">
      <c r="B2276" s="1168"/>
    </row>
    <row r="2277" spans="2:2" s="221" customFormat="1" ht="12.75" x14ac:dyDescent="0.2">
      <c r="B2277" s="1168"/>
    </row>
    <row r="2278" spans="2:2" s="221" customFormat="1" ht="12.75" x14ac:dyDescent="0.2">
      <c r="B2278" s="1168"/>
    </row>
    <row r="2279" spans="2:2" s="221" customFormat="1" ht="12.75" x14ac:dyDescent="0.2">
      <c r="B2279" s="1168"/>
    </row>
    <row r="2280" spans="2:2" s="221" customFormat="1" ht="12.75" x14ac:dyDescent="0.2">
      <c r="B2280" s="1168"/>
    </row>
    <row r="2281" spans="2:2" s="221" customFormat="1" ht="12.75" x14ac:dyDescent="0.2">
      <c r="B2281" s="1168"/>
    </row>
    <row r="2282" spans="2:2" s="221" customFormat="1" ht="12.75" x14ac:dyDescent="0.2">
      <c r="B2282" s="1168"/>
    </row>
    <row r="2283" spans="2:2" s="221" customFormat="1" ht="12.75" x14ac:dyDescent="0.2">
      <c r="B2283" s="1168"/>
    </row>
    <row r="2284" spans="2:2" s="221" customFormat="1" ht="12.75" x14ac:dyDescent="0.2">
      <c r="B2284" s="1168"/>
    </row>
    <row r="2285" spans="2:2" s="221" customFormat="1" ht="12.75" x14ac:dyDescent="0.2">
      <c r="B2285" s="1168"/>
    </row>
    <row r="2286" spans="2:2" s="221" customFormat="1" ht="12.75" x14ac:dyDescent="0.2">
      <c r="B2286" s="1168"/>
    </row>
    <row r="2287" spans="2:2" s="221" customFormat="1" ht="12.75" x14ac:dyDescent="0.2">
      <c r="B2287" s="1168"/>
    </row>
    <row r="2288" spans="2:2" s="221" customFormat="1" ht="12.75" x14ac:dyDescent="0.2">
      <c r="B2288" s="1168"/>
    </row>
    <row r="2289" spans="2:2" s="221" customFormat="1" ht="12.75" x14ac:dyDescent="0.2">
      <c r="B2289" s="1168"/>
    </row>
    <row r="2290" spans="2:2" s="221" customFormat="1" ht="12.75" x14ac:dyDescent="0.2">
      <c r="B2290" s="1168"/>
    </row>
    <row r="2291" spans="2:2" s="221" customFormat="1" ht="12.75" x14ac:dyDescent="0.2">
      <c r="B2291" s="1168"/>
    </row>
    <row r="2292" spans="2:2" s="221" customFormat="1" ht="12.75" x14ac:dyDescent="0.2">
      <c r="B2292" s="1168"/>
    </row>
    <row r="2293" spans="2:2" s="221" customFormat="1" ht="12.75" x14ac:dyDescent="0.2">
      <c r="B2293" s="1168"/>
    </row>
    <row r="2294" spans="2:2" s="221" customFormat="1" ht="12.75" x14ac:dyDescent="0.2">
      <c r="B2294" s="1168"/>
    </row>
    <row r="2295" spans="2:2" s="221" customFormat="1" ht="12.75" x14ac:dyDescent="0.2">
      <c r="B2295" s="1168"/>
    </row>
    <row r="2296" spans="2:2" s="221" customFormat="1" ht="12.75" x14ac:dyDescent="0.2">
      <c r="B2296" s="1168"/>
    </row>
    <row r="2297" spans="2:2" s="221" customFormat="1" ht="12.75" x14ac:dyDescent="0.2">
      <c r="B2297" s="1168"/>
    </row>
    <row r="2298" spans="2:2" s="221" customFormat="1" ht="12.75" x14ac:dyDescent="0.2">
      <c r="B2298" s="1168"/>
    </row>
    <row r="2299" spans="2:2" s="221" customFormat="1" ht="12.75" x14ac:dyDescent="0.2">
      <c r="B2299" s="1168"/>
    </row>
    <row r="2300" spans="2:2" s="221" customFormat="1" ht="12.75" x14ac:dyDescent="0.2">
      <c r="B2300" s="1168"/>
    </row>
    <row r="2301" spans="2:2" s="221" customFormat="1" ht="12.75" x14ac:dyDescent="0.2">
      <c r="B2301" s="1168"/>
    </row>
    <row r="2302" spans="2:2" s="221" customFormat="1" ht="12.75" x14ac:dyDescent="0.2">
      <c r="B2302" s="1168"/>
    </row>
    <row r="2303" spans="2:2" s="221" customFormat="1" ht="12.75" x14ac:dyDescent="0.2">
      <c r="B2303" s="1168"/>
    </row>
    <row r="2304" spans="2:2" s="221" customFormat="1" ht="12.75" x14ac:dyDescent="0.2">
      <c r="B2304" s="1168"/>
    </row>
    <row r="2305" spans="2:2" s="221" customFormat="1" ht="12.75" x14ac:dyDescent="0.2">
      <c r="B2305" s="1168"/>
    </row>
    <row r="2306" spans="2:2" s="221" customFormat="1" ht="12.75" x14ac:dyDescent="0.2">
      <c r="B2306" s="1168"/>
    </row>
    <row r="2307" spans="2:2" s="221" customFormat="1" ht="12.75" x14ac:dyDescent="0.2">
      <c r="B2307" s="1168"/>
    </row>
    <row r="2308" spans="2:2" s="221" customFormat="1" ht="12.75" x14ac:dyDescent="0.2">
      <c r="B2308" s="1168"/>
    </row>
    <row r="2309" spans="2:2" s="221" customFormat="1" ht="12.75" x14ac:dyDescent="0.2">
      <c r="B2309" s="1168"/>
    </row>
    <row r="2310" spans="2:2" s="221" customFormat="1" ht="12.75" x14ac:dyDescent="0.2">
      <c r="B2310" s="1168"/>
    </row>
    <row r="2311" spans="2:2" s="221" customFormat="1" ht="12.75" x14ac:dyDescent="0.2">
      <c r="B2311" s="1168"/>
    </row>
    <row r="2312" spans="2:2" s="221" customFormat="1" ht="12.75" x14ac:dyDescent="0.2">
      <c r="B2312" s="1168"/>
    </row>
    <row r="2313" spans="2:2" s="221" customFormat="1" ht="12.75" x14ac:dyDescent="0.2">
      <c r="B2313" s="1168"/>
    </row>
    <row r="2314" spans="2:2" s="221" customFormat="1" ht="12.75" x14ac:dyDescent="0.2">
      <c r="B2314" s="1168"/>
    </row>
    <row r="2315" spans="2:2" s="221" customFormat="1" ht="12.75" x14ac:dyDescent="0.2">
      <c r="B2315" s="1168"/>
    </row>
    <row r="2316" spans="2:2" s="221" customFormat="1" ht="12.75" x14ac:dyDescent="0.2">
      <c r="B2316" s="1168"/>
    </row>
    <row r="2317" spans="2:2" s="221" customFormat="1" ht="12.75" x14ac:dyDescent="0.2">
      <c r="B2317" s="1168"/>
    </row>
    <row r="2318" spans="2:2" s="221" customFormat="1" ht="12.75" x14ac:dyDescent="0.2">
      <c r="B2318" s="1168"/>
    </row>
    <row r="2319" spans="2:2" s="221" customFormat="1" ht="12.75" x14ac:dyDescent="0.2">
      <c r="B2319" s="1168"/>
    </row>
    <row r="2320" spans="2:2" s="221" customFormat="1" ht="12.75" x14ac:dyDescent="0.2">
      <c r="B2320" s="1168"/>
    </row>
    <row r="2321" spans="2:2" s="221" customFormat="1" ht="12.75" x14ac:dyDescent="0.2">
      <c r="B2321" s="1168"/>
    </row>
    <row r="2322" spans="2:2" s="221" customFormat="1" ht="12.75" x14ac:dyDescent="0.2">
      <c r="B2322" s="1168"/>
    </row>
    <row r="2323" spans="2:2" s="221" customFormat="1" ht="12.75" x14ac:dyDescent="0.2">
      <c r="B2323" s="1168"/>
    </row>
    <row r="2324" spans="2:2" s="221" customFormat="1" ht="12.75" x14ac:dyDescent="0.2">
      <c r="B2324" s="1168"/>
    </row>
    <row r="2325" spans="2:2" s="221" customFormat="1" ht="12.75" x14ac:dyDescent="0.2">
      <c r="B2325" s="1168"/>
    </row>
    <row r="2326" spans="2:2" s="221" customFormat="1" ht="12.75" x14ac:dyDescent="0.2">
      <c r="B2326" s="1168"/>
    </row>
    <row r="2327" spans="2:2" s="221" customFormat="1" ht="12.75" x14ac:dyDescent="0.2">
      <c r="B2327" s="1168"/>
    </row>
    <row r="2328" spans="2:2" s="221" customFormat="1" ht="12.75" x14ac:dyDescent="0.2">
      <c r="B2328" s="1168"/>
    </row>
    <row r="2329" spans="2:2" s="221" customFormat="1" ht="12.75" x14ac:dyDescent="0.2">
      <c r="B2329" s="1168"/>
    </row>
    <row r="2330" spans="2:2" s="221" customFormat="1" ht="12.75" x14ac:dyDescent="0.2">
      <c r="B2330" s="1168"/>
    </row>
    <row r="2331" spans="2:2" s="221" customFormat="1" ht="12.75" x14ac:dyDescent="0.2">
      <c r="B2331" s="1168"/>
    </row>
    <row r="2332" spans="2:2" s="221" customFormat="1" ht="12.75" x14ac:dyDescent="0.2">
      <c r="B2332" s="1168"/>
    </row>
    <row r="2333" spans="2:2" s="221" customFormat="1" ht="12.75" x14ac:dyDescent="0.2">
      <c r="B2333" s="1168"/>
    </row>
    <row r="2334" spans="2:2" s="221" customFormat="1" ht="12.75" x14ac:dyDescent="0.2">
      <c r="B2334" s="1168"/>
    </row>
    <row r="2335" spans="2:2" s="221" customFormat="1" ht="12.75" x14ac:dyDescent="0.2">
      <c r="B2335" s="1168"/>
    </row>
    <row r="2336" spans="2:2" s="221" customFormat="1" ht="12.75" x14ac:dyDescent="0.2">
      <c r="B2336" s="1168"/>
    </row>
    <row r="2337" spans="2:2" s="221" customFormat="1" ht="12.75" x14ac:dyDescent="0.2">
      <c r="B2337" s="1168"/>
    </row>
    <row r="2338" spans="2:2" s="221" customFormat="1" ht="12.75" x14ac:dyDescent="0.2">
      <c r="B2338" s="1168"/>
    </row>
    <row r="2339" spans="2:2" s="221" customFormat="1" ht="12.75" x14ac:dyDescent="0.2">
      <c r="B2339" s="1168"/>
    </row>
    <row r="2340" spans="2:2" s="221" customFormat="1" ht="12.75" x14ac:dyDescent="0.2">
      <c r="B2340" s="1168"/>
    </row>
    <row r="2341" spans="2:2" s="221" customFormat="1" ht="12.75" x14ac:dyDescent="0.2">
      <c r="B2341" s="1168"/>
    </row>
    <row r="2342" spans="2:2" s="221" customFormat="1" ht="12.75" x14ac:dyDescent="0.2">
      <c r="B2342" s="1168"/>
    </row>
    <row r="2343" spans="2:2" s="221" customFormat="1" ht="12.75" x14ac:dyDescent="0.2">
      <c r="B2343" s="1168"/>
    </row>
    <row r="2344" spans="2:2" s="221" customFormat="1" ht="12.75" x14ac:dyDescent="0.2">
      <c r="B2344" s="1168"/>
    </row>
    <row r="2345" spans="2:2" s="221" customFormat="1" ht="12.75" x14ac:dyDescent="0.2">
      <c r="B2345" s="1168"/>
    </row>
    <row r="2346" spans="2:2" s="221" customFormat="1" ht="12.75" x14ac:dyDescent="0.2">
      <c r="B2346" s="1168"/>
    </row>
    <row r="2347" spans="2:2" s="221" customFormat="1" ht="12.75" x14ac:dyDescent="0.2">
      <c r="B2347" s="1168"/>
    </row>
    <row r="2348" spans="2:2" s="221" customFormat="1" ht="12.75" x14ac:dyDescent="0.2">
      <c r="B2348" s="1168"/>
    </row>
    <row r="2349" spans="2:2" s="221" customFormat="1" ht="12.75" x14ac:dyDescent="0.2">
      <c r="B2349" s="1168"/>
    </row>
    <row r="2350" spans="2:2" s="221" customFormat="1" ht="12.75" x14ac:dyDescent="0.2">
      <c r="B2350" s="1168"/>
    </row>
    <row r="2351" spans="2:2" s="221" customFormat="1" ht="12.75" x14ac:dyDescent="0.2">
      <c r="B2351" s="1168"/>
    </row>
    <row r="2352" spans="2:2" s="221" customFormat="1" ht="12.75" x14ac:dyDescent="0.2">
      <c r="B2352" s="1168"/>
    </row>
    <row r="2353" spans="2:2" s="221" customFormat="1" ht="12.75" x14ac:dyDescent="0.2">
      <c r="B2353" s="1168"/>
    </row>
    <row r="2354" spans="2:2" s="221" customFormat="1" ht="12.75" x14ac:dyDescent="0.2">
      <c r="B2354" s="1168"/>
    </row>
    <row r="2355" spans="2:2" s="221" customFormat="1" ht="12.75" x14ac:dyDescent="0.2">
      <c r="B2355" s="1168"/>
    </row>
    <row r="2356" spans="2:2" s="221" customFormat="1" ht="12.75" x14ac:dyDescent="0.2">
      <c r="B2356" s="1168"/>
    </row>
    <row r="2357" spans="2:2" s="221" customFormat="1" ht="12.75" x14ac:dyDescent="0.2">
      <c r="B2357" s="1168"/>
    </row>
    <row r="2358" spans="2:2" s="221" customFormat="1" ht="12.75" x14ac:dyDescent="0.2">
      <c r="B2358" s="1168"/>
    </row>
    <row r="2359" spans="2:2" s="221" customFormat="1" ht="12.75" x14ac:dyDescent="0.2">
      <c r="B2359" s="1168"/>
    </row>
    <row r="2360" spans="2:2" s="221" customFormat="1" ht="12.75" x14ac:dyDescent="0.2">
      <c r="B2360" s="1168"/>
    </row>
    <row r="2361" spans="2:2" s="221" customFormat="1" ht="12.75" x14ac:dyDescent="0.2">
      <c r="B2361" s="1168"/>
    </row>
    <row r="2362" spans="2:2" s="221" customFormat="1" ht="12.75" x14ac:dyDescent="0.2">
      <c r="B2362" s="1168"/>
    </row>
    <row r="2363" spans="2:2" s="221" customFormat="1" ht="12.75" x14ac:dyDescent="0.2">
      <c r="B2363" s="1168"/>
    </row>
    <row r="2364" spans="2:2" s="221" customFormat="1" ht="12.75" x14ac:dyDescent="0.2">
      <c r="B2364" s="1168"/>
    </row>
    <row r="2365" spans="2:2" s="221" customFormat="1" ht="12.75" x14ac:dyDescent="0.2">
      <c r="B2365" s="1168"/>
    </row>
    <row r="2366" spans="2:2" s="221" customFormat="1" ht="12.75" x14ac:dyDescent="0.2">
      <c r="B2366" s="1168"/>
    </row>
    <row r="2367" spans="2:2" s="221" customFormat="1" ht="12.75" x14ac:dyDescent="0.2">
      <c r="B2367" s="1168"/>
    </row>
    <row r="2368" spans="2:2" s="221" customFormat="1" ht="12.75" x14ac:dyDescent="0.2">
      <c r="B2368" s="1168"/>
    </row>
    <row r="2369" spans="2:2" s="221" customFormat="1" ht="12.75" x14ac:dyDescent="0.2">
      <c r="B2369" s="1168"/>
    </row>
    <row r="2370" spans="2:2" s="221" customFormat="1" ht="12.75" x14ac:dyDescent="0.2">
      <c r="B2370" s="1168"/>
    </row>
    <row r="2371" spans="2:2" s="221" customFormat="1" ht="12.75" x14ac:dyDescent="0.2">
      <c r="B2371" s="1168"/>
    </row>
    <row r="2372" spans="2:2" s="221" customFormat="1" ht="12.75" x14ac:dyDescent="0.2">
      <c r="B2372" s="1168"/>
    </row>
    <row r="2373" spans="2:2" s="221" customFormat="1" ht="12.75" x14ac:dyDescent="0.2">
      <c r="B2373" s="1168"/>
    </row>
    <row r="2374" spans="2:2" s="221" customFormat="1" ht="12.75" x14ac:dyDescent="0.2">
      <c r="B2374" s="1168"/>
    </row>
    <row r="2375" spans="2:2" s="221" customFormat="1" ht="12.75" x14ac:dyDescent="0.2">
      <c r="B2375" s="1168"/>
    </row>
    <row r="2376" spans="2:2" s="221" customFormat="1" ht="12.75" x14ac:dyDescent="0.2">
      <c r="B2376" s="1168"/>
    </row>
    <row r="2377" spans="2:2" s="221" customFormat="1" ht="12.75" x14ac:dyDescent="0.2">
      <c r="B2377" s="1168"/>
    </row>
    <row r="2378" spans="2:2" s="221" customFormat="1" ht="12.75" x14ac:dyDescent="0.2">
      <c r="B2378" s="1168"/>
    </row>
    <row r="2379" spans="2:2" s="221" customFormat="1" ht="12.75" x14ac:dyDescent="0.2">
      <c r="B2379" s="1168"/>
    </row>
    <row r="2380" spans="2:2" s="221" customFormat="1" ht="12.75" x14ac:dyDescent="0.2">
      <c r="B2380" s="1168"/>
    </row>
    <row r="2381" spans="2:2" s="221" customFormat="1" ht="12.75" x14ac:dyDescent="0.2">
      <c r="B2381" s="1168"/>
    </row>
    <row r="2382" spans="2:2" s="221" customFormat="1" ht="12.75" x14ac:dyDescent="0.2">
      <c r="B2382" s="1168"/>
    </row>
    <row r="2383" spans="2:2" s="221" customFormat="1" ht="12.75" x14ac:dyDescent="0.2">
      <c r="B2383" s="1168"/>
    </row>
    <row r="2384" spans="2:2" s="221" customFormat="1" ht="12.75" x14ac:dyDescent="0.2">
      <c r="B2384" s="1168"/>
    </row>
    <row r="2385" spans="2:2" s="221" customFormat="1" ht="12.75" x14ac:dyDescent="0.2">
      <c r="B2385" s="1168"/>
    </row>
    <row r="2386" spans="2:2" s="221" customFormat="1" ht="12.75" x14ac:dyDescent="0.2">
      <c r="B2386" s="1168"/>
    </row>
    <row r="2387" spans="2:2" s="221" customFormat="1" ht="12.75" x14ac:dyDescent="0.2">
      <c r="B2387" s="1168"/>
    </row>
    <row r="2388" spans="2:2" s="221" customFormat="1" ht="12.75" x14ac:dyDescent="0.2">
      <c r="B2388" s="1168"/>
    </row>
    <row r="2389" spans="2:2" s="221" customFormat="1" ht="12.75" x14ac:dyDescent="0.2">
      <c r="B2389" s="1168"/>
    </row>
    <row r="2390" spans="2:2" s="221" customFormat="1" ht="12.75" x14ac:dyDescent="0.2">
      <c r="B2390" s="1168"/>
    </row>
    <row r="2391" spans="2:2" s="221" customFormat="1" ht="12.75" x14ac:dyDescent="0.2">
      <c r="B2391" s="1168"/>
    </row>
    <row r="2392" spans="2:2" s="221" customFormat="1" ht="12.75" x14ac:dyDescent="0.2">
      <c r="B2392" s="1168"/>
    </row>
    <row r="2393" spans="2:2" s="221" customFormat="1" ht="12.75" x14ac:dyDescent="0.2">
      <c r="B2393" s="1168"/>
    </row>
    <row r="2394" spans="2:2" s="221" customFormat="1" ht="12.75" x14ac:dyDescent="0.2">
      <c r="B2394" s="1168"/>
    </row>
    <row r="2395" spans="2:2" s="221" customFormat="1" ht="12.75" x14ac:dyDescent="0.2">
      <c r="B2395" s="1168"/>
    </row>
    <row r="2396" spans="2:2" s="221" customFormat="1" ht="12.75" x14ac:dyDescent="0.2">
      <c r="B2396" s="1168"/>
    </row>
    <row r="2397" spans="2:2" s="221" customFormat="1" ht="12.75" x14ac:dyDescent="0.2">
      <c r="B2397" s="1168"/>
    </row>
    <row r="2398" spans="2:2" s="221" customFormat="1" ht="12.75" x14ac:dyDescent="0.2">
      <c r="B2398" s="1168"/>
    </row>
    <row r="2399" spans="2:2" s="221" customFormat="1" ht="12.75" x14ac:dyDescent="0.2">
      <c r="B2399" s="1168"/>
    </row>
    <row r="2400" spans="2:2" s="221" customFormat="1" ht="12.75" x14ac:dyDescent="0.2">
      <c r="B2400" s="1168"/>
    </row>
    <row r="2401" spans="2:2" s="221" customFormat="1" ht="12.75" x14ac:dyDescent="0.2">
      <c r="B2401" s="1168"/>
    </row>
    <row r="2402" spans="2:2" s="221" customFormat="1" ht="12.75" x14ac:dyDescent="0.2">
      <c r="B2402" s="1168"/>
    </row>
    <row r="2403" spans="2:2" s="221" customFormat="1" ht="12.75" x14ac:dyDescent="0.2">
      <c r="B2403" s="1168"/>
    </row>
    <row r="2404" spans="2:2" s="221" customFormat="1" ht="12.75" x14ac:dyDescent="0.2">
      <c r="B2404" s="1168"/>
    </row>
    <row r="2405" spans="2:2" s="221" customFormat="1" ht="12.75" x14ac:dyDescent="0.2">
      <c r="B2405" s="1168"/>
    </row>
    <row r="2406" spans="2:2" s="221" customFormat="1" ht="12.75" x14ac:dyDescent="0.2">
      <c r="B2406" s="1168"/>
    </row>
    <row r="2407" spans="2:2" s="221" customFormat="1" ht="12.75" x14ac:dyDescent="0.2">
      <c r="B2407" s="1168"/>
    </row>
    <row r="2408" spans="2:2" s="221" customFormat="1" ht="12.75" x14ac:dyDescent="0.2">
      <c r="B2408" s="1168"/>
    </row>
    <row r="2409" spans="2:2" s="221" customFormat="1" ht="12.75" x14ac:dyDescent="0.2">
      <c r="B2409" s="1168"/>
    </row>
    <row r="2410" spans="2:2" s="221" customFormat="1" ht="12.75" x14ac:dyDescent="0.2">
      <c r="B2410" s="1168"/>
    </row>
    <row r="2411" spans="2:2" s="221" customFormat="1" ht="12.75" x14ac:dyDescent="0.2">
      <c r="B2411" s="1168"/>
    </row>
    <row r="2412" spans="2:2" s="221" customFormat="1" ht="12.75" x14ac:dyDescent="0.2">
      <c r="B2412" s="1168"/>
    </row>
    <row r="2413" spans="2:2" s="221" customFormat="1" ht="12.75" x14ac:dyDescent="0.2">
      <c r="B2413" s="1168"/>
    </row>
    <row r="2414" spans="2:2" s="221" customFormat="1" ht="12.75" x14ac:dyDescent="0.2">
      <c r="B2414" s="1168"/>
    </row>
    <row r="2415" spans="2:2" s="221" customFormat="1" ht="12.75" x14ac:dyDescent="0.2">
      <c r="B2415" s="1168"/>
    </row>
    <row r="2416" spans="2:2" s="221" customFormat="1" ht="12.75" x14ac:dyDescent="0.2">
      <c r="B2416" s="1168"/>
    </row>
    <row r="2417" spans="2:2" s="221" customFormat="1" ht="12.75" x14ac:dyDescent="0.2">
      <c r="B2417" s="1168"/>
    </row>
    <row r="2418" spans="2:2" s="221" customFormat="1" ht="12.75" x14ac:dyDescent="0.2">
      <c r="B2418" s="1168"/>
    </row>
    <row r="2419" spans="2:2" s="221" customFormat="1" ht="12.75" x14ac:dyDescent="0.2">
      <c r="B2419" s="1168"/>
    </row>
    <row r="2420" spans="2:2" s="221" customFormat="1" ht="12.75" x14ac:dyDescent="0.2">
      <c r="B2420" s="1168"/>
    </row>
    <row r="2421" spans="2:2" s="221" customFormat="1" ht="12.75" x14ac:dyDescent="0.2">
      <c r="B2421" s="1168"/>
    </row>
    <row r="2422" spans="2:2" s="221" customFormat="1" ht="12.75" x14ac:dyDescent="0.2">
      <c r="B2422" s="1168"/>
    </row>
    <row r="2423" spans="2:2" s="221" customFormat="1" ht="12.75" x14ac:dyDescent="0.2">
      <c r="B2423" s="1168"/>
    </row>
    <row r="2424" spans="2:2" s="221" customFormat="1" ht="12.75" x14ac:dyDescent="0.2">
      <c r="B2424" s="1168"/>
    </row>
    <row r="2425" spans="2:2" s="221" customFormat="1" ht="12.75" x14ac:dyDescent="0.2">
      <c r="B2425" s="1168"/>
    </row>
    <row r="2426" spans="2:2" s="221" customFormat="1" ht="12.75" x14ac:dyDescent="0.2">
      <c r="B2426" s="1168"/>
    </row>
    <row r="2427" spans="2:2" s="221" customFormat="1" ht="12.75" x14ac:dyDescent="0.2">
      <c r="B2427" s="1168"/>
    </row>
    <row r="2428" spans="2:2" s="221" customFormat="1" ht="12.75" x14ac:dyDescent="0.2">
      <c r="B2428" s="1168"/>
    </row>
    <row r="2429" spans="2:2" s="221" customFormat="1" ht="12.75" x14ac:dyDescent="0.2">
      <c r="B2429" s="1168"/>
    </row>
    <row r="2430" spans="2:2" s="221" customFormat="1" ht="12.75" x14ac:dyDescent="0.2">
      <c r="B2430" s="1168"/>
    </row>
    <row r="2431" spans="2:2" s="221" customFormat="1" ht="12.75" x14ac:dyDescent="0.2">
      <c r="B2431" s="1168"/>
    </row>
    <row r="2432" spans="2:2" s="221" customFormat="1" ht="12.75" x14ac:dyDescent="0.2">
      <c r="B2432" s="1168"/>
    </row>
    <row r="2433" spans="2:2" s="221" customFormat="1" ht="12.75" x14ac:dyDescent="0.2">
      <c r="B2433" s="1168"/>
    </row>
    <row r="2434" spans="2:2" s="221" customFormat="1" ht="12.75" x14ac:dyDescent="0.2">
      <c r="B2434" s="1168"/>
    </row>
    <row r="2435" spans="2:2" s="221" customFormat="1" ht="12.75" x14ac:dyDescent="0.2">
      <c r="B2435" s="1168"/>
    </row>
    <row r="2436" spans="2:2" s="221" customFormat="1" ht="12.75" x14ac:dyDescent="0.2">
      <c r="B2436" s="1168"/>
    </row>
    <row r="2437" spans="2:2" s="221" customFormat="1" ht="12.75" x14ac:dyDescent="0.2">
      <c r="B2437" s="1168"/>
    </row>
    <row r="2438" spans="2:2" s="221" customFormat="1" ht="12.75" x14ac:dyDescent="0.2">
      <c r="B2438" s="1168"/>
    </row>
    <row r="2439" spans="2:2" s="221" customFormat="1" ht="12.75" x14ac:dyDescent="0.2">
      <c r="B2439" s="1168"/>
    </row>
    <row r="2440" spans="2:2" s="221" customFormat="1" ht="12.75" x14ac:dyDescent="0.2">
      <c r="B2440" s="1168"/>
    </row>
    <row r="2441" spans="2:2" s="221" customFormat="1" ht="12.75" x14ac:dyDescent="0.2">
      <c r="B2441" s="1168"/>
    </row>
    <row r="2442" spans="2:2" s="221" customFormat="1" ht="12.75" x14ac:dyDescent="0.2">
      <c r="B2442" s="1168"/>
    </row>
    <row r="2443" spans="2:2" s="221" customFormat="1" ht="12.75" x14ac:dyDescent="0.2">
      <c r="B2443" s="1168"/>
    </row>
    <row r="2444" spans="2:2" s="221" customFormat="1" ht="12.75" x14ac:dyDescent="0.2">
      <c r="B2444" s="1168"/>
    </row>
    <row r="2445" spans="2:2" s="221" customFormat="1" ht="12.75" x14ac:dyDescent="0.2">
      <c r="B2445" s="1168"/>
    </row>
    <row r="2446" spans="2:2" s="221" customFormat="1" ht="12.75" x14ac:dyDescent="0.2">
      <c r="B2446" s="1168"/>
    </row>
    <row r="2447" spans="2:2" s="221" customFormat="1" ht="12.75" x14ac:dyDescent="0.2">
      <c r="B2447" s="1168"/>
    </row>
    <row r="2448" spans="2:2" s="221" customFormat="1" ht="12.75" x14ac:dyDescent="0.2">
      <c r="B2448" s="1168"/>
    </row>
    <row r="2449" spans="2:2" s="221" customFormat="1" ht="12.75" x14ac:dyDescent="0.2">
      <c r="B2449" s="1168"/>
    </row>
    <row r="2450" spans="2:2" s="221" customFormat="1" ht="12.75" x14ac:dyDescent="0.2">
      <c r="B2450" s="1168"/>
    </row>
    <row r="2451" spans="2:2" s="221" customFormat="1" ht="12.75" x14ac:dyDescent="0.2">
      <c r="B2451" s="1168"/>
    </row>
    <row r="2452" spans="2:2" s="221" customFormat="1" ht="12.75" x14ac:dyDescent="0.2">
      <c r="B2452" s="1168"/>
    </row>
    <row r="2453" spans="2:2" s="221" customFormat="1" ht="12.75" x14ac:dyDescent="0.2">
      <c r="B2453" s="1168"/>
    </row>
    <row r="2454" spans="2:2" s="221" customFormat="1" ht="12.75" x14ac:dyDescent="0.2">
      <c r="B2454" s="1168"/>
    </row>
    <row r="2455" spans="2:2" s="221" customFormat="1" ht="12.75" x14ac:dyDescent="0.2">
      <c r="B2455" s="1168"/>
    </row>
    <row r="2456" spans="2:2" s="221" customFormat="1" ht="12.75" x14ac:dyDescent="0.2">
      <c r="B2456" s="1168"/>
    </row>
    <row r="2457" spans="2:2" s="221" customFormat="1" ht="12.75" x14ac:dyDescent="0.2">
      <c r="B2457" s="1168"/>
    </row>
    <row r="2458" spans="2:2" s="221" customFormat="1" ht="12.75" x14ac:dyDescent="0.2">
      <c r="B2458" s="1168"/>
    </row>
    <row r="2459" spans="2:2" s="221" customFormat="1" ht="12.75" x14ac:dyDescent="0.2">
      <c r="B2459" s="1168"/>
    </row>
    <row r="2460" spans="2:2" s="221" customFormat="1" ht="12.75" x14ac:dyDescent="0.2">
      <c r="B2460" s="1168"/>
    </row>
    <row r="2461" spans="2:2" s="221" customFormat="1" ht="12.75" x14ac:dyDescent="0.2">
      <c r="B2461" s="1168"/>
    </row>
    <row r="2462" spans="2:2" s="221" customFormat="1" ht="12.75" x14ac:dyDescent="0.2">
      <c r="B2462" s="1168"/>
    </row>
    <row r="2463" spans="2:2" s="221" customFormat="1" ht="12.75" x14ac:dyDescent="0.2">
      <c r="B2463" s="1168"/>
    </row>
    <row r="2464" spans="2:2" s="221" customFormat="1" ht="12.75" x14ac:dyDescent="0.2">
      <c r="B2464" s="1168"/>
    </row>
    <row r="2465" spans="2:2" s="221" customFormat="1" ht="12.75" x14ac:dyDescent="0.2">
      <c r="B2465" s="1168"/>
    </row>
    <row r="2466" spans="2:2" s="221" customFormat="1" ht="12.75" x14ac:dyDescent="0.2">
      <c r="B2466" s="1168"/>
    </row>
    <row r="2467" spans="2:2" s="221" customFormat="1" ht="12.75" x14ac:dyDescent="0.2">
      <c r="B2467" s="1168"/>
    </row>
    <row r="2468" spans="2:2" s="221" customFormat="1" ht="12.75" x14ac:dyDescent="0.2">
      <c r="B2468" s="1168"/>
    </row>
    <row r="2469" spans="2:2" s="221" customFormat="1" ht="12.75" x14ac:dyDescent="0.2">
      <c r="B2469" s="1168"/>
    </row>
    <row r="2470" spans="2:2" s="221" customFormat="1" ht="12.75" x14ac:dyDescent="0.2">
      <c r="B2470" s="1168"/>
    </row>
    <row r="2471" spans="2:2" s="221" customFormat="1" ht="12.75" x14ac:dyDescent="0.2">
      <c r="B2471" s="1168"/>
    </row>
    <row r="2472" spans="2:2" s="221" customFormat="1" ht="12.75" x14ac:dyDescent="0.2">
      <c r="B2472" s="1168"/>
    </row>
    <row r="2473" spans="2:2" s="221" customFormat="1" ht="12.75" x14ac:dyDescent="0.2">
      <c r="B2473" s="1168"/>
    </row>
    <row r="2474" spans="2:2" s="221" customFormat="1" ht="12.75" x14ac:dyDescent="0.2">
      <c r="B2474" s="1168"/>
    </row>
    <row r="2475" spans="2:2" s="221" customFormat="1" ht="12.75" x14ac:dyDescent="0.2">
      <c r="B2475" s="1168"/>
    </row>
    <row r="2476" spans="2:2" s="221" customFormat="1" ht="12.75" x14ac:dyDescent="0.2">
      <c r="B2476" s="1168"/>
    </row>
    <row r="2477" spans="2:2" s="221" customFormat="1" ht="12.75" x14ac:dyDescent="0.2">
      <c r="B2477" s="1168"/>
    </row>
    <row r="2478" spans="2:2" s="221" customFormat="1" ht="12.75" x14ac:dyDescent="0.2">
      <c r="B2478" s="1168"/>
    </row>
    <row r="2479" spans="2:2" s="221" customFormat="1" ht="12.75" x14ac:dyDescent="0.2">
      <c r="B2479" s="1168"/>
    </row>
    <row r="2480" spans="2:2" s="221" customFormat="1" ht="12.75" x14ac:dyDescent="0.2">
      <c r="B2480" s="1168"/>
    </row>
    <row r="2481" spans="2:2" s="221" customFormat="1" ht="12.75" x14ac:dyDescent="0.2">
      <c r="B2481" s="1168"/>
    </row>
    <row r="2482" spans="2:2" s="221" customFormat="1" ht="12.75" x14ac:dyDescent="0.2">
      <c r="B2482" s="1168"/>
    </row>
    <row r="2483" spans="2:2" s="221" customFormat="1" ht="12.75" x14ac:dyDescent="0.2">
      <c r="B2483" s="1168"/>
    </row>
    <row r="2484" spans="2:2" s="221" customFormat="1" ht="12.75" x14ac:dyDescent="0.2">
      <c r="B2484" s="1168"/>
    </row>
    <row r="2485" spans="2:2" s="221" customFormat="1" ht="12.75" x14ac:dyDescent="0.2">
      <c r="B2485" s="1168"/>
    </row>
    <row r="2486" spans="2:2" s="221" customFormat="1" ht="12.75" x14ac:dyDescent="0.2">
      <c r="B2486" s="1168"/>
    </row>
    <row r="2487" spans="2:2" s="221" customFormat="1" ht="12.75" x14ac:dyDescent="0.2">
      <c r="B2487" s="1168"/>
    </row>
    <row r="2488" spans="2:2" s="221" customFormat="1" ht="12.75" x14ac:dyDescent="0.2">
      <c r="B2488" s="1168"/>
    </row>
    <row r="2489" spans="2:2" s="221" customFormat="1" ht="12.75" x14ac:dyDescent="0.2">
      <c r="B2489" s="1168"/>
    </row>
    <row r="2490" spans="2:2" s="221" customFormat="1" ht="12.75" x14ac:dyDescent="0.2">
      <c r="B2490" s="1168"/>
    </row>
    <row r="2491" spans="2:2" s="221" customFormat="1" ht="12.75" x14ac:dyDescent="0.2">
      <c r="B2491" s="1168"/>
    </row>
    <row r="2492" spans="2:2" s="221" customFormat="1" ht="12.75" x14ac:dyDescent="0.2">
      <c r="B2492" s="1168"/>
    </row>
    <row r="2493" spans="2:2" s="221" customFormat="1" ht="12.75" x14ac:dyDescent="0.2">
      <c r="B2493" s="1168"/>
    </row>
    <row r="2494" spans="2:2" s="221" customFormat="1" ht="12.75" x14ac:dyDescent="0.2">
      <c r="B2494" s="1168"/>
    </row>
    <row r="2495" spans="2:2" s="221" customFormat="1" ht="12.75" x14ac:dyDescent="0.2">
      <c r="B2495" s="1168"/>
    </row>
    <row r="2496" spans="2:2" s="221" customFormat="1" ht="12.75" x14ac:dyDescent="0.2">
      <c r="B2496" s="1168"/>
    </row>
    <row r="2497" spans="2:2" s="221" customFormat="1" ht="12.75" x14ac:dyDescent="0.2">
      <c r="B2497" s="1168"/>
    </row>
    <row r="2498" spans="2:2" s="221" customFormat="1" ht="12.75" x14ac:dyDescent="0.2">
      <c r="B2498" s="1168"/>
    </row>
    <row r="2499" spans="2:2" s="221" customFormat="1" ht="12.75" x14ac:dyDescent="0.2">
      <c r="B2499" s="1168"/>
    </row>
    <row r="2500" spans="2:2" s="221" customFormat="1" ht="12.75" x14ac:dyDescent="0.2">
      <c r="B2500" s="1168"/>
    </row>
    <row r="2501" spans="2:2" s="221" customFormat="1" ht="12.75" x14ac:dyDescent="0.2">
      <c r="B2501" s="1168"/>
    </row>
    <row r="2502" spans="2:2" s="221" customFormat="1" ht="12.75" x14ac:dyDescent="0.2">
      <c r="B2502" s="1168"/>
    </row>
    <row r="2503" spans="2:2" s="221" customFormat="1" ht="12.75" x14ac:dyDescent="0.2">
      <c r="B2503" s="1168"/>
    </row>
    <row r="2504" spans="2:2" s="221" customFormat="1" ht="12.75" x14ac:dyDescent="0.2">
      <c r="B2504" s="1168"/>
    </row>
    <row r="2505" spans="2:2" s="221" customFormat="1" ht="12.75" x14ac:dyDescent="0.2">
      <c r="B2505" s="1168"/>
    </row>
    <row r="2506" spans="2:2" s="221" customFormat="1" ht="12.75" x14ac:dyDescent="0.2">
      <c r="B2506" s="1168"/>
    </row>
    <row r="2507" spans="2:2" s="221" customFormat="1" ht="12.75" x14ac:dyDescent="0.2">
      <c r="B2507" s="1168"/>
    </row>
    <row r="2508" spans="2:2" s="221" customFormat="1" ht="12.75" x14ac:dyDescent="0.2">
      <c r="B2508" s="1168"/>
    </row>
    <row r="2509" spans="2:2" s="221" customFormat="1" ht="12.75" x14ac:dyDescent="0.2">
      <c r="B2509" s="1168"/>
    </row>
    <row r="2510" spans="2:2" s="221" customFormat="1" ht="12.75" x14ac:dyDescent="0.2">
      <c r="B2510" s="1168"/>
    </row>
    <row r="2511" spans="2:2" s="221" customFormat="1" ht="12.75" x14ac:dyDescent="0.2">
      <c r="B2511" s="1168"/>
    </row>
    <row r="2512" spans="2:2" s="221" customFormat="1" ht="12.75" x14ac:dyDescent="0.2">
      <c r="B2512" s="1168"/>
    </row>
    <row r="2513" spans="2:2" s="221" customFormat="1" ht="12.75" x14ac:dyDescent="0.2">
      <c r="B2513" s="1168"/>
    </row>
    <row r="2514" spans="2:2" s="221" customFormat="1" ht="12.75" x14ac:dyDescent="0.2">
      <c r="B2514" s="1168"/>
    </row>
    <row r="2515" spans="2:2" s="221" customFormat="1" ht="12.75" x14ac:dyDescent="0.2">
      <c r="B2515" s="1168"/>
    </row>
    <row r="2516" spans="2:2" s="221" customFormat="1" ht="12.75" x14ac:dyDescent="0.2">
      <c r="B2516" s="1168"/>
    </row>
    <row r="2517" spans="2:2" s="221" customFormat="1" ht="12.75" x14ac:dyDescent="0.2">
      <c r="B2517" s="1168"/>
    </row>
    <row r="2518" spans="2:2" s="221" customFormat="1" ht="12.75" x14ac:dyDescent="0.2">
      <c r="B2518" s="1168"/>
    </row>
    <row r="2519" spans="2:2" s="221" customFormat="1" ht="12.75" x14ac:dyDescent="0.2">
      <c r="B2519" s="1168"/>
    </row>
    <row r="2520" spans="2:2" s="221" customFormat="1" ht="12.75" x14ac:dyDescent="0.2">
      <c r="B2520" s="1168"/>
    </row>
    <row r="2521" spans="2:2" s="221" customFormat="1" ht="12.75" x14ac:dyDescent="0.2">
      <c r="B2521" s="1168"/>
    </row>
    <row r="2522" spans="2:2" s="221" customFormat="1" ht="12.75" x14ac:dyDescent="0.2">
      <c r="B2522" s="1168"/>
    </row>
    <row r="2523" spans="2:2" s="221" customFormat="1" ht="12.75" x14ac:dyDescent="0.2">
      <c r="B2523" s="1168"/>
    </row>
    <row r="2524" spans="2:2" s="221" customFormat="1" ht="12.75" x14ac:dyDescent="0.2">
      <c r="B2524" s="1168"/>
    </row>
    <row r="2525" spans="2:2" s="221" customFormat="1" ht="12.75" x14ac:dyDescent="0.2">
      <c r="B2525" s="1168"/>
    </row>
    <row r="2526" spans="2:2" s="221" customFormat="1" ht="12.75" x14ac:dyDescent="0.2">
      <c r="B2526" s="1168"/>
    </row>
    <row r="2527" spans="2:2" s="221" customFormat="1" ht="12.75" x14ac:dyDescent="0.2">
      <c r="B2527" s="1168"/>
    </row>
    <row r="2528" spans="2:2" s="221" customFormat="1" ht="12.75" x14ac:dyDescent="0.2">
      <c r="B2528" s="1168"/>
    </row>
    <row r="2529" spans="2:2" s="221" customFormat="1" ht="12.75" x14ac:dyDescent="0.2">
      <c r="B2529" s="1168"/>
    </row>
    <row r="2530" spans="2:2" s="221" customFormat="1" ht="12.75" x14ac:dyDescent="0.2">
      <c r="B2530" s="1168"/>
    </row>
    <row r="2531" spans="2:2" s="221" customFormat="1" ht="12.75" x14ac:dyDescent="0.2">
      <c r="B2531" s="1168"/>
    </row>
    <row r="2532" spans="2:2" s="221" customFormat="1" ht="12.75" x14ac:dyDescent="0.2">
      <c r="B2532" s="1168"/>
    </row>
    <row r="2533" spans="2:2" s="221" customFormat="1" ht="12.75" x14ac:dyDescent="0.2">
      <c r="B2533" s="1168"/>
    </row>
    <row r="2534" spans="2:2" s="221" customFormat="1" ht="12.75" x14ac:dyDescent="0.2">
      <c r="B2534" s="1168"/>
    </row>
    <row r="2535" spans="2:2" s="221" customFormat="1" ht="12.75" x14ac:dyDescent="0.2">
      <c r="B2535" s="1168"/>
    </row>
    <row r="2536" spans="2:2" s="221" customFormat="1" ht="12.75" x14ac:dyDescent="0.2">
      <c r="B2536" s="1168"/>
    </row>
    <row r="2537" spans="2:2" s="221" customFormat="1" ht="12.75" x14ac:dyDescent="0.2">
      <c r="B2537" s="1168"/>
    </row>
    <row r="2538" spans="2:2" s="221" customFormat="1" ht="12.75" x14ac:dyDescent="0.2">
      <c r="B2538" s="1168"/>
    </row>
    <row r="2539" spans="2:2" s="221" customFormat="1" ht="12.75" x14ac:dyDescent="0.2">
      <c r="B2539" s="1168"/>
    </row>
    <row r="2540" spans="2:2" s="221" customFormat="1" ht="12.75" x14ac:dyDescent="0.2">
      <c r="B2540" s="1168"/>
    </row>
    <row r="2541" spans="2:2" s="221" customFormat="1" ht="12.75" x14ac:dyDescent="0.2">
      <c r="B2541" s="1168"/>
    </row>
    <row r="2542" spans="2:2" s="221" customFormat="1" ht="12.75" x14ac:dyDescent="0.2">
      <c r="B2542" s="1168"/>
    </row>
    <row r="2543" spans="2:2" s="221" customFormat="1" ht="12.75" x14ac:dyDescent="0.2">
      <c r="B2543" s="1168"/>
    </row>
    <row r="2544" spans="2:2" s="221" customFormat="1" ht="12.75" x14ac:dyDescent="0.2">
      <c r="B2544" s="1168"/>
    </row>
    <row r="2545" spans="2:2" s="221" customFormat="1" ht="12.75" x14ac:dyDescent="0.2">
      <c r="B2545" s="1168"/>
    </row>
    <row r="2546" spans="2:2" s="221" customFormat="1" ht="12.75" x14ac:dyDescent="0.2">
      <c r="B2546" s="1168"/>
    </row>
    <row r="2547" spans="2:2" s="221" customFormat="1" ht="12.75" x14ac:dyDescent="0.2">
      <c r="B2547" s="1168"/>
    </row>
    <row r="2548" spans="2:2" s="221" customFormat="1" ht="12.75" x14ac:dyDescent="0.2">
      <c r="B2548" s="1168"/>
    </row>
    <row r="2549" spans="2:2" s="221" customFormat="1" ht="12.75" x14ac:dyDescent="0.2">
      <c r="B2549" s="1168"/>
    </row>
    <row r="2550" spans="2:2" s="221" customFormat="1" ht="12.75" x14ac:dyDescent="0.2">
      <c r="B2550" s="1168"/>
    </row>
    <row r="2551" spans="2:2" s="221" customFormat="1" ht="12.75" x14ac:dyDescent="0.2">
      <c r="B2551" s="1168"/>
    </row>
    <row r="2552" spans="2:2" s="221" customFormat="1" ht="12.75" x14ac:dyDescent="0.2">
      <c r="B2552" s="1168"/>
    </row>
    <row r="2553" spans="2:2" s="221" customFormat="1" ht="12.75" x14ac:dyDescent="0.2">
      <c r="B2553" s="1168"/>
    </row>
    <row r="2554" spans="2:2" s="221" customFormat="1" ht="12.75" x14ac:dyDescent="0.2">
      <c r="B2554" s="1168"/>
    </row>
    <row r="2555" spans="2:2" s="221" customFormat="1" ht="12.75" x14ac:dyDescent="0.2">
      <c r="B2555" s="1168"/>
    </row>
    <row r="2556" spans="2:2" s="221" customFormat="1" ht="12.75" x14ac:dyDescent="0.2">
      <c r="B2556" s="1168"/>
    </row>
    <row r="2557" spans="2:2" s="221" customFormat="1" ht="12.75" x14ac:dyDescent="0.2">
      <c r="B2557" s="1168"/>
    </row>
    <row r="2558" spans="2:2" s="221" customFormat="1" ht="12.75" x14ac:dyDescent="0.2">
      <c r="B2558" s="1168"/>
    </row>
    <row r="2559" spans="2:2" s="221" customFormat="1" ht="12.75" x14ac:dyDescent="0.2">
      <c r="B2559" s="1168"/>
    </row>
    <row r="2560" spans="2:2" s="221" customFormat="1" ht="12.75" x14ac:dyDescent="0.2">
      <c r="B2560" s="1168"/>
    </row>
    <row r="2561" spans="2:2" s="221" customFormat="1" ht="12.75" x14ac:dyDescent="0.2">
      <c r="B2561" s="1168"/>
    </row>
    <row r="2562" spans="2:2" s="221" customFormat="1" ht="12.75" x14ac:dyDescent="0.2">
      <c r="B2562" s="1168"/>
    </row>
    <row r="2563" spans="2:2" s="221" customFormat="1" ht="12.75" x14ac:dyDescent="0.2">
      <c r="B2563" s="1168"/>
    </row>
    <row r="2564" spans="2:2" s="221" customFormat="1" ht="12.75" x14ac:dyDescent="0.2">
      <c r="B2564" s="1168"/>
    </row>
    <row r="2565" spans="2:2" s="221" customFormat="1" ht="12.75" x14ac:dyDescent="0.2">
      <c r="B2565" s="1168"/>
    </row>
    <row r="2566" spans="2:2" s="221" customFormat="1" ht="12.75" x14ac:dyDescent="0.2">
      <c r="B2566" s="1168"/>
    </row>
    <row r="2567" spans="2:2" s="221" customFormat="1" ht="12.75" x14ac:dyDescent="0.2">
      <c r="B2567" s="1168"/>
    </row>
    <row r="2568" spans="2:2" s="221" customFormat="1" ht="12.75" x14ac:dyDescent="0.2">
      <c r="B2568" s="1168"/>
    </row>
    <row r="2569" spans="2:2" s="221" customFormat="1" ht="12.75" x14ac:dyDescent="0.2">
      <c r="B2569" s="1168"/>
    </row>
    <row r="2570" spans="2:2" s="221" customFormat="1" ht="12.75" x14ac:dyDescent="0.2">
      <c r="B2570" s="1168"/>
    </row>
    <row r="2571" spans="2:2" s="221" customFormat="1" ht="12.75" x14ac:dyDescent="0.2">
      <c r="B2571" s="1168"/>
    </row>
    <row r="2572" spans="2:2" s="221" customFormat="1" ht="12.75" x14ac:dyDescent="0.2">
      <c r="B2572" s="1168"/>
    </row>
    <row r="2573" spans="2:2" s="221" customFormat="1" ht="12.75" x14ac:dyDescent="0.2">
      <c r="B2573" s="1168"/>
    </row>
    <row r="2574" spans="2:2" s="221" customFormat="1" ht="12.75" x14ac:dyDescent="0.2">
      <c r="B2574" s="1168"/>
    </row>
    <row r="2575" spans="2:2" s="221" customFormat="1" ht="12.75" x14ac:dyDescent="0.2">
      <c r="B2575" s="1168"/>
    </row>
    <row r="2576" spans="2:2" s="221" customFormat="1" ht="12.75" x14ac:dyDescent="0.2">
      <c r="B2576" s="1168"/>
    </row>
    <row r="2577" spans="2:2" s="221" customFormat="1" ht="12.75" x14ac:dyDescent="0.2">
      <c r="B2577" s="1168"/>
    </row>
    <row r="2578" spans="2:2" s="221" customFormat="1" ht="12.75" x14ac:dyDescent="0.2">
      <c r="B2578" s="1168"/>
    </row>
    <row r="2579" spans="2:2" s="221" customFormat="1" ht="12.75" x14ac:dyDescent="0.2">
      <c r="B2579" s="1168"/>
    </row>
    <row r="2580" spans="2:2" s="221" customFormat="1" ht="12.75" x14ac:dyDescent="0.2">
      <c r="B2580" s="1168"/>
    </row>
    <row r="2581" spans="2:2" s="221" customFormat="1" ht="12.75" x14ac:dyDescent="0.2">
      <c r="B2581" s="1168"/>
    </row>
    <row r="2582" spans="2:2" s="221" customFormat="1" ht="12.75" x14ac:dyDescent="0.2">
      <c r="B2582" s="1168"/>
    </row>
    <row r="2583" spans="2:2" s="221" customFormat="1" ht="12.75" x14ac:dyDescent="0.2">
      <c r="B2583" s="1168"/>
    </row>
    <row r="2584" spans="2:2" s="221" customFormat="1" ht="12.75" x14ac:dyDescent="0.2">
      <c r="B2584" s="1168"/>
    </row>
    <row r="2585" spans="2:2" s="221" customFormat="1" ht="12.75" x14ac:dyDescent="0.2">
      <c r="B2585" s="1168"/>
    </row>
    <row r="2586" spans="2:2" s="221" customFormat="1" ht="12.75" x14ac:dyDescent="0.2">
      <c r="B2586" s="1168"/>
    </row>
    <row r="2587" spans="2:2" s="221" customFormat="1" ht="12.75" x14ac:dyDescent="0.2">
      <c r="B2587" s="1168"/>
    </row>
    <row r="2588" spans="2:2" s="221" customFormat="1" ht="12.75" x14ac:dyDescent="0.2">
      <c r="B2588" s="1168"/>
    </row>
    <row r="2589" spans="2:2" s="221" customFormat="1" ht="12.75" x14ac:dyDescent="0.2">
      <c r="B2589" s="1168"/>
    </row>
    <row r="2590" spans="2:2" s="221" customFormat="1" ht="12.75" x14ac:dyDescent="0.2">
      <c r="B2590" s="1168"/>
    </row>
    <row r="2591" spans="2:2" s="221" customFormat="1" ht="12.75" x14ac:dyDescent="0.2">
      <c r="B2591" s="1168"/>
    </row>
    <row r="2592" spans="2:2" s="221" customFormat="1" ht="12.75" x14ac:dyDescent="0.2">
      <c r="B2592" s="1168"/>
    </row>
    <row r="2593" spans="2:2" s="221" customFormat="1" ht="12.75" x14ac:dyDescent="0.2">
      <c r="B2593" s="1168"/>
    </row>
    <row r="2594" spans="2:2" s="221" customFormat="1" ht="12.75" x14ac:dyDescent="0.2">
      <c r="B2594" s="1168"/>
    </row>
    <row r="2595" spans="2:2" s="221" customFormat="1" ht="12.75" x14ac:dyDescent="0.2">
      <c r="B2595" s="1168"/>
    </row>
    <row r="2596" spans="2:2" s="221" customFormat="1" ht="12.75" x14ac:dyDescent="0.2">
      <c r="B2596" s="1168"/>
    </row>
    <row r="2597" spans="2:2" s="221" customFormat="1" ht="12.75" x14ac:dyDescent="0.2">
      <c r="B2597" s="1168"/>
    </row>
    <row r="2598" spans="2:2" s="221" customFormat="1" ht="12.75" x14ac:dyDescent="0.2">
      <c r="B2598" s="1168"/>
    </row>
    <row r="2599" spans="2:2" s="221" customFormat="1" ht="12.75" x14ac:dyDescent="0.2">
      <c r="B2599" s="1168"/>
    </row>
    <row r="2600" spans="2:2" s="221" customFormat="1" ht="12.75" x14ac:dyDescent="0.2">
      <c r="B2600" s="1168"/>
    </row>
    <row r="2601" spans="2:2" s="221" customFormat="1" ht="12.75" x14ac:dyDescent="0.2">
      <c r="B2601" s="1168"/>
    </row>
    <row r="2602" spans="2:2" s="221" customFormat="1" ht="12.75" x14ac:dyDescent="0.2">
      <c r="B2602" s="1168"/>
    </row>
    <row r="2603" spans="2:2" s="221" customFormat="1" ht="12.75" x14ac:dyDescent="0.2">
      <c r="B2603" s="1168"/>
    </row>
    <row r="2604" spans="2:2" s="221" customFormat="1" ht="12.75" x14ac:dyDescent="0.2">
      <c r="B2604" s="1168"/>
    </row>
    <row r="2605" spans="2:2" s="221" customFormat="1" ht="12.75" x14ac:dyDescent="0.2">
      <c r="B2605" s="1168"/>
    </row>
    <row r="2606" spans="2:2" s="221" customFormat="1" ht="12.75" x14ac:dyDescent="0.2">
      <c r="B2606" s="1168"/>
    </row>
    <row r="2607" spans="2:2" s="221" customFormat="1" ht="12.75" x14ac:dyDescent="0.2">
      <c r="B2607" s="1168"/>
    </row>
    <row r="2608" spans="2:2" s="221" customFormat="1" ht="12.75" x14ac:dyDescent="0.2">
      <c r="B2608" s="1168"/>
    </row>
    <row r="2609" spans="2:2" s="221" customFormat="1" ht="12.75" x14ac:dyDescent="0.2">
      <c r="B2609" s="1168"/>
    </row>
    <row r="2610" spans="2:2" s="221" customFormat="1" ht="12.75" x14ac:dyDescent="0.2">
      <c r="B2610" s="1168"/>
    </row>
    <row r="2611" spans="2:2" s="221" customFormat="1" ht="12.75" x14ac:dyDescent="0.2">
      <c r="B2611" s="1168"/>
    </row>
    <row r="2612" spans="2:2" s="221" customFormat="1" ht="12.75" x14ac:dyDescent="0.2">
      <c r="B2612" s="1168"/>
    </row>
    <row r="2613" spans="2:2" s="221" customFormat="1" ht="12.75" x14ac:dyDescent="0.2">
      <c r="B2613" s="1168"/>
    </row>
    <row r="2614" spans="2:2" s="221" customFormat="1" ht="12.75" x14ac:dyDescent="0.2">
      <c r="B2614" s="1168"/>
    </row>
    <row r="2615" spans="2:2" s="221" customFormat="1" ht="12.75" x14ac:dyDescent="0.2">
      <c r="B2615" s="1168"/>
    </row>
    <row r="2616" spans="2:2" s="221" customFormat="1" ht="12.75" x14ac:dyDescent="0.2">
      <c r="B2616" s="1168"/>
    </row>
    <row r="2617" spans="2:2" s="221" customFormat="1" ht="12.75" x14ac:dyDescent="0.2">
      <c r="B2617" s="1168"/>
    </row>
    <row r="2618" spans="2:2" s="221" customFormat="1" ht="12.75" x14ac:dyDescent="0.2">
      <c r="B2618" s="1168"/>
    </row>
    <row r="2619" spans="2:2" s="221" customFormat="1" ht="12.75" x14ac:dyDescent="0.2">
      <c r="B2619" s="1168"/>
    </row>
    <row r="2620" spans="2:2" s="221" customFormat="1" ht="12.75" x14ac:dyDescent="0.2">
      <c r="B2620" s="1168"/>
    </row>
    <row r="2621" spans="2:2" s="221" customFormat="1" ht="12.75" x14ac:dyDescent="0.2">
      <c r="B2621" s="1168"/>
    </row>
    <row r="2622" spans="2:2" s="221" customFormat="1" ht="12.75" x14ac:dyDescent="0.2">
      <c r="B2622" s="1168"/>
    </row>
    <row r="2623" spans="2:2" s="221" customFormat="1" ht="12.75" x14ac:dyDescent="0.2">
      <c r="B2623" s="1168"/>
    </row>
    <row r="2624" spans="2:2" s="221" customFormat="1" ht="12.75" x14ac:dyDescent="0.2">
      <c r="B2624" s="1168"/>
    </row>
    <row r="2625" spans="2:2" s="221" customFormat="1" ht="12.75" x14ac:dyDescent="0.2">
      <c r="B2625" s="1168"/>
    </row>
    <row r="2626" spans="2:2" s="221" customFormat="1" ht="12.75" x14ac:dyDescent="0.2">
      <c r="B2626" s="1168"/>
    </row>
    <row r="2627" spans="2:2" s="221" customFormat="1" ht="12.75" x14ac:dyDescent="0.2">
      <c r="B2627" s="1168"/>
    </row>
    <row r="2628" spans="2:2" s="221" customFormat="1" ht="12.75" x14ac:dyDescent="0.2">
      <c r="B2628" s="1168"/>
    </row>
    <row r="2629" spans="2:2" s="221" customFormat="1" ht="12.75" x14ac:dyDescent="0.2">
      <c r="B2629" s="1168"/>
    </row>
    <row r="2630" spans="2:2" s="221" customFormat="1" ht="12.75" x14ac:dyDescent="0.2">
      <c r="B2630" s="1168"/>
    </row>
    <row r="2631" spans="2:2" s="221" customFormat="1" ht="12.75" x14ac:dyDescent="0.2">
      <c r="B2631" s="1168"/>
    </row>
    <row r="2632" spans="2:2" s="221" customFormat="1" ht="12.75" x14ac:dyDescent="0.2">
      <c r="B2632" s="1168"/>
    </row>
    <row r="2633" spans="2:2" s="221" customFormat="1" ht="12.75" x14ac:dyDescent="0.2">
      <c r="B2633" s="1168"/>
    </row>
    <row r="2634" spans="2:2" s="221" customFormat="1" ht="12.75" x14ac:dyDescent="0.2">
      <c r="B2634" s="1168"/>
    </row>
    <row r="2635" spans="2:2" s="221" customFormat="1" ht="12.75" x14ac:dyDescent="0.2">
      <c r="B2635" s="1168"/>
    </row>
    <row r="2636" spans="2:2" s="221" customFormat="1" ht="12.75" x14ac:dyDescent="0.2">
      <c r="B2636" s="1168"/>
    </row>
    <row r="2637" spans="2:2" s="221" customFormat="1" ht="12.75" x14ac:dyDescent="0.2">
      <c r="B2637" s="1168"/>
    </row>
    <row r="2638" spans="2:2" s="221" customFormat="1" ht="12.75" x14ac:dyDescent="0.2">
      <c r="B2638" s="1168"/>
    </row>
    <row r="2639" spans="2:2" s="221" customFormat="1" ht="12.75" x14ac:dyDescent="0.2">
      <c r="B2639" s="1168"/>
    </row>
    <row r="2640" spans="2:2" s="221" customFormat="1" ht="12.75" x14ac:dyDescent="0.2">
      <c r="B2640" s="1168"/>
    </row>
    <row r="2641" spans="2:2" s="221" customFormat="1" ht="12.75" x14ac:dyDescent="0.2">
      <c r="B2641" s="1168"/>
    </row>
    <row r="2642" spans="2:2" s="221" customFormat="1" ht="12.75" x14ac:dyDescent="0.2">
      <c r="B2642" s="1168"/>
    </row>
    <row r="2643" spans="2:2" s="221" customFormat="1" ht="12.75" x14ac:dyDescent="0.2">
      <c r="B2643" s="1168"/>
    </row>
    <row r="2644" spans="2:2" s="221" customFormat="1" ht="12.75" x14ac:dyDescent="0.2">
      <c r="B2644" s="1168"/>
    </row>
    <row r="2645" spans="2:2" s="221" customFormat="1" ht="12.75" x14ac:dyDescent="0.2">
      <c r="B2645" s="1168"/>
    </row>
    <row r="2646" spans="2:2" s="221" customFormat="1" ht="12.75" x14ac:dyDescent="0.2">
      <c r="B2646" s="1168"/>
    </row>
    <row r="2647" spans="2:2" s="221" customFormat="1" ht="12.75" x14ac:dyDescent="0.2">
      <c r="B2647" s="1168"/>
    </row>
    <row r="2648" spans="2:2" s="221" customFormat="1" ht="12.75" x14ac:dyDescent="0.2">
      <c r="B2648" s="1168"/>
    </row>
    <row r="2649" spans="2:2" s="221" customFormat="1" ht="12.75" x14ac:dyDescent="0.2">
      <c r="B2649" s="1168"/>
    </row>
    <row r="2650" spans="2:2" s="221" customFormat="1" ht="12.75" x14ac:dyDescent="0.2">
      <c r="B2650" s="1168"/>
    </row>
    <row r="2651" spans="2:2" s="221" customFormat="1" ht="12.75" x14ac:dyDescent="0.2">
      <c r="B2651" s="1168"/>
    </row>
    <row r="2652" spans="2:2" s="221" customFormat="1" ht="12.75" x14ac:dyDescent="0.2">
      <c r="B2652" s="1168"/>
    </row>
    <row r="2653" spans="2:2" s="221" customFormat="1" ht="12.75" x14ac:dyDescent="0.2">
      <c r="B2653" s="1168"/>
    </row>
    <row r="2654" spans="2:2" s="221" customFormat="1" ht="12.75" x14ac:dyDescent="0.2">
      <c r="B2654" s="1168"/>
    </row>
    <row r="2655" spans="2:2" s="221" customFormat="1" ht="12.75" x14ac:dyDescent="0.2">
      <c r="B2655" s="1168"/>
    </row>
    <row r="2656" spans="2:2" s="221" customFormat="1" ht="12.75" x14ac:dyDescent="0.2">
      <c r="B2656" s="1168"/>
    </row>
    <row r="2657" spans="2:2" s="221" customFormat="1" ht="12.75" x14ac:dyDescent="0.2">
      <c r="B2657" s="1168"/>
    </row>
    <row r="2658" spans="2:2" s="221" customFormat="1" ht="12.75" x14ac:dyDescent="0.2">
      <c r="B2658" s="1168"/>
    </row>
    <row r="2659" spans="2:2" s="221" customFormat="1" ht="12.75" x14ac:dyDescent="0.2">
      <c r="B2659" s="1168"/>
    </row>
    <row r="2660" spans="2:2" s="221" customFormat="1" ht="12.75" x14ac:dyDescent="0.2">
      <c r="B2660" s="1168"/>
    </row>
    <row r="2661" spans="2:2" s="221" customFormat="1" ht="12.75" x14ac:dyDescent="0.2">
      <c r="B2661" s="1168"/>
    </row>
    <row r="2662" spans="2:2" s="221" customFormat="1" ht="12.75" x14ac:dyDescent="0.2">
      <c r="B2662" s="1168"/>
    </row>
    <row r="2663" spans="2:2" s="221" customFormat="1" ht="12.75" x14ac:dyDescent="0.2">
      <c r="B2663" s="1168"/>
    </row>
    <row r="2664" spans="2:2" s="221" customFormat="1" ht="12.75" x14ac:dyDescent="0.2">
      <c r="B2664" s="1168"/>
    </row>
    <row r="2665" spans="2:2" s="221" customFormat="1" ht="12.75" x14ac:dyDescent="0.2">
      <c r="B2665" s="1168"/>
    </row>
    <row r="2666" spans="2:2" s="221" customFormat="1" ht="12.75" x14ac:dyDescent="0.2">
      <c r="B2666" s="1168"/>
    </row>
    <row r="2667" spans="2:2" s="221" customFormat="1" ht="12.75" x14ac:dyDescent="0.2">
      <c r="B2667" s="1168"/>
    </row>
    <row r="2668" spans="2:2" s="221" customFormat="1" ht="12.75" x14ac:dyDescent="0.2">
      <c r="B2668" s="1168"/>
    </row>
    <row r="2669" spans="2:2" s="221" customFormat="1" ht="12.75" x14ac:dyDescent="0.2">
      <c r="B2669" s="1168"/>
    </row>
    <row r="2670" spans="2:2" s="221" customFormat="1" ht="12.75" x14ac:dyDescent="0.2">
      <c r="B2670" s="1168"/>
    </row>
    <row r="2671" spans="2:2" s="221" customFormat="1" ht="12.75" x14ac:dyDescent="0.2">
      <c r="B2671" s="1168"/>
    </row>
    <row r="2672" spans="2:2" s="221" customFormat="1" ht="12.75" x14ac:dyDescent="0.2">
      <c r="B2672" s="1168"/>
    </row>
    <row r="2673" spans="2:2" s="221" customFormat="1" ht="12.75" x14ac:dyDescent="0.2">
      <c r="B2673" s="1168"/>
    </row>
    <row r="2674" spans="2:2" s="221" customFormat="1" ht="12.75" x14ac:dyDescent="0.2">
      <c r="B2674" s="1168"/>
    </row>
    <row r="2675" spans="2:2" s="221" customFormat="1" ht="12.75" x14ac:dyDescent="0.2">
      <c r="B2675" s="1168"/>
    </row>
    <row r="2676" spans="2:2" s="221" customFormat="1" ht="12.75" x14ac:dyDescent="0.2">
      <c r="B2676" s="1168"/>
    </row>
    <row r="2677" spans="2:2" s="221" customFormat="1" ht="12.75" x14ac:dyDescent="0.2">
      <c r="B2677" s="1168"/>
    </row>
    <row r="2678" spans="2:2" s="221" customFormat="1" ht="12.75" x14ac:dyDescent="0.2">
      <c r="B2678" s="1168"/>
    </row>
    <row r="2679" spans="2:2" s="221" customFormat="1" ht="12.75" x14ac:dyDescent="0.2">
      <c r="B2679" s="1168"/>
    </row>
    <row r="2680" spans="2:2" s="221" customFormat="1" ht="12.75" x14ac:dyDescent="0.2">
      <c r="B2680" s="1168"/>
    </row>
    <row r="2681" spans="2:2" s="221" customFormat="1" ht="12.75" x14ac:dyDescent="0.2">
      <c r="B2681" s="1168"/>
    </row>
    <row r="2682" spans="2:2" s="221" customFormat="1" ht="12.75" x14ac:dyDescent="0.2">
      <c r="B2682" s="1168"/>
    </row>
    <row r="2683" spans="2:2" s="221" customFormat="1" ht="12.75" x14ac:dyDescent="0.2">
      <c r="B2683" s="1168"/>
    </row>
    <row r="2684" spans="2:2" s="221" customFormat="1" ht="12.75" x14ac:dyDescent="0.2">
      <c r="B2684" s="1168"/>
    </row>
    <row r="2685" spans="2:2" s="221" customFormat="1" ht="12.75" x14ac:dyDescent="0.2">
      <c r="B2685" s="1168"/>
    </row>
    <row r="2686" spans="2:2" s="221" customFormat="1" ht="12.75" x14ac:dyDescent="0.2">
      <c r="B2686" s="1168"/>
    </row>
    <row r="2687" spans="2:2" s="221" customFormat="1" ht="12.75" x14ac:dyDescent="0.2">
      <c r="B2687" s="1168"/>
    </row>
    <row r="2688" spans="2:2" s="221" customFormat="1" ht="12.75" x14ac:dyDescent="0.2">
      <c r="B2688" s="1168"/>
    </row>
    <row r="2689" spans="2:2" s="221" customFormat="1" ht="12.75" x14ac:dyDescent="0.2">
      <c r="B2689" s="1168"/>
    </row>
    <row r="2690" spans="2:2" s="221" customFormat="1" ht="12.75" x14ac:dyDescent="0.2">
      <c r="B2690" s="1168"/>
    </row>
    <row r="2691" spans="2:2" s="221" customFormat="1" ht="12.75" x14ac:dyDescent="0.2">
      <c r="B2691" s="1168"/>
    </row>
    <row r="2692" spans="2:2" s="221" customFormat="1" ht="12.75" x14ac:dyDescent="0.2">
      <c r="B2692" s="1168"/>
    </row>
    <row r="2693" spans="2:2" s="221" customFormat="1" ht="12.75" x14ac:dyDescent="0.2">
      <c r="B2693" s="1168"/>
    </row>
    <row r="2694" spans="2:2" s="221" customFormat="1" ht="12.75" x14ac:dyDescent="0.2">
      <c r="B2694" s="1168"/>
    </row>
    <row r="2695" spans="2:2" s="221" customFormat="1" ht="12.75" x14ac:dyDescent="0.2">
      <c r="B2695" s="1168"/>
    </row>
    <row r="2696" spans="2:2" s="221" customFormat="1" ht="12.75" x14ac:dyDescent="0.2">
      <c r="B2696" s="1168"/>
    </row>
    <row r="2697" spans="2:2" s="221" customFormat="1" ht="12.75" x14ac:dyDescent="0.2">
      <c r="B2697" s="1168"/>
    </row>
    <row r="2698" spans="2:2" s="221" customFormat="1" ht="12.75" x14ac:dyDescent="0.2">
      <c r="B2698" s="1168"/>
    </row>
    <row r="2699" spans="2:2" s="221" customFormat="1" ht="12.75" x14ac:dyDescent="0.2">
      <c r="B2699" s="1168"/>
    </row>
    <row r="2700" spans="2:2" s="221" customFormat="1" ht="12.75" x14ac:dyDescent="0.2">
      <c r="B2700" s="1168"/>
    </row>
    <row r="2701" spans="2:2" s="221" customFormat="1" ht="12.75" x14ac:dyDescent="0.2">
      <c r="B2701" s="1168"/>
    </row>
    <row r="2702" spans="2:2" s="221" customFormat="1" ht="12.75" x14ac:dyDescent="0.2">
      <c r="B2702" s="1168"/>
    </row>
    <row r="2703" spans="2:2" s="221" customFormat="1" ht="12.75" x14ac:dyDescent="0.2">
      <c r="B2703" s="1168"/>
    </row>
    <row r="2704" spans="2:2" s="221" customFormat="1" ht="12.75" x14ac:dyDescent="0.2">
      <c r="B2704" s="1168"/>
    </row>
    <row r="2705" spans="2:2" s="221" customFormat="1" ht="12.75" x14ac:dyDescent="0.2">
      <c r="B2705" s="1168"/>
    </row>
    <row r="2706" spans="2:2" s="221" customFormat="1" ht="12.75" x14ac:dyDescent="0.2">
      <c r="B2706" s="1168"/>
    </row>
    <row r="2707" spans="2:2" s="221" customFormat="1" ht="12.75" x14ac:dyDescent="0.2">
      <c r="B2707" s="1168"/>
    </row>
    <row r="2708" spans="2:2" s="221" customFormat="1" ht="12.75" x14ac:dyDescent="0.2">
      <c r="B2708" s="1168"/>
    </row>
    <row r="2709" spans="2:2" s="221" customFormat="1" ht="12.75" x14ac:dyDescent="0.2">
      <c r="B2709" s="1168"/>
    </row>
    <row r="2710" spans="2:2" s="221" customFormat="1" ht="12.75" x14ac:dyDescent="0.2">
      <c r="B2710" s="1168"/>
    </row>
    <row r="2711" spans="2:2" s="221" customFormat="1" ht="12.75" x14ac:dyDescent="0.2">
      <c r="B2711" s="1168"/>
    </row>
    <row r="2712" spans="2:2" s="221" customFormat="1" ht="12.75" x14ac:dyDescent="0.2">
      <c r="B2712" s="1168"/>
    </row>
    <row r="2713" spans="2:2" s="221" customFormat="1" ht="12.75" x14ac:dyDescent="0.2">
      <c r="B2713" s="1168"/>
    </row>
    <row r="2714" spans="2:2" s="221" customFormat="1" ht="12.75" x14ac:dyDescent="0.2">
      <c r="B2714" s="1168"/>
    </row>
    <row r="2715" spans="2:2" s="221" customFormat="1" ht="12.75" x14ac:dyDescent="0.2">
      <c r="B2715" s="1168"/>
    </row>
    <row r="2716" spans="2:2" s="221" customFormat="1" ht="12.75" x14ac:dyDescent="0.2">
      <c r="B2716" s="1168"/>
    </row>
    <row r="2717" spans="2:2" s="221" customFormat="1" ht="12.75" x14ac:dyDescent="0.2">
      <c r="B2717" s="1168"/>
    </row>
    <row r="2718" spans="2:2" s="221" customFormat="1" ht="12.75" x14ac:dyDescent="0.2">
      <c r="B2718" s="1168"/>
    </row>
    <row r="2719" spans="2:2" s="221" customFormat="1" ht="12.75" x14ac:dyDescent="0.2">
      <c r="B2719" s="1168"/>
    </row>
    <row r="2720" spans="2:2" s="221" customFormat="1" ht="12.75" x14ac:dyDescent="0.2">
      <c r="B2720" s="1168"/>
    </row>
    <row r="2721" spans="2:2" s="221" customFormat="1" ht="12.75" x14ac:dyDescent="0.2">
      <c r="B2721" s="1168"/>
    </row>
    <row r="2722" spans="2:2" s="221" customFormat="1" ht="12.75" x14ac:dyDescent="0.2">
      <c r="B2722" s="1168"/>
    </row>
    <row r="2723" spans="2:2" s="221" customFormat="1" ht="12.75" x14ac:dyDescent="0.2">
      <c r="B2723" s="1168"/>
    </row>
    <row r="2724" spans="2:2" s="221" customFormat="1" ht="12.75" x14ac:dyDescent="0.2">
      <c r="B2724" s="1168"/>
    </row>
    <row r="2725" spans="2:2" s="221" customFormat="1" ht="12.75" x14ac:dyDescent="0.2">
      <c r="B2725" s="1168"/>
    </row>
    <row r="2726" spans="2:2" s="221" customFormat="1" ht="12.75" x14ac:dyDescent="0.2">
      <c r="B2726" s="1168"/>
    </row>
    <row r="2727" spans="2:2" s="221" customFormat="1" ht="12.75" x14ac:dyDescent="0.2">
      <c r="B2727" s="1168"/>
    </row>
    <row r="2728" spans="2:2" s="221" customFormat="1" ht="12.75" x14ac:dyDescent="0.2">
      <c r="B2728" s="1168"/>
    </row>
    <row r="2729" spans="2:2" s="221" customFormat="1" ht="12.75" x14ac:dyDescent="0.2">
      <c r="B2729" s="1168"/>
    </row>
    <row r="2730" spans="2:2" s="221" customFormat="1" ht="12.75" x14ac:dyDescent="0.2">
      <c r="B2730" s="1168"/>
    </row>
    <row r="2731" spans="2:2" s="221" customFormat="1" ht="12.75" x14ac:dyDescent="0.2">
      <c r="B2731" s="1168"/>
    </row>
    <row r="2732" spans="2:2" s="221" customFormat="1" ht="12.75" x14ac:dyDescent="0.2">
      <c r="B2732" s="1168"/>
    </row>
    <row r="2733" spans="2:2" s="221" customFormat="1" ht="12.75" x14ac:dyDescent="0.2">
      <c r="B2733" s="1168"/>
    </row>
    <row r="2734" spans="2:2" s="221" customFormat="1" ht="12.75" x14ac:dyDescent="0.2">
      <c r="B2734" s="1168"/>
    </row>
    <row r="2735" spans="2:2" s="221" customFormat="1" ht="12.75" x14ac:dyDescent="0.2">
      <c r="B2735" s="1168"/>
    </row>
    <row r="2736" spans="2:2" s="221" customFormat="1" ht="12.75" x14ac:dyDescent="0.2">
      <c r="B2736" s="1168"/>
    </row>
    <row r="2737" spans="2:2" s="221" customFormat="1" ht="12.75" x14ac:dyDescent="0.2">
      <c r="B2737" s="1168"/>
    </row>
    <row r="2738" spans="2:2" s="221" customFormat="1" ht="12.75" x14ac:dyDescent="0.2">
      <c r="B2738" s="1168"/>
    </row>
    <row r="2739" spans="2:2" s="221" customFormat="1" ht="12.75" x14ac:dyDescent="0.2">
      <c r="B2739" s="1168"/>
    </row>
    <row r="2740" spans="2:2" s="221" customFormat="1" ht="12.75" x14ac:dyDescent="0.2">
      <c r="B2740" s="1168"/>
    </row>
    <row r="2741" spans="2:2" s="221" customFormat="1" ht="12.75" x14ac:dyDescent="0.2">
      <c r="B2741" s="1168"/>
    </row>
    <row r="2742" spans="2:2" s="221" customFormat="1" ht="12.75" x14ac:dyDescent="0.2">
      <c r="B2742" s="1168"/>
    </row>
    <row r="2743" spans="2:2" s="221" customFormat="1" ht="12.75" x14ac:dyDescent="0.2">
      <c r="B2743" s="1168"/>
    </row>
    <row r="2744" spans="2:2" s="221" customFormat="1" ht="12.75" x14ac:dyDescent="0.2">
      <c r="B2744" s="1168"/>
    </row>
    <row r="2745" spans="2:2" s="221" customFormat="1" ht="12.75" x14ac:dyDescent="0.2">
      <c r="B2745" s="1168"/>
    </row>
    <row r="2746" spans="2:2" s="221" customFormat="1" ht="12.75" x14ac:dyDescent="0.2">
      <c r="B2746" s="1168"/>
    </row>
    <row r="2747" spans="2:2" s="221" customFormat="1" ht="12.75" x14ac:dyDescent="0.2">
      <c r="B2747" s="1168"/>
    </row>
    <row r="2748" spans="2:2" s="221" customFormat="1" ht="12.75" x14ac:dyDescent="0.2">
      <c r="B2748" s="1168"/>
    </row>
    <row r="2749" spans="2:2" s="221" customFormat="1" ht="12.75" x14ac:dyDescent="0.2">
      <c r="B2749" s="1168"/>
    </row>
    <row r="2750" spans="2:2" s="221" customFormat="1" ht="12.75" x14ac:dyDescent="0.2">
      <c r="B2750" s="1168"/>
    </row>
    <row r="2751" spans="2:2" s="221" customFormat="1" ht="12.75" x14ac:dyDescent="0.2">
      <c r="B2751" s="1168"/>
    </row>
    <row r="2752" spans="2:2" s="221" customFormat="1" ht="12.75" x14ac:dyDescent="0.2">
      <c r="B2752" s="1168"/>
    </row>
    <row r="2753" spans="2:2" s="221" customFormat="1" ht="12.75" x14ac:dyDescent="0.2">
      <c r="B2753" s="1168"/>
    </row>
    <row r="2754" spans="2:2" s="221" customFormat="1" ht="12.75" x14ac:dyDescent="0.2">
      <c r="B2754" s="1168"/>
    </row>
    <row r="2755" spans="2:2" s="221" customFormat="1" ht="12.75" x14ac:dyDescent="0.2">
      <c r="B2755" s="1168"/>
    </row>
    <row r="2756" spans="2:2" s="221" customFormat="1" ht="12.75" x14ac:dyDescent="0.2">
      <c r="B2756" s="1168"/>
    </row>
    <row r="2757" spans="2:2" s="221" customFormat="1" ht="12.75" x14ac:dyDescent="0.2">
      <c r="B2757" s="1168"/>
    </row>
    <row r="2758" spans="2:2" s="221" customFormat="1" ht="12.75" x14ac:dyDescent="0.2">
      <c r="B2758" s="1168"/>
    </row>
    <row r="2759" spans="2:2" s="221" customFormat="1" ht="12.75" x14ac:dyDescent="0.2">
      <c r="B2759" s="1168"/>
    </row>
    <row r="2760" spans="2:2" s="221" customFormat="1" ht="12.75" x14ac:dyDescent="0.2">
      <c r="B2760" s="1168"/>
    </row>
    <row r="2761" spans="2:2" s="221" customFormat="1" ht="12.75" x14ac:dyDescent="0.2">
      <c r="B2761" s="1168"/>
    </row>
    <row r="2762" spans="2:2" s="221" customFormat="1" ht="12.75" x14ac:dyDescent="0.2">
      <c r="B2762" s="1168"/>
    </row>
    <row r="2763" spans="2:2" s="221" customFormat="1" ht="12.75" x14ac:dyDescent="0.2">
      <c r="B2763" s="1168"/>
    </row>
    <row r="2764" spans="2:2" s="221" customFormat="1" ht="12.75" x14ac:dyDescent="0.2">
      <c r="B2764" s="1168"/>
    </row>
    <row r="2765" spans="2:2" s="221" customFormat="1" ht="12.75" x14ac:dyDescent="0.2">
      <c r="B2765" s="1168"/>
    </row>
    <row r="2766" spans="2:2" s="221" customFormat="1" ht="12.75" x14ac:dyDescent="0.2">
      <c r="B2766" s="1168"/>
    </row>
    <row r="2767" spans="2:2" s="221" customFormat="1" ht="12.75" x14ac:dyDescent="0.2">
      <c r="B2767" s="1168"/>
    </row>
    <row r="2768" spans="2:2" s="221" customFormat="1" ht="12.75" x14ac:dyDescent="0.2">
      <c r="B2768" s="1168"/>
    </row>
    <row r="2769" spans="2:2" s="221" customFormat="1" ht="12.75" x14ac:dyDescent="0.2">
      <c r="B2769" s="1168"/>
    </row>
    <row r="2770" spans="2:2" s="221" customFormat="1" ht="12.75" x14ac:dyDescent="0.2">
      <c r="B2770" s="1168"/>
    </row>
    <row r="2771" spans="2:2" s="221" customFormat="1" ht="12.75" x14ac:dyDescent="0.2">
      <c r="B2771" s="1168"/>
    </row>
    <row r="2772" spans="2:2" s="221" customFormat="1" ht="12.75" x14ac:dyDescent="0.2">
      <c r="B2772" s="1168"/>
    </row>
    <row r="2773" spans="2:2" s="221" customFormat="1" ht="12.75" x14ac:dyDescent="0.2">
      <c r="B2773" s="1168"/>
    </row>
    <row r="2774" spans="2:2" s="221" customFormat="1" ht="12.75" x14ac:dyDescent="0.2">
      <c r="B2774" s="1168"/>
    </row>
    <row r="2775" spans="2:2" s="221" customFormat="1" ht="12.75" x14ac:dyDescent="0.2">
      <c r="B2775" s="1168"/>
    </row>
    <row r="2776" spans="2:2" s="221" customFormat="1" ht="12.75" x14ac:dyDescent="0.2">
      <c r="B2776" s="1168"/>
    </row>
    <row r="2777" spans="2:2" s="221" customFormat="1" ht="12.75" x14ac:dyDescent="0.2">
      <c r="B2777" s="1168"/>
    </row>
    <row r="2778" spans="2:2" s="221" customFormat="1" ht="12.75" x14ac:dyDescent="0.2">
      <c r="B2778" s="1168"/>
    </row>
    <row r="2779" spans="2:2" s="221" customFormat="1" ht="12.75" x14ac:dyDescent="0.2">
      <c r="B2779" s="1168"/>
    </row>
    <row r="2780" spans="2:2" s="221" customFormat="1" ht="12.75" x14ac:dyDescent="0.2">
      <c r="B2780" s="1168"/>
    </row>
    <row r="2781" spans="2:2" s="221" customFormat="1" ht="12.75" x14ac:dyDescent="0.2">
      <c r="B2781" s="1168"/>
    </row>
    <row r="2782" spans="2:2" s="221" customFormat="1" ht="12.75" x14ac:dyDescent="0.2">
      <c r="B2782" s="1168"/>
    </row>
    <row r="2783" spans="2:2" s="221" customFormat="1" ht="12.75" x14ac:dyDescent="0.2">
      <c r="B2783" s="1168"/>
    </row>
    <row r="2784" spans="2:2" s="221" customFormat="1" ht="12.75" x14ac:dyDescent="0.2">
      <c r="B2784" s="1168"/>
    </row>
    <row r="2785" spans="2:2" s="221" customFormat="1" ht="12.75" x14ac:dyDescent="0.2">
      <c r="B2785" s="1168"/>
    </row>
    <row r="2786" spans="2:2" s="221" customFormat="1" ht="12.75" x14ac:dyDescent="0.2">
      <c r="B2786" s="1168"/>
    </row>
    <row r="2787" spans="2:2" s="221" customFormat="1" ht="12.75" x14ac:dyDescent="0.2">
      <c r="B2787" s="1168"/>
    </row>
    <row r="2788" spans="2:2" s="221" customFormat="1" ht="12.75" x14ac:dyDescent="0.2">
      <c r="B2788" s="1168"/>
    </row>
    <row r="2789" spans="2:2" s="221" customFormat="1" ht="12.75" x14ac:dyDescent="0.2">
      <c r="B2789" s="1168"/>
    </row>
    <row r="2790" spans="2:2" s="221" customFormat="1" ht="12.75" x14ac:dyDescent="0.2">
      <c r="B2790" s="1168"/>
    </row>
    <row r="2791" spans="2:2" s="221" customFormat="1" ht="12.75" x14ac:dyDescent="0.2">
      <c r="B2791" s="1168"/>
    </row>
    <row r="2792" spans="2:2" s="221" customFormat="1" ht="12.75" x14ac:dyDescent="0.2">
      <c r="B2792" s="1168"/>
    </row>
    <row r="2793" spans="2:2" s="221" customFormat="1" ht="12.75" x14ac:dyDescent="0.2">
      <c r="B2793" s="1168"/>
    </row>
    <row r="2794" spans="2:2" s="221" customFormat="1" ht="12.75" x14ac:dyDescent="0.2">
      <c r="B2794" s="1168"/>
    </row>
    <row r="2795" spans="2:2" s="221" customFormat="1" ht="12.75" x14ac:dyDescent="0.2">
      <c r="B2795" s="1168"/>
    </row>
    <row r="2796" spans="2:2" s="221" customFormat="1" ht="12.75" x14ac:dyDescent="0.2">
      <c r="B2796" s="1168"/>
    </row>
    <row r="2797" spans="2:2" s="221" customFormat="1" ht="12.75" x14ac:dyDescent="0.2">
      <c r="B2797" s="1168"/>
    </row>
    <row r="2798" spans="2:2" s="221" customFormat="1" ht="12.75" x14ac:dyDescent="0.2">
      <c r="B2798" s="1168"/>
    </row>
    <row r="2799" spans="2:2" s="221" customFormat="1" ht="12.75" x14ac:dyDescent="0.2">
      <c r="B2799" s="1168"/>
    </row>
    <row r="2800" spans="2:2" s="221" customFormat="1" ht="12.75" x14ac:dyDescent="0.2">
      <c r="B2800" s="1168"/>
    </row>
    <row r="2801" spans="2:2" s="221" customFormat="1" ht="12.75" x14ac:dyDescent="0.2">
      <c r="B2801" s="1168"/>
    </row>
    <row r="2802" spans="2:2" s="221" customFormat="1" ht="12.75" x14ac:dyDescent="0.2">
      <c r="B2802" s="1168"/>
    </row>
    <row r="2803" spans="2:2" s="221" customFormat="1" ht="12.75" x14ac:dyDescent="0.2">
      <c r="B2803" s="1168"/>
    </row>
    <row r="2804" spans="2:2" s="221" customFormat="1" ht="12.75" x14ac:dyDescent="0.2">
      <c r="B2804" s="1168"/>
    </row>
    <row r="2805" spans="2:2" s="221" customFormat="1" ht="12.75" x14ac:dyDescent="0.2">
      <c r="B2805" s="1168"/>
    </row>
    <row r="2806" spans="2:2" s="221" customFormat="1" ht="12.75" x14ac:dyDescent="0.2">
      <c r="B2806" s="1168"/>
    </row>
    <row r="2807" spans="2:2" s="221" customFormat="1" ht="12.75" x14ac:dyDescent="0.2">
      <c r="B2807" s="1168"/>
    </row>
    <row r="2808" spans="2:2" s="221" customFormat="1" ht="12.75" x14ac:dyDescent="0.2">
      <c r="B2808" s="1168"/>
    </row>
    <row r="2809" spans="2:2" s="221" customFormat="1" ht="12.75" x14ac:dyDescent="0.2">
      <c r="B2809" s="1168"/>
    </row>
    <row r="2810" spans="2:2" s="221" customFormat="1" ht="12.75" x14ac:dyDescent="0.2">
      <c r="B2810" s="1168"/>
    </row>
    <row r="2811" spans="2:2" s="221" customFormat="1" ht="12.75" x14ac:dyDescent="0.2">
      <c r="B2811" s="1168"/>
    </row>
    <row r="2812" spans="2:2" s="221" customFormat="1" ht="12.75" x14ac:dyDescent="0.2">
      <c r="B2812" s="1168"/>
    </row>
    <row r="2813" spans="2:2" s="221" customFormat="1" ht="12.75" x14ac:dyDescent="0.2">
      <c r="B2813" s="1168"/>
    </row>
    <row r="2814" spans="2:2" s="221" customFormat="1" ht="12.75" x14ac:dyDescent="0.2">
      <c r="B2814" s="1168"/>
    </row>
    <row r="2815" spans="2:2" s="221" customFormat="1" ht="12.75" x14ac:dyDescent="0.2">
      <c r="B2815" s="1168"/>
    </row>
    <row r="2816" spans="2:2" s="221" customFormat="1" ht="12.75" x14ac:dyDescent="0.2">
      <c r="B2816" s="1168"/>
    </row>
    <row r="2817" spans="2:2" s="221" customFormat="1" ht="12.75" x14ac:dyDescent="0.2">
      <c r="B2817" s="1168"/>
    </row>
    <row r="2818" spans="2:2" s="221" customFormat="1" ht="12.75" x14ac:dyDescent="0.2">
      <c r="B2818" s="1168"/>
    </row>
    <row r="2819" spans="2:2" s="221" customFormat="1" ht="12.75" x14ac:dyDescent="0.2">
      <c r="B2819" s="1168"/>
    </row>
    <row r="2820" spans="2:2" s="221" customFormat="1" ht="12.75" x14ac:dyDescent="0.2">
      <c r="B2820" s="1168"/>
    </row>
    <row r="2821" spans="2:2" s="221" customFormat="1" ht="12.75" x14ac:dyDescent="0.2">
      <c r="B2821" s="1168"/>
    </row>
    <row r="2822" spans="2:2" s="221" customFormat="1" ht="12.75" x14ac:dyDescent="0.2">
      <c r="B2822" s="1168"/>
    </row>
    <row r="2823" spans="2:2" s="221" customFormat="1" ht="12.75" x14ac:dyDescent="0.2">
      <c r="B2823" s="1168"/>
    </row>
    <row r="2824" spans="2:2" s="221" customFormat="1" ht="12.75" x14ac:dyDescent="0.2">
      <c r="B2824" s="1168"/>
    </row>
    <row r="2825" spans="2:2" s="221" customFormat="1" ht="12.75" x14ac:dyDescent="0.2">
      <c r="B2825" s="1168"/>
    </row>
    <row r="2826" spans="2:2" s="221" customFormat="1" ht="12.75" x14ac:dyDescent="0.2">
      <c r="B2826" s="1168"/>
    </row>
    <row r="2827" spans="2:2" s="221" customFormat="1" ht="12.75" x14ac:dyDescent="0.2">
      <c r="B2827" s="1168"/>
    </row>
    <row r="2828" spans="2:2" s="221" customFormat="1" ht="12.75" x14ac:dyDescent="0.2">
      <c r="B2828" s="1168"/>
    </row>
    <row r="2829" spans="2:2" s="221" customFormat="1" ht="12.75" x14ac:dyDescent="0.2">
      <c r="B2829" s="1168"/>
    </row>
    <row r="2830" spans="2:2" s="221" customFormat="1" ht="12.75" x14ac:dyDescent="0.2">
      <c r="B2830" s="1168"/>
    </row>
    <row r="2831" spans="2:2" s="221" customFormat="1" ht="12.75" x14ac:dyDescent="0.2">
      <c r="B2831" s="1168"/>
    </row>
    <row r="2832" spans="2:2" s="221" customFormat="1" ht="12.75" x14ac:dyDescent="0.2">
      <c r="B2832" s="1168"/>
    </row>
    <row r="2833" spans="2:2" s="221" customFormat="1" ht="12.75" x14ac:dyDescent="0.2">
      <c r="B2833" s="1168"/>
    </row>
    <row r="2834" spans="2:2" s="221" customFormat="1" ht="12.75" x14ac:dyDescent="0.2">
      <c r="B2834" s="1168"/>
    </row>
    <row r="2835" spans="2:2" s="221" customFormat="1" ht="12.75" x14ac:dyDescent="0.2">
      <c r="B2835" s="1168"/>
    </row>
    <row r="2836" spans="2:2" s="221" customFormat="1" ht="12.75" x14ac:dyDescent="0.2">
      <c r="B2836" s="1168"/>
    </row>
    <row r="2837" spans="2:2" s="221" customFormat="1" ht="12.75" x14ac:dyDescent="0.2">
      <c r="B2837" s="1168"/>
    </row>
    <row r="2838" spans="2:2" s="221" customFormat="1" ht="12.75" x14ac:dyDescent="0.2">
      <c r="B2838" s="1168"/>
    </row>
    <row r="2839" spans="2:2" s="221" customFormat="1" ht="12.75" x14ac:dyDescent="0.2">
      <c r="B2839" s="1168"/>
    </row>
    <row r="2840" spans="2:2" s="221" customFormat="1" ht="12.75" x14ac:dyDescent="0.2">
      <c r="B2840" s="1168"/>
    </row>
    <row r="2841" spans="2:2" s="221" customFormat="1" ht="12.75" x14ac:dyDescent="0.2">
      <c r="B2841" s="1168"/>
    </row>
    <row r="2842" spans="2:2" s="221" customFormat="1" ht="12.75" x14ac:dyDescent="0.2">
      <c r="B2842" s="1168"/>
    </row>
    <row r="2843" spans="2:2" s="221" customFormat="1" ht="12.75" x14ac:dyDescent="0.2">
      <c r="B2843" s="1168"/>
    </row>
    <row r="2844" spans="2:2" s="221" customFormat="1" ht="12.75" x14ac:dyDescent="0.2">
      <c r="B2844" s="1168"/>
    </row>
    <row r="2845" spans="2:2" s="221" customFormat="1" ht="12.75" x14ac:dyDescent="0.2">
      <c r="B2845" s="1168"/>
    </row>
    <row r="2846" spans="2:2" s="221" customFormat="1" ht="12.75" x14ac:dyDescent="0.2">
      <c r="B2846" s="1168"/>
    </row>
    <row r="2847" spans="2:2" s="221" customFormat="1" ht="12.75" x14ac:dyDescent="0.2">
      <c r="B2847" s="1168"/>
    </row>
    <row r="2848" spans="2:2" s="221" customFormat="1" ht="12.75" x14ac:dyDescent="0.2">
      <c r="B2848" s="1168"/>
    </row>
    <row r="2849" spans="2:2" s="221" customFormat="1" ht="12.75" x14ac:dyDescent="0.2">
      <c r="B2849" s="1168"/>
    </row>
    <row r="2850" spans="2:2" s="221" customFormat="1" ht="12.75" x14ac:dyDescent="0.2">
      <c r="B2850" s="1168"/>
    </row>
    <row r="2851" spans="2:2" s="221" customFormat="1" ht="12.75" x14ac:dyDescent="0.2">
      <c r="B2851" s="1168"/>
    </row>
    <row r="2852" spans="2:2" s="221" customFormat="1" ht="12.75" x14ac:dyDescent="0.2">
      <c r="B2852" s="1168"/>
    </row>
    <row r="2853" spans="2:2" s="221" customFormat="1" ht="12.75" x14ac:dyDescent="0.2">
      <c r="B2853" s="1168"/>
    </row>
    <row r="2854" spans="2:2" s="221" customFormat="1" ht="12.75" x14ac:dyDescent="0.2">
      <c r="B2854" s="1168"/>
    </row>
    <row r="2855" spans="2:2" s="221" customFormat="1" ht="12.75" x14ac:dyDescent="0.2">
      <c r="B2855" s="1168"/>
    </row>
    <row r="2856" spans="2:2" s="221" customFormat="1" ht="12.75" x14ac:dyDescent="0.2">
      <c r="B2856" s="1168"/>
    </row>
    <row r="2857" spans="2:2" s="221" customFormat="1" ht="12.75" x14ac:dyDescent="0.2">
      <c r="B2857" s="1168"/>
    </row>
    <row r="2858" spans="2:2" s="221" customFormat="1" ht="12.75" x14ac:dyDescent="0.2">
      <c r="B2858" s="1168"/>
    </row>
    <row r="2859" spans="2:2" s="221" customFormat="1" ht="12.75" x14ac:dyDescent="0.2">
      <c r="B2859" s="1168"/>
    </row>
    <row r="2860" spans="2:2" s="221" customFormat="1" ht="12.75" x14ac:dyDescent="0.2">
      <c r="B2860" s="1168"/>
    </row>
    <row r="2861" spans="2:2" s="221" customFormat="1" ht="12.75" x14ac:dyDescent="0.2">
      <c r="B2861" s="1168"/>
    </row>
    <row r="2862" spans="2:2" s="221" customFormat="1" ht="12.75" x14ac:dyDescent="0.2">
      <c r="B2862" s="1168"/>
    </row>
    <row r="2863" spans="2:2" s="221" customFormat="1" ht="12.75" x14ac:dyDescent="0.2">
      <c r="B2863" s="1168"/>
    </row>
    <row r="2864" spans="2:2" s="221" customFormat="1" ht="12.75" x14ac:dyDescent="0.2">
      <c r="B2864" s="1168"/>
    </row>
    <row r="2865" spans="2:2" s="221" customFormat="1" ht="12.75" x14ac:dyDescent="0.2">
      <c r="B2865" s="1168"/>
    </row>
    <row r="2866" spans="2:2" s="221" customFormat="1" ht="12.75" x14ac:dyDescent="0.2">
      <c r="B2866" s="1168"/>
    </row>
    <row r="2867" spans="2:2" s="221" customFormat="1" ht="12.75" x14ac:dyDescent="0.2">
      <c r="B2867" s="1168"/>
    </row>
    <row r="2868" spans="2:2" s="221" customFormat="1" ht="12.75" x14ac:dyDescent="0.2">
      <c r="B2868" s="1168"/>
    </row>
    <row r="2869" spans="2:2" s="221" customFormat="1" ht="12.75" x14ac:dyDescent="0.2">
      <c r="B2869" s="1168"/>
    </row>
    <row r="2870" spans="2:2" s="221" customFormat="1" ht="12.75" x14ac:dyDescent="0.2">
      <c r="B2870" s="1168"/>
    </row>
    <row r="2871" spans="2:2" s="221" customFormat="1" ht="12.75" x14ac:dyDescent="0.2">
      <c r="B2871" s="1168"/>
    </row>
    <row r="2872" spans="2:2" s="221" customFormat="1" ht="12.75" x14ac:dyDescent="0.2">
      <c r="B2872" s="1168"/>
    </row>
    <row r="2873" spans="2:2" s="221" customFormat="1" ht="12.75" x14ac:dyDescent="0.2">
      <c r="B2873" s="1168"/>
    </row>
    <row r="2874" spans="2:2" s="221" customFormat="1" ht="12.75" x14ac:dyDescent="0.2">
      <c r="B2874" s="1168"/>
    </row>
    <row r="2875" spans="2:2" s="221" customFormat="1" ht="12.75" x14ac:dyDescent="0.2">
      <c r="B2875" s="1168"/>
    </row>
    <row r="2876" spans="2:2" s="221" customFormat="1" ht="12.75" x14ac:dyDescent="0.2">
      <c r="B2876" s="1168"/>
    </row>
    <row r="2877" spans="2:2" s="221" customFormat="1" ht="12.75" x14ac:dyDescent="0.2">
      <c r="B2877" s="1168"/>
    </row>
    <row r="2878" spans="2:2" s="221" customFormat="1" ht="12.75" x14ac:dyDescent="0.2">
      <c r="B2878" s="1168"/>
    </row>
    <row r="2879" spans="2:2" s="221" customFormat="1" ht="12.75" x14ac:dyDescent="0.2">
      <c r="B2879" s="1168"/>
    </row>
    <row r="2880" spans="2:2" s="221" customFormat="1" ht="12.75" x14ac:dyDescent="0.2">
      <c r="B2880" s="1168"/>
    </row>
    <row r="2881" spans="2:2" s="221" customFormat="1" ht="12.75" x14ac:dyDescent="0.2">
      <c r="B2881" s="1168"/>
    </row>
    <row r="2882" spans="2:2" s="221" customFormat="1" ht="12.75" x14ac:dyDescent="0.2">
      <c r="B2882" s="1168"/>
    </row>
    <row r="2883" spans="2:2" s="221" customFormat="1" ht="12.75" x14ac:dyDescent="0.2">
      <c r="B2883" s="1168"/>
    </row>
    <row r="2884" spans="2:2" s="221" customFormat="1" ht="12.75" x14ac:dyDescent="0.2">
      <c r="B2884" s="1168"/>
    </row>
    <row r="2885" spans="2:2" s="221" customFormat="1" ht="12.75" x14ac:dyDescent="0.2">
      <c r="B2885" s="1168"/>
    </row>
    <row r="2886" spans="2:2" s="221" customFormat="1" ht="12.75" x14ac:dyDescent="0.2">
      <c r="B2886" s="1168"/>
    </row>
    <row r="2887" spans="2:2" s="221" customFormat="1" ht="12.75" x14ac:dyDescent="0.2">
      <c r="B2887" s="1168"/>
    </row>
    <row r="2888" spans="2:2" s="221" customFormat="1" ht="12.75" x14ac:dyDescent="0.2">
      <c r="B2888" s="1168"/>
    </row>
    <row r="2889" spans="2:2" s="221" customFormat="1" ht="12.75" x14ac:dyDescent="0.2">
      <c r="B2889" s="1168"/>
    </row>
    <row r="2890" spans="2:2" s="221" customFormat="1" ht="12.75" x14ac:dyDescent="0.2">
      <c r="B2890" s="1168"/>
    </row>
    <row r="2891" spans="2:2" s="221" customFormat="1" ht="12.75" x14ac:dyDescent="0.2">
      <c r="B2891" s="1168"/>
    </row>
    <row r="2892" spans="2:2" s="221" customFormat="1" ht="12.75" x14ac:dyDescent="0.2">
      <c r="B2892" s="1168"/>
    </row>
    <row r="2893" spans="2:2" s="221" customFormat="1" ht="12.75" x14ac:dyDescent="0.2">
      <c r="B2893" s="1168"/>
    </row>
    <row r="2894" spans="2:2" s="221" customFormat="1" ht="12.75" x14ac:dyDescent="0.2">
      <c r="B2894" s="1168"/>
    </row>
    <row r="2895" spans="2:2" s="221" customFormat="1" ht="12.75" x14ac:dyDescent="0.2">
      <c r="B2895" s="1168"/>
    </row>
    <row r="2896" spans="2:2" s="221" customFormat="1" ht="12.75" x14ac:dyDescent="0.2">
      <c r="B2896" s="1168"/>
    </row>
    <row r="2897" spans="2:2" s="221" customFormat="1" ht="12.75" x14ac:dyDescent="0.2">
      <c r="B2897" s="1168"/>
    </row>
    <row r="2898" spans="2:2" s="221" customFormat="1" ht="12.75" x14ac:dyDescent="0.2">
      <c r="B2898" s="1168"/>
    </row>
    <row r="2899" spans="2:2" s="221" customFormat="1" ht="12.75" x14ac:dyDescent="0.2">
      <c r="B2899" s="1168"/>
    </row>
    <row r="2900" spans="2:2" s="221" customFormat="1" ht="12.75" x14ac:dyDescent="0.2">
      <c r="B2900" s="1168"/>
    </row>
    <row r="2901" spans="2:2" s="221" customFormat="1" ht="12.75" x14ac:dyDescent="0.2">
      <c r="B2901" s="1168"/>
    </row>
    <row r="2902" spans="2:2" s="221" customFormat="1" ht="12.75" x14ac:dyDescent="0.2">
      <c r="B2902" s="1168"/>
    </row>
    <row r="2903" spans="2:2" s="221" customFormat="1" ht="12.75" x14ac:dyDescent="0.2">
      <c r="B2903" s="1168"/>
    </row>
    <row r="2904" spans="2:2" s="221" customFormat="1" ht="12.75" x14ac:dyDescent="0.2">
      <c r="B2904" s="1168"/>
    </row>
    <row r="2905" spans="2:2" s="221" customFormat="1" ht="12.75" x14ac:dyDescent="0.2">
      <c r="B2905" s="1168"/>
    </row>
    <row r="2906" spans="2:2" s="221" customFormat="1" ht="12.75" x14ac:dyDescent="0.2">
      <c r="B2906" s="1168"/>
    </row>
    <row r="2907" spans="2:2" s="221" customFormat="1" ht="12.75" x14ac:dyDescent="0.2">
      <c r="B2907" s="1168"/>
    </row>
    <row r="2908" spans="2:2" s="221" customFormat="1" ht="12.75" x14ac:dyDescent="0.2">
      <c r="B2908" s="1168"/>
    </row>
    <row r="2909" spans="2:2" s="221" customFormat="1" ht="12.75" x14ac:dyDescent="0.2">
      <c r="B2909" s="1168"/>
    </row>
    <row r="2910" spans="2:2" s="221" customFormat="1" ht="12.75" x14ac:dyDescent="0.2">
      <c r="B2910" s="1168"/>
    </row>
    <row r="2911" spans="2:2" s="221" customFormat="1" ht="12.75" x14ac:dyDescent="0.2">
      <c r="B2911" s="1168"/>
    </row>
    <row r="2912" spans="2:2" s="221" customFormat="1" ht="12.75" x14ac:dyDescent="0.2">
      <c r="B2912" s="1168"/>
    </row>
    <row r="2913" spans="2:2" s="221" customFormat="1" ht="12.75" x14ac:dyDescent="0.2">
      <c r="B2913" s="1168"/>
    </row>
    <row r="2914" spans="2:2" s="221" customFormat="1" ht="12.75" x14ac:dyDescent="0.2">
      <c r="B2914" s="1168"/>
    </row>
    <row r="2915" spans="2:2" s="221" customFormat="1" ht="12.75" x14ac:dyDescent="0.2">
      <c r="B2915" s="1168"/>
    </row>
    <row r="2916" spans="2:2" s="221" customFormat="1" ht="12.75" x14ac:dyDescent="0.2">
      <c r="B2916" s="1168"/>
    </row>
    <row r="2917" spans="2:2" s="221" customFormat="1" ht="12.75" x14ac:dyDescent="0.2">
      <c r="B2917" s="1168"/>
    </row>
    <row r="2918" spans="2:2" s="221" customFormat="1" ht="12.75" x14ac:dyDescent="0.2">
      <c r="B2918" s="1168"/>
    </row>
    <row r="2919" spans="2:2" s="221" customFormat="1" ht="12.75" x14ac:dyDescent="0.2">
      <c r="B2919" s="1168"/>
    </row>
    <row r="2920" spans="2:2" s="221" customFormat="1" ht="12.75" x14ac:dyDescent="0.2">
      <c r="B2920" s="1168"/>
    </row>
    <row r="2921" spans="2:2" s="221" customFormat="1" ht="12.75" x14ac:dyDescent="0.2">
      <c r="B2921" s="1168"/>
    </row>
    <row r="2922" spans="2:2" s="221" customFormat="1" ht="12.75" x14ac:dyDescent="0.2">
      <c r="B2922" s="1168"/>
    </row>
    <row r="2923" spans="2:2" s="221" customFormat="1" ht="12.75" x14ac:dyDescent="0.2">
      <c r="B2923" s="1168"/>
    </row>
    <row r="2924" spans="2:2" s="221" customFormat="1" ht="12.75" x14ac:dyDescent="0.2">
      <c r="B2924" s="1168"/>
    </row>
    <row r="2925" spans="2:2" s="221" customFormat="1" ht="12.75" x14ac:dyDescent="0.2">
      <c r="B2925" s="1168"/>
    </row>
    <row r="2926" spans="2:2" s="221" customFormat="1" ht="12.75" x14ac:dyDescent="0.2">
      <c r="B2926" s="1168"/>
    </row>
    <row r="2927" spans="2:2" s="221" customFormat="1" ht="12.75" x14ac:dyDescent="0.2">
      <c r="B2927" s="1168"/>
    </row>
    <row r="2928" spans="2:2" s="221" customFormat="1" ht="12.75" x14ac:dyDescent="0.2">
      <c r="B2928" s="1168"/>
    </row>
    <row r="2929" spans="2:2" s="221" customFormat="1" ht="12.75" x14ac:dyDescent="0.2">
      <c r="B2929" s="1168"/>
    </row>
    <row r="2930" spans="2:2" s="221" customFormat="1" ht="12.75" x14ac:dyDescent="0.2">
      <c r="B2930" s="1168"/>
    </row>
    <row r="2931" spans="2:2" s="221" customFormat="1" ht="12.75" x14ac:dyDescent="0.2">
      <c r="B2931" s="1168"/>
    </row>
    <row r="2932" spans="2:2" s="221" customFormat="1" ht="12.75" x14ac:dyDescent="0.2">
      <c r="B2932" s="1168"/>
    </row>
    <row r="2933" spans="2:2" s="221" customFormat="1" ht="12.75" x14ac:dyDescent="0.2">
      <c r="B2933" s="1168"/>
    </row>
    <row r="2934" spans="2:2" s="221" customFormat="1" ht="12.75" x14ac:dyDescent="0.2">
      <c r="B2934" s="1168"/>
    </row>
    <row r="2935" spans="2:2" s="221" customFormat="1" ht="12.75" x14ac:dyDescent="0.2">
      <c r="B2935" s="1168"/>
    </row>
    <row r="2936" spans="2:2" s="221" customFormat="1" ht="12.75" x14ac:dyDescent="0.2">
      <c r="B2936" s="1168"/>
    </row>
    <row r="2937" spans="2:2" s="221" customFormat="1" ht="12.75" x14ac:dyDescent="0.2">
      <c r="B2937" s="1168"/>
    </row>
    <row r="2938" spans="2:2" s="221" customFormat="1" ht="12.75" x14ac:dyDescent="0.2">
      <c r="B2938" s="1168"/>
    </row>
    <row r="2939" spans="2:2" s="221" customFormat="1" ht="12.75" x14ac:dyDescent="0.2">
      <c r="B2939" s="1168"/>
    </row>
    <row r="2940" spans="2:2" s="221" customFormat="1" ht="12.75" x14ac:dyDescent="0.2">
      <c r="B2940" s="1168"/>
    </row>
    <row r="2941" spans="2:2" s="221" customFormat="1" ht="12.75" x14ac:dyDescent="0.2">
      <c r="B2941" s="1168"/>
    </row>
    <row r="2942" spans="2:2" s="221" customFormat="1" ht="12.75" x14ac:dyDescent="0.2">
      <c r="B2942" s="1168"/>
    </row>
    <row r="2943" spans="2:2" s="221" customFormat="1" ht="12.75" x14ac:dyDescent="0.2">
      <c r="B2943" s="1168"/>
    </row>
    <row r="2944" spans="2:2" s="221" customFormat="1" ht="12.75" x14ac:dyDescent="0.2">
      <c r="B2944" s="1168"/>
    </row>
    <row r="2945" spans="2:2" s="221" customFormat="1" ht="12.75" x14ac:dyDescent="0.2">
      <c r="B2945" s="1168"/>
    </row>
    <row r="2946" spans="2:2" s="221" customFormat="1" ht="12.75" x14ac:dyDescent="0.2">
      <c r="B2946" s="1168"/>
    </row>
    <row r="2947" spans="2:2" s="221" customFormat="1" ht="12.75" x14ac:dyDescent="0.2">
      <c r="B2947" s="1168"/>
    </row>
    <row r="2948" spans="2:2" s="221" customFormat="1" ht="12.75" x14ac:dyDescent="0.2">
      <c r="B2948" s="1168"/>
    </row>
    <row r="2949" spans="2:2" s="221" customFormat="1" ht="12.75" x14ac:dyDescent="0.2">
      <c r="B2949" s="1168"/>
    </row>
    <row r="2950" spans="2:2" s="221" customFormat="1" ht="12.75" x14ac:dyDescent="0.2">
      <c r="B2950" s="1168"/>
    </row>
    <row r="2951" spans="2:2" s="221" customFormat="1" ht="12.75" x14ac:dyDescent="0.2">
      <c r="B2951" s="1168"/>
    </row>
    <row r="2952" spans="2:2" s="221" customFormat="1" ht="12.75" x14ac:dyDescent="0.2">
      <c r="B2952" s="1168"/>
    </row>
    <row r="2953" spans="2:2" s="221" customFormat="1" ht="12.75" x14ac:dyDescent="0.2">
      <c r="B2953" s="1168"/>
    </row>
    <row r="2954" spans="2:2" s="221" customFormat="1" ht="12.75" x14ac:dyDescent="0.2">
      <c r="B2954" s="1168"/>
    </row>
    <row r="2955" spans="2:2" s="221" customFormat="1" ht="12.75" x14ac:dyDescent="0.2">
      <c r="B2955" s="1168"/>
    </row>
    <row r="2956" spans="2:2" s="221" customFormat="1" ht="12.75" x14ac:dyDescent="0.2">
      <c r="B2956" s="1168"/>
    </row>
    <row r="2957" spans="2:2" s="221" customFormat="1" ht="12.75" x14ac:dyDescent="0.2">
      <c r="B2957" s="1168"/>
    </row>
    <row r="2958" spans="2:2" s="221" customFormat="1" ht="12.75" x14ac:dyDescent="0.2">
      <c r="B2958" s="1168"/>
    </row>
    <row r="2959" spans="2:2" s="221" customFormat="1" ht="12.75" x14ac:dyDescent="0.2">
      <c r="B2959" s="1168"/>
    </row>
    <row r="2960" spans="2:2" s="221" customFormat="1" ht="12.75" x14ac:dyDescent="0.2">
      <c r="B2960" s="1168"/>
    </row>
    <row r="2961" spans="2:2" s="221" customFormat="1" ht="12.75" x14ac:dyDescent="0.2">
      <c r="B2961" s="1168"/>
    </row>
    <row r="2962" spans="2:2" s="221" customFormat="1" ht="12.75" x14ac:dyDescent="0.2">
      <c r="B2962" s="1168"/>
    </row>
    <row r="2963" spans="2:2" s="221" customFormat="1" ht="12.75" x14ac:dyDescent="0.2">
      <c r="B2963" s="1168"/>
    </row>
    <row r="2964" spans="2:2" s="221" customFormat="1" ht="12.75" x14ac:dyDescent="0.2">
      <c r="B2964" s="1168"/>
    </row>
    <row r="2965" spans="2:2" s="221" customFormat="1" ht="12.75" x14ac:dyDescent="0.2">
      <c r="B2965" s="1168"/>
    </row>
    <row r="2966" spans="2:2" s="221" customFormat="1" ht="12.75" x14ac:dyDescent="0.2">
      <c r="B2966" s="1168"/>
    </row>
    <row r="2967" spans="2:2" s="221" customFormat="1" ht="12.75" x14ac:dyDescent="0.2">
      <c r="B2967" s="1168"/>
    </row>
    <row r="2968" spans="2:2" s="221" customFormat="1" ht="12.75" x14ac:dyDescent="0.2">
      <c r="B2968" s="1168"/>
    </row>
    <row r="2969" spans="2:2" s="221" customFormat="1" ht="12.75" x14ac:dyDescent="0.2">
      <c r="B2969" s="1168"/>
    </row>
    <row r="2970" spans="2:2" s="221" customFormat="1" ht="12.75" x14ac:dyDescent="0.2">
      <c r="B2970" s="1168"/>
    </row>
    <row r="2971" spans="2:2" s="221" customFormat="1" ht="12.75" x14ac:dyDescent="0.2">
      <c r="B2971" s="1168"/>
    </row>
    <row r="2972" spans="2:2" s="221" customFormat="1" ht="12.75" x14ac:dyDescent="0.2">
      <c r="B2972" s="1168"/>
    </row>
    <row r="2973" spans="2:2" s="221" customFormat="1" ht="12.75" x14ac:dyDescent="0.2">
      <c r="B2973" s="1168"/>
    </row>
    <row r="2974" spans="2:2" s="221" customFormat="1" ht="12.75" x14ac:dyDescent="0.2">
      <c r="B2974" s="1168"/>
    </row>
    <row r="2975" spans="2:2" s="221" customFormat="1" ht="12.75" x14ac:dyDescent="0.2">
      <c r="B2975" s="1168"/>
    </row>
    <row r="2976" spans="2:2" s="221" customFormat="1" ht="12.75" x14ac:dyDescent="0.2">
      <c r="B2976" s="1168"/>
    </row>
    <row r="2977" spans="2:2" s="221" customFormat="1" ht="12.75" x14ac:dyDescent="0.2">
      <c r="B2977" s="1168"/>
    </row>
    <row r="2978" spans="2:2" s="221" customFormat="1" ht="12.75" x14ac:dyDescent="0.2">
      <c r="B2978" s="1168"/>
    </row>
    <row r="2979" spans="2:2" s="221" customFormat="1" ht="12.75" x14ac:dyDescent="0.2">
      <c r="B2979" s="1168"/>
    </row>
    <row r="2980" spans="2:2" s="221" customFormat="1" ht="12.75" x14ac:dyDescent="0.2">
      <c r="B2980" s="1168"/>
    </row>
    <row r="2981" spans="2:2" s="221" customFormat="1" ht="12.75" x14ac:dyDescent="0.2">
      <c r="B2981" s="1168"/>
    </row>
    <row r="2982" spans="2:2" s="221" customFormat="1" ht="12.75" x14ac:dyDescent="0.2">
      <c r="B2982" s="1168"/>
    </row>
    <row r="2983" spans="2:2" s="221" customFormat="1" ht="12.75" x14ac:dyDescent="0.2">
      <c r="B2983" s="1168"/>
    </row>
    <row r="2984" spans="2:2" s="221" customFormat="1" ht="12.75" x14ac:dyDescent="0.2">
      <c r="B2984" s="1168"/>
    </row>
    <row r="2985" spans="2:2" s="221" customFormat="1" ht="12.75" x14ac:dyDescent="0.2">
      <c r="B2985" s="1168"/>
    </row>
    <row r="2986" spans="2:2" s="221" customFormat="1" ht="12.75" x14ac:dyDescent="0.2">
      <c r="B2986" s="1168"/>
    </row>
    <row r="2987" spans="2:2" s="221" customFormat="1" ht="12.75" x14ac:dyDescent="0.2">
      <c r="B2987" s="1168"/>
    </row>
    <row r="2988" spans="2:2" s="221" customFormat="1" ht="12.75" x14ac:dyDescent="0.2">
      <c r="B2988" s="1168"/>
    </row>
    <row r="2989" spans="2:2" s="221" customFormat="1" ht="12.75" x14ac:dyDescent="0.2">
      <c r="B2989" s="1168"/>
    </row>
    <row r="2990" spans="2:2" s="221" customFormat="1" ht="12.75" x14ac:dyDescent="0.2">
      <c r="B2990" s="1168"/>
    </row>
    <row r="2991" spans="2:2" s="221" customFormat="1" ht="12.75" x14ac:dyDescent="0.2">
      <c r="B2991" s="1168"/>
    </row>
    <row r="2992" spans="2:2" s="221" customFormat="1" ht="12.75" x14ac:dyDescent="0.2">
      <c r="B2992" s="1168"/>
    </row>
    <row r="2993" spans="2:2" s="221" customFormat="1" ht="12.75" x14ac:dyDescent="0.2">
      <c r="B2993" s="1168"/>
    </row>
    <row r="2994" spans="2:2" s="221" customFormat="1" ht="12.75" x14ac:dyDescent="0.2">
      <c r="B2994" s="1168"/>
    </row>
    <row r="2995" spans="2:2" s="221" customFormat="1" ht="12.75" x14ac:dyDescent="0.2">
      <c r="B2995" s="1168"/>
    </row>
    <row r="2996" spans="2:2" s="221" customFormat="1" ht="12.75" x14ac:dyDescent="0.2">
      <c r="B2996" s="1168"/>
    </row>
    <row r="2997" spans="2:2" s="221" customFormat="1" ht="12.75" x14ac:dyDescent="0.2">
      <c r="B2997" s="1168"/>
    </row>
    <row r="2998" spans="2:2" s="221" customFormat="1" ht="12.75" x14ac:dyDescent="0.2">
      <c r="B2998" s="1168"/>
    </row>
    <row r="2999" spans="2:2" s="221" customFormat="1" ht="12.75" x14ac:dyDescent="0.2">
      <c r="B2999" s="1168"/>
    </row>
    <row r="3000" spans="2:2" s="221" customFormat="1" ht="12.75" x14ac:dyDescent="0.2">
      <c r="B3000" s="1168"/>
    </row>
    <row r="3001" spans="2:2" s="221" customFormat="1" ht="12.75" x14ac:dyDescent="0.2">
      <c r="B3001" s="1168"/>
    </row>
    <row r="3002" spans="2:2" s="221" customFormat="1" ht="12.75" x14ac:dyDescent="0.2">
      <c r="B3002" s="1168"/>
    </row>
    <row r="3003" spans="2:2" s="221" customFormat="1" ht="12.75" x14ac:dyDescent="0.2">
      <c r="B3003" s="1168"/>
    </row>
    <row r="3004" spans="2:2" s="221" customFormat="1" ht="12.75" x14ac:dyDescent="0.2">
      <c r="B3004" s="1168"/>
    </row>
    <row r="3005" spans="2:2" s="221" customFormat="1" ht="12.75" x14ac:dyDescent="0.2">
      <c r="B3005" s="1168"/>
    </row>
    <row r="3006" spans="2:2" s="221" customFormat="1" ht="12.75" x14ac:dyDescent="0.2">
      <c r="B3006" s="1168"/>
    </row>
    <row r="3007" spans="2:2" s="221" customFormat="1" ht="12.75" x14ac:dyDescent="0.2">
      <c r="B3007" s="1168"/>
    </row>
    <row r="3008" spans="2:2" s="221" customFormat="1" ht="12.75" x14ac:dyDescent="0.2">
      <c r="B3008" s="1168"/>
    </row>
    <row r="3009" spans="2:2" s="221" customFormat="1" ht="12.75" x14ac:dyDescent="0.2">
      <c r="B3009" s="1168"/>
    </row>
    <row r="3010" spans="2:2" s="221" customFormat="1" ht="12.75" x14ac:dyDescent="0.2">
      <c r="B3010" s="1168"/>
    </row>
    <row r="3011" spans="2:2" s="221" customFormat="1" ht="12.75" x14ac:dyDescent="0.2">
      <c r="B3011" s="1168"/>
    </row>
    <row r="3012" spans="2:2" s="221" customFormat="1" ht="12.75" x14ac:dyDescent="0.2">
      <c r="B3012" s="1168"/>
    </row>
    <row r="3013" spans="2:2" s="221" customFormat="1" ht="12.75" x14ac:dyDescent="0.2">
      <c r="B3013" s="1168"/>
    </row>
    <row r="3014" spans="2:2" s="221" customFormat="1" ht="12.75" x14ac:dyDescent="0.2">
      <c r="B3014" s="1168"/>
    </row>
    <row r="3015" spans="2:2" s="221" customFormat="1" ht="12.75" x14ac:dyDescent="0.2">
      <c r="B3015" s="1168"/>
    </row>
    <row r="3016" spans="2:2" s="221" customFormat="1" ht="12.75" x14ac:dyDescent="0.2">
      <c r="B3016" s="1168"/>
    </row>
    <row r="3017" spans="2:2" s="221" customFormat="1" ht="12.75" x14ac:dyDescent="0.2">
      <c r="B3017" s="1168"/>
    </row>
    <row r="3018" spans="2:2" s="221" customFormat="1" ht="12.75" x14ac:dyDescent="0.2">
      <c r="B3018" s="1168"/>
    </row>
    <row r="3019" spans="2:2" s="221" customFormat="1" ht="12.75" x14ac:dyDescent="0.2">
      <c r="B3019" s="1168"/>
    </row>
    <row r="3020" spans="2:2" s="221" customFormat="1" ht="12.75" x14ac:dyDescent="0.2">
      <c r="B3020" s="1168"/>
    </row>
    <row r="3021" spans="2:2" s="221" customFormat="1" ht="12.75" x14ac:dyDescent="0.2">
      <c r="B3021" s="1168"/>
    </row>
    <row r="3022" spans="2:2" s="221" customFormat="1" ht="12.75" x14ac:dyDescent="0.2">
      <c r="B3022" s="1168"/>
    </row>
    <row r="3023" spans="2:2" s="221" customFormat="1" ht="12.75" x14ac:dyDescent="0.2">
      <c r="B3023" s="1168"/>
    </row>
    <row r="3024" spans="2:2" s="221" customFormat="1" ht="12.75" x14ac:dyDescent="0.2">
      <c r="B3024" s="1168"/>
    </row>
    <row r="3025" spans="2:2" s="221" customFormat="1" ht="12.75" x14ac:dyDescent="0.2">
      <c r="B3025" s="1168"/>
    </row>
    <row r="3026" spans="2:2" s="221" customFormat="1" ht="12.75" x14ac:dyDescent="0.2">
      <c r="B3026" s="1168"/>
    </row>
    <row r="3027" spans="2:2" s="221" customFormat="1" ht="12.75" x14ac:dyDescent="0.2">
      <c r="B3027" s="1168"/>
    </row>
    <row r="3028" spans="2:2" s="221" customFormat="1" ht="12.75" x14ac:dyDescent="0.2">
      <c r="B3028" s="1168"/>
    </row>
    <row r="3029" spans="2:2" s="221" customFormat="1" ht="12.75" x14ac:dyDescent="0.2">
      <c r="B3029" s="1168"/>
    </row>
    <row r="3030" spans="2:2" s="221" customFormat="1" ht="12.75" x14ac:dyDescent="0.2">
      <c r="B3030" s="1168"/>
    </row>
    <row r="3031" spans="2:2" s="221" customFormat="1" ht="12.75" x14ac:dyDescent="0.2">
      <c r="B3031" s="1168"/>
    </row>
    <row r="3032" spans="2:2" s="221" customFormat="1" ht="12.75" x14ac:dyDescent="0.2">
      <c r="B3032" s="1168"/>
    </row>
    <row r="3033" spans="2:2" s="221" customFormat="1" ht="12.75" x14ac:dyDescent="0.2">
      <c r="B3033" s="1168"/>
    </row>
    <row r="3034" spans="2:2" s="221" customFormat="1" ht="12.75" x14ac:dyDescent="0.2">
      <c r="B3034" s="1168"/>
    </row>
    <row r="3035" spans="2:2" s="221" customFormat="1" ht="12.75" x14ac:dyDescent="0.2">
      <c r="B3035" s="1168"/>
    </row>
    <row r="3036" spans="2:2" s="221" customFormat="1" ht="12.75" x14ac:dyDescent="0.2">
      <c r="B3036" s="1168"/>
    </row>
    <row r="3037" spans="2:2" s="221" customFormat="1" ht="12.75" x14ac:dyDescent="0.2">
      <c r="B3037" s="1168"/>
    </row>
    <row r="3038" spans="2:2" s="221" customFormat="1" ht="12.75" x14ac:dyDescent="0.2">
      <c r="B3038" s="1168"/>
    </row>
    <row r="3039" spans="2:2" s="221" customFormat="1" ht="12.75" x14ac:dyDescent="0.2">
      <c r="B3039" s="1168"/>
    </row>
    <row r="3040" spans="2:2" s="221" customFormat="1" ht="12.75" x14ac:dyDescent="0.2">
      <c r="B3040" s="1168"/>
    </row>
    <row r="3041" spans="2:2" s="221" customFormat="1" ht="12.75" x14ac:dyDescent="0.2">
      <c r="B3041" s="1168"/>
    </row>
    <row r="3042" spans="2:2" s="221" customFormat="1" ht="12.75" x14ac:dyDescent="0.2">
      <c r="B3042" s="1168"/>
    </row>
    <row r="3043" spans="2:2" s="221" customFormat="1" ht="12.75" x14ac:dyDescent="0.2">
      <c r="B3043" s="1168"/>
    </row>
    <row r="3044" spans="2:2" s="221" customFormat="1" ht="12.75" x14ac:dyDescent="0.2">
      <c r="B3044" s="1168"/>
    </row>
    <row r="3045" spans="2:2" s="221" customFormat="1" ht="12.75" x14ac:dyDescent="0.2">
      <c r="B3045" s="1168"/>
    </row>
    <row r="3046" spans="2:2" s="221" customFormat="1" ht="12.75" x14ac:dyDescent="0.2">
      <c r="B3046" s="1168"/>
    </row>
    <row r="3047" spans="2:2" s="221" customFormat="1" ht="12.75" x14ac:dyDescent="0.2">
      <c r="B3047" s="1168"/>
    </row>
    <row r="3048" spans="2:2" s="221" customFormat="1" ht="12.75" x14ac:dyDescent="0.2">
      <c r="B3048" s="1168"/>
    </row>
    <row r="3049" spans="2:2" s="221" customFormat="1" ht="12.75" x14ac:dyDescent="0.2">
      <c r="B3049" s="1168"/>
    </row>
    <row r="3050" spans="2:2" s="221" customFormat="1" ht="12.75" x14ac:dyDescent="0.2">
      <c r="B3050" s="1168"/>
    </row>
    <row r="3051" spans="2:2" s="221" customFormat="1" ht="12.75" x14ac:dyDescent="0.2">
      <c r="B3051" s="1168"/>
    </row>
    <row r="3052" spans="2:2" s="221" customFormat="1" ht="12.75" x14ac:dyDescent="0.2">
      <c r="B3052" s="1168"/>
    </row>
    <row r="3053" spans="2:2" s="221" customFormat="1" ht="12.75" x14ac:dyDescent="0.2">
      <c r="B3053" s="1168"/>
    </row>
    <row r="3054" spans="2:2" s="221" customFormat="1" ht="12.75" x14ac:dyDescent="0.2">
      <c r="B3054" s="1168"/>
    </row>
    <row r="3055" spans="2:2" s="221" customFormat="1" ht="12.75" x14ac:dyDescent="0.2">
      <c r="B3055" s="1168"/>
    </row>
    <row r="3056" spans="2:2" s="221" customFormat="1" ht="12.75" x14ac:dyDescent="0.2">
      <c r="B3056" s="1168"/>
    </row>
    <row r="3057" spans="2:2" s="221" customFormat="1" ht="12.75" x14ac:dyDescent="0.2">
      <c r="B3057" s="1168"/>
    </row>
    <row r="3058" spans="2:2" s="221" customFormat="1" ht="12.75" x14ac:dyDescent="0.2">
      <c r="B3058" s="1168"/>
    </row>
    <row r="3059" spans="2:2" s="221" customFormat="1" ht="12.75" x14ac:dyDescent="0.2">
      <c r="B3059" s="1168"/>
    </row>
    <row r="3060" spans="2:2" s="221" customFormat="1" ht="12.75" x14ac:dyDescent="0.2">
      <c r="B3060" s="1168"/>
    </row>
    <row r="3061" spans="2:2" s="221" customFormat="1" ht="12.75" x14ac:dyDescent="0.2">
      <c r="B3061" s="1168"/>
    </row>
    <row r="3062" spans="2:2" s="221" customFormat="1" ht="12.75" x14ac:dyDescent="0.2">
      <c r="B3062" s="1168"/>
    </row>
    <row r="3063" spans="2:2" s="221" customFormat="1" ht="12.75" x14ac:dyDescent="0.2">
      <c r="B3063" s="1168"/>
    </row>
    <row r="3064" spans="2:2" s="221" customFormat="1" ht="12.75" x14ac:dyDescent="0.2">
      <c r="B3064" s="1168"/>
    </row>
    <row r="3065" spans="2:2" s="221" customFormat="1" ht="12.75" x14ac:dyDescent="0.2">
      <c r="B3065" s="1168"/>
    </row>
    <row r="3066" spans="2:2" s="221" customFormat="1" ht="12.75" x14ac:dyDescent="0.2">
      <c r="B3066" s="1168"/>
    </row>
    <row r="3067" spans="2:2" s="221" customFormat="1" ht="12.75" x14ac:dyDescent="0.2">
      <c r="B3067" s="1168"/>
    </row>
    <row r="3068" spans="2:2" s="221" customFormat="1" ht="12.75" x14ac:dyDescent="0.2">
      <c r="B3068" s="1168"/>
    </row>
    <row r="3069" spans="2:2" s="221" customFormat="1" ht="12.75" x14ac:dyDescent="0.2">
      <c r="B3069" s="1168"/>
    </row>
    <row r="3070" spans="2:2" s="221" customFormat="1" ht="12.75" x14ac:dyDescent="0.2">
      <c r="B3070" s="1168"/>
    </row>
    <row r="3071" spans="2:2" s="221" customFormat="1" ht="12.75" x14ac:dyDescent="0.2">
      <c r="B3071" s="1168"/>
    </row>
    <row r="3072" spans="2:2" s="221" customFormat="1" ht="12.75" x14ac:dyDescent="0.2">
      <c r="B3072" s="1168"/>
    </row>
    <row r="3073" spans="2:2" s="221" customFormat="1" ht="12.75" x14ac:dyDescent="0.2">
      <c r="B3073" s="1168"/>
    </row>
    <row r="3074" spans="2:2" s="221" customFormat="1" ht="12.75" x14ac:dyDescent="0.2">
      <c r="B3074" s="1168"/>
    </row>
    <row r="3075" spans="2:2" s="221" customFormat="1" ht="12.75" x14ac:dyDescent="0.2">
      <c r="B3075" s="1168"/>
    </row>
    <row r="3076" spans="2:2" s="221" customFormat="1" ht="12.75" x14ac:dyDescent="0.2">
      <c r="B3076" s="1168"/>
    </row>
    <row r="3077" spans="2:2" s="221" customFormat="1" ht="12.75" x14ac:dyDescent="0.2">
      <c r="B3077" s="1168"/>
    </row>
    <row r="3078" spans="2:2" s="221" customFormat="1" ht="12.75" x14ac:dyDescent="0.2">
      <c r="B3078" s="1168"/>
    </row>
    <row r="3079" spans="2:2" s="221" customFormat="1" ht="12.75" x14ac:dyDescent="0.2">
      <c r="B3079" s="1168"/>
    </row>
    <row r="3080" spans="2:2" s="221" customFormat="1" ht="12.75" x14ac:dyDescent="0.2">
      <c r="B3080" s="1168"/>
    </row>
    <row r="3081" spans="2:2" s="221" customFormat="1" ht="12.75" x14ac:dyDescent="0.2">
      <c r="B3081" s="1168"/>
    </row>
    <row r="3082" spans="2:2" s="221" customFormat="1" ht="12.75" x14ac:dyDescent="0.2">
      <c r="B3082" s="1168"/>
    </row>
    <row r="3083" spans="2:2" s="221" customFormat="1" ht="12.75" x14ac:dyDescent="0.2">
      <c r="B3083" s="1168"/>
    </row>
    <row r="3084" spans="2:2" s="221" customFormat="1" ht="12.75" x14ac:dyDescent="0.2">
      <c r="B3084" s="1168"/>
    </row>
    <row r="3085" spans="2:2" s="221" customFormat="1" ht="12.75" x14ac:dyDescent="0.2">
      <c r="B3085" s="1168"/>
    </row>
    <row r="3086" spans="2:2" s="221" customFormat="1" ht="12.75" x14ac:dyDescent="0.2">
      <c r="B3086" s="1168"/>
    </row>
    <row r="3087" spans="2:2" s="221" customFormat="1" ht="12.75" x14ac:dyDescent="0.2">
      <c r="B3087" s="1168"/>
    </row>
    <row r="3088" spans="2:2" s="221" customFormat="1" ht="12.75" x14ac:dyDescent="0.2">
      <c r="B3088" s="1168"/>
    </row>
    <row r="3089" spans="2:2" s="221" customFormat="1" ht="12.75" x14ac:dyDescent="0.2">
      <c r="B3089" s="1168"/>
    </row>
    <row r="3090" spans="2:2" s="221" customFormat="1" ht="12.75" x14ac:dyDescent="0.2">
      <c r="B3090" s="1168"/>
    </row>
    <row r="3091" spans="2:2" s="221" customFormat="1" ht="12.75" x14ac:dyDescent="0.2">
      <c r="B3091" s="1168"/>
    </row>
    <row r="3092" spans="2:2" s="221" customFormat="1" ht="12.75" x14ac:dyDescent="0.2">
      <c r="B3092" s="1168"/>
    </row>
    <row r="3093" spans="2:2" s="221" customFormat="1" ht="12.75" x14ac:dyDescent="0.2">
      <c r="B3093" s="1168"/>
    </row>
    <row r="3094" spans="2:2" s="221" customFormat="1" ht="12.75" x14ac:dyDescent="0.2">
      <c r="B3094" s="1168"/>
    </row>
    <row r="3095" spans="2:2" s="221" customFormat="1" ht="12.75" x14ac:dyDescent="0.2">
      <c r="B3095" s="1168"/>
    </row>
    <row r="3096" spans="2:2" s="221" customFormat="1" ht="12.75" x14ac:dyDescent="0.2">
      <c r="B3096" s="1168"/>
    </row>
    <row r="3097" spans="2:2" s="221" customFormat="1" ht="12.75" x14ac:dyDescent="0.2">
      <c r="B3097" s="1168"/>
    </row>
    <row r="3098" spans="2:2" s="221" customFormat="1" ht="12.75" x14ac:dyDescent="0.2">
      <c r="B3098" s="1168"/>
    </row>
    <row r="3099" spans="2:2" s="221" customFormat="1" ht="12.75" x14ac:dyDescent="0.2">
      <c r="B3099" s="1168"/>
    </row>
    <row r="3100" spans="2:2" s="221" customFormat="1" ht="12.75" x14ac:dyDescent="0.2">
      <c r="B3100" s="1168"/>
    </row>
    <row r="3101" spans="2:2" s="221" customFormat="1" ht="12.75" x14ac:dyDescent="0.2">
      <c r="B3101" s="1168"/>
    </row>
    <row r="3102" spans="2:2" s="221" customFormat="1" ht="12.75" x14ac:dyDescent="0.2">
      <c r="B3102" s="1168"/>
    </row>
    <row r="3103" spans="2:2" s="221" customFormat="1" ht="12.75" x14ac:dyDescent="0.2">
      <c r="B3103" s="1168"/>
    </row>
    <row r="3104" spans="2:2" s="221" customFormat="1" ht="12.75" x14ac:dyDescent="0.2">
      <c r="B3104" s="1168"/>
    </row>
    <row r="3105" spans="2:2" s="221" customFormat="1" ht="12.75" x14ac:dyDescent="0.2">
      <c r="B3105" s="1168"/>
    </row>
    <row r="3106" spans="2:2" s="221" customFormat="1" ht="12.75" x14ac:dyDescent="0.2">
      <c r="B3106" s="1168"/>
    </row>
    <row r="3107" spans="2:2" s="221" customFormat="1" ht="12.75" x14ac:dyDescent="0.2">
      <c r="B3107" s="1168"/>
    </row>
    <row r="3108" spans="2:2" s="221" customFormat="1" ht="12.75" x14ac:dyDescent="0.2">
      <c r="B3108" s="1168"/>
    </row>
    <row r="3109" spans="2:2" s="221" customFormat="1" ht="12.75" x14ac:dyDescent="0.2">
      <c r="B3109" s="1168"/>
    </row>
    <row r="3110" spans="2:2" s="221" customFormat="1" ht="12.75" x14ac:dyDescent="0.2">
      <c r="B3110" s="1168"/>
    </row>
    <row r="3111" spans="2:2" s="221" customFormat="1" ht="12.75" x14ac:dyDescent="0.2">
      <c r="B3111" s="1168"/>
    </row>
    <row r="3112" spans="2:2" s="221" customFormat="1" ht="12.75" x14ac:dyDescent="0.2">
      <c r="B3112" s="1168"/>
    </row>
    <row r="3113" spans="2:2" s="221" customFormat="1" ht="12.75" x14ac:dyDescent="0.2">
      <c r="B3113" s="1168"/>
    </row>
    <row r="3114" spans="2:2" s="221" customFormat="1" ht="12.75" x14ac:dyDescent="0.2">
      <c r="B3114" s="1168"/>
    </row>
    <row r="3115" spans="2:2" s="221" customFormat="1" ht="12.75" x14ac:dyDescent="0.2">
      <c r="B3115" s="1168"/>
    </row>
    <row r="3116" spans="2:2" s="221" customFormat="1" ht="12.75" x14ac:dyDescent="0.2">
      <c r="B3116" s="1168"/>
    </row>
    <row r="3117" spans="2:2" s="221" customFormat="1" ht="12.75" x14ac:dyDescent="0.2">
      <c r="B3117" s="1168"/>
    </row>
    <row r="3118" spans="2:2" s="221" customFormat="1" ht="12.75" x14ac:dyDescent="0.2">
      <c r="B3118" s="1168"/>
    </row>
    <row r="3119" spans="2:2" s="221" customFormat="1" ht="12.75" x14ac:dyDescent="0.2">
      <c r="B3119" s="1168"/>
    </row>
    <row r="3120" spans="2:2" s="221" customFormat="1" ht="12.75" x14ac:dyDescent="0.2">
      <c r="B3120" s="1168"/>
    </row>
    <row r="3121" spans="2:2" s="221" customFormat="1" ht="12.75" x14ac:dyDescent="0.2">
      <c r="B3121" s="1168"/>
    </row>
    <row r="3122" spans="2:2" s="221" customFormat="1" ht="12.75" x14ac:dyDescent="0.2">
      <c r="B3122" s="1168"/>
    </row>
    <row r="3123" spans="2:2" s="221" customFormat="1" ht="12.75" x14ac:dyDescent="0.2">
      <c r="B3123" s="1168"/>
    </row>
    <row r="3124" spans="2:2" s="221" customFormat="1" ht="12.75" x14ac:dyDescent="0.2">
      <c r="B3124" s="1168"/>
    </row>
    <row r="3125" spans="2:2" s="221" customFormat="1" ht="12.75" x14ac:dyDescent="0.2">
      <c r="B3125" s="1168"/>
    </row>
    <row r="3126" spans="2:2" s="221" customFormat="1" ht="12.75" x14ac:dyDescent="0.2">
      <c r="B3126" s="1168"/>
    </row>
    <row r="3127" spans="2:2" s="221" customFormat="1" ht="12.75" x14ac:dyDescent="0.2">
      <c r="B3127" s="1168"/>
    </row>
    <row r="3128" spans="2:2" s="221" customFormat="1" ht="12.75" x14ac:dyDescent="0.2">
      <c r="B3128" s="1168"/>
    </row>
    <row r="3129" spans="2:2" s="221" customFormat="1" ht="12.75" x14ac:dyDescent="0.2">
      <c r="B3129" s="1168"/>
    </row>
    <row r="3130" spans="2:2" s="221" customFormat="1" ht="12.75" x14ac:dyDescent="0.2">
      <c r="B3130" s="1168"/>
    </row>
    <row r="3131" spans="2:2" s="221" customFormat="1" ht="12.75" x14ac:dyDescent="0.2">
      <c r="B3131" s="1168"/>
    </row>
    <row r="3132" spans="2:2" s="221" customFormat="1" ht="12.75" x14ac:dyDescent="0.2">
      <c r="B3132" s="1168"/>
    </row>
    <row r="3133" spans="2:2" s="221" customFormat="1" ht="12.75" x14ac:dyDescent="0.2">
      <c r="B3133" s="1168"/>
    </row>
    <row r="3134" spans="2:2" s="221" customFormat="1" ht="12.75" x14ac:dyDescent="0.2">
      <c r="B3134" s="1168"/>
    </row>
    <row r="3135" spans="2:2" s="221" customFormat="1" ht="12.75" x14ac:dyDescent="0.2">
      <c r="B3135" s="1168"/>
    </row>
    <row r="3136" spans="2:2" s="221" customFormat="1" ht="12.75" x14ac:dyDescent="0.2">
      <c r="B3136" s="1168"/>
    </row>
    <row r="3137" spans="2:2" s="221" customFormat="1" ht="12.75" x14ac:dyDescent="0.2">
      <c r="B3137" s="1168"/>
    </row>
    <row r="3138" spans="2:2" s="221" customFormat="1" ht="12.75" x14ac:dyDescent="0.2">
      <c r="B3138" s="1168"/>
    </row>
    <row r="3139" spans="2:2" s="221" customFormat="1" ht="12.75" x14ac:dyDescent="0.2">
      <c r="B3139" s="1168"/>
    </row>
    <row r="3140" spans="2:2" s="221" customFormat="1" ht="12.75" x14ac:dyDescent="0.2">
      <c r="B3140" s="1168"/>
    </row>
    <row r="3141" spans="2:2" s="221" customFormat="1" ht="12.75" x14ac:dyDescent="0.2">
      <c r="B3141" s="1168"/>
    </row>
    <row r="3142" spans="2:2" s="221" customFormat="1" ht="12.75" x14ac:dyDescent="0.2">
      <c r="B3142" s="1168"/>
    </row>
    <row r="3143" spans="2:2" s="221" customFormat="1" ht="12.75" x14ac:dyDescent="0.2">
      <c r="B3143" s="1168"/>
    </row>
    <row r="3144" spans="2:2" s="221" customFormat="1" ht="12.75" x14ac:dyDescent="0.2">
      <c r="B3144" s="1168"/>
    </row>
    <row r="3145" spans="2:2" s="221" customFormat="1" ht="12.75" x14ac:dyDescent="0.2">
      <c r="B3145" s="1168"/>
    </row>
    <row r="3146" spans="2:2" s="221" customFormat="1" ht="12.75" x14ac:dyDescent="0.2">
      <c r="B3146" s="1168"/>
    </row>
    <row r="3147" spans="2:2" s="221" customFormat="1" ht="12.75" x14ac:dyDescent="0.2">
      <c r="B3147" s="1168"/>
    </row>
    <row r="3148" spans="2:2" s="221" customFormat="1" ht="12.75" x14ac:dyDescent="0.2">
      <c r="B3148" s="1168"/>
    </row>
    <row r="3149" spans="2:2" s="221" customFormat="1" ht="12.75" x14ac:dyDescent="0.2">
      <c r="B3149" s="1168"/>
    </row>
    <row r="3150" spans="2:2" s="221" customFormat="1" ht="12.75" x14ac:dyDescent="0.2">
      <c r="B3150" s="1168"/>
    </row>
    <row r="3151" spans="2:2" s="221" customFormat="1" ht="12.75" x14ac:dyDescent="0.2">
      <c r="B3151" s="1168"/>
    </row>
    <row r="3152" spans="2:2" s="221" customFormat="1" ht="12.75" x14ac:dyDescent="0.2">
      <c r="B3152" s="1168"/>
    </row>
    <row r="3153" spans="2:2" s="221" customFormat="1" ht="12.75" x14ac:dyDescent="0.2">
      <c r="B3153" s="1168"/>
    </row>
    <row r="3154" spans="2:2" s="221" customFormat="1" ht="12.75" x14ac:dyDescent="0.2">
      <c r="B3154" s="1168"/>
    </row>
    <row r="3155" spans="2:2" s="221" customFormat="1" ht="12.75" x14ac:dyDescent="0.2">
      <c r="B3155" s="1168"/>
    </row>
    <row r="3156" spans="2:2" s="221" customFormat="1" ht="12.75" x14ac:dyDescent="0.2">
      <c r="B3156" s="1168"/>
    </row>
    <row r="3157" spans="2:2" s="221" customFormat="1" ht="12.75" x14ac:dyDescent="0.2">
      <c r="B3157" s="1168"/>
    </row>
    <row r="3158" spans="2:2" s="221" customFormat="1" ht="12.75" x14ac:dyDescent="0.2">
      <c r="B3158" s="1168"/>
    </row>
    <row r="3159" spans="2:2" s="221" customFormat="1" ht="12.75" x14ac:dyDescent="0.2">
      <c r="B3159" s="1168"/>
    </row>
    <row r="3160" spans="2:2" s="221" customFormat="1" ht="12.75" x14ac:dyDescent="0.2">
      <c r="B3160" s="1168"/>
    </row>
    <row r="3161" spans="2:2" s="221" customFormat="1" ht="12.75" x14ac:dyDescent="0.2">
      <c r="B3161" s="1168"/>
    </row>
    <row r="3162" spans="2:2" s="221" customFormat="1" ht="12.75" x14ac:dyDescent="0.2">
      <c r="B3162" s="1168"/>
    </row>
    <row r="3163" spans="2:2" s="221" customFormat="1" ht="12.75" x14ac:dyDescent="0.2">
      <c r="B3163" s="1168"/>
    </row>
    <row r="3164" spans="2:2" s="221" customFormat="1" ht="12.75" x14ac:dyDescent="0.2">
      <c r="B3164" s="1168"/>
    </row>
    <row r="3165" spans="2:2" s="221" customFormat="1" ht="12.75" x14ac:dyDescent="0.2">
      <c r="B3165" s="1168"/>
    </row>
    <row r="3166" spans="2:2" s="221" customFormat="1" ht="12.75" x14ac:dyDescent="0.2">
      <c r="B3166" s="1168"/>
    </row>
    <row r="3167" spans="2:2" s="221" customFormat="1" ht="12.75" x14ac:dyDescent="0.2">
      <c r="B3167" s="1168"/>
    </row>
    <row r="3168" spans="2:2" s="221" customFormat="1" ht="12.75" x14ac:dyDescent="0.2">
      <c r="B3168" s="1168"/>
    </row>
    <row r="3169" spans="2:2" s="221" customFormat="1" ht="12.75" x14ac:dyDescent="0.2">
      <c r="B3169" s="1168"/>
    </row>
    <row r="3170" spans="2:2" s="221" customFormat="1" ht="12.75" x14ac:dyDescent="0.2">
      <c r="B3170" s="1168"/>
    </row>
    <row r="3171" spans="2:2" s="221" customFormat="1" ht="12.75" x14ac:dyDescent="0.2">
      <c r="B3171" s="1168"/>
    </row>
    <row r="3172" spans="2:2" s="221" customFormat="1" ht="12.75" x14ac:dyDescent="0.2">
      <c r="B3172" s="1168"/>
    </row>
    <row r="3173" spans="2:2" s="221" customFormat="1" ht="12.75" x14ac:dyDescent="0.2">
      <c r="B3173" s="1168"/>
    </row>
    <row r="3174" spans="2:2" s="221" customFormat="1" ht="12.75" x14ac:dyDescent="0.2">
      <c r="B3174" s="1168"/>
    </row>
    <row r="3175" spans="2:2" s="221" customFormat="1" ht="12.75" x14ac:dyDescent="0.2">
      <c r="B3175" s="1168"/>
    </row>
    <row r="3176" spans="2:2" s="221" customFormat="1" ht="12.75" x14ac:dyDescent="0.2">
      <c r="B3176" s="1168"/>
    </row>
    <row r="3177" spans="2:2" s="221" customFormat="1" ht="12.75" x14ac:dyDescent="0.2">
      <c r="B3177" s="1168"/>
    </row>
    <row r="3178" spans="2:2" s="221" customFormat="1" ht="12.75" x14ac:dyDescent="0.2">
      <c r="B3178" s="1168"/>
    </row>
    <row r="3179" spans="2:2" s="221" customFormat="1" ht="12.75" x14ac:dyDescent="0.2">
      <c r="B3179" s="1168"/>
    </row>
    <row r="3180" spans="2:2" s="221" customFormat="1" ht="12.75" x14ac:dyDescent="0.2">
      <c r="B3180" s="1168"/>
    </row>
    <row r="3181" spans="2:2" s="221" customFormat="1" ht="12.75" x14ac:dyDescent="0.2">
      <c r="B3181" s="1168"/>
    </row>
    <row r="3182" spans="2:2" s="221" customFormat="1" ht="12.75" x14ac:dyDescent="0.2">
      <c r="B3182" s="1168"/>
    </row>
    <row r="3183" spans="2:2" s="221" customFormat="1" ht="12.75" x14ac:dyDescent="0.2">
      <c r="B3183" s="1168"/>
    </row>
    <row r="3184" spans="2:2" s="221" customFormat="1" ht="12.75" x14ac:dyDescent="0.2">
      <c r="B3184" s="1168"/>
    </row>
    <row r="3185" spans="2:2" s="221" customFormat="1" ht="12.75" x14ac:dyDescent="0.2">
      <c r="B3185" s="1168"/>
    </row>
    <row r="3186" spans="2:2" s="221" customFormat="1" ht="12.75" x14ac:dyDescent="0.2">
      <c r="B3186" s="1168"/>
    </row>
    <row r="3187" spans="2:2" s="221" customFormat="1" ht="12.75" x14ac:dyDescent="0.2">
      <c r="B3187" s="1168"/>
    </row>
    <row r="3188" spans="2:2" s="221" customFormat="1" ht="12.75" x14ac:dyDescent="0.2">
      <c r="B3188" s="1168"/>
    </row>
    <row r="3189" spans="2:2" s="221" customFormat="1" ht="12.75" x14ac:dyDescent="0.2">
      <c r="B3189" s="1168"/>
    </row>
    <row r="3190" spans="2:2" s="221" customFormat="1" ht="12.75" x14ac:dyDescent="0.2">
      <c r="B3190" s="1168"/>
    </row>
    <row r="3191" spans="2:2" s="221" customFormat="1" ht="12.75" x14ac:dyDescent="0.2">
      <c r="B3191" s="1168"/>
    </row>
    <row r="3192" spans="2:2" s="221" customFormat="1" ht="12.75" x14ac:dyDescent="0.2">
      <c r="B3192" s="1168"/>
    </row>
    <row r="3193" spans="2:2" s="221" customFormat="1" ht="12.75" x14ac:dyDescent="0.2">
      <c r="B3193" s="1168"/>
    </row>
    <row r="3194" spans="2:2" s="221" customFormat="1" ht="12.75" x14ac:dyDescent="0.2">
      <c r="B3194" s="1168"/>
    </row>
    <row r="3195" spans="2:2" s="221" customFormat="1" ht="12.75" x14ac:dyDescent="0.2">
      <c r="B3195" s="1168"/>
    </row>
    <row r="3196" spans="2:2" s="221" customFormat="1" ht="12.75" x14ac:dyDescent="0.2">
      <c r="B3196" s="1168"/>
    </row>
    <row r="3197" spans="2:2" s="221" customFormat="1" ht="12.75" x14ac:dyDescent="0.2">
      <c r="B3197" s="1168"/>
    </row>
    <row r="3198" spans="2:2" s="221" customFormat="1" ht="12.75" x14ac:dyDescent="0.2">
      <c r="B3198" s="1168"/>
    </row>
    <row r="3199" spans="2:2" s="221" customFormat="1" ht="12.75" x14ac:dyDescent="0.2">
      <c r="B3199" s="1168"/>
    </row>
    <row r="3200" spans="2:2" s="221" customFormat="1" ht="12.75" x14ac:dyDescent="0.2">
      <c r="B3200" s="1168"/>
    </row>
    <row r="3201" spans="2:2" s="221" customFormat="1" ht="12.75" x14ac:dyDescent="0.2">
      <c r="B3201" s="1168"/>
    </row>
    <row r="3202" spans="2:2" s="221" customFormat="1" ht="12.75" x14ac:dyDescent="0.2">
      <c r="B3202" s="1168"/>
    </row>
    <row r="3203" spans="2:2" s="221" customFormat="1" ht="12.75" x14ac:dyDescent="0.2">
      <c r="B3203" s="1168"/>
    </row>
    <row r="3204" spans="2:2" s="221" customFormat="1" ht="12.75" x14ac:dyDescent="0.2">
      <c r="B3204" s="1168"/>
    </row>
    <row r="3205" spans="2:2" s="221" customFormat="1" ht="12.75" x14ac:dyDescent="0.2">
      <c r="B3205" s="1168"/>
    </row>
    <row r="3206" spans="2:2" s="221" customFormat="1" ht="12.75" x14ac:dyDescent="0.2">
      <c r="B3206" s="1168"/>
    </row>
    <row r="3207" spans="2:2" s="221" customFormat="1" ht="12.75" x14ac:dyDescent="0.2">
      <c r="B3207" s="1168"/>
    </row>
    <row r="3208" spans="2:2" s="221" customFormat="1" ht="12.75" x14ac:dyDescent="0.2">
      <c r="B3208" s="1168"/>
    </row>
    <row r="3209" spans="2:2" s="221" customFormat="1" ht="12.75" x14ac:dyDescent="0.2">
      <c r="B3209" s="1168"/>
    </row>
    <row r="3210" spans="2:2" s="221" customFormat="1" ht="12.75" x14ac:dyDescent="0.2">
      <c r="B3210" s="1168"/>
    </row>
    <row r="3211" spans="2:2" s="221" customFormat="1" ht="12.75" x14ac:dyDescent="0.2">
      <c r="B3211" s="1168"/>
    </row>
    <row r="3212" spans="2:2" s="221" customFormat="1" ht="12.75" x14ac:dyDescent="0.2">
      <c r="B3212" s="1168"/>
    </row>
    <row r="3213" spans="2:2" s="221" customFormat="1" ht="12.75" x14ac:dyDescent="0.2">
      <c r="B3213" s="1168"/>
    </row>
    <row r="3214" spans="2:2" s="221" customFormat="1" ht="12.75" x14ac:dyDescent="0.2">
      <c r="B3214" s="1168"/>
    </row>
    <row r="3215" spans="2:2" s="221" customFormat="1" ht="12.75" x14ac:dyDescent="0.2">
      <c r="B3215" s="1168"/>
    </row>
    <row r="3216" spans="2:2" s="221" customFormat="1" ht="12.75" x14ac:dyDescent="0.2">
      <c r="B3216" s="1168"/>
    </row>
    <row r="3217" spans="2:2" s="221" customFormat="1" ht="12.75" x14ac:dyDescent="0.2">
      <c r="B3217" s="1168"/>
    </row>
    <row r="3218" spans="2:2" s="221" customFormat="1" ht="12.75" x14ac:dyDescent="0.2">
      <c r="B3218" s="1168"/>
    </row>
    <row r="3219" spans="2:2" s="221" customFormat="1" ht="12.75" x14ac:dyDescent="0.2">
      <c r="B3219" s="1168"/>
    </row>
    <row r="3220" spans="2:2" s="221" customFormat="1" ht="12.75" x14ac:dyDescent="0.2">
      <c r="B3220" s="1168"/>
    </row>
    <row r="3221" spans="2:2" s="221" customFormat="1" ht="12.75" x14ac:dyDescent="0.2">
      <c r="B3221" s="1168"/>
    </row>
    <row r="3222" spans="2:2" s="221" customFormat="1" ht="12.75" x14ac:dyDescent="0.2">
      <c r="B3222" s="1168"/>
    </row>
    <row r="3223" spans="2:2" s="221" customFormat="1" ht="12.75" x14ac:dyDescent="0.2">
      <c r="B3223" s="1168"/>
    </row>
    <row r="3224" spans="2:2" s="221" customFormat="1" ht="12.75" x14ac:dyDescent="0.2">
      <c r="B3224" s="1168"/>
    </row>
    <row r="3225" spans="2:2" s="221" customFormat="1" ht="12.75" x14ac:dyDescent="0.2">
      <c r="B3225" s="1168"/>
    </row>
    <row r="3226" spans="2:2" s="221" customFormat="1" ht="12.75" x14ac:dyDescent="0.2">
      <c r="B3226" s="1168"/>
    </row>
    <row r="3227" spans="2:2" s="221" customFormat="1" ht="12.75" x14ac:dyDescent="0.2">
      <c r="B3227" s="1168"/>
    </row>
    <row r="3228" spans="2:2" s="221" customFormat="1" ht="12.75" x14ac:dyDescent="0.2">
      <c r="B3228" s="1168"/>
    </row>
    <row r="3229" spans="2:2" s="221" customFormat="1" ht="12.75" x14ac:dyDescent="0.2">
      <c r="B3229" s="1168"/>
    </row>
    <row r="3230" spans="2:2" s="221" customFormat="1" ht="12.75" x14ac:dyDescent="0.2">
      <c r="B3230" s="1168"/>
    </row>
    <row r="3231" spans="2:2" s="221" customFormat="1" ht="12.75" x14ac:dyDescent="0.2">
      <c r="B3231" s="1168"/>
    </row>
    <row r="3232" spans="2:2" s="221" customFormat="1" ht="12.75" x14ac:dyDescent="0.2">
      <c r="B3232" s="1168"/>
    </row>
    <row r="3233" spans="2:2" s="221" customFormat="1" ht="12.75" x14ac:dyDescent="0.2">
      <c r="B3233" s="1168"/>
    </row>
    <row r="3234" spans="2:2" s="221" customFormat="1" ht="12.75" x14ac:dyDescent="0.2">
      <c r="B3234" s="1168"/>
    </row>
    <row r="3235" spans="2:2" s="221" customFormat="1" ht="12.75" x14ac:dyDescent="0.2">
      <c r="B3235" s="1168"/>
    </row>
    <row r="3236" spans="2:2" s="221" customFormat="1" ht="12.75" x14ac:dyDescent="0.2">
      <c r="B3236" s="1168"/>
    </row>
    <row r="3237" spans="2:2" s="221" customFormat="1" ht="12.75" x14ac:dyDescent="0.2">
      <c r="B3237" s="1168"/>
    </row>
    <row r="3238" spans="2:2" s="221" customFormat="1" ht="12.75" x14ac:dyDescent="0.2">
      <c r="B3238" s="1168"/>
    </row>
    <row r="3239" spans="2:2" s="221" customFormat="1" ht="12.75" x14ac:dyDescent="0.2">
      <c r="B3239" s="1168"/>
    </row>
    <row r="3240" spans="2:2" s="221" customFormat="1" ht="12.75" x14ac:dyDescent="0.2">
      <c r="B3240" s="1168"/>
    </row>
    <row r="3241" spans="2:2" s="221" customFormat="1" ht="12.75" x14ac:dyDescent="0.2">
      <c r="B3241" s="1168"/>
    </row>
    <row r="3242" spans="2:2" s="221" customFormat="1" ht="12.75" x14ac:dyDescent="0.2">
      <c r="B3242" s="1168"/>
    </row>
    <row r="3243" spans="2:2" s="221" customFormat="1" ht="12.75" x14ac:dyDescent="0.2">
      <c r="B3243" s="1168"/>
    </row>
    <row r="3244" spans="2:2" s="221" customFormat="1" ht="12.75" x14ac:dyDescent="0.2">
      <c r="B3244" s="1168"/>
    </row>
    <row r="3245" spans="2:2" s="221" customFormat="1" ht="12.75" x14ac:dyDescent="0.2">
      <c r="B3245" s="1168"/>
    </row>
    <row r="3246" spans="2:2" s="221" customFormat="1" ht="12.75" x14ac:dyDescent="0.2">
      <c r="B3246" s="1168"/>
    </row>
    <row r="3247" spans="2:2" s="221" customFormat="1" ht="12.75" x14ac:dyDescent="0.2">
      <c r="B3247" s="1168"/>
    </row>
    <row r="3248" spans="2:2" s="221" customFormat="1" ht="12.75" x14ac:dyDescent="0.2">
      <c r="B3248" s="1168"/>
    </row>
    <row r="3249" spans="2:2" s="221" customFormat="1" ht="12.75" x14ac:dyDescent="0.2">
      <c r="B3249" s="1168"/>
    </row>
    <row r="3250" spans="2:2" s="221" customFormat="1" ht="12.75" x14ac:dyDescent="0.2">
      <c r="B3250" s="1168"/>
    </row>
    <row r="3251" spans="2:2" s="221" customFormat="1" ht="12.75" x14ac:dyDescent="0.2">
      <c r="B3251" s="1168"/>
    </row>
    <row r="3252" spans="2:2" s="221" customFormat="1" ht="12.75" x14ac:dyDescent="0.2">
      <c r="B3252" s="1168"/>
    </row>
    <row r="3253" spans="2:2" s="221" customFormat="1" ht="12.75" x14ac:dyDescent="0.2">
      <c r="B3253" s="1168"/>
    </row>
    <row r="3254" spans="2:2" s="221" customFormat="1" ht="12.75" x14ac:dyDescent="0.2">
      <c r="B3254" s="1168"/>
    </row>
    <row r="3255" spans="2:2" s="221" customFormat="1" ht="12.75" x14ac:dyDescent="0.2">
      <c r="B3255" s="1168"/>
    </row>
    <row r="3256" spans="2:2" s="221" customFormat="1" ht="12.75" x14ac:dyDescent="0.2">
      <c r="B3256" s="1168"/>
    </row>
    <row r="3257" spans="2:2" s="221" customFormat="1" ht="12.75" x14ac:dyDescent="0.2">
      <c r="B3257" s="1168"/>
    </row>
    <row r="3258" spans="2:2" s="221" customFormat="1" ht="12.75" x14ac:dyDescent="0.2">
      <c r="B3258" s="1168"/>
    </row>
    <row r="3259" spans="2:2" s="221" customFormat="1" ht="12.75" x14ac:dyDescent="0.2">
      <c r="B3259" s="1168"/>
    </row>
    <row r="3260" spans="2:2" s="221" customFormat="1" ht="12.75" x14ac:dyDescent="0.2">
      <c r="B3260" s="1168"/>
    </row>
    <row r="3261" spans="2:2" s="221" customFormat="1" ht="12.75" x14ac:dyDescent="0.2">
      <c r="B3261" s="1168"/>
    </row>
    <row r="3262" spans="2:2" s="221" customFormat="1" ht="12.75" x14ac:dyDescent="0.2">
      <c r="B3262" s="1168"/>
    </row>
    <row r="3263" spans="2:2" s="221" customFormat="1" ht="12.75" x14ac:dyDescent="0.2">
      <c r="B3263" s="1168"/>
    </row>
    <row r="3264" spans="2:2" s="221" customFormat="1" ht="12.75" x14ac:dyDescent="0.2">
      <c r="B3264" s="1168"/>
    </row>
    <row r="3265" spans="2:2" s="221" customFormat="1" ht="12.75" x14ac:dyDescent="0.2">
      <c r="B3265" s="1168"/>
    </row>
    <row r="3266" spans="2:2" s="221" customFormat="1" ht="12.75" x14ac:dyDescent="0.2">
      <c r="B3266" s="1168"/>
    </row>
    <row r="3267" spans="2:2" s="221" customFormat="1" ht="12.75" x14ac:dyDescent="0.2">
      <c r="B3267" s="1168"/>
    </row>
    <row r="3268" spans="2:2" s="221" customFormat="1" ht="12.75" x14ac:dyDescent="0.2">
      <c r="B3268" s="1168"/>
    </row>
    <row r="3269" spans="2:2" s="221" customFormat="1" ht="12.75" x14ac:dyDescent="0.2">
      <c r="B3269" s="1168"/>
    </row>
    <row r="3270" spans="2:2" s="221" customFormat="1" ht="12.75" x14ac:dyDescent="0.2">
      <c r="B3270" s="1168"/>
    </row>
    <row r="3271" spans="2:2" s="221" customFormat="1" ht="12.75" x14ac:dyDescent="0.2">
      <c r="B3271" s="1168"/>
    </row>
    <row r="3272" spans="2:2" s="221" customFormat="1" ht="12.75" x14ac:dyDescent="0.2">
      <c r="B3272" s="1168"/>
    </row>
    <row r="3273" spans="2:2" s="221" customFormat="1" ht="12.75" x14ac:dyDescent="0.2">
      <c r="B3273" s="1168"/>
    </row>
    <row r="3274" spans="2:2" s="221" customFormat="1" ht="12.75" x14ac:dyDescent="0.2">
      <c r="B3274" s="1168"/>
    </row>
    <row r="3275" spans="2:2" s="221" customFormat="1" ht="12.75" x14ac:dyDescent="0.2">
      <c r="B3275" s="1168"/>
    </row>
    <row r="3276" spans="2:2" s="221" customFormat="1" ht="12.75" x14ac:dyDescent="0.2">
      <c r="B3276" s="1168"/>
    </row>
    <row r="3277" spans="2:2" s="221" customFormat="1" ht="12.75" x14ac:dyDescent="0.2">
      <c r="B3277" s="1168"/>
    </row>
    <row r="3278" spans="2:2" s="221" customFormat="1" ht="12.75" x14ac:dyDescent="0.2">
      <c r="B3278" s="1168"/>
    </row>
    <row r="3279" spans="2:2" s="221" customFormat="1" ht="12.75" x14ac:dyDescent="0.2">
      <c r="B3279" s="1168"/>
    </row>
    <row r="3280" spans="2:2" s="221" customFormat="1" ht="12.75" x14ac:dyDescent="0.2">
      <c r="B3280" s="1168"/>
    </row>
    <row r="3281" spans="2:2" s="221" customFormat="1" ht="12.75" x14ac:dyDescent="0.2">
      <c r="B3281" s="1168"/>
    </row>
    <row r="3282" spans="2:2" s="221" customFormat="1" ht="12.75" x14ac:dyDescent="0.2">
      <c r="B3282" s="1168"/>
    </row>
    <row r="3283" spans="2:2" s="221" customFormat="1" ht="12.75" x14ac:dyDescent="0.2">
      <c r="B3283" s="1168"/>
    </row>
    <row r="3284" spans="2:2" s="221" customFormat="1" ht="12.75" x14ac:dyDescent="0.2">
      <c r="B3284" s="1168"/>
    </row>
    <row r="3285" spans="2:2" s="221" customFormat="1" ht="12.75" x14ac:dyDescent="0.2">
      <c r="B3285" s="1168"/>
    </row>
    <row r="3286" spans="2:2" s="221" customFormat="1" ht="12.75" x14ac:dyDescent="0.2">
      <c r="B3286" s="1168"/>
    </row>
    <row r="3287" spans="2:2" s="221" customFormat="1" ht="12.75" x14ac:dyDescent="0.2">
      <c r="B3287" s="1168"/>
    </row>
    <row r="3288" spans="2:2" s="221" customFormat="1" ht="12.75" x14ac:dyDescent="0.2">
      <c r="B3288" s="1168"/>
    </row>
    <row r="3289" spans="2:2" s="221" customFormat="1" ht="12.75" x14ac:dyDescent="0.2">
      <c r="B3289" s="1168"/>
    </row>
    <row r="3290" spans="2:2" s="221" customFormat="1" ht="12.75" x14ac:dyDescent="0.2">
      <c r="B3290" s="1168"/>
    </row>
    <row r="3291" spans="2:2" s="221" customFormat="1" ht="12.75" x14ac:dyDescent="0.2">
      <c r="B3291" s="1168"/>
    </row>
    <row r="3292" spans="2:2" s="221" customFormat="1" ht="12.75" x14ac:dyDescent="0.2">
      <c r="B3292" s="1168"/>
    </row>
    <row r="3293" spans="2:2" s="221" customFormat="1" ht="12.75" x14ac:dyDescent="0.2">
      <c r="B3293" s="1168"/>
    </row>
    <row r="3294" spans="2:2" s="221" customFormat="1" ht="12.75" x14ac:dyDescent="0.2">
      <c r="B3294" s="1168"/>
    </row>
    <row r="3295" spans="2:2" s="221" customFormat="1" ht="12.75" x14ac:dyDescent="0.2">
      <c r="B3295" s="1168"/>
    </row>
    <row r="3296" spans="2:2" s="221" customFormat="1" ht="12.75" x14ac:dyDescent="0.2">
      <c r="B3296" s="1168"/>
    </row>
    <row r="3297" spans="2:2" s="221" customFormat="1" ht="12.75" x14ac:dyDescent="0.2">
      <c r="B3297" s="1168"/>
    </row>
    <row r="3298" spans="2:2" s="221" customFormat="1" ht="12.75" x14ac:dyDescent="0.2">
      <c r="B3298" s="1168"/>
    </row>
    <row r="3299" spans="2:2" s="221" customFormat="1" ht="12.75" x14ac:dyDescent="0.2">
      <c r="B3299" s="1168"/>
    </row>
    <row r="3300" spans="2:2" s="221" customFormat="1" ht="12.75" x14ac:dyDescent="0.2">
      <c r="B3300" s="1168"/>
    </row>
    <row r="3301" spans="2:2" s="221" customFormat="1" ht="12.75" x14ac:dyDescent="0.2">
      <c r="B3301" s="1168"/>
    </row>
    <row r="3302" spans="2:2" s="221" customFormat="1" ht="12.75" x14ac:dyDescent="0.2">
      <c r="B3302" s="1168"/>
    </row>
    <row r="3303" spans="2:2" s="221" customFormat="1" ht="12.75" x14ac:dyDescent="0.2">
      <c r="B3303" s="1168"/>
    </row>
    <row r="3304" spans="2:2" s="221" customFormat="1" ht="12.75" x14ac:dyDescent="0.2">
      <c r="B3304" s="1168"/>
    </row>
    <row r="3305" spans="2:2" s="221" customFormat="1" ht="12.75" x14ac:dyDescent="0.2">
      <c r="B3305" s="1168"/>
    </row>
    <row r="3306" spans="2:2" s="221" customFormat="1" ht="12.75" x14ac:dyDescent="0.2">
      <c r="B3306" s="1168"/>
    </row>
    <row r="3307" spans="2:2" s="221" customFormat="1" ht="12.75" x14ac:dyDescent="0.2">
      <c r="B3307" s="1168"/>
    </row>
    <row r="3308" spans="2:2" s="221" customFormat="1" ht="12.75" x14ac:dyDescent="0.2">
      <c r="B3308" s="1168"/>
    </row>
    <row r="3309" spans="2:2" s="221" customFormat="1" ht="12.75" x14ac:dyDescent="0.2">
      <c r="B3309" s="1168"/>
    </row>
    <row r="3310" spans="2:2" s="221" customFormat="1" ht="12.75" x14ac:dyDescent="0.2">
      <c r="B3310" s="1168"/>
    </row>
    <row r="3311" spans="2:2" s="221" customFormat="1" ht="12.75" x14ac:dyDescent="0.2">
      <c r="B3311" s="1168"/>
    </row>
    <row r="3312" spans="2:2" s="221" customFormat="1" ht="12.75" x14ac:dyDescent="0.2">
      <c r="B3312" s="1168"/>
    </row>
    <row r="3313" spans="2:2" s="221" customFormat="1" ht="12.75" x14ac:dyDescent="0.2">
      <c r="B3313" s="1168"/>
    </row>
    <row r="3314" spans="2:2" s="221" customFormat="1" ht="12.75" x14ac:dyDescent="0.2">
      <c r="B3314" s="1168"/>
    </row>
    <row r="3315" spans="2:2" s="221" customFormat="1" ht="12.75" x14ac:dyDescent="0.2">
      <c r="B3315" s="1168"/>
    </row>
    <row r="3316" spans="2:2" s="221" customFormat="1" ht="12.75" x14ac:dyDescent="0.2">
      <c r="B3316" s="1168"/>
    </row>
    <row r="3317" spans="2:2" s="221" customFormat="1" ht="12.75" x14ac:dyDescent="0.2">
      <c r="B3317" s="1168"/>
    </row>
    <row r="3318" spans="2:2" s="221" customFormat="1" ht="12.75" x14ac:dyDescent="0.2">
      <c r="B3318" s="1168"/>
    </row>
    <row r="3319" spans="2:2" s="221" customFormat="1" ht="12.75" x14ac:dyDescent="0.2">
      <c r="B3319" s="1168"/>
    </row>
    <row r="3320" spans="2:2" s="221" customFormat="1" ht="12.75" x14ac:dyDescent="0.2">
      <c r="B3320" s="1168"/>
    </row>
    <row r="3321" spans="2:2" s="221" customFormat="1" ht="12.75" x14ac:dyDescent="0.2">
      <c r="B3321" s="1168"/>
    </row>
    <row r="3322" spans="2:2" s="221" customFormat="1" ht="12.75" x14ac:dyDescent="0.2">
      <c r="B3322" s="1168"/>
    </row>
    <row r="3323" spans="2:2" s="221" customFormat="1" ht="12.75" x14ac:dyDescent="0.2">
      <c r="B3323" s="1168"/>
    </row>
    <row r="3324" spans="2:2" s="221" customFormat="1" ht="12.75" x14ac:dyDescent="0.2">
      <c r="B3324" s="1168"/>
    </row>
    <row r="3325" spans="2:2" s="221" customFormat="1" ht="12.75" x14ac:dyDescent="0.2">
      <c r="B3325" s="1168"/>
    </row>
    <row r="3326" spans="2:2" s="221" customFormat="1" ht="12.75" x14ac:dyDescent="0.2">
      <c r="B3326" s="1168"/>
    </row>
    <row r="3327" spans="2:2" s="221" customFormat="1" ht="12.75" x14ac:dyDescent="0.2">
      <c r="B3327" s="1168"/>
    </row>
    <row r="3328" spans="2:2" s="221" customFormat="1" ht="12.75" x14ac:dyDescent="0.2">
      <c r="B3328" s="1168"/>
    </row>
    <row r="3329" spans="2:2" s="221" customFormat="1" ht="12.75" x14ac:dyDescent="0.2">
      <c r="B3329" s="1168"/>
    </row>
    <row r="3330" spans="2:2" s="221" customFormat="1" ht="12.75" x14ac:dyDescent="0.2">
      <c r="B3330" s="1168"/>
    </row>
    <row r="3331" spans="2:2" s="221" customFormat="1" ht="12.75" x14ac:dyDescent="0.2">
      <c r="B3331" s="1168"/>
    </row>
    <row r="3332" spans="2:2" s="221" customFormat="1" ht="12.75" x14ac:dyDescent="0.2">
      <c r="B3332" s="1168"/>
    </row>
    <row r="3333" spans="2:2" s="221" customFormat="1" ht="12.75" x14ac:dyDescent="0.2">
      <c r="B3333" s="1168"/>
    </row>
    <row r="3334" spans="2:2" s="221" customFormat="1" ht="12.75" x14ac:dyDescent="0.2">
      <c r="B3334" s="1168"/>
    </row>
    <row r="3335" spans="2:2" s="221" customFormat="1" ht="12.75" x14ac:dyDescent="0.2">
      <c r="B3335" s="1168"/>
    </row>
    <row r="3336" spans="2:2" s="221" customFormat="1" ht="12.75" x14ac:dyDescent="0.2">
      <c r="B3336" s="1168"/>
    </row>
    <row r="3337" spans="2:2" s="221" customFormat="1" ht="12.75" x14ac:dyDescent="0.2">
      <c r="B3337" s="1168"/>
    </row>
    <row r="3338" spans="2:2" s="221" customFormat="1" ht="12.75" x14ac:dyDescent="0.2">
      <c r="B3338" s="1168"/>
    </row>
    <row r="3339" spans="2:2" s="221" customFormat="1" ht="12.75" x14ac:dyDescent="0.2">
      <c r="B3339" s="1168"/>
    </row>
    <row r="3340" spans="2:2" s="221" customFormat="1" ht="12.75" x14ac:dyDescent="0.2">
      <c r="B3340" s="1168"/>
    </row>
    <row r="3341" spans="2:2" s="221" customFormat="1" ht="12.75" x14ac:dyDescent="0.2">
      <c r="B3341" s="1168"/>
    </row>
    <row r="3342" spans="2:2" s="221" customFormat="1" ht="12.75" x14ac:dyDescent="0.2">
      <c r="B3342" s="1168"/>
    </row>
    <row r="3343" spans="2:2" s="221" customFormat="1" ht="12.75" x14ac:dyDescent="0.2">
      <c r="B3343" s="1168"/>
    </row>
    <row r="3344" spans="2:2" s="221" customFormat="1" ht="12.75" x14ac:dyDescent="0.2">
      <c r="B3344" s="1168"/>
    </row>
    <row r="3345" spans="2:2" s="221" customFormat="1" ht="12.75" x14ac:dyDescent="0.2">
      <c r="B3345" s="1168"/>
    </row>
    <row r="3346" spans="2:2" s="221" customFormat="1" ht="12.75" x14ac:dyDescent="0.2">
      <c r="B3346" s="1168"/>
    </row>
    <row r="3347" spans="2:2" s="221" customFormat="1" ht="12.75" x14ac:dyDescent="0.2">
      <c r="B3347" s="1168"/>
    </row>
    <row r="3348" spans="2:2" s="221" customFormat="1" ht="12.75" x14ac:dyDescent="0.2">
      <c r="B3348" s="1168"/>
    </row>
    <row r="3349" spans="2:2" s="221" customFormat="1" ht="12.75" x14ac:dyDescent="0.2">
      <c r="B3349" s="1168"/>
    </row>
    <row r="3350" spans="2:2" s="221" customFormat="1" ht="12.75" x14ac:dyDescent="0.2">
      <c r="B3350" s="1168"/>
    </row>
    <row r="3351" spans="2:2" s="221" customFormat="1" ht="12.75" x14ac:dyDescent="0.2">
      <c r="B3351" s="1168"/>
    </row>
    <row r="3352" spans="2:2" s="221" customFormat="1" ht="12.75" x14ac:dyDescent="0.2">
      <c r="B3352" s="1168"/>
    </row>
    <row r="3353" spans="2:2" s="221" customFormat="1" ht="12.75" x14ac:dyDescent="0.2">
      <c r="B3353" s="1168"/>
    </row>
    <row r="3354" spans="2:2" s="221" customFormat="1" ht="12.75" x14ac:dyDescent="0.2">
      <c r="B3354" s="1168"/>
    </row>
    <row r="3355" spans="2:2" s="221" customFormat="1" ht="12.75" x14ac:dyDescent="0.2">
      <c r="B3355" s="1168"/>
    </row>
    <row r="3356" spans="2:2" s="221" customFormat="1" ht="12.75" x14ac:dyDescent="0.2">
      <c r="B3356" s="1168"/>
    </row>
    <row r="3357" spans="2:2" s="221" customFormat="1" ht="12.75" x14ac:dyDescent="0.2">
      <c r="B3357" s="1168"/>
    </row>
    <row r="3358" spans="2:2" s="221" customFormat="1" ht="12.75" x14ac:dyDescent="0.2">
      <c r="B3358" s="1168"/>
    </row>
    <row r="3359" spans="2:2" s="221" customFormat="1" ht="12.75" x14ac:dyDescent="0.2">
      <c r="B3359" s="1168"/>
    </row>
    <row r="3360" spans="2:2" s="221" customFormat="1" ht="12.75" x14ac:dyDescent="0.2">
      <c r="B3360" s="1168"/>
    </row>
    <row r="3361" spans="2:2" s="221" customFormat="1" ht="12.75" x14ac:dyDescent="0.2">
      <c r="B3361" s="1168"/>
    </row>
    <row r="3362" spans="2:2" s="221" customFormat="1" ht="12.75" x14ac:dyDescent="0.2">
      <c r="B3362" s="1168"/>
    </row>
    <row r="3363" spans="2:2" s="221" customFormat="1" ht="12.75" x14ac:dyDescent="0.2">
      <c r="B3363" s="1168"/>
    </row>
    <row r="3364" spans="2:2" s="221" customFormat="1" ht="12.75" x14ac:dyDescent="0.2">
      <c r="B3364" s="1168"/>
    </row>
    <row r="3365" spans="2:2" s="221" customFormat="1" ht="12.75" x14ac:dyDescent="0.2">
      <c r="B3365" s="1168"/>
    </row>
    <row r="3366" spans="2:2" s="221" customFormat="1" ht="12.75" x14ac:dyDescent="0.2">
      <c r="B3366" s="1168"/>
    </row>
    <row r="3367" spans="2:2" s="221" customFormat="1" ht="12.75" x14ac:dyDescent="0.2">
      <c r="B3367" s="1168"/>
    </row>
    <row r="3368" spans="2:2" s="221" customFormat="1" ht="12.75" x14ac:dyDescent="0.2">
      <c r="B3368" s="1168"/>
    </row>
    <row r="3369" spans="2:2" s="221" customFormat="1" ht="12.75" x14ac:dyDescent="0.2">
      <c r="B3369" s="1168"/>
    </row>
    <row r="3370" spans="2:2" s="221" customFormat="1" ht="12.75" x14ac:dyDescent="0.2">
      <c r="B3370" s="1168"/>
    </row>
    <row r="3371" spans="2:2" s="221" customFormat="1" ht="12.75" x14ac:dyDescent="0.2">
      <c r="B3371" s="1168"/>
    </row>
    <row r="3372" spans="2:2" s="221" customFormat="1" ht="12.75" x14ac:dyDescent="0.2">
      <c r="B3372" s="1168"/>
    </row>
    <row r="3373" spans="2:2" s="221" customFormat="1" ht="12.75" x14ac:dyDescent="0.2">
      <c r="B3373" s="1168"/>
    </row>
    <row r="3374" spans="2:2" s="221" customFormat="1" ht="12.75" x14ac:dyDescent="0.2">
      <c r="B3374" s="1168"/>
    </row>
    <row r="3375" spans="2:2" s="221" customFormat="1" ht="12.75" x14ac:dyDescent="0.2">
      <c r="B3375" s="1168"/>
    </row>
    <row r="3376" spans="2:2" s="221" customFormat="1" ht="12.75" x14ac:dyDescent="0.2">
      <c r="B3376" s="1168"/>
    </row>
    <row r="3377" spans="2:2" s="221" customFormat="1" ht="12.75" x14ac:dyDescent="0.2">
      <c r="B3377" s="1168"/>
    </row>
    <row r="3378" spans="2:2" s="221" customFormat="1" ht="12.75" x14ac:dyDescent="0.2">
      <c r="B3378" s="1168"/>
    </row>
    <row r="3379" spans="2:2" s="221" customFormat="1" ht="12.75" x14ac:dyDescent="0.2">
      <c r="B3379" s="1168"/>
    </row>
    <row r="3380" spans="2:2" s="221" customFormat="1" ht="12.75" x14ac:dyDescent="0.2">
      <c r="B3380" s="1168"/>
    </row>
    <row r="3381" spans="2:2" s="221" customFormat="1" ht="12.75" x14ac:dyDescent="0.2">
      <c r="B3381" s="1168"/>
    </row>
    <row r="3382" spans="2:2" s="221" customFormat="1" ht="12.75" x14ac:dyDescent="0.2">
      <c r="B3382" s="1168"/>
    </row>
    <row r="3383" spans="2:2" s="221" customFormat="1" ht="12.75" x14ac:dyDescent="0.2">
      <c r="B3383" s="1168"/>
    </row>
    <row r="3384" spans="2:2" s="221" customFormat="1" ht="12.75" x14ac:dyDescent="0.2">
      <c r="B3384" s="1168"/>
    </row>
    <row r="3385" spans="2:2" s="221" customFormat="1" ht="12.75" x14ac:dyDescent="0.2">
      <c r="B3385" s="1168"/>
    </row>
    <row r="3386" spans="2:2" s="221" customFormat="1" ht="12.75" x14ac:dyDescent="0.2">
      <c r="B3386" s="1168"/>
    </row>
    <row r="3387" spans="2:2" s="221" customFormat="1" ht="12.75" x14ac:dyDescent="0.2">
      <c r="B3387" s="1168"/>
    </row>
    <row r="3388" spans="2:2" s="221" customFormat="1" ht="12.75" x14ac:dyDescent="0.2">
      <c r="B3388" s="1168"/>
    </row>
    <row r="3389" spans="2:2" s="221" customFormat="1" ht="12.75" x14ac:dyDescent="0.2">
      <c r="B3389" s="1168"/>
    </row>
    <row r="3390" spans="2:2" s="221" customFormat="1" ht="12.75" x14ac:dyDescent="0.2">
      <c r="B3390" s="1168"/>
    </row>
    <row r="3391" spans="2:2" s="221" customFormat="1" ht="12.75" x14ac:dyDescent="0.2">
      <c r="B3391" s="1168"/>
    </row>
    <row r="3392" spans="2:2" s="221" customFormat="1" ht="12.75" x14ac:dyDescent="0.2">
      <c r="B3392" s="1168"/>
    </row>
    <row r="3393" spans="2:2" s="221" customFormat="1" ht="12.75" x14ac:dyDescent="0.2">
      <c r="B3393" s="1168"/>
    </row>
    <row r="3394" spans="2:2" s="221" customFormat="1" ht="12.75" x14ac:dyDescent="0.2">
      <c r="B3394" s="1168"/>
    </row>
    <row r="3395" spans="2:2" s="221" customFormat="1" ht="12.75" x14ac:dyDescent="0.2">
      <c r="B3395" s="1168"/>
    </row>
    <row r="3396" spans="2:2" s="221" customFormat="1" ht="12.75" x14ac:dyDescent="0.2">
      <c r="B3396" s="1168"/>
    </row>
    <row r="3397" spans="2:2" s="221" customFormat="1" ht="12.75" x14ac:dyDescent="0.2">
      <c r="B3397" s="1168"/>
    </row>
    <row r="3398" spans="2:2" s="221" customFormat="1" ht="12.75" x14ac:dyDescent="0.2">
      <c r="B3398" s="1168"/>
    </row>
    <row r="3399" spans="2:2" s="221" customFormat="1" ht="12.75" x14ac:dyDescent="0.2">
      <c r="B3399" s="1168"/>
    </row>
    <row r="3400" spans="2:2" s="221" customFormat="1" ht="12.75" x14ac:dyDescent="0.2">
      <c r="B3400" s="1168"/>
    </row>
    <row r="3401" spans="2:2" s="221" customFormat="1" ht="12.75" x14ac:dyDescent="0.2">
      <c r="B3401" s="1168"/>
    </row>
    <row r="3402" spans="2:2" s="221" customFormat="1" ht="12.75" x14ac:dyDescent="0.2">
      <c r="B3402" s="1168"/>
    </row>
    <row r="3403" spans="2:2" s="221" customFormat="1" ht="12.75" x14ac:dyDescent="0.2">
      <c r="B3403" s="1168"/>
    </row>
    <row r="3404" spans="2:2" s="221" customFormat="1" ht="12.75" x14ac:dyDescent="0.2">
      <c r="B3404" s="1168"/>
    </row>
    <row r="3405" spans="2:2" s="221" customFormat="1" ht="12.75" x14ac:dyDescent="0.2">
      <c r="B3405" s="1168"/>
    </row>
    <row r="3406" spans="2:2" s="221" customFormat="1" ht="12.75" x14ac:dyDescent="0.2">
      <c r="B3406" s="1168"/>
    </row>
    <row r="3407" spans="2:2" s="221" customFormat="1" ht="12.75" x14ac:dyDescent="0.2">
      <c r="B3407" s="1168"/>
    </row>
    <row r="3408" spans="2:2" s="221" customFormat="1" ht="12.75" x14ac:dyDescent="0.2">
      <c r="B3408" s="1168"/>
    </row>
    <row r="3409" spans="2:2" s="221" customFormat="1" ht="12.75" x14ac:dyDescent="0.2">
      <c r="B3409" s="1168"/>
    </row>
    <row r="3410" spans="2:2" s="221" customFormat="1" ht="12.75" x14ac:dyDescent="0.2">
      <c r="B3410" s="1168"/>
    </row>
    <row r="3411" spans="2:2" s="221" customFormat="1" ht="12.75" x14ac:dyDescent="0.2">
      <c r="B3411" s="1168"/>
    </row>
    <row r="3412" spans="2:2" s="221" customFormat="1" ht="12.75" x14ac:dyDescent="0.2">
      <c r="B3412" s="1168"/>
    </row>
    <row r="3413" spans="2:2" s="221" customFormat="1" ht="12.75" x14ac:dyDescent="0.2">
      <c r="B3413" s="1168"/>
    </row>
    <row r="3414" spans="2:2" s="221" customFormat="1" ht="12.75" x14ac:dyDescent="0.2">
      <c r="B3414" s="1168"/>
    </row>
    <row r="3415" spans="2:2" s="221" customFormat="1" ht="12.75" x14ac:dyDescent="0.2">
      <c r="B3415" s="1168"/>
    </row>
    <row r="3416" spans="2:2" s="221" customFormat="1" ht="12.75" x14ac:dyDescent="0.2">
      <c r="B3416" s="1168"/>
    </row>
    <row r="3417" spans="2:2" s="221" customFormat="1" ht="12.75" x14ac:dyDescent="0.2">
      <c r="B3417" s="1168"/>
    </row>
    <row r="3418" spans="2:2" s="221" customFormat="1" ht="12.75" x14ac:dyDescent="0.2">
      <c r="B3418" s="1168"/>
    </row>
    <row r="3419" spans="2:2" s="221" customFormat="1" ht="12.75" x14ac:dyDescent="0.2">
      <c r="B3419" s="1168"/>
    </row>
    <row r="3420" spans="2:2" s="221" customFormat="1" ht="12.75" x14ac:dyDescent="0.2">
      <c r="B3420" s="1168"/>
    </row>
    <row r="3421" spans="2:2" s="221" customFormat="1" ht="12.75" x14ac:dyDescent="0.2">
      <c r="B3421" s="1168"/>
    </row>
    <row r="3422" spans="2:2" s="221" customFormat="1" ht="12.75" x14ac:dyDescent="0.2">
      <c r="B3422" s="1168"/>
    </row>
    <row r="3423" spans="2:2" s="221" customFormat="1" ht="12.75" x14ac:dyDescent="0.2">
      <c r="B3423" s="1168"/>
    </row>
    <row r="3424" spans="2:2" s="221" customFormat="1" ht="12.75" x14ac:dyDescent="0.2">
      <c r="B3424" s="1168"/>
    </row>
    <row r="3425" spans="2:2" s="221" customFormat="1" ht="12.75" x14ac:dyDescent="0.2">
      <c r="B3425" s="1168"/>
    </row>
    <row r="3426" spans="2:2" s="221" customFormat="1" ht="12.75" x14ac:dyDescent="0.2">
      <c r="B3426" s="1168"/>
    </row>
    <row r="3427" spans="2:2" s="221" customFormat="1" ht="12.75" x14ac:dyDescent="0.2">
      <c r="B3427" s="1168"/>
    </row>
    <row r="3428" spans="2:2" s="221" customFormat="1" ht="12.75" x14ac:dyDescent="0.2">
      <c r="B3428" s="1168"/>
    </row>
    <row r="3429" spans="2:2" s="221" customFormat="1" ht="12.75" x14ac:dyDescent="0.2">
      <c r="B3429" s="1168"/>
    </row>
    <row r="3430" spans="2:2" s="221" customFormat="1" ht="12.75" x14ac:dyDescent="0.2">
      <c r="B3430" s="1168"/>
    </row>
    <row r="3431" spans="2:2" s="221" customFormat="1" ht="12.75" x14ac:dyDescent="0.2">
      <c r="B3431" s="1168"/>
    </row>
    <row r="3432" spans="2:2" s="221" customFormat="1" ht="12.75" x14ac:dyDescent="0.2">
      <c r="B3432" s="1168"/>
    </row>
    <row r="3433" spans="2:2" s="221" customFormat="1" ht="12.75" x14ac:dyDescent="0.2">
      <c r="B3433" s="1168"/>
    </row>
    <row r="3434" spans="2:2" s="221" customFormat="1" ht="12.75" x14ac:dyDescent="0.2">
      <c r="B3434" s="1168"/>
    </row>
    <row r="3435" spans="2:2" s="221" customFormat="1" ht="12.75" x14ac:dyDescent="0.2">
      <c r="B3435" s="1168"/>
    </row>
    <row r="3436" spans="2:2" s="221" customFormat="1" ht="12.75" x14ac:dyDescent="0.2">
      <c r="B3436" s="1168"/>
    </row>
    <row r="3437" spans="2:2" s="221" customFormat="1" ht="12.75" x14ac:dyDescent="0.2">
      <c r="B3437" s="1168"/>
    </row>
    <row r="3438" spans="2:2" s="221" customFormat="1" ht="12.75" x14ac:dyDescent="0.2">
      <c r="B3438" s="1168"/>
    </row>
    <row r="3439" spans="2:2" s="221" customFormat="1" ht="12.75" x14ac:dyDescent="0.2">
      <c r="B3439" s="1168"/>
    </row>
    <row r="3440" spans="2:2" s="221" customFormat="1" ht="12.75" x14ac:dyDescent="0.2">
      <c r="B3440" s="1168"/>
    </row>
    <row r="3441" spans="2:2" s="221" customFormat="1" ht="12.75" x14ac:dyDescent="0.2">
      <c r="B3441" s="1168"/>
    </row>
    <row r="3442" spans="2:2" s="221" customFormat="1" ht="12.75" x14ac:dyDescent="0.2">
      <c r="B3442" s="1168"/>
    </row>
    <row r="3443" spans="2:2" s="221" customFormat="1" ht="12.75" x14ac:dyDescent="0.2">
      <c r="B3443" s="1168"/>
    </row>
    <row r="3444" spans="2:2" s="221" customFormat="1" ht="12.75" x14ac:dyDescent="0.2">
      <c r="B3444" s="1168"/>
    </row>
    <row r="3445" spans="2:2" s="221" customFormat="1" ht="12.75" x14ac:dyDescent="0.2">
      <c r="B3445" s="1168"/>
    </row>
    <row r="3446" spans="2:2" s="221" customFormat="1" ht="12.75" x14ac:dyDescent="0.2">
      <c r="B3446" s="1168"/>
    </row>
    <row r="3447" spans="2:2" s="221" customFormat="1" ht="12.75" x14ac:dyDescent="0.2">
      <c r="B3447" s="1168"/>
    </row>
    <row r="3448" spans="2:2" s="221" customFormat="1" ht="12.75" x14ac:dyDescent="0.2">
      <c r="B3448" s="1168"/>
    </row>
    <row r="3449" spans="2:2" s="221" customFormat="1" ht="12.75" x14ac:dyDescent="0.2">
      <c r="B3449" s="1168"/>
    </row>
    <row r="3450" spans="2:2" s="221" customFormat="1" ht="12.75" x14ac:dyDescent="0.2">
      <c r="B3450" s="1168"/>
    </row>
    <row r="3451" spans="2:2" s="221" customFormat="1" ht="12.75" x14ac:dyDescent="0.2">
      <c r="B3451" s="1168"/>
    </row>
    <row r="3452" spans="2:2" s="221" customFormat="1" ht="12.75" x14ac:dyDescent="0.2">
      <c r="B3452" s="1168"/>
    </row>
    <row r="3453" spans="2:2" s="221" customFormat="1" ht="12.75" x14ac:dyDescent="0.2">
      <c r="B3453" s="1168"/>
    </row>
    <row r="3454" spans="2:2" s="221" customFormat="1" ht="12.75" x14ac:dyDescent="0.2">
      <c r="B3454" s="1168"/>
    </row>
    <row r="3455" spans="2:2" s="221" customFormat="1" ht="12.75" x14ac:dyDescent="0.2">
      <c r="B3455" s="1168"/>
    </row>
    <row r="3456" spans="2:2" s="221" customFormat="1" ht="12.75" x14ac:dyDescent="0.2">
      <c r="B3456" s="1168"/>
    </row>
    <row r="3457" spans="2:2" s="221" customFormat="1" ht="12.75" x14ac:dyDescent="0.2">
      <c r="B3457" s="1168"/>
    </row>
    <row r="3458" spans="2:2" s="221" customFormat="1" ht="12.75" x14ac:dyDescent="0.2">
      <c r="B3458" s="1168"/>
    </row>
    <row r="3459" spans="2:2" s="221" customFormat="1" ht="12.75" x14ac:dyDescent="0.2">
      <c r="B3459" s="1168"/>
    </row>
    <row r="3460" spans="2:2" s="221" customFormat="1" ht="12.75" x14ac:dyDescent="0.2">
      <c r="B3460" s="1168"/>
    </row>
    <row r="3461" spans="2:2" s="221" customFormat="1" ht="12.75" x14ac:dyDescent="0.2">
      <c r="B3461" s="1168"/>
    </row>
    <row r="3462" spans="2:2" s="221" customFormat="1" ht="12.75" x14ac:dyDescent="0.2">
      <c r="B3462" s="1168"/>
    </row>
    <row r="3463" spans="2:2" s="221" customFormat="1" ht="12.75" x14ac:dyDescent="0.2">
      <c r="B3463" s="1168"/>
    </row>
    <row r="3464" spans="2:2" s="221" customFormat="1" ht="12.75" x14ac:dyDescent="0.2">
      <c r="B3464" s="1168"/>
    </row>
    <row r="3465" spans="2:2" s="221" customFormat="1" ht="12.75" x14ac:dyDescent="0.2">
      <c r="B3465" s="1168"/>
    </row>
    <row r="3466" spans="2:2" s="221" customFormat="1" ht="12.75" x14ac:dyDescent="0.2">
      <c r="B3466" s="1168"/>
    </row>
    <row r="3467" spans="2:2" s="221" customFormat="1" ht="12.75" x14ac:dyDescent="0.2">
      <c r="B3467" s="1168"/>
    </row>
    <row r="3468" spans="2:2" s="221" customFormat="1" ht="12.75" x14ac:dyDescent="0.2">
      <c r="B3468" s="1168"/>
    </row>
    <row r="3469" spans="2:2" s="221" customFormat="1" ht="12.75" x14ac:dyDescent="0.2">
      <c r="B3469" s="1168"/>
    </row>
    <row r="3470" spans="2:2" s="221" customFormat="1" ht="12.75" x14ac:dyDescent="0.2">
      <c r="B3470" s="1168"/>
    </row>
    <row r="3471" spans="2:2" s="221" customFormat="1" ht="12.75" x14ac:dyDescent="0.2">
      <c r="B3471" s="1168"/>
    </row>
    <row r="3472" spans="2:2" s="221" customFormat="1" ht="12.75" x14ac:dyDescent="0.2">
      <c r="B3472" s="1168"/>
    </row>
    <row r="3473" spans="2:2" s="221" customFormat="1" ht="12.75" x14ac:dyDescent="0.2">
      <c r="B3473" s="1168"/>
    </row>
    <row r="3474" spans="2:2" s="221" customFormat="1" ht="12.75" x14ac:dyDescent="0.2">
      <c r="B3474" s="1168"/>
    </row>
    <row r="3475" spans="2:2" s="221" customFormat="1" ht="12.75" x14ac:dyDescent="0.2">
      <c r="B3475" s="1168"/>
    </row>
    <row r="3476" spans="2:2" s="221" customFormat="1" ht="12.75" x14ac:dyDescent="0.2">
      <c r="B3476" s="1168"/>
    </row>
    <row r="3477" spans="2:2" s="221" customFormat="1" ht="12.75" x14ac:dyDescent="0.2">
      <c r="B3477" s="1168"/>
    </row>
    <row r="3478" spans="2:2" s="221" customFormat="1" ht="12.75" x14ac:dyDescent="0.2">
      <c r="B3478" s="1168"/>
    </row>
    <row r="3479" spans="2:2" s="221" customFormat="1" ht="12.75" x14ac:dyDescent="0.2">
      <c r="B3479" s="1168"/>
    </row>
    <row r="3480" spans="2:2" s="221" customFormat="1" ht="12.75" x14ac:dyDescent="0.2">
      <c r="B3480" s="1168"/>
    </row>
    <row r="3481" spans="2:2" s="221" customFormat="1" ht="12.75" x14ac:dyDescent="0.2">
      <c r="B3481" s="1168"/>
    </row>
    <row r="3482" spans="2:2" s="221" customFormat="1" ht="12.75" x14ac:dyDescent="0.2">
      <c r="B3482" s="1168"/>
    </row>
    <row r="3483" spans="2:2" s="221" customFormat="1" ht="12.75" x14ac:dyDescent="0.2">
      <c r="B3483" s="1168"/>
    </row>
    <row r="3484" spans="2:2" s="221" customFormat="1" ht="12.75" x14ac:dyDescent="0.2">
      <c r="B3484" s="1168"/>
    </row>
    <row r="3485" spans="2:2" s="221" customFormat="1" ht="12.75" x14ac:dyDescent="0.2">
      <c r="B3485" s="1168"/>
    </row>
    <row r="3486" spans="2:2" s="221" customFormat="1" ht="12.75" x14ac:dyDescent="0.2">
      <c r="B3486" s="1168"/>
    </row>
    <row r="3487" spans="2:2" s="221" customFormat="1" ht="12.75" x14ac:dyDescent="0.2">
      <c r="B3487" s="1168"/>
    </row>
    <row r="3488" spans="2:2" s="221" customFormat="1" ht="12.75" x14ac:dyDescent="0.2">
      <c r="B3488" s="1168"/>
    </row>
    <row r="3489" spans="2:2" s="221" customFormat="1" ht="12.75" x14ac:dyDescent="0.2">
      <c r="B3489" s="1168"/>
    </row>
    <row r="3490" spans="2:2" s="221" customFormat="1" ht="12.75" x14ac:dyDescent="0.2">
      <c r="B3490" s="1168"/>
    </row>
    <row r="3491" spans="2:2" s="221" customFormat="1" ht="12.75" x14ac:dyDescent="0.2">
      <c r="B3491" s="1168"/>
    </row>
    <row r="3492" spans="2:2" s="221" customFormat="1" ht="12.75" x14ac:dyDescent="0.2">
      <c r="B3492" s="1168"/>
    </row>
    <row r="3493" spans="2:2" s="221" customFormat="1" ht="12.75" x14ac:dyDescent="0.2">
      <c r="B3493" s="1168"/>
    </row>
    <row r="3494" spans="2:2" s="221" customFormat="1" ht="12.75" x14ac:dyDescent="0.2">
      <c r="B3494" s="1168"/>
    </row>
    <row r="3495" spans="2:2" s="221" customFormat="1" ht="12.75" x14ac:dyDescent="0.2">
      <c r="B3495" s="1168"/>
    </row>
    <row r="3496" spans="2:2" s="221" customFormat="1" ht="12.75" x14ac:dyDescent="0.2">
      <c r="B3496" s="1168"/>
    </row>
    <row r="3497" spans="2:2" s="221" customFormat="1" ht="12.75" x14ac:dyDescent="0.2">
      <c r="B3497" s="1168"/>
    </row>
    <row r="3498" spans="2:2" s="221" customFormat="1" ht="12.75" x14ac:dyDescent="0.2">
      <c r="B3498" s="1168"/>
    </row>
    <row r="3499" spans="2:2" s="221" customFormat="1" ht="12.75" x14ac:dyDescent="0.2">
      <c r="B3499" s="1168"/>
    </row>
    <row r="3500" spans="2:2" s="221" customFormat="1" ht="12.75" x14ac:dyDescent="0.2">
      <c r="B3500" s="1168"/>
    </row>
    <row r="3501" spans="2:2" s="221" customFormat="1" ht="12.75" x14ac:dyDescent="0.2">
      <c r="B3501" s="1168"/>
    </row>
    <row r="3502" spans="2:2" s="221" customFormat="1" ht="12.75" x14ac:dyDescent="0.2">
      <c r="B3502" s="1168"/>
    </row>
    <row r="3503" spans="2:2" s="221" customFormat="1" ht="12.75" x14ac:dyDescent="0.2">
      <c r="B3503" s="1168"/>
    </row>
    <row r="3504" spans="2:2" s="221" customFormat="1" ht="12.75" x14ac:dyDescent="0.2">
      <c r="B3504" s="1168"/>
    </row>
    <row r="3505" spans="2:2" s="221" customFormat="1" ht="12.75" x14ac:dyDescent="0.2">
      <c r="B3505" s="1168"/>
    </row>
    <row r="3506" spans="2:2" s="221" customFormat="1" ht="12.75" x14ac:dyDescent="0.2">
      <c r="B3506" s="1168"/>
    </row>
    <row r="3507" spans="2:2" s="221" customFormat="1" ht="12.75" x14ac:dyDescent="0.2">
      <c r="B3507" s="1168"/>
    </row>
    <row r="3508" spans="2:2" s="221" customFormat="1" ht="12.75" x14ac:dyDescent="0.2">
      <c r="B3508" s="1168"/>
    </row>
    <row r="3509" spans="2:2" s="221" customFormat="1" ht="12.75" x14ac:dyDescent="0.2">
      <c r="B3509" s="1168"/>
    </row>
    <row r="3510" spans="2:2" s="221" customFormat="1" ht="12.75" x14ac:dyDescent="0.2">
      <c r="B3510" s="1168"/>
    </row>
    <row r="3511" spans="2:2" s="221" customFormat="1" ht="12.75" x14ac:dyDescent="0.2">
      <c r="B3511" s="1168"/>
    </row>
    <row r="3512" spans="2:2" s="221" customFormat="1" ht="12.75" x14ac:dyDescent="0.2">
      <c r="B3512" s="1168"/>
    </row>
    <row r="3513" spans="2:2" s="221" customFormat="1" ht="12.75" x14ac:dyDescent="0.2">
      <c r="B3513" s="1168"/>
    </row>
    <row r="3514" spans="2:2" s="221" customFormat="1" ht="12.75" x14ac:dyDescent="0.2">
      <c r="B3514" s="1168"/>
    </row>
    <row r="3515" spans="2:2" s="221" customFormat="1" ht="12.75" x14ac:dyDescent="0.2">
      <c r="B3515" s="1168"/>
    </row>
    <row r="3516" spans="2:2" s="221" customFormat="1" ht="12.75" x14ac:dyDescent="0.2">
      <c r="B3516" s="1168"/>
    </row>
    <row r="3517" spans="2:2" s="221" customFormat="1" ht="12.75" x14ac:dyDescent="0.2">
      <c r="B3517" s="1168"/>
    </row>
    <row r="3518" spans="2:2" s="221" customFormat="1" ht="12.75" x14ac:dyDescent="0.2">
      <c r="B3518" s="1168"/>
    </row>
    <row r="3519" spans="2:2" s="221" customFormat="1" ht="12.75" x14ac:dyDescent="0.2">
      <c r="B3519" s="1168"/>
    </row>
    <row r="3520" spans="2:2" s="221" customFormat="1" ht="12.75" x14ac:dyDescent="0.2">
      <c r="B3520" s="1168"/>
    </row>
    <row r="3521" spans="2:2" s="221" customFormat="1" ht="12.75" x14ac:dyDescent="0.2">
      <c r="B3521" s="1168"/>
    </row>
    <row r="3522" spans="2:2" s="221" customFormat="1" ht="12.75" x14ac:dyDescent="0.2">
      <c r="B3522" s="1168"/>
    </row>
    <row r="3523" spans="2:2" s="221" customFormat="1" ht="12.75" x14ac:dyDescent="0.2">
      <c r="B3523" s="1168"/>
    </row>
    <row r="3524" spans="2:2" s="221" customFormat="1" ht="12.75" x14ac:dyDescent="0.2">
      <c r="B3524" s="1168"/>
    </row>
    <row r="3525" spans="2:2" s="221" customFormat="1" ht="12.75" x14ac:dyDescent="0.2">
      <c r="B3525" s="1168"/>
    </row>
    <row r="3526" spans="2:2" s="221" customFormat="1" ht="12.75" x14ac:dyDescent="0.2">
      <c r="B3526" s="1168"/>
    </row>
    <row r="3527" spans="2:2" s="221" customFormat="1" ht="12.75" x14ac:dyDescent="0.2">
      <c r="B3527" s="1168"/>
    </row>
    <row r="3528" spans="2:2" s="221" customFormat="1" ht="12.75" x14ac:dyDescent="0.2">
      <c r="B3528" s="1168"/>
    </row>
    <row r="3529" spans="2:2" s="221" customFormat="1" ht="12.75" x14ac:dyDescent="0.2">
      <c r="B3529" s="1168"/>
    </row>
    <row r="3530" spans="2:2" s="221" customFormat="1" ht="12.75" x14ac:dyDescent="0.2">
      <c r="B3530" s="1168"/>
    </row>
    <row r="3531" spans="2:2" s="221" customFormat="1" ht="12.75" x14ac:dyDescent="0.2">
      <c r="B3531" s="1168"/>
    </row>
    <row r="3532" spans="2:2" s="221" customFormat="1" ht="12.75" x14ac:dyDescent="0.2">
      <c r="B3532" s="1168"/>
    </row>
    <row r="3533" spans="2:2" s="221" customFormat="1" ht="12.75" x14ac:dyDescent="0.2">
      <c r="B3533" s="1168"/>
    </row>
    <row r="3534" spans="2:2" s="221" customFormat="1" ht="12.75" x14ac:dyDescent="0.2">
      <c r="B3534" s="1168"/>
    </row>
    <row r="3535" spans="2:2" s="221" customFormat="1" ht="12.75" x14ac:dyDescent="0.2">
      <c r="B3535" s="1168"/>
    </row>
    <row r="3536" spans="2:2" s="221" customFormat="1" ht="12.75" x14ac:dyDescent="0.2">
      <c r="B3536" s="1168"/>
    </row>
    <row r="3537" spans="2:2" s="221" customFormat="1" ht="12.75" x14ac:dyDescent="0.2">
      <c r="B3537" s="1168"/>
    </row>
    <row r="3538" spans="2:2" s="221" customFormat="1" ht="12.75" x14ac:dyDescent="0.2">
      <c r="B3538" s="1168"/>
    </row>
    <row r="3539" spans="2:2" s="221" customFormat="1" ht="12.75" x14ac:dyDescent="0.2">
      <c r="B3539" s="1168"/>
    </row>
    <row r="3540" spans="2:2" s="221" customFormat="1" ht="12.75" x14ac:dyDescent="0.2">
      <c r="B3540" s="1168"/>
    </row>
    <row r="3541" spans="2:2" s="221" customFormat="1" ht="12.75" x14ac:dyDescent="0.2">
      <c r="B3541" s="1168"/>
    </row>
    <row r="3542" spans="2:2" s="221" customFormat="1" ht="12.75" x14ac:dyDescent="0.2">
      <c r="B3542" s="1168"/>
    </row>
    <row r="3543" spans="2:2" s="221" customFormat="1" ht="12.75" x14ac:dyDescent="0.2">
      <c r="B3543" s="1168"/>
    </row>
    <row r="3544" spans="2:2" s="221" customFormat="1" ht="12.75" x14ac:dyDescent="0.2">
      <c r="B3544" s="1168"/>
    </row>
    <row r="3545" spans="2:2" s="221" customFormat="1" ht="12.75" x14ac:dyDescent="0.2">
      <c r="B3545" s="1168"/>
    </row>
    <row r="3546" spans="2:2" s="221" customFormat="1" ht="12.75" x14ac:dyDescent="0.2">
      <c r="B3546" s="1168"/>
    </row>
    <row r="3547" spans="2:2" s="221" customFormat="1" ht="12.75" x14ac:dyDescent="0.2">
      <c r="B3547" s="1168"/>
    </row>
    <row r="3548" spans="2:2" s="221" customFormat="1" ht="12.75" x14ac:dyDescent="0.2">
      <c r="B3548" s="1168"/>
    </row>
    <row r="3549" spans="2:2" s="221" customFormat="1" ht="12.75" x14ac:dyDescent="0.2">
      <c r="B3549" s="1168"/>
    </row>
    <row r="3550" spans="2:2" s="221" customFormat="1" ht="12.75" x14ac:dyDescent="0.2">
      <c r="B3550" s="1168"/>
    </row>
    <row r="3551" spans="2:2" s="221" customFormat="1" ht="12.75" x14ac:dyDescent="0.2">
      <c r="B3551" s="1168"/>
    </row>
    <row r="3552" spans="2:2" s="221" customFormat="1" ht="12.75" x14ac:dyDescent="0.2">
      <c r="B3552" s="1168"/>
    </row>
    <row r="3553" spans="2:2" s="221" customFormat="1" ht="12.75" x14ac:dyDescent="0.2">
      <c r="B3553" s="1168"/>
    </row>
    <row r="3554" spans="2:2" s="221" customFormat="1" ht="12.75" x14ac:dyDescent="0.2">
      <c r="B3554" s="1168"/>
    </row>
    <row r="3555" spans="2:2" s="221" customFormat="1" ht="12.75" x14ac:dyDescent="0.2">
      <c r="B3555" s="1168"/>
    </row>
    <row r="3556" spans="2:2" s="221" customFormat="1" ht="12.75" x14ac:dyDescent="0.2">
      <c r="B3556" s="1168"/>
    </row>
    <row r="3557" spans="2:2" s="221" customFormat="1" ht="12.75" x14ac:dyDescent="0.2">
      <c r="B3557" s="1168"/>
    </row>
    <row r="3558" spans="2:2" s="221" customFormat="1" ht="12.75" x14ac:dyDescent="0.2">
      <c r="B3558" s="1168"/>
    </row>
    <row r="3559" spans="2:2" s="221" customFormat="1" ht="12.75" x14ac:dyDescent="0.2">
      <c r="B3559" s="1168"/>
    </row>
    <row r="3560" spans="2:2" s="221" customFormat="1" ht="12.75" x14ac:dyDescent="0.2">
      <c r="B3560" s="1168"/>
    </row>
    <row r="3561" spans="2:2" s="221" customFormat="1" ht="12.75" x14ac:dyDescent="0.2">
      <c r="B3561" s="1168"/>
    </row>
    <row r="3562" spans="2:2" s="221" customFormat="1" ht="12.75" x14ac:dyDescent="0.2">
      <c r="B3562" s="1168"/>
    </row>
    <row r="3563" spans="2:2" s="221" customFormat="1" ht="12.75" x14ac:dyDescent="0.2">
      <c r="B3563" s="1168"/>
    </row>
    <row r="3564" spans="2:2" s="221" customFormat="1" ht="12.75" x14ac:dyDescent="0.2">
      <c r="B3564" s="1168"/>
    </row>
    <row r="3565" spans="2:2" s="221" customFormat="1" ht="12.75" x14ac:dyDescent="0.2">
      <c r="B3565" s="1168"/>
    </row>
    <row r="3566" spans="2:2" s="221" customFormat="1" ht="12.75" x14ac:dyDescent="0.2">
      <c r="B3566" s="1168"/>
    </row>
    <row r="3567" spans="2:2" s="221" customFormat="1" ht="12.75" x14ac:dyDescent="0.2">
      <c r="B3567" s="1168"/>
    </row>
    <row r="3568" spans="2:2" s="221" customFormat="1" ht="12.75" x14ac:dyDescent="0.2">
      <c r="B3568" s="1168"/>
    </row>
    <row r="3569" spans="2:2" s="221" customFormat="1" ht="12.75" x14ac:dyDescent="0.2">
      <c r="B3569" s="1168"/>
    </row>
    <row r="3570" spans="2:2" s="221" customFormat="1" ht="12.75" x14ac:dyDescent="0.2">
      <c r="B3570" s="1168"/>
    </row>
    <row r="3571" spans="2:2" s="221" customFormat="1" ht="12.75" x14ac:dyDescent="0.2">
      <c r="B3571" s="1168"/>
    </row>
    <row r="3572" spans="2:2" s="221" customFormat="1" ht="12.75" x14ac:dyDescent="0.2">
      <c r="B3572" s="1168"/>
    </row>
    <row r="3573" spans="2:2" s="221" customFormat="1" ht="12.75" x14ac:dyDescent="0.2">
      <c r="B3573" s="1168"/>
    </row>
    <row r="3574" spans="2:2" s="221" customFormat="1" ht="12.75" x14ac:dyDescent="0.2">
      <c r="B3574" s="1168"/>
    </row>
    <row r="3575" spans="2:2" s="221" customFormat="1" ht="12.75" x14ac:dyDescent="0.2">
      <c r="B3575" s="1168"/>
    </row>
    <row r="3576" spans="2:2" s="221" customFormat="1" ht="12.75" x14ac:dyDescent="0.2">
      <c r="B3576" s="1168"/>
    </row>
    <row r="3577" spans="2:2" s="221" customFormat="1" ht="12.75" x14ac:dyDescent="0.2">
      <c r="B3577" s="1168"/>
    </row>
    <row r="3578" spans="2:2" s="221" customFormat="1" ht="12.75" x14ac:dyDescent="0.2">
      <c r="B3578" s="1168"/>
    </row>
    <row r="3579" spans="2:2" s="221" customFormat="1" ht="12.75" x14ac:dyDescent="0.2">
      <c r="B3579" s="1168"/>
    </row>
    <row r="3580" spans="2:2" s="221" customFormat="1" ht="12.75" x14ac:dyDescent="0.2">
      <c r="B3580" s="1168"/>
    </row>
    <row r="3581" spans="2:2" s="221" customFormat="1" ht="12.75" x14ac:dyDescent="0.2">
      <c r="B3581" s="1168"/>
    </row>
    <row r="3582" spans="2:2" s="221" customFormat="1" ht="12.75" x14ac:dyDescent="0.2">
      <c r="B3582" s="1168"/>
    </row>
    <row r="3583" spans="2:2" s="221" customFormat="1" ht="12.75" x14ac:dyDescent="0.2">
      <c r="B3583" s="1168"/>
    </row>
    <row r="3584" spans="2:2" s="221" customFormat="1" ht="12.75" x14ac:dyDescent="0.2">
      <c r="B3584" s="1168"/>
    </row>
    <row r="3585" spans="2:2" s="221" customFormat="1" ht="12.75" x14ac:dyDescent="0.2">
      <c r="B3585" s="1168"/>
    </row>
    <row r="3586" spans="2:2" s="221" customFormat="1" ht="12.75" x14ac:dyDescent="0.2">
      <c r="B3586" s="1168"/>
    </row>
    <row r="3587" spans="2:2" s="221" customFormat="1" ht="12.75" x14ac:dyDescent="0.2">
      <c r="B3587" s="1168"/>
    </row>
    <row r="3588" spans="2:2" s="221" customFormat="1" ht="12.75" x14ac:dyDescent="0.2">
      <c r="B3588" s="1168"/>
    </row>
    <row r="3589" spans="2:2" s="221" customFormat="1" ht="12.75" x14ac:dyDescent="0.2">
      <c r="B3589" s="1168"/>
    </row>
    <row r="3590" spans="2:2" s="221" customFormat="1" ht="12.75" x14ac:dyDescent="0.2">
      <c r="B3590" s="1168"/>
    </row>
    <row r="3591" spans="2:2" s="221" customFormat="1" ht="12.75" x14ac:dyDescent="0.2">
      <c r="B3591" s="1168"/>
    </row>
    <row r="3592" spans="2:2" s="221" customFormat="1" ht="12.75" x14ac:dyDescent="0.2">
      <c r="B3592" s="1168"/>
    </row>
    <row r="3593" spans="2:2" s="221" customFormat="1" ht="12.75" x14ac:dyDescent="0.2">
      <c r="B3593" s="1168"/>
    </row>
    <row r="3594" spans="2:2" s="221" customFormat="1" ht="12.75" x14ac:dyDescent="0.2">
      <c r="B3594" s="1168"/>
    </row>
    <row r="3595" spans="2:2" s="221" customFormat="1" ht="12.75" x14ac:dyDescent="0.2">
      <c r="B3595" s="1168"/>
    </row>
    <row r="3596" spans="2:2" s="221" customFormat="1" ht="12.75" x14ac:dyDescent="0.2">
      <c r="B3596" s="1168"/>
    </row>
    <row r="3597" spans="2:2" s="221" customFormat="1" ht="12.75" x14ac:dyDescent="0.2">
      <c r="B3597" s="1168"/>
    </row>
    <row r="3598" spans="2:2" s="221" customFormat="1" ht="12.75" x14ac:dyDescent="0.2">
      <c r="B3598" s="1168"/>
    </row>
    <row r="3599" spans="2:2" s="221" customFormat="1" ht="12.75" x14ac:dyDescent="0.2">
      <c r="B3599" s="1168"/>
    </row>
    <row r="3600" spans="2:2" s="221" customFormat="1" ht="12.75" x14ac:dyDescent="0.2">
      <c r="B3600" s="1168"/>
    </row>
    <row r="3601" spans="2:2" s="221" customFormat="1" ht="12.75" x14ac:dyDescent="0.2">
      <c r="B3601" s="1168"/>
    </row>
    <row r="3602" spans="2:2" s="221" customFormat="1" ht="12.75" x14ac:dyDescent="0.2">
      <c r="B3602" s="1168"/>
    </row>
    <row r="3603" spans="2:2" s="221" customFormat="1" ht="12.75" x14ac:dyDescent="0.2">
      <c r="B3603" s="1168"/>
    </row>
    <row r="3604" spans="2:2" s="221" customFormat="1" ht="12.75" x14ac:dyDescent="0.2">
      <c r="B3604" s="1168"/>
    </row>
    <row r="3605" spans="2:2" s="221" customFormat="1" ht="12.75" x14ac:dyDescent="0.2">
      <c r="B3605" s="1168"/>
    </row>
    <row r="3606" spans="2:2" s="221" customFormat="1" ht="12.75" x14ac:dyDescent="0.2">
      <c r="B3606" s="1168"/>
    </row>
    <row r="3607" spans="2:2" s="221" customFormat="1" ht="12.75" x14ac:dyDescent="0.2">
      <c r="B3607" s="1168"/>
    </row>
    <row r="3608" spans="2:2" s="221" customFormat="1" ht="12.75" x14ac:dyDescent="0.2">
      <c r="B3608" s="1168"/>
    </row>
    <row r="3609" spans="2:2" s="221" customFormat="1" ht="12.75" x14ac:dyDescent="0.2">
      <c r="B3609" s="1168"/>
    </row>
    <row r="3610" spans="2:2" s="221" customFormat="1" ht="12.75" x14ac:dyDescent="0.2">
      <c r="B3610" s="1168"/>
    </row>
    <row r="3611" spans="2:2" s="221" customFormat="1" ht="12.75" x14ac:dyDescent="0.2">
      <c r="B3611" s="1168"/>
    </row>
    <row r="3612" spans="2:2" s="221" customFormat="1" ht="12.75" x14ac:dyDescent="0.2">
      <c r="B3612" s="1168"/>
    </row>
    <row r="3613" spans="2:2" s="221" customFormat="1" ht="12.75" x14ac:dyDescent="0.2">
      <c r="B3613" s="1168"/>
    </row>
    <row r="3614" spans="2:2" s="221" customFormat="1" ht="12.75" x14ac:dyDescent="0.2">
      <c r="B3614" s="1168"/>
    </row>
    <row r="3615" spans="2:2" s="221" customFormat="1" ht="12.75" x14ac:dyDescent="0.2">
      <c r="B3615" s="1168"/>
    </row>
    <row r="3616" spans="2:2" s="221" customFormat="1" ht="12.75" x14ac:dyDescent="0.2">
      <c r="B3616" s="1168"/>
    </row>
    <row r="3617" spans="2:2" s="221" customFormat="1" ht="12.75" x14ac:dyDescent="0.2">
      <c r="B3617" s="1168"/>
    </row>
    <row r="3618" spans="2:2" s="221" customFormat="1" ht="12.75" x14ac:dyDescent="0.2">
      <c r="B3618" s="1168"/>
    </row>
    <row r="3619" spans="2:2" s="221" customFormat="1" ht="12.75" x14ac:dyDescent="0.2">
      <c r="B3619" s="1168"/>
    </row>
    <row r="3620" spans="2:2" s="221" customFormat="1" ht="12.75" x14ac:dyDescent="0.2">
      <c r="B3620" s="1168"/>
    </row>
    <row r="3621" spans="2:2" s="221" customFormat="1" ht="12.75" x14ac:dyDescent="0.2">
      <c r="B3621" s="1168"/>
    </row>
    <row r="3622" spans="2:2" s="221" customFormat="1" ht="12.75" x14ac:dyDescent="0.2">
      <c r="B3622" s="1168"/>
    </row>
    <row r="3623" spans="2:2" s="221" customFormat="1" ht="12.75" x14ac:dyDescent="0.2">
      <c r="B3623" s="1168"/>
    </row>
    <row r="3624" spans="2:2" s="221" customFormat="1" ht="12.75" x14ac:dyDescent="0.2">
      <c r="B3624" s="1168"/>
    </row>
    <row r="3625" spans="2:2" s="221" customFormat="1" ht="12.75" x14ac:dyDescent="0.2">
      <c r="B3625" s="1168"/>
    </row>
    <row r="3626" spans="2:2" s="221" customFormat="1" ht="12.75" x14ac:dyDescent="0.2">
      <c r="B3626" s="1168"/>
    </row>
    <row r="3627" spans="2:2" s="221" customFormat="1" ht="12.75" x14ac:dyDescent="0.2">
      <c r="B3627" s="1168"/>
    </row>
    <row r="3628" spans="2:2" s="221" customFormat="1" ht="12.75" x14ac:dyDescent="0.2">
      <c r="B3628" s="1168"/>
    </row>
    <row r="3629" spans="2:2" s="221" customFormat="1" ht="12.75" x14ac:dyDescent="0.2">
      <c r="B3629" s="1168"/>
    </row>
    <row r="3630" spans="2:2" s="221" customFormat="1" ht="12.75" x14ac:dyDescent="0.2">
      <c r="B3630" s="1168"/>
    </row>
    <row r="3631" spans="2:2" s="221" customFormat="1" ht="12.75" x14ac:dyDescent="0.2">
      <c r="B3631" s="1168"/>
    </row>
    <row r="3632" spans="2:2" s="221" customFormat="1" ht="12.75" x14ac:dyDescent="0.2">
      <c r="B3632" s="1168"/>
    </row>
    <row r="3633" spans="2:2" s="221" customFormat="1" ht="12.75" x14ac:dyDescent="0.2">
      <c r="B3633" s="1168"/>
    </row>
    <row r="3634" spans="2:2" s="221" customFormat="1" ht="12.75" x14ac:dyDescent="0.2">
      <c r="B3634" s="1168"/>
    </row>
    <row r="3635" spans="2:2" s="221" customFormat="1" ht="12.75" x14ac:dyDescent="0.2">
      <c r="B3635" s="1168"/>
    </row>
    <row r="3636" spans="2:2" s="221" customFormat="1" ht="12.75" x14ac:dyDescent="0.2">
      <c r="B3636" s="1168"/>
    </row>
    <row r="3637" spans="2:2" s="221" customFormat="1" ht="12.75" x14ac:dyDescent="0.2">
      <c r="B3637" s="1168"/>
    </row>
    <row r="3638" spans="2:2" s="221" customFormat="1" ht="12.75" x14ac:dyDescent="0.2">
      <c r="B3638" s="1168"/>
    </row>
    <row r="3639" spans="2:2" s="221" customFormat="1" ht="12.75" x14ac:dyDescent="0.2">
      <c r="B3639" s="1168"/>
    </row>
    <row r="3640" spans="2:2" s="221" customFormat="1" ht="12.75" x14ac:dyDescent="0.2">
      <c r="B3640" s="1168"/>
    </row>
    <row r="3641" spans="2:2" s="221" customFormat="1" ht="12.75" x14ac:dyDescent="0.2">
      <c r="B3641" s="1168"/>
    </row>
    <row r="3642" spans="2:2" s="221" customFormat="1" ht="12.75" x14ac:dyDescent="0.2">
      <c r="B3642" s="1168"/>
    </row>
    <row r="3643" spans="2:2" s="221" customFormat="1" ht="12.75" x14ac:dyDescent="0.2">
      <c r="B3643" s="1168"/>
    </row>
    <row r="3644" spans="2:2" s="221" customFormat="1" ht="12.75" x14ac:dyDescent="0.2">
      <c r="B3644" s="1168"/>
    </row>
    <row r="3645" spans="2:2" s="221" customFormat="1" ht="12.75" x14ac:dyDescent="0.2">
      <c r="B3645" s="1168"/>
    </row>
    <row r="3646" spans="2:2" s="221" customFormat="1" ht="12.75" x14ac:dyDescent="0.2">
      <c r="B3646" s="1168"/>
    </row>
    <row r="3647" spans="2:2" s="221" customFormat="1" ht="12.75" x14ac:dyDescent="0.2">
      <c r="B3647" s="1168"/>
    </row>
    <row r="3648" spans="2:2" s="221" customFormat="1" ht="12.75" x14ac:dyDescent="0.2">
      <c r="B3648" s="1168"/>
    </row>
    <row r="3649" spans="2:2" s="221" customFormat="1" ht="12.75" x14ac:dyDescent="0.2">
      <c r="B3649" s="1168"/>
    </row>
    <row r="3650" spans="2:2" s="221" customFormat="1" ht="12.75" x14ac:dyDescent="0.2">
      <c r="B3650" s="1168"/>
    </row>
    <row r="3651" spans="2:2" s="221" customFormat="1" ht="12.75" x14ac:dyDescent="0.2">
      <c r="B3651" s="1168"/>
    </row>
    <row r="3652" spans="2:2" s="221" customFormat="1" ht="12.75" x14ac:dyDescent="0.2">
      <c r="B3652" s="1168"/>
    </row>
    <row r="3653" spans="2:2" s="221" customFormat="1" ht="12.75" x14ac:dyDescent="0.2">
      <c r="B3653" s="1168"/>
    </row>
    <row r="3654" spans="2:2" s="221" customFormat="1" ht="12.75" x14ac:dyDescent="0.2">
      <c r="B3654" s="1168"/>
    </row>
    <row r="3655" spans="2:2" s="221" customFormat="1" ht="12.75" x14ac:dyDescent="0.2">
      <c r="B3655" s="1168"/>
    </row>
    <row r="3656" spans="2:2" s="221" customFormat="1" ht="12.75" x14ac:dyDescent="0.2">
      <c r="B3656" s="1168"/>
    </row>
    <row r="3657" spans="2:2" s="221" customFormat="1" ht="12.75" x14ac:dyDescent="0.2">
      <c r="B3657" s="1168"/>
    </row>
    <row r="3658" spans="2:2" s="221" customFormat="1" ht="12.75" x14ac:dyDescent="0.2">
      <c r="B3658" s="1168"/>
    </row>
    <row r="3659" spans="2:2" s="221" customFormat="1" ht="12.75" x14ac:dyDescent="0.2">
      <c r="B3659" s="1168"/>
    </row>
    <row r="3660" spans="2:2" s="221" customFormat="1" ht="12.75" x14ac:dyDescent="0.2">
      <c r="B3660" s="1168"/>
    </row>
    <row r="3661" spans="2:2" s="221" customFormat="1" ht="12.75" x14ac:dyDescent="0.2">
      <c r="B3661" s="1168"/>
    </row>
    <row r="3662" spans="2:2" s="221" customFormat="1" ht="12.75" x14ac:dyDescent="0.2">
      <c r="B3662" s="1168"/>
    </row>
    <row r="3663" spans="2:2" s="221" customFormat="1" ht="12.75" x14ac:dyDescent="0.2">
      <c r="B3663" s="1168"/>
    </row>
    <row r="3664" spans="2:2" s="221" customFormat="1" ht="12.75" x14ac:dyDescent="0.2">
      <c r="B3664" s="1168"/>
    </row>
    <row r="3665" spans="2:2" s="221" customFormat="1" ht="12.75" x14ac:dyDescent="0.2">
      <c r="B3665" s="1168"/>
    </row>
    <row r="3666" spans="2:2" s="221" customFormat="1" ht="12.75" x14ac:dyDescent="0.2">
      <c r="B3666" s="1168"/>
    </row>
    <row r="3667" spans="2:2" s="221" customFormat="1" ht="12.75" x14ac:dyDescent="0.2">
      <c r="B3667" s="1168"/>
    </row>
    <row r="3668" spans="2:2" s="221" customFormat="1" ht="12.75" x14ac:dyDescent="0.2">
      <c r="B3668" s="1168"/>
    </row>
    <row r="3669" spans="2:2" s="221" customFormat="1" ht="12.75" x14ac:dyDescent="0.2">
      <c r="B3669" s="1168"/>
    </row>
    <row r="3670" spans="2:2" s="221" customFormat="1" ht="12.75" x14ac:dyDescent="0.2">
      <c r="B3670" s="1168"/>
    </row>
    <row r="3671" spans="2:2" s="221" customFormat="1" ht="12.75" x14ac:dyDescent="0.2">
      <c r="B3671" s="1168"/>
    </row>
    <row r="3672" spans="2:2" s="221" customFormat="1" ht="12.75" x14ac:dyDescent="0.2">
      <c r="B3672" s="1168"/>
    </row>
    <row r="3673" spans="2:2" s="221" customFormat="1" ht="12.75" x14ac:dyDescent="0.2">
      <c r="B3673" s="1168"/>
    </row>
    <row r="3674" spans="2:2" s="221" customFormat="1" ht="12.75" x14ac:dyDescent="0.2">
      <c r="B3674" s="1168"/>
    </row>
    <row r="3675" spans="2:2" s="221" customFormat="1" ht="12.75" x14ac:dyDescent="0.2">
      <c r="B3675" s="1168"/>
    </row>
    <row r="3676" spans="2:2" s="221" customFormat="1" ht="12.75" x14ac:dyDescent="0.2">
      <c r="B3676" s="1168"/>
    </row>
    <row r="3677" spans="2:2" s="221" customFormat="1" ht="12.75" x14ac:dyDescent="0.2">
      <c r="B3677" s="1168"/>
    </row>
    <row r="3678" spans="2:2" s="221" customFormat="1" ht="12.75" x14ac:dyDescent="0.2">
      <c r="B3678" s="1168"/>
    </row>
    <row r="3679" spans="2:2" s="221" customFormat="1" ht="12.75" x14ac:dyDescent="0.2">
      <c r="B3679" s="1168"/>
    </row>
    <row r="3680" spans="2:2" s="221" customFormat="1" ht="12.75" x14ac:dyDescent="0.2">
      <c r="B3680" s="1168"/>
    </row>
    <row r="3681" spans="2:2" s="221" customFormat="1" ht="12.75" x14ac:dyDescent="0.2">
      <c r="B3681" s="1168"/>
    </row>
    <row r="3682" spans="2:2" s="221" customFormat="1" ht="12.75" x14ac:dyDescent="0.2">
      <c r="B3682" s="1168"/>
    </row>
    <row r="3683" spans="2:2" s="221" customFormat="1" ht="12.75" x14ac:dyDescent="0.2">
      <c r="B3683" s="1168"/>
    </row>
    <row r="3684" spans="2:2" s="221" customFormat="1" ht="12.75" x14ac:dyDescent="0.2">
      <c r="B3684" s="1168"/>
    </row>
    <row r="3685" spans="2:2" s="221" customFormat="1" ht="12.75" x14ac:dyDescent="0.2">
      <c r="B3685" s="1168"/>
    </row>
    <row r="3686" spans="2:2" s="221" customFormat="1" ht="12.75" x14ac:dyDescent="0.2">
      <c r="B3686" s="1168"/>
    </row>
    <row r="3687" spans="2:2" s="221" customFormat="1" ht="12.75" x14ac:dyDescent="0.2">
      <c r="B3687" s="1168"/>
    </row>
    <row r="3688" spans="2:2" s="221" customFormat="1" ht="12.75" x14ac:dyDescent="0.2">
      <c r="B3688" s="1168"/>
    </row>
    <row r="3689" spans="2:2" s="221" customFormat="1" ht="12.75" x14ac:dyDescent="0.2">
      <c r="B3689" s="1168"/>
    </row>
    <row r="3690" spans="2:2" s="221" customFormat="1" ht="12.75" x14ac:dyDescent="0.2">
      <c r="B3690" s="1168"/>
    </row>
    <row r="3691" spans="2:2" s="221" customFormat="1" ht="12.75" x14ac:dyDescent="0.2">
      <c r="B3691" s="1168"/>
    </row>
    <row r="3692" spans="2:2" s="221" customFormat="1" ht="12.75" x14ac:dyDescent="0.2">
      <c r="B3692" s="1168"/>
    </row>
    <row r="3693" spans="2:2" s="221" customFormat="1" ht="12.75" x14ac:dyDescent="0.2">
      <c r="B3693" s="1168"/>
    </row>
    <row r="3694" spans="2:2" s="221" customFormat="1" ht="12.75" x14ac:dyDescent="0.2">
      <c r="B3694" s="1168"/>
    </row>
    <row r="3695" spans="2:2" s="221" customFormat="1" ht="12.75" x14ac:dyDescent="0.2">
      <c r="B3695" s="1168"/>
    </row>
    <row r="3696" spans="2:2" s="221" customFormat="1" ht="12.75" x14ac:dyDescent="0.2">
      <c r="B3696" s="1168"/>
    </row>
    <row r="3697" spans="2:2" s="221" customFormat="1" ht="12.75" x14ac:dyDescent="0.2">
      <c r="B3697" s="1168"/>
    </row>
    <row r="3698" spans="2:2" s="221" customFormat="1" ht="12.75" x14ac:dyDescent="0.2">
      <c r="B3698" s="1168"/>
    </row>
    <row r="3699" spans="2:2" s="221" customFormat="1" ht="12.75" x14ac:dyDescent="0.2">
      <c r="B3699" s="1168"/>
    </row>
    <row r="3700" spans="2:2" s="221" customFormat="1" ht="12.75" x14ac:dyDescent="0.2">
      <c r="B3700" s="1168"/>
    </row>
    <row r="3701" spans="2:2" s="221" customFormat="1" ht="12.75" x14ac:dyDescent="0.2">
      <c r="B3701" s="1168"/>
    </row>
    <row r="3702" spans="2:2" s="221" customFormat="1" ht="12.75" x14ac:dyDescent="0.2">
      <c r="B3702" s="1168"/>
    </row>
    <row r="3703" spans="2:2" s="221" customFormat="1" ht="12.75" x14ac:dyDescent="0.2">
      <c r="B3703" s="1168"/>
    </row>
    <row r="3704" spans="2:2" s="221" customFormat="1" ht="12.75" x14ac:dyDescent="0.2">
      <c r="B3704" s="1168"/>
    </row>
    <row r="3705" spans="2:2" s="221" customFormat="1" ht="12.75" x14ac:dyDescent="0.2">
      <c r="B3705" s="1168"/>
    </row>
    <row r="3706" spans="2:2" s="221" customFormat="1" ht="12.75" x14ac:dyDescent="0.2">
      <c r="B3706" s="1168"/>
    </row>
    <row r="3707" spans="2:2" s="221" customFormat="1" ht="12.75" x14ac:dyDescent="0.2">
      <c r="B3707" s="1168"/>
    </row>
    <row r="3708" spans="2:2" s="221" customFormat="1" ht="12.75" x14ac:dyDescent="0.2">
      <c r="B3708" s="1168"/>
    </row>
    <row r="3709" spans="2:2" s="221" customFormat="1" ht="12.75" x14ac:dyDescent="0.2">
      <c r="B3709" s="1168"/>
    </row>
    <row r="3710" spans="2:2" s="221" customFormat="1" ht="12.75" x14ac:dyDescent="0.2">
      <c r="B3710" s="1168"/>
    </row>
    <row r="3711" spans="2:2" s="221" customFormat="1" ht="12.75" x14ac:dyDescent="0.2">
      <c r="B3711" s="1168"/>
    </row>
    <row r="3712" spans="2:2" s="221" customFormat="1" ht="12.75" x14ac:dyDescent="0.2">
      <c r="B3712" s="1168"/>
    </row>
    <row r="3713" spans="2:2" s="221" customFormat="1" ht="12.75" x14ac:dyDescent="0.2">
      <c r="B3713" s="1168"/>
    </row>
    <row r="3714" spans="2:2" s="221" customFormat="1" ht="12.75" x14ac:dyDescent="0.2">
      <c r="B3714" s="1168"/>
    </row>
    <row r="3715" spans="2:2" s="221" customFormat="1" ht="12.75" x14ac:dyDescent="0.2">
      <c r="B3715" s="1168"/>
    </row>
    <row r="3716" spans="2:2" s="221" customFormat="1" ht="12.75" x14ac:dyDescent="0.2">
      <c r="B3716" s="1168"/>
    </row>
    <row r="3717" spans="2:2" s="221" customFormat="1" ht="12.75" x14ac:dyDescent="0.2">
      <c r="B3717" s="1168"/>
    </row>
    <row r="3718" spans="2:2" s="221" customFormat="1" ht="12.75" x14ac:dyDescent="0.2">
      <c r="B3718" s="1168"/>
    </row>
    <row r="3719" spans="2:2" s="221" customFormat="1" ht="12.75" x14ac:dyDescent="0.2">
      <c r="B3719" s="1168"/>
    </row>
    <row r="3720" spans="2:2" s="221" customFormat="1" ht="12.75" x14ac:dyDescent="0.2">
      <c r="B3720" s="1168"/>
    </row>
    <row r="3721" spans="2:2" s="221" customFormat="1" ht="12.75" x14ac:dyDescent="0.2">
      <c r="B3721" s="1168"/>
    </row>
    <row r="3722" spans="2:2" s="221" customFormat="1" ht="12.75" x14ac:dyDescent="0.2">
      <c r="B3722" s="1168"/>
    </row>
    <row r="3723" spans="2:2" s="221" customFormat="1" ht="12.75" x14ac:dyDescent="0.2">
      <c r="B3723" s="1168"/>
    </row>
    <row r="3724" spans="2:2" s="221" customFormat="1" ht="12.75" x14ac:dyDescent="0.2">
      <c r="B3724" s="1168"/>
    </row>
    <row r="3725" spans="2:2" s="221" customFormat="1" ht="12.75" x14ac:dyDescent="0.2">
      <c r="B3725" s="1168"/>
    </row>
    <row r="3726" spans="2:2" s="221" customFormat="1" ht="12.75" x14ac:dyDescent="0.2">
      <c r="B3726" s="1168"/>
    </row>
    <row r="3727" spans="2:2" s="221" customFormat="1" ht="12.75" x14ac:dyDescent="0.2">
      <c r="B3727" s="1168"/>
    </row>
    <row r="3728" spans="2:2" s="221" customFormat="1" ht="12.75" x14ac:dyDescent="0.2">
      <c r="B3728" s="1168"/>
    </row>
    <row r="3729" spans="2:2" s="221" customFormat="1" ht="12.75" x14ac:dyDescent="0.2">
      <c r="B3729" s="1168"/>
    </row>
    <row r="3730" spans="2:2" s="221" customFormat="1" ht="12.75" x14ac:dyDescent="0.2">
      <c r="B3730" s="1168"/>
    </row>
    <row r="3731" spans="2:2" s="221" customFormat="1" ht="12.75" x14ac:dyDescent="0.2">
      <c r="B3731" s="1168"/>
    </row>
    <row r="3732" spans="2:2" s="221" customFormat="1" ht="12.75" x14ac:dyDescent="0.2">
      <c r="B3732" s="1168"/>
    </row>
    <row r="3733" spans="2:2" s="221" customFormat="1" ht="12.75" x14ac:dyDescent="0.2">
      <c r="B3733" s="1168"/>
    </row>
    <row r="3734" spans="2:2" s="221" customFormat="1" ht="12.75" x14ac:dyDescent="0.2">
      <c r="B3734" s="1168"/>
    </row>
    <row r="3735" spans="2:2" s="221" customFormat="1" ht="12.75" x14ac:dyDescent="0.2">
      <c r="B3735" s="1168"/>
    </row>
    <row r="3736" spans="2:2" s="221" customFormat="1" ht="12.75" x14ac:dyDescent="0.2">
      <c r="B3736" s="1168"/>
    </row>
    <row r="3737" spans="2:2" s="221" customFormat="1" ht="12.75" x14ac:dyDescent="0.2">
      <c r="B3737" s="1168"/>
    </row>
    <row r="3738" spans="2:2" s="221" customFormat="1" ht="12.75" x14ac:dyDescent="0.2">
      <c r="B3738" s="1168"/>
    </row>
    <row r="3739" spans="2:2" s="221" customFormat="1" ht="12.75" x14ac:dyDescent="0.2">
      <c r="B3739" s="1168"/>
    </row>
    <row r="3740" spans="2:2" s="221" customFormat="1" ht="12.75" x14ac:dyDescent="0.2">
      <c r="B3740" s="1168"/>
    </row>
    <row r="3741" spans="2:2" s="221" customFormat="1" ht="12.75" x14ac:dyDescent="0.2">
      <c r="B3741" s="1168"/>
    </row>
    <row r="3742" spans="2:2" s="221" customFormat="1" ht="12.75" x14ac:dyDescent="0.2">
      <c r="B3742" s="1168"/>
    </row>
    <row r="3743" spans="2:2" s="221" customFormat="1" ht="12.75" x14ac:dyDescent="0.2">
      <c r="B3743" s="1168"/>
    </row>
    <row r="3744" spans="2:2" s="221" customFormat="1" ht="12.75" x14ac:dyDescent="0.2">
      <c r="B3744" s="1168"/>
    </row>
    <row r="3745" spans="2:2" s="221" customFormat="1" ht="12.75" x14ac:dyDescent="0.2">
      <c r="B3745" s="1168"/>
    </row>
    <row r="3746" spans="2:2" s="221" customFormat="1" ht="12.75" x14ac:dyDescent="0.2">
      <c r="B3746" s="1168"/>
    </row>
    <row r="3747" spans="2:2" s="221" customFormat="1" ht="12.75" x14ac:dyDescent="0.2">
      <c r="B3747" s="1168"/>
    </row>
    <row r="3748" spans="2:2" s="221" customFormat="1" ht="12.75" x14ac:dyDescent="0.2">
      <c r="B3748" s="1168"/>
    </row>
    <row r="3749" spans="2:2" s="221" customFormat="1" ht="12.75" x14ac:dyDescent="0.2">
      <c r="B3749" s="1168"/>
    </row>
    <row r="3750" spans="2:2" s="221" customFormat="1" ht="12.75" x14ac:dyDescent="0.2">
      <c r="B3750" s="1168"/>
    </row>
    <row r="3751" spans="2:2" s="221" customFormat="1" ht="12.75" x14ac:dyDescent="0.2">
      <c r="B3751" s="1168"/>
    </row>
    <row r="3752" spans="2:2" s="221" customFormat="1" ht="12.75" x14ac:dyDescent="0.2">
      <c r="B3752" s="1168"/>
    </row>
    <row r="3753" spans="2:2" s="221" customFormat="1" ht="12.75" x14ac:dyDescent="0.2">
      <c r="B3753" s="1168"/>
    </row>
    <row r="3754" spans="2:2" s="221" customFormat="1" ht="12.75" x14ac:dyDescent="0.2">
      <c r="B3754" s="1168"/>
    </row>
    <row r="3755" spans="2:2" s="221" customFormat="1" ht="12.75" x14ac:dyDescent="0.2">
      <c r="B3755" s="1168"/>
    </row>
    <row r="3756" spans="2:2" s="221" customFormat="1" ht="12.75" x14ac:dyDescent="0.2">
      <c r="B3756" s="1168"/>
    </row>
    <row r="3757" spans="2:2" s="221" customFormat="1" ht="12.75" x14ac:dyDescent="0.2">
      <c r="B3757" s="1168"/>
    </row>
    <row r="3758" spans="2:2" s="221" customFormat="1" ht="12.75" x14ac:dyDescent="0.2">
      <c r="B3758" s="1168"/>
    </row>
    <row r="3759" spans="2:2" s="221" customFormat="1" ht="12.75" x14ac:dyDescent="0.2">
      <c r="B3759" s="1168"/>
    </row>
    <row r="3760" spans="2:2" s="221" customFormat="1" ht="12.75" x14ac:dyDescent="0.2">
      <c r="B3760" s="1168"/>
    </row>
    <row r="3761" spans="2:2" s="221" customFormat="1" ht="12.75" x14ac:dyDescent="0.2">
      <c r="B3761" s="1168"/>
    </row>
    <row r="3762" spans="2:2" s="221" customFormat="1" ht="12.75" x14ac:dyDescent="0.2">
      <c r="B3762" s="1168"/>
    </row>
    <row r="3763" spans="2:2" s="221" customFormat="1" ht="12.75" x14ac:dyDescent="0.2">
      <c r="B3763" s="1168"/>
    </row>
    <row r="3764" spans="2:2" s="221" customFormat="1" ht="12.75" x14ac:dyDescent="0.2">
      <c r="B3764" s="1168"/>
    </row>
    <row r="3765" spans="2:2" s="221" customFormat="1" ht="12.75" x14ac:dyDescent="0.2">
      <c r="B3765" s="1168"/>
    </row>
    <row r="3766" spans="2:2" s="221" customFormat="1" ht="12.75" x14ac:dyDescent="0.2">
      <c r="B3766" s="1168"/>
    </row>
    <row r="3767" spans="2:2" s="221" customFormat="1" ht="12.75" x14ac:dyDescent="0.2">
      <c r="B3767" s="1168"/>
    </row>
    <row r="3768" spans="2:2" s="221" customFormat="1" ht="12.75" x14ac:dyDescent="0.2">
      <c r="B3768" s="1168"/>
    </row>
    <row r="3769" spans="2:2" s="221" customFormat="1" ht="12.75" x14ac:dyDescent="0.2">
      <c r="B3769" s="1168"/>
    </row>
    <row r="3770" spans="2:2" s="221" customFormat="1" ht="12.75" x14ac:dyDescent="0.2">
      <c r="B3770" s="1168"/>
    </row>
    <row r="3771" spans="2:2" s="221" customFormat="1" ht="12.75" x14ac:dyDescent="0.2">
      <c r="B3771" s="1168"/>
    </row>
    <row r="3772" spans="2:2" s="221" customFormat="1" ht="12.75" x14ac:dyDescent="0.2">
      <c r="B3772" s="1168"/>
    </row>
    <row r="3773" spans="2:2" s="221" customFormat="1" ht="12.75" x14ac:dyDescent="0.2">
      <c r="B3773" s="1168"/>
    </row>
    <row r="3774" spans="2:2" s="221" customFormat="1" ht="12.75" x14ac:dyDescent="0.2">
      <c r="B3774" s="1168"/>
    </row>
    <row r="3775" spans="2:2" s="221" customFormat="1" ht="12.75" x14ac:dyDescent="0.2">
      <c r="B3775" s="1168"/>
    </row>
    <row r="3776" spans="2:2" s="221" customFormat="1" ht="12.75" x14ac:dyDescent="0.2">
      <c r="B3776" s="1168"/>
    </row>
    <row r="3777" spans="2:2" s="221" customFormat="1" ht="12.75" x14ac:dyDescent="0.2">
      <c r="B3777" s="1168"/>
    </row>
    <row r="3778" spans="2:2" s="221" customFormat="1" ht="12.75" x14ac:dyDescent="0.2">
      <c r="B3778" s="1168"/>
    </row>
    <row r="3779" spans="2:2" s="221" customFormat="1" ht="12.75" x14ac:dyDescent="0.2">
      <c r="B3779" s="1168"/>
    </row>
    <row r="3780" spans="2:2" s="221" customFormat="1" ht="12.75" x14ac:dyDescent="0.2">
      <c r="B3780" s="1168"/>
    </row>
    <row r="3781" spans="2:2" s="221" customFormat="1" ht="12.75" x14ac:dyDescent="0.2">
      <c r="B3781" s="1168"/>
    </row>
    <row r="3782" spans="2:2" s="221" customFormat="1" ht="12.75" x14ac:dyDescent="0.2">
      <c r="B3782" s="1168"/>
    </row>
    <row r="3783" spans="2:2" s="221" customFormat="1" ht="12.75" x14ac:dyDescent="0.2">
      <c r="B3783" s="1168"/>
    </row>
    <row r="3784" spans="2:2" s="221" customFormat="1" ht="12.75" x14ac:dyDescent="0.2">
      <c r="B3784" s="1168"/>
    </row>
    <row r="3785" spans="2:2" s="221" customFormat="1" ht="12.75" x14ac:dyDescent="0.2">
      <c r="B3785" s="1168"/>
    </row>
    <row r="3786" spans="2:2" s="221" customFormat="1" ht="12.75" x14ac:dyDescent="0.2">
      <c r="B3786" s="1168"/>
    </row>
    <row r="3787" spans="2:2" s="221" customFormat="1" ht="12.75" x14ac:dyDescent="0.2">
      <c r="B3787" s="1168"/>
    </row>
    <row r="3788" spans="2:2" s="221" customFormat="1" ht="12.75" x14ac:dyDescent="0.2">
      <c r="B3788" s="1168"/>
    </row>
    <row r="3789" spans="2:2" s="221" customFormat="1" ht="12.75" x14ac:dyDescent="0.2">
      <c r="B3789" s="1168"/>
    </row>
    <row r="3790" spans="2:2" s="221" customFormat="1" ht="12.75" x14ac:dyDescent="0.2">
      <c r="B3790" s="1168"/>
    </row>
    <row r="3791" spans="2:2" s="221" customFormat="1" ht="12.75" x14ac:dyDescent="0.2">
      <c r="B3791" s="1168"/>
    </row>
    <row r="3792" spans="2:2" s="221" customFormat="1" ht="12.75" x14ac:dyDescent="0.2">
      <c r="B3792" s="1168"/>
    </row>
    <row r="3793" spans="2:2" s="221" customFormat="1" ht="12.75" x14ac:dyDescent="0.2">
      <c r="B3793" s="1168"/>
    </row>
    <row r="3794" spans="2:2" s="221" customFormat="1" ht="12.75" x14ac:dyDescent="0.2">
      <c r="B3794" s="1168"/>
    </row>
    <row r="3795" spans="2:2" s="221" customFormat="1" ht="12.75" x14ac:dyDescent="0.2">
      <c r="B3795" s="1168"/>
    </row>
    <row r="3796" spans="2:2" s="221" customFormat="1" ht="12.75" x14ac:dyDescent="0.2">
      <c r="B3796" s="1168"/>
    </row>
    <row r="3797" spans="2:2" s="221" customFormat="1" ht="12.75" x14ac:dyDescent="0.2">
      <c r="B3797" s="1168"/>
    </row>
    <row r="3798" spans="2:2" s="221" customFormat="1" ht="12.75" x14ac:dyDescent="0.2">
      <c r="B3798" s="1168"/>
    </row>
    <row r="3799" spans="2:2" s="221" customFormat="1" ht="12.75" x14ac:dyDescent="0.2">
      <c r="B3799" s="1168"/>
    </row>
    <row r="3800" spans="2:2" s="221" customFormat="1" ht="12.75" x14ac:dyDescent="0.2">
      <c r="B3800" s="1168"/>
    </row>
    <row r="3801" spans="2:2" s="221" customFormat="1" ht="12.75" x14ac:dyDescent="0.2">
      <c r="B3801" s="1168"/>
    </row>
    <row r="3802" spans="2:2" s="221" customFormat="1" ht="12.75" x14ac:dyDescent="0.2">
      <c r="B3802" s="1168"/>
    </row>
    <row r="3803" spans="2:2" s="221" customFormat="1" ht="12.75" x14ac:dyDescent="0.2">
      <c r="B3803" s="1168"/>
    </row>
    <row r="3804" spans="2:2" s="221" customFormat="1" ht="12.75" x14ac:dyDescent="0.2">
      <c r="B3804" s="1168"/>
    </row>
    <row r="3805" spans="2:2" s="221" customFormat="1" ht="12.75" x14ac:dyDescent="0.2">
      <c r="B3805" s="1168"/>
    </row>
    <row r="3806" spans="2:2" s="221" customFormat="1" ht="12.75" x14ac:dyDescent="0.2">
      <c r="B3806" s="1168"/>
    </row>
    <row r="3807" spans="2:2" s="221" customFormat="1" ht="12.75" x14ac:dyDescent="0.2">
      <c r="B3807" s="1168"/>
    </row>
    <row r="3808" spans="2:2" s="221" customFormat="1" ht="12.75" x14ac:dyDescent="0.2">
      <c r="B3808" s="1168"/>
    </row>
    <row r="3809" spans="2:2" s="221" customFormat="1" ht="12.75" x14ac:dyDescent="0.2">
      <c r="B3809" s="1168"/>
    </row>
    <row r="3810" spans="2:2" s="221" customFormat="1" ht="12.75" x14ac:dyDescent="0.2">
      <c r="B3810" s="1168"/>
    </row>
    <row r="3811" spans="2:2" s="221" customFormat="1" ht="12.75" x14ac:dyDescent="0.2">
      <c r="B3811" s="1168"/>
    </row>
    <row r="3812" spans="2:2" s="221" customFormat="1" ht="12.75" x14ac:dyDescent="0.2">
      <c r="B3812" s="1168"/>
    </row>
    <row r="3813" spans="2:2" s="221" customFormat="1" ht="12.75" x14ac:dyDescent="0.2">
      <c r="B3813" s="1168"/>
    </row>
    <row r="3814" spans="2:2" s="221" customFormat="1" ht="12.75" x14ac:dyDescent="0.2">
      <c r="B3814" s="1168"/>
    </row>
    <row r="3815" spans="2:2" s="221" customFormat="1" ht="12.75" x14ac:dyDescent="0.2">
      <c r="B3815" s="1168"/>
    </row>
    <row r="3816" spans="2:2" s="221" customFormat="1" ht="12.75" x14ac:dyDescent="0.2">
      <c r="B3816" s="1168"/>
    </row>
    <row r="3817" spans="2:2" s="221" customFormat="1" ht="12.75" x14ac:dyDescent="0.2">
      <c r="B3817" s="1168"/>
    </row>
    <row r="3818" spans="2:2" s="221" customFormat="1" ht="12.75" x14ac:dyDescent="0.2">
      <c r="B3818" s="1168"/>
    </row>
    <row r="3819" spans="2:2" s="221" customFormat="1" ht="12.75" x14ac:dyDescent="0.2">
      <c r="B3819" s="1168"/>
    </row>
    <row r="3820" spans="2:2" s="221" customFormat="1" ht="12.75" x14ac:dyDescent="0.2">
      <c r="B3820" s="1168"/>
    </row>
    <row r="3821" spans="2:2" s="221" customFormat="1" ht="12.75" x14ac:dyDescent="0.2">
      <c r="B3821" s="1168"/>
    </row>
    <row r="3822" spans="2:2" s="221" customFormat="1" ht="12.75" x14ac:dyDescent="0.2">
      <c r="B3822" s="1168"/>
    </row>
    <row r="3823" spans="2:2" s="221" customFormat="1" ht="12.75" x14ac:dyDescent="0.2">
      <c r="B3823" s="1168"/>
    </row>
    <row r="3824" spans="2:2" s="221" customFormat="1" ht="12.75" x14ac:dyDescent="0.2">
      <c r="B3824" s="1168"/>
    </row>
    <row r="3825" spans="2:2" s="221" customFormat="1" ht="12.75" x14ac:dyDescent="0.2">
      <c r="B3825" s="1168"/>
    </row>
    <row r="3826" spans="2:2" s="221" customFormat="1" ht="12.75" x14ac:dyDescent="0.2">
      <c r="B3826" s="1168"/>
    </row>
    <row r="3827" spans="2:2" s="221" customFormat="1" ht="12.75" x14ac:dyDescent="0.2">
      <c r="B3827" s="1168"/>
    </row>
    <row r="3828" spans="2:2" s="221" customFormat="1" ht="12.75" x14ac:dyDescent="0.2">
      <c r="B3828" s="1168"/>
    </row>
    <row r="3829" spans="2:2" s="221" customFormat="1" ht="12.75" x14ac:dyDescent="0.2">
      <c r="B3829" s="1168"/>
    </row>
    <row r="3830" spans="2:2" s="221" customFormat="1" ht="12.75" x14ac:dyDescent="0.2">
      <c r="B3830" s="1168"/>
    </row>
    <row r="3831" spans="2:2" s="221" customFormat="1" ht="12.75" x14ac:dyDescent="0.2">
      <c r="B3831" s="1168"/>
    </row>
    <row r="3832" spans="2:2" s="221" customFormat="1" ht="12.75" x14ac:dyDescent="0.2">
      <c r="B3832" s="1168"/>
    </row>
    <row r="3833" spans="2:2" s="221" customFormat="1" ht="12.75" x14ac:dyDescent="0.2">
      <c r="B3833" s="1168"/>
    </row>
    <row r="3834" spans="2:2" s="221" customFormat="1" ht="12.75" x14ac:dyDescent="0.2">
      <c r="B3834" s="1168"/>
    </row>
    <row r="3835" spans="2:2" s="221" customFormat="1" ht="12.75" x14ac:dyDescent="0.2">
      <c r="B3835" s="1168"/>
    </row>
    <row r="3836" spans="2:2" s="221" customFormat="1" ht="12.75" x14ac:dyDescent="0.2">
      <c r="B3836" s="1168"/>
    </row>
    <row r="3837" spans="2:2" s="221" customFormat="1" ht="12.75" x14ac:dyDescent="0.2">
      <c r="B3837" s="1168"/>
    </row>
    <row r="3838" spans="2:2" s="221" customFormat="1" ht="12.75" x14ac:dyDescent="0.2">
      <c r="B3838" s="1168"/>
    </row>
    <row r="3839" spans="2:2" s="221" customFormat="1" ht="12.75" x14ac:dyDescent="0.2">
      <c r="B3839" s="1168"/>
    </row>
    <row r="3840" spans="2:2" s="221" customFormat="1" ht="12.75" x14ac:dyDescent="0.2">
      <c r="B3840" s="1168"/>
    </row>
    <row r="3841" spans="2:2" s="221" customFormat="1" ht="12.75" x14ac:dyDescent="0.2">
      <c r="B3841" s="1168"/>
    </row>
    <row r="3842" spans="2:2" s="221" customFormat="1" ht="12.75" x14ac:dyDescent="0.2">
      <c r="B3842" s="1168"/>
    </row>
    <row r="3843" spans="2:2" s="221" customFormat="1" ht="12.75" x14ac:dyDescent="0.2">
      <c r="B3843" s="1168"/>
    </row>
    <row r="3844" spans="2:2" s="221" customFormat="1" ht="12.75" x14ac:dyDescent="0.2">
      <c r="B3844" s="1168"/>
    </row>
    <row r="3845" spans="2:2" s="221" customFormat="1" ht="12.75" x14ac:dyDescent="0.2">
      <c r="B3845" s="1168"/>
    </row>
    <row r="3846" spans="2:2" s="221" customFormat="1" ht="12.75" x14ac:dyDescent="0.2">
      <c r="B3846" s="1168"/>
    </row>
    <row r="3847" spans="2:2" s="221" customFormat="1" ht="12.75" x14ac:dyDescent="0.2">
      <c r="B3847" s="1168"/>
    </row>
    <row r="3848" spans="2:2" s="221" customFormat="1" ht="12.75" x14ac:dyDescent="0.2">
      <c r="B3848" s="1168"/>
    </row>
    <row r="3849" spans="2:2" s="221" customFormat="1" ht="12.75" x14ac:dyDescent="0.2">
      <c r="B3849" s="1168"/>
    </row>
    <row r="3850" spans="2:2" s="221" customFormat="1" ht="12.75" x14ac:dyDescent="0.2">
      <c r="B3850" s="1168"/>
    </row>
    <row r="3851" spans="2:2" s="221" customFormat="1" ht="12.75" x14ac:dyDescent="0.2">
      <c r="B3851" s="1168"/>
    </row>
    <row r="3852" spans="2:2" s="221" customFormat="1" ht="12.75" x14ac:dyDescent="0.2">
      <c r="B3852" s="1168"/>
    </row>
    <row r="3853" spans="2:2" s="221" customFormat="1" ht="12.75" x14ac:dyDescent="0.2">
      <c r="B3853" s="1168"/>
    </row>
    <row r="3854" spans="2:2" s="221" customFormat="1" ht="12.75" x14ac:dyDescent="0.2">
      <c r="B3854" s="1168"/>
    </row>
    <row r="3855" spans="2:2" s="221" customFormat="1" ht="12.75" x14ac:dyDescent="0.2">
      <c r="B3855" s="1168"/>
    </row>
    <row r="3856" spans="2:2" s="221" customFormat="1" ht="12.75" x14ac:dyDescent="0.2">
      <c r="B3856" s="1168"/>
    </row>
    <row r="3857" spans="2:2" s="221" customFormat="1" ht="12.75" x14ac:dyDescent="0.2">
      <c r="B3857" s="1168"/>
    </row>
    <row r="3858" spans="2:2" s="221" customFormat="1" ht="12.75" x14ac:dyDescent="0.2">
      <c r="B3858" s="1168"/>
    </row>
    <row r="3859" spans="2:2" s="221" customFormat="1" ht="12.75" x14ac:dyDescent="0.2">
      <c r="B3859" s="1168"/>
    </row>
    <row r="3860" spans="2:2" s="221" customFormat="1" ht="12.75" x14ac:dyDescent="0.2">
      <c r="B3860" s="1168"/>
    </row>
    <row r="3861" spans="2:2" s="221" customFormat="1" ht="12.75" x14ac:dyDescent="0.2">
      <c r="B3861" s="1168"/>
    </row>
    <row r="3862" spans="2:2" s="221" customFormat="1" ht="12.75" x14ac:dyDescent="0.2">
      <c r="B3862" s="1168"/>
    </row>
    <row r="3863" spans="2:2" s="221" customFormat="1" ht="12.75" x14ac:dyDescent="0.2">
      <c r="B3863" s="1168"/>
    </row>
    <row r="3864" spans="2:2" s="221" customFormat="1" ht="12.75" x14ac:dyDescent="0.2">
      <c r="B3864" s="1168"/>
    </row>
    <row r="3865" spans="2:2" s="221" customFormat="1" ht="12.75" x14ac:dyDescent="0.2">
      <c r="B3865" s="1168"/>
    </row>
    <row r="3866" spans="2:2" s="221" customFormat="1" ht="12.75" x14ac:dyDescent="0.2">
      <c r="B3866" s="1168"/>
    </row>
    <row r="3867" spans="2:2" s="221" customFormat="1" ht="12.75" x14ac:dyDescent="0.2">
      <c r="B3867" s="1168"/>
    </row>
    <row r="3868" spans="2:2" s="221" customFormat="1" ht="12.75" x14ac:dyDescent="0.2">
      <c r="B3868" s="1168"/>
    </row>
    <row r="3869" spans="2:2" s="221" customFormat="1" ht="12.75" x14ac:dyDescent="0.2">
      <c r="B3869" s="1168"/>
    </row>
    <row r="3870" spans="2:2" s="221" customFormat="1" ht="12.75" x14ac:dyDescent="0.2">
      <c r="B3870" s="1168"/>
    </row>
    <row r="3871" spans="2:2" s="221" customFormat="1" ht="12.75" x14ac:dyDescent="0.2">
      <c r="B3871" s="1168"/>
    </row>
    <row r="3872" spans="2:2" s="221" customFormat="1" ht="12.75" x14ac:dyDescent="0.2">
      <c r="B3872" s="1168"/>
    </row>
    <row r="3873" spans="2:2" s="221" customFormat="1" ht="12.75" x14ac:dyDescent="0.2">
      <c r="B3873" s="1168"/>
    </row>
    <row r="3874" spans="2:2" s="221" customFormat="1" ht="12.75" x14ac:dyDescent="0.2">
      <c r="B3874" s="1168"/>
    </row>
    <row r="3875" spans="2:2" s="221" customFormat="1" ht="12.75" x14ac:dyDescent="0.2">
      <c r="B3875" s="1168"/>
    </row>
    <row r="3876" spans="2:2" s="221" customFormat="1" ht="12.75" x14ac:dyDescent="0.2">
      <c r="B3876" s="1168"/>
    </row>
    <row r="3877" spans="2:2" s="221" customFormat="1" ht="12.75" x14ac:dyDescent="0.2">
      <c r="B3877" s="1168"/>
    </row>
    <row r="3878" spans="2:2" s="221" customFormat="1" ht="12.75" x14ac:dyDescent="0.2">
      <c r="B3878" s="1168"/>
    </row>
    <row r="3879" spans="2:2" s="221" customFormat="1" ht="12.75" x14ac:dyDescent="0.2">
      <c r="B3879" s="1168"/>
    </row>
    <row r="3880" spans="2:2" s="221" customFormat="1" ht="12.75" x14ac:dyDescent="0.2">
      <c r="B3880" s="1168"/>
    </row>
    <row r="3881" spans="2:2" s="221" customFormat="1" ht="12.75" x14ac:dyDescent="0.2">
      <c r="B3881" s="1168"/>
    </row>
    <row r="3882" spans="2:2" s="221" customFormat="1" ht="12.75" x14ac:dyDescent="0.2">
      <c r="B3882" s="1168"/>
    </row>
    <row r="3883" spans="2:2" s="221" customFormat="1" ht="12.75" x14ac:dyDescent="0.2">
      <c r="B3883" s="1168"/>
    </row>
    <row r="3884" spans="2:2" s="221" customFormat="1" ht="12.75" x14ac:dyDescent="0.2">
      <c r="B3884" s="1168"/>
    </row>
    <row r="3885" spans="2:2" s="221" customFormat="1" ht="12.75" x14ac:dyDescent="0.2">
      <c r="B3885" s="1168"/>
    </row>
    <row r="3886" spans="2:2" s="221" customFormat="1" ht="12.75" x14ac:dyDescent="0.2">
      <c r="B3886" s="1168"/>
    </row>
    <row r="3887" spans="2:2" s="221" customFormat="1" ht="12.75" x14ac:dyDescent="0.2">
      <c r="B3887" s="1168"/>
    </row>
    <row r="3888" spans="2:2" s="221" customFormat="1" ht="12.75" x14ac:dyDescent="0.2">
      <c r="B3888" s="1168"/>
    </row>
    <row r="3889" spans="2:2" s="221" customFormat="1" ht="12.75" x14ac:dyDescent="0.2">
      <c r="B3889" s="1168"/>
    </row>
    <row r="3890" spans="2:2" s="221" customFormat="1" ht="12.75" x14ac:dyDescent="0.2">
      <c r="B3890" s="1168"/>
    </row>
    <row r="3891" spans="2:2" s="221" customFormat="1" ht="12.75" x14ac:dyDescent="0.2">
      <c r="B3891" s="1168"/>
    </row>
    <row r="3892" spans="2:2" s="221" customFormat="1" ht="12.75" x14ac:dyDescent="0.2">
      <c r="B3892" s="1168"/>
    </row>
    <row r="3893" spans="2:2" s="221" customFormat="1" ht="12.75" x14ac:dyDescent="0.2">
      <c r="B3893" s="1168"/>
    </row>
    <row r="3894" spans="2:2" s="221" customFormat="1" ht="12.75" x14ac:dyDescent="0.2">
      <c r="B3894" s="1168"/>
    </row>
    <row r="3895" spans="2:2" s="221" customFormat="1" ht="12.75" x14ac:dyDescent="0.2">
      <c r="B3895" s="1168"/>
    </row>
    <row r="3896" spans="2:2" s="221" customFormat="1" ht="12.75" x14ac:dyDescent="0.2">
      <c r="B3896" s="1168"/>
    </row>
    <row r="3897" spans="2:2" s="221" customFormat="1" ht="12.75" x14ac:dyDescent="0.2">
      <c r="B3897" s="1168"/>
    </row>
    <row r="3898" spans="2:2" s="221" customFormat="1" ht="12.75" x14ac:dyDescent="0.2">
      <c r="B3898" s="1168"/>
    </row>
    <row r="3899" spans="2:2" s="221" customFormat="1" ht="12.75" x14ac:dyDescent="0.2">
      <c r="B3899" s="1168"/>
    </row>
    <row r="3900" spans="2:2" s="221" customFormat="1" ht="12.75" x14ac:dyDescent="0.2">
      <c r="B3900" s="1168"/>
    </row>
    <row r="3901" spans="2:2" s="221" customFormat="1" ht="12.75" x14ac:dyDescent="0.2">
      <c r="B3901" s="1168"/>
    </row>
    <row r="3902" spans="2:2" s="221" customFormat="1" ht="12.75" x14ac:dyDescent="0.2">
      <c r="B3902" s="1168"/>
    </row>
    <row r="3903" spans="2:2" s="221" customFormat="1" ht="12.75" x14ac:dyDescent="0.2">
      <c r="B3903" s="1168"/>
    </row>
    <row r="3904" spans="2:2" s="221" customFormat="1" ht="12.75" x14ac:dyDescent="0.2">
      <c r="B3904" s="1168"/>
    </row>
    <row r="3905" spans="2:2" s="221" customFormat="1" ht="12.75" x14ac:dyDescent="0.2">
      <c r="B3905" s="1168"/>
    </row>
    <row r="3906" spans="2:2" s="221" customFormat="1" ht="12.75" x14ac:dyDescent="0.2">
      <c r="B3906" s="1168"/>
    </row>
    <row r="3907" spans="2:2" s="221" customFormat="1" ht="12.75" x14ac:dyDescent="0.2">
      <c r="B3907" s="1168"/>
    </row>
    <row r="3908" spans="2:2" s="221" customFormat="1" ht="12.75" x14ac:dyDescent="0.2">
      <c r="B3908" s="1168"/>
    </row>
    <row r="3909" spans="2:2" s="221" customFormat="1" ht="12.75" x14ac:dyDescent="0.2">
      <c r="B3909" s="1168"/>
    </row>
    <row r="3910" spans="2:2" s="221" customFormat="1" ht="12.75" x14ac:dyDescent="0.2">
      <c r="B3910" s="1168"/>
    </row>
    <row r="3911" spans="2:2" s="221" customFormat="1" ht="12.75" x14ac:dyDescent="0.2">
      <c r="B3911" s="1168"/>
    </row>
    <row r="3912" spans="2:2" s="221" customFormat="1" ht="12.75" x14ac:dyDescent="0.2">
      <c r="B3912" s="1168"/>
    </row>
    <row r="3913" spans="2:2" s="221" customFormat="1" ht="12.75" x14ac:dyDescent="0.2">
      <c r="B3913" s="1168"/>
    </row>
    <row r="3914" spans="2:2" s="221" customFormat="1" ht="12.75" x14ac:dyDescent="0.2">
      <c r="B3914" s="1168"/>
    </row>
    <row r="3915" spans="2:2" s="221" customFormat="1" ht="12.75" x14ac:dyDescent="0.2">
      <c r="B3915" s="1168"/>
    </row>
    <row r="3916" spans="2:2" s="221" customFormat="1" ht="12.75" x14ac:dyDescent="0.2">
      <c r="B3916" s="1168"/>
    </row>
    <row r="3917" spans="2:2" s="221" customFormat="1" ht="12.75" x14ac:dyDescent="0.2">
      <c r="B3917" s="1168"/>
    </row>
    <row r="3918" spans="2:2" s="221" customFormat="1" ht="12.75" x14ac:dyDescent="0.2">
      <c r="B3918" s="1168"/>
    </row>
    <row r="3919" spans="2:2" s="221" customFormat="1" ht="12.75" x14ac:dyDescent="0.2">
      <c r="B3919" s="1168"/>
    </row>
    <row r="3920" spans="2:2" s="221" customFormat="1" ht="12.75" x14ac:dyDescent="0.2">
      <c r="B3920" s="1168"/>
    </row>
    <row r="3921" spans="2:2" s="221" customFormat="1" ht="12.75" x14ac:dyDescent="0.2">
      <c r="B3921" s="1168"/>
    </row>
    <row r="3922" spans="2:2" s="221" customFormat="1" ht="12.75" x14ac:dyDescent="0.2">
      <c r="B3922" s="1168"/>
    </row>
    <row r="3923" spans="2:2" s="221" customFormat="1" ht="12.75" x14ac:dyDescent="0.2">
      <c r="B3923" s="1168"/>
    </row>
    <row r="3924" spans="2:2" s="221" customFormat="1" ht="12.75" x14ac:dyDescent="0.2">
      <c r="B3924" s="1168"/>
    </row>
    <row r="3925" spans="2:2" s="221" customFormat="1" ht="12.75" x14ac:dyDescent="0.2">
      <c r="B3925" s="1168"/>
    </row>
    <row r="3926" spans="2:2" s="221" customFormat="1" ht="12.75" x14ac:dyDescent="0.2">
      <c r="B3926" s="1168"/>
    </row>
    <row r="3927" spans="2:2" s="221" customFormat="1" ht="12.75" x14ac:dyDescent="0.2">
      <c r="B3927" s="1168"/>
    </row>
    <row r="3928" spans="2:2" s="221" customFormat="1" ht="12.75" x14ac:dyDescent="0.2">
      <c r="B3928" s="1168"/>
    </row>
    <row r="3929" spans="2:2" s="221" customFormat="1" ht="12.75" x14ac:dyDescent="0.2">
      <c r="B3929" s="1168"/>
    </row>
    <row r="3930" spans="2:2" s="221" customFormat="1" ht="12.75" x14ac:dyDescent="0.2">
      <c r="B3930" s="1168"/>
    </row>
    <row r="3931" spans="2:2" s="221" customFormat="1" ht="12.75" x14ac:dyDescent="0.2">
      <c r="B3931" s="1168"/>
    </row>
    <row r="3932" spans="2:2" s="221" customFormat="1" ht="12.75" x14ac:dyDescent="0.2">
      <c r="B3932" s="1168"/>
    </row>
    <row r="3933" spans="2:2" s="221" customFormat="1" ht="12.75" x14ac:dyDescent="0.2">
      <c r="B3933" s="1168"/>
    </row>
    <row r="3934" spans="2:2" s="221" customFormat="1" ht="12.75" x14ac:dyDescent="0.2">
      <c r="B3934" s="1168"/>
    </row>
    <row r="3935" spans="2:2" s="221" customFormat="1" ht="12.75" x14ac:dyDescent="0.2">
      <c r="B3935" s="1168"/>
    </row>
    <row r="3936" spans="2:2" s="221" customFormat="1" ht="12.75" x14ac:dyDescent="0.2">
      <c r="B3936" s="1168"/>
    </row>
    <row r="3937" spans="2:2" s="221" customFormat="1" ht="12.75" x14ac:dyDescent="0.2">
      <c r="B3937" s="1168"/>
    </row>
    <row r="3938" spans="2:2" s="221" customFormat="1" ht="12.75" x14ac:dyDescent="0.2">
      <c r="B3938" s="1168"/>
    </row>
    <row r="3939" spans="2:2" s="221" customFormat="1" ht="12.75" x14ac:dyDescent="0.2">
      <c r="B3939" s="1168"/>
    </row>
    <row r="3940" spans="2:2" s="221" customFormat="1" ht="12.75" x14ac:dyDescent="0.2">
      <c r="B3940" s="1168"/>
    </row>
    <row r="3941" spans="2:2" s="221" customFormat="1" ht="12.75" x14ac:dyDescent="0.2">
      <c r="B3941" s="1168"/>
    </row>
    <row r="3942" spans="2:2" s="221" customFormat="1" ht="12.75" x14ac:dyDescent="0.2">
      <c r="B3942" s="1168"/>
    </row>
    <row r="3943" spans="2:2" s="221" customFormat="1" ht="12.75" x14ac:dyDescent="0.2">
      <c r="B3943" s="1168"/>
    </row>
    <row r="3944" spans="2:2" s="221" customFormat="1" ht="12.75" x14ac:dyDescent="0.2">
      <c r="B3944" s="1168"/>
    </row>
    <row r="3945" spans="2:2" s="221" customFormat="1" ht="12.75" x14ac:dyDescent="0.2">
      <c r="B3945" s="1168"/>
    </row>
    <row r="3946" spans="2:2" s="221" customFormat="1" ht="12.75" x14ac:dyDescent="0.2">
      <c r="B3946" s="1168"/>
    </row>
    <row r="3947" spans="2:2" s="221" customFormat="1" ht="12.75" x14ac:dyDescent="0.2">
      <c r="B3947" s="1168"/>
    </row>
    <row r="3948" spans="2:2" s="221" customFormat="1" ht="12.75" x14ac:dyDescent="0.2">
      <c r="B3948" s="1168"/>
    </row>
    <row r="3949" spans="2:2" s="221" customFormat="1" ht="12.75" x14ac:dyDescent="0.2">
      <c r="B3949" s="1168"/>
    </row>
    <row r="3950" spans="2:2" s="221" customFormat="1" ht="12.75" x14ac:dyDescent="0.2">
      <c r="B3950" s="1168"/>
    </row>
    <row r="3951" spans="2:2" s="221" customFormat="1" ht="12.75" x14ac:dyDescent="0.2">
      <c r="B3951" s="1168"/>
    </row>
    <row r="3952" spans="2:2" s="221" customFormat="1" ht="12.75" x14ac:dyDescent="0.2">
      <c r="B3952" s="1168"/>
    </row>
    <row r="3953" spans="2:2" s="221" customFormat="1" ht="12.75" x14ac:dyDescent="0.2">
      <c r="B3953" s="1168"/>
    </row>
    <row r="3954" spans="2:2" s="221" customFormat="1" ht="12.75" x14ac:dyDescent="0.2">
      <c r="B3954" s="1168"/>
    </row>
    <row r="3955" spans="2:2" s="221" customFormat="1" ht="12.75" x14ac:dyDescent="0.2">
      <c r="B3955" s="1168"/>
    </row>
    <row r="3956" spans="2:2" s="221" customFormat="1" ht="12.75" x14ac:dyDescent="0.2">
      <c r="B3956" s="1168"/>
    </row>
    <row r="3957" spans="2:2" s="221" customFormat="1" ht="12.75" x14ac:dyDescent="0.2">
      <c r="B3957" s="1168"/>
    </row>
    <row r="3958" spans="2:2" s="221" customFormat="1" ht="12.75" x14ac:dyDescent="0.2">
      <c r="B3958" s="1168"/>
    </row>
    <row r="3959" spans="2:2" s="221" customFormat="1" ht="12.75" x14ac:dyDescent="0.2">
      <c r="B3959" s="1168"/>
    </row>
    <row r="3960" spans="2:2" s="221" customFormat="1" ht="12.75" x14ac:dyDescent="0.2">
      <c r="B3960" s="1168"/>
    </row>
    <row r="3961" spans="2:2" s="221" customFormat="1" ht="12.75" x14ac:dyDescent="0.2">
      <c r="B3961" s="1168"/>
    </row>
    <row r="3962" spans="2:2" s="221" customFormat="1" ht="12.75" x14ac:dyDescent="0.2">
      <c r="B3962" s="1168"/>
    </row>
    <row r="3963" spans="2:2" s="221" customFormat="1" ht="12.75" x14ac:dyDescent="0.2">
      <c r="B3963" s="1168"/>
    </row>
    <row r="3964" spans="2:2" s="221" customFormat="1" ht="12.75" x14ac:dyDescent="0.2">
      <c r="B3964" s="1168"/>
    </row>
    <row r="3965" spans="2:2" s="221" customFormat="1" ht="12.75" x14ac:dyDescent="0.2">
      <c r="B3965" s="1168"/>
    </row>
    <row r="3966" spans="2:2" s="221" customFormat="1" ht="12.75" x14ac:dyDescent="0.2">
      <c r="B3966" s="1168"/>
    </row>
    <row r="3967" spans="2:2" s="221" customFormat="1" ht="12.75" x14ac:dyDescent="0.2">
      <c r="B3967" s="1168"/>
    </row>
    <row r="3968" spans="2:2" s="221" customFormat="1" ht="12.75" x14ac:dyDescent="0.2">
      <c r="B3968" s="1168"/>
    </row>
    <row r="3969" spans="2:2" s="221" customFormat="1" ht="12.75" x14ac:dyDescent="0.2">
      <c r="B3969" s="1168"/>
    </row>
    <row r="3970" spans="2:2" s="221" customFormat="1" ht="12.75" x14ac:dyDescent="0.2">
      <c r="B3970" s="1168"/>
    </row>
    <row r="3971" spans="2:2" s="221" customFormat="1" ht="12.75" x14ac:dyDescent="0.2">
      <c r="B3971" s="1168"/>
    </row>
    <row r="3972" spans="2:2" s="221" customFormat="1" ht="12.75" x14ac:dyDescent="0.2">
      <c r="B3972" s="1168"/>
    </row>
    <row r="3973" spans="2:2" s="221" customFormat="1" ht="12.75" x14ac:dyDescent="0.2">
      <c r="B3973" s="1168"/>
    </row>
    <row r="3974" spans="2:2" s="221" customFormat="1" ht="12.75" x14ac:dyDescent="0.2">
      <c r="B3974" s="1168"/>
    </row>
    <row r="3975" spans="2:2" s="221" customFormat="1" ht="12.75" x14ac:dyDescent="0.2">
      <c r="B3975" s="1168"/>
    </row>
    <row r="3976" spans="2:2" s="221" customFormat="1" ht="12.75" x14ac:dyDescent="0.2">
      <c r="B3976" s="1168"/>
    </row>
    <row r="3977" spans="2:2" s="221" customFormat="1" ht="12.75" x14ac:dyDescent="0.2">
      <c r="B3977" s="1168"/>
    </row>
    <row r="3978" spans="2:2" s="221" customFormat="1" ht="12.75" x14ac:dyDescent="0.2">
      <c r="B3978" s="1168"/>
    </row>
    <row r="3979" spans="2:2" s="221" customFormat="1" ht="12.75" x14ac:dyDescent="0.2">
      <c r="B3979" s="1168"/>
    </row>
    <row r="3980" spans="2:2" s="221" customFormat="1" ht="12.75" x14ac:dyDescent="0.2">
      <c r="B3980" s="1168"/>
    </row>
    <row r="3981" spans="2:2" s="221" customFormat="1" ht="12.75" x14ac:dyDescent="0.2">
      <c r="B3981" s="1168"/>
    </row>
    <row r="3982" spans="2:2" s="221" customFormat="1" ht="12.75" x14ac:dyDescent="0.2">
      <c r="B3982" s="1168"/>
    </row>
    <row r="3983" spans="2:2" s="221" customFormat="1" ht="12.75" x14ac:dyDescent="0.2">
      <c r="B3983" s="1168"/>
    </row>
    <row r="3984" spans="2:2" s="221" customFormat="1" ht="12.75" x14ac:dyDescent="0.2">
      <c r="B3984" s="1168"/>
    </row>
    <row r="3985" spans="2:2" s="221" customFormat="1" ht="12.75" x14ac:dyDescent="0.2">
      <c r="B3985" s="1168"/>
    </row>
    <row r="3986" spans="2:2" s="221" customFormat="1" ht="12.75" x14ac:dyDescent="0.2">
      <c r="B3986" s="1168"/>
    </row>
    <row r="3987" spans="2:2" s="221" customFormat="1" ht="12.75" x14ac:dyDescent="0.2">
      <c r="B3987" s="1168"/>
    </row>
    <row r="3988" spans="2:2" s="221" customFormat="1" ht="12.75" x14ac:dyDescent="0.2">
      <c r="B3988" s="1168"/>
    </row>
    <row r="3989" spans="2:2" s="221" customFormat="1" ht="12.75" x14ac:dyDescent="0.2">
      <c r="B3989" s="1168"/>
    </row>
    <row r="3990" spans="2:2" s="221" customFormat="1" ht="12.75" x14ac:dyDescent="0.2">
      <c r="B3990" s="1168"/>
    </row>
    <row r="3991" spans="2:2" s="221" customFormat="1" ht="12.75" x14ac:dyDescent="0.2">
      <c r="B3991" s="1168"/>
    </row>
    <row r="3992" spans="2:2" s="221" customFormat="1" ht="12.75" x14ac:dyDescent="0.2">
      <c r="B3992" s="1168"/>
    </row>
    <row r="3993" spans="2:2" s="221" customFormat="1" ht="12.75" x14ac:dyDescent="0.2">
      <c r="B3993" s="1168"/>
    </row>
    <row r="3994" spans="2:2" s="221" customFormat="1" ht="12.75" x14ac:dyDescent="0.2">
      <c r="B3994" s="1168"/>
    </row>
    <row r="3995" spans="2:2" s="221" customFormat="1" ht="12.75" x14ac:dyDescent="0.2">
      <c r="B3995" s="1168"/>
    </row>
    <row r="3996" spans="2:2" s="221" customFormat="1" ht="12.75" x14ac:dyDescent="0.2">
      <c r="B3996" s="1168"/>
    </row>
    <row r="3997" spans="2:2" s="221" customFormat="1" ht="12.75" x14ac:dyDescent="0.2">
      <c r="B3997" s="1168"/>
    </row>
    <row r="3998" spans="2:2" s="221" customFormat="1" ht="12.75" x14ac:dyDescent="0.2">
      <c r="B3998" s="1168"/>
    </row>
    <row r="3999" spans="2:2" s="221" customFormat="1" ht="12.75" x14ac:dyDescent="0.2">
      <c r="B3999" s="1168"/>
    </row>
    <row r="4000" spans="2:2" s="221" customFormat="1" ht="12.75" x14ac:dyDescent="0.2">
      <c r="B4000" s="1168"/>
    </row>
    <row r="4001" spans="2:2" s="221" customFormat="1" ht="12.75" x14ac:dyDescent="0.2">
      <c r="B4001" s="1168"/>
    </row>
    <row r="4002" spans="2:2" s="221" customFormat="1" ht="12.75" x14ac:dyDescent="0.2">
      <c r="B4002" s="1168"/>
    </row>
    <row r="4003" spans="2:2" s="221" customFormat="1" ht="12.75" x14ac:dyDescent="0.2">
      <c r="B4003" s="1168"/>
    </row>
    <row r="4004" spans="2:2" s="221" customFormat="1" ht="12.75" x14ac:dyDescent="0.2">
      <c r="B4004" s="1168"/>
    </row>
    <row r="4005" spans="2:2" s="221" customFormat="1" ht="12.75" x14ac:dyDescent="0.2">
      <c r="B4005" s="1168"/>
    </row>
    <row r="4006" spans="2:2" s="221" customFormat="1" ht="12.75" x14ac:dyDescent="0.2">
      <c r="B4006" s="1168"/>
    </row>
    <row r="4007" spans="2:2" s="221" customFormat="1" ht="12.75" x14ac:dyDescent="0.2">
      <c r="B4007" s="1168"/>
    </row>
    <row r="4008" spans="2:2" s="221" customFormat="1" ht="12.75" x14ac:dyDescent="0.2">
      <c r="B4008" s="1168"/>
    </row>
    <row r="4009" spans="2:2" s="221" customFormat="1" ht="12.75" x14ac:dyDescent="0.2">
      <c r="B4009" s="1168"/>
    </row>
    <row r="4010" spans="2:2" s="221" customFormat="1" ht="12.75" x14ac:dyDescent="0.2">
      <c r="B4010" s="1168"/>
    </row>
    <row r="4011" spans="2:2" s="221" customFormat="1" ht="12.75" x14ac:dyDescent="0.2">
      <c r="B4011" s="1168"/>
    </row>
    <row r="4012" spans="2:2" s="221" customFormat="1" ht="12.75" x14ac:dyDescent="0.2">
      <c r="B4012" s="1168"/>
    </row>
    <row r="4013" spans="2:2" s="221" customFormat="1" ht="12.75" x14ac:dyDescent="0.2">
      <c r="B4013" s="1168"/>
    </row>
    <row r="4014" spans="2:2" s="221" customFormat="1" ht="12.75" x14ac:dyDescent="0.2">
      <c r="B4014" s="1168"/>
    </row>
    <row r="4015" spans="2:2" s="221" customFormat="1" ht="12.75" x14ac:dyDescent="0.2">
      <c r="B4015" s="1168"/>
    </row>
    <row r="4016" spans="2:2" s="221" customFormat="1" ht="12.75" x14ac:dyDescent="0.2">
      <c r="B4016" s="1168"/>
    </row>
    <row r="4017" spans="2:2" s="221" customFormat="1" ht="12.75" x14ac:dyDescent="0.2">
      <c r="B4017" s="1168"/>
    </row>
    <row r="4018" spans="2:2" s="221" customFormat="1" ht="12.75" x14ac:dyDescent="0.2">
      <c r="B4018" s="1168"/>
    </row>
    <row r="4019" spans="2:2" s="221" customFormat="1" ht="12.75" x14ac:dyDescent="0.2">
      <c r="B4019" s="1168"/>
    </row>
    <row r="4020" spans="2:2" s="221" customFormat="1" ht="12.75" x14ac:dyDescent="0.2">
      <c r="B4020" s="1168"/>
    </row>
    <row r="4021" spans="2:2" s="221" customFormat="1" ht="12.75" x14ac:dyDescent="0.2">
      <c r="B4021" s="1168"/>
    </row>
    <row r="4022" spans="2:2" s="221" customFormat="1" ht="12.75" x14ac:dyDescent="0.2">
      <c r="B4022" s="1168"/>
    </row>
    <row r="4023" spans="2:2" s="221" customFormat="1" ht="12.75" x14ac:dyDescent="0.2">
      <c r="B4023" s="1168"/>
    </row>
    <row r="4024" spans="2:2" s="221" customFormat="1" ht="12.75" x14ac:dyDescent="0.2">
      <c r="B4024" s="1168"/>
    </row>
    <row r="4025" spans="2:2" s="221" customFormat="1" ht="12.75" x14ac:dyDescent="0.2">
      <c r="B4025" s="1168"/>
    </row>
    <row r="4026" spans="2:2" s="221" customFormat="1" ht="12.75" x14ac:dyDescent="0.2">
      <c r="B4026" s="1168"/>
    </row>
    <row r="4027" spans="2:2" s="221" customFormat="1" ht="12.75" x14ac:dyDescent="0.2">
      <c r="B4027" s="1168"/>
    </row>
    <row r="4028" spans="2:2" s="221" customFormat="1" ht="12.75" x14ac:dyDescent="0.2">
      <c r="B4028" s="1168"/>
    </row>
    <row r="4029" spans="2:2" s="221" customFormat="1" ht="12.75" x14ac:dyDescent="0.2">
      <c r="B4029" s="1168"/>
    </row>
    <row r="4030" spans="2:2" s="221" customFormat="1" ht="12.75" x14ac:dyDescent="0.2">
      <c r="B4030" s="1168"/>
    </row>
    <row r="4031" spans="2:2" s="221" customFormat="1" ht="12.75" x14ac:dyDescent="0.2">
      <c r="B4031" s="1168"/>
    </row>
    <row r="4032" spans="2:2" s="221" customFormat="1" ht="12.75" x14ac:dyDescent="0.2">
      <c r="B4032" s="1168"/>
    </row>
    <row r="4033" spans="2:2" s="221" customFormat="1" ht="12.75" x14ac:dyDescent="0.2">
      <c r="B4033" s="1168"/>
    </row>
    <row r="4034" spans="2:2" s="221" customFormat="1" ht="12.75" x14ac:dyDescent="0.2">
      <c r="B4034" s="1168"/>
    </row>
    <row r="4035" spans="2:2" s="221" customFormat="1" ht="12.75" x14ac:dyDescent="0.2">
      <c r="B4035" s="1168"/>
    </row>
    <row r="4036" spans="2:2" s="221" customFormat="1" ht="12.75" x14ac:dyDescent="0.2">
      <c r="B4036" s="1168"/>
    </row>
    <row r="4037" spans="2:2" s="221" customFormat="1" ht="12.75" x14ac:dyDescent="0.2">
      <c r="B4037" s="1168"/>
    </row>
    <row r="4038" spans="2:2" s="221" customFormat="1" ht="12.75" x14ac:dyDescent="0.2">
      <c r="B4038" s="1168"/>
    </row>
    <row r="4039" spans="2:2" s="221" customFormat="1" ht="12.75" x14ac:dyDescent="0.2">
      <c r="B4039" s="1168"/>
    </row>
    <row r="4040" spans="2:2" s="221" customFormat="1" ht="12.75" x14ac:dyDescent="0.2">
      <c r="B4040" s="1168"/>
    </row>
    <row r="4041" spans="2:2" s="221" customFormat="1" ht="12.75" x14ac:dyDescent="0.2">
      <c r="B4041" s="1168"/>
    </row>
    <row r="4042" spans="2:2" s="221" customFormat="1" ht="12.75" x14ac:dyDescent="0.2">
      <c r="B4042" s="1168"/>
    </row>
    <row r="4043" spans="2:2" s="221" customFormat="1" ht="12.75" x14ac:dyDescent="0.2">
      <c r="B4043" s="1168"/>
    </row>
    <row r="4044" spans="2:2" s="221" customFormat="1" ht="12.75" x14ac:dyDescent="0.2">
      <c r="B4044" s="1168"/>
    </row>
    <row r="4045" spans="2:2" s="221" customFormat="1" ht="12.75" x14ac:dyDescent="0.2">
      <c r="B4045" s="1168"/>
    </row>
    <row r="4046" spans="2:2" s="221" customFormat="1" ht="12.75" x14ac:dyDescent="0.2">
      <c r="B4046" s="1168"/>
    </row>
    <row r="4047" spans="2:2" s="221" customFormat="1" ht="12.75" x14ac:dyDescent="0.2">
      <c r="B4047" s="1168"/>
    </row>
    <row r="4048" spans="2:2" s="221" customFormat="1" ht="12.75" x14ac:dyDescent="0.2">
      <c r="B4048" s="1168"/>
    </row>
    <row r="4049" spans="2:2" s="221" customFormat="1" ht="12.75" x14ac:dyDescent="0.2">
      <c r="B4049" s="1168"/>
    </row>
    <row r="4050" spans="2:2" s="221" customFormat="1" ht="12.75" x14ac:dyDescent="0.2">
      <c r="B4050" s="1168"/>
    </row>
    <row r="4051" spans="2:2" s="221" customFormat="1" ht="12.75" x14ac:dyDescent="0.2">
      <c r="B4051" s="1168"/>
    </row>
    <row r="4052" spans="2:2" s="221" customFormat="1" ht="12.75" x14ac:dyDescent="0.2">
      <c r="B4052" s="1168"/>
    </row>
    <row r="4053" spans="2:2" s="221" customFormat="1" ht="12.75" x14ac:dyDescent="0.2">
      <c r="B4053" s="1168"/>
    </row>
    <row r="4054" spans="2:2" s="221" customFormat="1" ht="12.75" x14ac:dyDescent="0.2">
      <c r="B4054" s="1168"/>
    </row>
    <row r="4055" spans="2:2" s="221" customFormat="1" ht="12.75" x14ac:dyDescent="0.2">
      <c r="B4055" s="1168"/>
    </row>
    <row r="4056" spans="2:2" s="221" customFormat="1" ht="12.75" x14ac:dyDescent="0.2">
      <c r="B4056" s="1168"/>
    </row>
    <row r="4057" spans="2:2" s="221" customFormat="1" ht="12.75" x14ac:dyDescent="0.2">
      <c r="B4057" s="1168"/>
    </row>
    <row r="4058" spans="2:2" s="221" customFormat="1" ht="12.75" x14ac:dyDescent="0.2">
      <c r="B4058" s="1168"/>
    </row>
    <row r="4059" spans="2:2" s="221" customFormat="1" ht="12.75" x14ac:dyDescent="0.2">
      <c r="B4059" s="1168"/>
    </row>
    <row r="4060" spans="2:2" s="221" customFormat="1" ht="12.75" x14ac:dyDescent="0.2">
      <c r="B4060" s="1168"/>
    </row>
    <row r="4061" spans="2:2" s="221" customFormat="1" ht="12.75" x14ac:dyDescent="0.2">
      <c r="B4061" s="1168"/>
    </row>
    <row r="4062" spans="2:2" s="221" customFormat="1" ht="12.75" x14ac:dyDescent="0.2">
      <c r="B4062" s="1168"/>
    </row>
    <row r="4063" spans="2:2" s="221" customFormat="1" ht="12.75" x14ac:dyDescent="0.2">
      <c r="B4063" s="1168"/>
    </row>
    <row r="4064" spans="2:2" s="221" customFormat="1" ht="12.75" x14ac:dyDescent="0.2">
      <c r="B4064" s="1168"/>
    </row>
    <row r="4065" spans="2:2" s="221" customFormat="1" ht="12.75" x14ac:dyDescent="0.2">
      <c r="B4065" s="1168"/>
    </row>
    <row r="4066" spans="2:2" s="221" customFormat="1" ht="12.75" x14ac:dyDescent="0.2">
      <c r="B4066" s="1168"/>
    </row>
    <row r="4067" spans="2:2" s="221" customFormat="1" ht="12.75" x14ac:dyDescent="0.2">
      <c r="B4067" s="1168"/>
    </row>
    <row r="4068" spans="2:2" s="221" customFormat="1" ht="12.75" x14ac:dyDescent="0.2">
      <c r="B4068" s="1168"/>
    </row>
    <row r="4069" spans="2:2" s="221" customFormat="1" ht="12.75" x14ac:dyDescent="0.2">
      <c r="B4069" s="1168"/>
    </row>
    <row r="4070" spans="2:2" s="221" customFormat="1" ht="12.75" x14ac:dyDescent="0.2">
      <c r="B4070" s="1168"/>
    </row>
    <row r="4071" spans="2:2" s="221" customFormat="1" ht="12.75" x14ac:dyDescent="0.2">
      <c r="B4071" s="1168"/>
    </row>
    <row r="4072" spans="2:2" s="221" customFormat="1" ht="12.75" x14ac:dyDescent="0.2">
      <c r="B4072" s="1168"/>
    </row>
    <row r="4073" spans="2:2" s="221" customFormat="1" ht="12.75" x14ac:dyDescent="0.2">
      <c r="B4073" s="1168"/>
    </row>
    <row r="4074" spans="2:2" s="221" customFormat="1" ht="12.75" x14ac:dyDescent="0.2">
      <c r="B4074" s="1168"/>
    </row>
    <row r="4075" spans="2:2" s="221" customFormat="1" ht="12.75" x14ac:dyDescent="0.2">
      <c r="B4075" s="1168"/>
    </row>
    <row r="4076" spans="2:2" s="221" customFormat="1" ht="12.75" x14ac:dyDescent="0.2">
      <c r="B4076" s="1168"/>
    </row>
    <row r="4077" spans="2:2" s="221" customFormat="1" ht="12.75" x14ac:dyDescent="0.2">
      <c r="B4077" s="1168"/>
    </row>
    <row r="4078" spans="2:2" s="221" customFormat="1" ht="12.75" x14ac:dyDescent="0.2">
      <c r="B4078" s="1168"/>
    </row>
    <row r="4079" spans="2:2" s="221" customFormat="1" ht="12.75" x14ac:dyDescent="0.2">
      <c r="B4079" s="1168"/>
    </row>
    <row r="4080" spans="2:2" s="221" customFormat="1" ht="12.75" x14ac:dyDescent="0.2">
      <c r="B4080" s="1168"/>
    </row>
    <row r="4081" spans="2:2" s="221" customFormat="1" ht="12.75" x14ac:dyDescent="0.2">
      <c r="B4081" s="1168"/>
    </row>
    <row r="4082" spans="2:2" s="221" customFormat="1" ht="12.75" x14ac:dyDescent="0.2">
      <c r="B4082" s="1168"/>
    </row>
    <row r="4083" spans="2:2" s="221" customFormat="1" ht="12.75" x14ac:dyDescent="0.2">
      <c r="B4083" s="1168"/>
    </row>
    <row r="4084" spans="2:2" s="221" customFormat="1" ht="12.75" x14ac:dyDescent="0.2">
      <c r="B4084" s="1168"/>
    </row>
    <row r="4085" spans="2:2" s="221" customFormat="1" ht="12.75" x14ac:dyDescent="0.2">
      <c r="B4085" s="1168"/>
    </row>
    <row r="4086" spans="2:2" s="221" customFormat="1" ht="12.75" x14ac:dyDescent="0.2">
      <c r="B4086" s="1168"/>
    </row>
    <row r="4087" spans="2:2" s="221" customFormat="1" ht="12.75" x14ac:dyDescent="0.2">
      <c r="B4087" s="1168"/>
    </row>
    <row r="4088" spans="2:2" s="221" customFormat="1" ht="12.75" x14ac:dyDescent="0.2">
      <c r="B4088" s="1168"/>
    </row>
    <row r="4089" spans="2:2" s="221" customFormat="1" ht="12.75" x14ac:dyDescent="0.2">
      <c r="B4089" s="1168"/>
    </row>
    <row r="4090" spans="2:2" s="221" customFormat="1" ht="12.75" x14ac:dyDescent="0.2">
      <c r="B4090" s="1168"/>
    </row>
    <row r="4091" spans="2:2" s="221" customFormat="1" ht="12.75" x14ac:dyDescent="0.2">
      <c r="B4091" s="1168"/>
    </row>
    <row r="4092" spans="2:2" s="221" customFormat="1" ht="12.75" x14ac:dyDescent="0.2">
      <c r="B4092" s="1168"/>
    </row>
    <row r="4093" spans="2:2" s="221" customFormat="1" ht="12.75" x14ac:dyDescent="0.2">
      <c r="B4093" s="1168"/>
    </row>
    <row r="4094" spans="2:2" s="221" customFormat="1" ht="12.75" x14ac:dyDescent="0.2">
      <c r="B4094" s="1168"/>
    </row>
    <row r="4095" spans="2:2" s="221" customFormat="1" ht="12.75" x14ac:dyDescent="0.2">
      <c r="B4095" s="1168"/>
    </row>
    <row r="4096" spans="2:2" s="221" customFormat="1" ht="12.75" x14ac:dyDescent="0.2">
      <c r="B4096" s="1168"/>
    </row>
    <row r="4097" spans="2:2" s="221" customFormat="1" ht="12.75" x14ac:dyDescent="0.2">
      <c r="B4097" s="1168"/>
    </row>
    <row r="4098" spans="2:2" s="221" customFormat="1" ht="12.75" x14ac:dyDescent="0.2">
      <c r="B4098" s="1168"/>
    </row>
    <row r="4099" spans="2:2" s="221" customFormat="1" ht="12.75" x14ac:dyDescent="0.2">
      <c r="B4099" s="1168"/>
    </row>
    <row r="4100" spans="2:2" s="221" customFormat="1" ht="12.75" x14ac:dyDescent="0.2">
      <c r="B4100" s="1168"/>
    </row>
    <row r="4101" spans="2:2" s="221" customFormat="1" ht="12.75" x14ac:dyDescent="0.2">
      <c r="B4101" s="1168"/>
    </row>
    <row r="4102" spans="2:2" s="221" customFormat="1" ht="12.75" x14ac:dyDescent="0.2">
      <c r="B4102" s="1168"/>
    </row>
    <row r="4103" spans="2:2" s="221" customFormat="1" ht="12.75" x14ac:dyDescent="0.2">
      <c r="B4103" s="1168"/>
    </row>
    <row r="4104" spans="2:2" s="221" customFormat="1" ht="12.75" x14ac:dyDescent="0.2">
      <c r="B4104" s="1168"/>
    </row>
    <row r="4105" spans="2:2" s="221" customFormat="1" ht="12.75" x14ac:dyDescent="0.2">
      <c r="B4105" s="1168"/>
    </row>
    <row r="4106" spans="2:2" s="221" customFormat="1" ht="12.75" x14ac:dyDescent="0.2">
      <c r="B4106" s="1168"/>
    </row>
    <row r="4107" spans="2:2" s="221" customFormat="1" ht="12.75" x14ac:dyDescent="0.2">
      <c r="B4107" s="1168"/>
    </row>
    <row r="4108" spans="2:2" s="221" customFormat="1" ht="12.75" x14ac:dyDescent="0.2">
      <c r="B4108" s="1168"/>
    </row>
    <row r="4109" spans="2:2" s="221" customFormat="1" ht="12.75" x14ac:dyDescent="0.2">
      <c r="B4109" s="1168"/>
    </row>
    <row r="4110" spans="2:2" s="221" customFormat="1" ht="12.75" x14ac:dyDescent="0.2">
      <c r="B4110" s="1168"/>
    </row>
    <row r="4111" spans="2:2" s="221" customFormat="1" ht="12.75" x14ac:dyDescent="0.2">
      <c r="B4111" s="1168"/>
    </row>
    <row r="4112" spans="2:2" s="221" customFormat="1" ht="12.75" x14ac:dyDescent="0.2">
      <c r="B4112" s="1168"/>
    </row>
    <row r="4113" spans="2:2" s="221" customFormat="1" ht="12.75" x14ac:dyDescent="0.2">
      <c r="B4113" s="1168"/>
    </row>
    <row r="4114" spans="2:2" s="221" customFormat="1" ht="12.75" x14ac:dyDescent="0.2">
      <c r="B4114" s="1168"/>
    </row>
    <row r="4115" spans="2:2" s="221" customFormat="1" ht="12.75" x14ac:dyDescent="0.2">
      <c r="B4115" s="1168"/>
    </row>
    <row r="4116" spans="2:2" s="221" customFormat="1" ht="12.75" x14ac:dyDescent="0.2">
      <c r="B4116" s="1168"/>
    </row>
    <row r="4117" spans="2:2" s="221" customFormat="1" ht="12.75" x14ac:dyDescent="0.2">
      <c r="B4117" s="1168"/>
    </row>
    <row r="4118" spans="2:2" s="221" customFormat="1" ht="12.75" x14ac:dyDescent="0.2">
      <c r="B4118" s="1168"/>
    </row>
    <row r="4119" spans="2:2" s="221" customFormat="1" ht="12.75" x14ac:dyDescent="0.2">
      <c r="B4119" s="1168"/>
    </row>
    <row r="4120" spans="2:2" s="221" customFormat="1" ht="12.75" x14ac:dyDescent="0.2">
      <c r="B4120" s="1168"/>
    </row>
    <row r="4121" spans="2:2" s="221" customFormat="1" ht="12.75" x14ac:dyDescent="0.2">
      <c r="B4121" s="1168"/>
    </row>
    <row r="4122" spans="2:2" s="221" customFormat="1" ht="12.75" x14ac:dyDescent="0.2">
      <c r="B4122" s="1168"/>
    </row>
    <row r="4123" spans="2:2" s="221" customFormat="1" ht="12.75" x14ac:dyDescent="0.2">
      <c r="B4123" s="1168"/>
    </row>
    <row r="4124" spans="2:2" s="221" customFormat="1" ht="12.75" x14ac:dyDescent="0.2">
      <c r="B4124" s="1168"/>
    </row>
    <row r="4125" spans="2:2" s="221" customFormat="1" ht="12.75" x14ac:dyDescent="0.2">
      <c r="B4125" s="1168"/>
    </row>
    <row r="4126" spans="2:2" s="221" customFormat="1" ht="12.75" x14ac:dyDescent="0.2">
      <c r="B4126" s="1168"/>
    </row>
    <row r="4127" spans="2:2" s="221" customFormat="1" ht="12.75" x14ac:dyDescent="0.2">
      <c r="B4127" s="1168"/>
    </row>
    <row r="4128" spans="2:2" s="221" customFormat="1" ht="12.75" x14ac:dyDescent="0.2">
      <c r="B4128" s="1168"/>
    </row>
    <row r="4129" spans="2:2" s="221" customFormat="1" ht="12.75" x14ac:dyDescent="0.2">
      <c r="B4129" s="1168"/>
    </row>
    <row r="4130" spans="2:2" s="221" customFormat="1" ht="12.75" x14ac:dyDescent="0.2">
      <c r="B4130" s="1168"/>
    </row>
    <row r="4131" spans="2:2" s="221" customFormat="1" ht="12.75" x14ac:dyDescent="0.2">
      <c r="B4131" s="1168"/>
    </row>
    <row r="4132" spans="2:2" s="221" customFormat="1" ht="12.75" x14ac:dyDescent="0.2">
      <c r="B4132" s="1168"/>
    </row>
    <row r="4133" spans="2:2" s="221" customFormat="1" ht="12.75" x14ac:dyDescent="0.2">
      <c r="B4133" s="1168"/>
    </row>
    <row r="4134" spans="2:2" s="221" customFormat="1" ht="12.75" x14ac:dyDescent="0.2">
      <c r="B4134" s="1168"/>
    </row>
    <row r="4135" spans="2:2" s="221" customFormat="1" ht="12.75" x14ac:dyDescent="0.2">
      <c r="B4135" s="1168"/>
    </row>
    <row r="4136" spans="2:2" s="221" customFormat="1" ht="12.75" x14ac:dyDescent="0.2">
      <c r="B4136" s="1168"/>
    </row>
    <row r="4137" spans="2:2" s="221" customFormat="1" ht="12.75" x14ac:dyDescent="0.2">
      <c r="B4137" s="1168"/>
    </row>
    <row r="4138" spans="2:2" s="221" customFormat="1" ht="12.75" x14ac:dyDescent="0.2">
      <c r="B4138" s="1168"/>
    </row>
    <row r="4139" spans="2:2" s="221" customFormat="1" ht="12.75" x14ac:dyDescent="0.2">
      <c r="B4139" s="1168"/>
    </row>
    <row r="4140" spans="2:2" s="221" customFormat="1" ht="12.75" x14ac:dyDescent="0.2">
      <c r="B4140" s="1168"/>
    </row>
    <row r="4141" spans="2:2" s="221" customFormat="1" ht="12.75" x14ac:dyDescent="0.2">
      <c r="B4141" s="1168"/>
    </row>
    <row r="4142" spans="2:2" s="221" customFormat="1" ht="12.75" x14ac:dyDescent="0.2">
      <c r="B4142" s="1168"/>
    </row>
    <row r="4143" spans="2:2" s="221" customFormat="1" ht="12.75" x14ac:dyDescent="0.2">
      <c r="B4143" s="1168"/>
    </row>
    <row r="4144" spans="2:2" s="221" customFormat="1" ht="12.75" x14ac:dyDescent="0.2">
      <c r="B4144" s="1168"/>
    </row>
    <row r="4145" spans="2:2" s="221" customFormat="1" ht="12.75" x14ac:dyDescent="0.2">
      <c r="B4145" s="1168"/>
    </row>
    <row r="4146" spans="2:2" s="221" customFormat="1" ht="12.75" x14ac:dyDescent="0.2">
      <c r="B4146" s="1168"/>
    </row>
    <row r="4147" spans="2:2" s="221" customFormat="1" ht="12.75" x14ac:dyDescent="0.2">
      <c r="B4147" s="1168"/>
    </row>
    <row r="4148" spans="2:2" s="221" customFormat="1" ht="12.75" x14ac:dyDescent="0.2">
      <c r="B4148" s="1168"/>
    </row>
    <row r="4149" spans="2:2" s="221" customFormat="1" ht="12.75" x14ac:dyDescent="0.2">
      <c r="B4149" s="1168"/>
    </row>
    <row r="4150" spans="2:2" s="221" customFormat="1" ht="12.75" x14ac:dyDescent="0.2">
      <c r="B4150" s="1168"/>
    </row>
    <row r="4151" spans="2:2" s="221" customFormat="1" ht="12.75" x14ac:dyDescent="0.2">
      <c r="B4151" s="1168"/>
    </row>
    <row r="4152" spans="2:2" s="221" customFormat="1" ht="12.75" x14ac:dyDescent="0.2">
      <c r="B4152" s="1168"/>
    </row>
    <row r="4153" spans="2:2" s="221" customFormat="1" ht="12.75" x14ac:dyDescent="0.2">
      <c r="B4153" s="1168"/>
    </row>
    <row r="4154" spans="2:2" s="221" customFormat="1" ht="12.75" x14ac:dyDescent="0.2">
      <c r="B4154" s="1168"/>
    </row>
    <row r="4155" spans="2:2" s="221" customFormat="1" ht="12.75" x14ac:dyDescent="0.2">
      <c r="B4155" s="1168"/>
    </row>
    <row r="4156" spans="2:2" s="221" customFormat="1" ht="12.75" x14ac:dyDescent="0.2">
      <c r="B4156" s="1168"/>
    </row>
    <row r="4157" spans="2:2" s="221" customFormat="1" ht="12.75" x14ac:dyDescent="0.2">
      <c r="B4157" s="1168"/>
    </row>
    <row r="4158" spans="2:2" s="221" customFormat="1" ht="12.75" x14ac:dyDescent="0.2">
      <c r="B4158" s="1168"/>
    </row>
    <row r="4159" spans="2:2" s="221" customFormat="1" ht="12.75" x14ac:dyDescent="0.2">
      <c r="B4159" s="1168"/>
    </row>
    <row r="4160" spans="2:2" s="221" customFormat="1" ht="12.75" x14ac:dyDescent="0.2">
      <c r="B4160" s="1168"/>
    </row>
    <row r="4161" spans="2:2" s="221" customFormat="1" ht="12.75" x14ac:dyDescent="0.2">
      <c r="B4161" s="1168"/>
    </row>
    <row r="4162" spans="2:2" s="221" customFormat="1" ht="12.75" x14ac:dyDescent="0.2">
      <c r="B4162" s="1168"/>
    </row>
    <row r="4163" spans="2:2" s="221" customFormat="1" ht="12.75" x14ac:dyDescent="0.2">
      <c r="B4163" s="1168"/>
    </row>
    <row r="4164" spans="2:2" s="221" customFormat="1" ht="12.75" x14ac:dyDescent="0.2">
      <c r="B4164" s="1168"/>
    </row>
    <row r="4165" spans="2:2" s="221" customFormat="1" ht="12.75" x14ac:dyDescent="0.2">
      <c r="B4165" s="1168"/>
    </row>
    <row r="4166" spans="2:2" s="221" customFormat="1" ht="12.75" x14ac:dyDescent="0.2">
      <c r="B4166" s="1168"/>
    </row>
    <row r="4167" spans="2:2" s="221" customFormat="1" ht="12.75" x14ac:dyDescent="0.2">
      <c r="B4167" s="1168"/>
    </row>
    <row r="4168" spans="2:2" s="221" customFormat="1" ht="12.75" x14ac:dyDescent="0.2">
      <c r="B4168" s="1168"/>
    </row>
    <row r="4169" spans="2:2" s="221" customFormat="1" ht="12.75" x14ac:dyDescent="0.2">
      <c r="B4169" s="1168"/>
    </row>
    <row r="4170" spans="2:2" s="221" customFormat="1" ht="12.75" x14ac:dyDescent="0.2">
      <c r="B4170" s="1168"/>
    </row>
    <row r="4171" spans="2:2" s="221" customFormat="1" ht="12.75" x14ac:dyDescent="0.2">
      <c r="B4171" s="1168"/>
    </row>
    <row r="4172" spans="2:2" s="221" customFormat="1" ht="12.75" x14ac:dyDescent="0.2">
      <c r="B4172" s="1168"/>
    </row>
    <row r="4173" spans="2:2" s="221" customFormat="1" ht="12.75" x14ac:dyDescent="0.2">
      <c r="B4173" s="1168"/>
    </row>
    <row r="4174" spans="2:2" s="221" customFormat="1" ht="12.75" x14ac:dyDescent="0.2">
      <c r="B4174" s="1168"/>
    </row>
    <row r="4175" spans="2:2" s="221" customFormat="1" ht="12.75" x14ac:dyDescent="0.2">
      <c r="B4175" s="1168"/>
    </row>
    <row r="4176" spans="2:2" s="221" customFormat="1" ht="12.75" x14ac:dyDescent="0.2">
      <c r="B4176" s="1168"/>
    </row>
    <row r="4177" spans="2:2" s="221" customFormat="1" ht="12.75" x14ac:dyDescent="0.2">
      <c r="B4177" s="1168"/>
    </row>
    <row r="4178" spans="2:2" s="221" customFormat="1" ht="12.75" x14ac:dyDescent="0.2">
      <c r="B4178" s="1168"/>
    </row>
    <row r="4179" spans="2:2" s="221" customFormat="1" ht="12.75" x14ac:dyDescent="0.2">
      <c r="B4179" s="1168"/>
    </row>
    <row r="4180" spans="2:2" s="221" customFormat="1" ht="12.75" x14ac:dyDescent="0.2">
      <c r="B4180" s="1168"/>
    </row>
    <row r="4181" spans="2:2" s="221" customFormat="1" ht="12.75" x14ac:dyDescent="0.2">
      <c r="B4181" s="1168"/>
    </row>
    <row r="4182" spans="2:2" s="221" customFormat="1" ht="12.75" x14ac:dyDescent="0.2">
      <c r="B4182" s="1168"/>
    </row>
    <row r="4183" spans="2:2" s="221" customFormat="1" ht="12.75" x14ac:dyDescent="0.2">
      <c r="B4183" s="1168"/>
    </row>
    <row r="4184" spans="2:2" s="221" customFormat="1" ht="12.75" x14ac:dyDescent="0.2">
      <c r="B4184" s="1168"/>
    </row>
    <row r="4185" spans="2:2" s="221" customFormat="1" ht="12.75" x14ac:dyDescent="0.2">
      <c r="B4185" s="1168"/>
    </row>
    <row r="4186" spans="2:2" s="221" customFormat="1" ht="12.75" x14ac:dyDescent="0.2">
      <c r="B4186" s="1168"/>
    </row>
    <row r="4187" spans="2:2" s="221" customFormat="1" ht="12.75" x14ac:dyDescent="0.2">
      <c r="B4187" s="1168"/>
    </row>
    <row r="4188" spans="2:2" s="221" customFormat="1" ht="12.75" x14ac:dyDescent="0.2">
      <c r="B4188" s="1168"/>
    </row>
    <row r="4189" spans="2:2" s="221" customFormat="1" ht="12.75" x14ac:dyDescent="0.2">
      <c r="B4189" s="1168"/>
    </row>
    <row r="4190" spans="2:2" s="221" customFormat="1" ht="12.75" x14ac:dyDescent="0.2">
      <c r="B4190" s="1168"/>
    </row>
    <row r="4191" spans="2:2" s="221" customFormat="1" ht="12.75" x14ac:dyDescent="0.2">
      <c r="B4191" s="1168"/>
    </row>
    <row r="4192" spans="2:2" s="221" customFormat="1" ht="12.75" x14ac:dyDescent="0.2">
      <c r="B4192" s="1168"/>
    </row>
    <row r="4193" spans="2:2" s="221" customFormat="1" ht="12.75" x14ac:dyDescent="0.2">
      <c r="B4193" s="1168"/>
    </row>
    <row r="4194" spans="2:2" s="221" customFormat="1" ht="12.75" x14ac:dyDescent="0.2">
      <c r="B4194" s="1168"/>
    </row>
    <row r="4195" spans="2:2" s="221" customFormat="1" ht="12.75" x14ac:dyDescent="0.2">
      <c r="B4195" s="1168"/>
    </row>
    <row r="4196" spans="2:2" s="221" customFormat="1" ht="12.75" x14ac:dyDescent="0.2">
      <c r="B4196" s="1168"/>
    </row>
    <row r="4197" spans="2:2" s="221" customFormat="1" ht="12.75" x14ac:dyDescent="0.2">
      <c r="B4197" s="1168"/>
    </row>
    <row r="4198" spans="2:2" s="221" customFormat="1" ht="12.75" x14ac:dyDescent="0.2">
      <c r="B4198" s="1168"/>
    </row>
    <row r="4199" spans="2:2" s="221" customFormat="1" ht="12.75" x14ac:dyDescent="0.2">
      <c r="B4199" s="1168"/>
    </row>
    <row r="4200" spans="2:2" s="221" customFormat="1" ht="12.75" x14ac:dyDescent="0.2">
      <c r="B4200" s="1168"/>
    </row>
    <row r="4201" spans="2:2" s="221" customFormat="1" ht="12.75" x14ac:dyDescent="0.2">
      <c r="B4201" s="1168"/>
    </row>
    <row r="4202" spans="2:2" s="221" customFormat="1" ht="12.75" x14ac:dyDescent="0.2">
      <c r="B4202" s="1168"/>
    </row>
    <row r="4203" spans="2:2" s="221" customFormat="1" ht="12.75" x14ac:dyDescent="0.2">
      <c r="B4203" s="1168"/>
    </row>
    <row r="4204" spans="2:2" s="221" customFormat="1" ht="12.75" x14ac:dyDescent="0.2">
      <c r="B4204" s="1168"/>
    </row>
    <row r="4205" spans="2:2" s="221" customFormat="1" ht="12.75" x14ac:dyDescent="0.2">
      <c r="B4205" s="1168"/>
    </row>
    <row r="4206" spans="2:2" s="221" customFormat="1" ht="12.75" x14ac:dyDescent="0.2">
      <c r="B4206" s="1168"/>
    </row>
    <row r="4207" spans="2:2" s="221" customFormat="1" ht="12.75" x14ac:dyDescent="0.2">
      <c r="B4207" s="1168"/>
    </row>
    <row r="4208" spans="2:2" s="221" customFormat="1" ht="12.75" x14ac:dyDescent="0.2">
      <c r="B4208" s="1168"/>
    </row>
    <row r="4209" spans="2:2" s="221" customFormat="1" ht="12.75" x14ac:dyDescent="0.2">
      <c r="B4209" s="1168"/>
    </row>
    <row r="4210" spans="2:2" s="221" customFormat="1" ht="12.75" x14ac:dyDescent="0.2">
      <c r="B4210" s="1168"/>
    </row>
    <row r="4211" spans="2:2" s="221" customFormat="1" ht="12.75" x14ac:dyDescent="0.2">
      <c r="B4211" s="1168"/>
    </row>
    <row r="4212" spans="2:2" s="221" customFormat="1" ht="12.75" x14ac:dyDescent="0.2">
      <c r="B4212" s="1168"/>
    </row>
    <row r="4213" spans="2:2" s="221" customFormat="1" ht="12.75" x14ac:dyDescent="0.2">
      <c r="B4213" s="1168"/>
    </row>
    <row r="4214" spans="2:2" s="221" customFormat="1" ht="12.75" x14ac:dyDescent="0.2">
      <c r="B4214" s="1168"/>
    </row>
    <row r="4215" spans="2:2" s="221" customFormat="1" ht="12.75" x14ac:dyDescent="0.2">
      <c r="B4215" s="1168"/>
    </row>
    <row r="4216" spans="2:2" s="221" customFormat="1" ht="12.75" x14ac:dyDescent="0.2">
      <c r="B4216" s="1168"/>
    </row>
    <row r="4217" spans="2:2" s="221" customFormat="1" ht="12.75" x14ac:dyDescent="0.2">
      <c r="B4217" s="1168"/>
    </row>
    <row r="4218" spans="2:2" s="221" customFormat="1" ht="12.75" x14ac:dyDescent="0.2">
      <c r="B4218" s="1168"/>
    </row>
    <row r="4219" spans="2:2" s="221" customFormat="1" ht="12.75" x14ac:dyDescent="0.2">
      <c r="B4219" s="1168"/>
    </row>
    <row r="4220" spans="2:2" s="221" customFormat="1" ht="12.75" x14ac:dyDescent="0.2">
      <c r="B4220" s="1168"/>
    </row>
    <row r="4221" spans="2:2" s="221" customFormat="1" ht="12.75" x14ac:dyDescent="0.2">
      <c r="B4221" s="1168"/>
    </row>
    <row r="4222" spans="2:2" s="221" customFormat="1" ht="12.75" x14ac:dyDescent="0.2">
      <c r="B4222" s="1168"/>
    </row>
    <row r="4223" spans="2:2" s="221" customFormat="1" ht="12.75" x14ac:dyDescent="0.2">
      <c r="B4223" s="1168"/>
    </row>
    <row r="4224" spans="2:2" s="221" customFormat="1" ht="12.75" x14ac:dyDescent="0.2">
      <c r="B4224" s="1168"/>
    </row>
    <row r="4225" spans="2:2" s="221" customFormat="1" ht="12.75" x14ac:dyDescent="0.2">
      <c r="B4225" s="1168"/>
    </row>
    <row r="4226" spans="2:2" s="221" customFormat="1" ht="12.75" x14ac:dyDescent="0.2">
      <c r="B4226" s="1168"/>
    </row>
    <row r="4227" spans="2:2" s="221" customFormat="1" ht="12.75" x14ac:dyDescent="0.2">
      <c r="B4227" s="1168"/>
    </row>
    <row r="4228" spans="2:2" s="221" customFormat="1" ht="12.75" x14ac:dyDescent="0.2">
      <c r="B4228" s="1168"/>
    </row>
    <row r="4229" spans="2:2" s="221" customFormat="1" ht="12.75" x14ac:dyDescent="0.2">
      <c r="B4229" s="1168"/>
    </row>
    <row r="4230" spans="2:2" s="221" customFormat="1" ht="12.75" x14ac:dyDescent="0.2">
      <c r="B4230" s="1168"/>
    </row>
    <row r="4231" spans="2:2" s="221" customFormat="1" ht="12.75" x14ac:dyDescent="0.2">
      <c r="B4231" s="1168"/>
    </row>
    <row r="4232" spans="2:2" s="221" customFormat="1" ht="12.75" x14ac:dyDescent="0.2">
      <c r="B4232" s="1168"/>
    </row>
    <row r="4233" spans="2:2" s="221" customFormat="1" ht="12.75" x14ac:dyDescent="0.2">
      <c r="B4233" s="1168"/>
    </row>
    <row r="4234" spans="2:2" s="221" customFormat="1" ht="12.75" x14ac:dyDescent="0.2">
      <c r="B4234" s="1168"/>
    </row>
    <row r="4235" spans="2:2" s="221" customFormat="1" ht="12.75" x14ac:dyDescent="0.2">
      <c r="B4235" s="1168"/>
    </row>
    <row r="4236" spans="2:2" s="221" customFormat="1" ht="12.75" x14ac:dyDescent="0.2">
      <c r="B4236" s="1168"/>
    </row>
    <row r="4237" spans="2:2" s="221" customFormat="1" ht="12.75" x14ac:dyDescent="0.2">
      <c r="B4237" s="1168"/>
    </row>
    <row r="4238" spans="2:2" s="221" customFormat="1" ht="12.75" x14ac:dyDescent="0.2">
      <c r="B4238" s="1168"/>
    </row>
    <row r="4239" spans="2:2" s="221" customFormat="1" ht="12.75" x14ac:dyDescent="0.2">
      <c r="B4239" s="1168"/>
    </row>
    <row r="4240" spans="2:2" s="221" customFormat="1" ht="12.75" x14ac:dyDescent="0.2">
      <c r="B4240" s="1168"/>
    </row>
    <row r="4241" spans="2:2" s="221" customFormat="1" ht="12.75" x14ac:dyDescent="0.2">
      <c r="B4241" s="1168"/>
    </row>
    <row r="4242" spans="2:2" s="221" customFormat="1" ht="12.75" x14ac:dyDescent="0.2">
      <c r="B4242" s="1168"/>
    </row>
    <row r="4243" spans="2:2" s="221" customFormat="1" ht="12.75" x14ac:dyDescent="0.2">
      <c r="B4243" s="1168"/>
    </row>
    <row r="4244" spans="2:2" s="221" customFormat="1" ht="12.75" x14ac:dyDescent="0.2">
      <c r="B4244" s="1168"/>
    </row>
    <row r="4245" spans="2:2" s="221" customFormat="1" ht="12.75" x14ac:dyDescent="0.2">
      <c r="B4245" s="1168"/>
    </row>
    <row r="4246" spans="2:2" s="221" customFormat="1" ht="12.75" x14ac:dyDescent="0.2">
      <c r="B4246" s="1168"/>
    </row>
    <row r="4247" spans="2:2" s="221" customFormat="1" ht="12.75" x14ac:dyDescent="0.2">
      <c r="B4247" s="1168"/>
    </row>
    <row r="4248" spans="2:2" s="221" customFormat="1" ht="12.75" x14ac:dyDescent="0.2">
      <c r="B4248" s="1168"/>
    </row>
    <row r="4249" spans="2:2" s="221" customFormat="1" ht="12.75" x14ac:dyDescent="0.2">
      <c r="B4249" s="1168"/>
    </row>
    <row r="4250" spans="2:2" s="221" customFormat="1" ht="12.75" x14ac:dyDescent="0.2">
      <c r="B4250" s="1168"/>
    </row>
    <row r="4251" spans="2:2" s="221" customFormat="1" ht="12.75" x14ac:dyDescent="0.2">
      <c r="B4251" s="1168"/>
    </row>
    <row r="4252" spans="2:2" s="221" customFormat="1" ht="12.75" x14ac:dyDescent="0.2">
      <c r="B4252" s="1168"/>
    </row>
    <row r="4253" spans="2:2" s="221" customFormat="1" ht="12.75" x14ac:dyDescent="0.2">
      <c r="B4253" s="1168"/>
    </row>
    <row r="4254" spans="2:2" s="221" customFormat="1" ht="12.75" x14ac:dyDescent="0.2">
      <c r="B4254" s="1168"/>
    </row>
    <row r="4255" spans="2:2" s="221" customFormat="1" ht="12.75" x14ac:dyDescent="0.2">
      <c r="B4255" s="1168"/>
    </row>
    <row r="4256" spans="2:2" s="221" customFormat="1" ht="12.75" x14ac:dyDescent="0.2">
      <c r="B4256" s="1168"/>
    </row>
    <row r="4257" spans="2:2" s="221" customFormat="1" ht="12.75" x14ac:dyDescent="0.2">
      <c r="B4257" s="1168"/>
    </row>
    <row r="4258" spans="2:2" s="221" customFormat="1" ht="12.75" x14ac:dyDescent="0.2">
      <c r="B4258" s="1168"/>
    </row>
    <row r="4259" spans="2:2" s="221" customFormat="1" ht="12.75" x14ac:dyDescent="0.2">
      <c r="B4259" s="1168"/>
    </row>
    <row r="4260" spans="2:2" s="221" customFormat="1" ht="12.75" x14ac:dyDescent="0.2">
      <c r="B4260" s="1168"/>
    </row>
    <row r="4261" spans="2:2" s="221" customFormat="1" ht="12.75" x14ac:dyDescent="0.2">
      <c r="B4261" s="1168"/>
    </row>
    <row r="4262" spans="2:2" s="221" customFormat="1" ht="12.75" x14ac:dyDescent="0.2">
      <c r="B4262" s="1168"/>
    </row>
    <row r="4263" spans="2:2" s="221" customFormat="1" ht="12.75" x14ac:dyDescent="0.2">
      <c r="B4263" s="1168"/>
    </row>
    <row r="4264" spans="2:2" s="221" customFormat="1" ht="12.75" x14ac:dyDescent="0.2">
      <c r="B4264" s="1168"/>
    </row>
    <row r="4265" spans="2:2" s="221" customFormat="1" ht="12.75" x14ac:dyDescent="0.2">
      <c r="B4265" s="1168"/>
    </row>
    <row r="4266" spans="2:2" s="221" customFormat="1" ht="12.75" x14ac:dyDescent="0.2">
      <c r="B4266" s="1168"/>
    </row>
    <row r="4267" spans="2:2" s="221" customFormat="1" ht="12.75" x14ac:dyDescent="0.2">
      <c r="B4267" s="1168"/>
    </row>
    <row r="4268" spans="2:2" s="221" customFormat="1" ht="12.75" x14ac:dyDescent="0.2">
      <c r="B4268" s="1168"/>
    </row>
    <row r="4269" spans="2:2" s="221" customFormat="1" ht="12.75" x14ac:dyDescent="0.2">
      <c r="B4269" s="1168"/>
    </row>
    <row r="4270" spans="2:2" s="221" customFormat="1" ht="12.75" x14ac:dyDescent="0.2">
      <c r="B4270" s="1168"/>
    </row>
    <row r="4271" spans="2:2" s="221" customFormat="1" ht="12.75" x14ac:dyDescent="0.2">
      <c r="B4271" s="1168"/>
    </row>
    <row r="4272" spans="2:2" s="221" customFormat="1" ht="12.75" x14ac:dyDescent="0.2">
      <c r="B4272" s="1168"/>
    </row>
    <row r="4273" spans="2:2" s="221" customFormat="1" ht="12.75" x14ac:dyDescent="0.2">
      <c r="B4273" s="1168"/>
    </row>
    <row r="4274" spans="2:2" s="221" customFormat="1" ht="12.75" x14ac:dyDescent="0.2">
      <c r="B4274" s="1168"/>
    </row>
    <row r="4275" spans="2:2" s="221" customFormat="1" ht="12.75" x14ac:dyDescent="0.2">
      <c r="B4275" s="1168"/>
    </row>
    <row r="4276" spans="2:2" s="221" customFormat="1" ht="12.75" x14ac:dyDescent="0.2">
      <c r="B4276" s="1168"/>
    </row>
    <row r="4277" spans="2:2" s="221" customFormat="1" ht="12.75" x14ac:dyDescent="0.2">
      <c r="B4277" s="1168"/>
    </row>
    <row r="4278" spans="2:2" s="221" customFormat="1" ht="12.75" x14ac:dyDescent="0.2">
      <c r="B4278" s="1168"/>
    </row>
    <row r="4279" spans="2:2" s="221" customFormat="1" ht="12.75" x14ac:dyDescent="0.2">
      <c r="B4279" s="1168"/>
    </row>
    <row r="4280" spans="2:2" s="221" customFormat="1" ht="12.75" x14ac:dyDescent="0.2">
      <c r="B4280" s="1168"/>
    </row>
    <row r="4281" spans="2:2" s="221" customFormat="1" ht="12.75" x14ac:dyDescent="0.2">
      <c r="B4281" s="1168"/>
    </row>
    <row r="4282" spans="2:2" s="221" customFormat="1" ht="12.75" x14ac:dyDescent="0.2">
      <c r="B4282" s="1168"/>
    </row>
    <row r="4283" spans="2:2" s="221" customFormat="1" ht="12.75" x14ac:dyDescent="0.2">
      <c r="B4283" s="1168"/>
    </row>
    <row r="4284" spans="2:2" s="221" customFormat="1" ht="12.75" x14ac:dyDescent="0.2">
      <c r="B4284" s="1168"/>
    </row>
    <row r="4285" spans="2:2" s="221" customFormat="1" ht="12.75" x14ac:dyDescent="0.2">
      <c r="B4285" s="1168"/>
    </row>
    <row r="4286" spans="2:2" s="221" customFormat="1" ht="12.75" x14ac:dyDescent="0.2">
      <c r="B4286" s="1168"/>
    </row>
    <row r="4287" spans="2:2" s="221" customFormat="1" ht="12.75" x14ac:dyDescent="0.2">
      <c r="B4287" s="1168"/>
    </row>
    <row r="4288" spans="2:2" s="221" customFormat="1" ht="12.75" x14ac:dyDescent="0.2">
      <c r="B4288" s="1168"/>
    </row>
    <row r="4289" spans="2:2" s="221" customFormat="1" ht="12.75" x14ac:dyDescent="0.2">
      <c r="B4289" s="1168"/>
    </row>
    <row r="4290" spans="2:2" s="221" customFormat="1" ht="12.75" x14ac:dyDescent="0.2">
      <c r="B4290" s="1168"/>
    </row>
    <row r="4291" spans="2:2" s="221" customFormat="1" ht="12.75" x14ac:dyDescent="0.2">
      <c r="B4291" s="1168"/>
    </row>
    <row r="4292" spans="2:2" s="221" customFormat="1" ht="12.75" x14ac:dyDescent="0.2">
      <c r="B4292" s="1168"/>
    </row>
    <row r="4293" spans="2:2" s="221" customFormat="1" ht="12.75" x14ac:dyDescent="0.2">
      <c r="B4293" s="1168"/>
    </row>
    <row r="4294" spans="2:2" s="221" customFormat="1" ht="12.75" x14ac:dyDescent="0.2">
      <c r="B4294" s="1168"/>
    </row>
    <row r="4295" spans="2:2" s="221" customFormat="1" ht="12.75" x14ac:dyDescent="0.2">
      <c r="B4295" s="1168"/>
    </row>
    <row r="4296" spans="2:2" s="221" customFormat="1" ht="12.75" x14ac:dyDescent="0.2">
      <c r="B4296" s="1168"/>
    </row>
    <row r="4297" spans="2:2" s="221" customFormat="1" ht="12.75" x14ac:dyDescent="0.2">
      <c r="B4297" s="1168"/>
    </row>
    <row r="4298" spans="2:2" s="221" customFormat="1" ht="12.75" x14ac:dyDescent="0.2">
      <c r="B4298" s="1168"/>
    </row>
    <row r="4299" spans="2:2" s="221" customFormat="1" ht="12.75" x14ac:dyDescent="0.2">
      <c r="B4299" s="1168"/>
    </row>
    <row r="4300" spans="2:2" s="221" customFormat="1" ht="12.75" x14ac:dyDescent="0.2">
      <c r="B4300" s="1168"/>
    </row>
    <row r="4301" spans="2:2" s="221" customFormat="1" ht="12.75" x14ac:dyDescent="0.2">
      <c r="B4301" s="1168"/>
    </row>
    <row r="4302" spans="2:2" s="221" customFormat="1" ht="12.75" x14ac:dyDescent="0.2">
      <c r="B4302" s="1168"/>
    </row>
    <row r="4303" spans="2:2" s="221" customFormat="1" ht="12.75" x14ac:dyDescent="0.2">
      <c r="B4303" s="1168"/>
    </row>
    <row r="4304" spans="2:2" s="221" customFormat="1" ht="12.75" x14ac:dyDescent="0.2">
      <c r="B4304" s="1168"/>
    </row>
    <row r="4305" spans="2:2" s="221" customFormat="1" ht="12.75" x14ac:dyDescent="0.2">
      <c r="B4305" s="1168"/>
    </row>
    <row r="4306" spans="2:2" s="221" customFormat="1" ht="12.75" x14ac:dyDescent="0.2">
      <c r="B4306" s="1168"/>
    </row>
    <row r="4307" spans="2:2" s="221" customFormat="1" ht="12.75" x14ac:dyDescent="0.2">
      <c r="B4307" s="1168"/>
    </row>
    <row r="4308" spans="2:2" s="221" customFormat="1" ht="12.75" x14ac:dyDescent="0.2">
      <c r="B4308" s="1168"/>
    </row>
    <row r="4309" spans="2:2" s="221" customFormat="1" ht="12.75" x14ac:dyDescent="0.2">
      <c r="B4309" s="1168"/>
    </row>
    <row r="4310" spans="2:2" s="221" customFormat="1" ht="12.75" x14ac:dyDescent="0.2">
      <c r="B4310" s="1168"/>
    </row>
    <row r="4311" spans="2:2" s="221" customFormat="1" ht="12.75" x14ac:dyDescent="0.2">
      <c r="B4311" s="1168"/>
    </row>
    <row r="4312" spans="2:2" s="221" customFormat="1" ht="12.75" x14ac:dyDescent="0.2">
      <c r="B4312" s="1168"/>
    </row>
    <row r="4313" spans="2:2" s="221" customFormat="1" ht="12.75" x14ac:dyDescent="0.2">
      <c r="B4313" s="1168"/>
    </row>
    <row r="4314" spans="2:2" s="221" customFormat="1" ht="12.75" x14ac:dyDescent="0.2">
      <c r="B4314" s="1168"/>
    </row>
    <row r="4315" spans="2:2" s="221" customFormat="1" ht="12.75" x14ac:dyDescent="0.2">
      <c r="B4315" s="1168"/>
    </row>
    <row r="4316" spans="2:2" s="221" customFormat="1" ht="12.75" x14ac:dyDescent="0.2">
      <c r="B4316" s="1168"/>
    </row>
    <row r="4317" spans="2:2" s="221" customFormat="1" ht="12.75" x14ac:dyDescent="0.2">
      <c r="B4317" s="1168"/>
    </row>
    <row r="4318" spans="2:2" s="221" customFormat="1" ht="12.75" x14ac:dyDescent="0.2">
      <c r="B4318" s="1168"/>
    </row>
    <row r="4319" spans="2:2" s="221" customFormat="1" ht="12.75" x14ac:dyDescent="0.2">
      <c r="B4319" s="1168"/>
    </row>
    <row r="4320" spans="2:2" s="221" customFormat="1" ht="12.75" x14ac:dyDescent="0.2">
      <c r="B4320" s="1168"/>
    </row>
    <row r="4321" spans="2:2" s="221" customFormat="1" ht="12.75" x14ac:dyDescent="0.2">
      <c r="B4321" s="1168"/>
    </row>
    <row r="4322" spans="2:2" s="221" customFormat="1" ht="12.75" x14ac:dyDescent="0.2">
      <c r="B4322" s="1168"/>
    </row>
    <row r="4323" spans="2:2" s="221" customFormat="1" ht="12.75" x14ac:dyDescent="0.2">
      <c r="B4323" s="1168"/>
    </row>
    <row r="4324" spans="2:2" s="221" customFormat="1" ht="12.75" x14ac:dyDescent="0.2">
      <c r="B4324" s="1168"/>
    </row>
    <row r="4325" spans="2:2" s="221" customFormat="1" ht="12.75" x14ac:dyDescent="0.2">
      <c r="B4325" s="1168"/>
    </row>
    <row r="4326" spans="2:2" s="221" customFormat="1" ht="12.75" x14ac:dyDescent="0.2">
      <c r="B4326" s="1168"/>
    </row>
    <row r="4327" spans="2:2" s="221" customFormat="1" ht="12.75" x14ac:dyDescent="0.2">
      <c r="B4327" s="1168"/>
    </row>
    <row r="4328" spans="2:2" s="221" customFormat="1" ht="12.75" x14ac:dyDescent="0.2">
      <c r="B4328" s="1168"/>
    </row>
    <row r="4329" spans="2:2" s="221" customFormat="1" ht="12.75" x14ac:dyDescent="0.2">
      <c r="B4329" s="1168"/>
    </row>
    <row r="4330" spans="2:2" s="221" customFormat="1" ht="12.75" x14ac:dyDescent="0.2">
      <c r="B4330" s="1168"/>
    </row>
    <row r="4331" spans="2:2" s="221" customFormat="1" ht="12.75" x14ac:dyDescent="0.2">
      <c r="B4331" s="1168"/>
    </row>
    <row r="4332" spans="2:2" s="221" customFormat="1" ht="12.75" x14ac:dyDescent="0.2">
      <c r="B4332" s="1168"/>
    </row>
    <row r="4333" spans="2:2" s="221" customFormat="1" ht="12.75" x14ac:dyDescent="0.2">
      <c r="B4333" s="1168"/>
    </row>
    <row r="4334" spans="2:2" s="221" customFormat="1" ht="12.75" x14ac:dyDescent="0.2">
      <c r="B4334" s="1168"/>
    </row>
    <row r="4335" spans="2:2" s="221" customFormat="1" ht="12.75" x14ac:dyDescent="0.2">
      <c r="B4335" s="1168"/>
    </row>
    <row r="4336" spans="2:2" s="221" customFormat="1" ht="12.75" x14ac:dyDescent="0.2">
      <c r="B4336" s="1168"/>
    </row>
    <row r="4337" spans="2:2" s="221" customFormat="1" ht="12.75" x14ac:dyDescent="0.2">
      <c r="B4337" s="1168"/>
    </row>
    <row r="4338" spans="2:2" s="221" customFormat="1" ht="12.75" x14ac:dyDescent="0.2">
      <c r="B4338" s="1168"/>
    </row>
    <row r="4339" spans="2:2" s="221" customFormat="1" ht="12.75" x14ac:dyDescent="0.2">
      <c r="B4339" s="1168"/>
    </row>
    <row r="4340" spans="2:2" s="221" customFormat="1" ht="12.75" x14ac:dyDescent="0.2">
      <c r="B4340" s="1168"/>
    </row>
    <row r="4341" spans="2:2" s="221" customFormat="1" ht="12.75" x14ac:dyDescent="0.2">
      <c r="B4341" s="1168"/>
    </row>
    <row r="4342" spans="2:2" s="221" customFormat="1" ht="12.75" x14ac:dyDescent="0.2">
      <c r="B4342" s="1168"/>
    </row>
    <row r="4343" spans="2:2" s="221" customFormat="1" ht="12.75" x14ac:dyDescent="0.2">
      <c r="B4343" s="1168"/>
    </row>
    <row r="4344" spans="2:2" s="221" customFormat="1" ht="12.75" x14ac:dyDescent="0.2">
      <c r="B4344" s="1168"/>
    </row>
    <row r="4345" spans="2:2" s="221" customFormat="1" ht="12.75" x14ac:dyDescent="0.2">
      <c r="B4345" s="1168"/>
    </row>
    <row r="4346" spans="2:2" s="221" customFormat="1" ht="12.75" x14ac:dyDescent="0.2">
      <c r="B4346" s="1168"/>
    </row>
    <row r="4347" spans="2:2" s="221" customFormat="1" ht="12.75" x14ac:dyDescent="0.2">
      <c r="B4347" s="1168"/>
    </row>
    <row r="4348" spans="2:2" s="221" customFormat="1" ht="12.75" x14ac:dyDescent="0.2">
      <c r="B4348" s="1168"/>
    </row>
    <row r="4349" spans="2:2" s="221" customFormat="1" ht="12.75" x14ac:dyDescent="0.2">
      <c r="B4349" s="1168"/>
    </row>
    <row r="4350" spans="2:2" s="221" customFormat="1" ht="12.75" x14ac:dyDescent="0.2">
      <c r="B4350" s="1168"/>
    </row>
    <row r="4351" spans="2:2" s="221" customFormat="1" ht="12.75" x14ac:dyDescent="0.2">
      <c r="B4351" s="1168"/>
    </row>
    <row r="4352" spans="2:2" s="221" customFormat="1" ht="12.75" x14ac:dyDescent="0.2">
      <c r="B4352" s="1168"/>
    </row>
    <row r="4353" spans="2:2" s="221" customFormat="1" ht="12.75" x14ac:dyDescent="0.2">
      <c r="B4353" s="1168"/>
    </row>
    <row r="4354" spans="2:2" s="221" customFormat="1" ht="12.75" x14ac:dyDescent="0.2">
      <c r="B4354" s="1168"/>
    </row>
    <row r="4355" spans="2:2" s="221" customFormat="1" ht="12.75" x14ac:dyDescent="0.2">
      <c r="B4355" s="1168"/>
    </row>
    <row r="4356" spans="2:2" s="221" customFormat="1" ht="12.75" x14ac:dyDescent="0.2">
      <c r="B4356" s="1168"/>
    </row>
    <row r="4357" spans="2:2" s="221" customFormat="1" ht="12.75" x14ac:dyDescent="0.2">
      <c r="B4357" s="1168"/>
    </row>
    <row r="4358" spans="2:2" s="221" customFormat="1" ht="12.75" x14ac:dyDescent="0.2">
      <c r="B4358" s="1168"/>
    </row>
    <row r="4359" spans="2:2" s="221" customFormat="1" ht="12.75" x14ac:dyDescent="0.2">
      <c r="B4359" s="1168"/>
    </row>
    <row r="4360" spans="2:2" s="221" customFormat="1" ht="12.75" x14ac:dyDescent="0.2">
      <c r="B4360" s="1168"/>
    </row>
    <row r="4361" spans="2:2" s="221" customFormat="1" ht="12.75" x14ac:dyDescent="0.2">
      <c r="B4361" s="1168"/>
    </row>
    <row r="4362" spans="2:2" s="221" customFormat="1" ht="12.75" x14ac:dyDescent="0.2">
      <c r="B4362" s="1168"/>
    </row>
    <row r="4363" spans="2:2" s="221" customFormat="1" ht="12.75" x14ac:dyDescent="0.2">
      <c r="B4363" s="1168"/>
    </row>
    <row r="4364" spans="2:2" s="221" customFormat="1" ht="12.75" x14ac:dyDescent="0.2">
      <c r="B4364" s="1168"/>
    </row>
    <row r="4365" spans="2:2" s="221" customFormat="1" ht="12.75" x14ac:dyDescent="0.2">
      <c r="B4365" s="1168"/>
    </row>
    <row r="4366" spans="2:2" s="221" customFormat="1" ht="12.75" x14ac:dyDescent="0.2">
      <c r="B4366" s="1168"/>
    </row>
    <row r="4367" spans="2:2" s="221" customFormat="1" ht="12.75" x14ac:dyDescent="0.2">
      <c r="B4367" s="1168"/>
    </row>
    <row r="4368" spans="2:2" s="221" customFormat="1" ht="12.75" x14ac:dyDescent="0.2">
      <c r="B4368" s="1168"/>
    </row>
    <row r="4369" spans="2:2" s="221" customFormat="1" ht="12.75" x14ac:dyDescent="0.2">
      <c r="B4369" s="1168"/>
    </row>
    <row r="4370" spans="2:2" s="221" customFormat="1" ht="12.75" x14ac:dyDescent="0.2">
      <c r="B4370" s="1168"/>
    </row>
    <row r="4371" spans="2:2" s="221" customFormat="1" ht="12.75" x14ac:dyDescent="0.2">
      <c r="B4371" s="1168"/>
    </row>
    <row r="4372" spans="2:2" s="221" customFormat="1" ht="12.75" x14ac:dyDescent="0.2">
      <c r="B4372" s="1168"/>
    </row>
    <row r="4373" spans="2:2" s="221" customFormat="1" ht="12.75" x14ac:dyDescent="0.2">
      <c r="B4373" s="1168"/>
    </row>
    <row r="4374" spans="2:2" s="221" customFormat="1" ht="12.75" x14ac:dyDescent="0.2">
      <c r="B4374" s="1168"/>
    </row>
    <row r="4375" spans="2:2" s="221" customFormat="1" ht="12.75" x14ac:dyDescent="0.2">
      <c r="B4375" s="1168"/>
    </row>
    <row r="4376" spans="2:2" s="221" customFormat="1" ht="12.75" x14ac:dyDescent="0.2">
      <c r="B4376" s="1168"/>
    </row>
    <row r="4377" spans="2:2" s="221" customFormat="1" ht="12.75" x14ac:dyDescent="0.2">
      <c r="B4377" s="1168"/>
    </row>
    <row r="4378" spans="2:2" s="221" customFormat="1" ht="12.75" x14ac:dyDescent="0.2">
      <c r="B4378" s="1168"/>
    </row>
    <row r="4379" spans="2:2" s="221" customFormat="1" ht="12.75" x14ac:dyDescent="0.2">
      <c r="B4379" s="1168"/>
    </row>
    <row r="4380" spans="2:2" s="221" customFormat="1" ht="12.75" x14ac:dyDescent="0.2">
      <c r="B4380" s="1168"/>
    </row>
    <row r="4381" spans="2:2" s="221" customFormat="1" ht="12.75" x14ac:dyDescent="0.2">
      <c r="B4381" s="1168"/>
    </row>
    <row r="4382" spans="2:2" s="221" customFormat="1" ht="12.75" x14ac:dyDescent="0.2">
      <c r="B4382" s="1168"/>
    </row>
    <row r="4383" spans="2:2" s="221" customFormat="1" ht="12.75" x14ac:dyDescent="0.2">
      <c r="B4383" s="1168"/>
    </row>
    <row r="4384" spans="2:2" s="221" customFormat="1" ht="12.75" x14ac:dyDescent="0.2">
      <c r="B4384" s="1168"/>
    </row>
    <row r="4385" spans="2:2" s="221" customFormat="1" ht="12.75" x14ac:dyDescent="0.2">
      <c r="B4385" s="1168"/>
    </row>
    <row r="4386" spans="2:2" s="221" customFormat="1" ht="12.75" x14ac:dyDescent="0.2">
      <c r="B4386" s="1168"/>
    </row>
    <row r="4387" spans="2:2" s="221" customFormat="1" ht="12.75" x14ac:dyDescent="0.2">
      <c r="B4387" s="1168"/>
    </row>
    <row r="4388" spans="2:2" s="221" customFormat="1" ht="12.75" x14ac:dyDescent="0.2">
      <c r="B4388" s="1168"/>
    </row>
    <row r="4389" spans="2:2" s="221" customFormat="1" ht="12.75" x14ac:dyDescent="0.2">
      <c r="B4389" s="1168"/>
    </row>
    <row r="4390" spans="2:2" s="221" customFormat="1" ht="12.75" x14ac:dyDescent="0.2">
      <c r="B4390" s="1168"/>
    </row>
    <row r="4391" spans="2:2" s="221" customFormat="1" ht="12.75" x14ac:dyDescent="0.2">
      <c r="B4391" s="1168"/>
    </row>
    <row r="4392" spans="2:2" s="221" customFormat="1" ht="12.75" x14ac:dyDescent="0.2">
      <c r="B4392" s="1168"/>
    </row>
    <row r="4393" spans="2:2" s="221" customFormat="1" ht="12.75" x14ac:dyDescent="0.2">
      <c r="B4393" s="1168"/>
    </row>
    <row r="4394" spans="2:2" s="221" customFormat="1" ht="12.75" x14ac:dyDescent="0.2">
      <c r="B4394" s="1168"/>
    </row>
    <row r="4395" spans="2:2" s="221" customFormat="1" ht="12.75" x14ac:dyDescent="0.2">
      <c r="B4395" s="1168"/>
    </row>
    <row r="4396" spans="2:2" s="221" customFormat="1" ht="12.75" x14ac:dyDescent="0.2">
      <c r="B4396" s="1168"/>
    </row>
    <row r="4397" spans="2:2" s="221" customFormat="1" ht="12.75" x14ac:dyDescent="0.2">
      <c r="B4397" s="1168"/>
    </row>
    <row r="4398" spans="2:2" s="221" customFormat="1" ht="12.75" x14ac:dyDescent="0.2">
      <c r="B4398" s="1168"/>
    </row>
    <row r="4399" spans="2:2" s="221" customFormat="1" ht="12.75" x14ac:dyDescent="0.2">
      <c r="B4399" s="1168"/>
    </row>
    <row r="4400" spans="2:2" s="221" customFormat="1" ht="12.75" x14ac:dyDescent="0.2">
      <c r="B4400" s="1168"/>
    </row>
    <row r="4401" spans="2:2" s="221" customFormat="1" ht="12.75" x14ac:dyDescent="0.2">
      <c r="B4401" s="1168"/>
    </row>
    <row r="4402" spans="2:2" s="221" customFormat="1" ht="12.75" x14ac:dyDescent="0.2">
      <c r="B4402" s="1168"/>
    </row>
    <row r="4403" spans="2:2" s="221" customFormat="1" ht="12.75" x14ac:dyDescent="0.2">
      <c r="B4403" s="1168"/>
    </row>
    <row r="4404" spans="2:2" s="221" customFormat="1" ht="12.75" x14ac:dyDescent="0.2">
      <c r="B4404" s="1168"/>
    </row>
    <row r="4405" spans="2:2" s="221" customFormat="1" ht="12.75" x14ac:dyDescent="0.2">
      <c r="B4405" s="1168"/>
    </row>
    <row r="4406" spans="2:2" s="221" customFormat="1" ht="12.75" x14ac:dyDescent="0.2">
      <c r="B4406" s="1168"/>
    </row>
    <row r="4407" spans="2:2" s="221" customFormat="1" ht="12.75" x14ac:dyDescent="0.2">
      <c r="B4407" s="1168"/>
    </row>
    <row r="4408" spans="2:2" s="221" customFormat="1" ht="12.75" x14ac:dyDescent="0.2">
      <c r="B4408" s="1168"/>
    </row>
    <row r="4409" spans="2:2" s="221" customFormat="1" ht="12.75" x14ac:dyDescent="0.2">
      <c r="B4409" s="1168"/>
    </row>
    <row r="4410" spans="2:2" s="221" customFormat="1" ht="12.75" x14ac:dyDescent="0.2">
      <c r="B4410" s="1168"/>
    </row>
    <row r="4411" spans="2:2" s="221" customFormat="1" ht="12.75" x14ac:dyDescent="0.2">
      <c r="B4411" s="1168"/>
    </row>
    <row r="4412" spans="2:2" s="221" customFormat="1" ht="12.75" x14ac:dyDescent="0.2">
      <c r="B4412" s="1168"/>
    </row>
    <row r="4413" spans="2:2" s="221" customFormat="1" ht="12.75" x14ac:dyDescent="0.2">
      <c r="B4413" s="1168"/>
    </row>
    <row r="4414" spans="2:2" s="221" customFormat="1" ht="12.75" x14ac:dyDescent="0.2">
      <c r="B4414" s="1168"/>
    </row>
    <row r="4415" spans="2:2" s="221" customFormat="1" ht="12.75" x14ac:dyDescent="0.2">
      <c r="B4415" s="1168"/>
    </row>
    <row r="4416" spans="2:2" s="221" customFormat="1" ht="12.75" x14ac:dyDescent="0.2">
      <c r="B4416" s="1168"/>
    </row>
    <row r="4417" spans="2:2" s="221" customFormat="1" ht="12.75" x14ac:dyDescent="0.2">
      <c r="B4417" s="1168"/>
    </row>
    <row r="4418" spans="2:2" s="221" customFormat="1" ht="12.75" x14ac:dyDescent="0.2">
      <c r="B4418" s="1168"/>
    </row>
    <row r="4419" spans="2:2" s="221" customFormat="1" ht="12.75" x14ac:dyDescent="0.2">
      <c r="B4419" s="1168"/>
    </row>
    <row r="4420" spans="2:2" s="221" customFormat="1" ht="12.75" x14ac:dyDescent="0.2">
      <c r="B4420" s="1168"/>
    </row>
    <row r="4421" spans="2:2" s="221" customFormat="1" ht="12.75" x14ac:dyDescent="0.2">
      <c r="B4421" s="1168"/>
    </row>
    <row r="4422" spans="2:2" s="221" customFormat="1" ht="12.75" x14ac:dyDescent="0.2">
      <c r="B4422" s="1168"/>
    </row>
    <row r="4423" spans="2:2" s="221" customFormat="1" ht="12.75" x14ac:dyDescent="0.2">
      <c r="B4423" s="1168"/>
    </row>
    <row r="4424" spans="2:2" s="221" customFormat="1" ht="12.75" x14ac:dyDescent="0.2">
      <c r="B4424" s="1168"/>
    </row>
    <row r="4425" spans="2:2" s="221" customFormat="1" ht="12.75" x14ac:dyDescent="0.2">
      <c r="B4425" s="1168"/>
    </row>
    <row r="4426" spans="2:2" s="221" customFormat="1" ht="12.75" x14ac:dyDescent="0.2">
      <c r="B4426" s="1168"/>
    </row>
    <row r="4427" spans="2:2" s="221" customFormat="1" ht="12.75" x14ac:dyDescent="0.2">
      <c r="B4427" s="1168"/>
    </row>
    <row r="4428" spans="2:2" s="221" customFormat="1" ht="12.75" x14ac:dyDescent="0.2">
      <c r="B4428" s="1168"/>
    </row>
    <row r="4429" spans="2:2" s="221" customFormat="1" ht="12.75" x14ac:dyDescent="0.2">
      <c r="B4429" s="1168"/>
    </row>
    <row r="4430" spans="2:2" s="221" customFormat="1" ht="12.75" x14ac:dyDescent="0.2">
      <c r="B4430" s="1168"/>
    </row>
    <row r="4431" spans="2:2" s="221" customFormat="1" ht="12.75" x14ac:dyDescent="0.2">
      <c r="B4431" s="1168"/>
    </row>
    <row r="4432" spans="2:2" s="221" customFormat="1" ht="12.75" x14ac:dyDescent="0.2">
      <c r="B4432" s="1168"/>
    </row>
    <row r="4433" spans="2:2" s="221" customFormat="1" ht="12.75" x14ac:dyDescent="0.2">
      <c r="B4433" s="1168"/>
    </row>
    <row r="4434" spans="2:2" s="221" customFormat="1" ht="12.75" x14ac:dyDescent="0.2">
      <c r="B4434" s="1168"/>
    </row>
    <row r="4435" spans="2:2" s="221" customFormat="1" ht="12.75" x14ac:dyDescent="0.2">
      <c r="B4435" s="1168"/>
    </row>
    <row r="4436" spans="2:2" s="221" customFormat="1" ht="12.75" x14ac:dyDescent="0.2">
      <c r="B4436" s="1168"/>
    </row>
    <row r="4437" spans="2:2" s="221" customFormat="1" ht="12.75" x14ac:dyDescent="0.2">
      <c r="B4437" s="1168"/>
    </row>
    <row r="4438" spans="2:2" s="221" customFormat="1" ht="12.75" x14ac:dyDescent="0.2">
      <c r="B4438" s="1168"/>
    </row>
    <row r="4439" spans="2:2" s="221" customFormat="1" ht="12.75" x14ac:dyDescent="0.2">
      <c r="B4439" s="1168"/>
    </row>
    <row r="4440" spans="2:2" s="221" customFormat="1" ht="12.75" x14ac:dyDescent="0.2">
      <c r="B4440" s="1168"/>
    </row>
    <row r="4441" spans="2:2" s="221" customFormat="1" ht="12.75" x14ac:dyDescent="0.2">
      <c r="B4441" s="1168"/>
    </row>
    <row r="4442" spans="2:2" s="221" customFormat="1" ht="12.75" x14ac:dyDescent="0.2">
      <c r="B4442" s="1168"/>
    </row>
    <row r="4443" spans="2:2" s="221" customFormat="1" ht="12.75" x14ac:dyDescent="0.2">
      <c r="B4443" s="1168"/>
    </row>
    <row r="4444" spans="2:2" s="221" customFormat="1" ht="12.75" x14ac:dyDescent="0.2">
      <c r="B4444" s="1168"/>
    </row>
    <row r="4445" spans="2:2" s="221" customFormat="1" ht="12.75" x14ac:dyDescent="0.2">
      <c r="B4445" s="1168"/>
    </row>
    <row r="4446" spans="2:2" s="221" customFormat="1" ht="12.75" x14ac:dyDescent="0.2">
      <c r="B4446" s="1168"/>
    </row>
    <row r="4447" spans="2:2" s="221" customFormat="1" ht="12.75" x14ac:dyDescent="0.2">
      <c r="B4447" s="1168"/>
    </row>
    <row r="4448" spans="2:2" s="221" customFormat="1" ht="12.75" x14ac:dyDescent="0.2">
      <c r="B4448" s="1168"/>
    </row>
    <row r="4449" spans="2:2" s="221" customFormat="1" ht="12.75" x14ac:dyDescent="0.2">
      <c r="B4449" s="1168"/>
    </row>
    <row r="4450" spans="2:2" s="221" customFormat="1" ht="12.75" x14ac:dyDescent="0.2">
      <c r="B4450" s="1168"/>
    </row>
    <row r="4451" spans="2:2" s="221" customFormat="1" ht="12.75" x14ac:dyDescent="0.2">
      <c r="B4451" s="1168"/>
    </row>
    <row r="4452" spans="2:2" s="221" customFormat="1" ht="12.75" x14ac:dyDescent="0.2">
      <c r="B4452" s="1168"/>
    </row>
    <row r="4453" spans="2:2" s="221" customFormat="1" ht="12.75" x14ac:dyDescent="0.2">
      <c r="B4453" s="1168"/>
    </row>
    <row r="4454" spans="2:2" s="221" customFormat="1" ht="12.75" x14ac:dyDescent="0.2">
      <c r="B4454" s="1168"/>
    </row>
    <row r="4455" spans="2:2" s="221" customFormat="1" ht="12.75" x14ac:dyDescent="0.2">
      <c r="B4455" s="1168"/>
    </row>
    <row r="4456" spans="2:2" s="221" customFormat="1" ht="12.75" x14ac:dyDescent="0.2">
      <c r="B4456" s="1168"/>
    </row>
    <row r="4457" spans="2:2" s="221" customFormat="1" ht="12.75" x14ac:dyDescent="0.2">
      <c r="B4457" s="1168"/>
    </row>
    <row r="4458" spans="2:2" s="221" customFormat="1" ht="12.75" x14ac:dyDescent="0.2">
      <c r="B4458" s="1168"/>
    </row>
    <row r="4459" spans="2:2" s="221" customFormat="1" ht="12.75" x14ac:dyDescent="0.2">
      <c r="B4459" s="1168"/>
    </row>
    <row r="4460" spans="2:2" s="221" customFormat="1" ht="12.75" x14ac:dyDescent="0.2">
      <c r="B4460" s="1168"/>
    </row>
    <row r="4461" spans="2:2" s="221" customFormat="1" ht="12.75" x14ac:dyDescent="0.2">
      <c r="B4461" s="1168"/>
    </row>
    <row r="4462" spans="2:2" s="221" customFormat="1" ht="12.75" x14ac:dyDescent="0.2">
      <c r="B4462" s="1168"/>
    </row>
    <row r="4463" spans="2:2" s="221" customFormat="1" ht="12.75" x14ac:dyDescent="0.2">
      <c r="B4463" s="1168"/>
    </row>
    <row r="4464" spans="2:2" s="221" customFormat="1" ht="12.75" x14ac:dyDescent="0.2">
      <c r="B4464" s="1168"/>
    </row>
    <row r="4465" spans="2:2" s="221" customFormat="1" ht="12.75" x14ac:dyDescent="0.2">
      <c r="B4465" s="1168"/>
    </row>
    <row r="4466" spans="2:2" s="221" customFormat="1" ht="12.75" x14ac:dyDescent="0.2">
      <c r="B4466" s="1168"/>
    </row>
    <row r="4467" spans="2:2" s="221" customFormat="1" ht="12.75" x14ac:dyDescent="0.2">
      <c r="B4467" s="1168"/>
    </row>
    <row r="4468" spans="2:2" s="221" customFormat="1" ht="12.75" x14ac:dyDescent="0.2">
      <c r="B4468" s="1168"/>
    </row>
    <row r="4469" spans="2:2" s="221" customFormat="1" ht="12.75" x14ac:dyDescent="0.2">
      <c r="B4469" s="1168"/>
    </row>
    <row r="4470" spans="2:2" s="221" customFormat="1" ht="12.75" x14ac:dyDescent="0.2">
      <c r="B4470" s="1168"/>
    </row>
    <row r="4471" spans="2:2" s="221" customFormat="1" ht="12.75" x14ac:dyDescent="0.2">
      <c r="B4471" s="1168"/>
    </row>
    <row r="4472" spans="2:2" s="221" customFormat="1" ht="12.75" x14ac:dyDescent="0.2">
      <c r="B4472" s="1168"/>
    </row>
    <row r="4473" spans="2:2" s="221" customFormat="1" ht="12.75" x14ac:dyDescent="0.2">
      <c r="B4473" s="1168"/>
    </row>
    <row r="4474" spans="2:2" s="221" customFormat="1" ht="12.75" x14ac:dyDescent="0.2">
      <c r="B4474" s="1168"/>
    </row>
    <row r="4475" spans="2:2" s="221" customFormat="1" ht="12.75" x14ac:dyDescent="0.2">
      <c r="B4475" s="1168"/>
    </row>
    <row r="4476" spans="2:2" s="221" customFormat="1" ht="12.75" x14ac:dyDescent="0.2">
      <c r="B4476" s="1168"/>
    </row>
    <row r="4477" spans="2:2" s="221" customFormat="1" ht="12.75" x14ac:dyDescent="0.2">
      <c r="B4477" s="1168"/>
    </row>
    <row r="4478" spans="2:2" s="221" customFormat="1" ht="12.75" x14ac:dyDescent="0.2">
      <c r="B4478" s="1168"/>
    </row>
    <row r="4479" spans="2:2" s="221" customFormat="1" ht="12.75" x14ac:dyDescent="0.2">
      <c r="B4479" s="1168"/>
    </row>
    <row r="4480" spans="2:2" s="221" customFormat="1" ht="12.75" x14ac:dyDescent="0.2">
      <c r="B4480" s="1168"/>
    </row>
    <row r="4481" spans="2:2" s="221" customFormat="1" ht="12.75" x14ac:dyDescent="0.2">
      <c r="B4481" s="1168"/>
    </row>
    <row r="4482" spans="2:2" s="221" customFormat="1" ht="12.75" x14ac:dyDescent="0.2">
      <c r="B4482" s="1168"/>
    </row>
    <row r="4483" spans="2:2" s="221" customFormat="1" ht="12.75" x14ac:dyDescent="0.2">
      <c r="B4483" s="1168"/>
    </row>
    <row r="4484" spans="2:2" s="221" customFormat="1" ht="12.75" x14ac:dyDescent="0.2">
      <c r="B4484" s="1168"/>
    </row>
    <row r="4485" spans="2:2" s="221" customFormat="1" ht="12.75" x14ac:dyDescent="0.2">
      <c r="B4485" s="1168"/>
    </row>
    <row r="4486" spans="2:2" s="221" customFormat="1" ht="12.75" x14ac:dyDescent="0.2">
      <c r="B4486" s="1168"/>
    </row>
    <row r="4487" spans="2:2" s="221" customFormat="1" ht="12.75" x14ac:dyDescent="0.2">
      <c r="B4487" s="1168"/>
    </row>
    <row r="4488" spans="2:2" s="221" customFormat="1" ht="12.75" x14ac:dyDescent="0.2">
      <c r="B4488" s="1168"/>
    </row>
    <row r="4489" spans="2:2" s="221" customFormat="1" ht="12.75" x14ac:dyDescent="0.2">
      <c r="B4489" s="1168"/>
    </row>
    <row r="4490" spans="2:2" s="221" customFormat="1" ht="12.75" x14ac:dyDescent="0.2">
      <c r="B4490" s="1168"/>
    </row>
    <row r="4491" spans="2:2" s="221" customFormat="1" ht="12.75" x14ac:dyDescent="0.2">
      <c r="B4491" s="1168"/>
    </row>
    <row r="4492" spans="2:2" s="221" customFormat="1" ht="12.75" x14ac:dyDescent="0.2">
      <c r="B4492" s="1168"/>
    </row>
    <row r="4493" spans="2:2" s="221" customFormat="1" ht="12.75" x14ac:dyDescent="0.2">
      <c r="B4493" s="1168"/>
    </row>
    <row r="4494" spans="2:2" s="221" customFormat="1" ht="12.75" x14ac:dyDescent="0.2">
      <c r="B4494" s="1168"/>
    </row>
    <row r="4495" spans="2:2" s="221" customFormat="1" ht="12.75" x14ac:dyDescent="0.2">
      <c r="B4495" s="1168"/>
    </row>
    <row r="4496" spans="2:2" s="221" customFormat="1" ht="12.75" x14ac:dyDescent="0.2">
      <c r="B4496" s="1168"/>
    </row>
    <row r="4497" spans="2:2" s="221" customFormat="1" ht="12.75" x14ac:dyDescent="0.2">
      <c r="B4497" s="1168"/>
    </row>
    <row r="4498" spans="2:2" s="221" customFormat="1" ht="12.75" x14ac:dyDescent="0.2">
      <c r="B4498" s="1168"/>
    </row>
    <row r="4499" spans="2:2" s="221" customFormat="1" ht="12.75" x14ac:dyDescent="0.2">
      <c r="B4499" s="1168"/>
    </row>
    <row r="4500" spans="2:2" s="221" customFormat="1" ht="12.75" x14ac:dyDescent="0.2">
      <c r="B4500" s="1168"/>
    </row>
    <row r="4501" spans="2:2" s="221" customFormat="1" ht="12.75" x14ac:dyDescent="0.2">
      <c r="B4501" s="1168"/>
    </row>
    <row r="4502" spans="2:2" s="221" customFormat="1" ht="12.75" x14ac:dyDescent="0.2">
      <c r="B4502" s="1168"/>
    </row>
    <row r="4503" spans="2:2" s="221" customFormat="1" ht="12.75" x14ac:dyDescent="0.2">
      <c r="B4503" s="1168"/>
    </row>
    <row r="4504" spans="2:2" s="221" customFormat="1" ht="12.75" x14ac:dyDescent="0.2">
      <c r="B4504" s="1168"/>
    </row>
    <row r="4505" spans="2:2" s="221" customFormat="1" ht="12.75" x14ac:dyDescent="0.2">
      <c r="B4505" s="1168"/>
    </row>
    <row r="4506" spans="2:2" s="221" customFormat="1" ht="12.75" x14ac:dyDescent="0.2">
      <c r="B4506" s="1168"/>
    </row>
    <row r="4507" spans="2:2" s="221" customFormat="1" ht="12.75" x14ac:dyDescent="0.2">
      <c r="B4507" s="1168"/>
    </row>
    <row r="4508" spans="2:2" s="221" customFormat="1" ht="12.75" x14ac:dyDescent="0.2">
      <c r="B4508" s="1168"/>
    </row>
    <row r="4509" spans="2:2" s="221" customFormat="1" ht="12.75" x14ac:dyDescent="0.2">
      <c r="B4509" s="1168"/>
    </row>
    <row r="4510" spans="2:2" s="221" customFormat="1" ht="12.75" x14ac:dyDescent="0.2">
      <c r="B4510" s="1168"/>
    </row>
    <row r="4511" spans="2:2" s="221" customFormat="1" ht="12.75" x14ac:dyDescent="0.2">
      <c r="B4511" s="1168"/>
    </row>
    <row r="4512" spans="2:2" s="221" customFormat="1" ht="12.75" x14ac:dyDescent="0.2">
      <c r="B4512" s="1168"/>
    </row>
    <row r="4513" spans="2:2" s="221" customFormat="1" ht="12.75" x14ac:dyDescent="0.2">
      <c r="B4513" s="1168"/>
    </row>
    <row r="4514" spans="2:2" s="221" customFormat="1" ht="12.75" x14ac:dyDescent="0.2">
      <c r="B4514" s="1168"/>
    </row>
    <row r="4515" spans="2:2" s="221" customFormat="1" ht="12.75" x14ac:dyDescent="0.2">
      <c r="B4515" s="1168"/>
    </row>
    <row r="4516" spans="2:2" s="221" customFormat="1" ht="12.75" x14ac:dyDescent="0.2">
      <c r="B4516" s="1168"/>
    </row>
    <row r="4517" spans="2:2" s="221" customFormat="1" ht="12.75" x14ac:dyDescent="0.2">
      <c r="B4517" s="1168"/>
    </row>
    <row r="4518" spans="2:2" s="221" customFormat="1" ht="12.75" x14ac:dyDescent="0.2">
      <c r="B4518" s="1168"/>
    </row>
    <row r="4519" spans="2:2" s="221" customFormat="1" ht="12.75" x14ac:dyDescent="0.2">
      <c r="B4519" s="1168"/>
    </row>
    <row r="4520" spans="2:2" s="221" customFormat="1" ht="12.75" x14ac:dyDescent="0.2">
      <c r="B4520" s="1168"/>
    </row>
    <row r="4521" spans="2:2" s="221" customFormat="1" ht="12.75" x14ac:dyDescent="0.2">
      <c r="B4521" s="1168"/>
    </row>
    <row r="4522" spans="2:2" s="221" customFormat="1" ht="12.75" x14ac:dyDescent="0.2">
      <c r="B4522" s="1168"/>
    </row>
    <row r="4523" spans="2:2" s="221" customFormat="1" ht="12.75" x14ac:dyDescent="0.2">
      <c r="B4523" s="1168"/>
    </row>
    <row r="4524" spans="2:2" s="221" customFormat="1" ht="12.75" x14ac:dyDescent="0.2">
      <c r="B4524" s="1168"/>
    </row>
    <row r="4525" spans="2:2" s="221" customFormat="1" ht="12.75" x14ac:dyDescent="0.2">
      <c r="B4525" s="1168"/>
    </row>
    <row r="4526" spans="2:2" s="221" customFormat="1" ht="12.75" x14ac:dyDescent="0.2">
      <c r="B4526" s="1168"/>
    </row>
    <row r="4527" spans="2:2" s="221" customFormat="1" ht="12.75" x14ac:dyDescent="0.2">
      <c r="B4527" s="1168"/>
    </row>
    <row r="4528" spans="2:2" s="221" customFormat="1" ht="12.75" x14ac:dyDescent="0.2">
      <c r="B4528" s="1168"/>
    </row>
    <row r="4529" spans="2:2" s="221" customFormat="1" ht="12.75" x14ac:dyDescent="0.2">
      <c r="B4529" s="1168"/>
    </row>
    <row r="4530" spans="2:2" s="221" customFormat="1" ht="12.75" x14ac:dyDescent="0.2">
      <c r="B4530" s="1168"/>
    </row>
    <row r="4531" spans="2:2" s="221" customFormat="1" ht="12.75" x14ac:dyDescent="0.2">
      <c r="B4531" s="1168"/>
    </row>
    <row r="4532" spans="2:2" s="221" customFormat="1" ht="12.75" x14ac:dyDescent="0.2">
      <c r="B4532" s="1168"/>
    </row>
    <row r="4533" spans="2:2" s="221" customFormat="1" ht="12.75" x14ac:dyDescent="0.2">
      <c r="B4533" s="1168"/>
    </row>
    <row r="4534" spans="2:2" s="221" customFormat="1" ht="12.75" x14ac:dyDescent="0.2">
      <c r="B4534" s="1168"/>
    </row>
    <row r="4535" spans="2:2" s="221" customFormat="1" ht="12.75" x14ac:dyDescent="0.2">
      <c r="B4535" s="1168"/>
    </row>
    <row r="4536" spans="2:2" s="221" customFormat="1" ht="12.75" x14ac:dyDescent="0.2">
      <c r="B4536" s="1168"/>
    </row>
    <row r="4537" spans="2:2" s="221" customFormat="1" ht="12.75" x14ac:dyDescent="0.2">
      <c r="B4537" s="1168"/>
    </row>
    <row r="4538" spans="2:2" s="221" customFormat="1" ht="12.75" x14ac:dyDescent="0.2">
      <c r="B4538" s="1168"/>
    </row>
    <row r="4539" spans="2:2" s="221" customFormat="1" ht="12.75" x14ac:dyDescent="0.2">
      <c r="B4539" s="1168"/>
    </row>
    <row r="4540" spans="2:2" s="221" customFormat="1" ht="12.75" x14ac:dyDescent="0.2">
      <c r="B4540" s="1168"/>
    </row>
    <row r="4541" spans="2:2" s="221" customFormat="1" ht="12.75" x14ac:dyDescent="0.2">
      <c r="B4541" s="1168"/>
    </row>
    <row r="4542" spans="2:2" s="221" customFormat="1" ht="12.75" x14ac:dyDescent="0.2">
      <c r="B4542" s="1168"/>
    </row>
    <row r="4543" spans="2:2" s="221" customFormat="1" ht="12.75" x14ac:dyDescent="0.2">
      <c r="B4543" s="1168"/>
    </row>
    <row r="4544" spans="2:2" s="221" customFormat="1" ht="12.75" x14ac:dyDescent="0.2">
      <c r="B4544" s="1168"/>
    </row>
    <row r="4545" spans="2:2" s="221" customFormat="1" ht="12.75" x14ac:dyDescent="0.2">
      <c r="B4545" s="1168"/>
    </row>
    <row r="4546" spans="2:2" s="221" customFormat="1" ht="12.75" x14ac:dyDescent="0.2">
      <c r="B4546" s="1168"/>
    </row>
    <row r="4547" spans="2:2" s="221" customFormat="1" ht="12.75" x14ac:dyDescent="0.2">
      <c r="B4547" s="1168"/>
    </row>
    <row r="4548" spans="2:2" s="221" customFormat="1" ht="12.75" x14ac:dyDescent="0.2">
      <c r="B4548" s="1168"/>
    </row>
    <row r="4549" spans="2:2" s="221" customFormat="1" ht="12.75" x14ac:dyDescent="0.2">
      <c r="B4549" s="1168"/>
    </row>
    <row r="4550" spans="2:2" s="221" customFormat="1" ht="12.75" x14ac:dyDescent="0.2">
      <c r="B4550" s="1168"/>
    </row>
    <row r="4551" spans="2:2" s="221" customFormat="1" ht="12.75" x14ac:dyDescent="0.2">
      <c r="B4551" s="1168"/>
    </row>
    <row r="4552" spans="2:2" s="221" customFormat="1" ht="12.75" x14ac:dyDescent="0.2">
      <c r="B4552" s="1168"/>
    </row>
    <row r="4553" spans="2:2" s="221" customFormat="1" ht="12.75" x14ac:dyDescent="0.2">
      <c r="B4553" s="1168"/>
    </row>
    <row r="4554" spans="2:2" s="221" customFormat="1" ht="12.75" x14ac:dyDescent="0.2">
      <c r="B4554" s="1168"/>
    </row>
    <row r="4555" spans="2:2" s="221" customFormat="1" ht="12.75" x14ac:dyDescent="0.2">
      <c r="B4555" s="1168"/>
    </row>
    <row r="4556" spans="2:2" s="221" customFormat="1" ht="12.75" x14ac:dyDescent="0.2">
      <c r="B4556" s="1168"/>
    </row>
    <row r="4557" spans="2:2" s="221" customFormat="1" ht="12.75" x14ac:dyDescent="0.2">
      <c r="B4557" s="1168"/>
    </row>
    <row r="4558" spans="2:2" s="221" customFormat="1" ht="12.75" x14ac:dyDescent="0.2">
      <c r="B4558" s="1168"/>
    </row>
    <row r="4559" spans="2:2" s="221" customFormat="1" ht="12.75" x14ac:dyDescent="0.2">
      <c r="B4559" s="1168"/>
    </row>
    <row r="4560" spans="2:2" s="221" customFormat="1" ht="12.75" x14ac:dyDescent="0.2">
      <c r="B4560" s="1168"/>
    </row>
    <row r="4561" spans="2:2" s="221" customFormat="1" ht="12.75" x14ac:dyDescent="0.2">
      <c r="B4561" s="1168"/>
    </row>
    <row r="4562" spans="2:2" s="221" customFormat="1" ht="12.75" x14ac:dyDescent="0.2">
      <c r="B4562" s="1168"/>
    </row>
    <row r="4563" spans="2:2" s="221" customFormat="1" ht="12.75" x14ac:dyDescent="0.2">
      <c r="B4563" s="1168"/>
    </row>
    <row r="4564" spans="2:2" s="221" customFormat="1" ht="12.75" x14ac:dyDescent="0.2">
      <c r="B4564" s="1168"/>
    </row>
    <row r="4565" spans="2:2" s="221" customFormat="1" ht="12.75" x14ac:dyDescent="0.2">
      <c r="B4565" s="1168"/>
    </row>
    <row r="4566" spans="2:2" s="221" customFormat="1" ht="12.75" x14ac:dyDescent="0.2">
      <c r="B4566" s="1168"/>
    </row>
    <row r="4567" spans="2:2" s="221" customFormat="1" ht="12.75" x14ac:dyDescent="0.2">
      <c r="B4567" s="1168"/>
    </row>
    <row r="4568" spans="2:2" s="221" customFormat="1" ht="12.75" x14ac:dyDescent="0.2">
      <c r="B4568" s="1168"/>
    </row>
    <row r="4569" spans="2:2" s="221" customFormat="1" ht="12.75" x14ac:dyDescent="0.2">
      <c r="B4569" s="1168"/>
    </row>
    <row r="4570" spans="2:2" s="221" customFormat="1" ht="12.75" x14ac:dyDescent="0.2">
      <c r="B4570" s="1168"/>
    </row>
    <row r="4571" spans="2:2" s="221" customFormat="1" ht="12.75" x14ac:dyDescent="0.2">
      <c r="B4571" s="1168"/>
    </row>
    <row r="4572" spans="2:2" s="221" customFormat="1" ht="12.75" x14ac:dyDescent="0.2">
      <c r="B4572" s="1168"/>
    </row>
    <row r="4573" spans="2:2" s="221" customFormat="1" ht="12.75" x14ac:dyDescent="0.2">
      <c r="B4573" s="1168"/>
    </row>
    <row r="4574" spans="2:2" s="221" customFormat="1" ht="12.75" x14ac:dyDescent="0.2">
      <c r="B4574" s="1168"/>
    </row>
    <row r="4575" spans="2:2" s="221" customFormat="1" ht="12.75" x14ac:dyDescent="0.2">
      <c r="B4575" s="1168"/>
    </row>
    <row r="4576" spans="2:2" s="221" customFormat="1" ht="12.75" x14ac:dyDescent="0.2">
      <c r="B4576" s="1168"/>
    </row>
    <row r="4577" spans="2:2" s="221" customFormat="1" ht="12.75" x14ac:dyDescent="0.2">
      <c r="B4577" s="1168"/>
    </row>
    <row r="4578" spans="2:2" s="221" customFormat="1" ht="12.75" x14ac:dyDescent="0.2">
      <c r="B4578" s="1168"/>
    </row>
    <row r="4579" spans="2:2" s="221" customFormat="1" ht="12.75" x14ac:dyDescent="0.2">
      <c r="B4579" s="1168"/>
    </row>
    <row r="4580" spans="2:2" s="221" customFormat="1" ht="12.75" x14ac:dyDescent="0.2">
      <c r="B4580" s="1168"/>
    </row>
    <row r="4581" spans="2:2" s="221" customFormat="1" ht="12.75" x14ac:dyDescent="0.2">
      <c r="B4581" s="1168"/>
    </row>
    <row r="4582" spans="2:2" s="221" customFormat="1" ht="12.75" x14ac:dyDescent="0.2">
      <c r="B4582" s="1168"/>
    </row>
    <row r="4583" spans="2:2" s="221" customFormat="1" ht="12.75" x14ac:dyDescent="0.2">
      <c r="B4583" s="1168"/>
    </row>
    <row r="4584" spans="2:2" s="221" customFormat="1" ht="12.75" x14ac:dyDescent="0.2">
      <c r="B4584" s="1168"/>
    </row>
    <row r="4585" spans="2:2" s="221" customFormat="1" ht="12.75" x14ac:dyDescent="0.2">
      <c r="B4585" s="1168"/>
    </row>
    <row r="4586" spans="2:2" s="221" customFormat="1" ht="12.75" x14ac:dyDescent="0.2">
      <c r="B4586" s="1168"/>
    </row>
    <row r="4587" spans="2:2" s="221" customFormat="1" ht="12.75" x14ac:dyDescent="0.2">
      <c r="B4587" s="1168"/>
    </row>
    <row r="4588" spans="2:2" s="221" customFormat="1" ht="12.75" x14ac:dyDescent="0.2">
      <c r="B4588" s="1168"/>
    </row>
    <row r="4589" spans="2:2" s="221" customFormat="1" ht="12.75" x14ac:dyDescent="0.2">
      <c r="B4589" s="1168"/>
    </row>
    <row r="4590" spans="2:2" s="221" customFormat="1" ht="12.75" x14ac:dyDescent="0.2">
      <c r="B4590" s="1168"/>
    </row>
    <row r="4591" spans="2:2" s="221" customFormat="1" ht="12.75" x14ac:dyDescent="0.2">
      <c r="B4591" s="1168"/>
    </row>
    <row r="4592" spans="2:2" s="221" customFormat="1" ht="12.75" x14ac:dyDescent="0.2">
      <c r="B4592" s="1168"/>
    </row>
    <row r="4593" spans="2:2" s="221" customFormat="1" ht="12.75" x14ac:dyDescent="0.2">
      <c r="B4593" s="1168"/>
    </row>
    <row r="4594" spans="2:2" s="221" customFormat="1" ht="12.75" x14ac:dyDescent="0.2">
      <c r="B4594" s="1168"/>
    </row>
    <row r="4595" spans="2:2" s="221" customFormat="1" ht="12.75" x14ac:dyDescent="0.2">
      <c r="B4595" s="1168"/>
    </row>
    <row r="4596" spans="2:2" s="221" customFormat="1" ht="12.75" x14ac:dyDescent="0.2">
      <c r="B4596" s="1168"/>
    </row>
    <row r="4597" spans="2:2" s="221" customFormat="1" ht="12.75" x14ac:dyDescent="0.2">
      <c r="B4597" s="1168"/>
    </row>
    <row r="4598" spans="2:2" s="221" customFormat="1" ht="12.75" x14ac:dyDescent="0.2">
      <c r="B4598" s="1168"/>
    </row>
    <row r="4599" spans="2:2" s="221" customFormat="1" ht="12.75" x14ac:dyDescent="0.2">
      <c r="B4599" s="1168"/>
    </row>
    <row r="4600" spans="2:2" s="221" customFormat="1" ht="12.75" x14ac:dyDescent="0.2">
      <c r="B4600" s="1168"/>
    </row>
    <row r="4601" spans="2:2" s="221" customFormat="1" ht="12.75" x14ac:dyDescent="0.2">
      <c r="B4601" s="1168"/>
    </row>
    <row r="4602" spans="2:2" s="221" customFormat="1" ht="12.75" x14ac:dyDescent="0.2">
      <c r="B4602" s="1168"/>
    </row>
    <row r="4603" spans="2:2" s="221" customFormat="1" ht="12.75" x14ac:dyDescent="0.2">
      <c r="B4603" s="1168"/>
    </row>
    <row r="4604" spans="2:2" s="221" customFormat="1" ht="12.75" x14ac:dyDescent="0.2">
      <c r="B4604" s="1168"/>
    </row>
    <row r="4605" spans="2:2" s="221" customFormat="1" ht="12.75" x14ac:dyDescent="0.2">
      <c r="B4605" s="1168"/>
    </row>
    <row r="4606" spans="2:2" s="221" customFormat="1" ht="12.75" x14ac:dyDescent="0.2">
      <c r="B4606" s="1168"/>
    </row>
    <row r="4607" spans="2:2" s="221" customFormat="1" ht="12.75" x14ac:dyDescent="0.2">
      <c r="B4607" s="1168"/>
    </row>
    <row r="4608" spans="2:2" s="221" customFormat="1" ht="12.75" x14ac:dyDescent="0.2">
      <c r="B4608" s="1168"/>
    </row>
    <row r="4609" spans="2:2" s="221" customFormat="1" ht="12.75" x14ac:dyDescent="0.2">
      <c r="B4609" s="1168"/>
    </row>
    <row r="4610" spans="2:2" s="221" customFormat="1" ht="12.75" x14ac:dyDescent="0.2">
      <c r="B4610" s="1168"/>
    </row>
    <row r="4611" spans="2:2" s="221" customFormat="1" ht="12.75" x14ac:dyDescent="0.2">
      <c r="B4611" s="1168"/>
    </row>
    <row r="4612" spans="2:2" s="221" customFormat="1" ht="12.75" x14ac:dyDescent="0.2">
      <c r="B4612" s="1168"/>
    </row>
    <row r="4613" spans="2:2" s="221" customFormat="1" ht="12.75" x14ac:dyDescent="0.2">
      <c r="B4613" s="1168"/>
    </row>
    <row r="4614" spans="2:2" s="221" customFormat="1" ht="12.75" x14ac:dyDescent="0.2">
      <c r="B4614" s="1168"/>
    </row>
    <row r="4615" spans="2:2" s="221" customFormat="1" ht="12.75" x14ac:dyDescent="0.2">
      <c r="B4615" s="1168"/>
    </row>
    <row r="4616" spans="2:2" s="221" customFormat="1" ht="12.75" x14ac:dyDescent="0.2">
      <c r="B4616" s="1168"/>
    </row>
    <row r="4617" spans="2:2" s="221" customFormat="1" ht="12.75" x14ac:dyDescent="0.2">
      <c r="B4617" s="1168"/>
    </row>
    <row r="4618" spans="2:2" s="221" customFormat="1" ht="12.75" x14ac:dyDescent="0.2">
      <c r="B4618" s="1168"/>
    </row>
    <row r="4619" spans="2:2" s="221" customFormat="1" ht="12.75" x14ac:dyDescent="0.2">
      <c r="B4619" s="1168"/>
    </row>
    <row r="4620" spans="2:2" s="221" customFormat="1" ht="12.75" x14ac:dyDescent="0.2">
      <c r="B4620" s="1168"/>
    </row>
    <row r="4621" spans="2:2" s="221" customFormat="1" ht="12.75" x14ac:dyDescent="0.2">
      <c r="B4621" s="1168"/>
    </row>
    <row r="4622" spans="2:2" s="221" customFormat="1" ht="12.75" x14ac:dyDescent="0.2">
      <c r="B4622" s="1168"/>
    </row>
    <row r="4623" spans="2:2" s="221" customFormat="1" ht="12.75" x14ac:dyDescent="0.2">
      <c r="B4623" s="1168"/>
    </row>
    <row r="4624" spans="2:2" s="221" customFormat="1" ht="12.75" x14ac:dyDescent="0.2">
      <c r="B4624" s="1168"/>
    </row>
    <row r="4625" spans="2:2" s="221" customFormat="1" ht="12.75" x14ac:dyDescent="0.2">
      <c r="B4625" s="1168"/>
    </row>
    <row r="4626" spans="2:2" s="221" customFormat="1" ht="12.75" x14ac:dyDescent="0.2">
      <c r="B4626" s="1168"/>
    </row>
    <row r="4627" spans="2:2" s="221" customFormat="1" ht="12.75" x14ac:dyDescent="0.2">
      <c r="B4627" s="1168"/>
    </row>
    <row r="4628" spans="2:2" s="221" customFormat="1" ht="12.75" x14ac:dyDescent="0.2">
      <c r="B4628" s="1168"/>
    </row>
    <row r="4629" spans="2:2" s="221" customFormat="1" ht="12.75" x14ac:dyDescent="0.2">
      <c r="B4629" s="1168"/>
    </row>
    <row r="4630" spans="2:2" s="221" customFormat="1" ht="12.75" x14ac:dyDescent="0.2">
      <c r="B4630" s="1168"/>
    </row>
    <row r="4631" spans="2:2" s="221" customFormat="1" ht="12.75" x14ac:dyDescent="0.2">
      <c r="B4631" s="1168"/>
    </row>
    <row r="4632" spans="2:2" s="221" customFormat="1" ht="12.75" x14ac:dyDescent="0.2">
      <c r="B4632" s="1168"/>
    </row>
    <row r="4633" spans="2:2" s="221" customFormat="1" ht="12.75" x14ac:dyDescent="0.2">
      <c r="B4633" s="1168"/>
    </row>
    <row r="4634" spans="2:2" s="221" customFormat="1" ht="12.75" x14ac:dyDescent="0.2">
      <c r="B4634" s="1168"/>
    </row>
    <row r="4635" spans="2:2" s="221" customFormat="1" ht="12.75" x14ac:dyDescent="0.2">
      <c r="B4635" s="1168"/>
    </row>
    <row r="4636" spans="2:2" s="221" customFormat="1" ht="12.75" x14ac:dyDescent="0.2">
      <c r="B4636" s="1168"/>
    </row>
    <row r="4637" spans="2:2" s="221" customFormat="1" ht="12.75" x14ac:dyDescent="0.2">
      <c r="B4637" s="1168"/>
    </row>
    <row r="4638" spans="2:2" s="221" customFormat="1" ht="12.75" x14ac:dyDescent="0.2">
      <c r="B4638" s="1168"/>
    </row>
    <row r="4639" spans="2:2" s="221" customFormat="1" ht="12.75" x14ac:dyDescent="0.2">
      <c r="B4639" s="1168"/>
    </row>
    <row r="4640" spans="2:2" s="221" customFormat="1" ht="12.75" x14ac:dyDescent="0.2">
      <c r="B4640" s="1168"/>
    </row>
    <row r="4641" spans="2:2" s="221" customFormat="1" ht="12.75" x14ac:dyDescent="0.2">
      <c r="B4641" s="1168"/>
    </row>
    <row r="4642" spans="2:2" s="221" customFormat="1" ht="12.75" x14ac:dyDescent="0.2">
      <c r="B4642" s="1168"/>
    </row>
    <row r="4643" spans="2:2" s="221" customFormat="1" ht="12.75" x14ac:dyDescent="0.2">
      <c r="B4643" s="1168"/>
    </row>
    <row r="4644" spans="2:2" s="221" customFormat="1" ht="12.75" x14ac:dyDescent="0.2">
      <c r="B4644" s="1168"/>
    </row>
    <row r="4645" spans="2:2" s="221" customFormat="1" ht="12.75" x14ac:dyDescent="0.2">
      <c r="B4645" s="1168"/>
    </row>
    <row r="4646" spans="2:2" s="221" customFormat="1" ht="12.75" x14ac:dyDescent="0.2">
      <c r="B4646" s="1168"/>
    </row>
    <row r="4647" spans="2:2" s="221" customFormat="1" ht="12.75" x14ac:dyDescent="0.2">
      <c r="B4647" s="1168"/>
    </row>
    <row r="4648" spans="2:2" s="221" customFormat="1" ht="12.75" x14ac:dyDescent="0.2">
      <c r="B4648" s="1168"/>
    </row>
    <row r="4649" spans="2:2" s="221" customFormat="1" ht="12.75" x14ac:dyDescent="0.2">
      <c r="B4649" s="1168"/>
    </row>
    <row r="4650" spans="2:2" s="221" customFormat="1" ht="12.75" x14ac:dyDescent="0.2">
      <c r="B4650" s="1168"/>
    </row>
    <row r="4651" spans="2:2" s="221" customFormat="1" ht="12.75" x14ac:dyDescent="0.2">
      <c r="B4651" s="1168"/>
    </row>
    <row r="4652" spans="2:2" s="221" customFormat="1" ht="12.75" x14ac:dyDescent="0.2">
      <c r="B4652" s="1168"/>
    </row>
    <row r="4653" spans="2:2" s="221" customFormat="1" ht="12.75" x14ac:dyDescent="0.2">
      <c r="B4653" s="1168"/>
    </row>
    <row r="4654" spans="2:2" s="221" customFormat="1" ht="12.75" x14ac:dyDescent="0.2">
      <c r="B4654" s="1168"/>
    </row>
    <row r="4655" spans="2:2" s="221" customFormat="1" ht="12.75" x14ac:dyDescent="0.2">
      <c r="B4655" s="1168"/>
    </row>
    <row r="4656" spans="2:2" s="221" customFormat="1" ht="12.75" x14ac:dyDescent="0.2">
      <c r="B4656" s="1168"/>
    </row>
    <row r="4657" spans="2:2" s="221" customFormat="1" ht="12.75" x14ac:dyDescent="0.2">
      <c r="B4657" s="1168"/>
    </row>
    <row r="4658" spans="2:2" s="221" customFormat="1" ht="12.75" x14ac:dyDescent="0.2">
      <c r="B4658" s="1168"/>
    </row>
    <row r="4659" spans="2:2" s="221" customFormat="1" ht="12.75" x14ac:dyDescent="0.2">
      <c r="B4659" s="1168"/>
    </row>
    <row r="4660" spans="2:2" s="221" customFormat="1" ht="12.75" x14ac:dyDescent="0.2">
      <c r="B4660" s="1168"/>
    </row>
    <row r="4661" spans="2:2" s="221" customFormat="1" ht="12.75" x14ac:dyDescent="0.2">
      <c r="B4661" s="1168"/>
    </row>
    <row r="4662" spans="2:2" s="221" customFormat="1" ht="12.75" x14ac:dyDescent="0.2">
      <c r="B4662" s="1168"/>
    </row>
    <row r="4663" spans="2:2" s="221" customFormat="1" ht="12.75" x14ac:dyDescent="0.2">
      <c r="B4663" s="1168"/>
    </row>
    <row r="4664" spans="2:2" s="221" customFormat="1" ht="12.75" x14ac:dyDescent="0.2">
      <c r="B4664" s="1168"/>
    </row>
    <row r="4665" spans="2:2" s="221" customFormat="1" ht="12.75" x14ac:dyDescent="0.2">
      <c r="B4665" s="1168"/>
    </row>
    <row r="4666" spans="2:2" s="221" customFormat="1" ht="12.75" x14ac:dyDescent="0.2">
      <c r="B4666" s="1168"/>
    </row>
    <row r="4667" spans="2:2" s="221" customFormat="1" ht="12.75" x14ac:dyDescent="0.2">
      <c r="B4667" s="1168"/>
    </row>
    <row r="4668" spans="2:2" s="221" customFormat="1" ht="12.75" x14ac:dyDescent="0.2">
      <c r="B4668" s="1168"/>
    </row>
    <row r="4669" spans="2:2" s="221" customFormat="1" ht="12.75" x14ac:dyDescent="0.2">
      <c r="B4669" s="1168"/>
    </row>
    <row r="4670" spans="2:2" s="221" customFormat="1" ht="12.75" x14ac:dyDescent="0.2">
      <c r="B4670" s="1168"/>
    </row>
    <row r="4671" spans="2:2" s="221" customFormat="1" ht="12.75" x14ac:dyDescent="0.2">
      <c r="B4671" s="1168"/>
    </row>
    <row r="4672" spans="2:2" s="221" customFormat="1" ht="12.75" x14ac:dyDescent="0.2">
      <c r="B4672" s="1168"/>
    </row>
    <row r="4673" spans="2:2" s="221" customFormat="1" ht="12.75" x14ac:dyDescent="0.2">
      <c r="B4673" s="1168"/>
    </row>
    <row r="4674" spans="2:2" s="221" customFormat="1" ht="12.75" x14ac:dyDescent="0.2">
      <c r="B4674" s="1168"/>
    </row>
    <row r="4675" spans="2:2" s="221" customFormat="1" ht="12.75" x14ac:dyDescent="0.2">
      <c r="B4675" s="1168"/>
    </row>
    <row r="4676" spans="2:2" s="221" customFormat="1" ht="12.75" x14ac:dyDescent="0.2">
      <c r="B4676" s="1168"/>
    </row>
    <row r="4677" spans="2:2" s="221" customFormat="1" ht="12.75" x14ac:dyDescent="0.2">
      <c r="B4677" s="1168"/>
    </row>
    <row r="4678" spans="2:2" s="221" customFormat="1" ht="12.75" x14ac:dyDescent="0.2">
      <c r="B4678" s="1168"/>
    </row>
    <row r="4679" spans="2:2" s="221" customFormat="1" ht="12.75" x14ac:dyDescent="0.2">
      <c r="B4679" s="1168"/>
    </row>
    <row r="4680" spans="2:2" s="221" customFormat="1" ht="12.75" x14ac:dyDescent="0.2">
      <c r="B4680" s="1168"/>
    </row>
    <row r="4681" spans="2:2" s="221" customFormat="1" ht="12.75" x14ac:dyDescent="0.2">
      <c r="B4681" s="1168"/>
    </row>
    <row r="4682" spans="2:2" s="221" customFormat="1" ht="12.75" x14ac:dyDescent="0.2">
      <c r="B4682" s="1168"/>
    </row>
    <row r="4683" spans="2:2" s="221" customFormat="1" ht="12.75" x14ac:dyDescent="0.2">
      <c r="B4683" s="1168"/>
    </row>
    <row r="4684" spans="2:2" s="221" customFormat="1" ht="12.75" x14ac:dyDescent="0.2">
      <c r="B4684" s="1168"/>
    </row>
    <row r="4685" spans="2:2" s="221" customFormat="1" ht="12.75" x14ac:dyDescent="0.2">
      <c r="B4685" s="1168"/>
    </row>
    <row r="4686" spans="2:2" s="221" customFormat="1" ht="12.75" x14ac:dyDescent="0.2">
      <c r="B4686" s="1168"/>
    </row>
    <row r="4687" spans="2:2" s="221" customFormat="1" ht="12.75" x14ac:dyDescent="0.2">
      <c r="B4687" s="1168"/>
    </row>
    <row r="4688" spans="2:2" s="221" customFormat="1" ht="12.75" x14ac:dyDescent="0.2">
      <c r="B4688" s="1168"/>
    </row>
    <row r="4689" spans="2:2" s="221" customFormat="1" ht="12.75" x14ac:dyDescent="0.2">
      <c r="B4689" s="1168"/>
    </row>
    <row r="4690" spans="2:2" s="221" customFormat="1" ht="12.75" x14ac:dyDescent="0.2">
      <c r="B4690" s="1168"/>
    </row>
    <row r="4691" spans="2:2" s="221" customFormat="1" ht="12.75" x14ac:dyDescent="0.2">
      <c r="B4691" s="1168"/>
    </row>
    <row r="4692" spans="2:2" s="221" customFormat="1" ht="12.75" x14ac:dyDescent="0.2">
      <c r="B4692" s="1168"/>
    </row>
    <row r="4693" spans="2:2" s="221" customFormat="1" ht="12.75" x14ac:dyDescent="0.2">
      <c r="B4693" s="1168"/>
    </row>
    <row r="4694" spans="2:2" s="221" customFormat="1" ht="12.75" x14ac:dyDescent="0.2">
      <c r="B4694" s="1168"/>
    </row>
    <row r="4695" spans="2:2" s="221" customFormat="1" ht="12.75" x14ac:dyDescent="0.2">
      <c r="B4695" s="1168"/>
    </row>
    <row r="4696" spans="2:2" s="221" customFormat="1" ht="12.75" x14ac:dyDescent="0.2">
      <c r="B4696" s="1168"/>
    </row>
    <row r="4697" spans="2:2" s="221" customFormat="1" ht="12.75" x14ac:dyDescent="0.2">
      <c r="B4697" s="1168"/>
    </row>
    <row r="4698" spans="2:2" s="221" customFormat="1" ht="12.75" x14ac:dyDescent="0.2">
      <c r="B4698" s="1168"/>
    </row>
    <row r="4699" spans="2:2" s="221" customFormat="1" ht="12.75" x14ac:dyDescent="0.2">
      <c r="B4699" s="1168"/>
    </row>
    <row r="4700" spans="2:2" s="221" customFormat="1" ht="12.75" x14ac:dyDescent="0.2">
      <c r="B4700" s="1168"/>
    </row>
    <row r="4701" spans="2:2" s="221" customFormat="1" ht="12.75" x14ac:dyDescent="0.2">
      <c r="B4701" s="1168"/>
    </row>
    <row r="4702" spans="2:2" s="221" customFormat="1" ht="12.75" x14ac:dyDescent="0.2">
      <c r="B4702" s="1168"/>
    </row>
    <row r="4703" spans="2:2" s="221" customFormat="1" ht="12.75" x14ac:dyDescent="0.2">
      <c r="B4703" s="1168"/>
    </row>
    <row r="4704" spans="2:2" s="221" customFormat="1" ht="12.75" x14ac:dyDescent="0.2">
      <c r="B4704" s="1168"/>
    </row>
    <row r="4705" spans="2:2" s="221" customFormat="1" ht="12.75" x14ac:dyDescent="0.2">
      <c r="B4705" s="1168"/>
    </row>
    <row r="4706" spans="2:2" s="221" customFormat="1" ht="12.75" x14ac:dyDescent="0.2">
      <c r="B4706" s="1168"/>
    </row>
    <row r="4707" spans="2:2" s="221" customFormat="1" ht="12.75" x14ac:dyDescent="0.2">
      <c r="B4707" s="1168"/>
    </row>
    <row r="4708" spans="2:2" s="221" customFormat="1" ht="12.75" x14ac:dyDescent="0.2">
      <c r="B4708" s="1168"/>
    </row>
    <row r="4709" spans="2:2" s="221" customFormat="1" ht="12.75" x14ac:dyDescent="0.2">
      <c r="B4709" s="1168"/>
    </row>
    <row r="4710" spans="2:2" s="221" customFormat="1" ht="12.75" x14ac:dyDescent="0.2">
      <c r="B4710" s="1168"/>
    </row>
    <row r="4711" spans="2:2" s="221" customFormat="1" ht="12.75" x14ac:dyDescent="0.2">
      <c r="B4711" s="1168"/>
    </row>
    <row r="4712" spans="2:2" s="221" customFormat="1" ht="12.75" x14ac:dyDescent="0.2">
      <c r="B4712" s="1168"/>
    </row>
    <row r="4713" spans="2:2" s="221" customFormat="1" ht="12.75" x14ac:dyDescent="0.2">
      <c r="B4713" s="1168"/>
    </row>
    <row r="4714" spans="2:2" s="221" customFormat="1" ht="12.75" x14ac:dyDescent="0.2">
      <c r="B4714" s="1168"/>
    </row>
    <row r="4715" spans="2:2" s="221" customFormat="1" ht="12.75" x14ac:dyDescent="0.2">
      <c r="B4715" s="1168"/>
    </row>
    <row r="4716" spans="2:2" s="221" customFormat="1" ht="12.75" x14ac:dyDescent="0.2">
      <c r="B4716" s="1168"/>
    </row>
    <row r="4717" spans="2:2" s="221" customFormat="1" ht="12.75" x14ac:dyDescent="0.2">
      <c r="B4717" s="1168"/>
    </row>
    <row r="4718" spans="2:2" s="221" customFormat="1" ht="12.75" x14ac:dyDescent="0.2">
      <c r="B4718" s="1168"/>
    </row>
    <row r="4719" spans="2:2" s="221" customFormat="1" ht="12.75" x14ac:dyDescent="0.2">
      <c r="B4719" s="1168"/>
    </row>
    <row r="4720" spans="2:2" s="221" customFormat="1" ht="12.75" x14ac:dyDescent="0.2">
      <c r="B4720" s="1168"/>
    </row>
    <row r="4721" spans="2:2" s="221" customFormat="1" ht="12.75" x14ac:dyDescent="0.2">
      <c r="B4721" s="1168"/>
    </row>
    <row r="4722" spans="2:2" s="221" customFormat="1" ht="12.75" x14ac:dyDescent="0.2">
      <c r="B4722" s="1168"/>
    </row>
    <row r="4723" spans="2:2" s="221" customFormat="1" ht="12.75" x14ac:dyDescent="0.2">
      <c r="B4723" s="1168"/>
    </row>
    <row r="4724" spans="2:2" s="221" customFormat="1" ht="12.75" x14ac:dyDescent="0.2">
      <c r="B4724" s="1168"/>
    </row>
    <row r="4725" spans="2:2" s="221" customFormat="1" ht="12.75" x14ac:dyDescent="0.2">
      <c r="B4725" s="1168"/>
    </row>
    <row r="4726" spans="2:2" s="221" customFormat="1" ht="12.75" x14ac:dyDescent="0.2">
      <c r="B4726" s="1168"/>
    </row>
    <row r="4727" spans="2:2" s="221" customFormat="1" ht="12.75" x14ac:dyDescent="0.2">
      <c r="B4727" s="1168"/>
    </row>
    <row r="4728" spans="2:2" s="221" customFormat="1" ht="12.75" x14ac:dyDescent="0.2">
      <c r="B4728" s="1168"/>
    </row>
    <row r="4729" spans="2:2" s="221" customFormat="1" ht="12.75" x14ac:dyDescent="0.2">
      <c r="B4729" s="1168"/>
    </row>
    <row r="4730" spans="2:2" s="221" customFormat="1" ht="12.75" x14ac:dyDescent="0.2">
      <c r="B4730" s="1168"/>
    </row>
    <row r="4731" spans="2:2" s="221" customFormat="1" ht="12.75" x14ac:dyDescent="0.2">
      <c r="B4731" s="1168"/>
    </row>
    <row r="4732" spans="2:2" s="221" customFormat="1" ht="12.75" x14ac:dyDescent="0.2">
      <c r="B4732" s="1168"/>
    </row>
    <row r="4733" spans="2:2" s="221" customFormat="1" ht="12.75" x14ac:dyDescent="0.2">
      <c r="B4733" s="1168"/>
    </row>
    <row r="4734" spans="2:2" s="221" customFormat="1" ht="12.75" x14ac:dyDescent="0.2">
      <c r="B4734" s="1168"/>
    </row>
    <row r="4735" spans="2:2" s="221" customFormat="1" ht="12.75" x14ac:dyDescent="0.2">
      <c r="B4735" s="1168"/>
    </row>
    <row r="4736" spans="2:2" s="221" customFormat="1" ht="12.75" x14ac:dyDescent="0.2">
      <c r="B4736" s="1168"/>
    </row>
    <row r="4737" spans="2:2" s="221" customFormat="1" ht="12.75" x14ac:dyDescent="0.2">
      <c r="B4737" s="1168"/>
    </row>
    <row r="4738" spans="2:2" s="221" customFormat="1" ht="12.75" x14ac:dyDescent="0.2">
      <c r="B4738" s="1168"/>
    </row>
    <row r="4739" spans="2:2" s="221" customFormat="1" ht="12.75" x14ac:dyDescent="0.2">
      <c r="B4739" s="1168"/>
    </row>
    <row r="4740" spans="2:2" s="221" customFormat="1" ht="12.75" x14ac:dyDescent="0.2">
      <c r="B4740" s="1168"/>
    </row>
    <row r="4741" spans="2:2" s="221" customFormat="1" ht="12.75" x14ac:dyDescent="0.2">
      <c r="B4741" s="1168"/>
    </row>
    <row r="4742" spans="2:2" s="221" customFormat="1" ht="12.75" x14ac:dyDescent="0.2">
      <c r="B4742" s="1168"/>
    </row>
    <row r="4743" spans="2:2" s="221" customFormat="1" ht="12.75" x14ac:dyDescent="0.2">
      <c r="B4743" s="1168"/>
    </row>
    <row r="4744" spans="2:2" s="221" customFormat="1" ht="12.75" x14ac:dyDescent="0.2">
      <c r="B4744" s="1168"/>
    </row>
    <row r="4745" spans="2:2" s="221" customFormat="1" ht="12.75" x14ac:dyDescent="0.2">
      <c r="B4745" s="1168"/>
    </row>
    <row r="4746" spans="2:2" s="221" customFormat="1" ht="12.75" x14ac:dyDescent="0.2">
      <c r="B4746" s="1168"/>
    </row>
    <row r="4747" spans="2:2" s="221" customFormat="1" ht="12.75" x14ac:dyDescent="0.2">
      <c r="B4747" s="1168"/>
    </row>
    <row r="4748" spans="2:2" s="221" customFormat="1" ht="12.75" x14ac:dyDescent="0.2">
      <c r="B4748" s="1168"/>
    </row>
    <row r="4749" spans="2:2" s="221" customFormat="1" ht="12.75" x14ac:dyDescent="0.2">
      <c r="B4749" s="1168"/>
    </row>
    <row r="4750" spans="2:2" s="221" customFormat="1" ht="12.75" x14ac:dyDescent="0.2">
      <c r="B4750" s="1168"/>
    </row>
    <row r="4751" spans="2:2" s="221" customFormat="1" ht="12.75" x14ac:dyDescent="0.2">
      <c r="B4751" s="1168"/>
    </row>
    <row r="4752" spans="2:2" s="221" customFormat="1" ht="12.75" x14ac:dyDescent="0.2">
      <c r="B4752" s="1168"/>
    </row>
    <row r="4753" spans="2:2" s="221" customFormat="1" ht="12.75" x14ac:dyDescent="0.2">
      <c r="B4753" s="1168"/>
    </row>
    <row r="4754" spans="2:2" s="221" customFormat="1" ht="12.75" x14ac:dyDescent="0.2">
      <c r="B4754" s="1168"/>
    </row>
    <row r="4755" spans="2:2" s="221" customFormat="1" ht="12.75" x14ac:dyDescent="0.2">
      <c r="B4755" s="1168"/>
    </row>
    <row r="4756" spans="2:2" s="221" customFormat="1" ht="12.75" x14ac:dyDescent="0.2">
      <c r="B4756" s="1168"/>
    </row>
    <row r="4757" spans="2:2" s="221" customFormat="1" ht="12.75" x14ac:dyDescent="0.2">
      <c r="B4757" s="1168"/>
    </row>
    <row r="4758" spans="2:2" s="221" customFormat="1" ht="12.75" x14ac:dyDescent="0.2">
      <c r="B4758" s="1168"/>
    </row>
    <row r="4759" spans="2:2" s="221" customFormat="1" ht="12.75" x14ac:dyDescent="0.2">
      <c r="B4759" s="1168"/>
    </row>
    <row r="4760" spans="2:2" s="221" customFormat="1" ht="12.75" x14ac:dyDescent="0.2">
      <c r="B4760" s="1168"/>
    </row>
    <row r="4761" spans="2:2" s="221" customFormat="1" ht="12.75" x14ac:dyDescent="0.2">
      <c r="B4761" s="1168"/>
    </row>
    <row r="4762" spans="2:2" s="221" customFormat="1" ht="12.75" x14ac:dyDescent="0.2">
      <c r="B4762" s="1168"/>
    </row>
    <row r="4763" spans="2:2" s="221" customFormat="1" ht="12.75" x14ac:dyDescent="0.2">
      <c r="B4763" s="1168"/>
    </row>
    <row r="4764" spans="2:2" s="221" customFormat="1" ht="12.75" x14ac:dyDescent="0.2">
      <c r="B4764" s="1168"/>
    </row>
    <row r="4765" spans="2:2" s="221" customFormat="1" ht="12.75" x14ac:dyDescent="0.2">
      <c r="B4765" s="1168"/>
    </row>
    <row r="4766" spans="2:2" s="221" customFormat="1" ht="12.75" x14ac:dyDescent="0.2">
      <c r="B4766" s="1168"/>
    </row>
    <row r="4767" spans="2:2" s="221" customFormat="1" ht="12.75" x14ac:dyDescent="0.2">
      <c r="B4767" s="1168"/>
    </row>
    <row r="4768" spans="2:2" s="221" customFormat="1" ht="12.75" x14ac:dyDescent="0.2">
      <c r="B4768" s="1168"/>
    </row>
    <row r="4769" spans="2:2" s="221" customFormat="1" ht="12.75" x14ac:dyDescent="0.2">
      <c r="B4769" s="1168"/>
    </row>
    <row r="4770" spans="2:2" s="221" customFormat="1" ht="12.75" x14ac:dyDescent="0.2">
      <c r="B4770" s="1168"/>
    </row>
    <row r="4771" spans="2:2" s="221" customFormat="1" ht="12.75" x14ac:dyDescent="0.2">
      <c r="B4771" s="1168"/>
    </row>
    <row r="4772" spans="2:2" s="221" customFormat="1" ht="12.75" x14ac:dyDescent="0.2">
      <c r="B4772" s="1168"/>
    </row>
    <row r="4773" spans="2:2" s="221" customFormat="1" ht="12.75" x14ac:dyDescent="0.2">
      <c r="B4773" s="1168"/>
    </row>
    <row r="4774" spans="2:2" s="221" customFormat="1" ht="12.75" x14ac:dyDescent="0.2">
      <c r="B4774" s="1168"/>
    </row>
    <row r="4775" spans="2:2" s="221" customFormat="1" ht="12.75" x14ac:dyDescent="0.2">
      <c r="B4775" s="1168"/>
    </row>
    <row r="4776" spans="2:2" s="221" customFormat="1" ht="12.75" x14ac:dyDescent="0.2">
      <c r="B4776" s="1168"/>
    </row>
    <row r="4777" spans="2:2" s="221" customFormat="1" ht="12.75" x14ac:dyDescent="0.2">
      <c r="B4777" s="1168"/>
    </row>
    <row r="4778" spans="2:2" s="221" customFormat="1" ht="12.75" x14ac:dyDescent="0.2">
      <c r="B4778" s="1168"/>
    </row>
    <row r="4779" spans="2:2" s="221" customFormat="1" ht="12.75" x14ac:dyDescent="0.2">
      <c r="B4779" s="1168"/>
    </row>
    <row r="4780" spans="2:2" s="221" customFormat="1" ht="12.75" x14ac:dyDescent="0.2">
      <c r="B4780" s="1168"/>
    </row>
    <row r="4781" spans="2:2" s="221" customFormat="1" ht="12.75" x14ac:dyDescent="0.2">
      <c r="B4781" s="1168"/>
    </row>
    <row r="4782" spans="2:2" s="221" customFormat="1" ht="12.75" x14ac:dyDescent="0.2">
      <c r="B4782" s="1168"/>
    </row>
    <row r="4783" spans="2:2" s="221" customFormat="1" ht="12.75" x14ac:dyDescent="0.2">
      <c r="B4783" s="1168"/>
    </row>
    <row r="4784" spans="2:2" s="221" customFormat="1" ht="12.75" x14ac:dyDescent="0.2">
      <c r="B4784" s="1168"/>
    </row>
    <row r="4785" spans="2:2" s="221" customFormat="1" ht="12.75" x14ac:dyDescent="0.2">
      <c r="B4785" s="1168"/>
    </row>
    <row r="4786" spans="2:2" s="221" customFormat="1" ht="12.75" x14ac:dyDescent="0.2">
      <c r="B4786" s="1168"/>
    </row>
    <row r="4787" spans="2:2" s="221" customFormat="1" ht="12.75" x14ac:dyDescent="0.2">
      <c r="B4787" s="1168"/>
    </row>
    <row r="4788" spans="2:2" s="221" customFormat="1" ht="12.75" x14ac:dyDescent="0.2">
      <c r="B4788" s="1168"/>
    </row>
    <row r="4789" spans="2:2" s="221" customFormat="1" ht="12.75" x14ac:dyDescent="0.2">
      <c r="B4789" s="1168"/>
    </row>
    <row r="4790" spans="2:2" s="221" customFormat="1" ht="12.75" x14ac:dyDescent="0.2">
      <c r="B4790" s="1168"/>
    </row>
    <row r="4791" spans="2:2" s="221" customFormat="1" ht="12.75" x14ac:dyDescent="0.2">
      <c r="B4791" s="1168"/>
    </row>
    <row r="4792" spans="2:2" s="221" customFormat="1" ht="12.75" x14ac:dyDescent="0.2">
      <c r="B4792" s="1168"/>
    </row>
    <row r="4793" spans="2:2" s="221" customFormat="1" ht="12.75" x14ac:dyDescent="0.2">
      <c r="B4793" s="1168"/>
    </row>
    <row r="4794" spans="2:2" s="221" customFormat="1" ht="12.75" x14ac:dyDescent="0.2">
      <c r="B4794" s="1168"/>
    </row>
    <row r="4795" spans="2:2" s="221" customFormat="1" ht="12.75" x14ac:dyDescent="0.2">
      <c r="B4795" s="1168"/>
    </row>
    <row r="4796" spans="2:2" s="221" customFormat="1" ht="12.75" x14ac:dyDescent="0.2">
      <c r="B4796" s="1168"/>
    </row>
    <row r="4797" spans="2:2" s="221" customFormat="1" ht="12.75" x14ac:dyDescent="0.2">
      <c r="B4797" s="1168"/>
    </row>
    <row r="4798" spans="2:2" s="221" customFormat="1" ht="12.75" x14ac:dyDescent="0.2">
      <c r="B4798" s="1168"/>
    </row>
    <row r="4799" spans="2:2" s="221" customFormat="1" ht="12.75" x14ac:dyDescent="0.2">
      <c r="B4799" s="1168"/>
    </row>
    <row r="4800" spans="2:2" s="221" customFormat="1" ht="12.75" x14ac:dyDescent="0.2">
      <c r="B4800" s="1168"/>
    </row>
    <row r="4801" spans="2:2" s="221" customFormat="1" ht="12.75" x14ac:dyDescent="0.2">
      <c r="B4801" s="1168"/>
    </row>
    <row r="4802" spans="2:2" s="221" customFormat="1" ht="12.75" x14ac:dyDescent="0.2">
      <c r="B4802" s="1168"/>
    </row>
    <row r="4803" spans="2:2" s="221" customFormat="1" ht="12.75" x14ac:dyDescent="0.2">
      <c r="B4803" s="1168"/>
    </row>
    <row r="4804" spans="2:2" s="221" customFormat="1" ht="12.75" x14ac:dyDescent="0.2">
      <c r="B4804" s="1168"/>
    </row>
    <row r="4805" spans="2:2" s="221" customFormat="1" ht="12.75" x14ac:dyDescent="0.2">
      <c r="B4805" s="1168"/>
    </row>
    <row r="4806" spans="2:2" s="221" customFormat="1" ht="12.75" x14ac:dyDescent="0.2">
      <c r="B4806" s="1168"/>
    </row>
    <row r="4807" spans="2:2" s="221" customFormat="1" ht="12.75" x14ac:dyDescent="0.2">
      <c r="B4807" s="1168"/>
    </row>
    <row r="4808" spans="2:2" s="221" customFormat="1" ht="12.75" x14ac:dyDescent="0.2">
      <c r="B4808" s="1168"/>
    </row>
    <row r="4809" spans="2:2" s="221" customFormat="1" ht="12.75" x14ac:dyDescent="0.2">
      <c r="B4809" s="1168"/>
    </row>
    <row r="4810" spans="2:2" s="221" customFormat="1" ht="12.75" x14ac:dyDescent="0.2">
      <c r="B4810" s="1168"/>
    </row>
    <row r="4811" spans="2:2" s="221" customFormat="1" ht="12.75" x14ac:dyDescent="0.2">
      <c r="B4811" s="1168"/>
    </row>
    <row r="4812" spans="2:2" s="221" customFormat="1" ht="12.75" x14ac:dyDescent="0.2">
      <c r="B4812" s="1168"/>
    </row>
    <row r="4813" spans="2:2" s="221" customFormat="1" ht="12.75" x14ac:dyDescent="0.2">
      <c r="B4813" s="1168"/>
    </row>
    <row r="4814" spans="2:2" s="221" customFormat="1" ht="12.75" x14ac:dyDescent="0.2">
      <c r="B4814" s="1168"/>
    </row>
    <row r="4815" spans="2:2" s="221" customFormat="1" ht="12.75" x14ac:dyDescent="0.2">
      <c r="B4815" s="1168"/>
    </row>
    <row r="4816" spans="2:2" s="221" customFormat="1" ht="12.75" x14ac:dyDescent="0.2">
      <c r="B4816" s="1168"/>
    </row>
    <row r="4817" spans="2:2" s="221" customFormat="1" ht="12.75" x14ac:dyDescent="0.2">
      <c r="B4817" s="1168"/>
    </row>
    <row r="4818" spans="2:2" s="221" customFormat="1" ht="12.75" x14ac:dyDescent="0.2">
      <c r="B4818" s="1168"/>
    </row>
    <row r="4819" spans="2:2" s="221" customFormat="1" ht="12.75" x14ac:dyDescent="0.2">
      <c r="B4819" s="1168"/>
    </row>
    <row r="4820" spans="2:2" s="221" customFormat="1" ht="12.75" x14ac:dyDescent="0.2">
      <c r="B4820" s="1168"/>
    </row>
    <row r="4821" spans="2:2" s="221" customFormat="1" ht="12.75" x14ac:dyDescent="0.2">
      <c r="B4821" s="1168"/>
    </row>
    <row r="4822" spans="2:2" s="221" customFormat="1" ht="12.75" x14ac:dyDescent="0.2">
      <c r="B4822" s="1168"/>
    </row>
    <row r="4823" spans="2:2" s="221" customFormat="1" ht="12.75" x14ac:dyDescent="0.2">
      <c r="B4823" s="1168"/>
    </row>
    <row r="4824" spans="2:2" s="221" customFormat="1" ht="12.75" x14ac:dyDescent="0.2">
      <c r="B4824" s="1168"/>
    </row>
    <row r="4825" spans="2:2" s="221" customFormat="1" ht="12.75" x14ac:dyDescent="0.2">
      <c r="B4825" s="1168"/>
    </row>
    <row r="4826" spans="2:2" s="221" customFormat="1" ht="12.75" x14ac:dyDescent="0.2">
      <c r="B4826" s="1168"/>
    </row>
    <row r="4827" spans="2:2" s="221" customFormat="1" ht="12.75" x14ac:dyDescent="0.2">
      <c r="B4827" s="1168"/>
    </row>
    <row r="4828" spans="2:2" s="221" customFormat="1" ht="12.75" x14ac:dyDescent="0.2">
      <c r="B4828" s="1168"/>
    </row>
    <row r="4829" spans="2:2" s="221" customFormat="1" ht="12.75" x14ac:dyDescent="0.2">
      <c r="B4829" s="1168"/>
    </row>
    <row r="4830" spans="2:2" s="221" customFormat="1" ht="12.75" x14ac:dyDescent="0.2">
      <c r="B4830" s="1168"/>
    </row>
    <row r="4831" spans="2:2" s="221" customFormat="1" ht="12.75" x14ac:dyDescent="0.2">
      <c r="B4831" s="1168"/>
    </row>
    <row r="4832" spans="2:2" s="221" customFormat="1" ht="12.75" x14ac:dyDescent="0.2">
      <c r="B4832" s="1168"/>
    </row>
    <row r="4833" spans="2:2" s="221" customFormat="1" ht="12.75" x14ac:dyDescent="0.2">
      <c r="B4833" s="1168"/>
    </row>
    <row r="4834" spans="2:2" s="221" customFormat="1" ht="12.75" x14ac:dyDescent="0.2">
      <c r="B4834" s="1168"/>
    </row>
    <row r="4835" spans="2:2" s="221" customFormat="1" ht="12.75" x14ac:dyDescent="0.2">
      <c r="B4835" s="1168"/>
    </row>
    <row r="4836" spans="2:2" s="221" customFormat="1" ht="12.75" x14ac:dyDescent="0.2">
      <c r="B4836" s="1168"/>
    </row>
    <row r="4837" spans="2:2" s="221" customFormat="1" ht="12.75" x14ac:dyDescent="0.2">
      <c r="B4837" s="1168"/>
    </row>
    <row r="4838" spans="2:2" s="221" customFormat="1" ht="12.75" x14ac:dyDescent="0.2">
      <c r="B4838" s="1168"/>
    </row>
    <row r="4839" spans="2:2" s="221" customFormat="1" ht="12.75" x14ac:dyDescent="0.2">
      <c r="B4839" s="1168"/>
    </row>
    <row r="4840" spans="2:2" s="221" customFormat="1" ht="12.75" x14ac:dyDescent="0.2">
      <c r="B4840" s="1168"/>
    </row>
    <row r="4841" spans="2:2" s="221" customFormat="1" ht="12.75" x14ac:dyDescent="0.2">
      <c r="B4841" s="1168"/>
    </row>
    <row r="4842" spans="2:2" s="221" customFormat="1" ht="12.75" x14ac:dyDescent="0.2">
      <c r="B4842" s="1168"/>
    </row>
    <row r="4843" spans="2:2" s="221" customFormat="1" ht="12.75" x14ac:dyDescent="0.2">
      <c r="B4843" s="1168"/>
    </row>
    <row r="4844" spans="2:2" s="221" customFormat="1" ht="12.75" x14ac:dyDescent="0.2">
      <c r="B4844" s="1168"/>
    </row>
    <row r="4845" spans="2:2" s="221" customFormat="1" ht="12.75" x14ac:dyDescent="0.2">
      <c r="B4845" s="1168"/>
    </row>
    <row r="4846" spans="2:2" s="221" customFormat="1" ht="12.75" x14ac:dyDescent="0.2">
      <c r="B4846" s="1168"/>
    </row>
    <row r="4847" spans="2:2" s="221" customFormat="1" ht="12.75" x14ac:dyDescent="0.2">
      <c r="B4847" s="1168"/>
    </row>
    <row r="4848" spans="2:2" s="221" customFormat="1" ht="12.75" x14ac:dyDescent="0.2">
      <c r="B4848" s="1168"/>
    </row>
    <row r="4849" spans="2:2" s="221" customFormat="1" ht="12.75" x14ac:dyDescent="0.2">
      <c r="B4849" s="1168"/>
    </row>
    <row r="4850" spans="2:2" s="221" customFormat="1" ht="12.75" x14ac:dyDescent="0.2">
      <c r="B4850" s="1168"/>
    </row>
    <row r="4851" spans="2:2" s="221" customFormat="1" ht="12.75" x14ac:dyDescent="0.2">
      <c r="B4851" s="1168"/>
    </row>
    <row r="4852" spans="2:2" s="221" customFormat="1" ht="12.75" x14ac:dyDescent="0.2">
      <c r="B4852" s="1168"/>
    </row>
    <row r="4853" spans="2:2" s="221" customFormat="1" ht="12.75" x14ac:dyDescent="0.2">
      <c r="B4853" s="1168"/>
    </row>
    <row r="4854" spans="2:2" s="221" customFormat="1" ht="12.75" x14ac:dyDescent="0.2">
      <c r="B4854" s="1168"/>
    </row>
    <row r="4855" spans="2:2" s="221" customFormat="1" ht="12.75" x14ac:dyDescent="0.2">
      <c r="B4855" s="1168"/>
    </row>
    <row r="4856" spans="2:2" s="221" customFormat="1" ht="12.75" x14ac:dyDescent="0.2">
      <c r="B4856" s="1168"/>
    </row>
    <row r="4857" spans="2:2" s="221" customFormat="1" ht="12.75" x14ac:dyDescent="0.2">
      <c r="B4857" s="1168"/>
    </row>
    <row r="4858" spans="2:2" s="221" customFormat="1" ht="12.75" x14ac:dyDescent="0.2">
      <c r="B4858" s="1168"/>
    </row>
    <row r="4859" spans="2:2" s="221" customFormat="1" ht="12.75" x14ac:dyDescent="0.2">
      <c r="B4859" s="1168"/>
    </row>
    <row r="4860" spans="2:2" s="221" customFormat="1" ht="12.75" x14ac:dyDescent="0.2">
      <c r="B4860" s="1168"/>
    </row>
    <row r="4861" spans="2:2" s="221" customFormat="1" ht="12.75" x14ac:dyDescent="0.2">
      <c r="B4861" s="1168"/>
    </row>
    <row r="4862" spans="2:2" s="221" customFormat="1" ht="12.75" x14ac:dyDescent="0.2">
      <c r="B4862" s="1168"/>
    </row>
    <row r="4863" spans="2:2" s="221" customFormat="1" ht="12.75" x14ac:dyDescent="0.2">
      <c r="B4863" s="1168"/>
    </row>
    <row r="4864" spans="2:2" s="221" customFormat="1" ht="12.75" x14ac:dyDescent="0.2">
      <c r="B4864" s="1168"/>
    </row>
    <row r="4865" spans="2:2" s="221" customFormat="1" ht="12.75" x14ac:dyDescent="0.2">
      <c r="B4865" s="1168"/>
    </row>
    <row r="4866" spans="2:2" s="221" customFormat="1" ht="12.75" x14ac:dyDescent="0.2">
      <c r="B4866" s="1168"/>
    </row>
    <row r="4867" spans="2:2" s="221" customFormat="1" ht="12.75" x14ac:dyDescent="0.2">
      <c r="B4867" s="1168"/>
    </row>
    <row r="4868" spans="2:2" s="221" customFormat="1" ht="12.75" x14ac:dyDescent="0.2">
      <c r="B4868" s="1168"/>
    </row>
    <row r="4869" spans="2:2" s="221" customFormat="1" ht="12.75" x14ac:dyDescent="0.2">
      <c r="B4869" s="1168"/>
    </row>
    <row r="4870" spans="2:2" s="221" customFormat="1" ht="12.75" x14ac:dyDescent="0.2">
      <c r="B4870" s="1168"/>
    </row>
    <row r="4871" spans="2:2" s="221" customFormat="1" ht="12.75" x14ac:dyDescent="0.2">
      <c r="B4871" s="1168"/>
    </row>
    <row r="4872" spans="2:2" s="221" customFormat="1" ht="12.75" x14ac:dyDescent="0.2">
      <c r="B4872" s="1168"/>
    </row>
    <row r="4873" spans="2:2" s="221" customFormat="1" ht="12.75" x14ac:dyDescent="0.2">
      <c r="B4873" s="1168"/>
    </row>
    <row r="4874" spans="2:2" s="221" customFormat="1" ht="12.75" x14ac:dyDescent="0.2">
      <c r="B4874" s="1168"/>
    </row>
    <row r="4875" spans="2:2" s="221" customFormat="1" ht="12.75" x14ac:dyDescent="0.2">
      <c r="B4875" s="1168"/>
    </row>
    <row r="4876" spans="2:2" s="221" customFormat="1" ht="12.75" x14ac:dyDescent="0.2">
      <c r="B4876" s="1168"/>
    </row>
    <row r="4877" spans="2:2" s="221" customFormat="1" ht="12.75" x14ac:dyDescent="0.2">
      <c r="B4877" s="1168"/>
    </row>
    <row r="4878" spans="2:2" s="221" customFormat="1" ht="12.75" x14ac:dyDescent="0.2">
      <c r="B4878" s="1168"/>
    </row>
    <row r="4879" spans="2:2" s="221" customFormat="1" ht="12.75" x14ac:dyDescent="0.2">
      <c r="B4879" s="1168"/>
    </row>
    <row r="4880" spans="2:2" s="221" customFormat="1" ht="12.75" x14ac:dyDescent="0.2">
      <c r="B4880" s="1168"/>
    </row>
    <row r="4881" spans="2:2" s="221" customFormat="1" ht="12.75" x14ac:dyDescent="0.2">
      <c r="B4881" s="1168"/>
    </row>
    <row r="4882" spans="2:2" s="221" customFormat="1" ht="12.75" x14ac:dyDescent="0.2">
      <c r="B4882" s="1168"/>
    </row>
    <row r="4883" spans="2:2" s="221" customFormat="1" ht="12.75" x14ac:dyDescent="0.2">
      <c r="B4883" s="1168"/>
    </row>
    <row r="4884" spans="2:2" s="221" customFormat="1" ht="12.75" x14ac:dyDescent="0.2">
      <c r="B4884" s="1168"/>
    </row>
    <row r="4885" spans="2:2" s="221" customFormat="1" ht="12.75" x14ac:dyDescent="0.2">
      <c r="B4885" s="1168"/>
    </row>
    <row r="4886" spans="2:2" s="221" customFormat="1" ht="12.75" x14ac:dyDescent="0.2">
      <c r="B4886" s="1168"/>
    </row>
    <row r="4887" spans="2:2" s="221" customFormat="1" ht="12.75" x14ac:dyDescent="0.2">
      <c r="B4887" s="1168"/>
    </row>
    <row r="4888" spans="2:2" s="221" customFormat="1" ht="12.75" x14ac:dyDescent="0.2">
      <c r="B4888" s="1168"/>
    </row>
    <row r="4889" spans="2:2" s="221" customFormat="1" ht="12.75" x14ac:dyDescent="0.2">
      <c r="B4889" s="1168"/>
    </row>
    <row r="4890" spans="2:2" s="221" customFormat="1" ht="12.75" x14ac:dyDescent="0.2">
      <c r="B4890" s="1168"/>
    </row>
    <row r="4891" spans="2:2" s="221" customFormat="1" ht="12.75" x14ac:dyDescent="0.2">
      <c r="B4891" s="1168"/>
    </row>
    <row r="4892" spans="2:2" s="221" customFormat="1" ht="12.75" x14ac:dyDescent="0.2">
      <c r="B4892" s="1168"/>
    </row>
    <row r="4893" spans="2:2" s="221" customFormat="1" ht="12.75" x14ac:dyDescent="0.2">
      <c r="B4893" s="1168"/>
    </row>
    <row r="4894" spans="2:2" s="221" customFormat="1" ht="12.75" x14ac:dyDescent="0.2">
      <c r="B4894" s="1168"/>
    </row>
    <row r="4895" spans="2:2" s="221" customFormat="1" ht="12.75" x14ac:dyDescent="0.2">
      <c r="B4895" s="1168"/>
    </row>
    <row r="4896" spans="2:2" s="221" customFormat="1" ht="12.75" x14ac:dyDescent="0.2">
      <c r="B4896" s="1168"/>
    </row>
    <row r="4897" spans="2:2" s="221" customFormat="1" ht="12.75" x14ac:dyDescent="0.2">
      <c r="B4897" s="1168"/>
    </row>
    <row r="4898" spans="2:2" s="221" customFormat="1" ht="12.75" x14ac:dyDescent="0.2">
      <c r="B4898" s="1168"/>
    </row>
    <row r="4899" spans="2:2" s="221" customFormat="1" ht="12.75" x14ac:dyDescent="0.2">
      <c r="B4899" s="1168"/>
    </row>
    <row r="4900" spans="2:2" s="221" customFormat="1" ht="12.75" x14ac:dyDescent="0.2">
      <c r="B4900" s="1168"/>
    </row>
    <row r="4901" spans="2:2" s="221" customFormat="1" ht="12.75" x14ac:dyDescent="0.2">
      <c r="B4901" s="1168"/>
    </row>
    <row r="4902" spans="2:2" s="221" customFormat="1" ht="12.75" x14ac:dyDescent="0.2">
      <c r="B4902" s="1168"/>
    </row>
    <row r="4903" spans="2:2" s="221" customFormat="1" ht="12.75" x14ac:dyDescent="0.2">
      <c r="B4903" s="1168"/>
    </row>
    <row r="4904" spans="2:2" s="221" customFormat="1" ht="12.75" x14ac:dyDescent="0.2">
      <c r="B4904" s="1168"/>
    </row>
    <row r="4905" spans="2:2" s="221" customFormat="1" ht="12.75" x14ac:dyDescent="0.2">
      <c r="B4905" s="1168"/>
    </row>
    <row r="4906" spans="2:2" s="221" customFormat="1" ht="12.75" x14ac:dyDescent="0.2">
      <c r="B4906" s="1168"/>
    </row>
    <row r="4907" spans="2:2" s="221" customFormat="1" ht="12.75" x14ac:dyDescent="0.2">
      <c r="B4907" s="1168"/>
    </row>
    <row r="4908" spans="2:2" s="221" customFormat="1" ht="12.75" x14ac:dyDescent="0.2">
      <c r="B4908" s="1168"/>
    </row>
    <row r="4909" spans="2:2" s="221" customFormat="1" ht="12.75" x14ac:dyDescent="0.2">
      <c r="B4909" s="1168"/>
    </row>
    <row r="4910" spans="2:2" s="221" customFormat="1" ht="12.75" x14ac:dyDescent="0.2">
      <c r="B4910" s="1168"/>
    </row>
    <row r="4911" spans="2:2" s="221" customFormat="1" ht="12.75" x14ac:dyDescent="0.2">
      <c r="B4911" s="1168"/>
    </row>
    <row r="4912" spans="2:2" s="221" customFormat="1" ht="12.75" x14ac:dyDescent="0.2">
      <c r="B4912" s="1168"/>
    </row>
    <row r="4913" spans="2:2" s="221" customFormat="1" ht="12.75" x14ac:dyDescent="0.2">
      <c r="B4913" s="1168"/>
    </row>
    <row r="4914" spans="2:2" s="221" customFormat="1" ht="12.75" x14ac:dyDescent="0.2">
      <c r="B4914" s="1168"/>
    </row>
    <row r="4915" spans="2:2" s="221" customFormat="1" ht="12.75" x14ac:dyDescent="0.2">
      <c r="B4915" s="1168"/>
    </row>
    <row r="4916" spans="2:2" s="221" customFormat="1" ht="12.75" x14ac:dyDescent="0.2">
      <c r="B4916" s="1168"/>
    </row>
    <row r="4917" spans="2:2" s="221" customFormat="1" ht="12.75" x14ac:dyDescent="0.2">
      <c r="B4917" s="1168"/>
    </row>
    <row r="4918" spans="2:2" s="221" customFormat="1" ht="12.75" x14ac:dyDescent="0.2">
      <c r="B4918" s="1168"/>
    </row>
    <row r="4919" spans="2:2" s="221" customFormat="1" ht="12.75" x14ac:dyDescent="0.2">
      <c r="B4919" s="1168"/>
    </row>
    <row r="4920" spans="2:2" s="221" customFormat="1" ht="12.75" x14ac:dyDescent="0.2">
      <c r="B4920" s="1168"/>
    </row>
    <row r="4921" spans="2:2" s="221" customFormat="1" ht="12.75" x14ac:dyDescent="0.2">
      <c r="B4921" s="1168"/>
    </row>
    <row r="4922" spans="2:2" s="221" customFormat="1" ht="12.75" x14ac:dyDescent="0.2">
      <c r="B4922" s="1168"/>
    </row>
    <row r="4923" spans="2:2" s="221" customFormat="1" ht="12.75" x14ac:dyDescent="0.2">
      <c r="B4923" s="1168"/>
    </row>
    <row r="4924" spans="2:2" s="221" customFormat="1" ht="12.75" x14ac:dyDescent="0.2">
      <c r="B4924" s="1168"/>
    </row>
    <row r="4925" spans="2:2" s="221" customFormat="1" ht="12.75" x14ac:dyDescent="0.2">
      <c r="B4925" s="1168"/>
    </row>
    <row r="4926" spans="2:2" s="221" customFormat="1" ht="12.75" x14ac:dyDescent="0.2">
      <c r="B4926" s="1168"/>
    </row>
    <row r="4927" spans="2:2" s="221" customFormat="1" ht="12.75" x14ac:dyDescent="0.2">
      <c r="B4927" s="1168"/>
    </row>
    <row r="4928" spans="2:2" s="221" customFormat="1" ht="12.75" x14ac:dyDescent="0.2">
      <c r="B4928" s="1168"/>
    </row>
    <row r="4929" spans="2:2" s="221" customFormat="1" ht="12.75" x14ac:dyDescent="0.2">
      <c r="B4929" s="1168"/>
    </row>
    <row r="4930" spans="2:2" s="221" customFormat="1" ht="12.75" x14ac:dyDescent="0.2">
      <c r="B4930" s="1168"/>
    </row>
    <row r="4931" spans="2:2" s="221" customFormat="1" ht="12.75" x14ac:dyDescent="0.2">
      <c r="B4931" s="1168"/>
    </row>
    <row r="4932" spans="2:2" s="221" customFormat="1" ht="12.75" x14ac:dyDescent="0.2">
      <c r="B4932" s="1168"/>
    </row>
    <row r="4933" spans="2:2" s="221" customFormat="1" ht="12.75" x14ac:dyDescent="0.2">
      <c r="B4933" s="1168"/>
    </row>
    <row r="4934" spans="2:2" s="221" customFormat="1" ht="12.75" x14ac:dyDescent="0.2">
      <c r="B4934" s="1168"/>
    </row>
    <row r="4935" spans="2:2" s="221" customFormat="1" ht="12.75" x14ac:dyDescent="0.2">
      <c r="B4935" s="1168"/>
    </row>
    <row r="4936" spans="2:2" s="221" customFormat="1" ht="12.75" x14ac:dyDescent="0.2">
      <c r="B4936" s="1168"/>
    </row>
    <row r="4937" spans="2:2" s="221" customFormat="1" ht="12.75" x14ac:dyDescent="0.2">
      <c r="B4937" s="1168"/>
    </row>
    <row r="4938" spans="2:2" s="221" customFormat="1" ht="12.75" x14ac:dyDescent="0.2">
      <c r="B4938" s="1168"/>
    </row>
    <row r="4939" spans="2:2" s="221" customFormat="1" ht="12.75" x14ac:dyDescent="0.2">
      <c r="B4939" s="1168"/>
    </row>
    <row r="4940" spans="2:2" s="221" customFormat="1" ht="12.75" x14ac:dyDescent="0.2">
      <c r="B4940" s="1168"/>
    </row>
    <row r="4941" spans="2:2" s="221" customFormat="1" ht="12.75" x14ac:dyDescent="0.2">
      <c r="B4941" s="1168"/>
    </row>
    <row r="4942" spans="2:2" s="221" customFormat="1" ht="12.75" x14ac:dyDescent="0.2">
      <c r="B4942" s="1168"/>
    </row>
    <row r="4943" spans="2:2" s="221" customFormat="1" ht="12.75" x14ac:dyDescent="0.2">
      <c r="B4943" s="1168"/>
    </row>
    <row r="4944" spans="2:2" s="221" customFormat="1" ht="12.75" x14ac:dyDescent="0.2">
      <c r="B4944" s="1168"/>
    </row>
    <row r="4945" spans="2:2" s="221" customFormat="1" ht="12.75" x14ac:dyDescent="0.2">
      <c r="B4945" s="1168"/>
    </row>
    <row r="4946" spans="2:2" s="221" customFormat="1" ht="12.75" x14ac:dyDescent="0.2">
      <c r="B4946" s="1168"/>
    </row>
    <row r="4947" spans="2:2" s="221" customFormat="1" ht="12.75" x14ac:dyDescent="0.2">
      <c r="B4947" s="1168"/>
    </row>
    <row r="4948" spans="2:2" s="221" customFormat="1" ht="12.75" x14ac:dyDescent="0.2">
      <c r="B4948" s="1168"/>
    </row>
    <row r="4949" spans="2:2" s="221" customFormat="1" ht="12.75" x14ac:dyDescent="0.2">
      <c r="B4949" s="1168"/>
    </row>
    <row r="4950" spans="2:2" s="221" customFormat="1" ht="12.75" x14ac:dyDescent="0.2">
      <c r="B4950" s="1168"/>
    </row>
    <row r="4951" spans="2:2" s="221" customFormat="1" ht="12.75" x14ac:dyDescent="0.2">
      <c r="B4951" s="1168"/>
    </row>
    <row r="4952" spans="2:2" s="221" customFormat="1" ht="12.75" x14ac:dyDescent="0.2">
      <c r="B4952" s="1168"/>
    </row>
    <row r="4953" spans="2:2" s="221" customFormat="1" ht="12.75" x14ac:dyDescent="0.2">
      <c r="B4953" s="1168"/>
    </row>
    <row r="4954" spans="2:2" s="221" customFormat="1" ht="12.75" x14ac:dyDescent="0.2">
      <c r="B4954" s="1168"/>
    </row>
    <row r="4955" spans="2:2" s="221" customFormat="1" ht="12.75" x14ac:dyDescent="0.2">
      <c r="B4955" s="1168"/>
    </row>
    <row r="4956" spans="2:2" s="221" customFormat="1" ht="12.75" x14ac:dyDescent="0.2">
      <c r="B4956" s="1168"/>
    </row>
    <row r="4957" spans="2:2" s="221" customFormat="1" ht="12.75" x14ac:dyDescent="0.2">
      <c r="B4957" s="1168"/>
    </row>
    <row r="4958" spans="2:2" s="221" customFormat="1" ht="12.75" x14ac:dyDescent="0.2">
      <c r="B4958" s="1168"/>
    </row>
    <row r="4959" spans="2:2" s="221" customFormat="1" ht="12.75" x14ac:dyDescent="0.2">
      <c r="B4959" s="1168"/>
    </row>
    <row r="4960" spans="2:2" s="221" customFormat="1" ht="12.75" x14ac:dyDescent="0.2">
      <c r="B4960" s="1168"/>
    </row>
    <row r="4961" spans="2:2" s="221" customFormat="1" ht="12.75" x14ac:dyDescent="0.2">
      <c r="B4961" s="1168"/>
    </row>
    <row r="4962" spans="2:2" s="221" customFormat="1" ht="12.75" x14ac:dyDescent="0.2">
      <c r="B4962" s="1168"/>
    </row>
    <row r="4963" spans="2:2" s="221" customFormat="1" ht="12.75" x14ac:dyDescent="0.2">
      <c r="B4963" s="1168"/>
    </row>
    <row r="4964" spans="2:2" s="221" customFormat="1" ht="12.75" x14ac:dyDescent="0.2">
      <c r="B4964" s="1168"/>
    </row>
    <row r="4965" spans="2:2" s="221" customFormat="1" ht="12.75" x14ac:dyDescent="0.2">
      <c r="B4965" s="1168"/>
    </row>
    <row r="4966" spans="2:2" s="221" customFormat="1" ht="12.75" x14ac:dyDescent="0.2">
      <c r="B4966" s="1168"/>
    </row>
    <row r="4967" spans="2:2" s="221" customFormat="1" ht="12.75" x14ac:dyDescent="0.2">
      <c r="B4967" s="1168"/>
    </row>
    <row r="4968" spans="2:2" s="221" customFormat="1" ht="12.75" x14ac:dyDescent="0.2">
      <c r="B4968" s="1168"/>
    </row>
    <row r="4969" spans="2:2" s="221" customFormat="1" ht="12.75" x14ac:dyDescent="0.2">
      <c r="B4969" s="1168"/>
    </row>
    <row r="4970" spans="2:2" s="221" customFormat="1" ht="12.75" x14ac:dyDescent="0.2">
      <c r="B4970" s="1168"/>
    </row>
    <row r="4971" spans="2:2" s="221" customFormat="1" ht="12.75" x14ac:dyDescent="0.2">
      <c r="B4971" s="1168"/>
    </row>
    <row r="4972" spans="2:2" s="221" customFormat="1" ht="12.75" x14ac:dyDescent="0.2">
      <c r="B4972" s="1168"/>
    </row>
    <row r="4973" spans="2:2" s="221" customFormat="1" ht="12.75" x14ac:dyDescent="0.2">
      <c r="B4973" s="1168"/>
    </row>
    <row r="4974" spans="2:2" s="221" customFormat="1" ht="12.75" x14ac:dyDescent="0.2">
      <c r="B4974" s="1168"/>
    </row>
    <row r="4975" spans="2:2" s="221" customFormat="1" ht="12.75" x14ac:dyDescent="0.2">
      <c r="B4975" s="1168"/>
    </row>
    <row r="4976" spans="2:2" s="221" customFormat="1" ht="12.75" x14ac:dyDescent="0.2">
      <c r="B4976" s="1168"/>
    </row>
    <row r="4977" spans="2:2" s="221" customFormat="1" ht="12.75" x14ac:dyDescent="0.2">
      <c r="B4977" s="1168"/>
    </row>
    <row r="4978" spans="2:2" s="221" customFormat="1" ht="12.75" x14ac:dyDescent="0.2">
      <c r="B4978" s="1168"/>
    </row>
    <row r="4979" spans="2:2" s="221" customFormat="1" ht="12.75" x14ac:dyDescent="0.2">
      <c r="B4979" s="1168"/>
    </row>
    <row r="4980" spans="2:2" s="221" customFormat="1" ht="12.75" x14ac:dyDescent="0.2">
      <c r="B4980" s="1168"/>
    </row>
    <row r="4981" spans="2:2" s="221" customFormat="1" ht="12.75" x14ac:dyDescent="0.2">
      <c r="B4981" s="1168"/>
    </row>
    <row r="4982" spans="2:2" s="221" customFormat="1" ht="12.75" x14ac:dyDescent="0.2">
      <c r="B4982" s="1168"/>
    </row>
    <row r="4983" spans="2:2" s="221" customFormat="1" ht="12.75" x14ac:dyDescent="0.2">
      <c r="B4983" s="1168"/>
    </row>
    <row r="4984" spans="2:2" s="221" customFormat="1" ht="12.75" x14ac:dyDescent="0.2">
      <c r="B4984" s="1168"/>
    </row>
    <row r="4985" spans="2:2" s="221" customFormat="1" ht="12.75" x14ac:dyDescent="0.2">
      <c r="B4985" s="1168"/>
    </row>
    <row r="4986" spans="2:2" s="221" customFormat="1" ht="12.75" x14ac:dyDescent="0.2">
      <c r="B4986" s="1168"/>
    </row>
    <row r="4987" spans="2:2" s="221" customFormat="1" ht="12.75" x14ac:dyDescent="0.2">
      <c r="B4987" s="1168"/>
    </row>
    <row r="4988" spans="2:2" s="221" customFormat="1" ht="12.75" x14ac:dyDescent="0.2">
      <c r="B4988" s="1168"/>
    </row>
    <row r="4989" spans="2:2" s="221" customFormat="1" ht="12.75" x14ac:dyDescent="0.2">
      <c r="B4989" s="1168"/>
    </row>
    <row r="4990" spans="2:2" s="221" customFormat="1" ht="12.75" x14ac:dyDescent="0.2">
      <c r="B4990" s="1168"/>
    </row>
    <row r="4991" spans="2:2" s="221" customFormat="1" ht="12.75" x14ac:dyDescent="0.2">
      <c r="B4991" s="1168"/>
    </row>
    <row r="4992" spans="2:2" s="221" customFormat="1" ht="12.75" x14ac:dyDescent="0.2">
      <c r="B4992" s="1168"/>
    </row>
    <row r="4993" spans="2:2" s="221" customFormat="1" ht="12.75" x14ac:dyDescent="0.2">
      <c r="B4993" s="1168"/>
    </row>
    <row r="4994" spans="2:2" s="221" customFormat="1" ht="12.75" x14ac:dyDescent="0.2">
      <c r="B4994" s="1168"/>
    </row>
    <row r="4995" spans="2:2" s="221" customFormat="1" ht="12.75" x14ac:dyDescent="0.2">
      <c r="B4995" s="1168"/>
    </row>
    <row r="4996" spans="2:2" s="221" customFormat="1" ht="12.75" x14ac:dyDescent="0.2">
      <c r="B4996" s="1168"/>
    </row>
    <row r="4997" spans="2:2" s="221" customFormat="1" ht="12.75" x14ac:dyDescent="0.2">
      <c r="B4997" s="1168"/>
    </row>
    <row r="4998" spans="2:2" s="221" customFormat="1" ht="12.75" x14ac:dyDescent="0.2">
      <c r="B4998" s="1168"/>
    </row>
    <row r="4999" spans="2:2" s="221" customFormat="1" ht="12.75" x14ac:dyDescent="0.2">
      <c r="B4999" s="1168"/>
    </row>
    <row r="5000" spans="2:2" s="221" customFormat="1" ht="12.75" x14ac:dyDescent="0.2">
      <c r="B5000" s="1168"/>
    </row>
    <row r="5001" spans="2:2" s="221" customFormat="1" ht="12.75" x14ac:dyDescent="0.2">
      <c r="B5001" s="1168"/>
    </row>
    <row r="5002" spans="2:2" s="221" customFormat="1" ht="12.75" x14ac:dyDescent="0.2">
      <c r="B5002" s="1168"/>
    </row>
    <row r="5003" spans="2:2" s="221" customFormat="1" ht="12.75" x14ac:dyDescent="0.2">
      <c r="B5003" s="1168"/>
    </row>
    <row r="5004" spans="2:2" s="221" customFormat="1" ht="12.75" x14ac:dyDescent="0.2">
      <c r="B5004" s="1168"/>
    </row>
    <row r="5005" spans="2:2" s="221" customFormat="1" ht="12.75" x14ac:dyDescent="0.2">
      <c r="B5005" s="1168"/>
    </row>
    <row r="5006" spans="2:2" s="221" customFormat="1" ht="12.75" x14ac:dyDescent="0.2">
      <c r="B5006" s="1168"/>
    </row>
    <row r="5007" spans="2:2" s="221" customFormat="1" ht="12.75" x14ac:dyDescent="0.2">
      <c r="B5007" s="1168"/>
    </row>
    <row r="5008" spans="2:2" s="221" customFormat="1" ht="12.75" x14ac:dyDescent="0.2">
      <c r="B5008" s="1168"/>
    </row>
    <row r="5009" spans="2:2" s="221" customFormat="1" ht="12.75" x14ac:dyDescent="0.2">
      <c r="B5009" s="1168"/>
    </row>
    <row r="5010" spans="2:2" s="221" customFormat="1" ht="12.75" x14ac:dyDescent="0.2">
      <c r="B5010" s="1168"/>
    </row>
    <row r="5011" spans="2:2" s="221" customFormat="1" ht="12.75" x14ac:dyDescent="0.2">
      <c r="B5011" s="1168"/>
    </row>
    <row r="5012" spans="2:2" s="221" customFormat="1" ht="12.75" x14ac:dyDescent="0.2">
      <c r="B5012" s="1168"/>
    </row>
    <row r="5013" spans="2:2" s="221" customFormat="1" ht="12.75" x14ac:dyDescent="0.2">
      <c r="B5013" s="1168"/>
    </row>
    <row r="5014" spans="2:2" s="221" customFormat="1" ht="12.75" x14ac:dyDescent="0.2">
      <c r="B5014" s="1168"/>
    </row>
    <row r="5015" spans="2:2" s="221" customFormat="1" ht="12.75" x14ac:dyDescent="0.2">
      <c r="B5015" s="1168"/>
    </row>
    <row r="5016" spans="2:2" s="221" customFormat="1" ht="12.75" x14ac:dyDescent="0.2">
      <c r="B5016" s="1168"/>
    </row>
    <row r="5017" spans="2:2" s="221" customFormat="1" ht="12.75" x14ac:dyDescent="0.2">
      <c r="B5017" s="1168"/>
    </row>
    <row r="5018" spans="2:2" s="221" customFormat="1" ht="12.75" x14ac:dyDescent="0.2">
      <c r="B5018" s="1168"/>
    </row>
    <row r="5019" spans="2:2" s="221" customFormat="1" ht="12.75" x14ac:dyDescent="0.2">
      <c r="B5019" s="1168"/>
    </row>
    <row r="5020" spans="2:2" s="221" customFormat="1" ht="12.75" x14ac:dyDescent="0.2">
      <c r="B5020" s="1168"/>
    </row>
    <row r="5021" spans="2:2" s="221" customFormat="1" ht="12.75" x14ac:dyDescent="0.2">
      <c r="B5021" s="1168"/>
    </row>
    <row r="5022" spans="2:2" s="221" customFormat="1" ht="12.75" x14ac:dyDescent="0.2">
      <c r="B5022" s="1168"/>
    </row>
    <row r="5023" spans="2:2" s="221" customFormat="1" ht="12.75" x14ac:dyDescent="0.2">
      <c r="B5023" s="1168"/>
    </row>
    <row r="5024" spans="2:2" s="221" customFormat="1" ht="12.75" x14ac:dyDescent="0.2">
      <c r="B5024" s="1168"/>
    </row>
    <row r="5025" spans="2:2" s="221" customFormat="1" ht="12.75" x14ac:dyDescent="0.2">
      <c r="B5025" s="1168"/>
    </row>
    <row r="5026" spans="2:2" s="221" customFormat="1" ht="12.75" x14ac:dyDescent="0.2">
      <c r="B5026" s="1168"/>
    </row>
    <row r="5027" spans="2:2" s="221" customFormat="1" ht="12.75" x14ac:dyDescent="0.2">
      <c r="B5027" s="1168"/>
    </row>
    <row r="5028" spans="2:2" s="221" customFormat="1" ht="12.75" x14ac:dyDescent="0.2">
      <c r="B5028" s="1168"/>
    </row>
    <row r="5029" spans="2:2" s="221" customFormat="1" ht="12.75" x14ac:dyDescent="0.2">
      <c r="B5029" s="1168"/>
    </row>
    <row r="5030" spans="2:2" s="221" customFormat="1" ht="12.75" x14ac:dyDescent="0.2">
      <c r="B5030" s="1168"/>
    </row>
    <row r="5031" spans="2:2" s="221" customFormat="1" ht="12.75" x14ac:dyDescent="0.2">
      <c r="B5031" s="1168"/>
    </row>
    <row r="5032" spans="2:2" s="221" customFormat="1" ht="12.75" x14ac:dyDescent="0.2">
      <c r="B5032" s="1168"/>
    </row>
    <row r="5033" spans="2:2" s="221" customFormat="1" ht="12.75" x14ac:dyDescent="0.2">
      <c r="B5033" s="1168"/>
    </row>
    <row r="5034" spans="2:2" s="221" customFormat="1" ht="12.75" x14ac:dyDescent="0.2">
      <c r="B5034" s="1168"/>
    </row>
    <row r="5035" spans="2:2" s="221" customFormat="1" ht="12.75" x14ac:dyDescent="0.2">
      <c r="B5035" s="1168"/>
    </row>
    <row r="5036" spans="2:2" s="221" customFormat="1" ht="12.75" x14ac:dyDescent="0.2">
      <c r="B5036" s="1168"/>
    </row>
    <row r="5037" spans="2:2" s="221" customFormat="1" ht="12.75" x14ac:dyDescent="0.2">
      <c r="B5037" s="1168"/>
    </row>
    <row r="5038" spans="2:2" s="221" customFormat="1" ht="12.75" x14ac:dyDescent="0.2">
      <c r="B5038" s="1168"/>
    </row>
    <row r="5039" spans="2:2" s="221" customFormat="1" ht="12.75" x14ac:dyDescent="0.2">
      <c r="B5039" s="1168"/>
    </row>
    <row r="5040" spans="2:2" s="221" customFormat="1" ht="12.75" x14ac:dyDescent="0.2">
      <c r="B5040" s="1168"/>
    </row>
    <row r="5041" spans="2:2" s="221" customFormat="1" ht="12.75" x14ac:dyDescent="0.2">
      <c r="B5041" s="1168"/>
    </row>
    <row r="5042" spans="2:2" s="221" customFormat="1" ht="12.75" x14ac:dyDescent="0.2">
      <c r="B5042" s="1168"/>
    </row>
    <row r="5043" spans="2:2" s="221" customFormat="1" ht="12.75" x14ac:dyDescent="0.2">
      <c r="B5043" s="1168"/>
    </row>
    <row r="5044" spans="2:2" s="221" customFormat="1" ht="12.75" x14ac:dyDescent="0.2">
      <c r="B5044" s="1168"/>
    </row>
    <row r="5045" spans="2:2" s="221" customFormat="1" ht="12.75" x14ac:dyDescent="0.2">
      <c r="B5045" s="1168"/>
    </row>
    <row r="5046" spans="2:2" s="221" customFormat="1" ht="12.75" x14ac:dyDescent="0.2">
      <c r="B5046" s="1168"/>
    </row>
    <row r="5047" spans="2:2" s="221" customFormat="1" ht="12.75" x14ac:dyDescent="0.2">
      <c r="B5047" s="1168"/>
    </row>
    <row r="5048" spans="2:2" s="221" customFormat="1" ht="12.75" x14ac:dyDescent="0.2">
      <c r="B5048" s="1168"/>
    </row>
    <row r="5049" spans="2:2" s="221" customFormat="1" ht="12.75" x14ac:dyDescent="0.2">
      <c r="B5049" s="1168"/>
    </row>
    <row r="5050" spans="2:2" s="221" customFormat="1" ht="12.75" x14ac:dyDescent="0.2">
      <c r="B5050" s="1168"/>
    </row>
    <row r="5051" spans="2:2" s="221" customFormat="1" ht="12.75" x14ac:dyDescent="0.2">
      <c r="B5051" s="1168"/>
    </row>
    <row r="5052" spans="2:2" s="221" customFormat="1" ht="12.75" x14ac:dyDescent="0.2">
      <c r="B5052" s="1168"/>
    </row>
    <row r="5053" spans="2:2" s="221" customFormat="1" ht="12.75" x14ac:dyDescent="0.2">
      <c r="B5053" s="1168"/>
    </row>
    <row r="5054" spans="2:2" s="221" customFormat="1" ht="12.75" x14ac:dyDescent="0.2">
      <c r="B5054" s="1168"/>
    </row>
    <row r="5055" spans="2:2" s="221" customFormat="1" ht="12.75" x14ac:dyDescent="0.2">
      <c r="B5055" s="1168"/>
    </row>
    <row r="5056" spans="2:2" s="221" customFormat="1" ht="12.75" x14ac:dyDescent="0.2">
      <c r="B5056" s="1168"/>
    </row>
    <row r="5057" spans="2:2" s="221" customFormat="1" ht="12.75" x14ac:dyDescent="0.2">
      <c r="B5057" s="1168"/>
    </row>
    <row r="5058" spans="2:2" s="221" customFormat="1" ht="12.75" x14ac:dyDescent="0.2">
      <c r="B5058" s="1168"/>
    </row>
    <row r="5059" spans="2:2" s="221" customFormat="1" ht="12.75" x14ac:dyDescent="0.2">
      <c r="B5059" s="1168"/>
    </row>
    <row r="5060" spans="2:2" s="221" customFormat="1" ht="12.75" x14ac:dyDescent="0.2">
      <c r="B5060" s="1168"/>
    </row>
    <row r="5061" spans="2:2" s="221" customFormat="1" ht="12.75" x14ac:dyDescent="0.2">
      <c r="B5061" s="1168"/>
    </row>
    <row r="5062" spans="2:2" s="221" customFormat="1" ht="12.75" x14ac:dyDescent="0.2">
      <c r="B5062" s="1168"/>
    </row>
    <row r="5063" spans="2:2" s="221" customFormat="1" ht="12.75" x14ac:dyDescent="0.2">
      <c r="B5063" s="1168"/>
    </row>
    <row r="5064" spans="2:2" s="221" customFormat="1" ht="12.75" x14ac:dyDescent="0.2">
      <c r="B5064" s="1168"/>
    </row>
    <row r="5065" spans="2:2" s="221" customFormat="1" ht="12.75" x14ac:dyDescent="0.2">
      <c r="B5065" s="1168"/>
    </row>
    <row r="5066" spans="2:2" s="221" customFormat="1" ht="12.75" x14ac:dyDescent="0.2">
      <c r="B5066" s="1168"/>
    </row>
    <row r="5067" spans="2:2" s="221" customFormat="1" ht="12.75" x14ac:dyDescent="0.2">
      <c r="B5067" s="1168"/>
    </row>
    <row r="5068" spans="2:2" s="221" customFormat="1" ht="12.75" x14ac:dyDescent="0.2">
      <c r="B5068" s="1168"/>
    </row>
    <row r="5069" spans="2:2" s="221" customFormat="1" ht="12.75" x14ac:dyDescent="0.2">
      <c r="B5069" s="1168"/>
    </row>
    <row r="5070" spans="2:2" s="221" customFormat="1" ht="12.75" x14ac:dyDescent="0.2">
      <c r="B5070" s="1168"/>
    </row>
    <row r="5071" spans="2:2" s="221" customFormat="1" ht="12.75" x14ac:dyDescent="0.2">
      <c r="B5071" s="1168"/>
    </row>
    <row r="5072" spans="2:2" s="221" customFormat="1" ht="12.75" x14ac:dyDescent="0.2">
      <c r="B5072" s="1168"/>
    </row>
    <row r="5073" spans="2:2" s="221" customFormat="1" ht="12.75" x14ac:dyDescent="0.2">
      <c r="B5073" s="1168"/>
    </row>
    <row r="5074" spans="2:2" s="221" customFormat="1" ht="12.75" x14ac:dyDescent="0.2">
      <c r="B5074" s="1168"/>
    </row>
    <row r="5075" spans="2:2" s="221" customFormat="1" ht="12.75" x14ac:dyDescent="0.2">
      <c r="B5075" s="1168"/>
    </row>
    <row r="5076" spans="2:2" s="221" customFormat="1" ht="12.75" x14ac:dyDescent="0.2">
      <c r="B5076" s="1168"/>
    </row>
    <row r="5077" spans="2:2" s="221" customFormat="1" ht="12.75" x14ac:dyDescent="0.2">
      <c r="B5077" s="1168"/>
    </row>
    <row r="5078" spans="2:2" s="221" customFormat="1" ht="12.75" x14ac:dyDescent="0.2">
      <c r="B5078" s="1168"/>
    </row>
    <row r="5079" spans="2:2" s="221" customFormat="1" ht="12.75" x14ac:dyDescent="0.2">
      <c r="B5079" s="1168"/>
    </row>
    <row r="5080" spans="2:2" s="221" customFormat="1" ht="12.75" x14ac:dyDescent="0.2">
      <c r="B5080" s="1168"/>
    </row>
    <row r="5081" spans="2:2" s="221" customFormat="1" ht="12.75" x14ac:dyDescent="0.2">
      <c r="B5081" s="1168"/>
    </row>
    <row r="5082" spans="2:2" s="221" customFormat="1" ht="12.75" x14ac:dyDescent="0.2">
      <c r="B5082" s="1168"/>
    </row>
    <row r="5083" spans="2:2" s="221" customFormat="1" ht="12.75" x14ac:dyDescent="0.2">
      <c r="B5083" s="1168"/>
    </row>
    <row r="5084" spans="2:2" s="221" customFormat="1" ht="12.75" x14ac:dyDescent="0.2">
      <c r="B5084" s="1168"/>
    </row>
    <row r="5085" spans="2:2" s="221" customFormat="1" ht="12.75" x14ac:dyDescent="0.2">
      <c r="B5085" s="1168"/>
    </row>
    <row r="5086" spans="2:2" s="221" customFormat="1" ht="12.75" x14ac:dyDescent="0.2">
      <c r="B5086" s="1168"/>
    </row>
    <row r="5087" spans="2:2" s="221" customFormat="1" ht="12.75" x14ac:dyDescent="0.2">
      <c r="B5087" s="1168"/>
    </row>
    <row r="5088" spans="2:2" s="221" customFormat="1" ht="12.75" x14ac:dyDescent="0.2">
      <c r="B5088" s="1168"/>
    </row>
    <row r="5089" spans="2:2" s="221" customFormat="1" ht="12.75" x14ac:dyDescent="0.2">
      <c r="B5089" s="1168"/>
    </row>
    <row r="5090" spans="2:2" s="221" customFormat="1" ht="12.75" x14ac:dyDescent="0.2">
      <c r="B5090" s="1168"/>
    </row>
    <row r="5091" spans="2:2" s="221" customFormat="1" ht="12.75" x14ac:dyDescent="0.2">
      <c r="B5091" s="1168"/>
    </row>
    <row r="5092" spans="2:2" s="221" customFormat="1" ht="12.75" x14ac:dyDescent="0.2">
      <c r="B5092" s="1168"/>
    </row>
    <row r="5093" spans="2:2" s="221" customFormat="1" ht="12.75" x14ac:dyDescent="0.2">
      <c r="B5093" s="1168"/>
    </row>
    <row r="5094" spans="2:2" s="221" customFormat="1" ht="12.75" x14ac:dyDescent="0.2">
      <c r="B5094" s="1168"/>
    </row>
    <row r="5095" spans="2:2" s="221" customFormat="1" ht="12.75" x14ac:dyDescent="0.2">
      <c r="B5095" s="1168"/>
    </row>
    <row r="5096" spans="2:2" s="221" customFormat="1" ht="12.75" x14ac:dyDescent="0.2">
      <c r="B5096" s="1168"/>
    </row>
    <row r="5097" spans="2:2" s="221" customFormat="1" ht="12.75" x14ac:dyDescent="0.2">
      <c r="B5097" s="1168"/>
    </row>
    <row r="5098" spans="2:2" s="221" customFormat="1" ht="12.75" x14ac:dyDescent="0.2">
      <c r="B5098" s="1168"/>
    </row>
    <row r="5099" spans="2:2" s="221" customFormat="1" ht="12.75" x14ac:dyDescent="0.2">
      <c r="B5099" s="1168"/>
    </row>
    <row r="5100" spans="2:2" s="221" customFormat="1" ht="12.75" x14ac:dyDescent="0.2">
      <c r="B5100" s="1168"/>
    </row>
    <row r="5101" spans="2:2" s="221" customFormat="1" ht="12.75" x14ac:dyDescent="0.2">
      <c r="B5101" s="1168"/>
    </row>
    <row r="5102" spans="2:2" s="221" customFormat="1" ht="12.75" x14ac:dyDescent="0.2">
      <c r="B5102" s="1168"/>
    </row>
    <row r="5103" spans="2:2" s="221" customFormat="1" ht="12.75" x14ac:dyDescent="0.2">
      <c r="B5103" s="1168"/>
    </row>
    <row r="5104" spans="2:2" s="221" customFormat="1" ht="12.75" x14ac:dyDescent="0.2">
      <c r="B5104" s="1168"/>
    </row>
    <row r="5105" spans="2:2" s="221" customFormat="1" ht="12.75" x14ac:dyDescent="0.2">
      <c r="B5105" s="1168"/>
    </row>
    <row r="5106" spans="2:2" s="221" customFormat="1" ht="12.75" x14ac:dyDescent="0.2">
      <c r="B5106" s="1168"/>
    </row>
    <row r="5107" spans="2:2" s="221" customFormat="1" ht="12.75" x14ac:dyDescent="0.2">
      <c r="B5107" s="1168"/>
    </row>
    <row r="5108" spans="2:2" s="221" customFormat="1" ht="12.75" x14ac:dyDescent="0.2">
      <c r="B5108" s="1168"/>
    </row>
    <row r="5109" spans="2:2" s="221" customFormat="1" ht="12.75" x14ac:dyDescent="0.2">
      <c r="B5109" s="1168"/>
    </row>
    <row r="5110" spans="2:2" s="221" customFormat="1" ht="12.75" x14ac:dyDescent="0.2">
      <c r="B5110" s="1168"/>
    </row>
    <row r="5111" spans="2:2" s="221" customFormat="1" ht="12.75" x14ac:dyDescent="0.2">
      <c r="B5111" s="1168"/>
    </row>
    <row r="5112" spans="2:2" s="221" customFormat="1" ht="12.75" x14ac:dyDescent="0.2">
      <c r="B5112" s="1168"/>
    </row>
    <row r="5113" spans="2:2" s="221" customFormat="1" ht="12.75" x14ac:dyDescent="0.2">
      <c r="B5113" s="1168"/>
    </row>
    <row r="5114" spans="2:2" s="221" customFormat="1" ht="12.75" x14ac:dyDescent="0.2">
      <c r="B5114" s="1168"/>
    </row>
    <row r="5115" spans="2:2" s="221" customFormat="1" ht="12.75" x14ac:dyDescent="0.2">
      <c r="B5115" s="1168"/>
    </row>
    <row r="5116" spans="2:2" s="221" customFormat="1" ht="12.75" x14ac:dyDescent="0.2">
      <c r="B5116" s="1168"/>
    </row>
    <row r="5117" spans="2:2" s="221" customFormat="1" ht="12.75" x14ac:dyDescent="0.2">
      <c r="B5117" s="1168"/>
    </row>
    <row r="5118" spans="2:2" s="221" customFormat="1" ht="12.75" x14ac:dyDescent="0.2">
      <c r="B5118" s="1168"/>
    </row>
    <row r="5119" spans="2:2" s="221" customFormat="1" ht="12.75" x14ac:dyDescent="0.2">
      <c r="B5119" s="1168"/>
    </row>
    <row r="5120" spans="2:2" s="221" customFormat="1" ht="12.75" x14ac:dyDescent="0.2">
      <c r="B5120" s="1168"/>
    </row>
    <row r="5121" spans="2:2" s="221" customFormat="1" ht="12.75" x14ac:dyDescent="0.2">
      <c r="B5121" s="1168"/>
    </row>
    <row r="5122" spans="2:2" s="221" customFormat="1" ht="12.75" x14ac:dyDescent="0.2">
      <c r="B5122" s="1168"/>
    </row>
    <row r="5123" spans="2:2" s="221" customFormat="1" ht="12.75" x14ac:dyDescent="0.2">
      <c r="B5123" s="1168"/>
    </row>
    <row r="5124" spans="2:2" s="221" customFormat="1" ht="12.75" x14ac:dyDescent="0.2">
      <c r="B5124" s="1168"/>
    </row>
    <row r="5125" spans="2:2" s="221" customFormat="1" ht="12.75" x14ac:dyDescent="0.2">
      <c r="B5125" s="1168"/>
    </row>
    <row r="5126" spans="2:2" s="221" customFormat="1" ht="12.75" x14ac:dyDescent="0.2">
      <c r="B5126" s="1168"/>
    </row>
    <row r="5127" spans="2:2" s="221" customFormat="1" ht="12.75" x14ac:dyDescent="0.2">
      <c r="B5127" s="1168"/>
    </row>
    <row r="5128" spans="2:2" s="221" customFormat="1" ht="12.75" x14ac:dyDescent="0.2">
      <c r="B5128" s="1168"/>
    </row>
    <row r="5129" spans="2:2" s="221" customFormat="1" ht="12.75" x14ac:dyDescent="0.2">
      <c r="B5129" s="1168"/>
    </row>
    <row r="5130" spans="2:2" s="221" customFormat="1" ht="12.75" x14ac:dyDescent="0.2">
      <c r="B5130" s="1168"/>
    </row>
    <row r="5131" spans="2:2" s="221" customFormat="1" ht="12.75" x14ac:dyDescent="0.2">
      <c r="B5131" s="1168"/>
    </row>
    <row r="5132" spans="2:2" s="221" customFormat="1" ht="12.75" x14ac:dyDescent="0.2">
      <c r="B5132" s="1168"/>
    </row>
    <row r="5133" spans="2:2" s="221" customFormat="1" ht="12.75" x14ac:dyDescent="0.2">
      <c r="B5133" s="1168"/>
    </row>
    <row r="5134" spans="2:2" s="221" customFormat="1" ht="12.75" x14ac:dyDescent="0.2">
      <c r="B5134" s="1168"/>
    </row>
    <row r="5135" spans="2:2" s="221" customFormat="1" ht="12.75" x14ac:dyDescent="0.2">
      <c r="B5135" s="1168"/>
    </row>
    <row r="5136" spans="2:2" s="221" customFormat="1" ht="12.75" x14ac:dyDescent="0.2">
      <c r="B5136" s="1168"/>
    </row>
    <row r="5137" spans="2:2" s="221" customFormat="1" ht="12.75" x14ac:dyDescent="0.2">
      <c r="B5137" s="1168"/>
    </row>
    <row r="5138" spans="2:2" s="221" customFormat="1" ht="12.75" x14ac:dyDescent="0.2">
      <c r="B5138" s="1168"/>
    </row>
    <row r="5139" spans="2:2" s="221" customFormat="1" ht="12.75" x14ac:dyDescent="0.2">
      <c r="B5139" s="1168"/>
    </row>
    <row r="5140" spans="2:2" s="221" customFormat="1" ht="12.75" x14ac:dyDescent="0.2">
      <c r="B5140" s="1168"/>
    </row>
    <row r="5141" spans="2:2" s="221" customFormat="1" ht="12.75" x14ac:dyDescent="0.2">
      <c r="B5141" s="1168"/>
    </row>
    <row r="5142" spans="2:2" s="221" customFormat="1" ht="12.75" x14ac:dyDescent="0.2">
      <c r="B5142" s="1168"/>
    </row>
    <row r="5143" spans="2:2" s="221" customFormat="1" ht="12.75" x14ac:dyDescent="0.2">
      <c r="B5143" s="1168"/>
    </row>
    <row r="5144" spans="2:2" s="221" customFormat="1" ht="12.75" x14ac:dyDescent="0.2">
      <c r="B5144" s="1168"/>
    </row>
    <row r="5145" spans="2:2" s="221" customFormat="1" ht="12.75" x14ac:dyDescent="0.2">
      <c r="B5145" s="1168"/>
    </row>
    <row r="5146" spans="2:2" s="221" customFormat="1" ht="12.75" x14ac:dyDescent="0.2">
      <c r="B5146" s="1168"/>
    </row>
    <row r="5147" spans="2:2" s="221" customFormat="1" ht="12.75" x14ac:dyDescent="0.2">
      <c r="B5147" s="1168"/>
    </row>
    <row r="5148" spans="2:2" s="221" customFormat="1" ht="12.75" x14ac:dyDescent="0.2">
      <c r="B5148" s="1168"/>
    </row>
    <row r="5149" spans="2:2" s="221" customFormat="1" ht="12.75" x14ac:dyDescent="0.2">
      <c r="B5149" s="1168"/>
    </row>
    <row r="5150" spans="2:2" s="221" customFormat="1" ht="12.75" x14ac:dyDescent="0.2">
      <c r="B5150" s="1168"/>
    </row>
    <row r="5151" spans="2:2" s="221" customFormat="1" ht="12.75" x14ac:dyDescent="0.2">
      <c r="B5151" s="1168"/>
    </row>
    <row r="5152" spans="2:2" s="221" customFormat="1" ht="12.75" x14ac:dyDescent="0.2">
      <c r="B5152" s="1168"/>
    </row>
    <row r="5153" spans="2:2" s="221" customFormat="1" ht="12.75" x14ac:dyDescent="0.2">
      <c r="B5153" s="1168"/>
    </row>
    <row r="5154" spans="2:2" s="221" customFormat="1" ht="12.75" x14ac:dyDescent="0.2">
      <c r="B5154" s="1168"/>
    </row>
    <row r="5155" spans="2:2" s="221" customFormat="1" ht="12.75" x14ac:dyDescent="0.2">
      <c r="B5155" s="1168"/>
    </row>
    <row r="5156" spans="2:2" s="221" customFormat="1" ht="12.75" x14ac:dyDescent="0.2">
      <c r="B5156" s="1168"/>
    </row>
    <row r="5157" spans="2:2" s="221" customFormat="1" ht="12.75" x14ac:dyDescent="0.2">
      <c r="B5157" s="1168"/>
    </row>
    <row r="5158" spans="2:2" s="221" customFormat="1" ht="12.75" x14ac:dyDescent="0.2">
      <c r="B5158" s="1168"/>
    </row>
    <row r="5159" spans="2:2" s="221" customFormat="1" ht="12.75" x14ac:dyDescent="0.2">
      <c r="B5159" s="1168"/>
    </row>
    <row r="5160" spans="2:2" s="221" customFormat="1" ht="12.75" x14ac:dyDescent="0.2">
      <c r="B5160" s="1168"/>
    </row>
    <row r="5161" spans="2:2" s="221" customFormat="1" ht="12.75" x14ac:dyDescent="0.2">
      <c r="B5161" s="1168"/>
    </row>
    <row r="5162" spans="2:2" s="221" customFormat="1" ht="12.75" x14ac:dyDescent="0.2">
      <c r="B5162" s="1168"/>
    </row>
    <row r="5163" spans="2:2" s="221" customFormat="1" ht="12.75" x14ac:dyDescent="0.2">
      <c r="B5163" s="1168"/>
    </row>
    <row r="5164" spans="2:2" s="221" customFormat="1" ht="12.75" x14ac:dyDescent="0.2">
      <c r="B5164" s="1168"/>
    </row>
    <row r="5165" spans="2:2" s="221" customFormat="1" ht="12.75" x14ac:dyDescent="0.2">
      <c r="B5165" s="1168"/>
    </row>
    <row r="5166" spans="2:2" s="221" customFormat="1" ht="12.75" x14ac:dyDescent="0.2">
      <c r="B5166" s="1168"/>
    </row>
    <row r="5167" spans="2:2" s="221" customFormat="1" ht="12.75" x14ac:dyDescent="0.2">
      <c r="B5167" s="1168"/>
    </row>
    <row r="5168" spans="2:2" s="221" customFormat="1" ht="12.75" x14ac:dyDescent="0.2">
      <c r="B5168" s="1168"/>
    </row>
    <row r="5169" spans="2:2" s="221" customFormat="1" ht="12.75" x14ac:dyDescent="0.2">
      <c r="B5169" s="1168"/>
    </row>
    <row r="5170" spans="2:2" s="221" customFormat="1" ht="12.75" x14ac:dyDescent="0.2">
      <c r="B5170" s="1168"/>
    </row>
    <row r="5171" spans="2:2" s="221" customFormat="1" ht="12.75" x14ac:dyDescent="0.2">
      <c r="B5171" s="1168"/>
    </row>
    <row r="5172" spans="2:2" s="221" customFormat="1" ht="12.75" x14ac:dyDescent="0.2">
      <c r="B5172" s="1168"/>
    </row>
    <row r="5173" spans="2:2" s="221" customFormat="1" ht="12.75" x14ac:dyDescent="0.2">
      <c r="B5173" s="1168"/>
    </row>
    <row r="5174" spans="2:2" s="221" customFormat="1" ht="12.75" x14ac:dyDescent="0.2">
      <c r="B5174" s="1168"/>
    </row>
    <row r="5175" spans="2:2" s="221" customFormat="1" ht="12.75" x14ac:dyDescent="0.2">
      <c r="B5175" s="1168"/>
    </row>
    <row r="5176" spans="2:2" s="221" customFormat="1" ht="12.75" x14ac:dyDescent="0.2">
      <c r="B5176" s="1168"/>
    </row>
    <row r="5177" spans="2:2" s="221" customFormat="1" ht="12.75" x14ac:dyDescent="0.2">
      <c r="B5177" s="1168"/>
    </row>
    <row r="5178" spans="2:2" s="221" customFormat="1" ht="12.75" x14ac:dyDescent="0.2">
      <c r="B5178" s="1168"/>
    </row>
    <row r="5179" spans="2:2" s="221" customFormat="1" ht="12.75" x14ac:dyDescent="0.2">
      <c r="B5179" s="1168"/>
    </row>
    <row r="5180" spans="2:2" s="221" customFormat="1" ht="12.75" x14ac:dyDescent="0.2">
      <c r="B5180" s="1168"/>
    </row>
    <row r="5181" spans="2:2" s="221" customFormat="1" ht="12.75" x14ac:dyDescent="0.2">
      <c r="B5181" s="1168"/>
    </row>
    <row r="5182" spans="2:2" s="221" customFormat="1" ht="12.75" x14ac:dyDescent="0.2">
      <c r="B5182" s="1168"/>
    </row>
    <row r="5183" spans="2:2" s="221" customFormat="1" ht="12.75" x14ac:dyDescent="0.2">
      <c r="B5183" s="1168"/>
    </row>
    <row r="5184" spans="2:2" s="221" customFormat="1" ht="12.75" x14ac:dyDescent="0.2">
      <c r="B5184" s="1168"/>
    </row>
    <row r="5185" spans="2:2" s="221" customFormat="1" ht="12.75" x14ac:dyDescent="0.2">
      <c r="B5185" s="1168"/>
    </row>
    <row r="5186" spans="2:2" s="221" customFormat="1" ht="12.75" x14ac:dyDescent="0.2">
      <c r="B5186" s="1168"/>
    </row>
    <row r="5187" spans="2:2" s="221" customFormat="1" ht="12.75" x14ac:dyDescent="0.2">
      <c r="B5187" s="1168"/>
    </row>
    <row r="5188" spans="2:2" s="221" customFormat="1" ht="12.75" x14ac:dyDescent="0.2">
      <c r="B5188" s="1168"/>
    </row>
    <row r="5189" spans="2:2" s="221" customFormat="1" ht="12.75" x14ac:dyDescent="0.2">
      <c r="B5189" s="1168"/>
    </row>
    <row r="5190" spans="2:2" s="221" customFormat="1" ht="12.75" x14ac:dyDescent="0.2">
      <c r="B5190" s="1168"/>
    </row>
    <row r="5191" spans="2:2" s="221" customFormat="1" ht="12.75" x14ac:dyDescent="0.2">
      <c r="B5191" s="1168"/>
    </row>
    <row r="5192" spans="2:2" s="221" customFormat="1" ht="12.75" x14ac:dyDescent="0.2">
      <c r="B5192" s="1168"/>
    </row>
    <row r="5193" spans="2:2" s="221" customFormat="1" ht="12.75" x14ac:dyDescent="0.2">
      <c r="B5193" s="1168"/>
    </row>
    <row r="5194" spans="2:2" s="221" customFormat="1" ht="12.75" x14ac:dyDescent="0.2">
      <c r="B5194" s="1168"/>
    </row>
    <row r="5195" spans="2:2" s="221" customFormat="1" ht="12.75" x14ac:dyDescent="0.2">
      <c r="B5195" s="1168"/>
    </row>
    <row r="5196" spans="2:2" s="221" customFormat="1" ht="12.75" x14ac:dyDescent="0.2">
      <c r="B5196" s="1168"/>
    </row>
    <row r="5197" spans="2:2" s="221" customFormat="1" ht="12.75" x14ac:dyDescent="0.2">
      <c r="B5197" s="1168"/>
    </row>
    <row r="5198" spans="2:2" s="221" customFormat="1" ht="12.75" x14ac:dyDescent="0.2">
      <c r="B5198" s="1168"/>
    </row>
    <row r="5199" spans="2:2" s="221" customFormat="1" ht="12.75" x14ac:dyDescent="0.2">
      <c r="B5199" s="1168"/>
    </row>
    <row r="5200" spans="2:2" s="221" customFormat="1" ht="12.75" x14ac:dyDescent="0.2">
      <c r="B5200" s="1168"/>
    </row>
    <row r="5201" spans="2:2" s="221" customFormat="1" ht="12.75" x14ac:dyDescent="0.2">
      <c r="B5201" s="1168"/>
    </row>
    <row r="5202" spans="2:2" s="221" customFormat="1" ht="12.75" x14ac:dyDescent="0.2">
      <c r="B5202" s="1168"/>
    </row>
    <row r="5203" spans="2:2" s="221" customFormat="1" ht="12.75" x14ac:dyDescent="0.2">
      <c r="B5203" s="1168"/>
    </row>
    <row r="5204" spans="2:2" s="221" customFormat="1" ht="12.75" x14ac:dyDescent="0.2">
      <c r="B5204" s="1168"/>
    </row>
    <row r="5205" spans="2:2" s="221" customFormat="1" ht="12.75" x14ac:dyDescent="0.2">
      <c r="B5205" s="1168"/>
    </row>
    <row r="5206" spans="2:2" s="221" customFormat="1" ht="12.75" x14ac:dyDescent="0.2">
      <c r="B5206" s="1168"/>
    </row>
    <row r="5207" spans="2:2" s="221" customFormat="1" ht="12.75" x14ac:dyDescent="0.2">
      <c r="B5207" s="1168"/>
    </row>
    <row r="5208" spans="2:2" s="221" customFormat="1" ht="12.75" x14ac:dyDescent="0.2">
      <c r="B5208" s="1168"/>
    </row>
    <row r="5209" spans="2:2" s="221" customFormat="1" ht="12.75" x14ac:dyDescent="0.2">
      <c r="B5209" s="1168"/>
    </row>
    <row r="5210" spans="2:2" s="221" customFormat="1" ht="12.75" x14ac:dyDescent="0.2">
      <c r="B5210" s="1168"/>
    </row>
    <row r="5211" spans="2:2" s="221" customFormat="1" ht="12.75" x14ac:dyDescent="0.2">
      <c r="B5211" s="1168"/>
    </row>
    <row r="5212" spans="2:2" s="221" customFormat="1" ht="12.75" x14ac:dyDescent="0.2">
      <c r="B5212" s="1168"/>
    </row>
    <row r="5213" spans="2:2" s="221" customFormat="1" ht="12.75" x14ac:dyDescent="0.2">
      <c r="B5213" s="1168"/>
    </row>
    <row r="5214" spans="2:2" s="221" customFormat="1" ht="12.75" x14ac:dyDescent="0.2">
      <c r="B5214" s="1168"/>
    </row>
    <row r="5215" spans="2:2" s="221" customFormat="1" ht="12.75" x14ac:dyDescent="0.2">
      <c r="B5215" s="1168"/>
    </row>
    <row r="5216" spans="2:2" s="221" customFormat="1" ht="12.75" x14ac:dyDescent="0.2">
      <c r="B5216" s="1168"/>
    </row>
    <row r="5217" spans="2:2" s="221" customFormat="1" ht="12.75" x14ac:dyDescent="0.2">
      <c r="B5217" s="1168"/>
    </row>
    <row r="5218" spans="2:2" s="221" customFormat="1" ht="12.75" x14ac:dyDescent="0.2">
      <c r="B5218" s="1168"/>
    </row>
    <row r="5219" spans="2:2" s="221" customFormat="1" ht="12.75" x14ac:dyDescent="0.2">
      <c r="B5219" s="1168"/>
    </row>
    <row r="5220" spans="2:2" s="221" customFormat="1" ht="12.75" x14ac:dyDescent="0.2">
      <c r="B5220" s="1168"/>
    </row>
    <row r="5221" spans="2:2" s="221" customFormat="1" ht="12.75" x14ac:dyDescent="0.2">
      <c r="B5221" s="1168"/>
    </row>
    <row r="5222" spans="2:2" s="221" customFormat="1" ht="12.75" x14ac:dyDescent="0.2">
      <c r="B5222" s="1168"/>
    </row>
    <row r="5223" spans="2:2" s="221" customFormat="1" ht="12.75" x14ac:dyDescent="0.2">
      <c r="B5223" s="1168"/>
    </row>
    <row r="5224" spans="2:2" s="221" customFormat="1" ht="12.75" x14ac:dyDescent="0.2">
      <c r="B5224" s="1168"/>
    </row>
    <row r="5225" spans="2:2" s="221" customFormat="1" ht="12.75" x14ac:dyDescent="0.2">
      <c r="B5225" s="1168"/>
    </row>
    <row r="5226" spans="2:2" s="221" customFormat="1" ht="12.75" x14ac:dyDescent="0.2">
      <c r="B5226" s="1168"/>
    </row>
    <row r="5227" spans="2:2" s="221" customFormat="1" ht="12.75" x14ac:dyDescent="0.2">
      <c r="B5227" s="1168"/>
    </row>
    <row r="5228" spans="2:2" s="221" customFormat="1" ht="12.75" x14ac:dyDescent="0.2">
      <c r="B5228" s="1168"/>
    </row>
    <row r="5229" spans="2:2" s="221" customFormat="1" ht="12.75" x14ac:dyDescent="0.2">
      <c r="B5229" s="1168"/>
    </row>
    <row r="5230" spans="2:2" s="221" customFormat="1" ht="12.75" x14ac:dyDescent="0.2">
      <c r="B5230" s="1168"/>
    </row>
    <row r="5231" spans="2:2" s="221" customFormat="1" ht="12.75" x14ac:dyDescent="0.2">
      <c r="B5231" s="1168"/>
    </row>
    <row r="5232" spans="2:2" s="221" customFormat="1" ht="12.75" x14ac:dyDescent="0.2">
      <c r="B5232" s="1168"/>
    </row>
    <row r="5233" spans="2:2" s="221" customFormat="1" ht="12.75" x14ac:dyDescent="0.2">
      <c r="B5233" s="1168"/>
    </row>
    <row r="5234" spans="2:2" s="221" customFormat="1" ht="12.75" x14ac:dyDescent="0.2">
      <c r="B5234" s="1168"/>
    </row>
    <row r="5235" spans="2:2" s="221" customFormat="1" ht="12.75" x14ac:dyDescent="0.2">
      <c r="B5235" s="1168"/>
    </row>
    <row r="5236" spans="2:2" s="221" customFormat="1" ht="12.75" x14ac:dyDescent="0.2">
      <c r="B5236" s="1168"/>
    </row>
    <row r="5237" spans="2:2" s="221" customFormat="1" ht="12.75" x14ac:dyDescent="0.2">
      <c r="B5237" s="1168"/>
    </row>
    <row r="5238" spans="2:2" s="221" customFormat="1" ht="12.75" x14ac:dyDescent="0.2">
      <c r="B5238" s="1168"/>
    </row>
    <row r="5239" spans="2:2" s="221" customFormat="1" ht="12.75" x14ac:dyDescent="0.2">
      <c r="B5239" s="1168"/>
    </row>
    <row r="5240" spans="2:2" s="221" customFormat="1" ht="12.75" x14ac:dyDescent="0.2">
      <c r="B5240" s="1168"/>
    </row>
    <row r="5241" spans="2:2" s="221" customFormat="1" ht="12.75" x14ac:dyDescent="0.2">
      <c r="B5241" s="1168"/>
    </row>
    <row r="5242" spans="2:2" s="221" customFormat="1" ht="12.75" x14ac:dyDescent="0.2">
      <c r="B5242" s="1168"/>
    </row>
    <row r="5243" spans="2:2" s="221" customFormat="1" ht="12.75" x14ac:dyDescent="0.2">
      <c r="B5243" s="1168"/>
    </row>
    <row r="5244" spans="2:2" s="221" customFormat="1" ht="12.75" x14ac:dyDescent="0.2">
      <c r="B5244" s="1168"/>
    </row>
    <row r="5245" spans="2:2" s="221" customFormat="1" ht="12.75" x14ac:dyDescent="0.2">
      <c r="B5245" s="1168"/>
    </row>
    <row r="5246" spans="2:2" s="221" customFormat="1" ht="12.75" x14ac:dyDescent="0.2">
      <c r="B5246" s="1168"/>
    </row>
    <row r="5247" spans="2:2" s="221" customFormat="1" ht="12.75" x14ac:dyDescent="0.2">
      <c r="B5247" s="1168"/>
    </row>
    <row r="5248" spans="2:2" s="221" customFormat="1" ht="12.75" x14ac:dyDescent="0.2">
      <c r="B5248" s="1168"/>
    </row>
    <row r="5249" spans="2:2" s="221" customFormat="1" ht="12.75" x14ac:dyDescent="0.2">
      <c r="B5249" s="1168"/>
    </row>
    <row r="5250" spans="2:2" s="221" customFormat="1" ht="12.75" x14ac:dyDescent="0.2">
      <c r="B5250" s="1168"/>
    </row>
    <row r="5251" spans="2:2" s="221" customFormat="1" ht="12.75" x14ac:dyDescent="0.2">
      <c r="B5251" s="1168"/>
    </row>
    <row r="5252" spans="2:2" s="221" customFormat="1" ht="12.75" x14ac:dyDescent="0.2">
      <c r="B5252" s="1168"/>
    </row>
    <row r="5253" spans="2:2" s="221" customFormat="1" ht="12.75" x14ac:dyDescent="0.2">
      <c r="B5253" s="1168"/>
    </row>
    <row r="5254" spans="2:2" s="221" customFormat="1" ht="12.75" x14ac:dyDescent="0.2">
      <c r="B5254" s="1168"/>
    </row>
    <row r="5255" spans="2:2" s="221" customFormat="1" ht="12.75" x14ac:dyDescent="0.2">
      <c r="B5255" s="1168"/>
    </row>
    <row r="5256" spans="2:2" s="221" customFormat="1" ht="12.75" x14ac:dyDescent="0.2">
      <c r="B5256" s="1168"/>
    </row>
    <row r="5257" spans="2:2" s="221" customFormat="1" ht="12.75" x14ac:dyDescent="0.2">
      <c r="B5257" s="1168"/>
    </row>
    <row r="5258" spans="2:2" s="221" customFormat="1" ht="12.75" x14ac:dyDescent="0.2">
      <c r="B5258" s="1168"/>
    </row>
    <row r="5259" spans="2:2" s="221" customFormat="1" ht="12.75" x14ac:dyDescent="0.2">
      <c r="B5259" s="1168"/>
    </row>
    <row r="5260" spans="2:2" s="221" customFormat="1" ht="12.75" x14ac:dyDescent="0.2">
      <c r="B5260" s="1168"/>
    </row>
    <row r="5261" spans="2:2" s="221" customFormat="1" ht="12.75" x14ac:dyDescent="0.2">
      <c r="B5261" s="1168"/>
    </row>
    <row r="5262" spans="2:2" s="221" customFormat="1" ht="12.75" x14ac:dyDescent="0.2">
      <c r="B5262" s="1168"/>
    </row>
    <row r="5263" spans="2:2" s="221" customFormat="1" ht="12.75" x14ac:dyDescent="0.2">
      <c r="B5263" s="1168"/>
    </row>
    <row r="5264" spans="2:2" s="221" customFormat="1" ht="12.75" x14ac:dyDescent="0.2">
      <c r="B5264" s="1168"/>
    </row>
    <row r="5265" spans="2:2" s="221" customFormat="1" ht="12.75" x14ac:dyDescent="0.2">
      <c r="B5265" s="1168"/>
    </row>
    <row r="5266" spans="2:2" s="221" customFormat="1" ht="12.75" x14ac:dyDescent="0.2">
      <c r="B5266" s="1168"/>
    </row>
    <row r="5267" spans="2:2" s="221" customFormat="1" ht="12.75" x14ac:dyDescent="0.2">
      <c r="B5267" s="1168"/>
    </row>
    <row r="5268" spans="2:2" s="221" customFormat="1" ht="12.75" x14ac:dyDescent="0.2">
      <c r="B5268" s="1168"/>
    </row>
    <row r="5269" spans="2:2" s="221" customFormat="1" ht="12.75" x14ac:dyDescent="0.2">
      <c r="B5269" s="1168"/>
    </row>
    <row r="5270" spans="2:2" s="221" customFormat="1" ht="12.75" x14ac:dyDescent="0.2">
      <c r="B5270" s="1168"/>
    </row>
    <row r="5271" spans="2:2" s="221" customFormat="1" ht="12.75" x14ac:dyDescent="0.2">
      <c r="B5271" s="1168"/>
    </row>
    <row r="5272" spans="2:2" s="221" customFormat="1" ht="12.75" x14ac:dyDescent="0.2">
      <c r="B5272" s="1168"/>
    </row>
    <row r="5273" spans="2:2" s="221" customFormat="1" ht="12.75" x14ac:dyDescent="0.2">
      <c r="B5273" s="1168"/>
    </row>
    <row r="5274" spans="2:2" s="221" customFormat="1" ht="12.75" x14ac:dyDescent="0.2">
      <c r="B5274" s="1168"/>
    </row>
    <row r="5275" spans="2:2" s="221" customFormat="1" ht="12.75" x14ac:dyDescent="0.2">
      <c r="B5275" s="1168"/>
    </row>
    <row r="5276" spans="2:2" s="221" customFormat="1" ht="12.75" x14ac:dyDescent="0.2">
      <c r="B5276" s="1168"/>
    </row>
    <row r="5277" spans="2:2" s="221" customFormat="1" ht="12.75" x14ac:dyDescent="0.2">
      <c r="B5277" s="1168"/>
    </row>
    <row r="5278" spans="2:2" s="221" customFormat="1" ht="12.75" x14ac:dyDescent="0.2">
      <c r="B5278" s="1168"/>
    </row>
    <row r="5279" spans="2:2" s="221" customFormat="1" ht="12.75" x14ac:dyDescent="0.2">
      <c r="B5279" s="1168"/>
    </row>
    <row r="5280" spans="2:2" s="221" customFormat="1" ht="12.75" x14ac:dyDescent="0.2">
      <c r="B5280" s="1168"/>
    </row>
    <row r="5281" spans="2:2" s="221" customFormat="1" ht="12.75" x14ac:dyDescent="0.2">
      <c r="B5281" s="1168"/>
    </row>
    <row r="5282" spans="2:2" s="221" customFormat="1" ht="12.75" x14ac:dyDescent="0.2">
      <c r="B5282" s="1168"/>
    </row>
    <row r="5283" spans="2:2" s="221" customFormat="1" ht="12.75" x14ac:dyDescent="0.2">
      <c r="B5283" s="1168"/>
    </row>
    <row r="5284" spans="2:2" s="221" customFormat="1" ht="12.75" x14ac:dyDescent="0.2">
      <c r="B5284" s="1168"/>
    </row>
    <row r="5285" spans="2:2" s="221" customFormat="1" ht="12.75" x14ac:dyDescent="0.2">
      <c r="B5285" s="1168"/>
    </row>
    <row r="5286" spans="2:2" s="221" customFormat="1" ht="12.75" x14ac:dyDescent="0.2">
      <c r="B5286" s="1168"/>
    </row>
    <row r="5287" spans="2:2" s="221" customFormat="1" ht="12.75" x14ac:dyDescent="0.2">
      <c r="B5287" s="1168"/>
    </row>
    <row r="5288" spans="2:2" s="221" customFormat="1" ht="12.75" x14ac:dyDescent="0.2">
      <c r="B5288" s="1168"/>
    </row>
    <row r="5289" spans="2:2" s="221" customFormat="1" ht="12.75" x14ac:dyDescent="0.2">
      <c r="B5289" s="1168"/>
    </row>
    <row r="5290" spans="2:2" s="221" customFormat="1" ht="12.75" x14ac:dyDescent="0.2">
      <c r="B5290" s="1168"/>
    </row>
    <row r="5291" spans="2:2" s="221" customFormat="1" ht="12.75" x14ac:dyDescent="0.2">
      <c r="B5291" s="1168"/>
    </row>
    <row r="5292" spans="2:2" s="221" customFormat="1" ht="12.75" x14ac:dyDescent="0.2">
      <c r="B5292" s="1168"/>
    </row>
    <row r="5293" spans="2:2" s="221" customFormat="1" ht="12.75" x14ac:dyDescent="0.2">
      <c r="B5293" s="1168"/>
    </row>
    <row r="5294" spans="2:2" s="221" customFormat="1" ht="12.75" x14ac:dyDescent="0.2">
      <c r="B5294" s="1168"/>
    </row>
    <row r="5295" spans="2:2" s="221" customFormat="1" ht="12.75" x14ac:dyDescent="0.2">
      <c r="B5295" s="1168"/>
    </row>
    <row r="5296" spans="2:2" s="221" customFormat="1" ht="12.75" x14ac:dyDescent="0.2">
      <c r="B5296" s="1168"/>
    </row>
    <row r="5297" spans="2:2" s="221" customFormat="1" ht="12.75" x14ac:dyDescent="0.2">
      <c r="B5297" s="1168"/>
    </row>
    <row r="5298" spans="2:2" s="221" customFormat="1" ht="12.75" x14ac:dyDescent="0.2">
      <c r="B5298" s="1168"/>
    </row>
    <row r="5299" spans="2:2" s="221" customFormat="1" ht="12.75" x14ac:dyDescent="0.2">
      <c r="B5299" s="1168"/>
    </row>
    <row r="5300" spans="2:2" s="221" customFormat="1" ht="12.75" x14ac:dyDescent="0.2">
      <c r="B5300" s="1168"/>
    </row>
    <row r="5301" spans="2:2" s="221" customFormat="1" ht="12.75" x14ac:dyDescent="0.2">
      <c r="B5301" s="1168"/>
    </row>
    <row r="5302" spans="2:2" s="221" customFormat="1" ht="12.75" x14ac:dyDescent="0.2">
      <c r="B5302" s="1168"/>
    </row>
    <row r="5303" spans="2:2" s="221" customFormat="1" ht="12.75" x14ac:dyDescent="0.2">
      <c r="B5303" s="1168"/>
    </row>
    <row r="5304" spans="2:2" s="221" customFormat="1" ht="12.75" x14ac:dyDescent="0.2">
      <c r="B5304" s="1168"/>
    </row>
    <row r="5305" spans="2:2" s="221" customFormat="1" ht="12.75" x14ac:dyDescent="0.2">
      <c r="B5305" s="1168"/>
    </row>
    <row r="5306" spans="2:2" s="221" customFormat="1" ht="12.75" x14ac:dyDescent="0.2">
      <c r="B5306" s="1168"/>
    </row>
    <row r="5307" spans="2:2" s="221" customFormat="1" ht="12.75" x14ac:dyDescent="0.2">
      <c r="B5307" s="1168"/>
    </row>
    <row r="5308" spans="2:2" s="221" customFormat="1" ht="12.75" x14ac:dyDescent="0.2">
      <c r="B5308" s="1168"/>
    </row>
    <row r="5309" spans="2:2" s="221" customFormat="1" ht="12.75" x14ac:dyDescent="0.2">
      <c r="B5309" s="1168"/>
    </row>
    <row r="5310" spans="2:2" s="221" customFormat="1" ht="12.75" x14ac:dyDescent="0.2">
      <c r="B5310" s="1168"/>
    </row>
    <row r="5311" spans="2:2" s="221" customFormat="1" ht="12.75" x14ac:dyDescent="0.2">
      <c r="B5311" s="1168"/>
    </row>
    <row r="5312" spans="2:2" s="221" customFormat="1" ht="12.75" x14ac:dyDescent="0.2">
      <c r="B5312" s="1168"/>
    </row>
    <row r="5313" spans="2:2" s="221" customFormat="1" ht="12.75" x14ac:dyDescent="0.2">
      <c r="B5313" s="1168"/>
    </row>
    <row r="5314" spans="2:2" s="221" customFormat="1" ht="12.75" x14ac:dyDescent="0.2">
      <c r="B5314" s="1168"/>
    </row>
    <row r="5315" spans="2:2" s="221" customFormat="1" ht="12.75" x14ac:dyDescent="0.2">
      <c r="B5315" s="1168"/>
    </row>
    <row r="5316" spans="2:2" s="221" customFormat="1" ht="12.75" x14ac:dyDescent="0.2">
      <c r="B5316" s="1168"/>
    </row>
    <row r="5317" spans="2:2" s="221" customFormat="1" ht="12.75" x14ac:dyDescent="0.2">
      <c r="B5317" s="1168"/>
    </row>
    <row r="5318" spans="2:2" s="221" customFormat="1" ht="12.75" x14ac:dyDescent="0.2">
      <c r="B5318" s="1168"/>
    </row>
    <row r="5319" spans="2:2" s="221" customFormat="1" ht="12.75" x14ac:dyDescent="0.2">
      <c r="B5319" s="1168"/>
    </row>
    <row r="5320" spans="2:2" s="221" customFormat="1" ht="12.75" x14ac:dyDescent="0.2">
      <c r="B5320" s="1168"/>
    </row>
    <row r="5321" spans="2:2" s="221" customFormat="1" ht="12.75" x14ac:dyDescent="0.2">
      <c r="B5321" s="1168"/>
    </row>
    <row r="5322" spans="2:2" s="221" customFormat="1" ht="12.75" x14ac:dyDescent="0.2">
      <c r="B5322" s="1168"/>
    </row>
    <row r="5323" spans="2:2" s="221" customFormat="1" ht="12.75" x14ac:dyDescent="0.2">
      <c r="B5323" s="1168"/>
    </row>
    <row r="5324" spans="2:2" s="221" customFormat="1" ht="12.75" x14ac:dyDescent="0.2">
      <c r="B5324" s="1168"/>
    </row>
    <row r="5325" spans="2:2" s="221" customFormat="1" ht="12.75" x14ac:dyDescent="0.2">
      <c r="B5325" s="1168"/>
    </row>
    <row r="5326" spans="2:2" s="221" customFormat="1" ht="12.75" x14ac:dyDescent="0.2">
      <c r="B5326" s="1168"/>
    </row>
    <row r="5327" spans="2:2" s="221" customFormat="1" ht="12.75" x14ac:dyDescent="0.2">
      <c r="B5327" s="1168"/>
    </row>
    <row r="5328" spans="2:2" s="221" customFormat="1" ht="12.75" x14ac:dyDescent="0.2">
      <c r="B5328" s="1168"/>
    </row>
    <row r="5329" spans="2:2" s="221" customFormat="1" ht="12.75" x14ac:dyDescent="0.2">
      <c r="B5329" s="1168"/>
    </row>
    <row r="5330" spans="2:2" s="221" customFormat="1" ht="12.75" x14ac:dyDescent="0.2">
      <c r="B5330" s="1168"/>
    </row>
    <row r="5331" spans="2:2" s="221" customFormat="1" ht="12.75" x14ac:dyDescent="0.2">
      <c r="B5331" s="1168"/>
    </row>
    <row r="5332" spans="2:2" s="221" customFormat="1" ht="12.75" x14ac:dyDescent="0.2">
      <c r="B5332" s="1168"/>
    </row>
    <row r="5333" spans="2:2" s="221" customFormat="1" ht="12.75" x14ac:dyDescent="0.2">
      <c r="B5333" s="1168"/>
    </row>
    <row r="5334" spans="2:2" s="221" customFormat="1" ht="12.75" x14ac:dyDescent="0.2">
      <c r="B5334" s="1168"/>
    </row>
    <row r="5335" spans="2:2" s="221" customFormat="1" ht="12.75" x14ac:dyDescent="0.2">
      <c r="B5335" s="1168"/>
    </row>
    <row r="5336" spans="2:2" s="221" customFormat="1" ht="12.75" x14ac:dyDescent="0.2">
      <c r="B5336" s="1168"/>
    </row>
    <row r="5337" spans="2:2" s="221" customFormat="1" ht="12.75" x14ac:dyDescent="0.2">
      <c r="B5337" s="1168"/>
    </row>
    <row r="5338" spans="2:2" s="221" customFormat="1" ht="12.75" x14ac:dyDescent="0.2">
      <c r="B5338" s="1168"/>
    </row>
    <row r="5339" spans="2:2" s="221" customFormat="1" ht="12.75" x14ac:dyDescent="0.2">
      <c r="B5339" s="1168"/>
    </row>
    <row r="5340" spans="2:2" s="221" customFormat="1" ht="12.75" x14ac:dyDescent="0.2">
      <c r="B5340" s="1168"/>
    </row>
    <row r="5341" spans="2:2" s="221" customFormat="1" ht="12.75" x14ac:dyDescent="0.2">
      <c r="B5341" s="1168"/>
    </row>
    <row r="5342" spans="2:2" s="221" customFormat="1" ht="12.75" x14ac:dyDescent="0.2">
      <c r="B5342" s="1168"/>
    </row>
    <row r="5343" spans="2:2" s="221" customFormat="1" ht="12.75" x14ac:dyDescent="0.2">
      <c r="B5343" s="1168"/>
    </row>
    <row r="5344" spans="2:2" s="221" customFormat="1" ht="12.75" x14ac:dyDescent="0.2">
      <c r="B5344" s="1168"/>
    </row>
    <row r="5345" spans="2:2" s="221" customFormat="1" ht="12.75" x14ac:dyDescent="0.2">
      <c r="B5345" s="1168"/>
    </row>
    <row r="5346" spans="2:2" s="221" customFormat="1" ht="12.75" x14ac:dyDescent="0.2">
      <c r="B5346" s="1168"/>
    </row>
    <row r="5347" spans="2:2" s="221" customFormat="1" ht="12.75" x14ac:dyDescent="0.2">
      <c r="B5347" s="1168"/>
    </row>
    <row r="5348" spans="2:2" s="221" customFormat="1" ht="12.75" x14ac:dyDescent="0.2">
      <c r="B5348" s="1168"/>
    </row>
    <row r="5349" spans="2:2" s="221" customFormat="1" ht="12.75" x14ac:dyDescent="0.2">
      <c r="B5349" s="1168"/>
    </row>
    <row r="5350" spans="2:2" s="221" customFormat="1" ht="12.75" x14ac:dyDescent="0.2">
      <c r="B5350" s="1168"/>
    </row>
    <row r="5351" spans="2:2" s="221" customFormat="1" ht="12.75" x14ac:dyDescent="0.2">
      <c r="B5351" s="1168"/>
    </row>
    <row r="5352" spans="2:2" s="221" customFormat="1" ht="12.75" x14ac:dyDescent="0.2">
      <c r="B5352" s="1168"/>
    </row>
    <row r="5353" spans="2:2" s="221" customFormat="1" ht="12.75" x14ac:dyDescent="0.2">
      <c r="B5353" s="1168"/>
    </row>
    <row r="5354" spans="2:2" s="221" customFormat="1" ht="12.75" x14ac:dyDescent="0.2">
      <c r="B5354" s="1168"/>
    </row>
    <row r="5355" spans="2:2" s="221" customFormat="1" ht="12.75" x14ac:dyDescent="0.2">
      <c r="B5355" s="1168"/>
    </row>
    <row r="5356" spans="2:2" s="221" customFormat="1" ht="12.75" x14ac:dyDescent="0.2">
      <c r="B5356" s="1168"/>
    </row>
    <row r="5357" spans="2:2" s="221" customFormat="1" ht="12.75" x14ac:dyDescent="0.2">
      <c r="B5357" s="1168"/>
    </row>
    <row r="5358" spans="2:2" s="221" customFormat="1" ht="12.75" x14ac:dyDescent="0.2">
      <c r="B5358" s="1168"/>
    </row>
    <row r="5359" spans="2:2" s="221" customFormat="1" ht="12.75" x14ac:dyDescent="0.2">
      <c r="B5359" s="1168"/>
    </row>
    <row r="5360" spans="2:2" s="221" customFormat="1" ht="12.75" x14ac:dyDescent="0.2">
      <c r="B5360" s="1168"/>
    </row>
    <row r="5361" spans="2:2" s="221" customFormat="1" ht="12.75" x14ac:dyDescent="0.2">
      <c r="B5361" s="1168"/>
    </row>
    <row r="5362" spans="2:2" s="221" customFormat="1" ht="12.75" x14ac:dyDescent="0.2">
      <c r="B5362" s="1168"/>
    </row>
    <row r="5363" spans="2:2" s="221" customFormat="1" ht="12.75" x14ac:dyDescent="0.2">
      <c r="B5363" s="1168"/>
    </row>
    <row r="5364" spans="2:2" s="221" customFormat="1" ht="12.75" x14ac:dyDescent="0.2">
      <c r="B5364" s="1168"/>
    </row>
    <row r="5365" spans="2:2" s="221" customFormat="1" ht="12.75" x14ac:dyDescent="0.2">
      <c r="B5365" s="1168"/>
    </row>
    <row r="5366" spans="2:2" s="221" customFormat="1" ht="12.75" x14ac:dyDescent="0.2">
      <c r="B5366" s="1168"/>
    </row>
    <row r="5367" spans="2:2" s="221" customFormat="1" ht="12.75" x14ac:dyDescent="0.2">
      <c r="B5367" s="1168"/>
    </row>
    <row r="5368" spans="2:2" s="221" customFormat="1" ht="12.75" x14ac:dyDescent="0.2">
      <c r="B5368" s="1168"/>
    </row>
    <row r="5369" spans="2:2" s="221" customFormat="1" ht="12.75" x14ac:dyDescent="0.2">
      <c r="B5369" s="1168"/>
    </row>
    <row r="5370" spans="2:2" s="221" customFormat="1" ht="12.75" x14ac:dyDescent="0.2">
      <c r="B5370" s="1168"/>
    </row>
    <row r="5371" spans="2:2" s="221" customFormat="1" ht="12.75" x14ac:dyDescent="0.2">
      <c r="B5371" s="1168"/>
    </row>
    <row r="5372" spans="2:2" s="221" customFormat="1" ht="12.75" x14ac:dyDescent="0.2">
      <c r="B5372" s="1168"/>
    </row>
    <row r="5373" spans="2:2" s="221" customFormat="1" ht="12.75" x14ac:dyDescent="0.2">
      <c r="B5373" s="1168"/>
    </row>
    <row r="5374" spans="2:2" s="221" customFormat="1" ht="12.75" x14ac:dyDescent="0.2">
      <c r="B5374" s="1168"/>
    </row>
    <row r="5375" spans="2:2" s="221" customFormat="1" ht="12.75" x14ac:dyDescent="0.2">
      <c r="B5375" s="1168"/>
    </row>
    <row r="5376" spans="2:2" s="221" customFormat="1" ht="12.75" x14ac:dyDescent="0.2">
      <c r="B5376" s="1168"/>
    </row>
    <row r="5377" spans="2:2" s="221" customFormat="1" ht="12.75" x14ac:dyDescent="0.2">
      <c r="B5377" s="1168"/>
    </row>
    <row r="5378" spans="2:2" s="221" customFormat="1" ht="12.75" x14ac:dyDescent="0.2">
      <c r="B5378" s="1168"/>
    </row>
    <row r="5379" spans="2:2" s="221" customFormat="1" ht="12.75" x14ac:dyDescent="0.2">
      <c r="B5379" s="1168"/>
    </row>
    <row r="5380" spans="2:2" s="221" customFormat="1" ht="12.75" x14ac:dyDescent="0.2">
      <c r="B5380" s="1168"/>
    </row>
    <row r="5381" spans="2:2" s="221" customFormat="1" ht="12.75" x14ac:dyDescent="0.2">
      <c r="B5381" s="1168"/>
    </row>
    <row r="5382" spans="2:2" s="221" customFormat="1" ht="12.75" x14ac:dyDescent="0.2">
      <c r="B5382" s="1168"/>
    </row>
    <row r="5383" spans="2:2" s="221" customFormat="1" ht="12.75" x14ac:dyDescent="0.2">
      <c r="B5383" s="1168"/>
    </row>
    <row r="5384" spans="2:2" s="221" customFormat="1" ht="12.75" x14ac:dyDescent="0.2">
      <c r="B5384" s="1168"/>
    </row>
    <row r="5385" spans="2:2" s="221" customFormat="1" ht="12.75" x14ac:dyDescent="0.2">
      <c r="B5385" s="1168"/>
    </row>
    <row r="5386" spans="2:2" s="221" customFormat="1" ht="12.75" x14ac:dyDescent="0.2">
      <c r="B5386" s="1168"/>
    </row>
    <row r="5387" spans="2:2" s="221" customFormat="1" ht="12.75" x14ac:dyDescent="0.2">
      <c r="B5387" s="1168"/>
    </row>
    <row r="5388" spans="2:2" s="221" customFormat="1" ht="12.75" x14ac:dyDescent="0.2">
      <c r="B5388" s="1168"/>
    </row>
    <row r="5389" spans="2:2" s="221" customFormat="1" ht="12.75" x14ac:dyDescent="0.2">
      <c r="B5389" s="1168"/>
    </row>
    <row r="5390" spans="2:2" s="221" customFormat="1" ht="12.75" x14ac:dyDescent="0.2">
      <c r="B5390" s="1168"/>
    </row>
    <row r="5391" spans="2:2" s="221" customFormat="1" ht="12.75" x14ac:dyDescent="0.2">
      <c r="B5391" s="1168"/>
    </row>
    <row r="5392" spans="2:2" s="221" customFormat="1" ht="12.75" x14ac:dyDescent="0.2">
      <c r="B5392" s="1168"/>
    </row>
    <row r="5393" spans="2:2" s="221" customFormat="1" ht="12.75" x14ac:dyDescent="0.2">
      <c r="B5393" s="1168"/>
    </row>
    <row r="5394" spans="2:2" s="221" customFormat="1" ht="12.75" x14ac:dyDescent="0.2">
      <c r="B5394" s="1168"/>
    </row>
    <row r="5395" spans="2:2" s="221" customFormat="1" ht="12.75" x14ac:dyDescent="0.2">
      <c r="B5395" s="1168"/>
    </row>
    <row r="5396" spans="2:2" s="221" customFormat="1" ht="12.75" x14ac:dyDescent="0.2">
      <c r="B5396" s="1168"/>
    </row>
    <row r="5397" spans="2:2" s="221" customFormat="1" ht="12.75" x14ac:dyDescent="0.2">
      <c r="B5397" s="1168"/>
    </row>
    <row r="5398" spans="2:2" s="221" customFormat="1" ht="12.75" x14ac:dyDescent="0.2">
      <c r="B5398" s="1168"/>
    </row>
    <row r="5399" spans="2:2" s="221" customFormat="1" ht="12.75" x14ac:dyDescent="0.2">
      <c r="B5399" s="1168"/>
    </row>
    <row r="5400" spans="2:2" s="221" customFormat="1" ht="12.75" x14ac:dyDescent="0.2">
      <c r="B5400" s="1168"/>
    </row>
    <row r="5401" spans="2:2" s="221" customFormat="1" ht="12.75" x14ac:dyDescent="0.2">
      <c r="B5401" s="1168"/>
    </row>
    <row r="5402" spans="2:2" s="221" customFormat="1" ht="12.75" x14ac:dyDescent="0.2">
      <c r="B5402" s="1168"/>
    </row>
    <row r="5403" spans="2:2" s="221" customFormat="1" ht="12.75" x14ac:dyDescent="0.2">
      <c r="B5403" s="1168"/>
    </row>
    <row r="5404" spans="2:2" s="221" customFormat="1" ht="12.75" x14ac:dyDescent="0.2">
      <c r="B5404" s="1168"/>
    </row>
    <row r="5405" spans="2:2" s="221" customFormat="1" ht="12.75" x14ac:dyDescent="0.2">
      <c r="B5405" s="1168"/>
    </row>
    <row r="5406" spans="2:2" s="221" customFormat="1" ht="12.75" x14ac:dyDescent="0.2">
      <c r="B5406" s="1168"/>
    </row>
    <row r="5407" spans="2:2" s="221" customFormat="1" ht="12.75" x14ac:dyDescent="0.2">
      <c r="B5407" s="1168"/>
    </row>
    <row r="5408" spans="2:2" s="221" customFormat="1" ht="12.75" x14ac:dyDescent="0.2">
      <c r="B5408" s="1168"/>
    </row>
    <row r="5409" spans="2:2" s="221" customFormat="1" ht="12.75" x14ac:dyDescent="0.2">
      <c r="B5409" s="1168"/>
    </row>
    <row r="5410" spans="2:2" s="221" customFormat="1" ht="12.75" x14ac:dyDescent="0.2">
      <c r="B5410" s="1168"/>
    </row>
    <row r="5411" spans="2:2" s="221" customFormat="1" ht="12.75" x14ac:dyDescent="0.2">
      <c r="B5411" s="1168"/>
    </row>
    <row r="5412" spans="2:2" s="221" customFormat="1" ht="12.75" x14ac:dyDescent="0.2">
      <c r="B5412" s="1168"/>
    </row>
    <row r="5413" spans="2:2" s="221" customFormat="1" ht="12.75" x14ac:dyDescent="0.2">
      <c r="B5413" s="1168"/>
    </row>
    <row r="5414" spans="2:2" s="221" customFormat="1" ht="12.75" x14ac:dyDescent="0.2">
      <c r="B5414" s="1168"/>
    </row>
    <row r="5415" spans="2:2" s="221" customFormat="1" ht="12.75" x14ac:dyDescent="0.2">
      <c r="B5415" s="1168"/>
    </row>
    <row r="5416" spans="2:2" s="221" customFormat="1" ht="12.75" x14ac:dyDescent="0.2">
      <c r="B5416" s="1168"/>
    </row>
    <row r="5417" spans="2:2" s="221" customFormat="1" ht="12.75" x14ac:dyDescent="0.2">
      <c r="B5417" s="1168"/>
    </row>
    <row r="5418" spans="2:2" s="221" customFormat="1" ht="12.75" x14ac:dyDescent="0.2">
      <c r="B5418" s="1168"/>
    </row>
    <row r="5419" spans="2:2" s="221" customFormat="1" ht="12.75" x14ac:dyDescent="0.2">
      <c r="B5419" s="1168"/>
    </row>
    <row r="5420" spans="2:2" s="221" customFormat="1" ht="12.75" x14ac:dyDescent="0.2">
      <c r="B5420" s="1168"/>
    </row>
    <row r="5421" spans="2:2" s="221" customFormat="1" ht="12.75" x14ac:dyDescent="0.2">
      <c r="B5421" s="1168"/>
    </row>
    <row r="5422" spans="2:2" s="221" customFormat="1" ht="12.75" x14ac:dyDescent="0.2">
      <c r="B5422" s="1168"/>
    </row>
    <row r="5423" spans="2:2" s="221" customFormat="1" ht="12.75" x14ac:dyDescent="0.2">
      <c r="B5423" s="1168"/>
    </row>
    <row r="5424" spans="2:2" s="221" customFormat="1" ht="12.75" x14ac:dyDescent="0.2">
      <c r="B5424" s="1168"/>
    </row>
    <row r="5425" spans="2:2" s="221" customFormat="1" ht="12.75" x14ac:dyDescent="0.2">
      <c r="B5425" s="1168"/>
    </row>
    <row r="5426" spans="2:2" s="221" customFormat="1" ht="12.75" x14ac:dyDescent="0.2">
      <c r="B5426" s="1168"/>
    </row>
    <row r="5427" spans="2:2" s="221" customFormat="1" ht="12.75" x14ac:dyDescent="0.2">
      <c r="B5427" s="1168"/>
    </row>
    <row r="5428" spans="2:2" s="221" customFormat="1" ht="12.75" x14ac:dyDescent="0.2">
      <c r="B5428" s="1168"/>
    </row>
    <row r="5429" spans="2:2" s="221" customFormat="1" ht="12.75" x14ac:dyDescent="0.2">
      <c r="B5429" s="1168"/>
    </row>
    <row r="5430" spans="2:2" s="221" customFormat="1" ht="12.75" x14ac:dyDescent="0.2">
      <c r="B5430" s="1168"/>
    </row>
    <row r="5431" spans="2:2" s="221" customFormat="1" ht="12.75" x14ac:dyDescent="0.2">
      <c r="B5431" s="1168"/>
    </row>
    <row r="5432" spans="2:2" s="221" customFormat="1" ht="12.75" x14ac:dyDescent="0.2">
      <c r="B5432" s="1168"/>
    </row>
    <row r="5433" spans="2:2" s="221" customFormat="1" ht="12.75" x14ac:dyDescent="0.2">
      <c r="B5433" s="1168"/>
    </row>
    <row r="5434" spans="2:2" s="221" customFormat="1" ht="12.75" x14ac:dyDescent="0.2">
      <c r="B5434" s="1168"/>
    </row>
    <row r="5435" spans="2:2" s="221" customFormat="1" ht="12.75" x14ac:dyDescent="0.2">
      <c r="B5435" s="1168"/>
    </row>
    <row r="5436" spans="2:2" s="221" customFormat="1" ht="12.75" x14ac:dyDescent="0.2">
      <c r="B5436" s="1168"/>
    </row>
    <row r="5437" spans="2:2" s="221" customFormat="1" ht="12.75" x14ac:dyDescent="0.2">
      <c r="B5437" s="1168"/>
    </row>
    <row r="5438" spans="2:2" s="221" customFormat="1" ht="12.75" x14ac:dyDescent="0.2">
      <c r="B5438" s="1168"/>
    </row>
    <row r="5439" spans="2:2" s="221" customFormat="1" ht="12.75" x14ac:dyDescent="0.2">
      <c r="B5439" s="1168"/>
    </row>
    <row r="5440" spans="2:2" s="221" customFormat="1" ht="12.75" x14ac:dyDescent="0.2">
      <c r="B5440" s="1168"/>
    </row>
    <row r="5441" spans="2:2" s="221" customFormat="1" ht="12.75" x14ac:dyDescent="0.2">
      <c r="B5441" s="1168"/>
    </row>
    <row r="5442" spans="2:2" s="221" customFormat="1" ht="12.75" x14ac:dyDescent="0.2">
      <c r="B5442" s="1168"/>
    </row>
    <row r="5443" spans="2:2" s="221" customFormat="1" ht="12.75" x14ac:dyDescent="0.2">
      <c r="B5443" s="1168"/>
    </row>
    <row r="5444" spans="2:2" s="221" customFormat="1" ht="12.75" x14ac:dyDescent="0.2">
      <c r="B5444" s="1168"/>
    </row>
    <row r="5445" spans="2:2" s="221" customFormat="1" ht="12.75" x14ac:dyDescent="0.2">
      <c r="B5445" s="1168"/>
    </row>
    <row r="5446" spans="2:2" s="221" customFormat="1" ht="12.75" x14ac:dyDescent="0.2">
      <c r="B5446" s="1168"/>
    </row>
    <row r="5447" spans="2:2" s="221" customFormat="1" ht="12.75" x14ac:dyDescent="0.2">
      <c r="B5447" s="1168"/>
    </row>
    <row r="5448" spans="2:2" s="221" customFormat="1" ht="12.75" x14ac:dyDescent="0.2">
      <c r="B5448" s="1168"/>
    </row>
    <row r="5449" spans="2:2" s="221" customFormat="1" ht="12.75" x14ac:dyDescent="0.2">
      <c r="B5449" s="1168"/>
    </row>
    <row r="5450" spans="2:2" s="221" customFormat="1" ht="12.75" x14ac:dyDescent="0.2">
      <c r="B5450" s="1168"/>
    </row>
    <row r="5451" spans="2:2" s="221" customFormat="1" ht="12.75" x14ac:dyDescent="0.2">
      <c r="B5451" s="1168"/>
    </row>
    <row r="5452" spans="2:2" s="221" customFormat="1" ht="12.75" x14ac:dyDescent="0.2">
      <c r="B5452" s="1168"/>
    </row>
    <row r="5453" spans="2:2" s="221" customFormat="1" ht="12.75" x14ac:dyDescent="0.2">
      <c r="B5453" s="1168"/>
    </row>
    <row r="5454" spans="2:2" s="221" customFormat="1" ht="12.75" x14ac:dyDescent="0.2">
      <c r="B5454" s="1168"/>
    </row>
    <row r="5455" spans="2:2" s="221" customFormat="1" ht="12.75" x14ac:dyDescent="0.2">
      <c r="B5455" s="1168"/>
    </row>
    <row r="5456" spans="2:2" s="221" customFormat="1" ht="12.75" x14ac:dyDescent="0.2">
      <c r="B5456" s="1168"/>
    </row>
    <row r="5457" spans="2:2" s="221" customFormat="1" ht="12.75" x14ac:dyDescent="0.2">
      <c r="B5457" s="1168"/>
    </row>
    <row r="5458" spans="2:2" s="221" customFormat="1" ht="12.75" x14ac:dyDescent="0.2">
      <c r="B5458" s="1168"/>
    </row>
    <row r="5459" spans="2:2" s="221" customFormat="1" ht="12.75" x14ac:dyDescent="0.2">
      <c r="B5459" s="1168"/>
    </row>
    <row r="5460" spans="2:2" s="221" customFormat="1" ht="12.75" x14ac:dyDescent="0.2">
      <c r="B5460" s="1168"/>
    </row>
    <row r="5461" spans="2:2" s="221" customFormat="1" ht="12.75" x14ac:dyDescent="0.2">
      <c r="B5461" s="1168"/>
    </row>
    <row r="5462" spans="2:2" s="221" customFormat="1" ht="12.75" x14ac:dyDescent="0.2">
      <c r="B5462" s="1168"/>
    </row>
    <row r="5463" spans="2:2" s="221" customFormat="1" ht="12.75" x14ac:dyDescent="0.2">
      <c r="B5463" s="1168"/>
    </row>
    <row r="5464" spans="2:2" s="221" customFormat="1" ht="12.75" x14ac:dyDescent="0.2">
      <c r="B5464" s="1168"/>
    </row>
    <row r="5465" spans="2:2" s="221" customFormat="1" ht="12.75" x14ac:dyDescent="0.2">
      <c r="B5465" s="1168"/>
    </row>
    <row r="5466" spans="2:2" s="221" customFormat="1" ht="12.75" x14ac:dyDescent="0.2">
      <c r="B5466" s="1168"/>
    </row>
    <row r="5467" spans="2:2" s="221" customFormat="1" ht="12.75" x14ac:dyDescent="0.2">
      <c r="B5467" s="1168"/>
    </row>
    <row r="5468" spans="2:2" s="221" customFormat="1" ht="12.75" x14ac:dyDescent="0.2">
      <c r="B5468" s="1168"/>
    </row>
    <row r="5469" spans="2:2" s="221" customFormat="1" ht="12.75" x14ac:dyDescent="0.2">
      <c r="B5469" s="1168"/>
    </row>
    <row r="5470" spans="2:2" s="221" customFormat="1" ht="12.75" x14ac:dyDescent="0.2">
      <c r="B5470" s="1168"/>
    </row>
    <row r="5471" spans="2:2" s="221" customFormat="1" ht="12.75" x14ac:dyDescent="0.2">
      <c r="B5471" s="1168"/>
    </row>
    <row r="5472" spans="2:2" s="221" customFormat="1" ht="12.75" x14ac:dyDescent="0.2">
      <c r="B5472" s="1168"/>
    </row>
    <row r="5473" spans="2:2" s="221" customFormat="1" ht="12.75" x14ac:dyDescent="0.2">
      <c r="B5473" s="1168"/>
    </row>
    <row r="5474" spans="2:2" s="221" customFormat="1" ht="12.75" x14ac:dyDescent="0.2">
      <c r="B5474" s="1168"/>
    </row>
    <row r="5475" spans="2:2" s="221" customFormat="1" ht="12.75" x14ac:dyDescent="0.2">
      <c r="B5475" s="1168"/>
    </row>
    <row r="5476" spans="2:2" s="221" customFormat="1" ht="12.75" x14ac:dyDescent="0.2">
      <c r="B5476" s="1168"/>
    </row>
    <row r="5477" spans="2:2" s="221" customFormat="1" ht="12.75" x14ac:dyDescent="0.2">
      <c r="B5477" s="1168"/>
    </row>
    <row r="5478" spans="2:2" s="221" customFormat="1" ht="12.75" x14ac:dyDescent="0.2">
      <c r="B5478" s="1168"/>
    </row>
    <row r="5479" spans="2:2" s="221" customFormat="1" ht="12.75" x14ac:dyDescent="0.2">
      <c r="B5479" s="1168"/>
    </row>
    <row r="5480" spans="2:2" s="221" customFormat="1" ht="12.75" x14ac:dyDescent="0.2">
      <c r="B5480" s="1168"/>
    </row>
    <row r="5481" spans="2:2" s="221" customFormat="1" ht="12.75" x14ac:dyDescent="0.2">
      <c r="B5481" s="1168"/>
    </row>
    <row r="5482" spans="2:2" s="221" customFormat="1" ht="12.75" x14ac:dyDescent="0.2">
      <c r="B5482" s="1168"/>
    </row>
    <row r="5483" spans="2:2" s="221" customFormat="1" ht="12.75" x14ac:dyDescent="0.2">
      <c r="B5483" s="1168"/>
    </row>
    <row r="5484" spans="2:2" s="221" customFormat="1" ht="12.75" x14ac:dyDescent="0.2">
      <c r="B5484" s="1168"/>
    </row>
    <row r="5485" spans="2:2" s="221" customFormat="1" ht="12.75" x14ac:dyDescent="0.2">
      <c r="B5485" s="1168"/>
    </row>
    <row r="5486" spans="2:2" s="221" customFormat="1" ht="12.75" x14ac:dyDescent="0.2">
      <c r="B5486" s="1168"/>
    </row>
    <row r="5487" spans="2:2" s="221" customFormat="1" ht="12.75" x14ac:dyDescent="0.2">
      <c r="B5487" s="1168"/>
    </row>
    <row r="5488" spans="2:2" s="221" customFormat="1" ht="12.75" x14ac:dyDescent="0.2">
      <c r="B5488" s="1168"/>
    </row>
    <row r="5489" spans="2:2" s="221" customFormat="1" ht="12.75" x14ac:dyDescent="0.2">
      <c r="B5489" s="1168"/>
    </row>
    <row r="5490" spans="2:2" s="221" customFormat="1" ht="12.75" x14ac:dyDescent="0.2">
      <c r="B5490" s="1168"/>
    </row>
    <row r="5491" spans="2:2" s="221" customFormat="1" ht="12.75" x14ac:dyDescent="0.2">
      <c r="B5491" s="1168"/>
    </row>
    <row r="5492" spans="2:2" s="221" customFormat="1" ht="12.75" x14ac:dyDescent="0.2">
      <c r="B5492" s="1168"/>
    </row>
    <row r="5493" spans="2:2" s="221" customFormat="1" ht="12.75" x14ac:dyDescent="0.2">
      <c r="B5493" s="1168"/>
    </row>
    <row r="5494" spans="2:2" s="221" customFormat="1" ht="12.75" x14ac:dyDescent="0.2">
      <c r="B5494" s="1168"/>
    </row>
    <row r="5495" spans="2:2" s="221" customFormat="1" ht="12.75" x14ac:dyDescent="0.2">
      <c r="B5495" s="1168"/>
    </row>
    <row r="5496" spans="2:2" s="221" customFormat="1" ht="12.75" x14ac:dyDescent="0.2">
      <c r="B5496" s="1168"/>
    </row>
    <row r="5497" spans="2:2" s="221" customFormat="1" ht="12.75" x14ac:dyDescent="0.2">
      <c r="B5497" s="1168"/>
    </row>
    <row r="5498" spans="2:2" s="221" customFormat="1" ht="12.75" x14ac:dyDescent="0.2">
      <c r="B5498" s="1168"/>
    </row>
    <row r="5499" spans="2:2" s="221" customFormat="1" ht="12.75" x14ac:dyDescent="0.2">
      <c r="B5499" s="1168"/>
    </row>
    <row r="5500" spans="2:2" s="221" customFormat="1" ht="12.75" x14ac:dyDescent="0.2">
      <c r="B5500" s="1168"/>
    </row>
    <row r="5501" spans="2:2" s="221" customFormat="1" ht="12.75" x14ac:dyDescent="0.2">
      <c r="B5501" s="1168"/>
    </row>
    <row r="5502" spans="2:2" s="221" customFormat="1" ht="12.75" x14ac:dyDescent="0.2">
      <c r="B5502" s="1168"/>
    </row>
    <row r="5503" spans="2:2" s="221" customFormat="1" ht="12.75" x14ac:dyDescent="0.2">
      <c r="B5503" s="1168"/>
    </row>
    <row r="5504" spans="2:2" s="221" customFormat="1" ht="12.75" x14ac:dyDescent="0.2">
      <c r="B5504" s="1168"/>
    </row>
    <row r="5505" spans="2:2" s="221" customFormat="1" ht="12.75" x14ac:dyDescent="0.2">
      <c r="B5505" s="1168"/>
    </row>
    <row r="5506" spans="2:2" s="221" customFormat="1" ht="12.75" x14ac:dyDescent="0.2">
      <c r="B5506" s="1168"/>
    </row>
    <row r="5507" spans="2:2" s="221" customFormat="1" ht="12.75" x14ac:dyDescent="0.2">
      <c r="B5507" s="1168"/>
    </row>
    <row r="5508" spans="2:2" s="221" customFormat="1" ht="12.75" x14ac:dyDescent="0.2">
      <c r="B5508" s="1168"/>
    </row>
    <row r="5509" spans="2:2" s="221" customFormat="1" ht="12.75" x14ac:dyDescent="0.2">
      <c r="B5509" s="1168"/>
    </row>
    <row r="5510" spans="2:2" s="221" customFormat="1" ht="12.75" x14ac:dyDescent="0.2">
      <c r="B5510" s="1168"/>
    </row>
    <row r="5511" spans="2:2" s="221" customFormat="1" ht="12.75" x14ac:dyDescent="0.2">
      <c r="B5511" s="1168"/>
    </row>
    <row r="5512" spans="2:2" s="221" customFormat="1" ht="12.75" x14ac:dyDescent="0.2">
      <c r="B5512" s="1168"/>
    </row>
    <row r="5513" spans="2:2" s="221" customFormat="1" ht="12.75" x14ac:dyDescent="0.2">
      <c r="B5513" s="1168"/>
    </row>
    <row r="5514" spans="2:2" s="221" customFormat="1" ht="12.75" x14ac:dyDescent="0.2">
      <c r="B5514" s="1168"/>
    </row>
    <row r="5515" spans="2:2" s="221" customFormat="1" ht="12.75" x14ac:dyDescent="0.2">
      <c r="B5515" s="1168"/>
    </row>
    <row r="5516" spans="2:2" s="221" customFormat="1" ht="12.75" x14ac:dyDescent="0.2">
      <c r="B5516" s="1168"/>
    </row>
    <row r="5517" spans="2:2" s="221" customFormat="1" ht="12.75" x14ac:dyDescent="0.2">
      <c r="B5517" s="1168"/>
    </row>
    <row r="5518" spans="2:2" s="221" customFormat="1" ht="12.75" x14ac:dyDescent="0.2">
      <c r="B5518" s="1168"/>
    </row>
    <row r="5519" spans="2:2" s="221" customFormat="1" ht="12.75" x14ac:dyDescent="0.2">
      <c r="B5519" s="1168"/>
    </row>
    <row r="5520" spans="2:2" s="221" customFormat="1" ht="12.75" x14ac:dyDescent="0.2">
      <c r="B5520" s="1168"/>
    </row>
    <row r="5521" spans="2:2" s="221" customFormat="1" ht="12.75" x14ac:dyDescent="0.2">
      <c r="B5521" s="1168"/>
    </row>
    <row r="5522" spans="2:2" s="221" customFormat="1" ht="12.75" x14ac:dyDescent="0.2">
      <c r="B5522" s="1168"/>
    </row>
    <row r="5523" spans="2:2" s="221" customFormat="1" ht="12.75" x14ac:dyDescent="0.2">
      <c r="B5523" s="1168"/>
    </row>
    <row r="5524" spans="2:2" s="221" customFormat="1" ht="12.75" x14ac:dyDescent="0.2">
      <c r="B5524" s="1168"/>
    </row>
    <row r="5525" spans="2:2" s="221" customFormat="1" ht="12.75" x14ac:dyDescent="0.2">
      <c r="B5525" s="1168"/>
    </row>
    <row r="5526" spans="2:2" s="221" customFormat="1" ht="12.75" x14ac:dyDescent="0.2">
      <c r="B5526" s="1168"/>
    </row>
    <row r="5527" spans="2:2" s="221" customFormat="1" ht="12.75" x14ac:dyDescent="0.2">
      <c r="B5527" s="1168"/>
    </row>
    <row r="5528" spans="2:2" s="221" customFormat="1" ht="12.75" x14ac:dyDescent="0.2">
      <c r="B5528" s="1168"/>
    </row>
    <row r="5529" spans="2:2" s="221" customFormat="1" ht="12.75" x14ac:dyDescent="0.2">
      <c r="B5529" s="1168"/>
    </row>
    <row r="5530" spans="2:2" s="221" customFormat="1" ht="12.75" x14ac:dyDescent="0.2">
      <c r="B5530" s="1168"/>
    </row>
    <row r="5531" spans="2:2" s="221" customFormat="1" ht="12.75" x14ac:dyDescent="0.2">
      <c r="B5531" s="1168"/>
    </row>
    <row r="5532" spans="2:2" s="221" customFormat="1" ht="12.75" x14ac:dyDescent="0.2">
      <c r="B5532" s="1168"/>
    </row>
    <row r="5533" spans="2:2" s="221" customFormat="1" ht="12.75" x14ac:dyDescent="0.2">
      <c r="B5533" s="1168"/>
    </row>
    <row r="5534" spans="2:2" s="221" customFormat="1" ht="12.75" x14ac:dyDescent="0.2">
      <c r="B5534" s="1168"/>
    </row>
    <row r="5535" spans="2:2" s="221" customFormat="1" ht="12.75" x14ac:dyDescent="0.2">
      <c r="B5535" s="1168"/>
    </row>
    <row r="5536" spans="2:2" s="221" customFormat="1" ht="12.75" x14ac:dyDescent="0.2">
      <c r="B5536" s="1168"/>
    </row>
    <row r="5537" spans="2:2" s="221" customFormat="1" ht="12.75" x14ac:dyDescent="0.2">
      <c r="B5537" s="1168"/>
    </row>
    <row r="5538" spans="2:2" s="221" customFormat="1" ht="12.75" x14ac:dyDescent="0.2">
      <c r="B5538" s="1168"/>
    </row>
    <row r="5539" spans="2:2" s="221" customFormat="1" ht="12.75" x14ac:dyDescent="0.2">
      <c r="B5539" s="1168"/>
    </row>
    <row r="5540" spans="2:2" s="221" customFormat="1" ht="12.75" x14ac:dyDescent="0.2">
      <c r="B5540" s="1168"/>
    </row>
    <row r="5541" spans="2:2" s="221" customFormat="1" ht="12.75" x14ac:dyDescent="0.2">
      <c r="B5541" s="1168"/>
    </row>
    <row r="5542" spans="2:2" s="221" customFormat="1" ht="12.75" x14ac:dyDescent="0.2">
      <c r="B5542" s="1168"/>
    </row>
    <row r="5543" spans="2:2" s="221" customFormat="1" ht="12.75" x14ac:dyDescent="0.2">
      <c r="B5543" s="1168"/>
    </row>
    <row r="5544" spans="2:2" s="221" customFormat="1" ht="12.75" x14ac:dyDescent="0.2">
      <c r="B5544" s="1168"/>
    </row>
    <row r="5545" spans="2:2" s="221" customFormat="1" ht="12.75" x14ac:dyDescent="0.2">
      <c r="B5545" s="1168"/>
    </row>
    <row r="5546" spans="2:2" s="221" customFormat="1" ht="12.75" x14ac:dyDescent="0.2">
      <c r="B5546" s="1168"/>
    </row>
    <row r="5547" spans="2:2" s="221" customFormat="1" ht="12.75" x14ac:dyDescent="0.2">
      <c r="B5547" s="1168"/>
    </row>
    <row r="5548" spans="2:2" s="221" customFormat="1" ht="12.75" x14ac:dyDescent="0.2">
      <c r="B5548" s="1168"/>
    </row>
    <row r="5549" spans="2:2" s="221" customFormat="1" ht="12.75" x14ac:dyDescent="0.2">
      <c r="B5549" s="1168"/>
    </row>
    <row r="5550" spans="2:2" s="221" customFormat="1" ht="12.75" x14ac:dyDescent="0.2">
      <c r="B5550" s="1168"/>
    </row>
    <row r="5551" spans="2:2" s="221" customFormat="1" ht="12.75" x14ac:dyDescent="0.2">
      <c r="B5551" s="1168"/>
    </row>
    <row r="5552" spans="2:2" s="221" customFormat="1" ht="12.75" x14ac:dyDescent="0.2">
      <c r="B5552" s="1168"/>
    </row>
    <row r="5553" spans="2:2" s="221" customFormat="1" ht="12.75" x14ac:dyDescent="0.2">
      <c r="B5553" s="1168"/>
    </row>
    <row r="5554" spans="2:2" s="221" customFormat="1" ht="12.75" x14ac:dyDescent="0.2">
      <c r="B5554" s="1168"/>
    </row>
    <row r="5555" spans="2:2" s="221" customFormat="1" ht="12.75" x14ac:dyDescent="0.2">
      <c r="B5555" s="1168"/>
    </row>
    <row r="5556" spans="2:2" s="221" customFormat="1" ht="12.75" x14ac:dyDescent="0.2">
      <c r="B5556" s="1168"/>
    </row>
    <row r="5557" spans="2:2" s="221" customFormat="1" ht="12.75" x14ac:dyDescent="0.2">
      <c r="B5557" s="1168"/>
    </row>
    <row r="5558" spans="2:2" s="221" customFormat="1" ht="12.75" x14ac:dyDescent="0.2">
      <c r="B5558" s="1168"/>
    </row>
    <row r="5559" spans="2:2" s="221" customFormat="1" ht="12.75" x14ac:dyDescent="0.2">
      <c r="B5559" s="1168"/>
    </row>
    <row r="5560" spans="2:2" s="221" customFormat="1" ht="12.75" x14ac:dyDescent="0.2">
      <c r="B5560" s="1168"/>
    </row>
    <row r="5561" spans="2:2" s="221" customFormat="1" ht="12.75" x14ac:dyDescent="0.2">
      <c r="B5561" s="1168"/>
    </row>
    <row r="5562" spans="2:2" s="221" customFormat="1" ht="12.75" x14ac:dyDescent="0.2">
      <c r="B5562" s="1168"/>
    </row>
    <row r="5563" spans="2:2" s="221" customFormat="1" ht="12.75" x14ac:dyDescent="0.2">
      <c r="B5563" s="1168"/>
    </row>
    <row r="5564" spans="2:2" s="221" customFormat="1" ht="12.75" x14ac:dyDescent="0.2">
      <c r="B5564" s="1168"/>
    </row>
    <row r="5565" spans="2:2" s="221" customFormat="1" ht="12.75" x14ac:dyDescent="0.2">
      <c r="B5565" s="1168"/>
    </row>
    <row r="5566" spans="2:2" s="221" customFormat="1" ht="12.75" x14ac:dyDescent="0.2">
      <c r="B5566" s="1168"/>
    </row>
    <row r="5567" spans="2:2" s="221" customFormat="1" ht="12.75" x14ac:dyDescent="0.2">
      <c r="B5567" s="1168"/>
    </row>
    <row r="5568" spans="2:2" s="221" customFormat="1" ht="12.75" x14ac:dyDescent="0.2">
      <c r="B5568" s="1168"/>
    </row>
    <row r="5569" spans="2:2" s="221" customFormat="1" ht="12.75" x14ac:dyDescent="0.2">
      <c r="B5569" s="1168"/>
    </row>
    <row r="5570" spans="2:2" s="221" customFormat="1" ht="12.75" x14ac:dyDescent="0.2">
      <c r="B5570" s="1168"/>
    </row>
    <row r="5571" spans="2:2" s="221" customFormat="1" ht="12.75" x14ac:dyDescent="0.2">
      <c r="B5571" s="1168"/>
    </row>
    <row r="5572" spans="2:2" s="221" customFormat="1" ht="12.75" x14ac:dyDescent="0.2">
      <c r="B5572" s="1168"/>
    </row>
    <row r="5573" spans="2:2" s="221" customFormat="1" ht="12.75" x14ac:dyDescent="0.2">
      <c r="B5573" s="1168"/>
    </row>
    <row r="5574" spans="2:2" s="221" customFormat="1" ht="12.75" x14ac:dyDescent="0.2">
      <c r="B5574" s="1168"/>
    </row>
    <row r="5575" spans="2:2" s="221" customFormat="1" ht="12.75" x14ac:dyDescent="0.2">
      <c r="B5575" s="1168"/>
    </row>
    <row r="5576" spans="2:2" s="221" customFormat="1" ht="12.75" x14ac:dyDescent="0.2">
      <c r="B5576" s="1168"/>
    </row>
    <row r="5577" spans="2:2" s="221" customFormat="1" ht="12.75" x14ac:dyDescent="0.2">
      <c r="B5577" s="1168"/>
    </row>
    <row r="5578" spans="2:2" s="221" customFormat="1" ht="12.75" x14ac:dyDescent="0.2">
      <c r="B5578" s="1168"/>
    </row>
    <row r="5579" spans="2:2" s="221" customFormat="1" ht="12.75" x14ac:dyDescent="0.2">
      <c r="B5579" s="1168"/>
    </row>
    <row r="5580" spans="2:2" s="221" customFormat="1" ht="12.75" x14ac:dyDescent="0.2">
      <c r="B5580" s="1168"/>
    </row>
    <row r="5581" spans="2:2" s="221" customFormat="1" ht="12.75" x14ac:dyDescent="0.2">
      <c r="B5581" s="1168"/>
    </row>
    <row r="5582" spans="2:2" s="221" customFormat="1" ht="12.75" x14ac:dyDescent="0.2">
      <c r="B5582" s="1168"/>
    </row>
    <row r="5583" spans="2:2" s="221" customFormat="1" ht="12.75" x14ac:dyDescent="0.2">
      <c r="B5583" s="1168"/>
    </row>
    <row r="5584" spans="2:2" s="221" customFormat="1" ht="12.75" x14ac:dyDescent="0.2">
      <c r="B5584" s="1168"/>
    </row>
    <row r="5585" spans="2:2" s="221" customFormat="1" ht="12.75" x14ac:dyDescent="0.2">
      <c r="B5585" s="1168"/>
    </row>
    <row r="5586" spans="2:2" s="221" customFormat="1" ht="12.75" x14ac:dyDescent="0.2">
      <c r="B5586" s="1168"/>
    </row>
    <row r="5587" spans="2:2" s="221" customFormat="1" ht="12.75" x14ac:dyDescent="0.2">
      <c r="B5587" s="1168"/>
    </row>
    <row r="5588" spans="2:2" s="221" customFormat="1" ht="12.75" x14ac:dyDescent="0.2">
      <c r="B5588" s="1168"/>
    </row>
    <row r="5589" spans="2:2" s="221" customFormat="1" ht="12.75" x14ac:dyDescent="0.2">
      <c r="B5589" s="1168"/>
    </row>
    <row r="5590" spans="2:2" s="221" customFormat="1" ht="12.75" x14ac:dyDescent="0.2">
      <c r="B5590" s="1168"/>
    </row>
    <row r="5591" spans="2:2" s="221" customFormat="1" ht="12.75" x14ac:dyDescent="0.2">
      <c r="B5591" s="1168"/>
    </row>
    <row r="5592" spans="2:2" s="221" customFormat="1" ht="12.75" x14ac:dyDescent="0.2">
      <c r="B5592" s="1168"/>
    </row>
    <row r="5593" spans="2:2" s="221" customFormat="1" ht="12.75" x14ac:dyDescent="0.2">
      <c r="B5593" s="1168"/>
    </row>
    <row r="5594" spans="2:2" s="221" customFormat="1" ht="12.75" x14ac:dyDescent="0.2">
      <c r="B5594" s="1168"/>
    </row>
    <row r="5595" spans="2:2" s="221" customFormat="1" ht="12.75" x14ac:dyDescent="0.2">
      <c r="B5595" s="1168"/>
    </row>
    <row r="5596" spans="2:2" s="221" customFormat="1" ht="12.75" x14ac:dyDescent="0.2">
      <c r="B5596" s="1168"/>
    </row>
    <row r="5597" spans="2:2" s="221" customFormat="1" ht="12.75" x14ac:dyDescent="0.2">
      <c r="B5597" s="1168"/>
    </row>
    <row r="5598" spans="2:2" s="221" customFormat="1" ht="12.75" x14ac:dyDescent="0.2">
      <c r="B5598" s="1168"/>
    </row>
    <row r="5599" spans="2:2" s="221" customFormat="1" ht="12.75" x14ac:dyDescent="0.2">
      <c r="B5599" s="1168"/>
    </row>
    <row r="5600" spans="2:2" s="221" customFormat="1" ht="12.75" x14ac:dyDescent="0.2">
      <c r="B5600" s="1168"/>
    </row>
    <row r="5601" spans="2:2" s="221" customFormat="1" ht="12.75" x14ac:dyDescent="0.2">
      <c r="B5601" s="1168"/>
    </row>
    <row r="5602" spans="2:2" s="221" customFormat="1" ht="12.75" x14ac:dyDescent="0.2">
      <c r="B5602" s="1168"/>
    </row>
    <row r="5603" spans="2:2" s="221" customFormat="1" ht="12.75" x14ac:dyDescent="0.2">
      <c r="B5603" s="1168"/>
    </row>
    <row r="5604" spans="2:2" s="221" customFormat="1" ht="12.75" x14ac:dyDescent="0.2">
      <c r="B5604" s="1168"/>
    </row>
    <row r="5605" spans="2:2" s="221" customFormat="1" ht="12.75" x14ac:dyDescent="0.2">
      <c r="B5605" s="1168"/>
    </row>
    <row r="5606" spans="2:2" s="221" customFormat="1" ht="12.75" x14ac:dyDescent="0.2">
      <c r="B5606" s="1168"/>
    </row>
    <row r="5607" spans="2:2" s="221" customFormat="1" ht="12.75" x14ac:dyDescent="0.2">
      <c r="B5607" s="1168"/>
    </row>
    <row r="5608" spans="2:2" s="221" customFormat="1" ht="12.75" x14ac:dyDescent="0.2">
      <c r="B5608" s="1168"/>
    </row>
    <row r="5609" spans="2:2" s="221" customFormat="1" ht="12.75" x14ac:dyDescent="0.2">
      <c r="B5609" s="1168"/>
    </row>
    <row r="5610" spans="2:2" s="221" customFormat="1" ht="12.75" x14ac:dyDescent="0.2">
      <c r="B5610" s="1168"/>
    </row>
    <row r="5611" spans="2:2" s="221" customFormat="1" ht="12.75" x14ac:dyDescent="0.2">
      <c r="B5611" s="1168"/>
    </row>
    <row r="5612" spans="2:2" s="221" customFormat="1" ht="12.75" x14ac:dyDescent="0.2">
      <c r="B5612" s="1168"/>
    </row>
    <row r="5613" spans="2:2" s="221" customFormat="1" ht="12.75" x14ac:dyDescent="0.2">
      <c r="B5613" s="1168"/>
    </row>
    <row r="5614" spans="2:2" s="221" customFormat="1" ht="12.75" x14ac:dyDescent="0.2">
      <c r="B5614" s="1168"/>
    </row>
    <row r="5615" spans="2:2" s="221" customFormat="1" ht="12.75" x14ac:dyDescent="0.2">
      <c r="B5615" s="1168"/>
    </row>
    <row r="5616" spans="2:2" s="221" customFormat="1" ht="12.75" x14ac:dyDescent="0.2">
      <c r="B5616" s="1168"/>
    </row>
    <row r="5617" spans="2:2" s="221" customFormat="1" ht="12.75" x14ac:dyDescent="0.2">
      <c r="B5617" s="1168"/>
    </row>
    <row r="5618" spans="2:2" s="221" customFormat="1" ht="12.75" x14ac:dyDescent="0.2">
      <c r="B5618" s="1168"/>
    </row>
    <row r="5619" spans="2:2" s="221" customFormat="1" ht="12.75" x14ac:dyDescent="0.2">
      <c r="B5619" s="1168"/>
    </row>
    <row r="5620" spans="2:2" s="221" customFormat="1" ht="12.75" x14ac:dyDescent="0.2">
      <c r="B5620" s="1168"/>
    </row>
    <row r="5621" spans="2:2" s="221" customFormat="1" ht="12.75" x14ac:dyDescent="0.2">
      <c r="B5621" s="1168"/>
    </row>
    <row r="5622" spans="2:2" s="221" customFormat="1" ht="12.75" x14ac:dyDescent="0.2">
      <c r="B5622" s="1168"/>
    </row>
    <row r="5623" spans="2:2" s="221" customFormat="1" ht="12.75" x14ac:dyDescent="0.2">
      <c r="B5623" s="1168"/>
    </row>
    <row r="5624" spans="2:2" s="221" customFormat="1" ht="12.75" x14ac:dyDescent="0.2">
      <c r="B5624" s="1168"/>
    </row>
    <row r="5625" spans="2:2" s="221" customFormat="1" ht="12.75" x14ac:dyDescent="0.2">
      <c r="B5625" s="1168"/>
    </row>
    <row r="5626" spans="2:2" s="221" customFormat="1" ht="12.75" x14ac:dyDescent="0.2">
      <c r="B5626" s="1168"/>
    </row>
    <row r="5627" spans="2:2" s="221" customFormat="1" ht="12.75" x14ac:dyDescent="0.2">
      <c r="B5627" s="1168"/>
    </row>
    <row r="5628" spans="2:2" s="221" customFormat="1" ht="12.75" x14ac:dyDescent="0.2">
      <c r="B5628" s="1168"/>
    </row>
    <row r="5629" spans="2:2" s="221" customFormat="1" ht="12.75" x14ac:dyDescent="0.2">
      <c r="B5629" s="1168"/>
    </row>
    <row r="5630" spans="2:2" s="221" customFormat="1" ht="12.75" x14ac:dyDescent="0.2">
      <c r="B5630" s="1168"/>
    </row>
    <row r="5631" spans="2:2" s="221" customFormat="1" ht="12.75" x14ac:dyDescent="0.2">
      <c r="B5631" s="1168"/>
    </row>
    <row r="5632" spans="2:2" s="221" customFormat="1" ht="12.75" x14ac:dyDescent="0.2">
      <c r="B5632" s="1168"/>
    </row>
    <row r="5633" spans="2:2" s="221" customFormat="1" ht="12.75" x14ac:dyDescent="0.2">
      <c r="B5633" s="1168"/>
    </row>
    <row r="5634" spans="2:2" s="221" customFormat="1" ht="12.75" x14ac:dyDescent="0.2">
      <c r="B5634" s="1168"/>
    </row>
    <row r="5635" spans="2:2" s="221" customFormat="1" ht="12.75" x14ac:dyDescent="0.2">
      <c r="B5635" s="1168"/>
    </row>
    <row r="5636" spans="2:2" s="221" customFormat="1" ht="12.75" x14ac:dyDescent="0.2">
      <c r="B5636" s="1168"/>
    </row>
    <row r="5637" spans="2:2" s="221" customFormat="1" ht="12.75" x14ac:dyDescent="0.2">
      <c r="B5637" s="1168"/>
    </row>
    <row r="5638" spans="2:2" s="221" customFormat="1" ht="12.75" x14ac:dyDescent="0.2">
      <c r="B5638" s="1168"/>
    </row>
    <row r="5639" spans="2:2" s="221" customFormat="1" ht="12.75" x14ac:dyDescent="0.2">
      <c r="B5639" s="1168"/>
    </row>
    <row r="5640" spans="2:2" s="221" customFormat="1" ht="12.75" x14ac:dyDescent="0.2">
      <c r="B5640" s="1168"/>
    </row>
    <row r="5641" spans="2:2" s="221" customFormat="1" ht="12.75" x14ac:dyDescent="0.2">
      <c r="B5641" s="1168"/>
    </row>
    <row r="5642" spans="2:2" s="221" customFormat="1" ht="12.75" x14ac:dyDescent="0.2">
      <c r="B5642" s="1168"/>
    </row>
    <row r="5643" spans="2:2" s="221" customFormat="1" ht="12.75" x14ac:dyDescent="0.2">
      <c r="B5643" s="1168"/>
    </row>
    <row r="5644" spans="2:2" s="221" customFormat="1" ht="12.75" x14ac:dyDescent="0.2">
      <c r="B5644" s="1168"/>
    </row>
    <row r="5645" spans="2:2" s="221" customFormat="1" ht="12.75" x14ac:dyDescent="0.2">
      <c r="B5645" s="1168"/>
    </row>
    <row r="5646" spans="2:2" s="221" customFormat="1" ht="12.75" x14ac:dyDescent="0.2">
      <c r="B5646" s="1168"/>
    </row>
    <row r="5647" spans="2:2" s="221" customFormat="1" ht="12.75" x14ac:dyDescent="0.2">
      <c r="B5647" s="1168"/>
    </row>
    <row r="5648" spans="2:2" s="221" customFormat="1" ht="12.75" x14ac:dyDescent="0.2">
      <c r="B5648" s="1168"/>
    </row>
    <row r="5649" spans="2:2" s="221" customFormat="1" ht="12.75" x14ac:dyDescent="0.2">
      <c r="B5649" s="1168"/>
    </row>
    <row r="5650" spans="2:2" s="221" customFormat="1" ht="12.75" x14ac:dyDescent="0.2">
      <c r="B5650" s="1168"/>
    </row>
    <row r="5651" spans="2:2" s="221" customFormat="1" ht="12.75" x14ac:dyDescent="0.2">
      <c r="B5651" s="1168"/>
    </row>
    <row r="5652" spans="2:2" s="221" customFormat="1" ht="12.75" x14ac:dyDescent="0.2">
      <c r="B5652" s="1168"/>
    </row>
    <row r="5653" spans="2:2" s="221" customFormat="1" ht="12.75" x14ac:dyDescent="0.2">
      <c r="B5653" s="1168"/>
    </row>
    <row r="5654" spans="2:2" s="221" customFormat="1" ht="12.75" x14ac:dyDescent="0.2">
      <c r="B5654" s="1168"/>
    </row>
    <row r="5655" spans="2:2" s="221" customFormat="1" ht="12.75" x14ac:dyDescent="0.2">
      <c r="B5655" s="1168"/>
    </row>
    <row r="5656" spans="2:2" s="221" customFormat="1" ht="12.75" x14ac:dyDescent="0.2">
      <c r="B5656" s="1168"/>
    </row>
    <row r="5657" spans="2:2" s="221" customFormat="1" ht="12.75" x14ac:dyDescent="0.2">
      <c r="B5657" s="1168"/>
    </row>
    <row r="5658" spans="2:2" s="221" customFormat="1" ht="12.75" x14ac:dyDescent="0.2">
      <c r="B5658" s="1168"/>
    </row>
    <row r="5659" spans="2:2" s="221" customFormat="1" ht="12.75" x14ac:dyDescent="0.2">
      <c r="B5659" s="1168"/>
    </row>
    <row r="5660" spans="2:2" s="221" customFormat="1" ht="12.75" x14ac:dyDescent="0.2">
      <c r="B5660" s="1168"/>
    </row>
    <row r="5661" spans="2:2" s="221" customFormat="1" ht="12.75" x14ac:dyDescent="0.2">
      <c r="B5661" s="1168"/>
    </row>
    <row r="5662" spans="2:2" s="221" customFormat="1" ht="12.75" x14ac:dyDescent="0.2">
      <c r="B5662" s="1168"/>
    </row>
    <row r="5663" spans="2:2" s="221" customFormat="1" ht="12.75" x14ac:dyDescent="0.2">
      <c r="B5663" s="1168"/>
    </row>
    <row r="5664" spans="2:2" s="221" customFormat="1" ht="12.75" x14ac:dyDescent="0.2">
      <c r="B5664" s="1168"/>
    </row>
    <row r="5665" spans="2:2" s="221" customFormat="1" ht="12.75" x14ac:dyDescent="0.2">
      <c r="B5665" s="1168"/>
    </row>
    <row r="5666" spans="2:2" s="221" customFormat="1" ht="12.75" x14ac:dyDescent="0.2">
      <c r="B5666" s="1168"/>
    </row>
    <row r="5667" spans="2:2" s="221" customFormat="1" ht="12.75" x14ac:dyDescent="0.2">
      <c r="B5667" s="1168"/>
    </row>
    <row r="5668" spans="2:2" s="221" customFormat="1" ht="12.75" x14ac:dyDescent="0.2">
      <c r="B5668" s="1168"/>
    </row>
    <row r="5669" spans="2:2" s="221" customFormat="1" ht="12.75" x14ac:dyDescent="0.2">
      <c r="B5669" s="1168"/>
    </row>
    <row r="5670" spans="2:2" s="221" customFormat="1" ht="12.75" x14ac:dyDescent="0.2">
      <c r="B5670" s="1168"/>
    </row>
    <row r="5671" spans="2:2" s="221" customFormat="1" ht="12.75" x14ac:dyDescent="0.2">
      <c r="B5671" s="1168"/>
    </row>
    <row r="5672" spans="2:2" s="221" customFormat="1" ht="12.75" x14ac:dyDescent="0.2">
      <c r="B5672" s="1168"/>
    </row>
    <row r="5673" spans="2:2" s="221" customFormat="1" ht="12.75" x14ac:dyDescent="0.2">
      <c r="B5673" s="1168"/>
    </row>
    <row r="5674" spans="2:2" s="221" customFormat="1" ht="12.75" x14ac:dyDescent="0.2">
      <c r="B5674" s="1168"/>
    </row>
    <row r="5675" spans="2:2" s="221" customFormat="1" ht="12.75" x14ac:dyDescent="0.2">
      <c r="B5675" s="1168"/>
    </row>
    <row r="5676" spans="2:2" s="221" customFormat="1" ht="12.75" x14ac:dyDescent="0.2">
      <c r="B5676" s="1168"/>
    </row>
    <row r="5677" spans="2:2" s="221" customFormat="1" ht="12.75" x14ac:dyDescent="0.2">
      <c r="B5677" s="1168"/>
    </row>
    <row r="5678" spans="2:2" s="221" customFormat="1" ht="12.75" x14ac:dyDescent="0.2">
      <c r="B5678" s="1168"/>
    </row>
    <row r="5679" spans="2:2" s="221" customFormat="1" ht="12.75" x14ac:dyDescent="0.2">
      <c r="B5679" s="1168"/>
    </row>
    <row r="5680" spans="2:2" s="221" customFormat="1" ht="12.75" x14ac:dyDescent="0.2">
      <c r="B5680" s="1168"/>
    </row>
    <row r="5681" spans="2:2" s="221" customFormat="1" ht="12.75" x14ac:dyDescent="0.2">
      <c r="B5681" s="1168"/>
    </row>
    <row r="5682" spans="2:2" s="221" customFormat="1" ht="12.75" x14ac:dyDescent="0.2">
      <c r="B5682" s="1168"/>
    </row>
    <row r="5683" spans="2:2" s="221" customFormat="1" ht="12.75" x14ac:dyDescent="0.2">
      <c r="B5683" s="1168"/>
    </row>
    <row r="5684" spans="2:2" s="221" customFormat="1" ht="12.75" x14ac:dyDescent="0.2">
      <c r="B5684" s="1168"/>
    </row>
    <row r="5685" spans="2:2" s="221" customFormat="1" ht="12.75" x14ac:dyDescent="0.2">
      <c r="B5685" s="1168"/>
    </row>
    <row r="5686" spans="2:2" s="221" customFormat="1" ht="12.75" x14ac:dyDescent="0.2">
      <c r="B5686" s="1168"/>
    </row>
    <row r="5687" spans="2:2" s="221" customFormat="1" ht="12.75" x14ac:dyDescent="0.2">
      <c r="B5687" s="1168"/>
    </row>
    <row r="5688" spans="2:2" s="221" customFormat="1" ht="12.75" x14ac:dyDescent="0.2">
      <c r="B5688" s="1168"/>
    </row>
    <row r="5689" spans="2:2" s="221" customFormat="1" ht="12.75" x14ac:dyDescent="0.2">
      <c r="B5689" s="1168"/>
    </row>
    <row r="5690" spans="2:2" s="221" customFormat="1" ht="12.75" x14ac:dyDescent="0.2">
      <c r="B5690" s="1168"/>
    </row>
    <row r="5691" spans="2:2" s="221" customFormat="1" ht="12.75" x14ac:dyDescent="0.2">
      <c r="B5691" s="1168"/>
    </row>
    <row r="5692" spans="2:2" s="221" customFormat="1" ht="12.75" x14ac:dyDescent="0.2">
      <c r="B5692" s="1168"/>
    </row>
    <row r="5693" spans="2:2" s="221" customFormat="1" ht="12.75" x14ac:dyDescent="0.2">
      <c r="B5693" s="1168"/>
    </row>
    <row r="5694" spans="2:2" s="221" customFormat="1" ht="12.75" x14ac:dyDescent="0.2">
      <c r="B5694" s="1168"/>
    </row>
    <row r="5695" spans="2:2" s="221" customFormat="1" ht="12.75" x14ac:dyDescent="0.2">
      <c r="B5695" s="1168"/>
    </row>
    <row r="5696" spans="2:2" s="221" customFormat="1" ht="12.75" x14ac:dyDescent="0.2">
      <c r="B5696" s="1168"/>
    </row>
    <row r="5697" spans="2:2" s="221" customFormat="1" ht="12.75" x14ac:dyDescent="0.2">
      <c r="B5697" s="1168"/>
    </row>
    <row r="5698" spans="2:2" s="221" customFormat="1" ht="12.75" x14ac:dyDescent="0.2">
      <c r="B5698" s="1168"/>
    </row>
    <row r="5699" spans="2:2" s="221" customFormat="1" ht="12.75" x14ac:dyDescent="0.2">
      <c r="B5699" s="1168"/>
    </row>
    <row r="5700" spans="2:2" s="221" customFormat="1" ht="12.75" x14ac:dyDescent="0.2">
      <c r="B5700" s="1168"/>
    </row>
    <row r="5701" spans="2:2" s="221" customFormat="1" ht="12.75" x14ac:dyDescent="0.2">
      <c r="B5701" s="1168"/>
    </row>
    <row r="5702" spans="2:2" s="221" customFormat="1" ht="12.75" x14ac:dyDescent="0.2">
      <c r="B5702" s="1168"/>
    </row>
    <row r="5703" spans="2:2" s="221" customFormat="1" ht="12.75" x14ac:dyDescent="0.2">
      <c r="B5703" s="1168"/>
    </row>
    <row r="5704" spans="2:2" s="221" customFormat="1" ht="12.75" x14ac:dyDescent="0.2">
      <c r="B5704" s="1168"/>
    </row>
    <row r="5705" spans="2:2" s="221" customFormat="1" ht="12.75" x14ac:dyDescent="0.2">
      <c r="B5705" s="1168"/>
    </row>
    <row r="5706" spans="2:2" s="221" customFormat="1" ht="12.75" x14ac:dyDescent="0.2">
      <c r="B5706" s="1168"/>
    </row>
    <row r="5707" spans="2:2" s="221" customFormat="1" ht="12.75" x14ac:dyDescent="0.2">
      <c r="B5707" s="1168"/>
    </row>
    <row r="5708" spans="2:2" s="221" customFormat="1" ht="12.75" x14ac:dyDescent="0.2">
      <c r="B5708" s="1168"/>
    </row>
    <row r="5709" spans="2:2" s="221" customFormat="1" ht="12.75" x14ac:dyDescent="0.2">
      <c r="B5709" s="1168"/>
    </row>
    <row r="5710" spans="2:2" s="221" customFormat="1" ht="12.75" x14ac:dyDescent="0.2">
      <c r="B5710" s="1168"/>
    </row>
    <row r="5711" spans="2:2" s="221" customFormat="1" ht="12.75" x14ac:dyDescent="0.2">
      <c r="B5711" s="1168"/>
    </row>
    <row r="5712" spans="2:2" s="221" customFormat="1" ht="12.75" x14ac:dyDescent="0.2">
      <c r="B5712" s="1168"/>
    </row>
    <row r="5713" spans="2:2" s="221" customFormat="1" ht="12.75" x14ac:dyDescent="0.2">
      <c r="B5713" s="1168"/>
    </row>
    <row r="5714" spans="2:2" s="221" customFormat="1" ht="12.75" x14ac:dyDescent="0.2">
      <c r="B5714" s="1168"/>
    </row>
    <row r="5715" spans="2:2" s="221" customFormat="1" ht="12.75" x14ac:dyDescent="0.2">
      <c r="B5715" s="1168"/>
    </row>
    <row r="5716" spans="2:2" s="221" customFormat="1" ht="12.75" x14ac:dyDescent="0.2">
      <c r="B5716" s="1168"/>
    </row>
    <row r="5717" spans="2:2" s="221" customFormat="1" ht="12.75" x14ac:dyDescent="0.2">
      <c r="B5717" s="1168"/>
    </row>
    <row r="5718" spans="2:2" s="221" customFormat="1" ht="12.75" x14ac:dyDescent="0.2">
      <c r="B5718" s="1168"/>
    </row>
    <row r="5719" spans="2:2" s="221" customFormat="1" ht="12.75" x14ac:dyDescent="0.2">
      <c r="B5719" s="1168"/>
    </row>
    <row r="5720" spans="2:2" s="221" customFormat="1" ht="12.75" x14ac:dyDescent="0.2">
      <c r="B5720" s="1168"/>
    </row>
    <row r="5721" spans="2:2" s="221" customFormat="1" ht="12.75" x14ac:dyDescent="0.2">
      <c r="B5721" s="1168"/>
    </row>
    <row r="5722" spans="2:2" s="221" customFormat="1" ht="12.75" x14ac:dyDescent="0.2">
      <c r="B5722" s="1168"/>
    </row>
    <row r="5723" spans="2:2" s="221" customFormat="1" ht="12.75" x14ac:dyDescent="0.2">
      <c r="B5723" s="1168"/>
    </row>
    <row r="5724" spans="2:2" s="221" customFormat="1" ht="12.75" x14ac:dyDescent="0.2">
      <c r="B5724" s="1168"/>
    </row>
    <row r="5725" spans="2:2" s="221" customFormat="1" ht="12.75" x14ac:dyDescent="0.2">
      <c r="B5725" s="1168"/>
    </row>
    <row r="5726" spans="2:2" s="221" customFormat="1" ht="12.75" x14ac:dyDescent="0.2">
      <c r="B5726" s="1168"/>
    </row>
    <row r="5727" spans="2:2" s="221" customFormat="1" ht="12.75" x14ac:dyDescent="0.2">
      <c r="B5727" s="1168"/>
    </row>
    <row r="5728" spans="2:2" s="221" customFormat="1" ht="12.75" x14ac:dyDescent="0.2">
      <c r="B5728" s="1168"/>
    </row>
    <row r="5729" spans="2:2" s="221" customFormat="1" ht="12.75" x14ac:dyDescent="0.2">
      <c r="B5729" s="1168"/>
    </row>
    <row r="5730" spans="2:2" s="221" customFormat="1" ht="12.75" x14ac:dyDescent="0.2">
      <c r="B5730" s="1168"/>
    </row>
    <row r="5731" spans="2:2" s="221" customFormat="1" ht="12.75" x14ac:dyDescent="0.2">
      <c r="B5731" s="1168"/>
    </row>
    <row r="5732" spans="2:2" s="221" customFormat="1" ht="12.75" x14ac:dyDescent="0.2">
      <c r="B5732" s="1168"/>
    </row>
    <row r="5733" spans="2:2" s="221" customFormat="1" ht="12.75" x14ac:dyDescent="0.2">
      <c r="B5733" s="1168"/>
    </row>
    <row r="5734" spans="2:2" s="221" customFormat="1" ht="12.75" x14ac:dyDescent="0.2">
      <c r="B5734" s="1168"/>
    </row>
    <row r="5735" spans="2:2" s="221" customFormat="1" ht="12.75" x14ac:dyDescent="0.2">
      <c r="B5735" s="1168"/>
    </row>
    <row r="5736" spans="2:2" s="221" customFormat="1" ht="12.75" x14ac:dyDescent="0.2">
      <c r="B5736" s="1168"/>
    </row>
    <row r="5737" spans="2:2" s="221" customFormat="1" ht="12.75" x14ac:dyDescent="0.2">
      <c r="B5737" s="1168"/>
    </row>
    <row r="5738" spans="2:2" s="221" customFormat="1" ht="12.75" x14ac:dyDescent="0.2">
      <c r="B5738" s="1168"/>
    </row>
    <row r="5739" spans="2:2" s="221" customFormat="1" ht="12.75" x14ac:dyDescent="0.2">
      <c r="B5739" s="1168"/>
    </row>
    <row r="5740" spans="2:2" s="221" customFormat="1" ht="12.75" x14ac:dyDescent="0.2">
      <c r="B5740" s="1168"/>
    </row>
    <row r="5741" spans="2:2" s="221" customFormat="1" ht="12.75" x14ac:dyDescent="0.2">
      <c r="B5741" s="1168"/>
    </row>
    <row r="5742" spans="2:2" s="221" customFormat="1" ht="12.75" x14ac:dyDescent="0.2">
      <c r="B5742" s="1168"/>
    </row>
    <row r="5743" spans="2:2" s="221" customFormat="1" ht="12.75" x14ac:dyDescent="0.2">
      <c r="B5743" s="1168"/>
    </row>
    <row r="5744" spans="2:2" s="221" customFormat="1" ht="12.75" x14ac:dyDescent="0.2">
      <c r="B5744" s="1168"/>
    </row>
    <row r="5745" spans="2:2" s="221" customFormat="1" ht="12.75" x14ac:dyDescent="0.2">
      <c r="B5745" s="1168"/>
    </row>
    <row r="5746" spans="2:2" s="221" customFormat="1" ht="12.75" x14ac:dyDescent="0.2">
      <c r="B5746" s="1168"/>
    </row>
    <row r="5747" spans="2:2" s="221" customFormat="1" ht="12.75" x14ac:dyDescent="0.2">
      <c r="B5747" s="1168"/>
    </row>
    <row r="5748" spans="2:2" s="221" customFormat="1" ht="12.75" x14ac:dyDescent="0.2">
      <c r="B5748" s="1168"/>
    </row>
    <row r="5749" spans="2:2" s="221" customFormat="1" ht="12.75" x14ac:dyDescent="0.2">
      <c r="B5749" s="1168"/>
    </row>
    <row r="5750" spans="2:2" s="221" customFormat="1" ht="12.75" x14ac:dyDescent="0.2">
      <c r="B5750" s="1168"/>
    </row>
    <row r="5751" spans="2:2" s="221" customFormat="1" ht="12.75" x14ac:dyDescent="0.2">
      <c r="B5751" s="1168"/>
    </row>
    <row r="5752" spans="2:2" s="221" customFormat="1" ht="12.75" x14ac:dyDescent="0.2">
      <c r="B5752" s="1168"/>
    </row>
    <row r="5753" spans="2:2" s="221" customFormat="1" ht="12.75" x14ac:dyDescent="0.2">
      <c r="B5753" s="1168"/>
    </row>
    <row r="5754" spans="2:2" s="221" customFormat="1" ht="12.75" x14ac:dyDescent="0.2">
      <c r="B5754" s="1168"/>
    </row>
    <row r="5755" spans="2:2" s="221" customFormat="1" ht="12.75" x14ac:dyDescent="0.2">
      <c r="B5755" s="1168"/>
    </row>
    <row r="5756" spans="2:2" s="221" customFormat="1" ht="12.75" x14ac:dyDescent="0.2">
      <c r="B5756" s="1168"/>
    </row>
    <row r="5757" spans="2:2" s="221" customFormat="1" ht="12.75" x14ac:dyDescent="0.2">
      <c r="B5757" s="1168"/>
    </row>
    <row r="5758" spans="2:2" s="221" customFormat="1" ht="12.75" x14ac:dyDescent="0.2">
      <c r="B5758" s="1168"/>
    </row>
    <row r="5759" spans="2:2" s="221" customFormat="1" ht="12.75" x14ac:dyDescent="0.2">
      <c r="B5759" s="1168"/>
    </row>
    <row r="5760" spans="2:2" s="221" customFormat="1" ht="12.75" x14ac:dyDescent="0.2">
      <c r="B5760" s="1168"/>
    </row>
    <row r="5761" spans="2:2" s="221" customFormat="1" ht="12.75" x14ac:dyDescent="0.2">
      <c r="B5761" s="1168"/>
    </row>
    <row r="5762" spans="2:2" s="221" customFormat="1" ht="12.75" x14ac:dyDescent="0.2">
      <c r="B5762" s="1168"/>
    </row>
    <row r="5763" spans="2:2" s="221" customFormat="1" ht="12.75" x14ac:dyDescent="0.2">
      <c r="B5763" s="1168"/>
    </row>
    <row r="5764" spans="2:2" s="221" customFormat="1" ht="12.75" x14ac:dyDescent="0.2">
      <c r="B5764" s="1168"/>
    </row>
    <row r="5765" spans="2:2" s="221" customFormat="1" ht="12.75" x14ac:dyDescent="0.2">
      <c r="B5765" s="1168"/>
    </row>
    <row r="5766" spans="2:2" s="221" customFormat="1" ht="12.75" x14ac:dyDescent="0.2">
      <c r="B5766" s="1168"/>
    </row>
    <row r="5767" spans="2:2" s="221" customFormat="1" ht="12.75" x14ac:dyDescent="0.2">
      <c r="B5767" s="1168"/>
    </row>
    <row r="5768" spans="2:2" s="221" customFormat="1" ht="12.75" x14ac:dyDescent="0.2">
      <c r="B5768" s="1168"/>
    </row>
    <row r="5769" spans="2:2" s="221" customFormat="1" ht="12.75" x14ac:dyDescent="0.2">
      <c r="B5769" s="1168"/>
    </row>
    <row r="5770" spans="2:2" s="221" customFormat="1" ht="12.75" x14ac:dyDescent="0.2">
      <c r="B5770" s="1168"/>
    </row>
    <row r="5771" spans="2:2" s="221" customFormat="1" ht="12.75" x14ac:dyDescent="0.2">
      <c r="B5771" s="1168"/>
    </row>
    <row r="5772" spans="2:2" s="221" customFormat="1" ht="12.75" x14ac:dyDescent="0.2">
      <c r="B5772" s="1168"/>
    </row>
    <row r="5773" spans="2:2" s="221" customFormat="1" ht="12.75" x14ac:dyDescent="0.2">
      <c r="B5773" s="1168"/>
    </row>
    <row r="5774" spans="2:2" s="221" customFormat="1" ht="12.75" x14ac:dyDescent="0.2">
      <c r="B5774" s="1168"/>
    </row>
    <row r="5775" spans="2:2" s="221" customFormat="1" ht="12.75" x14ac:dyDescent="0.2">
      <c r="B5775" s="1168"/>
    </row>
    <row r="5776" spans="2:2" s="221" customFormat="1" ht="12.75" x14ac:dyDescent="0.2">
      <c r="B5776" s="1168"/>
    </row>
    <row r="5777" spans="2:2" s="221" customFormat="1" ht="12.75" x14ac:dyDescent="0.2">
      <c r="B5777" s="1168"/>
    </row>
    <row r="5778" spans="2:2" s="221" customFormat="1" ht="12.75" x14ac:dyDescent="0.2">
      <c r="B5778" s="1168"/>
    </row>
    <row r="5779" spans="2:2" s="221" customFormat="1" ht="12.75" x14ac:dyDescent="0.2">
      <c r="B5779" s="1168"/>
    </row>
    <row r="5780" spans="2:2" s="221" customFormat="1" ht="12.75" x14ac:dyDescent="0.2">
      <c r="B5780" s="1168"/>
    </row>
    <row r="5781" spans="2:2" s="221" customFormat="1" ht="12.75" x14ac:dyDescent="0.2">
      <c r="B5781" s="1168"/>
    </row>
    <row r="5782" spans="2:2" s="221" customFormat="1" ht="12.75" x14ac:dyDescent="0.2">
      <c r="B5782" s="1168"/>
    </row>
    <row r="5783" spans="2:2" s="221" customFormat="1" ht="12.75" x14ac:dyDescent="0.2">
      <c r="B5783" s="1168"/>
    </row>
    <row r="5784" spans="2:2" s="221" customFormat="1" ht="12.75" x14ac:dyDescent="0.2">
      <c r="B5784" s="1168"/>
    </row>
    <row r="5785" spans="2:2" s="221" customFormat="1" ht="12.75" x14ac:dyDescent="0.2">
      <c r="B5785" s="1168"/>
    </row>
    <row r="5786" spans="2:2" s="221" customFormat="1" ht="12.75" x14ac:dyDescent="0.2">
      <c r="B5786" s="1168"/>
    </row>
    <row r="5787" spans="2:2" s="221" customFormat="1" ht="12.75" x14ac:dyDescent="0.2">
      <c r="B5787" s="1168"/>
    </row>
    <row r="5788" spans="2:2" s="221" customFormat="1" ht="12.75" x14ac:dyDescent="0.2">
      <c r="B5788" s="1168"/>
    </row>
    <row r="5789" spans="2:2" s="221" customFormat="1" ht="12.75" x14ac:dyDescent="0.2">
      <c r="B5789" s="1168"/>
    </row>
    <row r="5790" spans="2:2" s="221" customFormat="1" ht="12.75" x14ac:dyDescent="0.2">
      <c r="B5790" s="1168"/>
    </row>
    <row r="5791" spans="2:2" s="221" customFormat="1" ht="12.75" x14ac:dyDescent="0.2">
      <c r="B5791" s="1168"/>
    </row>
    <row r="5792" spans="2:2" s="221" customFormat="1" ht="12.75" x14ac:dyDescent="0.2">
      <c r="B5792" s="1168"/>
    </row>
    <row r="5793" spans="2:2" s="221" customFormat="1" ht="12.75" x14ac:dyDescent="0.2">
      <c r="B5793" s="1168"/>
    </row>
    <row r="5794" spans="2:2" s="221" customFormat="1" ht="12.75" x14ac:dyDescent="0.2">
      <c r="B5794" s="1168"/>
    </row>
    <row r="5795" spans="2:2" s="221" customFormat="1" ht="12.75" x14ac:dyDescent="0.2">
      <c r="B5795" s="1168"/>
    </row>
    <row r="5796" spans="2:2" s="221" customFormat="1" ht="12.75" x14ac:dyDescent="0.2">
      <c r="B5796" s="1168"/>
    </row>
    <row r="5797" spans="2:2" s="221" customFormat="1" ht="12.75" x14ac:dyDescent="0.2">
      <c r="B5797" s="1168"/>
    </row>
    <row r="5798" spans="2:2" s="221" customFormat="1" ht="12.75" x14ac:dyDescent="0.2">
      <c r="B5798" s="1168"/>
    </row>
    <row r="5799" spans="2:2" s="221" customFormat="1" ht="12.75" x14ac:dyDescent="0.2">
      <c r="B5799" s="1168"/>
    </row>
    <row r="5800" spans="2:2" s="221" customFormat="1" ht="12.75" x14ac:dyDescent="0.2">
      <c r="B5800" s="1168"/>
    </row>
    <row r="5801" spans="2:2" s="221" customFormat="1" ht="12.75" x14ac:dyDescent="0.2">
      <c r="B5801" s="1168"/>
    </row>
    <row r="5802" spans="2:2" s="221" customFormat="1" ht="12.75" x14ac:dyDescent="0.2">
      <c r="B5802" s="1168"/>
    </row>
    <row r="5803" spans="2:2" s="221" customFormat="1" ht="12.75" x14ac:dyDescent="0.2">
      <c r="B5803" s="1168"/>
    </row>
    <row r="5804" spans="2:2" s="221" customFormat="1" ht="12.75" x14ac:dyDescent="0.2">
      <c r="B5804" s="1168"/>
    </row>
    <row r="5805" spans="2:2" s="221" customFormat="1" ht="12.75" x14ac:dyDescent="0.2">
      <c r="B5805" s="1168"/>
    </row>
    <row r="5806" spans="2:2" s="221" customFormat="1" ht="12.75" x14ac:dyDescent="0.2">
      <c r="B5806" s="1168"/>
    </row>
    <row r="5807" spans="2:2" s="221" customFormat="1" ht="12.75" x14ac:dyDescent="0.2">
      <c r="B5807" s="1168"/>
    </row>
    <row r="5808" spans="2:2" s="221" customFormat="1" ht="12.75" x14ac:dyDescent="0.2">
      <c r="B5808" s="1168"/>
    </row>
    <row r="5809" spans="2:2" s="221" customFormat="1" ht="12.75" x14ac:dyDescent="0.2">
      <c r="B5809" s="1168"/>
    </row>
    <row r="5810" spans="2:2" s="221" customFormat="1" ht="12.75" x14ac:dyDescent="0.2">
      <c r="B5810" s="1168"/>
    </row>
    <row r="5811" spans="2:2" s="221" customFormat="1" ht="12.75" x14ac:dyDescent="0.2">
      <c r="B5811" s="1168"/>
    </row>
    <row r="5812" spans="2:2" s="221" customFormat="1" ht="12.75" x14ac:dyDescent="0.2">
      <c r="B5812" s="1168"/>
    </row>
    <row r="5813" spans="2:2" s="221" customFormat="1" ht="12.75" x14ac:dyDescent="0.2">
      <c r="B5813" s="1168"/>
    </row>
    <row r="5814" spans="2:2" s="221" customFormat="1" ht="12.75" x14ac:dyDescent="0.2">
      <c r="B5814" s="1168"/>
    </row>
    <row r="5815" spans="2:2" s="221" customFormat="1" ht="12.75" x14ac:dyDescent="0.2">
      <c r="B5815" s="1168"/>
    </row>
    <row r="5816" spans="2:2" s="221" customFormat="1" ht="12.75" x14ac:dyDescent="0.2">
      <c r="B5816" s="1168"/>
    </row>
    <row r="5817" spans="2:2" s="221" customFormat="1" ht="12.75" x14ac:dyDescent="0.2">
      <c r="B5817" s="1168"/>
    </row>
    <row r="5818" spans="2:2" s="221" customFormat="1" ht="12.75" x14ac:dyDescent="0.2">
      <c r="B5818" s="1168"/>
    </row>
    <row r="5819" spans="2:2" s="221" customFormat="1" ht="12.75" x14ac:dyDescent="0.2">
      <c r="B5819" s="1168"/>
    </row>
    <row r="5820" spans="2:2" s="221" customFormat="1" ht="12.75" x14ac:dyDescent="0.2">
      <c r="B5820" s="1168"/>
    </row>
    <row r="5821" spans="2:2" s="221" customFormat="1" ht="12.75" x14ac:dyDescent="0.2">
      <c r="B5821" s="1168"/>
    </row>
    <row r="5822" spans="2:2" s="221" customFormat="1" ht="12.75" x14ac:dyDescent="0.2">
      <c r="B5822" s="1168"/>
    </row>
    <row r="5823" spans="2:2" s="221" customFormat="1" ht="12.75" x14ac:dyDescent="0.2">
      <c r="B5823" s="1168"/>
    </row>
    <row r="5824" spans="2:2" s="221" customFormat="1" ht="12.75" x14ac:dyDescent="0.2">
      <c r="B5824" s="1168"/>
    </row>
    <row r="5825" spans="2:2" s="221" customFormat="1" ht="12.75" x14ac:dyDescent="0.2">
      <c r="B5825" s="1168"/>
    </row>
    <row r="5826" spans="2:2" s="221" customFormat="1" ht="12.75" x14ac:dyDescent="0.2">
      <c r="B5826" s="1168"/>
    </row>
    <row r="5827" spans="2:2" s="221" customFormat="1" ht="12.75" x14ac:dyDescent="0.2">
      <c r="B5827" s="1168"/>
    </row>
    <row r="5828" spans="2:2" s="221" customFormat="1" ht="12.75" x14ac:dyDescent="0.2">
      <c r="B5828" s="1168"/>
    </row>
    <row r="5829" spans="2:2" s="221" customFormat="1" ht="12.75" x14ac:dyDescent="0.2">
      <c r="B5829" s="1168"/>
    </row>
    <row r="5830" spans="2:2" s="221" customFormat="1" ht="12.75" x14ac:dyDescent="0.2">
      <c r="B5830" s="1168"/>
    </row>
    <row r="5831" spans="2:2" s="221" customFormat="1" ht="12.75" x14ac:dyDescent="0.2">
      <c r="B5831" s="1168"/>
    </row>
    <row r="5832" spans="2:2" s="221" customFormat="1" ht="12.75" x14ac:dyDescent="0.2">
      <c r="B5832" s="1168"/>
    </row>
    <row r="5833" spans="2:2" s="221" customFormat="1" ht="12.75" x14ac:dyDescent="0.2">
      <c r="B5833" s="1168"/>
    </row>
    <row r="5834" spans="2:2" s="221" customFormat="1" ht="12.75" x14ac:dyDescent="0.2">
      <c r="B5834" s="1168"/>
    </row>
    <row r="5835" spans="2:2" s="221" customFormat="1" ht="12.75" x14ac:dyDescent="0.2">
      <c r="B5835" s="1168"/>
    </row>
    <row r="5836" spans="2:2" s="221" customFormat="1" ht="12.75" x14ac:dyDescent="0.2">
      <c r="B5836" s="1168"/>
    </row>
    <row r="5837" spans="2:2" s="221" customFormat="1" ht="12.75" x14ac:dyDescent="0.2">
      <c r="B5837" s="1168"/>
    </row>
    <row r="5838" spans="2:2" s="221" customFormat="1" ht="12.75" x14ac:dyDescent="0.2">
      <c r="B5838" s="1168"/>
    </row>
    <row r="5839" spans="2:2" s="221" customFormat="1" ht="12.75" x14ac:dyDescent="0.2">
      <c r="B5839" s="1168"/>
    </row>
    <row r="5840" spans="2:2" s="221" customFormat="1" ht="12.75" x14ac:dyDescent="0.2">
      <c r="B5840" s="1168"/>
    </row>
    <row r="5841" spans="2:2" s="221" customFormat="1" ht="12.75" x14ac:dyDescent="0.2">
      <c r="B5841" s="1168"/>
    </row>
    <row r="5842" spans="2:2" s="221" customFormat="1" ht="12.75" x14ac:dyDescent="0.2">
      <c r="B5842" s="1168"/>
    </row>
    <row r="5843" spans="2:2" s="221" customFormat="1" ht="12.75" x14ac:dyDescent="0.2">
      <c r="B5843" s="1168"/>
    </row>
    <row r="5844" spans="2:2" s="221" customFormat="1" ht="12.75" x14ac:dyDescent="0.2">
      <c r="B5844" s="1168"/>
    </row>
    <row r="5845" spans="2:2" s="221" customFormat="1" ht="12.75" x14ac:dyDescent="0.2">
      <c r="B5845" s="1168"/>
    </row>
    <row r="5846" spans="2:2" s="221" customFormat="1" ht="12.75" x14ac:dyDescent="0.2">
      <c r="B5846" s="1168"/>
    </row>
    <row r="5847" spans="2:2" s="221" customFormat="1" ht="12.75" x14ac:dyDescent="0.2">
      <c r="B5847" s="1168"/>
    </row>
    <row r="5848" spans="2:2" s="221" customFormat="1" ht="12.75" x14ac:dyDescent="0.2">
      <c r="B5848" s="1168"/>
    </row>
    <row r="5849" spans="2:2" s="221" customFormat="1" ht="12.75" x14ac:dyDescent="0.2">
      <c r="B5849" s="1168"/>
    </row>
    <row r="5850" spans="2:2" s="221" customFormat="1" ht="12.75" x14ac:dyDescent="0.2">
      <c r="B5850" s="1168"/>
    </row>
    <row r="5851" spans="2:2" s="221" customFormat="1" ht="12.75" x14ac:dyDescent="0.2">
      <c r="B5851" s="1168"/>
    </row>
    <row r="5852" spans="2:2" s="221" customFormat="1" ht="12.75" x14ac:dyDescent="0.2">
      <c r="B5852" s="1168"/>
    </row>
    <row r="5853" spans="2:2" s="221" customFormat="1" ht="12.75" x14ac:dyDescent="0.2">
      <c r="B5853" s="1168"/>
    </row>
    <row r="5854" spans="2:2" s="221" customFormat="1" ht="12.75" x14ac:dyDescent="0.2">
      <c r="B5854" s="1168"/>
    </row>
    <row r="5855" spans="2:2" s="221" customFormat="1" ht="12.75" x14ac:dyDescent="0.2">
      <c r="B5855" s="1168"/>
    </row>
    <row r="5856" spans="2:2" s="221" customFormat="1" ht="12.75" x14ac:dyDescent="0.2">
      <c r="B5856" s="1168"/>
    </row>
    <row r="5857" spans="2:2" s="221" customFormat="1" ht="12.75" x14ac:dyDescent="0.2">
      <c r="B5857" s="1168"/>
    </row>
    <row r="5858" spans="2:2" s="221" customFormat="1" ht="12.75" x14ac:dyDescent="0.2">
      <c r="B5858" s="1168"/>
    </row>
    <row r="5859" spans="2:2" s="221" customFormat="1" ht="12.75" x14ac:dyDescent="0.2">
      <c r="B5859" s="1168"/>
    </row>
    <row r="5860" spans="2:2" s="221" customFormat="1" ht="12.75" x14ac:dyDescent="0.2">
      <c r="B5860" s="1168"/>
    </row>
    <row r="5861" spans="2:2" s="221" customFormat="1" ht="12.75" x14ac:dyDescent="0.2">
      <c r="B5861" s="1168"/>
    </row>
    <row r="5862" spans="2:2" s="221" customFormat="1" ht="12.75" x14ac:dyDescent="0.2">
      <c r="B5862" s="1168"/>
    </row>
    <row r="5863" spans="2:2" s="221" customFormat="1" ht="12.75" x14ac:dyDescent="0.2">
      <c r="B5863" s="1168"/>
    </row>
    <row r="5864" spans="2:2" s="221" customFormat="1" ht="12.75" x14ac:dyDescent="0.2">
      <c r="B5864" s="1168"/>
    </row>
    <row r="5865" spans="2:2" s="221" customFormat="1" ht="12.75" x14ac:dyDescent="0.2">
      <c r="B5865" s="1168"/>
    </row>
    <row r="5866" spans="2:2" s="221" customFormat="1" ht="12.75" x14ac:dyDescent="0.2">
      <c r="B5866" s="1168"/>
    </row>
    <row r="5867" spans="2:2" s="221" customFormat="1" ht="12.75" x14ac:dyDescent="0.2">
      <c r="B5867" s="1168"/>
    </row>
    <row r="5868" spans="2:2" s="221" customFormat="1" ht="12.75" x14ac:dyDescent="0.2">
      <c r="B5868" s="1168"/>
    </row>
    <row r="5869" spans="2:2" s="221" customFormat="1" ht="12.75" x14ac:dyDescent="0.2">
      <c r="B5869" s="1168"/>
    </row>
    <row r="5870" spans="2:2" s="221" customFormat="1" ht="12.75" x14ac:dyDescent="0.2">
      <c r="B5870" s="1168"/>
    </row>
    <row r="5871" spans="2:2" s="221" customFormat="1" ht="12.75" x14ac:dyDescent="0.2">
      <c r="B5871" s="1168"/>
    </row>
    <row r="5872" spans="2:2" s="221" customFormat="1" ht="12.75" x14ac:dyDescent="0.2">
      <c r="B5872" s="1168"/>
    </row>
    <row r="5873" spans="2:2" s="221" customFormat="1" ht="12.75" x14ac:dyDescent="0.2">
      <c r="B5873" s="1168"/>
    </row>
    <row r="5874" spans="2:2" s="221" customFormat="1" ht="12.75" x14ac:dyDescent="0.2">
      <c r="B5874" s="1168"/>
    </row>
    <row r="5875" spans="2:2" s="221" customFormat="1" ht="12.75" x14ac:dyDescent="0.2">
      <c r="B5875" s="1168"/>
    </row>
    <row r="5876" spans="2:2" s="221" customFormat="1" ht="12.75" x14ac:dyDescent="0.2">
      <c r="B5876" s="1168"/>
    </row>
    <row r="5877" spans="2:2" s="221" customFormat="1" ht="12.75" x14ac:dyDescent="0.2">
      <c r="B5877" s="1168"/>
    </row>
    <row r="5878" spans="2:2" s="221" customFormat="1" ht="12.75" x14ac:dyDescent="0.2">
      <c r="B5878" s="1168"/>
    </row>
    <row r="5879" spans="2:2" s="221" customFormat="1" ht="12.75" x14ac:dyDescent="0.2">
      <c r="B5879" s="1168"/>
    </row>
    <row r="5880" spans="2:2" s="221" customFormat="1" ht="12.75" x14ac:dyDescent="0.2">
      <c r="B5880" s="1168"/>
    </row>
    <row r="5881" spans="2:2" s="221" customFormat="1" ht="12.75" x14ac:dyDescent="0.2">
      <c r="B5881" s="1168"/>
    </row>
    <row r="5882" spans="2:2" s="221" customFormat="1" ht="12.75" x14ac:dyDescent="0.2">
      <c r="B5882" s="1168"/>
    </row>
    <row r="5883" spans="2:2" s="221" customFormat="1" ht="12.75" x14ac:dyDescent="0.2">
      <c r="B5883" s="1168"/>
    </row>
    <row r="5884" spans="2:2" s="221" customFormat="1" ht="12.75" x14ac:dyDescent="0.2">
      <c r="B5884" s="1168"/>
    </row>
    <row r="5885" spans="2:2" s="221" customFormat="1" ht="12.75" x14ac:dyDescent="0.2">
      <c r="B5885" s="1168"/>
    </row>
    <row r="5886" spans="2:2" s="221" customFormat="1" ht="12.75" x14ac:dyDescent="0.2">
      <c r="B5886" s="1168"/>
    </row>
    <row r="5887" spans="2:2" s="221" customFormat="1" ht="12.75" x14ac:dyDescent="0.2">
      <c r="B5887" s="1168"/>
    </row>
    <row r="5888" spans="2:2" s="221" customFormat="1" ht="12.75" x14ac:dyDescent="0.2">
      <c r="B5888" s="1168"/>
    </row>
    <row r="5889" spans="2:2" s="221" customFormat="1" ht="12.75" x14ac:dyDescent="0.2">
      <c r="B5889" s="1168"/>
    </row>
    <row r="5890" spans="2:2" s="221" customFormat="1" ht="12.75" x14ac:dyDescent="0.2">
      <c r="B5890" s="1168"/>
    </row>
    <row r="5891" spans="2:2" s="221" customFormat="1" ht="12.75" x14ac:dyDescent="0.2">
      <c r="B5891" s="1168"/>
    </row>
    <row r="5892" spans="2:2" s="221" customFormat="1" ht="12.75" x14ac:dyDescent="0.2">
      <c r="B5892" s="1168"/>
    </row>
    <row r="5893" spans="2:2" s="221" customFormat="1" ht="12.75" x14ac:dyDescent="0.2">
      <c r="B5893" s="1168"/>
    </row>
    <row r="5894" spans="2:2" s="221" customFormat="1" ht="12.75" x14ac:dyDescent="0.2">
      <c r="B5894" s="1168"/>
    </row>
    <row r="5895" spans="2:2" s="221" customFormat="1" ht="12.75" x14ac:dyDescent="0.2">
      <c r="B5895" s="1168"/>
    </row>
    <row r="5896" spans="2:2" s="221" customFormat="1" ht="12.75" x14ac:dyDescent="0.2">
      <c r="B5896" s="1168"/>
    </row>
    <row r="5897" spans="2:2" s="221" customFormat="1" ht="12.75" x14ac:dyDescent="0.2">
      <c r="B5897" s="1168"/>
    </row>
    <row r="5898" spans="2:2" s="221" customFormat="1" ht="12.75" x14ac:dyDescent="0.2">
      <c r="B5898" s="1168"/>
    </row>
    <row r="5899" spans="2:2" s="221" customFormat="1" ht="12.75" x14ac:dyDescent="0.2">
      <c r="B5899" s="1168"/>
    </row>
    <row r="5900" spans="2:2" s="221" customFormat="1" ht="12.75" x14ac:dyDescent="0.2">
      <c r="B5900" s="1168"/>
    </row>
    <row r="5901" spans="2:2" s="221" customFormat="1" ht="12.75" x14ac:dyDescent="0.2">
      <c r="B5901" s="1168"/>
    </row>
    <row r="5902" spans="2:2" s="221" customFormat="1" ht="12.75" x14ac:dyDescent="0.2">
      <c r="B5902" s="1168"/>
    </row>
    <row r="5903" spans="2:2" s="221" customFormat="1" ht="12.75" x14ac:dyDescent="0.2">
      <c r="B5903" s="1168"/>
    </row>
    <row r="5904" spans="2:2" s="221" customFormat="1" ht="12.75" x14ac:dyDescent="0.2">
      <c r="B5904" s="1168"/>
    </row>
    <row r="5905" spans="2:2" s="221" customFormat="1" ht="12.75" x14ac:dyDescent="0.2">
      <c r="B5905" s="1168"/>
    </row>
    <row r="5906" spans="2:2" s="221" customFormat="1" ht="12.75" x14ac:dyDescent="0.2">
      <c r="B5906" s="1168"/>
    </row>
    <row r="5907" spans="2:2" s="221" customFormat="1" ht="12.75" x14ac:dyDescent="0.2">
      <c r="B5907" s="1168"/>
    </row>
    <row r="5908" spans="2:2" s="221" customFormat="1" ht="12.75" x14ac:dyDescent="0.2">
      <c r="B5908" s="1168"/>
    </row>
    <row r="5909" spans="2:2" s="221" customFormat="1" ht="12.75" x14ac:dyDescent="0.2">
      <c r="B5909" s="1168"/>
    </row>
    <row r="5910" spans="2:2" s="221" customFormat="1" ht="12.75" x14ac:dyDescent="0.2">
      <c r="B5910" s="1168"/>
    </row>
    <row r="5911" spans="2:2" s="221" customFormat="1" ht="12.75" x14ac:dyDescent="0.2">
      <c r="B5911" s="1168"/>
    </row>
    <row r="5912" spans="2:2" s="221" customFormat="1" ht="12.75" x14ac:dyDescent="0.2">
      <c r="B5912" s="1168"/>
    </row>
    <row r="5913" spans="2:2" s="221" customFormat="1" ht="12.75" x14ac:dyDescent="0.2">
      <c r="B5913" s="1168"/>
    </row>
    <row r="5914" spans="2:2" s="221" customFormat="1" ht="12.75" x14ac:dyDescent="0.2">
      <c r="B5914" s="1168"/>
    </row>
    <row r="5915" spans="2:2" s="221" customFormat="1" ht="12.75" x14ac:dyDescent="0.2">
      <c r="B5915" s="1168"/>
    </row>
    <row r="5916" spans="2:2" s="221" customFormat="1" ht="12.75" x14ac:dyDescent="0.2">
      <c r="B5916" s="1168"/>
    </row>
    <row r="5917" spans="2:2" s="221" customFormat="1" ht="12.75" x14ac:dyDescent="0.2">
      <c r="B5917" s="1168"/>
    </row>
    <row r="5918" spans="2:2" s="221" customFormat="1" ht="12.75" x14ac:dyDescent="0.2">
      <c r="B5918" s="1168"/>
    </row>
    <row r="5919" spans="2:2" s="221" customFormat="1" ht="12.75" x14ac:dyDescent="0.2">
      <c r="B5919" s="1168"/>
    </row>
    <row r="5920" spans="2:2" s="221" customFormat="1" ht="12.75" x14ac:dyDescent="0.2">
      <c r="B5920" s="1168"/>
    </row>
    <row r="5921" spans="2:2" s="221" customFormat="1" ht="12.75" x14ac:dyDescent="0.2">
      <c r="B5921" s="1168"/>
    </row>
    <row r="5922" spans="2:2" s="221" customFormat="1" ht="12.75" x14ac:dyDescent="0.2">
      <c r="B5922" s="1168"/>
    </row>
    <row r="5923" spans="2:2" s="221" customFormat="1" ht="12.75" x14ac:dyDescent="0.2">
      <c r="B5923" s="1168"/>
    </row>
    <row r="5924" spans="2:2" s="221" customFormat="1" ht="12.75" x14ac:dyDescent="0.2">
      <c r="B5924" s="1168"/>
    </row>
    <row r="5925" spans="2:2" s="221" customFormat="1" ht="12.75" x14ac:dyDescent="0.2">
      <c r="B5925" s="1168"/>
    </row>
    <row r="5926" spans="2:2" s="221" customFormat="1" ht="12.75" x14ac:dyDescent="0.2">
      <c r="B5926" s="1168"/>
    </row>
    <row r="5927" spans="2:2" s="221" customFormat="1" ht="12.75" x14ac:dyDescent="0.2">
      <c r="B5927" s="1168"/>
    </row>
    <row r="5928" spans="2:2" s="221" customFormat="1" ht="12.75" x14ac:dyDescent="0.2">
      <c r="B5928" s="1168"/>
    </row>
    <row r="5929" spans="2:2" s="221" customFormat="1" ht="12.75" x14ac:dyDescent="0.2">
      <c r="B5929" s="1168"/>
    </row>
    <row r="5930" spans="2:2" s="221" customFormat="1" ht="12.75" x14ac:dyDescent="0.2">
      <c r="B5930" s="1168"/>
    </row>
    <row r="5931" spans="2:2" s="221" customFormat="1" ht="12.75" x14ac:dyDescent="0.2">
      <c r="B5931" s="1168"/>
    </row>
    <row r="5932" spans="2:2" s="221" customFormat="1" ht="12.75" x14ac:dyDescent="0.2">
      <c r="B5932" s="1168"/>
    </row>
    <row r="5933" spans="2:2" s="221" customFormat="1" ht="12.75" x14ac:dyDescent="0.2">
      <c r="B5933" s="1168"/>
    </row>
    <row r="5934" spans="2:2" s="221" customFormat="1" ht="12.75" x14ac:dyDescent="0.2">
      <c r="B5934" s="1168"/>
    </row>
    <row r="5935" spans="2:2" s="221" customFormat="1" ht="12.75" x14ac:dyDescent="0.2">
      <c r="B5935" s="1168"/>
    </row>
    <row r="5936" spans="2:2" s="221" customFormat="1" ht="12.75" x14ac:dyDescent="0.2">
      <c r="B5936" s="1168"/>
    </row>
    <row r="5937" spans="2:2" s="221" customFormat="1" ht="12.75" x14ac:dyDescent="0.2">
      <c r="B5937" s="1168"/>
    </row>
    <row r="5938" spans="2:2" s="221" customFormat="1" ht="12.75" x14ac:dyDescent="0.2">
      <c r="B5938" s="1168"/>
    </row>
    <row r="5939" spans="2:2" s="221" customFormat="1" ht="12.75" x14ac:dyDescent="0.2">
      <c r="B5939" s="1168"/>
    </row>
    <row r="5940" spans="2:2" s="221" customFormat="1" ht="12.75" x14ac:dyDescent="0.2">
      <c r="B5940" s="1168"/>
    </row>
    <row r="5941" spans="2:2" s="221" customFormat="1" ht="12.75" x14ac:dyDescent="0.2">
      <c r="B5941" s="1168"/>
    </row>
    <row r="5942" spans="2:2" s="221" customFormat="1" ht="12.75" x14ac:dyDescent="0.2">
      <c r="B5942" s="1168"/>
    </row>
    <row r="5943" spans="2:2" s="221" customFormat="1" ht="12.75" x14ac:dyDescent="0.2">
      <c r="B5943" s="1168"/>
    </row>
    <row r="5944" spans="2:2" s="221" customFormat="1" ht="12.75" x14ac:dyDescent="0.2">
      <c r="B5944" s="1168"/>
    </row>
    <row r="5945" spans="2:2" s="221" customFormat="1" ht="12.75" x14ac:dyDescent="0.2">
      <c r="B5945" s="1168"/>
    </row>
    <row r="5946" spans="2:2" s="221" customFormat="1" ht="12.75" x14ac:dyDescent="0.2">
      <c r="B5946" s="1168"/>
    </row>
    <row r="5947" spans="2:2" s="221" customFormat="1" ht="12.75" x14ac:dyDescent="0.2">
      <c r="B5947" s="1168"/>
    </row>
    <row r="5948" spans="2:2" s="221" customFormat="1" ht="12.75" x14ac:dyDescent="0.2">
      <c r="B5948" s="1168"/>
    </row>
    <row r="5949" spans="2:2" s="221" customFormat="1" ht="12.75" x14ac:dyDescent="0.2">
      <c r="B5949" s="1168"/>
    </row>
    <row r="5950" spans="2:2" s="221" customFormat="1" ht="12.75" x14ac:dyDescent="0.2">
      <c r="B5950" s="1168"/>
    </row>
    <row r="5951" spans="2:2" s="221" customFormat="1" ht="12.75" x14ac:dyDescent="0.2">
      <c r="B5951" s="1168"/>
    </row>
    <row r="5952" spans="2:2" s="221" customFormat="1" ht="12.75" x14ac:dyDescent="0.2">
      <c r="B5952" s="1168"/>
    </row>
    <row r="5953" spans="2:2" s="221" customFormat="1" ht="12.75" x14ac:dyDescent="0.2">
      <c r="B5953" s="1168"/>
    </row>
    <row r="5954" spans="2:2" s="221" customFormat="1" ht="12.75" x14ac:dyDescent="0.2">
      <c r="B5954" s="1168"/>
    </row>
    <row r="5955" spans="2:2" s="221" customFormat="1" ht="12.75" x14ac:dyDescent="0.2">
      <c r="B5955" s="1168"/>
    </row>
    <row r="5956" spans="2:2" s="221" customFormat="1" ht="12.75" x14ac:dyDescent="0.2">
      <c r="B5956" s="1168"/>
    </row>
    <row r="5957" spans="2:2" s="221" customFormat="1" ht="12.75" x14ac:dyDescent="0.2">
      <c r="B5957" s="1168"/>
    </row>
    <row r="5958" spans="2:2" s="221" customFormat="1" ht="12.75" x14ac:dyDescent="0.2">
      <c r="B5958" s="1168"/>
    </row>
    <row r="5959" spans="2:2" s="221" customFormat="1" ht="12.75" x14ac:dyDescent="0.2">
      <c r="B5959" s="1168"/>
    </row>
    <row r="5960" spans="2:2" s="221" customFormat="1" ht="12.75" x14ac:dyDescent="0.2">
      <c r="B5960" s="1168"/>
    </row>
    <row r="5961" spans="2:2" s="221" customFormat="1" ht="12.75" x14ac:dyDescent="0.2">
      <c r="B5961" s="1168"/>
    </row>
    <row r="5962" spans="2:2" s="221" customFormat="1" ht="12.75" x14ac:dyDescent="0.2">
      <c r="B5962" s="1168"/>
    </row>
    <row r="5963" spans="2:2" s="221" customFormat="1" ht="12.75" x14ac:dyDescent="0.2">
      <c r="B5963" s="1168"/>
    </row>
    <row r="5964" spans="2:2" s="221" customFormat="1" ht="12.75" x14ac:dyDescent="0.2">
      <c r="B5964" s="1168"/>
    </row>
    <row r="5965" spans="2:2" s="221" customFormat="1" ht="12.75" x14ac:dyDescent="0.2">
      <c r="B5965" s="1168"/>
    </row>
    <row r="5966" spans="2:2" s="221" customFormat="1" ht="12.75" x14ac:dyDescent="0.2">
      <c r="B5966" s="1168"/>
    </row>
    <row r="5967" spans="2:2" s="221" customFormat="1" ht="12.75" x14ac:dyDescent="0.2">
      <c r="B5967" s="1168"/>
    </row>
    <row r="5968" spans="2:2" s="221" customFormat="1" ht="12.75" x14ac:dyDescent="0.2">
      <c r="B5968" s="1168"/>
    </row>
    <row r="5969" spans="2:2" s="221" customFormat="1" ht="12.75" x14ac:dyDescent="0.2">
      <c r="B5969" s="1168"/>
    </row>
    <row r="5970" spans="2:2" s="221" customFormat="1" ht="12.75" x14ac:dyDescent="0.2">
      <c r="B5970" s="1168"/>
    </row>
    <row r="5971" spans="2:2" s="221" customFormat="1" ht="12.75" x14ac:dyDescent="0.2">
      <c r="B5971" s="1168"/>
    </row>
    <row r="5972" spans="2:2" s="221" customFormat="1" ht="12.75" x14ac:dyDescent="0.2">
      <c r="B5972" s="1168"/>
    </row>
    <row r="5973" spans="2:2" s="221" customFormat="1" ht="12.75" x14ac:dyDescent="0.2">
      <c r="B5973" s="1168"/>
    </row>
    <row r="5974" spans="2:2" s="221" customFormat="1" ht="12.75" x14ac:dyDescent="0.2">
      <c r="B5974" s="1168"/>
    </row>
    <row r="5975" spans="2:2" s="221" customFormat="1" ht="12.75" x14ac:dyDescent="0.2">
      <c r="B5975" s="1168"/>
    </row>
    <row r="5976" spans="2:2" s="221" customFormat="1" ht="12.75" x14ac:dyDescent="0.2">
      <c r="B5976" s="1168"/>
    </row>
    <row r="5977" spans="2:2" s="221" customFormat="1" ht="12.75" x14ac:dyDescent="0.2">
      <c r="B5977" s="1168"/>
    </row>
    <row r="5978" spans="2:2" s="221" customFormat="1" ht="12.75" x14ac:dyDescent="0.2">
      <c r="B5978" s="1168"/>
    </row>
    <row r="5979" spans="2:2" s="221" customFormat="1" ht="12.75" x14ac:dyDescent="0.2">
      <c r="B5979" s="1168"/>
    </row>
    <row r="5980" spans="2:2" s="221" customFormat="1" ht="12.75" x14ac:dyDescent="0.2">
      <c r="B5980" s="1168"/>
    </row>
    <row r="5981" spans="2:2" s="221" customFormat="1" ht="12.75" x14ac:dyDescent="0.2">
      <c r="B5981" s="1168"/>
    </row>
    <row r="5982" spans="2:2" s="221" customFormat="1" ht="12.75" x14ac:dyDescent="0.2">
      <c r="B5982" s="1168"/>
    </row>
    <row r="5983" spans="2:2" s="221" customFormat="1" ht="12.75" x14ac:dyDescent="0.2">
      <c r="B5983" s="1168"/>
    </row>
    <row r="5984" spans="2:2" s="221" customFormat="1" ht="12.75" x14ac:dyDescent="0.2">
      <c r="B5984" s="1168"/>
    </row>
    <row r="5985" spans="2:2" s="221" customFormat="1" ht="12.75" x14ac:dyDescent="0.2">
      <c r="B5985" s="1168"/>
    </row>
    <row r="5986" spans="2:2" s="221" customFormat="1" ht="12.75" x14ac:dyDescent="0.2">
      <c r="B5986" s="1168"/>
    </row>
    <row r="5987" spans="2:2" s="221" customFormat="1" ht="12.75" x14ac:dyDescent="0.2">
      <c r="B5987" s="1168"/>
    </row>
    <row r="5988" spans="2:2" s="221" customFormat="1" ht="12.75" x14ac:dyDescent="0.2">
      <c r="B5988" s="1168"/>
    </row>
    <row r="5989" spans="2:2" s="221" customFormat="1" ht="12.75" x14ac:dyDescent="0.2">
      <c r="B5989" s="1168"/>
    </row>
    <row r="5990" spans="2:2" s="221" customFormat="1" ht="12.75" x14ac:dyDescent="0.2">
      <c r="B5990" s="1168"/>
    </row>
    <row r="5991" spans="2:2" s="221" customFormat="1" ht="12.75" x14ac:dyDescent="0.2">
      <c r="B5991" s="1168"/>
    </row>
    <row r="5992" spans="2:2" s="221" customFormat="1" ht="12.75" x14ac:dyDescent="0.2">
      <c r="B5992" s="1168"/>
    </row>
    <row r="5993" spans="2:2" s="221" customFormat="1" ht="12.75" x14ac:dyDescent="0.2">
      <c r="B5993" s="1168"/>
    </row>
    <row r="5994" spans="2:2" s="221" customFormat="1" ht="12.75" x14ac:dyDescent="0.2">
      <c r="B5994" s="1168"/>
    </row>
    <row r="5995" spans="2:2" s="221" customFormat="1" ht="12.75" x14ac:dyDescent="0.2">
      <c r="B5995" s="1168"/>
    </row>
    <row r="5996" spans="2:2" s="221" customFormat="1" ht="12.75" x14ac:dyDescent="0.2">
      <c r="B5996" s="1168"/>
    </row>
    <row r="5997" spans="2:2" s="221" customFormat="1" ht="12.75" x14ac:dyDescent="0.2">
      <c r="B5997" s="1168"/>
    </row>
    <row r="5998" spans="2:2" s="221" customFormat="1" ht="12.75" x14ac:dyDescent="0.2">
      <c r="B5998" s="1168"/>
    </row>
    <row r="5999" spans="2:2" s="221" customFormat="1" ht="12.75" x14ac:dyDescent="0.2">
      <c r="B5999" s="1168"/>
    </row>
    <row r="6000" spans="2:2" s="221" customFormat="1" ht="12.75" x14ac:dyDescent="0.2">
      <c r="B6000" s="1168"/>
    </row>
    <row r="6001" spans="2:2" s="221" customFormat="1" ht="12.75" x14ac:dyDescent="0.2">
      <c r="B6001" s="1168"/>
    </row>
    <row r="6002" spans="2:2" s="221" customFormat="1" ht="12.75" x14ac:dyDescent="0.2">
      <c r="B6002" s="1168"/>
    </row>
    <row r="6003" spans="2:2" s="221" customFormat="1" ht="12.75" x14ac:dyDescent="0.2">
      <c r="B6003" s="1168"/>
    </row>
    <row r="6004" spans="2:2" s="221" customFormat="1" ht="12.75" x14ac:dyDescent="0.2">
      <c r="B6004" s="1168"/>
    </row>
    <row r="6005" spans="2:2" s="221" customFormat="1" ht="12.75" x14ac:dyDescent="0.2">
      <c r="B6005" s="1168"/>
    </row>
    <row r="6006" spans="2:2" s="221" customFormat="1" ht="12.75" x14ac:dyDescent="0.2">
      <c r="B6006" s="1168"/>
    </row>
    <row r="6007" spans="2:2" s="221" customFormat="1" ht="12.75" x14ac:dyDescent="0.2">
      <c r="B6007" s="1168"/>
    </row>
    <row r="6008" spans="2:2" s="221" customFormat="1" ht="12.75" x14ac:dyDescent="0.2">
      <c r="B6008" s="1168"/>
    </row>
    <row r="6009" spans="2:2" s="221" customFormat="1" ht="12.75" x14ac:dyDescent="0.2">
      <c r="B6009" s="1168"/>
    </row>
    <row r="6010" spans="2:2" s="221" customFormat="1" ht="12.75" x14ac:dyDescent="0.2">
      <c r="B6010" s="1168"/>
    </row>
    <row r="6011" spans="2:2" s="221" customFormat="1" ht="12.75" x14ac:dyDescent="0.2">
      <c r="B6011" s="1168"/>
    </row>
    <row r="6012" spans="2:2" s="221" customFormat="1" ht="12.75" x14ac:dyDescent="0.2">
      <c r="B6012" s="1168"/>
    </row>
    <row r="6013" spans="2:2" s="221" customFormat="1" ht="12.75" x14ac:dyDescent="0.2">
      <c r="B6013" s="1168"/>
    </row>
    <row r="6014" spans="2:2" s="221" customFormat="1" ht="12.75" x14ac:dyDescent="0.2">
      <c r="B6014" s="1168"/>
    </row>
    <row r="6015" spans="2:2" s="221" customFormat="1" ht="12.75" x14ac:dyDescent="0.2">
      <c r="B6015" s="1168"/>
    </row>
    <row r="6016" spans="2:2" s="221" customFormat="1" ht="12.75" x14ac:dyDescent="0.2">
      <c r="B6016" s="1168"/>
    </row>
    <row r="6017" spans="2:2" s="221" customFormat="1" ht="12.75" x14ac:dyDescent="0.2">
      <c r="B6017" s="1168"/>
    </row>
    <row r="6018" spans="2:2" s="221" customFormat="1" ht="12.75" x14ac:dyDescent="0.2">
      <c r="B6018" s="1168"/>
    </row>
    <row r="6019" spans="2:2" s="221" customFormat="1" ht="12.75" x14ac:dyDescent="0.2">
      <c r="B6019" s="1168"/>
    </row>
    <row r="6020" spans="2:2" s="221" customFormat="1" ht="12.75" x14ac:dyDescent="0.2">
      <c r="B6020" s="1168"/>
    </row>
    <row r="6021" spans="2:2" s="221" customFormat="1" ht="12.75" x14ac:dyDescent="0.2">
      <c r="B6021" s="1168"/>
    </row>
    <row r="6022" spans="2:2" s="221" customFormat="1" ht="12.75" x14ac:dyDescent="0.2">
      <c r="B6022" s="1168"/>
    </row>
    <row r="6023" spans="2:2" s="221" customFormat="1" ht="12.75" x14ac:dyDescent="0.2">
      <c r="B6023" s="1168"/>
    </row>
    <row r="6024" spans="2:2" s="221" customFormat="1" ht="12.75" x14ac:dyDescent="0.2">
      <c r="B6024" s="1168"/>
    </row>
    <row r="6025" spans="2:2" s="221" customFormat="1" ht="12.75" x14ac:dyDescent="0.2">
      <c r="B6025" s="1168"/>
    </row>
    <row r="6026" spans="2:2" s="221" customFormat="1" ht="12.75" x14ac:dyDescent="0.2">
      <c r="B6026" s="1168"/>
    </row>
    <row r="6027" spans="2:2" s="221" customFormat="1" ht="12.75" x14ac:dyDescent="0.2">
      <c r="B6027" s="1168"/>
    </row>
    <row r="6028" spans="2:2" s="221" customFormat="1" ht="12.75" x14ac:dyDescent="0.2">
      <c r="B6028" s="1168"/>
    </row>
    <row r="6029" spans="2:2" s="221" customFormat="1" ht="12.75" x14ac:dyDescent="0.2">
      <c r="B6029" s="1168"/>
    </row>
    <row r="6030" spans="2:2" s="221" customFormat="1" ht="12.75" x14ac:dyDescent="0.2">
      <c r="B6030" s="1168"/>
    </row>
    <row r="6031" spans="2:2" s="221" customFormat="1" ht="12.75" x14ac:dyDescent="0.2">
      <c r="B6031" s="1168"/>
    </row>
    <row r="6032" spans="2:2" s="221" customFormat="1" ht="12.75" x14ac:dyDescent="0.2">
      <c r="B6032" s="1168"/>
    </row>
    <row r="6033" spans="2:2" s="221" customFormat="1" ht="12.75" x14ac:dyDescent="0.2">
      <c r="B6033" s="1168"/>
    </row>
    <row r="6034" spans="2:2" s="221" customFormat="1" ht="12.75" x14ac:dyDescent="0.2">
      <c r="B6034" s="1168"/>
    </row>
    <row r="6035" spans="2:2" s="221" customFormat="1" ht="12.75" x14ac:dyDescent="0.2">
      <c r="B6035" s="1168"/>
    </row>
    <row r="6036" spans="2:2" s="221" customFormat="1" ht="12.75" x14ac:dyDescent="0.2">
      <c r="B6036" s="1168"/>
    </row>
    <row r="6037" spans="2:2" s="221" customFormat="1" ht="12.75" x14ac:dyDescent="0.2">
      <c r="B6037" s="1168"/>
    </row>
    <row r="6038" spans="2:2" s="221" customFormat="1" ht="12.75" x14ac:dyDescent="0.2">
      <c r="B6038" s="1168"/>
    </row>
    <row r="6039" spans="2:2" s="221" customFormat="1" ht="12.75" x14ac:dyDescent="0.2">
      <c r="B6039" s="1168"/>
    </row>
    <row r="6040" spans="2:2" s="221" customFormat="1" ht="12.75" x14ac:dyDescent="0.2">
      <c r="B6040" s="1168"/>
    </row>
    <row r="6041" spans="2:2" s="221" customFormat="1" ht="12.75" x14ac:dyDescent="0.2">
      <c r="B6041" s="1168"/>
    </row>
    <row r="6042" spans="2:2" s="221" customFormat="1" ht="12.75" x14ac:dyDescent="0.2">
      <c r="B6042" s="1168"/>
    </row>
    <row r="6043" spans="2:2" s="221" customFormat="1" ht="12.75" x14ac:dyDescent="0.2">
      <c r="B6043" s="1168"/>
    </row>
    <row r="6044" spans="2:2" s="221" customFormat="1" ht="12.75" x14ac:dyDescent="0.2">
      <c r="B6044" s="1168"/>
    </row>
    <row r="6045" spans="2:2" s="221" customFormat="1" ht="12.75" x14ac:dyDescent="0.2">
      <c r="B6045" s="1168"/>
    </row>
    <row r="6046" spans="2:2" s="221" customFormat="1" ht="12.75" x14ac:dyDescent="0.2">
      <c r="B6046" s="1168"/>
    </row>
    <row r="6047" spans="2:2" s="221" customFormat="1" ht="12.75" x14ac:dyDescent="0.2">
      <c r="B6047" s="1168"/>
    </row>
    <row r="6048" spans="2:2" s="221" customFormat="1" ht="12.75" x14ac:dyDescent="0.2">
      <c r="B6048" s="1168"/>
    </row>
    <row r="6049" spans="2:2" s="221" customFormat="1" ht="12.75" x14ac:dyDescent="0.2">
      <c r="B6049" s="1168"/>
    </row>
    <row r="6050" spans="2:2" s="221" customFormat="1" ht="12.75" x14ac:dyDescent="0.2">
      <c r="B6050" s="1168"/>
    </row>
    <row r="6051" spans="2:2" s="221" customFormat="1" ht="12.75" x14ac:dyDescent="0.2">
      <c r="B6051" s="1168"/>
    </row>
    <row r="6052" spans="2:2" s="221" customFormat="1" ht="12.75" x14ac:dyDescent="0.2">
      <c r="B6052" s="1168"/>
    </row>
    <row r="6053" spans="2:2" s="221" customFormat="1" ht="12.75" x14ac:dyDescent="0.2">
      <c r="B6053" s="1168"/>
    </row>
    <row r="6054" spans="2:2" s="221" customFormat="1" ht="12.75" x14ac:dyDescent="0.2">
      <c r="B6054" s="1168"/>
    </row>
    <row r="6055" spans="2:2" s="221" customFormat="1" ht="12.75" x14ac:dyDescent="0.2">
      <c r="B6055" s="1168"/>
    </row>
    <row r="6056" spans="2:2" s="221" customFormat="1" ht="12.75" x14ac:dyDescent="0.2">
      <c r="B6056" s="1168"/>
    </row>
    <row r="6057" spans="2:2" s="221" customFormat="1" ht="12.75" x14ac:dyDescent="0.2">
      <c r="B6057" s="1168"/>
    </row>
    <row r="6058" spans="2:2" s="221" customFormat="1" ht="12.75" x14ac:dyDescent="0.2">
      <c r="B6058" s="1168"/>
    </row>
    <row r="6059" spans="2:2" s="221" customFormat="1" ht="12.75" x14ac:dyDescent="0.2">
      <c r="B6059" s="1168"/>
    </row>
    <row r="6060" spans="2:2" s="221" customFormat="1" ht="12.75" x14ac:dyDescent="0.2">
      <c r="B6060" s="1168"/>
    </row>
    <row r="6061" spans="2:2" s="221" customFormat="1" ht="12.75" x14ac:dyDescent="0.2">
      <c r="B6061" s="1168"/>
    </row>
    <row r="6062" spans="2:2" s="221" customFormat="1" ht="12.75" x14ac:dyDescent="0.2">
      <c r="B6062" s="1168"/>
    </row>
    <row r="6063" spans="2:2" s="221" customFormat="1" ht="12.75" x14ac:dyDescent="0.2">
      <c r="B6063" s="1168"/>
    </row>
    <row r="6064" spans="2:2" s="221" customFormat="1" ht="12.75" x14ac:dyDescent="0.2">
      <c r="B6064" s="1168"/>
    </row>
    <row r="6065" spans="2:2" s="221" customFormat="1" ht="12.75" x14ac:dyDescent="0.2">
      <c r="B6065" s="1168"/>
    </row>
    <row r="6066" spans="2:2" s="221" customFormat="1" ht="12.75" x14ac:dyDescent="0.2">
      <c r="B6066" s="1168"/>
    </row>
    <row r="6067" spans="2:2" s="221" customFormat="1" ht="12.75" x14ac:dyDescent="0.2">
      <c r="B6067" s="1168"/>
    </row>
    <row r="6068" spans="2:2" s="221" customFormat="1" ht="12.75" x14ac:dyDescent="0.2">
      <c r="B6068" s="1168"/>
    </row>
    <row r="6069" spans="2:2" s="221" customFormat="1" ht="12.75" x14ac:dyDescent="0.2">
      <c r="B6069" s="1168"/>
    </row>
    <row r="6070" spans="2:2" s="221" customFormat="1" ht="12.75" x14ac:dyDescent="0.2">
      <c r="B6070" s="1168"/>
    </row>
    <row r="6071" spans="2:2" s="221" customFormat="1" ht="12.75" x14ac:dyDescent="0.2">
      <c r="B6071" s="1168"/>
    </row>
    <row r="6072" spans="2:2" s="221" customFormat="1" ht="12.75" x14ac:dyDescent="0.2">
      <c r="B6072" s="1168"/>
    </row>
    <row r="6073" spans="2:2" s="221" customFormat="1" ht="12.75" x14ac:dyDescent="0.2">
      <c r="B6073" s="1168"/>
    </row>
    <row r="6074" spans="2:2" s="221" customFormat="1" ht="12.75" x14ac:dyDescent="0.2">
      <c r="B6074" s="1168"/>
    </row>
    <row r="6075" spans="2:2" s="221" customFormat="1" ht="12.75" x14ac:dyDescent="0.2">
      <c r="B6075" s="1168"/>
    </row>
    <row r="6076" spans="2:2" s="221" customFormat="1" ht="12.75" x14ac:dyDescent="0.2">
      <c r="B6076" s="1168"/>
    </row>
    <row r="6077" spans="2:2" s="221" customFormat="1" ht="12.75" x14ac:dyDescent="0.2">
      <c r="B6077" s="1168"/>
    </row>
    <row r="6078" spans="2:2" s="221" customFormat="1" ht="12.75" x14ac:dyDescent="0.2">
      <c r="B6078" s="1168"/>
    </row>
    <row r="6079" spans="2:2" s="221" customFormat="1" ht="12.75" x14ac:dyDescent="0.2">
      <c r="B6079" s="1168"/>
    </row>
    <row r="6080" spans="2:2" s="221" customFormat="1" ht="12.75" x14ac:dyDescent="0.2">
      <c r="B6080" s="1168"/>
    </row>
    <row r="6081" spans="2:2" s="221" customFormat="1" ht="12.75" x14ac:dyDescent="0.2">
      <c r="B6081" s="1168"/>
    </row>
    <row r="6082" spans="2:2" s="221" customFormat="1" ht="12.75" x14ac:dyDescent="0.2">
      <c r="B6082" s="1168"/>
    </row>
    <row r="6083" spans="2:2" s="221" customFormat="1" ht="12.75" x14ac:dyDescent="0.2">
      <c r="B6083" s="1168"/>
    </row>
    <row r="6084" spans="2:2" s="221" customFormat="1" ht="12.75" x14ac:dyDescent="0.2">
      <c r="B6084" s="1168"/>
    </row>
    <row r="6085" spans="2:2" s="221" customFormat="1" ht="12.75" x14ac:dyDescent="0.2">
      <c r="B6085" s="1168"/>
    </row>
    <row r="6086" spans="2:2" s="221" customFormat="1" ht="12.75" x14ac:dyDescent="0.2">
      <c r="B6086" s="1168"/>
    </row>
    <row r="6087" spans="2:2" s="221" customFormat="1" ht="12.75" x14ac:dyDescent="0.2">
      <c r="B6087" s="1168"/>
    </row>
    <row r="6088" spans="2:2" s="221" customFormat="1" ht="12.75" x14ac:dyDescent="0.2">
      <c r="B6088" s="1168"/>
    </row>
    <row r="6089" spans="2:2" s="221" customFormat="1" ht="12.75" x14ac:dyDescent="0.2">
      <c r="B6089" s="1168"/>
    </row>
    <row r="6090" spans="2:2" s="221" customFormat="1" ht="12.75" x14ac:dyDescent="0.2">
      <c r="B6090" s="1168"/>
    </row>
    <row r="6091" spans="2:2" s="221" customFormat="1" ht="12.75" x14ac:dyDescent="0.2">
      <c r="B6091" s="1168"/>
    </row>
    <row r="6092" spans="2:2" s="221" customFormat="1" ht="12.75" x14ac:dyDescent="0.2">
      <c r="B6092" s="1168"/>
    </row>
    <row r="6093" spans="2:2" s="221" customFormat="1" ht="12.75" x14ac:dyDescent="0.2">
      <c r="B6093" s="1168"/>
    </row>
    <row r="6094" spans="2:2" s="221" customFormat="1" ht="12.75" x14ac:dyDescent="0.2">
      <c r="B6094" s="1168"/>
    </row>
    <row r="6095" spans="2:2" s="221" customFormat="1" ht="12.75" x14ac:dyDescent="0.2">
      <c r="B6095" s="1168"/>
    </row>
    <row r="6096" spans="2:2" s="221" customFormat="1" ht="12.75" x14ac:dyDescent="0.2">
      <c r="B6096" s="1168"/>
    </row>
    <row r="6097" spans="2:2" s="221" customFormat="1" ht="12.75" x14ac:dyDescent="0.2">
      <c r="B6097" s="1168"/>
    </row>
    <row r="6098" spans="2:2" s="221" customFormat="1" ht="12.75" x14ac:dyDescent="0.2">
      <c r="B6098" s="1168"/>
    </row>
    <row r="6099" spans="2:2" s="221" customFormat="1" ht="12.75" x14ac:dyDescent="0.2">
      <c r="B6099" s="1168"/>
    </row>
    <row r="6100" spans="2:2" s="221" customFormat="1" ht="12.75" x14ac:dyDescent="0.2">
      <c r="B6100" s="1168"/>
    </row>
    <row r="6101" spans="2:2" s="221" customFormat="1" ht="12.75" x14ac:dyDescent="0.2">
      <c r="B6101" s="1168"/>
    </row>
    <row r="6102" spans="2:2" s="221" customFormat="1" ht="12.75" x14ac:dyDescent="0.2">
      <c r="B6102" s="1168"/>
    </row>
    <row r="6103" spans="2:2" s="221" customFormat="1" ht="12.75" x14ac:dyDescent="0.2">
      <c r="B6103" s="1168"/>
    </row>
    <row r="6104" spans="2:2" s="221" customFormat="1" ht="12.75" x14ac:dyDescent="0.2">
      <c r="B6104" s="1168"/>
    </row>
    <row r="6105" spans="2:2" s="221" customFormat="1" ht="12.75" x14ac:dyDescent="0.2">
      <c r="B6105" s="1168"/>
    </row>
    <row r="6106" spans="2:2" s="221" customFormat="1" ht="12.75" x14ac:dyDescent="0.2">
      <c r="B6106" s="1168"/>
    </row>
    <row r="6107" spans="2:2" s="221" customFormat="1" ht="12.75" x14ac:dyDescent="0.2">
      <c r="B6107" s="1168"/>
    </row>
    <row r="6108" spans="2:2" s="221" customFormat="1" ht="12.75" x14ac:dyDescent="0.2">
      <c r="B6108" s="1168"/>
    </row>
    <row r="6109" spans="2:2" s="221" customFormat="1" ht="12.75" x14ac:dyDescent="0.2">
      <c r="B6109" s="1168"/>
    </row>
    <row r="6110" spans="2:2" s="221" customFormat="1" ht="12.75" x14ac:dyDescent="0.2">
      <c r="B6110" s="1168"/>
    </row>
    <row r="6111" spans="2:2" s="221" customFormat="1" ht="12.75" x14ac:dyDescent="0.2">
      <c r="B6111" s="1168"/>
    </row>
    <row r="6112" spans="2:2" s="221" customFormat="1" ht="12.75" x14ac:dyDescent="0.2">
      <c r="B6112" s="1168"/>
    </row>
    <row r="6113" spans="2:2" s="221" customFormat="1" ht="12.75" x14ac:dyDescent="0.2">
      <c r="B6113" s="1168"/>
    </row>
    <row r="6114" spans="2:2" s="221" customFormat="1" ht="12.75" x14ac:dyDescent="0.2">
      <c r="B6114" s="1168"/>
    </row>
    <row r="6115" spans="2:2" s="221" customFormat="1" ht="12.75" x14ac:dyDescent="0.2">
      <c r="B6115" s="1168"/>
    </row>
    <row r="6116" spans="2:2" s="221" customFormat="1" ht="12.75" x14ac:dyDescent="0.2">
      <c r="B6116" s="1168"/>
    </row>
    <row r="6117" spans="2:2" s="221" customFormat="1" ht="12.75" x14ac:dyDescent="0.2">
      <c r="B6117" s="1168"/>
    </row>
    <row r="6118" spans="2:2" s="221" customFormat="1" ht="12.75" x14ac:dyDescent="0.2">
      <c r="B6118" s="1168"/>
    </row>
    <row r="6119" spans="2:2" s="221" customFormat="1" ht="12.75" x14ac:dyDescent="0.2">
      <c r="B6119" s="1168"/>
    </row>
    <row r="6120" spans="2:2" s="221" customFormat="1" ht="12.75" x14ac:dyDescent="0.2">
      <c r="B6120" s="1168"/>
    </row>
    <row r="6121" spans="2:2" s="221" customFormat="1" ht="12.75" x14ac:dyDescent="0.2">
      <c r="B6121" s="1168"/>
    </row>
    <row r="6122" spans="2:2" s="221" customFormat="1" ht="12.75" x14ac:dyDescent="0.2">
      <c r="B6122" s="1168"/>
    </row>
    <row r="6123" spans="2:2" s="221" customFormat="1" ht="12.75" x14ac:dyDescent="0.2">
      <c r="B6123" s="1168"/>
    </row>
    <row r="6124" spans="2:2" s="221" customFormat="1" ht="12.75" x14ac:dyDescent="0.2">
      <c r="B6124" s="1168"/>
    </row>
    <row r="6125" spans="2:2" s="221" customFormat="1" ht="12.75" x14ac:dyDescent="0.2">
      <c r="B6125" s="1168"/>
    </row>
    <row r="6126" spans="2:2" s="221" customFormat="1" ht="12.75" x14ac:dyDescent="0.2">
      <c r="B6126" s="1168"/>
    </row>
    <row r="6127" spans="2:2" s="221" customFormat="1" ht="12.75" x14ac:dyDescent="0.2">
      <c r="B6127" s="1168"/>
    </row>
    <row r="6128" spans="2:2" s="221" customFormat="1" ht="12.75" x14ac:dyDescent="0.2">
      <c r="B6128" s="1168"/>
    </row>
    <row r="6129" spans="2:2" s="221" customFormat="1" ht="12.75" x14ac:dyDescent="0.2">
      <c r="B6129" s="1168"/>
    </row>
    <row r="6130" spans="2:2" s="221" customFormat="1" ht="12.75" x14ac:dyDescent="0.2">
      <c r="B6130" s="1168"/>
    </row>
    <row r="6131" spans="2:2" s="221" customFormat="1" ht="12.75" x14ac:dyDescent="0.2">
      <c r="B6131" s="1168"/>
    </row>
    <row r="6132" spans="2:2" s="221" customFormat="1" ht="12.75" x14ac:dyDescent="0.2">
      <c r="B6132" s="1168"/>
    </row>
    <row r="6133" spans="2:2" s="221" customFormat="1" ht="12.75" x14ac:dyDescent="0.2">
      <c r="B6133" s="1168"/>
    </row>
    <row r="6134" spans="2:2" s="221" customFormat="1" ht="12.75" x14ac:dyDescent="0.2">
      <c r="B6134" s="1168"/>
    </row>
    <row r="6135" spans="2:2" s="221" customFormat="1" ht="12.75" x14ac:dyDescent="0.2">
      <c r="B6135" s="1168"/>
    </row>
    <row r="6136" spans="2:2" s="221" customFormat="1" ht="12.75" x14ac:dyDescent="0.2">
      <c r="B6136" s="1168"/>
    </row>
    <row r="6137" spans="2:2" s="221" customFormat="1" ht="12.75" x14ac:dyDescent="0.2">
      <c r="B6137" s="1168"/>
    </row>
    <row r="6138" spans="2:2" s="221" customFormat="1" ht="12.75" x14ac:dyDescent="0.2">
      <c r="B6138" s="1168"/>
    </row>
    <row r="6139" spans="2:2" s="221" customFormat="1" ht="12.75" x14ac:dyDescent="0.2">
      <c r="B6139" s="1168"/>
    </row>
    <row r="6140" spans="2:2" s="221" customFormat="1" ht="12.75" x14ac:dyDescent="0.2">
      <c r="B6140" s="1168"/>
    </row>
    <row r="6141" spans="2:2" s="221" customFormat="1" ht="12.75" x14ac:dyDescent="0.2">
      <c r="B6141" s="1168"/>
    </row>
    <row r="6142" spans="2:2" s="221" customFormat="1" ht="12.75" x14ac:dyDescent="0.2">
      <c r="B6142" s="1168"/>
    </row>
    <row r="6143" spans="2:2" s="221" customFormat="1" ht="12.75" x14ac:dyDescent="0.2">
      <c r="B6143" s="1168"/>
    </row>
    <row r="6144" spans="2:2" s="221" customFormat="1" ht="12.75" x14ac:dyDescent="0.2">
      <c r="B6144" s="1168"/>
    </row>
    <row r="6145" spans="2:2" s="221" customFormat="1" ht="12.75" x14ac:dyDescent="0.2">
      <c r="B6145" s="1168"/>
    </row>
    <row r="6146" spans="2:2" s="221" customFormat="1" ht="12.75" x14ac:dyDescent="0.2">
      <c r="B6146" s="1168"/>
    </row>
    <row r="6147" spans="2:2" s="221" customFormat="1" ht="12.75" x14ac:dyDescent="0.2">
      <c r="B6147" s="1168"/>
    </row>
    <row r="6148" spans="2:2" s="221" customFormat="1" ht="12.75" x14ac:dyDescent="0.2">
      <c r="B6148" s="1168"/>
    </row>
    <row r="6149" spans="2:2" s="221" customFormat="1" ht="12.75" x14ac:dyDescent="0.2">
      <c r="B6149" s="1168"/>
    </row>
    <row r="6150" spans="2:2" s="221" customFormat="1" ht="12.75" x14ac:dyDescent="0.2">
      <c r="B6150" s="1168"/>
    </row>
    <row r="6151" spans="2:2" s="221" customFormat="1" ht="12.75" x14ac:dyDescent="0.2">
      <c r="B6151" s="1168"/>
    </row>
    <row r="6152" spans="2:2" s="221" customFormat="1" ht="12.75" x14ac:dyDescent="0.2">
      <c r="B6152" s="1168"/>
    </row>
    <row r="6153" spans="2:2" s="221" customFormat="1" ht="12.75" x14ac:dyDescent="0.2">
      <c r="B6153" s="1168"/>
    </row>
    <row r="6154" spans="2:2" s="221" customFormat="1" ht="12.75" x14ac:dyDescent="0.2">
      <c r="B6154" s="1168"/>
    </row>
    <row r="6155" spans="2:2" s="221" customFormat="1" ht="12.75" x14ac:dyDescent="0.2">
      <c r="B6155" s="1168"/>
    </row>
    <row r="6156" spans="2:2" s="221" customFormat="1" ht="12.75" x14ac:dyDescent="0.2">
      <c r="B6156" s="1168"/>
    </row>
    <row r="6157" spans="2:2" s="221" customFormat="1" ht="12.75" x14ac:dyDescent="0.2">
      <c r="B6157" s="1168"/>
    </row>
    <row r="6158" spans="2:2" s="221" customFormat="1" ht="12.75" x14ac:dyDescent="0.2">
      <c r="B6158" s="1168"/>
    </row>
    <row r="6159" spans="2:2" s="221" customFormat="1" ht="12.75" x14ac:dyDescent="0.2">
      <c r="B6159" s="1168"/>
    </row>
    <row r="6160" spans="2:2" s="221" customFormat="1" ht="12.75" x14ac:dyDescent="0.2">
      <c r="B6160" s="1168"/>
    </row>
    <row r="6161" spans="2:2" s="221" customFormat="1" ht="12.75" x14ac:dyDescent="0.2">
      <c r="B6161" s="1168"/>
    </row>
    <row r="6162" spans="2:2" s="221" customFormat="1" ht="12.75" x14ac:dyDescent="0.2">
      <c r="B6162" s="1168"/>
    </row>
    <row r="6163" spans="2:2" s="221" customFormat="1" ht="12.75" x14ac:dyDescent="0.2">
      <c r="B6163" s="1168"/>
    </row>
    <row r="6164" spans="2:2" s="221" customFormat="1" ht="12.75" x14ac:dyDescent="0.2">
      <c r="B6164" s="1168"/>
    </row>
    <row r="6165" spans="2:2" s="221" customFormat="1" ht="12.75" x14ac:dyDescent="0.2">
      <c r="B6165" s="1168"/>
    </row>
    <row r="6166" spans="2:2" s="221" customFormat="1" ht="12.75" x14ac:dyDescent="0.2">
      <c r="B6166" s="1168"/>
    </row>
    <row r="6167" spans="2:2" s="221" customFormat="1" ht="12.75" x14ac:dyDescent="0.2">
      <c r="B6167" s="1168"/>
    </row>
    <row r="6168" spans="2:2" s="221" customFormat="1" ht="12.75" x14ac:dyDescent="0.2">
      <c r="B6168" s="1168"/>
    </row>
    <row r="6169" spans="2:2" s="221" customFormat="1" ht="12.75" x14ac:dyDescent="0.2">
      <c r="B6169" s="1168"/>
    </row>
    <row r="6170" spans="2:2" s="221" customFormat="1" ht="12.75" x14ac:dyDescent="0.2">
      <c r="B6170" s="1168"/>
    </row>
    <row r="6171" spans="2:2" s="221" customFormat="1" ht="12.75" x14ac:dyDescent="0.2">
      <c r="B6171" s="1168"/>
    </row>
    <row r="6172" spans="2:2" s="221" customFormat="1" ht="12.75" x14ac:dyDescent="0.2">
      <c r="B6172" s="1168"/>
    </row>
    <row r="6173" spans="2:2" s="221" customFormat="1" ht="12.75" x14ac:dyDescent="0.2">
      <c r="B6173" s="1168"/>
    </row>
    <row r="6174" spans="2:2" s="221" customFormat="1" ht="12.75" x14ac:dyDescent="0.2">
      <c r="B6174" s="1168"/>
    </row>
    <row r="6175" spans="2:2" s="221" customFormat="1" ht="12.75" x14ac:dyDescent="0.2">
      <c r="B6175" s="1168"/>
    </row>
    <row r="6176" spans="2:2" s="221" customFormat="1" ht="12.75" x14ac:dyDescent="0.2">
      <c r="B6176" s="1168"/>
    </row>
    <row r="6177" spans="2:2" s="221" customFormat="1" ht="12.75" x14ac:dyDescent="0.2">
      <c r="B6177" s="1168"/>
    </row>
    <row r="6178" spans="2:2" s="221" customFormat="1" ht="12.75" x14ac:dyDescent="0.2">
      <c r="B6178" s="1168"/>
    </row>
    <row r="6179" spans="2:2" s="221" customFormat="1" ht="12.75" x14ac:dyDescent="0.2">
      <c r="B6179" s="1168"/>
    </row>
    <row r="6180" spans="2:2" s="221" customFormat="1" ht="12.75" x14ac:dyDescent="0.2">
      <c r="B6180" s="1168"/>
    </row>
    <row r="6181" spans="2:2" s="221" customFormat="1" ht="12.75" x14ac:dyDescent="0.2">
      <c r="B6181" s="1168"/>
    </row>
    <row r="6182" spans="2:2" s="221" customFormat="1" ht="12.75" x14ac:dyDescent="0.2">
      <c r="B6182" s="1168"/>
    </row>
    <row r="6183" spans="2:2" s="221" customFormat="1" ht="12.75" x14ac:dyDescent="0.2">
      <c r="B6183" s="1168"/>
    </row>
    <row r="6184" spans="2:2" s="221" customFormat="1" ht="12.75" x14ac:dyDescent="0.2">
      <c r="B6184" s="1168"/>
    </row>
    <row r="6185" spans="2:2" s="221" customFormat="1" ht="12.75" x14ac:dyDescent="0.2">
      <c r="B6185" s="1168"/>
    </row>
    <row r="6186" spans="2:2" s="221" customFormat="1" ht="12.75" x14ac:dyDescent="0.2">
      <c r="B6186" s="1168"/>
    </row>
    <row r="6187" spans="2:2" s="221" customFormat="1" ht="12.75" x14ac:dyDescent="0.2">
      <c r="B6187" s="1168"/>
    </row>
    <row r="6188" spans="2:2" s="221" customFormat="1" ht="12.75" x14ac:dyDescent="0.2">
      <c r="B6188" s="1168"/>
    </row>
    <row r="6189" spans="2:2" s="221" customFormat="1" ht="12.75" x14ac:dyDescent="0.2">
      <c r="B6189" s="1168"/>
    </row>
    <row r="6190" spans="2:2" s="221" customFormat="1" ht="12.75" x14ac:dyDescent="0.2">
      <c r="B6190" s="1168"/>
    </row>
    <row r="6191" spans="2:2" s="221" customFormat="1" ht="12.75" x14ac:dyDescent="0.2">
      <c r="B6191" s="1168"/>
    </row>
    <row r="6192" spans="2:2" s="221" customFormat="1" ht="12.75" x14ac:dyDescent="0.2">
      <c r="B6192" s="1168"/>
    </row>
    <row r="6193" spans="2:2" s="221" customFormat="1" ht="12.75" x14ac:dyDescent="0.2">
      <c r="B6193" s="1168"/>
    </row>
    <row r="6194" spans="2:2" s="221" customFormat="1" ht="12.75" x14ac:dyDescent="0.2">
      <c r="B6194" s="1168"/>
    </row>
    <row r="6195" spans="2:2" s="221" customFormat="1" ht="12.75" x14ac:dyDescent="0.2">
      <c r="B6195" s="1168"/>
    </row>
    <row r="6196" spans="2:2" s="221" customFormat="1" ht="12.75" x14ac:dyDescent="0.2">
      <c r="B6196" s="1168"/>
    </row>
    <row r="6197" spans="2:2" s="221" customFormat="1" ht="12.75" x14ac:dyDescent="0.2">
      <c r="B6197" s="1168"/>
    </row>
    <row r="6198" spans="2:2" s="221" customFormat="1" ht="12.75" x14ac:dyDescent="0.2">
      <c r="B6198" s="1168"/>
    </row>
    <row r="6199" spans="2:2" s="221" customFormat="1" ht="12.75" x14ac:dyDescent="0.2">
      <c r="B6199" s="1168"/>
    </row>
    <row r="6200" spans="2:2" s="221" customFormat="1" ht="12.75" x14ac:dyDescent="0.2">
      <c r="B6200" s="1168"/>
    </row>
    <row r="6201" spans="2:2" s="221" customFormat="1" ht="12.75" x14ac:dyDescent="0.2">
      <c r="B6201" s="1168"/>
    </row>
    <row r="6202" spans="2:2" s="221" customFormat="1" ht="12.75" x14ac:dyDescent="0.2">
      <c r="B6202" s="1168"/>
    </row>
    <row r="6203" spans="2:2" s="221" customFormat="1" ht="12.75" x14ac:dyDescent="0.2">
      <c r="B6203" s="1168"/>
    </row>
    <row r="6204" spans="2:2" s="221" customFormat="1" ht="12.75" x14ac:dyDescent="0.2">
      <c r="B6204" s="1168"/>
    </row>
    <row r="6205" spans="2:2" s="221" customFormat="1" ht="12.75" x14ac:dyDescent="0.2">
      <c r="B6205" s="1168"/>
    </row>
    <row r="6206" spans="2:2" s="221" customFormat="1" ht="12.75" x14ac:dyDescent="0.2">
      <c r="B6206" s="1168"/>
    </row>
    <row r="6207" spans="2:2" s="221" customFormat="1" ht="12.75" x14ac:dyDescent="0.2">
      <c r="B6207" s="1168"/>
    </row>
    <row r="6208" spans="2:2" s="221" customFormat="1" ht="12.75" x14ac:dyDescent="0.2">
      <c r="B6208" s="1168"/>
    </row>
    <row r="6209" spans="2:2" s="221" customFormat="1" ht="12.75" x14ac:dyDescent="0.2">
      <c r="B6209" s="1168"/>
    </row>
    <row r="6210" spans="2:2" s="221" customFormat="1" ht="12.75" x14ac:dyDescent="0.2">
      <c r="B6210" s="1168"/>
    </row>
    <row r="6211" spans="2:2" s="221" customFormat="1" ht="12.75" x14ac:dyDescent="0.2">
      <c r="B6211" s="1168"/>
    </row>
    <row r="6212" spans="2:2" s="221" customFormat="1" ht="12.75" x14ac:dyDescent="0.2">
      <c r="B6212" s="1168"/>
    </row>
    <row r="6213" spans="2:2" s="221" customFormat="1" ht="12.75" x14ac:dyDescent="0.2">
      <c r="B6213" s="1168"/>
    </row>
    <row r="6214" spans="2:2" s="221" customFormat="1" ht="12.75" x14ac:dyDescent="0.2">
      <c r="B6214" s="1168"/>
    </row>
    <row r="6215" spans="2:2" s="221" customFormat="1" ht="12.75" x14ac:dyDescent="0.2">
      <c r="B6215" s="1168"/>
    </row>
    <row r="6216" spans="2:2" s="221" customFormat="1" ht="12.75" x14ac:dyDescent="0.2">
      <c r="B6216" s="1168"/>
    </row>
    <row r="6217" spans="2:2" s="221" customFormat="1" ht="12.75" x14ac:dyDescent="0.2">
      <c r="B6217" s="1168"/>
    </row>
    <row r="6218" spans="2:2" s="221" customFormat="1" ht="12.75" x14ac:dyDescent="0.2">
      <c r="B6218" s="1168"/>
    </row>
    <row r="6219" spans="2:2" s="221" customFormat="1" ht="12.75" x14ac:dyDescent="0.2">
      <c r="B6219" s="1168"/>
    </row>
    <row r="6220" spans="2:2" s="221" customFormat="1" ht="12.75" x14ac:dyDescent="0.2">
      <c r="B6220" s="1168"/>
    </row>
    <row r="6221" spans="2:2" s="221" customFormat="1" ht="12.75" x14ac:dyDescent="0.2">
      <c r="B6221" s="1168"/>
    </row>
    <row r="6222" spans="2:2" s="221" customFormat="1" ht="12.75" x14ac:dyDescent="0.2">
      <c r="B6222" s="1168"/>
    </row>
    <row r="6223" spans="2:2" s="221" customFormat="1" ht="12.75" x14ac:dyDescent="0.2">
      <c r="B6223" s="1168"/>
    </row>
    <row r="6224" spans="2:2" s="221" customFormat="1" ht="12.75" x14ac:dyDescent="0.2">
      <c r="B6224" s="1168"/>
    </row>
    <row r="6225" spans="2:2" s="221" customFormat="1" ht="12.75" x14ac:dyDescent="0.2">
      <c r="B6225" s="1168"/>
    </row>
    <row r="6226" spans="2:2" s="221" customFormat="1" ht="12.75" x14ac:dyDescent="0.2">
      <c r="B6226" s="1168"/>
    </row>
    <row r="6227" spans="2:2" s="221" customFormat="1" ht="12.75" x14ac:dyDescent="0.2">
      <c r="B6227" s="1168"/>
    </row>
    <row r="6228" spans="2:2" s="221" customFormat="1" ht="12.75" x14ac:dyDescent="0.2">
      <c r="B6228" s="1168"/>
    </row>
    <row r="6229" spans="2:2" s="221" customFormat="1" ht="12.75" x14ac:dyDescent="0.2">
      <c r="B6229" s="1168"/>
    </row>
    <row r="6230" spans="2:2" s="221" customFormat="1" ht="12.75" x14ac:dyDescent="0.2">
      <c r="B6230" s="1168"/>
    </row>
    <row r="6231" spans="2:2" s="221" customFormat="1" ht="12.75" x14ac:dyDescent="0.2">
      <c r="B6231" s="1168"/>
    </row>
    <row r="6232" spans="2:2" s="221" customFormat="1" ht="12.75" x14ac:dyDescent="0.2">
      <c r="B6232" s="1168"/>
    </row>
    <row r="6233" spans="2:2" s="221" customFormat="1" ht="12.75" x14ac:dyDescent="0.2">
      <c r="B6233" s="1168"/>
    </row>
    <row r="6234" spans="2:2" s="221" customFormat="1" ht="12.75" x14ac:dyDescent="0.2">
      <c r="B6234" s="1168"/>
    </row>
    <row r="6235" spans="2:2" s="221" customFormat="1" ht="12.75" x14ac:dyDescent="0.2">
      <c r="B6235" s="1168"/>
    </row>
    <row r="6236" spans="2:2" s="221" customFormat="1" ht="12.75" x14ac:dyDescent="0.2">
      <c r="B6236" s="1168"/>
    </row>
    <row r="6237" spans="2:2" s="221" customFormat="1" ht="12.75" x14ac:dyDescent="0.2">
      <c r="B6237" s="1168"/>
    </row>
    <row r="6238" spans="2:2" s="221" customFormat="1" ht="12.75" x14ac:dyDescent="0.2">
      <c r="B6238" s="1168"/>
    </row>
    <row r="6239" spans="2:2" s="221" customFormat="1" ht="12.75" x14ac:dyDescent="0.2">
      <c r="B6239" s="1168"/>
    </row>
    <row r="6240" spans="2:2" s="221" customFormat="1" ht="12.75" x14ac:dyDescent="0.2">
      <c r="B6240" s="1168"/>
    </row>
    <row r="6241" spans="2:2" s="221" customFormat="1" ht="12.75" x14ac:dyDescent="0.2">
      <c r="B6241" s="1168"/>
    </row>
    <row r="6242" spans="2:2" s="221" customFormat="1" ht="12.75" x14ac:dyDescent="0.2">
      <c r="B6242" s="1168"/>
    </row>
    <row r="6243" spans="2:2" s="221" customFormat="1" ht="12.75" x14ac:dyDescent="0.2">
      <c r="B6243" s="1168"/>
    </row>
    <row r="6244" spans="2:2" s="221" customFormat="1" ht="12.75" x14ac:dyDescent="0.2">
      <c r="B6244" s="1168"/>
    </row>
    <row r="6245" spans="2:2" s="221" customFormat="1" ht="12.75" x14ac:dyDescent="0.2">
      <c r="B6245" s="1168"/>
    </row>
    <row r="6246" spans="2:2" s="221" customFormat="1" ht="12.75" x14ac:dyDescent="0.2">
      <c r="B6246" s="1168"/>
    </row>
    <row r="6247" spans="2:2" s="221" customFormat="1" ht="12.75" x14ac:dyDescent="0.2">
      <c r="B6247" s="1168"/>
    </row>
    <row r="6248" spans="2:2" s="221" customFormat="1" ht="12.75" x14ac:dyDescent="0.2">
      <c r="B6248" s="1168"/>
    </row>
    <row r="6249" spans="2:2" s="221" customFormat="1" ht="12.75" x14ac:dyDescent="0.2">
      <c r="B6249" s="1168"/>
    </row>
    <row r="6250" spans="2:2" s="221" customFormat="1" ht="12.75" x14ac:dyDescent="0.2">
      <c r="B6250" s="1168"/>
    </row>
    <row r="6251" spans="2:2" s="221" customFormat="1" ht="12.75" x14ac:dyDescent="0.2">
      <c r="B6251" s="1168"/>
    </row>
    <row r="6252" spans="2:2" s="221" customFormat="1" ht="12.75" x14ac:dyDescent="0.2">
      <c r="B6252" s="1168"/>
    </row>
    <row r="6253" spans="2:2" s="221" customFormat="1" ht="12.75" x14ac:dyDescent="0.2">
      <c r="B6253" s="1168"/>
    </row>
    <row r="6254" spans="2:2" s="221" customFormat="1" ht="12.75" x14ac:dyDescent="0.2">
      <c r="B6254" s="1168"/>
    </row>
    <row r="6255" spans="2:2" s="221" customFormat="1" ht="12.75" x14ac:dyDescent="0.2">
      <c r="B6255" s="1168"/>
    </row>
    <row r="6256" spans="2:2" s="221" customFormat="1" ht="12.75" x14ac:dyDescent="0.2">
      <c r="B6256" s="1168"/>
    </row>
    <row r="6257" spans="2:2" s="221" customFormat="1" ht="12.75" x14ac:dyDescent="0.2">
      <c r="B6257" s="1168"/>
    </row>
    <row r="6258" spans="2:2" s="221" customFormat="1" ht="12.75" x14ac:dyDescent="0.2">
      <c r="B6258" s="1168"/>
    </row>
    <row r="6259" spans="2:2" s="221" customFormat="1" ht="12.75" x14ac:dyDescent="0.2">
      <c r="B6259" s="1168"/>
    </row>
    <row r="6260" spans="2:2" s="221" customFormat="1" ht="12.75" x14ac:dyDescent="0.2">
      <c r="B6260" s="1168"/>
    </row>
    <row r="6261" spans="2:2" s="221" customFormat="1" ht="12.75" x14ac:dyDescent="0.2">
      <c r="B6261" s="1168"/>
    </row>
    <row r="6262" spans="2:2" s="221" customFormat="1" ht="12.75" x14ac:dyDescent="0.2">
      <c r="B6262" s="1168"/>
    </row>
    <row r="6263" spans="2:2" s="221" customFormat="1" ht="12.75" x14ac:dyDescent="0.2">
      <c r="B6263" s="1168"/>
    </row>
    <row r="6264" spans="2:2" s="221" customFormat="1" ht="12.75" x14ac:dyDescent="0.2">
      <c r="B6264" s="1168"/>
    </row>
    <row r="6265" spans="2:2" s="221" customFormat="1" ht="12.75" x14ac:dyDescent="0.2">
      <c r="B6265" s="1168"/>
    </row>
    <row r="6266" spans="2:2" s="221" customFormat="1" ht="12.75" x14ac:dyDescent="0.2">
      <c r="B6266" s="1168"/>
    </row>
    <row r="6267" spans="2:2" s="221" customFormat="1" ht="12.75" x14ac:dyDescent="0.2">
      <c r="B6267" s="1168"/>
    </row>
    <row r="6268" spans="2:2" s="221" customFormat="1" ht="12.75" x14ac:dyDescent="0.2">
      <c r="B6268" s="1168"/>
    </row>
    <row r="6269" spans="2:2" s="221" customFormat="1" ht="12.75" x14ac:dyDescent="0.2">
      <c r="B6269" s="1168"/>
    </row>
    <row r="6270" spans="2:2" s="221" customFormat="1" ht="12.75" x14ac:dyDescent="0.2">
      <c r="B6270" s="1168"/>
    </row>
    <row r="6271" spans="2:2" s="221" customFormat="1" ht="12.75" x14ac:dyDescent="0.2">
      <c r="B6271" s="1168"/>
    </row>
    <row r="6272" spans="2:2" s="221" customFormat="1" ht="12.75" x14ac:dyDescent="0.2">
      <c r="B6272" s="1168"/>
    </row>
    <row r="6273" spans="2:2" s="221" customFormat="1" ht="12.75" x14ac:dyDescent="0.2">
      <c r="B6273" s="1168"/>
    </row>
    <row r="6274" spans="2:2" s="221" customFormat="1" ht="12.75" x14ac:dyDescent="0.2">
      <c r="B6274" s="1168"/>
    </row>
    <row r="6275" spans="2:2" s="221" customFormat="1" ht="12.75" x14ac:dyDescent="0.2">
      <c r="B6275" s="1168"/>
    </row>
    <row r="6276" spans="2:2" s="221" customFormat="1" ht="12.75" x14ac:dyDescent="0.2">
      <c r="B6276" s="1168"/>
    </row>
    <row r="6277" spans="2:2" s="221" customFormat="1" ht="12.75" x14ac:dyDescent="0.2">
      <c r="B6277" s="1168"/>
    </row>
    <row r="6278" spans="2:2" s="221" customFormat="1" ht="12.75" x14ac:dyDescent="0.2">
      <c r="B6278" s="1168"/>
    </row>
    <row r="6279" spans="2:2" s="221" customFormat="1" ht="12.75" x14ac:dyDescent="0.2">
      <c r="B6279" s="1168"/>
    </row>
    <row r="6280" spans="2:2" s="221" customFormat="1" ht="12.75" x14ac:dyDescent="0.2">
      <c r="B6280" s="1168"/>
    </row>
    <row r="6281" spans="2:2" s="221" customFormat="1" ht="12.75" x14ac:dyDescent="0.2">
      <c r="B6281" s="1168"/>
    </row>
    <row r="6282" spans="2:2" s="221" customFormat="1" ht="12.75" x14ac:dyDescent="0.2">
      <c r="B6282" s="1168"/>
    </row>
    <row r="6283" spans="2:2" s="221" customFormat="1" ht="12.75" x14ac:dyDescent="0.2">
      <c r="B6283" s="1168"/>
    </row>
    <row r="6284" spans="2:2" s="221" customFormat="1" ht="12.75" x14ac:dyDescent="0.2">
      <c r="B6284" s="1168"/>
    </row>
    <row r="6285" spans="2:2" s="221" customFormat="1" ht="12.75" x14ac:dyDescent="0.2">
      <c r="B6285" s="1168"/>
    </row>
    <row r="6286" spans="2:2" s="221" customFormat="1" ht="12.75" x14ac:dyDescent="0.2">
      <c r="B6286" s="1168"/>
    </row>
    <row r="6287" spans="2:2" s="221" customFormat="1" ht="12.75" x14ac:dyDescent="0.2">
      <c r="B6287" s="1168"/>
    </row>
    <row r="6288" spans="2:2" s="221" customFormat="1" ht="12.75" x14ac:dyDescent="0.2">
      <c r="B6288" s="1168"/>
    </row>
    <row r="6289" spans="2:2" s="221" customFormat="1" ht="12.75" x14ac:dyDescent="0.2">
      <c r="B6289" s="1168"/>
    </row>
    <row r="6290" spans="2:2" s="221" customFormat="1" ht="12.75" x14ac:dyDescent="0.2">
      <c r="B6290" s="1168"/>
    </row>
    <row r="6291" spans="2:2" s="221" customFormat="1" ht="12.75" x14ac:dyDescent="0.2">
      <c r="B6291" s="1168"/>
    </row>
    <row r="6292" spans="2:2" s="221" customFormat="1" ht="12.75" x14ac:dyDescent="0.2">
      <c r="B6292" s="1168"/>
    </row>
    <row r="6293" spans="2:2" s="221" customFormat="1" ht="12.75" x14ac:dyDescent="0.2">
      <c r="B6293" s="1168"/>
    </row>
    <row r="6294" spans="2:2" s="221" customFormat="1" ht="12.75" x14ac:dyDescent="0.2">
      <c r="B6294" s="1168"/>
    </row>
    <row r="6295" spans="2:2" s="221" customFormat="1" ht="12.75" x14ac:dyDescent="0.2">
      <c r="B6295" s="1168"/>
    </row>
    <row r="6296" spans="2:2" s="221" customFormat="1" ht="12.75" x14ac:dyDescent="0.2">
      <c r="B6296" s="1168"/>
    </row>
    <row r="6297" spans="2:2" s="221" customFormat="1" ht="12.75" x14ac:dyDescent="0.2">
      <c r="B6297" s="1168"/>
    </row>
    <row r="6298" spans="2:2" s="221" customFormat="1" ht="12.75" x14ac:dyDescent="0.2">
      <c r="B6298" s="1168"/>
    </row>
    <row r="6299" spans="2:2" s="221" customFormat="1" ht="12.75" x14ac:dyDescent="0.2">
      <c r="B6299" s="1168"/>
    </row>
    <row r="6300" spans="2:2" s="221" customFormat="1" ht="12.75" x14ac:dyDescent="0.2">
      <c r="B6300" s="1168"/>
    </row>
    <row r="6301" spans="2:2" s="221" customFormat="1" ht="12.75" x14ac:dyDescent="0.2">
      <c r="B6301" s="1168"/>
    </row>
    <row r="6302" spans="2:2" s="221" customFormat="1" ht="12.75" x14ac:dyDescent="0.2">
      <c r="B6302" s="1168"/>
    </row>
    <row r="6303" spans="2:2" s="221" customFormat="1" ht="12.75" x14ac:dyDescent="0.2">
      <c r="B6303" s="1168"/>
    </row>
    <row r="6304" spans="2:2" s="221" customFormat="1" ht="12.75" x14ac:dyDescent="0.2">
      <c r="B6304" s="1168"/>
    </row>
    <row r="6305" spans="2:2" s="221" customFormat="1" ht="12.75" x14ac:dyDescent="0.2">
      <c r="B6305" s="1168"/>
    </row>
    <row r="6306" spans="2:2" s="221" customFormat="1" ht="12.75" x14ac:dyDescent="0.2">
      <c r="B6306" s="1168"/>
    </row>
    <row r="6307" spans="2:2" s="221" customFormat="1" ht="12.75" x14ac:dyDescent="0.2">
      <c r="B6307" s="1168"/>
    </row>
    <row r="6308" spans="2:2" s="221" customFormat="1" ht="12.75" x14ac:dyDescent="0.2">
      <c r="B6308" s="1168"/>
    </row>
    <row r="6309" spans="2:2" s="221" customFormat="1" ht="12.75" x14ac:dyDescent="0.2">
      <c r="B6309" s="1168"/>
    </row>
    <row r="6310" spans="2:2" s="221" customFormat="1" ht="12.75" x14ac:dyDescent="0.2">
      <c r="B6310" s="1168"/>
    </row>
    <row r="6311" spans="2:2" s="221" customFormat="1" ht="12.75" x14ac:dyDescent="0.2">
      <c r="B6311" s="1168"/>
    </row>
    <row r="6312" spans="2:2" s="221" customFormat="1" ht="12.75" x14ac:dyDescent="0.2">
      <c r="B6312" s="1168"/>
    </row>
    <row r="6313" spans="2:2" s="221" customFormat="1" ht="12.75" x14ac:dyDescent="0.2">
      <c r="B6313" s="1168"/>
    </row>
    <row r="6314" spans="2:2" s="221" customFormat="1" ht="12.75" x14ac:dyDescent="0.2">
      <c r="B6314" s="1168"/>
    </row>
    <row r="6315" spans="2:2" s="221" customFormat="1" ht="12.75" x14ac:dyDescent="0.2">
      <c r="B6315" s="1168"/>
    </row>
    <row r="6316" spans="2:2" s="221" customFormat="1" ht="12.75" x14ac:dyDescent="0.2">
      <c r="B6316" s="1168"/>
    </row>
    <row r="6317" spans="2:2" s="221" customFormat="1" ht="12.75" x14ac:dyDescent="0.2">
      <c r="B6317" s="1168"/>
    </row>
    <row r="6318" spans="2:2" s="221" customFormat="1" ht="12.75" x14ac:dyDescent="0.2">
      <c r="B6318" s="1168"/>
    </row>
    <row r="6319" spans="2:2" s="221" customFormat="1" ht="12.75" x14ac:dyDescent="0.2">
      <c r="B6319" s="1168"/>
    </row>
    <row r="6320" spans="2:2" s="221" customFormat="1" ht="12.75" x14ac:dyDescent="0.2">
      <c r="B6320" s="1168"/>
    </row>
    <row r="6321" spans="2:2" s="221" customFormat="1" ht="12.75" x14ac:dyDescent="0.2">
      <c r="B6321" s="1168"/>
    </row>
    <row r="6322" spans="2:2" s="221" customFormat="1" ht="12.75" x14ac:dyDescent="0.2">
      <c r="B6322" s="1168"/>
    </row>
    <row r="6323" spans="2:2" s="221" customFormat="1" ht="12.75" x14ac:dyDescent="0.2">
      <c r="B6323" s="1168"/>
    </row>
    <row r="6324" spans="2:2" s="221" customFormat="1" ht="12.75" x14ac:dyDescent="0.2">
      <c r="B6324" s="1168"/>
    </row>
    <row r="6325" spans="2:2" s="221" customFormat="1" ht="12.75" x14ac:dyDescent="0.2">
      <c r="B6325" s="1168"/>
    </row>
    <row r="6326" spans="2:2" s="221" customFormat="1" ht="12.75" x14ac:dyDescent="0.2">
      <c r="B6326" s="1168"/>
    </row>
    <row r="6327" spans="2:2" s="221" customFormat="1" ht="12.75" x14ac:dyDescent="0.2">
      <c r="B6327" s="1168"/>
    </row>
    <row r="6328" spans="2:2" s="221" customFormat="1" ht="12.75" x14ac:dyDescent="0.2">
      <c r="B6328" s="1168"/>
    </row>
    <row r="6329" spans="2:2" s="221" customFormat="1" ht="12.75" x14ac:dyDescent="0.2">
      <c r="B6329" s="1168"/>
    </row>
    <row r="6330" spans="2:2" s="221" customFormat="1" ht="12.75" x14ac:dyDescent="0.2">
      <c r="B6330" s="1168"/>
    </row>
    <row r="6331" spans="2:2" s="221" customFormat="1" ht="12.75" x14ac:dyDescent="0.2">
      <c r="B6331" s="1168"/>
    </row>
    <row r="6332" spans="2:2" s="221" customFormat="1" ht="12.75" x14ac:dyDescent="0.2">
      <c r="B6332" s="1168"/>
    </row>
    <row r="6333" spans="2:2" s="221" customFormat="1" ht="12.75" x14ac:dyDescent="0.2">
      <c r="B6333" s="1168"/>
    </row>
    <row r="6334" spans="2:2" s="221" customFormat="1" ht="12.75" x14ac:dyDescent="0.2">
      <c r="B6334" s="1168"/>
    </row>
    <row r="6335" spans="2:2" s="221" customFormat="1" ht="12.75" x14ac:dyDescent="0.2">
      <c r="B6335" s="1168"/>
    </row>
    <row r="6336" spans="2:2" s="221" customFormat="1" ht="12.75" x14ac:dyDescent="0.2">
      <c r="B6336" s="1168"/>
    </row>
    <row r="6337" spans="2:2" s="221" customFormat="1" ht="12.75" x14ac:dyDescent="0.2">
      <c r="B6337" s="1168"/>
    </row>
    <row r="6338" spans="2:2" s="221" customFormat="1" ht="12.75" x14ac:dyDescent="0.2">
      <c r="B6338" s="1168"/>
    </row>
    <row r="6339" spans="2:2" s="221" customFormat="1" ht="12.75" x14ac:dyDescent="0.2">
      <c r="B6339" s="1168"/>
    </row>
    <row r="6340" spans="2:2" s="221" customFormat="1" ht="12.75" x14ac:dyDescent="0.2">
      <c r="B6340" s="1168"/>
    </row>
    <row r="6341" spans="2:2" s="221" customFormat="1" ht="12.75" x14ac:dyDescent="0.2">
      <c r="B6341" s="1168"/>
    </row>
    <row r="6342" spans="2:2" s="221" customFormat="1" ht="12.75" x14ac:dyDescent="0.2">
      <c r="B6342" s="1168"/>
    </row>
    <row r="6343" spans="2:2" s="221" customFormat="1" ht="12.75" x14ac:dyDescent="0.2">
      <c r="B6343" s="1168"/>
    </row>
    <row r="6344" spans="2:2" s="221" customFormat="1" ht="12.75" x14ac:dyDescent="0.2">
      <c r="B6344" s="1168"/>
    </row>
    <row r="6345" spans="2:2" s="221" customFormat="1" ht="12.75" x14ac:dyDescent="0.2">
      <c r="B6345" s="1168"/>
    </row>
    <row r="6346" spans="2:2" s="221" customFormat="1" ht="12.75" x14ac:dyDescent="0.2">
      <c r="B6346" s="1168"/>
    </row>
    <row r="6347" spans="2:2" s="221" customFormat="1" ht="12.75" x14ac:dyDescent="0.2">
      <c r="B6347" s="1168"/>
    </row>
    <row r="6348" spans="2:2" s="221" customFormat="1" ht="12.75" x14ac:dyDescent="0.2">
      <c r="B6348" s="1168"/>
    </row>
    <row r="6349" spans="2:2" s="221" customFormat="1" ht="12.75" x14ac:dyDescent="0.2">
      <c r="B6349" s="1168"/>
    </row>
    <row r="6350" spans="2:2" s="221" customFormat="1" ht="12.75" x14ac:dyDescent="0.2">
      <c r="B6350" s="1168"/>
    </row>
    <row r="6351" spans="2:2" s="221" customFormat="1" ht="12.75" x14ac:dyDescent="0.2">
      <c r="B6351" s="1168"/>
    </row>
    <row r="6352" spans="2:2" s="221" customFormat="1" ht="12.75" x14ac:dyDescent="0.2">
      <c r="B6352" s="1168"/>
    </row>
    <row r="6353" spans="2:2" s="221" customFormat="1" ht="12.75" x14ac:dyDescent="0.2">
      <c r="B6353" s="1168"/>
    </row>
    <row r="6354" spans="2:2" s="221" customFormat="1" ht="12.75" x14ac:dyDescent="0.2">
      <c r="B6354" s="1168"/>
    </row>
    <row r="6355" spans="2:2" s="221" customFormat="1" ht="12.75" x14ac:dyDescent="0.2">
      <c r="B6355" s="1168"/>
    </row>
    <row r="6356" spans="2:2" s="221" customFormat="1" ht="12.75" x14ac:dyDescent="0.2">
      <c r="B6356" s="1168"/>
    </row>
    <row r="6357" spans="2:2" s="221" customFormat="1" ht="12.75" x14ac:dyDescent="0.2">
      <c r="B6357" s="1168"/>
    </row>
    <row r="6358" spans="2:2" s="221" customFormat="1" ht="12.75" x14ac:dyDescent="0.2">
      <c r="B6358" s="1168"/>
    </row>
    <row r="6359" spans="2:2" s="221" customFormat="1" ht="12.75" x14ac:dyDescent="0.2">
      <c r="B6359" s="1168"/>
    </row>
    <row r="6360" spans="2:2" s="221" customFormat="1" ht="12.75" x14ac:dyDescent="0.2">
      <c r="B6360" s="1168"/>
    </row>
    <row r="6361" spans="2:2" s="221" customFormat="1" ht="12.75" x14ac:dyDescent="0.2">
      <c r="B6361" s="1168"/>
    </row>
    <row r="6362" spans="2:2" s="221" customFormat="1" ht="12.75" x14ac:dyDescent="0.2">
      <c r="B6362" s="1168"/>
    </row>
    <row r="6363" spans="2:2" s="221" customFormat="1" ht="12.75" x14ac:dyDescent="0.2">
      <c r="B6363" s="1168"/>
    </row>
    <row r="6364" spans="2:2" s="221" customFormat="1" ht="12.75" x14ac:dyDescent="0.2">
      <c r="B6364" s="1168"/>
    </row>
    <row r="6365" spans="2:2" s="221" customFormat="1" ht="12.75" x14ac:dyDescent="0.2">
      <c r="B6365" s="1168"/>
    </row>
    <row r="6366" spans="2:2" s="221" customFormat="1" ht="12.75" x14ac:dyDescent="0.2">
      <c r="B6366" s="1168"/>
    </row>
    <row r="6367" spans="2:2" s="221" customFormat="1" ht="12.75" x14ac:dyDescent="0.2">
      <c r="B6367" s="1168"/>
    </row>
    <row r="6368" spans="2:2" s="221" customFormat="1" ht="12.75" x14ac:dyDescent="0.2">
      <c r="B6368" s="1168"/>
    </row>
    <row r="6369" spans="2:2" s="221" customFormat="1" ht="12.75" x14ac:dyDescent="0.2">
      <c r="B6369" s="1168"/>
    </row>
    <row r="6370" spans="2:2" s="221" customFormat="1" ht="12.75" x14ac:dyDescent="0.2">
      <c r="B6370" s="1168"/>
    </row>
    <row r="6371" spans="2:2" s="221" customFormat="1" ht="12.75" x14ac:dyDescent="0.2">
      <c r="B6371" s="1168"/>
    </row>
    <row r="6372" spans="2:2" s="221" customFormat="1" ht="12.75" x14ac:dyDescent="0.2">
      <c r="B6372" s="1168"/>
    </row>
    <row r="6373" spans="2:2" s="221" customFormat="1" ht="12.75" x14ac:dyDescent="0.2">
      <c r="B6373" s="1168"/>
    </row>
    <row r="6374" spans="2:2" s="221" customFormat="1" ht="12.75" x14ac:dyDescent="0.2">
      <c r="B6374" s="1168"/>
    </row>
    <row r="6375" spans="2:2" s="221" customFormat="1" ht="12.75" x14ac:dyDescent="0.2">
      <c r="B6375" s="1168"/>
    </row>
    <row r="6376" spans="2:2" s="221" customFormat="1" ht="12.75" x14ac:dyDescent="0.2">
      <c r="B6376" s="1168"/>
    </row>
    <row r="6377" spans="2:2" s="221" customFormat="1" ht="12.75" x14ac:dyDescent="0.2">
      <c r="B6377" s="1168"/>
    </row>
    <row r="6378" spans="2:2" s="221" customFormat="1" ht="12.75" x14ac:dyDescent="0.2">
      <c r="B6378" s="1168"/>
    </row>
    <row r="6379" spans="2:2" s="221" customFormat="1" ht="12.75" x14ac:dyDescent="0.2">
      <c r="B6379" s="1168"/>
    </row>
    <row r="6380" spans="2:2" s="221" customFormat="1" ht="12.75" x14ac:dyDescent="0.2">
      <c r="B6380" s="1168"/>
    </row>
    <row r="6381" spans="2:2" s="221" customFormat="1" ht="12.75" x14ac:dyDescent="0.2">
      <c r="B6381" s="1168"/>
    </row>
    <row r="6382" spans="2:2" s="221" customFormat="1" ht="12.75" x14ac:dyDescent="0.2">
      <c r="B6382" s="1168"/>
    </row>
    <row r="6383" spans="2:2" s="221" customFormat="1" ht="12.75" x14ac:dyDescent="0.2">
      <c r="B6383" s="1168"/>
    </row>
    <row r="6384" spans="2:2" s="221" customFormat="1" ht="12.75" x14ac:dyDescent="0.2">
      <c r="B6384" s="1168"/>
    </row>
    <row r="6385" spans="2:2" s="221" customFormat="1" ht="12.75" x14ac:dyDescent="0.2">
      <c r="B6385" s="1168"/>
    </row>
    <row r="6386" spans="2:2" s="221" customFormat="1" ht="12.75" x14ac:dyDescent="0.2">
      <c r="B6386" s="1168"/>
    </row>
    <row r="6387" spans="2:2" s="221" customFormat="1" ht="12.75" x14ac:dyDescent="0.2">
      <c r="B6387" s="1168"/>
    </row>
    <row r="6388" spans="2:2" s="221" customFormat="1" ht="12.75" x14ac:dyDescent="0.2">
      <c r="B6388" s="1168"/>
    </row>
    <row r="6389" spans="2:2" s="221" customFormat="1" ht="12.75" x14ac:dyDescent="0.2">
      <c r="B6389" s="1168"/>
    </row>
    <row r="6390" spans="2:2" s="221" customFormat="1" ht="12.75" x14ac:dyDescent="0.2">
      <c r="B6390" s="1168"/>
    </row>
    <row r="6391" spans="2:2" s="221" customFormat="1" ht="12.75" x14ac:dyDescent="0.2">
      <c r="B6391" s="1168"/>
    </row>
    <row r="6392" spans="2:2" s="221" customFormat="1" ht="12.75" x14ac:dyDescent="0.2">
      <c r="B6392" s="1168"/>
    </row>
    <row r="6393" spans="2:2" s="221" customFormat="1" ht="12.75" x14ac:dyDescent="0.2">
      <c r="B6393" s="1168"/>
    </row>
    <row r="6394" spans="2:2" s="221" customFormat="1" ht="12.75" x14ac:dyDescent="0.2">
      <c r="B6394" s="1168"/>
    </row>
    <row r="6395" spans="2:2" s="221" customFormat="1" ht="12.75" x14ac:dyDescent="0.2">
      <c r="B6395" s="1168"/>
    </row>
    <row r="6396" spans="2:2" s="221" customFormat="1" ht="12.75" x14ac:dyDescent="0.2">
      <c r="B6396" s="1168"/>
    </row>
    <row r="6397" spans="2:2" s="221" customFormat="1" ht="12.75" x14ac:dyDescent="0.2">
      <c r="B6397" s="1168"/>
    </row>
    <row r="6398" spans="2:2" s="221" customFormat="1" ht="12.75" x14ac:dyDescent="0.2">
      <c r="B6398" s="1168"/>
    </row>
    <row r="6399" spans="2:2" s="221" customFormat="1" ht="12.75" x14ac:dyDescent="0.2">
      <c r="B6399" s="1168"/>
    </row>
    <row r="6400" spans="2:2" s="221" customFormat="1" ht="12.75" x14ac:dyDescent="0.2">
      <c r="B6400" s="1168"/>
    </row>
    <row r="6401" spans="2:2" s="221" customFormat="1" ht="12.75" x14ac:dyDescent="0.2">
      <c r="B6401" s="1168"/>
    </row>
    <row r="6402" spans="2:2" s="221" customFormat="1" ht="12.75" x14ac:dyDescent="0.2">
      <c r="B6402" s="1168"/>
    </row>
    <row r="6403" spans="2:2" s="221" customFormat="1" ht="12.75" x14ac:dyDescent="0.2">
      <c r="B6403" s="1168"/>
    </row>
    <row r="6404" spans="2:2" s="221" customFormat="1" ht="12.75" x14ac:dyDescent="0.2">
      <c r="B6404" s="1168"/>
    </row>
    <row r="6405" spans="2:2" s="221" customFormat="1" ht="12.75" x14ac:dyDescent="0.2">
      <c r="B6405" s="1168"/>
    </row>
    <row r="6406" spans="2:2" s="221" customFormat="1" ht="12.75" x14ac:dyDescent="0.2">
      <c r="B6406" s="1168"/>
    </row>
    <row r="6407" spans="2:2" s="221" customFormat="1" ht="12.75" x14ac:dyDescent="0.2">
      <c r="B6407" s="1168"/>
    </row>
    <row r="6408" spans="2:2" s="221" customFormat="1" ht="12.75" x14ac:dyDescent="0.2">
      <c r="B6408" s="1168"/>
    </row>
    <row r="6409" spans="2:2" s="221" customFormat="1" ht="12.75" x14ac:dyDescent="0.2">
      <c r="B6409" s="1168"/>
    </row>
    <row r="6410" spans="2:2" s="221" customFormat="1" ht="12.75" x14ac:dyDescent="0.2">
      <c r="B6410" s="1168"/>
    </row>
    <row r="6411" spans="2:2" s="221" customFormat="1" ht="12.75" x14ac:dyDescent="0.2">
      <c r="B6411" s="1168"/>
    </row>
    <row r="6412" spans="2:2" s="221" customFormat="1" ht="12.75" x14ac:dyDescent="0.2">
      <c r="B6412" s="1168"/>
    </row>
    <row r="6413" spans="2:2" s="221" customFormat="1" ht="12.75" x14ac:dyDescent="0.2">
      <c r="B6413" s="1168"/>
    </row>
    <row r="6414" spans="2:2" s="221" customFormat="1" ht="12.75" x14ac:dyDescent="0.2">
      <c r="B6414" s="1168"/>
    </row>
    <row r="6415" spans="2:2" s="221" customFormat="1" ht="12.75" x14ac:dyDescent="0.2">
      <c r="B6415" s="1168"/>
    </row>
    <row r="6416" spans="2:2" s="221" customFormat="1" ht="12.75" x14ac:dyDescent="0.2">
      <c r="B6416" s="1168"/>
    </row>
    <row r="6417" spans="2:2" s="221" customFormat="1" ht="12.75" x14ac:dyDescent="0.2">
      <c r="B6417" s="1168"/>
    </row>
    <row r="6418" spans="2:2" s="221" customFormat="1" ht="12.75" x14ac:dyDescent="0.2">
      <c r="B6418" s="1168"/>
    </row>
    <row r="6419" spans="2:2" s="221" customFormat="1" ht="12.75" x14ac:dyDescent="0.2">
      <c r="B6419" s="1168"/>
    </row>
    <row r="6420" spans="2:2" s="221" customFormat="1" ht="12.75" x14ac:dyDescent="0.2">
      <c r="B6420" s="1168"/>
    </row>
    <row r="6421" spans="2:2" s="221" customFormat="1" ht="12.75" x14ac:dyDescent="0.2">
      <c r="B6421" s="1168"/>
    </row>
    <row r="6422" spans="2:2" s="221" customFormat="1" ht="12.75" x14ac:dyDescent="0.2">
      <c r="B6422" s="1168"/>
    </row>
    <row r="6423" spans="2:2" s="221" customFormat="1" ht="12.75" x14ac:dyDescent="0.2">
      <c r="B6423" s="1168"/>
    </row>
    <row r="6424" spans="2:2" s="221" customFormat="1" ht="12.75" x14ac:dyDescent="0.2">
      <c r="B6424" s="1168"/>
    </row>
    <row r="6425" spans="2:2" s="221" customFormat="1" ht="12.75" x14ac:dyDescent="0.2">
      <c r="B6425" s="1168"/>
    </row>
    <row r="6426" spans="2:2" s="221" customFormat="1" ht="12.75" x14ac:dyDescent="0.2">
      <c r="B6426" s="1168"/>
    </row>
    <row r="6427" spans="2:2" s="221" customFormat="1" ht="12.75" x14ac:dyDescent="0.2">
      <c r="B6427" s="1168"/>
    </row>
    <row r="6428" spans="2:2" s="221" customFormat="1" ht="12.75" x14ac:dyDescent="0.2">
      <c r="B6428" s="1168"/>
    </row>
    <row r="6429" spans="2:2" s="221" customFormat="1" ht="12.75" x14ac:dyDescent="0.2">
      <c r="B6429" s="1168"/>
    </row>
    <row r="6430" spans="2:2" s="221" customFormat="1" ht="12.75" x14ac:dyDescent="0.2">
      <c r="B6430" s="1168"/>
    </row>
    <row r="6431" spans="2:2" s="221" customFormat="1" ht="12.75" x14ac:dyDescent="0.2">
      <c r="B6431" s="1168"/>
    </row>
    <row r="6432" spans="2:2" s="221" customFormat="1" ht="12.75" x14ac:dyDescent="0.2">
      <c r="B6432" s="1168"/>
    </row>
    <row r="6433" spans="2:2" s="221" customFormat="1" ht="12.75" x14ac:dyDescent="0.2">
      <c r="B6433" s="1168"/>
    </row>
    <row r="6434" spans="2:2" s="221" customFormat="1" ht="12.75" x14ac:dyDescent="0.2">
      <c r="B6434" s="1168"/>
    </row>
    <row r="6435" spans="2:2" s="221" customFormat="1" ht="12.75" x14ac:dyDescent="0.2">
      <c r="B6435" s="1168"/>
    </row>
    <row r="6436" spans="2:2" s="221" customFormat="1" ht="12.75" x14ac:dyDescent="0.2">
      <c r="B6436" s="1168"/>
    </row>
    <row r="6437" spans="2:2" s="221" customFormat="1" ht="12.75" x14ac:dyDescent="0.2">
      <c r="B6437" s="1168"/>
    </row>
    <row r="6438" spans="2:2" s="221" customFormat="1" ht="12.75" x14ac:dyDescent="0.2">
      <c r="B6438" s="1168"/>
    </row>
    <row r="6439" spans="2:2" s="221" customFormat="1" ht="12.75" x14ac:dyDescent="0.2">
      <c r="B6439" s="1168"/>
    </row>
    <row r="6440" spans="2:2" s="221" customFormat="1" ht="12.75" x14ac:dyDescent="0.2">
      <c r="B6440" s="1168"/>
    </row>
    <row r="6441" spans="2:2" s="221" customFormat="1" ht="12.75" x14ac:dyDescent="0.2">
      <c r="B6441" s="1168"/>
    </row>
    <row r="6442" spans="2:2" s="221" customFormat="1" ht="12.75" x14ac:dyDescent="0.2">
      <c r="B6442" s="1168"/>
    </row>
    <row r="6443" spans="2:2" s="221" customFormat="1" ht="12.75" x14ac:dyDescent="0.2">
      <c r="B6443" s="1168"/>
    </row>
    <row r="6444" spans="2:2" s="221" customFormat="1" ht="12.75" x14ac:dyDescent="0.2">
      <c r="B6444" s="1168"/>
    </row>
    <row r="6445" spans="2:2" s="221" customFormat="1" ht="12.75" x14ac:dyDescent="0.2">
      <c r="B6445" s="1168"/>
    </row>
    <row r="6446" spans="2:2" s="221" customFormat="1" ht="12.75" x14ac:dyDescent="0.2">
      <c r="B6446" s="1168"/>
    </row>
    <row r="6447" spans="2:2" s="221" customFormat="1" ht="12.75" x14ac:dyDescent="0.2">
      <c r="B6447" s="1168"/>
    </row>
    <row r="6448" spans="2:2" s="221" customFormat="1" ht="12.75" x14ac:dyDescent="0.2">
      <c r="B6448" s="1168"/>
    </row>
    <row r="6449" spans="2:2" s="221" customFormat="1" ht="12.75" x14ac:dyDescent="0.2">
      <c r="B6449" s="1168"/>
    </row>
    <row r="6450" spans="2:2" s="221" customFormat="1" ht="12.75" x14ac:dyDescent="0.2">
      <c r="B6450" s="1168"/>
    </row>
    <row r="6451" spans="2:2" s="221" customFormat="1" ht="12.75" x14ac:dyDescent="0.2">
      <c r="B6451" s="1168"/>
    </row>
    <row r="6452" spans="2:2" s="221" customFormat="1" ht="12.75" x14ac:dyDescent="0.2">
      <c r="B6452" s="1168"/>
    </row>
    <row r="6453" spans="2:2" s="221" customFormat="1" ht="12.75" x14ac:dyDescent="0.2">
      <c r="B6453" s="1168"/>
    </row>
    <row r="6454" spans="2:2" s="221" customFormat="1" ht="12.75" x14ac:dyDescent="0.2">
      <c r="B6454" s="1168"/>
    </row>
    <row r="6455" spans="2:2" s="221" customFormat="1" ht="12.75" x14ac:dyDescent="0.2">
      <c r="B6455" s="1168"/>
    </row>
    <row r="6456" spans="2:2" s="221" customFormat="1" ht="12.75" x14ac:dyDescent="0.2">
      <c r="B6456" s="1168"/>
    </row>
    <row r="6457" spans="2:2" s="221" customFormat="1" ht="12.75" x14ac:dyDescent="0.2">
      <c r="B6457" s="1168"/>
    </row>
    <row r="6458" spans="2:2" s="221" customFormat="1" ht="12.75" x14ac:dyDescent="0.2">
      <c r="B6458" s="1168"/>
    </row>
    <row r="6459" spans="2:2" s="221" customFormat="1" ht="12.75" x14ac:dyDescent="0.2">
      <c r="B6459" s="1168"/>
    </row>
    <row r="6460" spans="2:2" s="221" customFormat="1" ht="12.75" x14ac:dyDescent="0.2">
      <c r="B6460" s="1168"/>
    </row>
    <row r="6461" spans="2:2" s="221" customFormat="1" ht="12.75" x14ac:dyDescent="0.2">
      <c r="B6461" s="1168"/>
    </row>
    <row r="6462" spans="2:2" s="221" customFormat="1" ht="12.75" x14ac:dyDescent="0.2">
      <c r="B6462" s="1168"/>
    </row>
    <row r="6463" spans="2:2" s="221" customFormat="1" ht="12.75" x14ac:dyDescent="0.2">
      <c r="B6463" s="1168"/>
    </row>
    <row r="6464" spans="2:2" s="221" customFormat="1" ht="12.75" x14ac:dyDescent="0.2">
      <c r="B6464" s="1168"/>
    </row>
    <row r="6465" spans="2:2" s="221" customFormat="1" ht="12.75" x14ac:dyDescent="0.2">
      <c r="B6465" s="1168"/>
    </row>
    <row r="6466" spans="2:2" s="221" customFormat="1" ht="12.75" x14ac:dyDescent="0.2">
      <c r="B6466" s="1168"/>
    </row>
    <row r="6467" spans="2:2" s="221" customFormat="1" ht="12.75" x14ac:dyDescent="0.2">
      <c r="B6467" s="1168"/>
    </row>
    <row r="6468" spans="2:2" s="221" customFormat="1" ht="12.75" x14ac:dyDescent="0.2">
      <c r="B6468" s="1168"/>
    </row>
    <row r="6469" spans="2:2" s="221" customFormat="1" ht="12.75" x14ac:dyDescent="0.2">
      <c r="B6469" s="1168"/>
    </row>
    <row r="6470" spans="2:2" s="221" customFormat="1" ht="12.75" x14ac:dyDescent="0.2">
      <c r="B6470" s="1168"/>
    </row>
    <row r="6471" spans="2:2" s="221" customFormat="1" ht="12.75" x14ac:dyDescent="0.2">
      <c r="B6471" s="1168"/>
    </row>
    <row r="6472" spans="2:2" s="221" customFormat="1" ht="12.75" x14ac:dyDescent="0.2">
      <c r="B6472" s="1168"/>
    </row>
    <row r="6473" spans="2:2" s="221" customFormat="1" ht="12.75" x14ac:dyDescent="0.2">
      <c r="B6473" s="1168"/>
    </row>
    <row r="6474" spans="2:2" s="221" customFormat="1" ht="12.75" x14ac:dyDescent="0.2">
      <c r="B6474" s="1168"/>
    </row>
    <row r="6475" spans="2:2" s="221" customFormat="1" ht="12.75" x14ac:dyDescent="0.2">
      <c r="B6475" s="1168"/>
    </row>
    <row r="6476" spans="2:2" s="221" customFormat="1" ht="12.75" x14ac:dyDescent="0.2">
      <c r="B6476" s="1168"/>
    </row>
    <row r="6477" spans="2:2" s="221" customFormat="1" ht="12.75" x14ac:dyDescent="0.2">
      <c r="B6477" s="1168"/>
    </row>
    <row r="6478" spans="2:2" s="221" customFormat="1" ht="12.75" x14ac:dyDescent="0.2">
      <c r="B6478" s="1168"/>
    </row>
    <row r="6479" spans="2:2" s="221" customFormat="1" ht="12.75" x14ac:dyDescent="0.2">
      <c r="B6479" s="1168"/>
    </row>
    <row r="6480" spans="2:2" s="221" customFormat="1" ht="12.75" x14ac:dyDescent="0.2">
      <c r="B6480" s="1168"/>
    </row>
    <row r="6481" spans="2:2" s="221" customFormat="1" ht="12.75" x14ac:dyDescent="0.2">
      <c r="B6481" s="1168"/>
    </row>
    <row r="6482" spans="2:2" s="221" customFormat="1" ht="12.75" x14ac:dyDescent="0.2">
      <c r="B6482" s="1168"/>
    </row>
    <row r="6483" spans="2:2" s="221" customFormat="1" ht="12.75" x14ac:dyDescent="0.2">
      <c r="B6483" s="1168"/>
    </row>
    <row r="6484" spans="2:2" s="221" customFormat="1" ht="12.75" x14ac:dyDescent="0.2">
      <c r="B6484" s="1168"/>
    </row>
    <row r="6485" spans="2:2" s="221" customFormat="1" ht="12.75" x14ac:dyDescent="0.2">
      <c r="B6485" s="1168"/>
    </row>
    <row r="6486" spans="2:2" s="221" customFormat="1" ht="12.75" x14ac:dyDescent="0.2">
      <c r="B6486" s="1168"/>
    </row>
    <row r="6487" spans="2:2" s="221" customFormat="1" ht="12.75" x14ac:dyDescent="0.2">
      <c r="B6487" s="1168"/>
    </row>
    <row r="6488" spans="2:2" s="221" customFormat="1" ht="12.75" x14ac:dyDescent="0.2">
      <c r="B6488" s="1168"/>
    </row>
    <row r="6489" spans="2:2" s="221" customFormat="1" ht="12.75" x14ac:dyDescent="0.2">
      <c r="B6489" s="1168"/>
    </row>
    <row r="6490" spans="2:2" s="221" customFormat="1" ht="12.75" x14ac:dyDescent="0.2">
      <c r="B6490" s="1168"/>
    </row>
    <row r="6491" spans="2:2" s="221" customFormat="1" ht="12.75" x14ac:dyDescent="0.2">
      <c r="B6491" s="1168"/>
    </row>
    <row r="6492" spans="2:2" s="221" customFormat="1" ht="12.75" x14ac:dyDescent="0.2">
      <c r="B6492" s="1168"/>
    </row>
    <row r="6493" spans="2:2" s="221" customFormat="1" ht="12.75" x14ac:dyDescent="0.2">
      <c r="B6493" s="1168"/>
    </row>
    <row r="6494" spans="2:2" s="221" customFormat="1" ht="12.75" x14ac:dyDescent="0.2">
      <c r="B6494" s="1168"/>
    </row>
    <row r="6495" spans="2:2" s="221" customFormat="1" ht="12.75" x14ac:dyDescent="0.2">
      <c r="B6495" s="1168"/>
    </row>
    <row r="6496" spans="2:2" s="221" customFormat="1" ht="12.75" x14ac:dyDescent="0.2">
      <c r="B6496" s="1168"/>
    </row>
    <row r="6497" spans="2:2" s="221" customFormat="1" ht="12.75" x14ac:dyDescent="0.2">
      <c r="B6497" s="1168"/>
    </row>
    <row r="6498" spans="2:2" s="221" customFormat="1" ht="12.75" x14ac:dyDescent="0.2">
      <c r="B6498" s="1168"/>
    </row>
    <row r="6499" spans="2:2" s="221" customFormat="1" ht="12.75" x14ac:dyDescent="0.2">
      <c r="B6499" s="1168"/>
    </row>
    <row r="6500" spans="2:2" s="221" customFormat="1" ht="12.75" x14ac:dyDescent="0.2">
      <c r="B6500" s="1168"/>
    </row>
    <row r="6501" spans="2:2" s="221" customFormat="1" ht="12.75" x14ac:dyDescent="0.2">
      <c r="B6501" s="1168"/>
    </row>
    <row r="6502" spans="2:2" s="221" customFormat="1" ht="12.75" x14ac:dyDescent="0.2">
      <c r="B6502" s="1168"/>
    </row>
    <row r="6503" spans="2:2" s="221" customFormat="1" ht="12.75" x14ac:dyDescent="0.2">
      <c r="B6503" s="1168"/>
    </row>
    <row r="6504" spans="2:2" s="221" customFormat="1" ht="12.75" x14ac:dyDescent="0.2">
      <c r="B6504" s="1168"/>
    </row>
    <row r="6505" spans="2:2" s="221" customFormat="1" ht="12.75" x14ac:dyDescent="0.2">
      <c r="B6505" s="1168"/>
    </row>
    <row r="6506" spans="2:2" s="221" customFormat="1" ht="12.75" x14ac:dyDescent="0.2">
      <c r="B6506" s="1168"/>
    </row>
    <row r="6507" spans="2:2" s="221" customFormat="1" ht="12.75" x14ac:dyDescent="0.2">
      <c r="B6507" s="1168"/>
    </row>
    <row r="6508" spans="2:2" s="221" customFormat="1" ht="12.75" x14ac:dyDescent="0.2">
      <c r="B6508" s="1168"/>
    </row>
    <row r="6509" spans="2:2" s="221" customFormat="1" ht="12.75" x14ac:dyDescent="0.2">
      <c r="B6509" s="1168"/>
    </row>
    <row r="6510" spans="2:2" s="221" customFormat="1" ht="12.75" x14ac:dyDescent="0.2">
      <c r="B6510" s="1168"/>
    </row>
    <row r="6511" spans="2:2" s="221" customFormat="1" ht="12.75" x14ac:dyDescent="0.2">
      <c r="B6511" s="1168"/>
    </row>
    <row r="6512" spans="2:2" s="221" customFormat="1" ht="12.75" x14ac:dyDescent="0.2">
      <c r="B6512" s="1168"/>
    </row>
    <row r="6513" spans="2:2" s="221" customFormat="1" ht="12.75" x14ac:dyDescent="0.2">
      <c r="B6513" s="1168"/>
    </row>
    <row r="6514" spans="2:2" s="221" customFormat="1" ht="12.75" x14ac:dyDescent="0.2">
      <c r="B6514" s="1168"/>
    </row>
    <row r="6515" spans="2:2" s="221" customFormat="1" ht="12.75" x14ac:dyDescent="0.2">
      <c r="B6515" s="1168"/>
    </row>
    <row r="6516" spans="2:2" s="221" customFormat="1" ht="12.75" x14ac:dyDescent="0.2">
      <c r="B6516" s="1168"/>
    </row>
    <row r="6517" spans="2:2" s="221" customFormat="1" ht="12.75" x14ac:dyDescent="0.2">
      <c r="B6517" s="1168"/>
    </row>
    <row r="6518" spans="2:2" s="221" customFormat="1" ht="12.75" x14ac:dyDescent="0.2">
      <c r="B6518" s="1168"/>
    </row>
    <row r="6519" spans="2:2" s="221" customFormat="1" ht="12.75" x14ac:dyDescent="0.2">
      <c r="B6519" s="1168"/>
    </row>
    <row r="6520" spans="2:2" s="221" customFormat="1" ht="12.75" x14ac:dyDescent="0.2">
      <c r="B6520" s="1168"/>
    </row>
    <row r="6521" spans="2:2" s="221" customFormat="1" ht="12.75" x14ac:dyDescent="0.2">
      <c r="B6521" s="1168"/>
    </row>
    <row r="6522" spans="2:2" s="221" customFormat="1" ht="12.75" x14ac:dyDescent="0.2">
      <c r="B6522" s="1168"/>
    </row>
    <row r="6523" spans="2:2" s="221" customFormat="1" ht="12.75" x14ac:dyDescent="0.2">
      <c r="B6523" s="1168"/>
    </row>
    <row r="6524" spans="2:2" s="221" customFormat="1" ht="12.75" x14ac:dyDescent="0.2">
      <c r="B6524" s="1168"/>
    </row>
    <row r="6525" spans="2:2" s="221" customFormat="1" ht="12.75" x14ac:dyDescent="0.2">
      <c r="B6525" s="1168"/>
    </row>
    <row r="6526" spans="2:2" s="221" customFormat="1" ht="12.75" x14ac:dyDescent="0.2">
      <c r="B6526" s="1168"/>
    </row>
    <row r="6527" spans="2:2" s="221" customFormat="1" ht="12.75" x14ac:dyDescent="0.2">
      <c r="B6527" s="1168"/>
    </row>
    <row r="6528" spans="2:2" s="221" customFormat="1" ht="12.75" x14ac:dyDescent="0.2">
      <c r="B6528" s="1168"/>
    </row>
    <row r="6529" spans="2:2" s="221" customFormat="1" ht="12.75" x14ac:dyDescent="0.2">
      <c r="B6529" s="1168"/>
    </row>
    <row r="6530" spans="2:2" s="221" customFormat="1" ht="12.75" x14ac:dyDescent="0.2">
      <c r="B6530" s="1168"/>
    </row>
    <row r="6531" spans="2:2" s="221" customFormat="1" ht="12.75" x14ac:dyDescent="0.2">
      <c r="B6531" s="1168"/>
    </row>
    <row r="6532" spans="2:2" s="221" customFormat="1" ht="12.75" x14ac:dyDescent="0.2">
      <c r="B6532" s="1168"/>
    </row>
    <row r="6533" spans="2:2" s="221" customFormat="1" ht="12.75" x14ac:dyDescent="0.2">
      <c r="B6533" s="1168"/>
    </row>
    <row r="6534" spans="2:2" s="221" customFormat="1" ht="12.75" x14ac:dyDescent="0.2">
      <c r="B6534" s="1168"/>
    </row>
    <row r="6535" spans="2:2" s="221" customFormat="1" ht="12.75" x14ac:dyDescent="0.2">
      <c r="B6535" s="1168"/>
    </row>
    <row r="6536" spans="2:2" s="221" customFormat="1" ht="12.75" x14ac:dyDescent="0.2">
      <c r="B6536" s="1168"/>
    </row>
    <row r="6537" spans="2:2" s="221" customFormat="1" ht="12.75" x14ac:dyDescent="0.2">
      <c r="B6537" s="1168"/>
    </row>
    <row r="6538" spans="2:2" s="221" customFormat="1" ht="12.75" x14ac:dyDescent="0.2">
      <c r="B6538" s="1168"/>
    </row>
    <row r="6539" spans="2:2" s="221" customFormat="1" ht="12.75" x14ac:dyDescent="0.2">
      <c r="B6539" s="1168"/>
    </row>
    <row r="6540" spans="2:2" s="221" customFormat="1" ht="12.75" x14ac:dyDescent="0.2">
      <c r="B6540" s="1168"/>
    </row>
    <row r="6541" spans="2:2" s="221" customFormat="1" ht="12.75" x14ac:dyDescent="0.2">
      <c r="B6541" s="1168"/>
    </row>
    <row r="6542" spans="2:2" s="221" customFormat="1" ht="12.75" x14ac:dyDescent="0.2">
      <c r="B6542" s="1168"/>
    </row>
    <row r="6543" spans="2:2" s="221" customFormat="1" ht="12.75" x14ac:dyDescent="0.2">
      <c r="B6543" s="1168"/>
    </row>
    <row r="6544" spans="2:2" s="221" customFormat="1" ht="12.75" x14ac:dyDescent="0.2">
      <c r="B6544" s="1168"/>
    </row>
    <row r="6545" spans="2:2" s="221" customFormat="1" ht="12.75" x14ac:dyDescent="0.2">
      <c r="B6545" s="1168"/>
    </row>
    <row r="6546" spans="2:2" s="221" customFormat="1" ht="12.75" x14ac:dyDescent="0.2">
      <c r="B6546" s="1168"/>
    </row>
    <row r="6547" spans="2:2" s="221" customFormat="1" ht="12.75" x14ac:dyDescent="0.2">
      <c r="B6547" s="1168"/>
    </row>
    <row r="6548" spans="2:2" s="221" customFormat="1" ht="12.75" x14ac:dyDescent="0.2">
      <c r="B6548" s="1168"/>
    </row>
    <row r="6549" spans="2:2" s="221" customFormat="1" ht="12.75" x14ac:dyDescent="0.2">
      <c r="B6549" s="1168"/>
    </row>
    <row r="6550" spans="2:2" s="221" customFormat="1" ht="12.75" x14ac:dyDescent="0.2">
      <c r="B6550" s="1168"/>
    </row>
    <row r="6551" spans="2:2" s="221" customFormat="1" ht="12.75" x14ac:dyDescent="0.2">
      <c r="B6551" s="1168"/>
    </row>
    <row r="6552" spans="2:2" s="221" customFormat="1" ht="12.75" x14ac:dyDescent="0.2">
      <c r="B6552" s="1168"/>
    </row>
    <row r="6553" spans="2:2" s="221" customFormat="1" ht="12.75" x14ac:dyDescent="0.2">
      <c r="B6553" s="1168"/>
    </row>
    <row r="6554" spans="2:2" s="221" customFormat="1" ht="12.75" x14ac:dyDescent="0.2">
      <c r="B6554" s="1168"/>
    </row>
    <row r="6555" spans="2:2" s="221" customFormat="1" ht="12.75" x14ac:dyDescent="0.2">
      <c r="B6555" s="1168"/>
    </row>
    <row r="6556" spans="2:2" s="221" customFormat="1" ht="12.75" x14ac:dyDescent="0.2">
      <c r="B6556" s="1168"/>
    </row>
    <row r="6557" spans="2:2" s="221" customFormat="1" ht="12.75" x14ac:dyDescent="0.2">
      <c r="B6557" s="1168"/>
    </row>
    <row r="6558" spans="2:2" s="221" customFormat="1" ht="12.75" x14ac:dyDescent="0.2">
      <c r="B6558" s="1168"/>
    </row>
    <row r="6559" spans="2:2" s="221" customFormat="1" ht="12.75" x14ac:dyDescent="0.2">
      <c r="B6559" s="1168"/>
    </row>
    <row r="6560" spans="2:2" s="221" customFormat="1" ht="12.75" x14ac:dyDescent="0.2">
      <c r="B6560" s="1168"/>
    </row>
    <row r="6561" spans="2:2" s="221" customFormat="1" ht="12.75" x14ac:dyDescent="0.2">
      <c r="B6561" s="1168"/>
    </row>
    <row r="6562" spans="2:2" s="221" customFormat="1" ht="12.75" x14ac:dyDescent="0.2">
      <c r="B6562" s="1168"/>
    </row>
    <row r="6563" spans="2:2" s="221" customFormat="1" ht="12.75" x14ac:dyDescent="0.2">
      <c r="B6563" s="1168"/>
    </row>
    <row r="6564" spans="2:2" s="221" customFormat="1" ht="12.75" x14ac:dyDescent="0.2">
      <c r="B6564" s="1168"/>
    </row>
    <row r="6565" spans="2:2" s="221" customFormat="1" ht="12.75" x14ac:dyDescent="0.2">
      <c r="B6565" s="1168"/>
    </row>
    <row r="6566" spans="2:2" s="221" customFormat="1" ht="12.75" x14ac:dyDescent="0.2">
      <c r="B6566" s="1168"/>
    </row>
    <row r="6567" spans="2:2" s="221" customFormat="1" ht="12.75" x14ac:dyDescent="0.2">
      <c r="B6567" s="1168"/>
    </row>
    <row r="6568" spans="2:2" s="221" customFormat="1" ht="12.75" x14ac:dyDescent="0.2">
      <c r="B6568" s="1168"/>
    </row>
    <row r="6569" spans="2:2" s="221" customFormat="1" ht="12.75" x14ac:dyDescent="0.2">
      <c r="B6569" s="1168"/>
    </row>
    <row r="6570" spans="2:2" s="221" customFormat="1" ht="12.75" x14ac:dyDescent="0.2">
      <c r="B6570" s="1168"/>
    </row>
    <row r="6571" spans="2:2" s="221" customFormat="1" ht="12.75" x14ac:dyDescent="0.2">
      <c r="B6571" s="1168"/>
    </row>
    <row r="6572" spans="2:2" s="221" customFormat="1" ht="12.75" x14ac:dyDescent="0.2">
      <c r="B6572" s="1168"/>
    </row>
    <row r="6573" spans="2:2" s="221" customFormat="1" ht="12.75" x14ac:dyDescent="0.2">
      <c r="B6573" s="1168"/>
    </row>
    <row r="6574" spans="2:2" s="221" customFormat="1" ht="12.75" x14ac:dyDescent="0.2">
      <c r="B6574" s="1168"/>
    </row>
    <row r="6575" spans="2:2" s="221" customFormat="1" ht="12.75" x14ac:dyDescent="0.2">
      <c r="B6575" s="1168"/>
    </row>
    <row r="6576" spans="2:2" s="221" customFormat="1" ht="12.75" x14ac:dyDescent="0.2">
      <c r="B6576" s="1168"/>
    </row>
    <row r="6577" spans="2:2" s="221" customFormat="1" ht="12.75" x14ac:dyDescent="0.2">
      <c r="B6577" s="1168"/>
    </row>
    <row r="6578" spans="2:2" s="221" customFormat="1" ht="12.75" x14ac:dyDescent="0.2">
      <c r="B6578" s="1168"/>
    </row>
    <row r="6579" spans="2:2" s="221" customFormat="1" ht="12.75" x14ac:dyDescent="0.2">
      <c r="B6579" s="1168"/>
    </row>
    <row r="6580" spans="2:2" s="221" customFormat="1" ht="12.75" x14ac:dyDescent="0.2">
      <c r="B6580" s="1168"/>
    </row>
    <row r="6581" spans="2:2" s="221" customFormat="1" ht="12.75" x14ac:dyDescent="0.2">
      <c r="B6581" s="1168"/>
    </row>
    <row r="6582" spans="2:2" s="221" customFormat="1" ht="12.75" x14ac:dyDescent="0.2">
      <c r="B6582" s="1168"/>
    </row>
    <row r="6583" spans="2:2" s="221" customFormat="1" ht="12.75" x14ac:dyDescent="0.2">
      <c r="B6583" s="1168"/>
    </row>
    <row r="6584" spans="2:2" s="221" customFormat="1" ht="12.75" x14ac:dyDescent="0.2">
      <c r="B6584" s="1168"/>
    </row>
    <row r="6585" spans="2:2" s="221" customFormat="1" ht="12.75" x14ac:dyDescent="0.2">
      <c r="B6585" s="1168"/>
    </row>
    <row r="6586" spans="2:2" s="221" customFormat="1" ht="12.75" x14ac:dyDescent="0.2">
      <c r="B6586" s="1168"/>
    </row>
    <row r="6587" spans="2:2" s="221" customFormat="1" ht="12.75" x14ac:dyDescent="0.2">
      <c r="B6587" s="1168"/>
    </row>
    <row r="6588" spans="2:2" s="221" customFormat="1" ht="12.75" x14ac:dyDescent="0.2">
      <c r="B6588" s="1168"/>
    </row>
    <row r="6589" spans="2:2" s="221" customFormat="1" ht="12.75" x14ac:dyDescent="0.2">
      <c r="B6589" s="1168"/>
    </row>
    <row r="6590" spans="2:2" s="221" customFormat="1" ht="12.75" x14ac:dyDescent="0.2">
      <c r="B6590" s="1168"/>
    </row>
    <row r="6591" spans="2:2" s="221" customFormat="1" ht="12.75" x14ac:dyDescent="0.2">
      <c r="B6591" s="1168"/>
    </row>
    <row r="6592" spans="2:2" s="221" customFormat="1" ht="12.75" x14ac:dyDescent="0.2">
      <c r="B6592" s="1168"/>
    </row>
    <row r="6593" spans="2:2" s="221" customFormat="1" ht="12.75" x14ac:dyDescent="0.2">
      <c r="B6593" s="1168"/>
    </row>
    <row r="6594" spans="2:2" s="221" customFormat="1" ht="12.75" x14ac:dyDescent="0.2">
      <c r="B6594" s="1168"/>
    </row>
    <row r="6595" spans="2:2" s="221" customFormat="1" ht="12.75" x14ac:dyDescent="0.2">
      <c r="B6595" s="1168"/>
    </row>
    <row r="6596" spans="2:2" s="221" customFormat="1" ht="12.75" x14ac:dyDescent="0.2">
      <c r="B6596" s="1168"/>
    </row>
    <row r="6597" spans="2:2" s="221" customFormat="1" ht="12.75" x14ac:dyDescent="0.2">
      <c r="B6597" s="1168"/>
    </row>
    <row r="6598" spans="2:2" s="221" customFormat="1" ht="12.75" x14ac:dyDescent="0.2">
      <c r="B6598" s="1168"/>
    </row>
    <row r="6599" spans="2:2" s="221" customFormat="1" ht="12.75" x14ac:dyDescent="0.2">
      <c r="B6599" s="1168"/>
    </row>
    <row r="6600" spans="2:2" s="221" customFormat="1" ht="12.75" x14ac:dyDescent="0.2">
      <c r="B6600" s="1168"/>
    </row>
    <row r="6601" spans="2:2" s="221" customFormat="1" ht="12.75" x14ac:dyDescent="0.2">
      <c r="B6601" s="1168"/>
    </row>
    <row r="6602" spans="2:2" s="221" customFormat="1" ht="12.75" x14ac:dyDescent="0.2">
      <c r="B6602" s="1168"/>
    </row>
    <row r="6603" spans="2:2" s="221" customFormat="1" ht="12.75" x14ac:dyDescent="0.2">
      <c r="B6603" s="1168"/>
    </row>
    <row r="6604" spans="2:2" s="221" customFormat="1" ht="12.75" x14ac:dyDescent="0.2">
      <c r="B6604" s="1168"/>
    </row>
    <row r="6605" spans="2:2" s="221" customFormat="1" ht="12.75" x14ac:dyDescent="0.2">
      <c r="B6605" s="1168"/>
    </row>
    <row r="6606" spans="2:2" s="221" customFormat="1" ht="12.75" x14ac:dyDescent="0.2">
      <c r="B6606" s="1168"/>
    </row>
    <row r="6607" spans="2:2" s="221" customFormat="1" ht="12.75" x14ac:dyDescent="0.2">
      <c r="B6607" s="1168"/>
    </row>
    <row r="6608" spans="2:2" s="221" customFormat="1" ht="12.75" x14ac:dyDescent="0.2">
      <c r="B6608" s="1168"/>
    </row>
    <row r="6609" spans="2:2" s="221" customFormat="1" ht="12.75" x14ac:dyDescent="0.2">
      <c r="B6609" s="1168"/>
    </row>
    <row r="6610" spans="2:2" s="221" customFormat="1" ht="12.75" x14ac:dyDescent="0.2">
      <c r="B6610" s="1168"/>
    </row>
    <row r="6611" spans="2:2" s="221" customFormat="1" ht="12.75" x14ac:dyDescent="0.2">
      <c r="B6611" s="1168"/>
    </row>
    <row r="6612" spans="2:2" s="221" customFormat="1" ht="12.75" x14ac:dyDescent="0.2">
      <c r="B6612" s="1168"/>
    </row>
    <row r="6613" spans="2:2" s="221" customFormat="1" ht="12.75" x14ac:dyDescent="0.2">
      <c r="B6613" s="1168"/>
    </row>
    <row r="6614" spans="2:2" s="221" customFormat="1" ht="12.75" x14ac:dyDescent="0.2">
      <c r="B6614" s="1168"/>
    </row>
    <row r="6615" spans="2:2" s="221" customFormat="1" ht="12.75" x14ac:dyDescent="0.2">
      <c r="B6615" s="1168"/>
    </row>
    <row r="6616" spans="2:2" s="221" customFormat="1" ht="12.75" x14ac:dyDescent="0.2">
      <c r="B6616" s="1168"/>
    </row>
    <row r="6617" spans="2:2" s="221" customFormat="1" ht="12.75" x14ac:dyDescent="0.2">
      <c r="B6617" s="1168"/>
    </row>
    <row r="6618" spans="2:2" s="221" customFormat="1" ht="12.75" x14ac:dyDescent="0.2">
      <c r="B6618" s="1168"/>
    </row>
    <row r="6619" spans="2:2" s="221" customFormat="1" ht="12.75" x14ac:dyDescent="0.2">
      <c r="B6619" s="1168"/>
    </row>
    <row r="6620" spans="2:2" s="221" customFormat="1" ht="12.75" x14ac:dyDescent="0.2">
      <c r="B6620" s="1168"/>
    </row>
    <row r="6621" spans="2:2" s="221" customFormat="1" ht="12.75" x14ac:dyDescent="0.2">
      <c r="B6621" s="1168"/>
    </row>
    <row r="6622" spans="2:2" s="221" customFormat="1" ht="12.75" x14ac:dyDescent="0.2">
      <c r="B6622" s="1168"/>
    </row>
    <row r="6623" spans="2:2" s="221" customFormat="1" ht="12.75" x14ac:dyDescent="0.2">
      <c r="B6623" s="1168"/>
    </row>
    <row r="6624" spans="2:2" s="221" customFormat="1" ht="12.75" x14ac:dyDescent="0.2">
      <c r="B6624" s="1168"/>
    </row>
    <row r="6625" spans="2:2" s="221" customFormat="1" ht="12.75" x14ac:dyDescent="0.2">
      <c r="B6625" s="1168"/>
    </row>
    <row r="6626" spans="2:2" s="221" customFormat="1" ht="12.75" x14ac:dyDescent="0.2">
      <c r="B6626" s="1168"/>
    </row>
    <row r="6627" spans="2:2" s="221" customFormat="1" ht="12.75" x14ac:dyDescent="0.2">
      <c r="B6627" s="1168"/>
    </row>
    <row r="6628" spans="2:2" s="221" customFormat="1" ht="12.75" x14ac:dyDescent="0.2">
      <c r="B6628" s="1168"/>
    </row>
    <row r="6629" spans="2:2" s="221" customFormat="1" ht="12.75" x14ac:dyDescent="0.2">
      <c r="B6629" s="1168"/>
    </row>
    <row r="6630" spans="2:2" s="221" customFormat="1" ht="12.75" x14ac:dyDescent="0.2">
      <c r="B6630" s="1168"/>
    </row>
    <row r="6631" spans="2:2" s="221" customFormat="1" ht="12.75" x14ac:dyDescent="0.2">
      <c r="B6631" s="1168"/>
    </row>
    <row r="6632" spans="2:2" s="221" customFormat="1" ht="12.75" x14ac:dyDescent="0.2">
      <c r="B6632" s="1168"/>
    </row>
    <row r="6633" spans="2:2" s="221" customFormat="1" ht="12.75" x14ac:dyDescent="0.2">
      <c r="B6633" s="1168"/>
    </row>
    <row r="6634" spans="2:2" s="221" customFormat="1" ht="12.75" x14ac:dyDescent="0.2">
      <c r="B6634" s="1168"/>
    </row>
    <row r="6635" spans="2:2" s="221" customFormat="1" ht="12.75" x14ac:dyDescent="0.2">
      <c r="B6635" s="1168"/>
    </row>
    <row r="6636" spans="2:2" s="221" customFormat="1" ht="12.75" x14ac:dyDescent="0.2">
      <c r="B6636" s="1168"/>
    </row>
    <row r="6637" spans="2:2" s="221" customFormat="1" ht="12.75" x14ac:dyDescent="0.2">
      <c r="B6637" s="1168"/>
    </row>
    <row r="6638" spans="2:2" s="221" customFormat="1" ht="12.75" x14ac:dyDescent="0.2">
      <c r="B6638" s="1168"/>
    </row>
    <row r="6639" spans="2:2" s="221" customFormat="1" ht="12.75" x14ac:dyDescent="0.2">
      <c r="B6639" s="1168"/>
    </row>
    <row r="6640" spans="2:2" s="221" customFormat="1" ht="12.75" x14ac:dyDescent="0.2">
      <c r="B6640" s="1168"/>
    </row>
    <row r="6641" spans="2:2" s="221" customFormat="1" ht="12.75" x14ac:dyDescent="0.2">
      <c r="B6641" s="1168"/>
    </row>
    <row r="6642" spans="2:2" s="221" customFormat="1" ht="12.75" x14ac:dyDescent="0.2">
      <c r="B6642" s="1168"/>
    </row>
    <row r="6643" spans="2:2" s="221" customFormat="1" ht="12.75" x14ac:dyDescent="0.2">
      <c r="B6643" s="1168"/>
    </row>
    <row r="6644" spans="2:2" s="221" customFormat="1" ht="12.75" x14ac:dyDescent="0.2">
      <c r="B6644" s="1168"/>
    </row>
    <row r="6645" spans="2:2" s="221" customFormat="1" ht="12.75" x14ac:dyDescent="0.2">
      <c r="B6645" s="1168"/>
    </row>
    <row r="6646" spans="2:2" s="221" customFormat="1" ht="12.75" x14ac:dyDescent="0.2">
      <c r="B6646" s="1168"/>
    </row>
    <row r="6647" spans="2:2" s="221" customFormat="1" ht="12.75" x14ac:dyDescent="0.2">
      <c r="B6647" s="1168"/>
    </row>
    <row r="6648" spans="2:2" s="221" customFormat="1" ht="12.75" x14ac:dyDescent="0.2">
      <c r="B6648" s="1168"/>
    </row>
    <row r="6649" spans="2:2" s="221" customFormat="1" ht="12.75" x14ac:dyDescent="0.2">
      <c r="B6649" s="1168"/>
    </row>
    <row r="6650" spans="2:2" s="221" customFormat="1" ht="12.75" x14ac:dyDescent="0.2">
      <c r="B6650" s="1168"/>
    </row>
    <row r="6651" spans="2:2" s="221" customFormat="1" ht="12.75" x14ac:dyDescent="0.2">
      <c r="B6651" s="1168"/>
    </row>
    <row r="6652" spans="2:2" s="221" customFormat="1" ht="12.75" x14ac:dyDescent="0.2">
      <c r="B6652" s="1168"/>
    </row>
    <row r="6653" spans="2:2" s="221" customFormat="1" ht="12.75" x14ac:dyDescent="0.2">
      <c r="B6653" s="1168"/>
    </row>
    <row r="6654" spans="2:2" s="221" customFormat="1" ht="12.75" x14ac:dyDescent="0.2">
      <c r="B6654" s="1168"/>
    </row>
    <row r="6655" spans="2:2" s="221" customFormat="1" ht="12.75" x14ac:dyDescent="0.2">
      <c r="B6655" s="1168"/>
    </row>
    <row r="6656" spans="2:2" s="221" customFormat="1" ht="12.75" x14ac:dyDescent="0.2">
      <c r="B6656" s="1168"/>
    </row>
    <row r="6657" spans="2:2" s="221" customFormat="1" ht="12.75" x14ac:dyDescent="0.2">
      <c r="B6657" s="1168"/>
    </row>
    <row r="6658" spans="2:2" s="221" customFormat="1" ht="12.75" x14ac:dyDescent="0.2">
      <c r="B6658" s="1168"/>
    </row>
    <row r="6659" spans="2:2" s="221" customFormat="1" ht="12.75" x14ac:dyDescent="0.2">
      <c r="B6659" s="1168"/>
    </row>
    <row r="6660" spans="2:2" s="221" customFormat="1" ht="12.75" x14ac:dyDescent="0.2">
      <c r="B6660" s="1168"/>
    </row>
    <row r="6661" spans="2:2" s="221" customFormat="1" ht="12.75" x14ac:dyDescent="0.2">
      <c r="B6661" s="1168"/>
    </row>
    <row r="6662" spans="2:2" s="221" customFormat="1" ht="12.75" x14ac:dyDescent="0.2">
      <c r="B6662" s="1168"/>
    </row>
    <row r="6663" spans="2:2" s="221" customFormat="1" ht="12.75" x14ac:dyDescent="0.2">
      <c r="B6663" s="1168"/>
    </row>
    <row r="6664" spans="2:2" s="221" customFormat="1" ht="12.75" x14ac:dyDescent="0.2">
      <c r="B6664" s="1168"/>
    </row>
    <row r="6665" spans="2:2" s="221" customFormat="1" ht="12.75" x14ac:dyDescent="0.2">
      <c r="B6665" s="1168"/>
    </row>
    <row r="6666" spans="2:2" s="221" customFormat="1" ht="12.75" x14ac:dyDescent="0.2">
      <c r="B6666" s="1168"/>
    </row>
    <row r="6667" spans="2:2" s="221" customFormat="1" ht="12.75" x14ac:dyDescent="0.2">
      <c r="B6667" s="1168"/>
    </row>
    <row r="6668" spans="2:2" s="221" customFormat="1" ht="12.75" x14ac:dyDescent="0.2">
      <c r="B6668" s="1168"/>
    </row>
    <row r="6669" spans="2:2" s="221" customFormat="1" ht="12.75" x14ac:dyDescent="0.2">
      <c r="B6669" s="1168"/>
    </row>
    <row r="6670" spans="2:2" s="221" customFormat="1" ht="12.75" x14ac:dyDescent="0.2">
      <c r="B6670" s="1168"/>
    </row>
    <row r="6671" spans="2:2" s="221" customFormat="1" ht="12.75" x14ac:dyDescent="0.2">
      <c r="B6671" s="1168"/>
    </row>
    <row r="6672" spans="2:2" s="221" customFormat="1" ht="12.75" x14ac:dyDescent="0.2">
      <c r="B6672" s="1168"/>
    </row>
    <row r="6673" spans="2:2" s="221" customFormat="1" ht="12.75" x14ac:dyDescent="0.2">
      <c r="B6673" s="1168"/>
    </row>
    <row r="6674" spans="2:2" s="221" customFormat="1" ht="12.75" x14ac:dyDescent="0.2">
      <c r="B6674" s="1168"/>
    </row>
    <row r="6675" spans="2:2" s="221" customFormat="1" ht="12.75" x14ac:dyDescent="0.2">
      <c r="B6675" s="1168"/>
    </row>
    <row r="6676" spans="2:2" s="221" customFormat="1" ht="12.75" x14ac:dyDescent="0.2">
      <c r="B6676" s="1168"/>
    </row>
    <row r="6677" spans="2:2" s="221" customFormat="1" ht="12.75" x14ac:dyDescent="0.2">
      <c r="B6677" s="1168"/>
    </row>
    <row r="6678" spans="2:2" s="221" customFormat="1" ht="12.75" x14ac:dyDescent="0.2">
      <c r="B6678" s="1168"/>
    </row>
    <row r="6679" spans="2:2" s="221" customFormat="1" ht="12.75" x14ac:dyDescent="0.2">
      <c r="B6679" s="1168"/>
    </row>
    <row r="6680" spans="2:2" s="221" customFormat="1" ht="12.75" x14ac:dyDescent="0.2">
      <c r="B6680" s="1168"/>
    </row>
    <row r="6681" spans="2:2" s="221" customFormat="1" ht="12.75" x14ac:dyDescent="0.2">
      <c r="B6681" s="1168"/>
    </row>
    <row r="6682" spans="2:2" s="221" customFormat="1" ht="12.75" x14ac:dyDescent="0.2">
      <c r="B6682" s="1168"/>
    </row>
    <row r="6683" spans="2:2" s="221" customFormat="1" ht="12.75" x14ac:dyDescent="0.2">
      <c r="B6683" s="1168"/>
    </row>
    <row r="6684" spans="2:2" s="221" customFormat="1" ht="12.75" x14ac:dyDescent="0.2">
      <c r="B6684" s="1168"/>
    </row>
    <row r="6685" spans="2:2" s="221" customFormat="1" ht="12.75" x14ac:dyDescent="0.2">
      <c r="B6685" s="1168"/>
    </row>
    <row r="6686" spans="2:2" s="221" customFormat="1" ht="12.75" x14ac:dyDescent="0.2">
      <c r="B6686" s="1168"/>
    </row>
    <row r="6687" spans="2:2" s="221" customFormat="1" ht="12.75" x14ac:dyDescent="0.2">
      <c r="B6687" s="1168"/>
    </row>
    <row r="6688" spans="2:2" s="221" customFormat="1" ht="12.75" x14ac:dyDescent="0.2">
      <c r="B6688" s="1168"/>
    </row>
    <row r="6689" spans="2:2" s="221" customFormat="1" ht="12.75" x14ac:dyDescent="0.2">
      <c r="B6689" s="1168"/>
    </row>
    <row r="6690" spans="2:2" s="221" customFormat="1" ht="12.75" x14ac:dyDescent="0.2">
      <c r="B6690" s="1168"/>
    </row>
    <row r="6691" spans="2:2" s="221" customFormat="1" ht="12.75" x14ac:dyDescent="0.2">
      <c r="B6691" s="1168"/>
    </row>
    <row r="6692" spans="2:2" s="221" customFormat="1" ht="12.75" x14ac:dyDescent="0.2">
      <c r="B6692" s="1168"/>
    </row>
    <row r="6693" spans="2:2" s="221" customFormat="1" ht="12.75" x14ac:dyDescent="0.2">
      <c r="B6693" s="1168"/>
    </row>
    <row r="6694" spans="2:2" s="221" customFormat="1" ht="12.75" x14ac:dyDescent="0.2">
      <c r="B6694" s="1168"/>
    </row>
    <row r="6695" spans="2:2" s="221" customFormat="1" ht="12.75" x14ac:dyDescent="0.2">
      <c r="B6695" s="1168"/>
    </row>
    <row r="6696" spans="2:2" s="221" customFormat="1" ht="12.75" x14ac:dyDescent="0.2">
      <c r="B6696" s="1168"/>
    </row>
    <row r="6697" spans="2:2" s="221" customFormat="1" ht="12.75" x14ac:dyDescent="0.2">
      <c r="B6697" s="1168"/>
    </row>
    <row r="6698" spans="2:2" s="221" customFormat="1" ht="12.75" x14ac:dyDescent="0.2">
      <c r="B6698" s="1168"/>
    </row>
    <row r="6699" spans="2:2" s="221" customFormat="1" ht="12.75" x14ac:dyDescent="0.2">
      <c r="B6699" s="1168"/>
    </row>
    <row r="6700" spans="2:2" s="221" customFormat="1" ht="12.75" x14ac:dyDescent="0.2">
      <c r="B6700" s="1168"/>
    </row>
    <row r="6701" spans="2:2" s="221" customFormat="1" ht="12.75" x14ac:dyDescent="0.2">
      <c r="B6701" s="1168"/>
    </row>
    <row r="6702" spans="2:2" s="221" customFormat="1" ht="12.75" x14ac:dyDescent="0.2">
      <c r="B6702" s="1168"/>
    </row>
    <row r="6703" spans="2:2" s="221" customFormat="1" ht="12.75" x14ac:dyDescent="0.2">
      <c r="B6703" s="1168"/>
    </row>
    <row r="6704" spans="2:2" s="221" customFormat="1" ht="12.75" x14ac:dyDescent="0.2">
      <c r="B6704" s="1168"/>
    </row>
    <row r="6705" spans="2:2" s="221" customFormat="1" ht="12.75" x14ac:dyDescent="0.2">
      <c r="B6705" s="1168"/>
    </row>
    <row r="6706" spans="2:2" s="221" customFormat="1" ht="12.75" x14ac:dyDescent="0.2">
      <c r="B6706" s="1168"/>
    </row>
    <row r="6707" spans="2:2" s="221" customFormat="1" ht="12.75" x14ac:dyDescent="0.2">
      <c r="B6707" s="1168"/>
    </row>
    <row r="6708" spans="2:2" s="221" customFormat="1" ht="12.75" x14ac:dyDescent="0.2">
      <c r="B6708" s="1168"/>
    </row>
    <row r="6709" spans="2:2" s="221" customFormat="1" ht="12.75" x14ac:dyDescent="0.2">
      <c r="B6709" s="1168"/>
    </row>
    <row r="6710" spans="2:2" s="221" customFormat="1" ht="12.75" x14ac:dyDescent="0.2">
      <c r="B6710" s="1168"/>
    </row>
    <row r="6711" spans="2:2" s="221" customFormat="1" ht="12.75" x14ac:dyDescent="0.2">
      <c r="B6711" s="1168"/>
    </row>
    <row r="6712" spans="2:2" s="221" customFormat="1" ht="12.75" x14ac:dyDescent="0.2">
      <c r="B6712" s="1168"/>
    </row>
    <row r="6713" spans="2:2" s="221" customFormat="1" ht="12.75" x14ac:dyDescent="0.2">
      <c r="B6713" s="1168"/>
    </row>
    <row r="6714" spans="2:2" s="221" customFormat="1" ht="12.75" x14ac:dyDescent="0.2">
      <c r="B6714" s="1168"/>
    </row>
    <row r="6715" spans="2:2" s="221" customFormat="1" ht="12.75" x14ac:dyDescent="0.2">
      <c r="B6715" s="1168"/>
    </row>
    <row r="6716" spans="2:2" s="221" customFormat="1" ht="12.75" x14ac:dyDescent="0.2">
      <c r="B6716" s="1168"/>
    </row>
    <row r="6717" spans="2:2" s="221" customFormat="1" ht="12.75" x14ac:dyDescent="0.2">
      <c r="B6717" s="1168"/>
    </row>
    <row r="6718" spans="2:2" s="221" customFormat="1" ht="12.75" x14ac:dyDescent="0.2">
      <c r="B6718" s="1168"/>
    </row>
    <row r="6719" spans="2:2" s="221" customFormat="1" ht="12.75" x14ac:dyDescent="0.2">
      <c r="B6719" s="1168"/>
    </row>
    <row r="6720" spans="2:2" s="221" customFormat="1" ht="12.75" x14ac:dyDescent="0.2">
      <c r="B6720" s="1168"/>
    </row>
    <row r="6721" spans="2:2" s="221" customFormat="1" ht="12.75" x14ac:dyDescent="0.2">
      <c r="B6721" s="1168"/>
    </row>
    <row r="6722" spans="2:2" s="221" customFormat="1" ht="12.75" x14ac:dyDescent="0.2">
      <c r="B6722" s="1168"/>
    </row>
    <row r="6723" spans="2:2" s="221" customFormat="1" ht="12.75" x14ac:dyDescent="0.2">
      <c r="B6723" s="1168"/>
    </row>
    <row r="6724" spans="2:2" s="221" customFormat="1" ht="12.75" x14ac:dyDescent="0.2">
      <c r="B6724" s="1168"/>
    </row>
    <row r="6725" spans="2:2" s="221" customFormat="1" ht="12.75" x14ac:dyDescent="0.2">
      <c r="B6725" s="1168"/>
    </row>
    <row r="6726" spans="2:2" s="221" customFormat="1" ht="12.75" x14ac:dyDescent="0.2">
      <c r="B6726" s="1168"/>
    </row>
    <row r="6727" spans="2:2" s="221" customFormat="1" ht="12.75" x14ac:dyDescent="0.2">
      <c r="B6727" s="1168"/>
    </row>
    <row r="6728" spans="2:2" s="221" customFormat="1" ht="12.75" x14ac:dyDescent="0.2">
      <c r="B6728" s="1168"/>
    </row>
    <row r="6729" spans="2:2" s="221" customFormat="1" ht="12.75" x14ac:dyDescent="0.2">
      <c r="B6729" s="1168"/>
    </row>
    <row r="6730" spans="2:2" s="221" customFormat="1" ht="12.75" x14ac:dyDescent="0.2">
      <c r="B6730" s="1168"/>
    </row>
    <row r="6731" spans="2:2" s="221" customFormat="1" ht="12.75" x14ac:dyDescent="0.2">
      <c r="B6731" s="1168"/>
    </row>
    <row r="6732" spans="2:2" s="221" customFormat="1" ht="12.75" x14ac:dyDescent="0.2">
      <c r="B6732" s="1168"/>
    </row>
    <row r="6733" spans="2:2" s="221" customFormat="1" ht="12.75" x14ac:dyDescent="0.2">
      <c r="B6733" s="1168"/>
    </row>
    <row r="6734" spans="2:2" s="221" customFormat="1" ht="12.75" x14ac:dyDescent="0.2">
      <c r="B6734" s="1168"/>
    </row>
    <row r="6735" spans="2:2" s="221" customFormat="1" ht="12.75" x14ac:dyDescent="0.2">
      <c r="B6735" s="1168"/>
    </row>
    <row r="6736" spans="2:2" s="221" customFormat="1" ht="12.75" x14ac:dyDescent="0.2">
      <c r="B6736" s="1168"/>
    </row>
    <row r="6737" spans="2:2" s="221" customFormat="1" ht="12.75" x14ac:dyDescent="0.2">
      <c r="B6737" s="1168"/>
    </row>
    <row r="6738" spans="2:2" s="221" customFormat="1" ht="12.75" x14ac:dyDescent="0.2">
      <c r="B6738" s="1168"/>
    </row>
    <row r="6739" spans="2:2" s="221" customFormat="1" ht="12.75" x14ac:dyDescent="0.2">
      <c r="B6739" s="1168"/>
    </row>
    <row r="6740" spans="2:2" s="221" customFormat="1" ht="12.75" x14ac:dyDescent="0.2">
      <c r="B6740" s="1168"/>
    </row>
    <row r="6741" spans="2:2" s="221" customFormat="1" ht="12.75" x14ac:dyDescent="0.2">
      <c r="B6741" s="1168"/>
    </row>
    <row r="6742" spans="2:2" s="221" customFormat="1" ht="12.75" x14ac:dyDescent="0.2">
      <c r="B6742" s="1168"/>
    </row>
    <row r="6743" spans="2:2" s="221" customFormat="1" ht="12.75" x14ac:dyDescent="0.2">
      <c r="B6743" s="1168"/>
    </row>
    <row r="6744" spans="2:2" s="221" customFormat="1" ht="12.75" x14ac:dyDescent="0.2">
      <c r="B6744" s="1168"/>
    </row>
    <row r="6745" spans="2:2" s="221" customFormat="1" ht="12.75" x14ac:dyDescent="0.2">
      <c r="B6745" s="1168"/>
    </row>
    <row r="6746" spans="2:2" s="221" customFormat="1" ht="12.75" x14ac:dyDescent="0.2">
      <c r="B6746" s="1168"/>
    </row>
    <row r="6747" spans="2:2" s="221" customFormat="1" ht="12.75" x14ac:dyDescent="0.2">
      <c r="B6747" s="1168"/>
    </row>
    <row r="6748" spans="2:2" s="221" customFormat="1" ht="12.75" x14ac:dyDescent="0.2">
      <c r="B6748" s="1168"/>
    </row>
    <row r="6749" spans="2:2" s="221" customFormat="1" ht="12.75" x14ac:dyDescent="0.2">
      <c r="B6749" s="1168"/>
    </row>
    <row r="6750" spans="2:2" s="221" customFormat="1" ht="12.75" x14ac:dyDescent="0.2">
      <c r="B6750" s="1168"/>
    </row>
    <row r="6751" spans="2:2" s="221" customFormat="1" ht="12.75" x14ac:dyDescent="0.2">
      <c r="B6751" s="1168"/>
    </row>
    <row r="6752" spans="2:2" s="221" customFormat="1" ht="12.75" x14ac:dyDescent="0.2">
      <c r="B6752" s="1168"/>
    </row>
    <row r="6753" spans="2:2" s="221" customFormat="1" ht="12.75" x14ac:dyDescent="0.2">
      <c r="B6753" s="1168"/>
    </row>
    <row r="6754" spans="2:2" s="221" customFormat="1" ht="12.75" x14ac:dyDescent="0.2">
      <c r="B6754" s="1168"/>
    </row>
    <row r="6755" spans="2:2" s="221" customFormat="1" ht="12.75" x14ac:dyDescent="0.2">
      <c r="B6755" s="1168"/>
    </row>
    <row r="6756" spans="2:2" s="221" customFormat="1" ht="12.75" x14ac:dyDescent="0.2">
      <c r="B6756" s="1168"/>
    </row>
    <row r="6757" spans="2:2" s="221" customFormat="1" ht="12.75" x14ac:dyDescent="0.2">
      <c r="B6757" s="1168"/>
    </row>
    <row r="6758" spans="2:2" s="221" customFormat="1" ht="12.75" x14ac:dyDescent="0.2">
      <c r="B6758" s="1168"/>
    </row>
    <row r="6759" spans="2:2" s="221" customFormat="1" ht="12.75" x14ac:dyDescent="0.2">
      <c r="B6759" s="1168"/>
    </row>
    <row r="6760" spans="2:2" s="221" customFormat="1" ht="12.75" x14ac:dyDescent="0.2">
      <c r="B6760" s="1168"/>
    </row>
    <row r="6761" spans="2:2" s="221" customFormat="1" ht="12.75" x14ac:dyDescent="0.2">
      <c r="B6761" s="1168"/>
    </row>
    <row r="6762" spans="2:2" s="221" customFormat="1" ht="12.75" x14ac:dyDescent="0.2">
      <c r="B6762" s="1168"/>
    </row>
    <row r="6763" spans="2:2" s="221" customFormat="1" ht="12.75" x14ac:dyDescent="0.2">
      <c r="B6763" s="1168"/>
    </row>
    <row r="6764" spans="2:2" s="221" customFormat="1" ht="12.75" x14ac:dyDescent="0.2">
      <c r="B6764" s="1168"/>
    </row>
    <row r="6765" spans="2:2" s="221" customFormat="1" ht="12.75" x14ac:dyDescent="0.2">
      <c r="B6765" s="1168"/>
    </row>
    <row r="6766" spans="2:2" s="221" customFormat="1" ht="12.75" x14ac:dyDescent="0.2">
      <c r="B6766" s="1168"/>
    </row>
    <row r="6767" spans="2:2" s="221" customFormat="1" ht="12.75" x14ac:dyDescent="0.2">
      <c r="B6767" s="1168"/>
    </row>
    <row r="6768" spans="2:2" s="221" customFormat="1" ht="12.75" x14ac:dyDescent="0.2">
      <c r="B6768" s="1168"/>
    </row>
    <row r="6769" spans="2:2" s="221" customFormat="1" ht="12.75" x14ac:dyDescent="0.2">
      <c r="B6769" s="1168"/>
    </row>
    <row r="6770" spans="2:2" s="221" customFormat="1" ht="12.75" x14ac:dyDescent="0.2">
      <c r="B6770" s="1168"/>
    </row>
    <row r="6771" spans="2:2" s="221" customFormat="1" ht="12.75" x14ac:dyDescent="0.2">
      <c r="B6771" s="1168"/>
    </row>
    <row r="6772" spans="2:2" s="221" customFormat="1" ht="12.75" x14ac:dyDescent="0.2">
      <c r="B6772" s="1168"/>
    </row>
    <row r="6773" spans="2:2" s="221" customFormat="1" ht="12.75" x14ac:dyDescent="0.2">
      <c r="B6773" s="1168"/>
    </row>
    <row r="6774" spans="2:2" s="221" customFormat="1" ht="12.75" x14ac:dyDescent="0.2">
      <c r="B6774" s="1168"/>
    </row>
    <row r="6775" spans="2:2" s="221" customFormat="1" ht="12.75" x14ac:dyDescent="0.2">
      <c r="B6775" s="1168"/>
    </row>
    <row r="6776" spans="2:2" s="221" customFormat="1" ht="12.75" x14ac:dyDescent="0.2">
      <c r="B6776" s="1168"/>
    </row>
    <row r="6777" spans="2:2" s="221" customFormat="1" ht="12.75" x14ac:dyDescent="0.2">
      <c r="B6777" s="1168"/>
    </row>
    <row r="6778" spans="2:2" s="221" customFormat="1" ht="12.75" x14ac:dyDescent="0.2">
      <c r="B6778" s="1168"/>
    </row>
    <row r="6779" spans="2:2" s="221" customFormat="1" ht="12.75" x14ac:dyDescent="0.2">
      <c r="B6779" s="1168"/>
    </row>
    <row r="6780" spans="2:2" s="221" customFormat="1" ht="12.75" x14ac:dyDescent="0.2">
      <c r="B6780" s="1168"/>
    </row>
    <row r="6781" spans="2:2" s="221" customFormat="1" ht="12.75" x14ac:dyDescent="0.2">
      <c r="B6781" s="1168"/>
    </row>
    <row r="6782" spans="2:2" s="221" customFormat="1" ht="12.75" x14ac:dyDescent="0.2">
      <c r="B6782" s="1168"/>
    </row>
    <row r="6783" spans="2:2" s="221" customFormat="1" ht="12.75" x14ac:dyDescent="0.2">
      <c r="B6783" s="1168"/>
    </row>
    <row r="6784" spans="2:2" s="221" customFormat="1" ht="12.75" x14ac:dyDescent="0.2">
      <c r="B6784" s="1168"/>
    </row>
    <row r="6785" spans="2:2" s="221" customFormat="1" ht="12.75" x14ac:dyDescent="0.2">
      <c r="B6785" s="1168"/>
    </row>
    <row r="6786" spans="2:2" s="221" customFormat="1" ht="12.75" x14ac:dyDescent="0.2">
      <c r="B6786" s="1168"/>
    </row>
    <row r="6787" spans="2:2" s="221" customFormat="1" ht="12.75" x14ac:dyDescent="0.2">
      <c r="B6787" s="1168"/>
    </row>
    <row r="6788" spans="2:2" s="221" customFormat="1" ht="12.75" x14ac:dyDescent="0.2">
      <c r="B6788" s="1168"/>
    </row>
    <row r="6789" spans="2:2" s="221" customFormat="1" ht="12.75" x14ac:dyDescent="0.2">
      <c r="B6789" s="1168"/>
    </row>
    <row r="6790" spans="2:2" s="221" customFormat="1" ht="12.75" x14ac:dyDescent="0.2">
      <c r="B6790" s="1168"/>
    </row>
    <row r="6791" spans="2:2" s="221" customFormat="1" ht="12.75" x14ac:dyDescent="0.2">
      <c r="B6791" s="1168"/>
    </row>
    <row r="6792" spans="2:2" s="221" customFormat="1" ht="12.75" x14ac:dyDescent="0.2">
      <c r="B6792" s="1168"/>
    </row>
    <row r="6793" spans="2:2" s="221" customFormat="1" ht="12.75" x14ac:dyDescent="0.2">
      <c r="B6793" s="1168"/>
    </row>
    <row r="6794" spans="2:2" s="221" customFormat="1" ht="12.75" x14ac:dyDescent="0.2">
      <c r="B6794" s="1168"/>
    </row>
    <row r="6795" spans="2:2" s="221" customFormat="1" ht="12.75" x14ac:dyDescent="0.2">
      <c r="B6795" s="1168"/>
    </row>
    <row r="6796" spans="2:2" s="221" customFormat="1" ht="12.75" x14ac:dyDescent="0.2">
      <c r="B6796" s="1168"/>
    </row>
    <row r="6797" spans="2:2" s="221" customFormat="1" ht="12.75" x14ac:dyDescent="0.2">
      <c r="B6797" s="1168"/>
    </row>
    <row r="6798" spans="2:2" s="221" customFormat="1" ht="12.75" x14ac:dyDescent="0.2">
      <c r="B6798" s="1168"/>
    </row>
    <row r="6799" spans="2:2" s="221" customFormat="1" ht="12.75" x14ac:dyDescent="0.2">
      <c r="B6799" s="1168"/>
    </row>
    <row r="6800" spans="2:2" s="221" customFormat="1" ht="12.75" x14ac:dyDescent="0.2">
      <c r="B6800" s="1168"/>
    </row>
    <row r="6801" spans="2:2" s="221" customFormat="1" ht="12.75" x14ac:dyDescent="0.2">
      <c r="B6801" s="1168"/>
    </row>
    <row r="6802" spans="2:2" s="221" customFormat="1" ht="12.75" x14ac:dyDescent="0.2">
      <c r="B6802" s="1168"/>
    </row>
    <row r="6803" spans="2:2" s="221" customFormat="1" ht="12.75" x14ac:dyDescent="0.2">
      <c r="B6803" s="1168"/>
    </row>
    <row r="6804" spans="2:2" s="221" customFormat="1" ht="12.75" x14ac:dyDescent="0.2">
      <c r="B6804" s="1168"/>
    </row>
    <row r="6805" spans="2:2" s="221" customFormat="1" ht="12.75" x14ac:dyDescent="0.2">
      <c r="B6805" s="1168"/>
    </row>
    <row r="6806" spans="2:2" s="221" customFormat="1" ht="12.75" x14ac:dyDescent="0.2">
      <c r="B6806" s="1168"/>
    </row>
    <row r="6807" spans="2:2" s="221" customFormat="1" ht="12.75" x14ac:dyDescent="0.2">
      <c r="B6807" s="1168"/>
    </row>
    <row r="6808" spans="2:2" s="221" customFormat="1" ht="12.75" x14ac:dyDescent="0.2">
      <c r="B6808" s="1168"/>
    </row>
    <row r="6809" spans="2:2" s="221" customFormat="1" ht="12.75" x14ac:dyDescent="0.2">
      <c r="B6809" s="1168"/>
    </row>
    <row r="6810" spans="2:2" s="221" customFormat="1" ht="12.75" x14ac:dyDescent="0.2">
      <c r="B6810" s="1168"/>
    </row>
    <row r="6811" spans="2:2" s="221" customFormat="1" ht="12.75" x14ac:dyDescent="0.2">
      <c r="B6811" s="1168"/>
    </row>
    <row r="6812" spans="2:2" s="221" customFormat="1" ht="12.75" x14ac:dyDescent="0.2">
      <c r="B6812" s="1168"/>
    </row>
    <row r="6813" spans="2:2" s="221" customFormat="1" ht="12.75" x14ac:dyDescent="0.2">
      <c r="B6813" s="1168"/>
    </row>
    <row r="6814" spans="2:2" s="221" customFormat="1" ht="12.75" x14ac:dyDescent="0.2">
      <c r="B6814" s="1168"/>
    </row>
    <row r="6815" spans="2:2" s="221" customFormat="1" ht="12.75" x14ac:dyDescent="0.2">
      <c r="B6815" s="1168"/>
    </row>
    <row r="6816" spans="2:2" s="221" customFormat="1" ht="12.75" x14ac:dyDescent="0.2">
      <c r="B6816" s="1168"/>
    </row>
    <row r="6817" spans="2:2" s="221" customFormat="1" ht="12.75" x14ac:dyDescent="0.2">
      <c r="B6817" s="1168"/>
    </row>
    <row r="6818" spans="2:2" s="221" customFormat="1" ht="12.75" x14ac:dyDescent="0.2">
      <c r="B6818" s="1168"/>
    </row>
    <row r="6819" spans="2:2" s="221" customFormat="1" ht="12.75" x14ac:dyDescent="0.2">
      <c r="B6819" s="1168"/>
    </row>
    <row r="6820" spans="2:2" s="221" customFormat="1" ht="12.75" x14ac:dyDescent="0.2">
      <c r="B6820" s="1168"/>
    </row>
    <row r="6821" spans="2:2" s="221" customFormat="1" ht="12.75" x14ac:dyDescent="0.2">
      <c r="B6821" s="1168"/>
    </row>
    <row r="6822" spans="2:2" s="221" customFormat="1" ht="12.75" x14ac:dyDescent="0.2">
      <c r="B6822" s="1168"/>
    </row>
    <row r="6823" spans="2:2" s="221" customFormat="1" ht="12.75" x14ac:dyDescent="0.2">
      <c r="B6823" s="1168"/>
    </row>
    <row r="6824" spans="2:2" s="221" customFormat="1" ht="12.75" x14ac:dyDescent="0.2">
      <c r="B6824" s="1168"/>
    </row>
    <row r="6825" spans="2:2" s="221" customFormat="1" ht="12.75" x14ac:dyDescent="0.2">
      <c r="B6825" s="1168"/>
    </row>
    <row r="6826" spans="2:2" s="221" customFormat="1" ht="12.75" x14ac:dyDescent="0.2">
      <c r="B6826" s="1168"/>
    </row>
    <row r="6827" spans="2:2" s="221" customFormat="1" ht="12.75" x14ac:dyDescent="0.2">
      <c r="B6827" s="1168"/>
    </row>
    <row r="6828" spans="2:2" s="221" customFormat="1" ht="12.75" x14ac:dyDescent="0.2">
      <c r="B6828" s="1168"/>
    </row>
    <row r="6829" spans="2:2" s="221" customFormat="1" ht="12.75" x14ac:dyDescent="0.2">
      <c r="B6829" s="1168"/>
    </row>
    <row r="6830" spans="2:2" s="221" customFormat="1" ht="12.75" x14ac:dyDescent="0.2">
      <c r="B6830" s="1168"/>
    </row>
    <row r="6831" spans="2:2" s="221" customFormat="1" ht="12.75" x14ac:dyDescent="0.2">
      <c r="B6831" s="1168"/>
    </row>
    <row r="6832" spans="2:2" s="221" customFormat="1" ht="12.75" x14ac:dyDescent="0.2">
      <c r="B6832" s="1168"/>
    </row>
    <row r="6833" spans="2:2" s="221" customFormat="1" ht="12.75" x14ac:dyDescent="0.2">
      <c r="B6833" s="1168"/>
    </row>
    <row r="6834" spans="2:2" s="221" customFormat="1" ht="12.75" x14ac:dyDescent="0.2">
      <c r="B6834" s="1168"/>
    </row>
    <row r="6835" spans="2:2" s="221" customFormat="1" ht="12.75" x14ac:dyDescent="0.2">
      <c r="B6835" s="1168"/>
    </row>
    <row r="6836" spans="2:2" s="221" customFormat="1" ht="12.75" x14ac:dyDescent="0.2">
      <c r="B6836" s="1168"/>
    </row>
    <row r="6837" spans="2:2" s="221" customFormat="1" ht="12.75" x14ac:dyDescent="0.2">
      <c r="B6837" s="1168"/>
    </row>
    <row r="6838" spans="2:2" s="221" customFormat="1" ht="12.75" x14ac:dyDescent="0.2">
      <c r="B6838" s="1168"/>
    </row>
    <row r="6839" spans="2:2" s="221" customFormat="1" ht="12.75" x14ac:dyDescent="0.2">
      <c r="B6839" s="1168"/>
    </row>
    <row r="6840" spans="2:2" s="221" customFormat="1" ht="12.75" x14ac:dyDescent="0.2">
      <c r="B6840" s="1168"/>
    </row>
    <row r="6841" spans="2:2" s="221" customFormat="1" ht="12.75" x14ac:dyDescent="0.2">
      <c r="B6841" s="1168"/>
    </row>
    <row r="6842" spans="2:2" s="221" customFormat="1" ht="12.75" x14ac:dyDescent="0.2">
      <c r="B6842" s="1168"/>
    </row>
    <row r="6843" spans="2:2" s="221" customFormat="1" ht="12.75" x14ac:dyDescent="0.2">
      <c r="B6843" s="1168"/>
    </row>
    <row r="6844" spans="2:2" s="221" customFormat="1" ht="12.75" x14ac:dyDescent="0.2">
      <c r="B6844" s="1168"/>
    </row>
    <row r="6845" spans="2:2" s="221" customFormat="1" ht="12.75" x14ac:dyDescent="0.2">
      <c r="B6845" s="1168"/>
    </row>
    <row r="6846" spans="2:2" s="221" customFormat="1" ht="12.75" x14ac:dyDescent="0.2">
      <c r="B6846" s="1168"/>
    </row>
    <row r="6847" spans="2:2" s="221" customFormat="1" ht="12.75" x14ac:dyDescent="0.2">
      <c r="B6847" s="1168"/>
    </row>
    <row r="6848" spans="2:2" s="221" customFormat="1" ht="12.75" x14ac:dyDescent="0.2">
      <c r="B6848" s="1168"/>
    </row>
    <row r="6849" spans="2:2" s="221" customFormat="1" ht="12.75" x14ac:dyDescent="0.2">
      <c r="B6849" s="1168"/>
    </row>
    <row r="6850" spans="2:2" s="221" customFormat="1" ht="12.75" x14ac:dyDescent="0.2">
      <c r="B6850" s="1168"/>
    </row>
    <row r="6851" spans="2:2" s="221" customFormat="1" ht="12.75" x14ac:dyDescent="0.2">
      <c r="B6851" s="1168"/>
    </row>
    <row r="6852" spans="2:2" s="221" customFormat="1" ht="12.75" x14ac:dyDescent="0.2">
      <c r="B6852" s="1168"/>
    </row>
    <row r="6853" spans="2:2" s="221" customFormat="1" ht="12.75" x14ac:dyDescent="0.2">
      <c r="B6853" s="1168"/>
    </row>
    <row r="6854" spans="2:2" s="221" customFormat="1" ht="12.75" x14ac:dyDescent="0.2">
      <c r="B6854" s="1168"/>
    </row>
    <row r="6855" spans="2:2" s="221" customFormat="1" ht="12.75" x14ac:dyDescent="0.2">
      <c r="B6855" s="1168"/>
    </row>
    <row r="6856" spans="2:2" s="221" customFormat="1" ht="12.75" x14ac:dyDescent="0.2">
      <c r="B6856" s="1168"/>
    </row>
    <row r="6857" spans="2:2" s="221" customFormat="1" ht="12.75" x14ac:dyDescent="0.2">
      <c r="B6857" s="1168"/>
    </row>
    <row r="6858" spans="2:2" s="221" customFormat="1" ht="12.75" x14ac:dyDescent="0.2">
      <c r="B6858" s="1168"/>
    </row>
    <row r="6859" spans="2:2" s="221" customFormat="1" ht="12.75" x14ac:dyDescent="0.2">
      <c r="B6859" s="1168"/>
    </row>
    <row r="6860" spans="2:2" s="221" customFormat="1" ht="12.75" x14ac:dyDescent="0.2">
      <c r="B6860" s="1168"/>
    </row>
    <row r="6861" spans="2:2" s="221" customFormat="1" ht="12.75" x14ac:dyDescent="0.2">
      <c r="B6861" s="1168"/>
    </row>
    <row r="6862" spans="2:2" s="221" customFormat="1" ht="12.75" x14ac:dyDescent="0.2">
      <c r="B6862" s="1168"/>
    </row>
    <row r="6863" spans="2:2" s="221" customFormat="1" ht="12.75" x14ac:dyDescent="0.2">
      <c r="B6863" s="1168"/>
    </row>
    <row r="6864" spans="2:2" s="221" customFormat="1" ht="12.75" x14ac:dyDescent="0.2">
      <c r="B6864" s="1168"/>
    </row>
    <row r="6865" spans="2:2" s="221" customFormat="1" ht="12.75" x14ac:dyDescent="0.2">
      <c r="B6865" s="1168"/>
    </row>
    <row r="6866" spans="2:2" s="221" customFormat="1" ht="12.75" x14ac:dyDescent="0.2">
      <c r="B6866" s="1168"/>
    </row>
    <row r="6867" spans="2:2" s="221" customFormat="1" ht="12.75" x14ac:dyDescent="0.2">
      <c r="B6867" s="1168"/>
    </row>
    <row r="6868" spans="2:2" s="221" customFormat="1" ht="12.75" x14ac:dyDescent="0.2">
      <c r="B6868" s="1168"/>
    </row>
    <row r="6869" spans="2:2" s="221" customFormat="1" ht="12.75" x14ac:dyDescent="0.2">
      <c r="B6869" s="1168"/>
    </row>
    <row r="6870" spans="2:2" s="221" customFormat="1" ht="12.75" x14ac:dyDescent="0.2">
      <c r="B6870" s="1168"/>
    </row>
    <row r="6871" spans="2:2" s="221" customFormat="1" ht="12.75" x14ac:dyDescent="0.2">
      <c r="B6871" s="1168"/>
    </row>
    <row r="6872" spans="2:2" s="221" customFormat="1" ht="12.75" x14ac:dyDescent="0.2">
      <c r="B6872" s="1168"/>
    </row>
    <row r="6873" spans="2:2" s="221" customFormat="1" ht="12.75" x14ac:dyDescent="0.2">
      <c r="B6873" s="1168"/>
    </row>
    <row r="6874" spans="2:2" s="221" customFormat="1" ht="12.75" x14ac:dyDescent="0.2">
      <c r="B6874" s="1168"/>
    </row>
    <row r="6875" spans="2:2" s="221" customFormat="1" ht="12.75" x14ac:dyDescent="0.2">
      <c r="B6875" s="1168"/>
    </row>
    <row r="6876" spans="2:2" s="221" customFormat="1" ht="12.75" x14ac:dyDescent="0.2">
      <c r="B6876" s="1168"/>
    </row>
    <row r="6877" spans="2:2" s="221" customFormat="1" ht="12.75" x14ac:dyDescent="0.2">
      <c r="B6877" s="1168"/>
    </row>
    <row r="6878" spans="2:2" s="221" customFormat="1" ht="12.75" x14ac:dyDescent="0.2">
      <c r="B6878" s="1168"/>
    </row>
    <row r="6879" spans="2:2" s="221" customFormat="1" ht="12.75" x14ac:dyDescent="0.2">
      <c r="B6879" s="1168"/>
    </row>
    <row r="6880" spans="2:2" s="221" customFormat="1" ht="12.75" x14ac:dyDescent="0.2">
      <c r="B6880" s="1168"/>
    </row>
    <row r="6881" spans="2:2" s="221" customFormat="1" ht="12.75" x14ac:dyDescent="0.2">
      <c r="B6881" s="1168"/>
    </row>
    <row r="6882" spans="2:2" s="221" customFormat="1" ht="12.75" x14ac:dyDescent="0.2">
      <c r="B6882" s="1168"/>
    </row>
    <row r="6883" spans="2:2" s="221" customFormat="1" ht="12.75" x14ac:dyDescent="0.2">
      <c r="B6883" s="1168"/>
    </row>
    <row r="6884" spans="2:2" s="221" customFormat="1" ht="12.75" x14ac:dyDescent="0.2">
      <c r="B6884" s="1168"/>
    </row>
    <row r="6885" spans="2:2" s="221" customFormat="1" ht="12.75" x14ac:dyDescent="0.2">
      <c r="B6885" s="1168"/>
    </row>
    <row r="6886" spans="2:2" s="221" customFormat="1" ht="12.75" x14ac:dyDescent="0.2">
      <c r="B6886" s="1168"/>
    </row>
    <row r="6887" spans="2:2" s="221" customFormat="1" ht="12.75" x14ac:dyDescent="0.2">
      <c r="B6887" s="1168"/>
    </row>
    <row r="6888" spans="2:2" s="221" customFormat="1" ht="12.75" x14ac:dyDescent="0.2">
      <c r="B6888" s="1168"/>
    </row>
    <row r="6889" spans="2:2" s="221" customFormat="1" ht="12.75" x14ac:dyDescent="0.2">
      <c r="B6889" s="1168"/>
    </row>
    <row r="6890" spans="2:2" s="221" customFormat="1" ht="12.75" x14ac:dyDescent="0.2">
      <c r="B6890" s="1168"/>
    </row>
    <row r="6891" spans="2:2" s="221" customFormat="1" ht="12.75" x14ac:dyDescent="0.2">
      <c r="B6891" s="1168"/>
    </row>
    <row r="6892" spans="2:2" s="221" customFormat="1" ht="12.75" x14ac:dyDescent="0.2">
      <c r="B6892" s="1168"/>
    </row>
    <row r="6893" spans="2:2" s="221" customFormat="1" ht="12.75" x14ac:dyDescent="0.2">
      <c r="B6893" s="1168"/>
    </row>
    <row r="6894" spans="2:2" s="221" customFormat="1" ht="12.75" x14ac:dyDescent="0.2">
      <c r="B6894" s="1168"/>
    </row>
    <row r="6895" spans="2:2" s="221" customFormat="1" ht="12.75" x14ac:dyDescent="0.2">
      <c r="B6895" s="1168"/>
    </row>
    <row r="6896" spans="2:2" s="221" customFormat="1" ht="12.75" x14ac:dyDescent="0.2">
      <c r="B6896" s="1168"/>
    </row>
    <row r="6897" spans="2:2" s="221" customFormat="1" ht="12.75" x14ac:dyDescent="0.2">
      <c r="B6897" s="1168"/>
    </row>
    <row r="6898" spans="2:2" s="221" customFormat="1" ht="12.75" x14ac:dyDescent="0.2">
      <c r="B6898" s="1168"/>
    </row>
    <row r="6899" spans="2:2" s="221" customFormat="1" ht="12.75" x14ac:dyDescent="0.2">
      <c r="B6899" s="1168"/>
    </row>
    <row r="6900" spans="2:2" s="221" customFormat="1" ht="12.75" x14ac:dyDescent="0.2">
      <c r="B6900" s="1168"/>
    </row>
    <row r="6901" spans="2:2" s="221" customFormat="1" ht="12.75" x14ac:dyDescent="0.2">
      <c r="B6901" s="1168"/>
    </row>
    <row r="6902" spans="2:2" s="221" customFormat="1" ht="12.75" x14ac:dyDescent="0.2">
      <c r="B6902" s="1168"/>
    </row>
    <row r="6903" spans="2:2" s="221" customFormat="1" ht="12.75" x14ac:dyDescent="0.2">
      <c r="B6903" s="1168"/>
    </row>
    <row r="6904" spans="2:2" s="221" customFormat="1" ht="12.75" x14ac:dyDescent="0.2">
      <c r="B6904" s="1168"/>
    </row>
    <row r="6905" spans="2:2" s="221" customFormat="1" ht="12.75" x14ac:dyDescent="0.2">
      <c r="B6905" s="1168"/>
    </row>
    <row r="6906" spans="2:2" s="221" customFormat="1" ht="12.75" x14ac:dyDescent="0.2">
      <c r="B6906" s="1168"/>
    </row>
    <row r="6907" spans="2:2" s="221" customFormat="1" ht="12.75" x14ac:dyDescent="0.2">
      <c r="B6907" s="1168"/>
    </row>
    <row r="6908" spans="2:2" s="221" customFormat="1" ht="12.75" x14ac:dyDescent="0.2">
      <c r="B6908" s="1168"/>
    </row>
    <row r="6909" spans="2:2" s="221" customFormat="1" ht="12.75" x14ac:dyDescent="0.2">
      <c r="B6909" s="1168"/>
    </row>
    <row r="6910" spans="2:2" s="221" customFormat="1" ht="12.75" x14ac:dyDescent="0.2">
      <c r="B6910" s="1168"/>
    </row>
    <row r="6911" spans="2:2" s="221" customFormat="1" ht="12.75" x14ac:dyDescent="0.2">
      <c r="B6911" s="1168"/>
    </row>
    <row r="6912" spans="2:2" s="221" customFormat="1" ht="12.75" x14ac:dyDescent="0.2">
      <c r="B6912" s="1168"/>
    </row>
    <row r="6913" spans="2:2" s="221" customFormat="1" ht="12.75" x14ac:dyDescent="0.2">
      <c r="B6913" s="1168"/>
    </row>
    <row r="6914" spans="2:2" s="221" customFormat="1" ht="12.75" x14ac:dyDescent="0.2">
      <c r="B6914" s="1168"/>
    </row>
    <row r="6915" spans="2:2" s="221" customFormat="1" ht="12.75" x14ac:dyDescent="0.2">
      <c r="B6915" s="1168"/>
    </row>
    <row r="6916" spans="2:2" s="221" customFormat="1" ht="12.75" x14ac:dyDescent="0.2">
      <c r="B6916" s="1168"/>
    </row>
    <row r="6917" spans="2:2" s="221" customFormat="1" ht="12.75" x14ac:dyDescent="0.2">
      <c r="B6917" s="1168"/>
    </row>
    <row r="6918" spans="2:2" s="221" customFormat="1" ht="12.75" x14ac:dyDescent="0.2">
      <c r="B6918" s="1168"/>
    </row>
    <row r="6919" spans="2:2" s="221" customFormat="1" ht="12.75" x14ac:dyDescent="0.2">
      <c r="B6919" s="1168"/>
    </row>
    <row r="6920" spans="2:2" s="221" customFormat="1" ht="12.75" x14ac:dyDescent="0.2">
      <c r="B6920" s="1168"/>
    </row>
    <row r="6921" spans="2:2" s="221" customFormat="1" ht="12.75" x14ac:dyDescent="0.2">
      <c r="B6921" s="1168"/>
    </row>
    <row r="6922" spans="2:2" s="221" customFormat="1" ht="12.75" x14ac:dyDescent="0.2">
      <c r="B6922" s="1168"/>
    </row>
    <row r="6923" spans="2:2" s="221" customFormat="1" ht="12.75" x14ac:dyDescent="0.2">
      <c r="B6923" s="1168"/>
    </row>
    <row r="6924" spans="2:2" s="221" customFormat="1" ht="12.75" x14ac:dyDescent="0.2">
      <c r="B6924" s="1168"/>
    </row>
    <row r="6925" spans="2:2" s="221" customFormat="1" ht="12.75" x14ac:dyDescent="0.2">
      <c r="B6925" s="1168"/>
    </row>
    <row r="6926" spans="2:2" s="221" customFormat="1" ht="12.75" x14ac:dyDescent="0.2">
      <c r="B6926" s="1168"/>
    </row>
    <row r="6927" spans="2:2" s="221" customFormat="1" ht="12.75" x14ac:dyDescent="0.2">
      <c r="B6927" s="1168"/>
    </row>
    <row r="6928" spans="2:2" s="221" customFormat="1" ht="12.75" x14ac:dyDescent="0.2">
      <c r="B6928" s="1168"/>
    </row>
    <row r="6929" spans="2:2" s="221" customFormat="1" ht="12.75" x14ac:dyDescent="0.2">
      <c r="B6929" s="1168"/>
    </row>
    <row r="6930" spans="2:2" s="221" customFormat="1" ht="12.75" x14ac:dyDescent="0.2">
      <c r="B6930" s="1168"/>
    </row>
    <row r="6931" spans="2:2" s="221" customFormat="1" ht="12.75" x14ac:dyDescent="0.2">
      <c r="B6931" s="1168"/>
    </row>
    <row r="6932" spans="2:2" s="221" customFormat="1" ht="12.75" x14ac:dyDescent="0.2">
      <c r="B6932" s="1168"/>
    </row>
    <row r="6933" spans="2:2" s="221" customFormat="1" ht="12.75" x14ac:dyDescent="0.2">
      <c r="B6933" s="1168"/>
    </row>
    <row r="6934" spans="2:2" s="221" customFormat="1" ht="12.75" x14ac:dyDescent="0.2">
      <c r="B6934" s="1168"/>
    </row>
    <row r="6935" spans="2:2" s="221" customFormat="1" ht="12.75" x14ac:dyDescent="0.2">
      <c r="B6935" s="1168"/>
    </row>
    <row r="6936" spans="2:2" s="221" customFormat="1" ht="12.75" x14ac:dyDescent="0.2">
      <c r="B6936" s="1168"/>
    </row>
    <row r="6937" spans="2:2" s="221" customFormat="1" ht="12.75" x14ac:dyDescent="0.2">
      <c r="B6937" s="1168"/>
    </row>
    <row r="6938" spans="2:2" s="221" customFormat="1" ht="12.75" x14ac:dyDescent="0.2">
      <c r="B6938" s="1168"/>
    </row>
    <row r="6939" spans="2:2" s="221" customFormat="1" ht="12.75" x14ac:dyDescent="0.2">
      <c r="B6939" s="1168"/>
    </row>
    <row r="6940" spans="2:2" s="221" customFormat="1" ht="12.75" x14ac:dyDescent="0.2">
      <c r="B6940" s="1168"/>
    </row>
    <row r="6941" spans="2:2" s="221" customFormat="1" ht="12.75" x14ac:dyDescent="0.2">
      <c r="B6941" s="1168"/>
    </row>
    <row r="6942" spans="2:2" s="221" customFormat="1" ht="12.75" x14ac:dyDescent="0.2">
      <c r="B6942" s="1168"/>
    </row>
    <row r="6943" spans="2:2" s="221" customFormat="1" ht="12.75" x14ac:dyDescent="0.2">
      <c r="B6943" s="1168"/>
    </row>
    <row r="6944" spans="2:2" s="221" customFormat="1" ht="12.75" x14ac:dyDescent="0.2">
      <c r="B6944" s="1168"/>
    </row>
    <row r="6945" spans="2:2" s="221" customFormat="1" ht="12.75" x14ac:dyDescent="0.2">
      <c r="B6945" s="1168"/>
    </row>
    <row r="6946" spans="2:2" s="221" customFormat="1" ht="12.75" x14ac:dyDescent="0.2">
      <c r="B6946" s="1168"/>
    </row>
    <row r="6947" spans="2:2" s="221" customFormat="1" ht="12.75" x14ac:dyDescent="0.2">
      <c r="B6947" s="1168"/>
    </row>
    <row r="6948" spans="2:2" s="221" customFormat="1" ht="12.75" x14ac:dyDescent="0.2">
      <c r="B6948" s="1168"/>
    </row>
    <row r="6949" spans="2:2" s="221" customFormat="1" ht="12.75" x14ac:dyDescent="0.2">
      <c r="B6949" s="1168"/>
    </row>
    <row r="6950" spans="2:2" s="221" customFormat="1" ht="12.75" x14ac:dyDescent="0.2">
      <c r="B6950" s="1168"/>
    </row>
    <row r="6951" spans="2:2" s="221" customFormat="1" ht="12.75" x14ac:dyDescent="0.2">
      <c r="B6951" s="1168"/>
    </row>
    <row r="6952" spans="2:2" s="221" customFormat="1" ht="12.75" x14ac:dyDescent="0.2">
      <c r="B6952" s="1168"/>
    </row>
    <row r="6953" spans="2:2" s="221" customFormat="1" ht="12.75" x14ac:dyDescent="0.2">
      <c r="B6953" s="1168"/>
    </row>
    <row r="6954" spans="2:2" s="221" customFormat="1" ht="12.75" x14ac:dyDescent="0.2">
      <c r="B6954" s="1168"/>
    </row>
    <row r="6955" spans="2:2" s="221" customFormat="1" ht="12.75" x14ac:dyDescent="0.2">
      <c r="B6955" s="1168"/>
    </row>
    <row r="6956" spans="2:2" s="221" customFormat="1" ht="12.75" x14ac:dyDescent="0.2">
      <c r="B6956" s="1168"/>
    </row>
    <row r="6957" spans="2:2" s="221" customFormat="1" ht="12.75" x14ac:dyDescent="0.2">
      <c r="B6957" s="1168"/>
    </row>
    <row r="6958" spans="2:2" s="221" customFormat="1" ht="12.75" x14ac:dyDescent="0.2">
      <c r="B6958" s="1168"/>
    </row>
    <row r="6959" spans="2:2" s="221" customFormat="1" ht="12.75" x14ac:dyDescent="0.2">
      <c r="B6959" s="1168"/>
    </row>
    <row r="6960" spans="2:2" s="221" customFormat="1" ht="12.75" x14ac:dyDescent="0.2">
      <c r="B6960" s="1168"/>
    </row>
    <row r="6961" spans="2:2" s="221" customFormat="1" ht="12.75" x14ac:dyDescent="0.2">
      <c r="B6961" s="1168"/>
    </row>
    <row r="6962" spans="2:2" s="221" customFormat="1" ht="12.75" x14ac:dyDescent="0.2">
      <c r="B6962" s="1168"/>
    </row>
    <row r="6963" spans="2:2" s="221" customFormat="1" ht="12.75" x14ac:dyDescent="0.2">
      <c r="B6963" s="1168"/>
    </row>
    <row r="6964" spans="2:2" s="221" customFormat="1" ht="12.75" x14ac:dyDescent="0.2">
      <c r="B6964" s="1168"/>
    </row>
    <row r="6965" spans="2:2" s="221" customFormat="1" ht="12.75" x14ac:dyDescent="0.2">
      <c r="B6965" s="1168"/>
    </row>
    <row r="6966" spans="2:2" s="221" customFormat="1" ht="12.75" x14ac:dyDescent="0.2">
      <c r="B6966" s="1168"/>
    </row>
    <row r="6967" spans="2:2" s="221" customFormat="1" ht="12.75" x14ac:dyDescent="0.2">
      <c r="B6967" s="1168"/>
    </row>
    <row r="6968" spans="2:2" s="221" customFormat="1" ht="12.75" x14ac:dyDescent="0.2">
      <c r="B6968" s="1168"/>
    </row>
    <row r="6969" spans="2:2" s="221" customFormat="1" ht="12.75" x14ac:dyDescent="0.2">
      <c r="B6969" s="1168"/>
    </row>
    <row r="6970" spans="2:2" s="221" customFormat="1" ht="12.75" x14ac:dyDescent="0.2">
      <c r="B6970" s="1168"/>
    </row>
    <row r="6971" spans="2:2" s="221" customFormat="1" ht="12.75" x14ac:dyDescent="0.2">
      <c r="B6971" s="1168"/>
    </row>
    <row r="6972" spans="2:2" s="221" customFormat="1" ht="12.75" x14ac:dyDescent="0.2">
      <c r="B6972" s="1168"/>
    </row>
    <row r="6973" spans="2:2" s="221" customFormat="1" ht="12.75" x14ac:dyDescent="0.2">
      <c r="B6973" s="1168"/>
    </row>
    <row r="6974" spans="2:2" s="221" customFormat="1" ht="12.75" x14ac:dyDescent="0.2">
      <c r="B6974" s="1168"/>
    </row>
    <row r="6975" spans="2:2" s="221" customFormat="1" ht="12.75" x14ac:dyDescent="0.2">
      <c r="B6975" s="1168"/>
    </row>
    <row r="6976" spans="2:2" s="221" customFormat="1" ht="12.75" x14ac:dyDescent="0.2">
      <c r="B6976" s="1168"/>
    </row>
    <row r="6977" spans="2:2" s="221" customFormat="1" ht="12.75" x14ac:dyDescent="0.2">
      <c r="B6977" s="1168"/>
    </row>
    <row r="6978" spans="2:2" s="221" customFormat="1" ht="12.75" x14ac:dyDescent="0.2">
      <c r="B6978" s="1168"/>
    </row>
    <row r="6979" spans="2:2" s="221" customFormat="1" ht="12.75" x14ac:dyDescent="0.2">
      <c r="B6979" s="1168"/>
    </row>
    <row r="6980" spans="2:2" s="221" customFormat="1" ht="12.75" x14ac:dyDescent="0.2">
      <c r="B6980" s="1168"/>
    </row>
    <row r="6981" spans="2:2" s="221" customFormat="1" ht="12.75" x14ac:dyDescent="0.2">
      <c r="B6981" s="1168"/>
    </row>
    <row r="6982" spans="2:2" s="221" customFormat="1" ht="12.75" x14ac:dyDescent="0.2">
      <c r="B6982" s="1168"/>
    </row>
    <row r="6983" spans="2:2" s="221" customFormat="1" ht="12.75" x14ac:dyDescent="0.2">
      <c r="B6983" s="1168"/>
    </row>
    <row r="6984" spans="2:2" s="221" customFormat="1" ht="12.75" x14ac:dyDescent="0.2">
      <c r="B6984" s="1168"/>
    </row>
    <row r="6985" spans="2:2" s="221" customFormat="1" ht="12.75" x14ac:dyDescent="0.2">
      <c r="B6985" s="1168"/>
    </row>
    <row r="6986" spans="2:2" s="221" customFormat="1" ht="12.75" x14ac:dyDescent="0.2">
      <c r="B6986" s="1168"/>
    </row>
    <row r="6987" spans="2:2" s="221" customFormat="1" ht="12.75" x14ac:dyDescent="0.2">
      <c r="B6987" s="1168"/>
    </row>
    <row r="6988" spans="2:2" s="221" customFormat="1" ht="12.75" x14ac:dyDescent="0.2">
      <c r="B6988" s="1168"/>
    </row>
    <row r="6989" spans="2:2" s="221" customFormat="1" ht="12.75" x14ac:dyDescent="0.2">
      <c r="B6989" s="1168"/>
    </row>
    <row r="6990" spans="2:2" s="221" customFormat="1" ht="12.75" x14ac:dyDescent="0.2">
      <c r="B6990" s="1168"/>
    </row>
    <row r="6991" spans="2:2" s="221" customFormat="1" ht="12.75" x14ac:dyDescent="0.2">
      <c r="B6991" s="1168"/>
    </row>
    <row r="6992" spans="2:2" s="221" customFormat="1" ht="12.75" x14ac:dyDescent="0.2">
      <c r="B6992" s="1168"/>
    </row>
    <row r="6993" spans="2:2" s="221" customFormat="1" ht="12.75" x14ac:dyDescent="0.2">
      <c r="B6993" s="1168"/>
    </row>
    <row r="6994" spans="2:2" s="221" customFormat="1" ht="12.75" x14ac:dyDescent="0.2">
      <c r="B6994" s="1168"/>
    </row>
    <row r="6995" spans="2:2" s="221" customFormat="1" ht="12.75" x14ac:dyDescent="0.2">
      <c r="B6995" s="1168"/>
    </row>
    <row r="6996" spans="2:2" s="221" customFormat="1" ht="12.75" x14ac:dyDescent="0.2">
      <c r="B6996" s="1168"/>
    </row>
    <row r="6997" spans="2:2" s="221" customFormat="1" ht="12.75" x14ac:dyDescent="0.2">
      <c r="B6997" s="1168"/>
    </row>
    <row r="6998" spans="2:2" s="221" customFormat="1" ht="12.75" x14ac:dyDescent="0.2">
      <c r="B6998" s="1168"/>
    </row>
    <row r="6999" spans="2:2" s="221" customFormat="1" ht="12.75" x14ac:dyDescent="0.2">
      <c r="B6999" s="1168"/>
    </row>
    <row r="7000" spans="2:2" s="221" customFormat="1" ht="12.75" x14ac:dyDescent="0.2">
      <c r="B7000" s="1168"/>
    </row>
    <row r="7001" spans="2:2" s="221" customFormat="1" ht="12.75" x14ac:dyDescent="0.2">
      <c r="B7001" s="1168"/>
    </row>
    <row r="7002" spans="2:2" s="221" customFormat="1" ht="12.75" x14ac:dyDescent="0.2">
      <c r="B7002" s="1168"/>
    </row>
    <row r="7003" spans="2:2" s="221" customFormat="1" ht="12.75" x14ac:dyDescent="0.2">
      <c r="B7003" s="1168"/>
    </row>
    <row r="7004" spans="2:2" s="221" customFormat="1" ht="12.75" x14ac:dyDescent="0.2">
      <c r="B7004" s="1168"/>
    </row>
    <row r="7005" spans="2:2" s="221" customFormat="1" ht="12.75" x14ac:dyDescent="0.2">
      <c r="B7005" s="1168"/>
    </row>
    <row r="7006" spans="2:2" s="221" customFormat="1" ht="12.75" x14ac:dyDescent="0.2">
      <c r="B7006" s="1168"/>
    </row>
    <row r="7007" spans="2:2" s="221" customFormat="1" ht="12.75" x14ac:dyDescent="0.2">
      <c r="B7007" s="1168"/>
    </row>
    <row r="7008" spans="2:2" s="221" customFormat="1" ht="12.75" x14ac:dyDescent="0.2">
      <c r="B7008" s="1168"/>
    </row>
    <row r="7009" spans="2:2" s="221" customFormat="1" ht="12.75" x14ac:dyDescent="0.2">
      <c r="B7009" s="1168"/>
    </row>
    <row r="7010" spans="2:2" s="221" customFormat="1" ht="12.75" x14ac:dyDescent="0.2">
      <c r="B7010" s="1168"/>
    </row>
    <row r="7011" spans="2:2" s="221" customFormat="1" ht="12.75" x14ac:dyDescent="0.2">
      <c r="B7011" s="1168"/>
    </row>
    <row r="7012" spans="2:2" s="221" customFormat="1" ht="12.75" x14ac:dyDescent="0.2">
      <c r="B7012" s="1168"/>
    </row>
    <row r="7013" spans="2:2" s="221" customFormat="1" ht="12.75" x14ac:dyDescent="0.2">
      <c r="B7013" s="1168"/>
    </row>
    <row r="7014" spans="2:2" s="221" customFormat="1" ht="12.75" x14ac:dyDescent="0.2">
      <c r="B7014" s="1168"/>
    </row>
    <row r="7015" spans="2:2" s="221" customFormat="1" ht="12.75" x14ac:dyDescent="0.2">
      <c r="B7015" s="1168"/>
    </row>
    <row r="7016" spans="2:2" s="221" customFormat="1" ht="12.75" x14ac:dyDescent="0.2">
      <c r="B7016" s="1168"/>
    </row>
    <row r="7017" spans="2:2" s="221" customFormat="1" ht="12.75" x14ac:dyDescent="0.2">
      <c r="B7017" s="1168"/>
    </row>
    <row r="7018" spans="2:2" s="221" customFormat="1" ht="12.75" x14ac:dyDescent="0.2">
      <c r="B7018" s="1168"/>
    </row>
    <row r="7019" spans="2:2" s="221" customFormat="1" ht="12.75" x14ac:dyDescent="0.2">
      <c r="B7019" s="1168"/>
    </row>
    <row r="7020" spans="2:2" s="221" customFormat="1" ht="12.75" x14ac:dyDescent="0.2">
      <c r="B7020" s="1168"/>
    </row>
    <row r="7021" spans="2:2" s="221" customFormat="1" ht="12.75" x14ac:dyDescent="0.2">
      <c r="B7021" s="1168"/>
    </row>
    <row r="7022" spans="2:2" s="221" customFormat="1" ht="12.75" x14ac:dyDescent="0.2">
      <c r="B7022" s="1168"/>
    </row>
    <row r="7023" spans="2:2" s="221" customFormat="1" ht="12.75" x14ac:dyDescent="0.2">
      <c r="B7023" s="1168"/>
    </row>
    <row r="7024" spans="2:2" s="221" customFormat="1" ht="12.75" x14ac:dyDescent="0.2">
      <c r="B7024" s="1168"/>
    </row>
    <row r="7025" spans="2:2" s="221" customFormat="1" ht="12.75" x14ac:dyDescent="0.2">
      <c r="B7025" s="1168"/>
    </row>
    <row r="7026" spans="2:2" s="221" customFormat="1" ht="12.75" x14ac:dyDescent="0.2">
      <c r="B7026" s="1168"/>
    </row>
    <row r="7027" spans="2:2" s="221" customFormat="1" ht="12.75" x14ac:dyDescent="0.2">
      <c r="B7027" s="1168"/>
    </row>
    <row r="7028" spans="2:2" s="221" customFormat="1" ht="12.75" x14ac:dyDescent="0.2">
      <c r="B7028" s="1168"/>
    </row>
    <row r="7029" spans="2:2" s="221" customFormat="1" ht="12.75" x14ac:dyDescent="0.2">
      <c r="B7029" s="1168"/>
    </row>
    <row r="7030" spans="2:2" s="221" customFormat="1" ht="12.75" x14ac:dyDescent="0.2">
      <c r="B7030" s="1168"/>
    </row>
    <row r="7031" spans="2:2" s="221" customFormat="1" ht="12.75" x14ac:dyDescent="0.2">
      <c r="B7031" s="1168"/>
    </row>
    <row r="7032" spans="2:2" s="221" customFormat="1" ht="12.75" x14ac:dyDescent="0.2">
      <c r="B7032" s="1168"/>
    </row>
    <row r="7033" spans="2:2" s="221" customFormat="1" ht="12.75" x14ac:dyDescent="0.2">
      <c r="B7033" s="1168"/>
    </row>
    <row r="7034" spans="2:2" s="221" customFormat="1" ht="12.75" x14ac:dyDescent="0.2">
      <c r="B7034" s="1168"/>
    </row>
    <row r="7035" spans="2:2" s="221" customFormat="1" ht="12.75" x14ac:dyDescent="0.2">
      <c r="B7035" s="1168"/>
    </row>
    <row r="7036" spans="2:2" s="221" customFormat="1" ht="12.75" x14ac:dyDescent="0.2">
      <c r="B7036" s="1168"/>
    </row>
    <row r="7037" spans="2:2" s="221" customFormat="1" ht="12.75" x14ac:dyDescent="0.2">
      <c r="B7037" s="1168"/>
    </row>
    <row r="7038" spans="2:2" s="221" customFormat="1" ht="12.75" x14ac:dyDescent="0.2">
      <c r="B7038" s="1168"/>
    </row>
    <row r="7039" spans="2:2" s="221" customFormat="1" ht="12.75" x14ac:dyDescent="0.2">
      <c r="B7039" s="1168"/>
    </row>
    <row r="7040" spans="2:2" s="221" customFormat="1" ht="12.75" x14ac:dyDescent="0.2">
      <c r="B7040" s="1168"/>
    </row>
    <row r="7041" spans="2:2" s="221" customFormat="1" ht="12.75" x14ac:dyDescent="0.2">
      <c r="B7041" s="1168"/>
    </row>
    <row r="7042" spans="2:2" s="221" customFormat="1" ht="12.75" x14ac:dyDescent="0.2">
      <c r="B7042" s="1168"/>
    </row>
    <row r="7043" spans="2:2" s="221" customFormat="1" ht="12.75" x14ac:dyDescent="0.2">
      <c r="B7043" s="1168"/>
    </row>
    <row r="7044" spans="2:2" s="221" customFormat="1" ht="12.75" x14ac:dyDescent="0.2">
      <c r="B7044" s="1168"/>
    </row>
    <row r="7045" spans="2:2" s="221" customFormat="1" ht="12.75" x14ac:dyDescent="0.2">
      <c r="B7045" s="1168"/>
    </row>
    <row r="7046" spans="2:2" s="221" customFormat="1" ht="12.75" x14ac:dyDescent="0.2">
      <c r="B7046" s="1168"/>
    </row>
    <row r="7047" spans="2:2" s="221" customFormat="1" ht="12.75" x14ac:dyDescent="0.2">
      <c r="B7047" s="1168"/>
    </row>
    <row r="7048" spans="2:2" s="221" customFormat="1" ht="12.75" x14ac:dyDescent="0.2">
      <c r="B7048" s="1168"/>
    </row>
    <row r="7049" spans="2:2" s="221" customFormat="1" ht="12.75" x14ac:dyDescent="0.2">
      <c r="B7049" s="1168"/>
    </row>
    <row r="7050" spans="2:2" s="221" customFormat="1" ht="12.75" x14ac:dyDescent="0.2">
      <c r="B7050" s="1168"/>
    </row>
    <row r="7051" spans="2:2" s="221" customFormat="1" ht="12.75" x14ac:dyDescent="0.2">
      <c r="B7051" s="1168"/>
    </row>
    <row r="7052" spans="2:2" s="221" customFormat="1" ht="12.75" x14ac:dyDescent="0.2">
      <c r="B7052" s="1168"/>
    </row>
    <row r="7053" spans="2:2" s="221" customFormat="1" ht="12.75" x14ac:dyDescent="0.2">
      <c r="B7053" s="1168"/>
    </row>
    <row r="7054" spans="2:2" s="221" customFormat="1" ht="12.75" x14ac:dyDescent="0.2">
      <c r="B7054" s="1168"/>
    </row>
    <row r="7055" spans="2:2" s="221" customFormat="1" ht="12.75" x14ac:dyDescent="0.2">
      <c r="B7055" s="1168"/>
    </row>
    <row r="7056" spans="2:2" s="221" customFormat="1" ht="12.75" x14ac:dyDescent="0.2">
      <c r="B7056" s="1168"/>
    </row>
    <row r="7057" spans="2:2" s="221" customFormat="1" ht="12.75" x14ac:dyDescent="0.2">
      <c r="B7057" s="1168"/>
    </row>
    <row r="7058" spans="2:2" s="221" customFormat="1" ht="12.75" x14ac:dyDescent="0.2">
      <c r="B7058" s="1168"/>
    </row>
    <row r="7059" spans="2:2" s="221" customFormat="1" ht="12.75" x14ac:dyDescent="0.2">
      <c r="B7059" s="1168"/>
    </row>
    <row r="7060" spans="2:2" s="221" customFormat="1" ht="12.75" x14ac:dyDescent="0.2">
      <c r="B7060" s="1168"/>
    </row>
    <row r="7061" spans="2:2" s="221" customFormat="1" ht="12.75" x14ac:dyDescent="0.2">
      <c r="B7061" s="1168"/>
    </row>
    <row r="7062" spans="2:2" s="221" customFormat="1" ht="12.75" x14ac:dyDescent="0.2">
      <c r="B7062" s="1168"/>
    </row>
    <row r="7063" spans="2:2" s="221" customFormat="1" ht="12.75" x14ac:dyDescent="0.2">
      <c r="B7063" s="1168"/>
    </row>
    <row r="7064" spans="2:2" s="221" customFormat="1" ht="12.75" x14ac:dyDescent="0.2">
      <c r="B7064" s="1168"/>
    </row>
    <row r="7065" spans="2:2" s="221" customFormat="1" ht="12.75" x14ac:dyDescent="0.2">
      <c r="B7065" s="1168"/>
    </row>
    <row r="7066" spans="2:2" s="221" customFormat="1" ht="12.75" x14ac:dyDescent="0.2">
      <c r="B7066" s="1168"/>
    </row>
    <row r="7067" spans="2:2" s="221" customFormat="1" ht="12.75" x14ac:dyDescent="0.2">
      <c r="B7067" s="1168"/>
    </row>
    <row r="7068" spans="2:2" s="221" customFormat="1" ht="12.75" x14ac:dyDescent="0.2">
      <c r="B7068" s="1168"/>
    </row>
    <row r="7069" spans="2:2" s="221" customFormat="1" ht="12.75" x14ac:dyDescent="0.2">
      <c r="B7069" s="1168"/>
    </row>
    <row r="7070" spans="2:2" s="221" customFormat="1" ht="12.75" x14ac:dyDescent="0.2">
      <c r="B7070" s="1168"/>
    </row>
    <row r="7071" spans="2:2" s="221" customFormat="1" ht="12.75" x14ac:dyDescent="0.2">
      <c r="B7071" s="1168"/>
    </row>
    <row r="7072" spans="2:2" s="221" customFormat="1" ht="12.75" x14ac:dyDescent="0.2">
      <c r="B7072" s="1168"/>
    </row>
    <row r="7073" spans="2:2" s="221" customFormat="1" ht="12.75" x14ac:dyDescent="0.2">
      <c r="B7073" s="1168"/>
    </row>
    <row r="7074" spans="2:2" s="221" customFormat="1" ht="12.75" x14ac:dyDescent="0.2">
      <c r="B7074" s="1168"/>
    </row>
    <row r="7075" spans="2:2" s="221" customFormat="1" ht="12.75" x14ac:dyDescent="0.2">
      <c r="B7075" s="1168"/>
    </row>
    <row r="7076" spans="2:2" s="221" customFormat="1" ht="12.75" x14ac:dyDescent="0.2">
      <c r="B7076" s="1168"/>
    </row>
    <row r="7077" spans="2:2" s="221" customFormat="1" ht="12.75" x14ac:dyDescent="0.2">
      <c r="B7077" s="1168"/>
    </row>
    <row r="7078" spans="2:2" s="221" customFormat="1" ht="12.75" x14ac:dyDescent="0.2">
      <c r="B7078" s="1168"/>
    </row>
    <row r="7079" spans="2:2" s="221" customFormat="1" ht="12.75" x14ac:dyDescent="0.2">
      <c r="B7079" s="1168"/>
    </row>
    <row r="7080" spans="2:2" s="221" customFormat="1" ht="12.75" x14ac:dyDescent="0.2">
      <c r="B7080" s="1168"/>
    </row>
    <row r="7081" spans="2:2" s="221" customFormat="1" ht="12.75" x14ac:dyDescent="0.2">
      <c r="B7081" s="1168"/>
    </row>
    <row r="7082" spans="2:2" s="221" customFormat="1" ht="12.75" x14ac:dyDescent="0.2">
      <c r="B7082" s="1168"/>
    </row>
    <row r="7083" spans="2:2" s="221" customFormat="1" ht="12.75" x14ac:dyDescent="0.2">
      <c r="B7083" s="1168"/>
    </row>
    <row r="7084" spans="2:2" s="221" customFormat="1" ht="12.75" x14ac:dyDescent="0.2">
      <c r="B7084" s="1168"/>
    </row>
    <row r="7085" spans="2:2" s="221" customFormat="1" ht="12.75" x14ac:dyDescent="0.2">
      <c r="B7085" s="1168"/>
    </row>
    <row r="7086" spans="2:2" s="221" customFormat="1" ht="12.75" x14ac:dyDescent="0.2">
      <c r="B7086" s="1168"/>
    </row>
    <row r="7087" spans="2:2" s="221" customFormat="1" ht="12.75" x14ac:dyDescent="0.2">
      <c r="B7087" s="1168"/>
    </row>
    <row r="7088" spans="2:2" s="221" customFormat="1" ht="12.75" x14ac:dyDescent="0.2">
      <c r="B7088" s="1168"/>
    </row>
    <row r="7089" spans="2:2" s="221" customFormat="1" ht="12.75" x14ac:dyDescent="0.2">
      <c r="B7089" s="1168"/>
    </row>
    <row r="7090" spans="2:2" s="221" customFormat="1" ht="12.75" x14ac:dyDescent="0.2">
      <c r="B7090" s="1168"/>
    </row>
    <row r="7091" spans="2:2" s="221" customFormat="1" ht="12.75" x14ac:dyDescent="0.2">
      <c r="B7091" s="1168"/>
    </row>
    <row r="7092" spans="2:2" s="221" customFormat="1" ht="12.75" x14ac:dyDescent="0.2">
      <c r="B7092" s="1168"/>
    </row>
    <row r="7093" spans="2:2" s="221" customFormat="1" ht="12.75" x14ac:dyDescent="0.2">
      <c r="B7093" s="1168"/>
    </row>
    <row r="7094" spans="2:2" s="221" customFormat="1" ht="12.75" x14ac:dyDescent="0.2">
      <c r="B7094" s="1168"/>
    </row>
    <row r="7095" spans="2:2" s="221" customFormat="1" ht="12.75" x14ac:dyDescent="0.2">
      <c r="B7095" s="1168"/>
    </row>
    <row r="7096" spans="2:2" s="221" customFormat="1" ht="12.75" x14ac:dyDescent="0.2">
      <c r="B7096" s="1168"/>
    </row>
    <row r="7097" spans="2:2" s="221" customFormat="1" ht="12.75" x14ac:dyDescent="0.2">
      <c r="B7097" s="1168"/>
    </row>
    <row r="7098" spans="2:2" s="221" customFormat="1" ht="12.75" x14ac:dyDescent="0.2">
      <c r="B7098" s="1168"/>
    </row>
    <row r="7099" spans="2:2" s="221" customFormat="1" ht="12.75" x14ac:dyDescent="0.2">
      <c r="B7099" s="1168"/>
    </row>
    <row r="7100" spans="2:2" s="221" customFormat="1" ht="12.75" x14ac:dyDescent="0.2">
      <c r="B7100" s="1168"/>
    </row>
    <row r="7101" spans="2:2" s="221" customFormat="1" ht="12.75" x14ac:dyDescent="0.2">
      <c r="B7101" s="1168"/>
    </row>
    <row r="7102" spans="2:2" s="221" customFormat="1" ht="12.75" x14ac:dyDescent="0.2">
      <c r="B7102" s="1168"/>
    </row>
    <row r="7103" spans="2:2" s="221" customFormat="1" ht="12.75" x14ac:dyDescent="0.2">
      <c r="B7103" s="1168"/>
    </row>
    <row r="7104" spans="2:2" s="221" customFormat="1" ht="12.75" x14ac:dyDescent="0.2">
      <c r="B7104" s="1168"/>
    </row>
    <row r="7105" spans="2:2" s="221" customFormat="1" ht="12.75" x14ac:dyDescent="0.2">
      <c r="B7105" s="1168"/>
    </row>
    <row r="7106" spans="2:2" s="221" customFormat="1" ht="12.75" x14ac:dyDescent="0.2">
      <c r="B7106" s="1168"/>
    </row>
    <row r="7107" spans="2:2" s="221" customFormat="1" ht="12.75" x14ac:dyDescent="0.2">
      <c r="B7107" s="1168"/>
    </row>
    <row r="7108" spans="2:2" s="221" customFormat="1" ht="12.75" x14ac:dyDescent="0.2">
      <c r="B7108" s="1168"/>
    </row>
    <row r="7109" spans="2:2" s="221" customFormat="1" ht="12.75" x14ac:dyDescent="0.2">
      <c r="B7109" s="1168"/>
    </row>
    <row r="7110" spans="2:2" s="221" customFormat="1" ht="12.75" x14ac:dyDescent="0.2">
      <c r="B7110" s="1168"/>
    </row>
    <row r="7111" spans="2:2" s="221" customFormat="1" ht="12.75" x14ac:dyDescent="0.2">
      <c r="B7111" s="1168"/>
    </row>
    <row r="7112" spans="2:2" s="221" customFormat="1" ht="12.75" x14ac:dyDescent="0.2">
      <c r="B7112" s="1168"/>
    </row>
    <row r="7113" spans="2:2" s="221" customFormat="1" ht="12.75" x14ac:dyDescent="0.2">
      <c r="B7113" s="1168"/>
    </row>
    <row r="7114" spans="2:2" s="221" customFormat="1" ht="12.75" x14ac:dyDescent="0.2">
      <c r="B7114" s="1168"/>
    </row>
    <row r="7115" spans="2:2" s="221" customFormat="1" ht="12.75" x14ac:dyDescent="0.2">
      <c r="B7115" s="1168"/>
    </row>
    <row r="7116" spans="2:2" s="221" customFormat="1" ht="12.75" x14ac:dyDescent="0.2">
      <c r="B7116" s="1168"/>
    </row>
    <row r="7117" spans="2:2" s="221" customFormat="1" ht="12.75" x14ac:dyDescent="0.2">
      <c r="B7117" s="1168"/>
    </row>
    <row r="7118" spans="2:2" s="221" customFormat="1" ht="12.75" x14ac:dyDescent="0.2">
      <c r="B7118" s="1168"/>
    </row>
    <row r="7119" spans="2:2" s="221" customFormat="1" ht="12.75" x14ac:dyDescent="0.2">
      <c r="B7119" s="1168"/>
    </row>
    <row r="7120" spans="2:2" s="221" customFormat="1" ht="12.75" x14ac:dyDescent="0.2">
      <c r="B7120" s="1168"/>
    </row>
    <row r="7121" spans="2:2" s="221" customFormat="1" ht="12.75" x14ac:dyDescent="0.2">
      <c r="B7121" s="1168"/>
    </row>
    <row r="7122" spans="2:2" s="221" customFormat="1" ht="12.75" x14ac:dyDescent="0.2">
      <c r="B7122" s="1168"/>
    </row>
    <row r="7123" spans="2:2" s="221" customFormat="1" ht="12.75" x14ac:dyDescent="0.2">
      <c r="B7123" s="1168"/>
    </row>
    <row r="7124" spans="2:2" s="221" customFormat="1" ht="12.75" x14ac:dyDescent="0.2">
      <c r="B7124" s="1168"/>
    </row>
    <row r="7125" spans="2:2" s="221" customFormat="1" ht="12.75" x14ac:dyDescent="0.2">
      <c r="B7125" s="1168"/>
    </row>
    <row r="7126" spans="2:2" s="221" customFormat="1" ht="12.75" x14ac:dyDescent="0.2">
      <c r="B7126" s="1168"/>
    </row>
    <row r="7127" spans="2:2" s="221" customFormat="1" ht="12.75" x14ac:dyDescent="0.2">
      <c r="B7127" s="1168"/>
    </row>
    <row r="7128" spans="2:2" s="221" customFormat="1" ht="12.75" x14ac:dyDescent="0.2">
      <c r="B7128" s="1168"/>
    </row>
    <row r="7129" spans="2:2" s="221" customFormat="1" ht="12.75" x14ac:dyDescent="0.2">
      <c r="B7129" s="1168"/>
    </row>
    <row r="7130" spans="2:2" s="221" customFormat="1" ht="12.75" x14ac:dyDescent="0.2">
      <c r="B7130" s="1168"/>
    </row>
    <row r="7131" spans="2:2" s="221" customFormat="1" ht="12.75" x14ac:dyDescent="0.2">
      <c r="B7131" s="1168"/>
    </row>
    <row r="7132" spans="2:2" s="221" customFormat="1" ht="12.75" x14ac:dyDescent="0.2">
      <c r="B7132" s="1168"/>
    </row>
    <row r="7133" spans="2:2" s="221" customFormat="1" ht="12.75" x14ac:dyDescent="0.2">
      <c r="B7133" s="1168"/>
    </row>
    <row r="7134" spans="2:2" s="221" customFormat="1" ht="12.75" x14ac:dyDescent="0.2">
      <c r="B7134" s="1168"/>
    </row>
    <row r="7135" spans="2:2" s="221" customFormat="1" ht="12.75" x14ac:dyDescent="0.2">
      <c r="B7135" s="1168"/>
    </row>
    <row r="7136" spans="2:2" s="221" customFormat="1" ht="12.75" x14ac:dyDescent="0.2">
      <c r="B7136" s="1168"/>
    </row>
    <row r="7137" spans="2:2" s="221" customFormat="1" ht="12.75" x14ac:dyDescent="0.2">
      <c r="B7137" s="1168"/>
    </row>
    <row r="7138" spans="2:2" s="221" customFormat="1" ht="12.75" x14ac:dyDescent="0.2">
      <c r="B7138" s="1168"/>
    </row>
    <row r="7139" spans="2:2" s="221" customFormat="1" ht="12.75" x14ac:dyDescent="0.2">
      <c r="B7139" s="1168"/>
    </row>
    <row r="7140" spans="2:2" s="221" customFormat="1" ht="12.75" x14ac:dyDescent="0.2">
      <c r="B7140" s="1168"/>
    </row>
    <row r="7141" spans="2:2" s="221" customFormat="1" ht="12.75" x14ac:dyDescent="0.2">
      <c r="B7141" s="1168"/>
    </row>
    <row r="7142" spans="2:2" s="221" customFormat="1" ht="12.75" x14ac:dyDescent="0.2">
      <c r="B7142" s="1168"/>
    </row>
    <row r="7143" spans="2:2" s="221" customFormat="1" ht="12.75" x14ac:dyDescent="0.2">
      <c r="B7143" s="1168"/>
    </row>
    <row r="7144" spans="2:2" s="221" customFormat="1" ht="12.75" x14ac:dyDescent="0.2">
      <c r="B7144" s="1168"/>
    </row>
    <row r="7145" spans="2:2" s="221" customFormat="1" ht="12.75" x14ac:dyDescent="0.2">
      <c r="B7145" s="1168"/>
    </row>
    <row r="7146" spans="2:2" s="221" customFormat="1" ht="12.75" x14ac:dyDescent="0.2">
      <c r="B7146" s="1168"/>
    </row>
    <row r="7147" spans="2:2" s="221" customFormat="1" ht="12.75" x14ac:dyDescent="0.2">
      <c r="B7147" s="1168"/>
    </row>
    <row r="7148" spans="2:2" s="221" customFormat="1" ht="12.75" x14ac:dyDescent="0.2">
      <c r="B7148" s="1168"/>
    </row>
    <row r="7149" spans="2:2" s="221" customFormat="1" ht="12.75" x14ac:dyDescent="0.2">
      <c r="B7149" s="1168"/>
    </row>
    <row r="7150" spans="2:2" s="221" customFormat="1" ht="12.75" x14ac:dyDescent="0.2">
      <c r="B7150" s="1168"/>
    </row>
    <row r="7151" spans="2:2" s="221" customFormat="1" ht="12.75" x14ac:dyDescent="0.2">
      <c r="B7151" s="1168"/>
    </row>
    <row r="7152" spans="2:2" s="221" customFormat="1" ht="12.75" x14ac:dyDescent="0.2">
      <c r="B7152" s="1168"/>
    </row>
    <row r="7153" spans="2:2" s="221" customFormat="1" ht="12.75" x14ac:dyDescent="0.2">
      <c r="B7153" s="1168"/>
    </row>
    <row r="7154" spans="2:2" s="221" customFormat="1" ht="12.75" x14ac:dyDescent="0.2">
      <c r="B7154" s="1168"/>
    </row>
    <row r="7155" spans="2:2" s="221" customFormat="1" ht="12.75" x14ac:dyDescent="0.2">
      <c r="B7155" s="1168"/>
    </row>
    <row r="7156" spans="2:2" s="221" customFormat="1" ht="12.75" x14ac:dyDescent="0.2">
      <c r="B7156" s="1168"/>
    </row>
    <row r="7157" spans="2:2" s="221" customFormat="1" ht="12.75" x14ac:dyDescent="0.2">
      <c r="B7157" s="1168"/>
    </row>
    <row r="7158" spans="2:2" s="221" customFormat="1" ht="12.75" x14ac:dyDescent="0.2">
      <c r="B7158" s="1168"/>
    </row>
    <row r="7159" spans="2:2" s="221" customFormat="1" ht="12.75" x14ac:dyDescent="0.2">
      <c r="B7159" s="1168"/>
    </row>
    <row r="7160" spans="2:2" s="221" customFormat="1" ht="12.75" x14ac:dyDescent="0.2">
      <c r="B7160" s="1168"/>
    </row>
    <row r="7161" spans="2:2" s="221" customFormat="1" ht="12.75" x14ac:dyDescent="0.2">
      <c r="B7161" s="1168"/>
    </row>
    <row r="7162" spans="2:2" s="221" customFormat="1" ht="12.75" x14ac:dyDescent="0.2">
      <c r="B7162" s="1168"/>
    </row>
    <row r="7163" spans="2:2" s="221" customFormat="1" ht="12.75" x14ac:dyDescent="0.2">
      <c r="B7163" s="1168"/>
    </row>
    <row r="7164" spans="2:2" s="221" customFormat="1" ht="12.75" x14ac:dyDescent="0.2">
      <c r="B7164" s="1168"/>
    </row>
    <row r="7165" spans="2:2" s="221" customFormat="1" ht="12.75" x14ac:dyDescent="0.2">
      <c r="B7165" s="1168"/>
    </row>
    <row r="7166" spans="2:2" s="221" customFormat="1" ht="12.75" x14ac:dyDescent="0.2">
      <c r="B7166" s="1168"/>
    </row>
    <row r="7167" spans="2:2" s="221" customFormat="1" ht="12.75" x14ac:dyDescent="0.2">
      <c r="B7167" s="1168"/>
    </row>
    <row r="7168" spans="2:2" s="221" customFormat="1" ht="12.75" x14ac:dyDescent="0.2">
      <c r="B7168" s="1168"/>
    </row>
    <row r="7169" spans="2:2" s="221" customFormat="1" ht="12.75" x14ac:dyDescent="0.2">
      <c r="B7169" s="1168"/>
    </row>
    <row r="7170" spans="2:2" s="221" customFormat="1" ht="12.75" x14ac:dyDescent="0.2">
      <c r="B7170" s="1168"/>
    </row>
    <row r="7171" spans="2:2" s="221" customFormat="1" ht="12.75" x14ac:dyDescent="0.2">
      <c r="B7171" s="1168"/>
    </row>
    <row r="7172" spans="2:2" s="221" customFormat="1" ht="12.75" x14ac:dyDescent="0.2">
      <c r="B7172" s="1168"/>
    </row>
    <row r="7173" spans="2:2" s="221" customFormat="1" ht="12.75" x14ac:dyDescent="0.2">
      <c r="B7173" s="1168"/>
    </row>
    <row r="7174" spans="2:2" s="221" customFormat="1" ht="12.75" x14ac:dyDescent="0.2">
      <c r="B7174" s="1168"/>
    </row>
    <row r="7175" spans="2:2" s="221" customFormat="1" ht="12.75" x14ac:dyDescent="0.2">
      <c r="B7175" s="1168"/>
    </row>
    <row r="7176" spans="2:2" s="221" customFormat="1" ht="12.75" x14ac:dyDescent="0.2">
      <c r="B7176" s="1168"/>
    </row>
    <row r="7177" spans="2:2" s="221" customFormat="1" ht="12.75" x14ac:dyDescent="0.2">
      <c r="B7177" s="1168"/>
    </row>
    <row r="7178" spans="2:2" s="221" customFormat="1" ht="12.75" x14ac:dyDescent="0.2">
      <c r="B7178" s="1168"/>
    </row>
    <row r="7179" spans="2:2" s="221" customFormat="1" ht="12.75" x14ac:dyDescent="0.2">
      <c r="B7179" s="1168"/>
    </row>
    <row r="7180" spans="2:2" s="221" customFormat="1" ht="12.75" x14ac:dyDescent="0.2">
      <c r="B7180" s="1168"/>
    </row>
    <row r="7181" spans="2:2" s="221" customFormat="1" ht="12.75" x14ac:dyDescent="0.2">
      <c r="B7181" s="1168"/>
    </row>
    <row r="7182" spans="2:2" s="221" customFormat="1" ht="12.75" x14ac:dyDescent="0.2">
      <c r="B7182" s="1168"/>
    </row>
    <row r="7183" spans="2:2" s="221" customFormat="1" ht="12.75" x14ac:dyDescent="0.2">
      <c r="B7183" s="1168"/>
    </row>
    <row r="7184" spans="2:2" s="221" customFormat="1" ht="12.75" x14ac:dyDescent="0.2">
      <c r="B7184" s="1168"/>
    </row>
    <row r="7185" spans="2:2" s="221" customFormat="1" ht="12.75" x14ac:dyDescent="0.2">
      <c r="B7185" s="1168"/>
    </row>
    <row r="7186" spans="2:2" s="221" customFormat="1" ht="12.75" x14ac:dyDescent="0.2">
      <c r="B7186" s="1168"/>
    </row>
    <row r="7187" spans="2:2" s="221" customFormat="1" ht="12.75" x14ac:dyDescent="0.2">
      <c r="B7187" s="1168"/>
    </row>
    <row r="7188" spans="2:2" s="221" customFormat="1" ht="12.75" x14ac:dyDescent="0.2">
      <c r="B7188" s="1168"/>
    </row>
    <row r="7189" spans="2:2" s="221" customFormat="1" ht="12.75" x14ac:dyDescent="0.2">
      <c r="B7189" s="1168"/>
    </row>
    <row r="7190" spans="2:2" s="221" customFormat="1" ht="12.75" x14ac:dyDescent="0.2">
      <c r="B7190" s="1168"/>
    </row>
    <row r="7191" spans="2:2" s="221" customFormat="1" ht="12.75" x14ac:dyDescent="0.2">
      <c r="B7191" s="1168"/>
    </row>
    <row r="7192" spans="2:2" s="221" customFormat="1" ht="12.75" x14ac:dyDescent="0.2">
      <c r="B7192" s="1168"/>
    </row>
    <row r="7193" spans="2:2" s="221" customFormat="1" ht="12.75" x14ac:dyDescent="0.2">
      <c r="B7193" s="1168"/>
    </row>
    <row r="7194" spans="2:2" s="221" customFormat="1" ht="12.75" x14ac:dyDescent="0.2">
      <c r="B7194" s="1168"/>
    </row>
    <row r="7195" spans="2:2" s="221" customFormat="1" ht="12.75" x14ac:dyDescent="0.2">
      <c r="B7195" s="1168"/>
    </row>
    <row r="7196" spans="2:2" s="221" customFormat="1" ht="12.75" x14ac:dyDescent="0.2">
      <c r="B7196" s="1168"/>
    </row>
    <row r="7197" spans="2:2" s="221" customFormat="1" ht="12.75" x14ac:dyDescent="0.2">
      <c r="B7197" s="1168"/>
    </row>
    <row r="7198" spans="2:2" s="221" customFormat="1" ht="12.75" x14ac:dyDescent="0.2">
      <c r="B7198" s="1168"/>
    </row>
    <row r="7199" spans="2:2" s="221" customFormat="1" ht="12.75" x14ac:dyDescent="0.2">
      <c r="B7199" s="1168"/>
    </row>
    <row r="7200" spans="2:2" s="221" customFormat="1" ht="12.75" x14ac:dyDescent="0.2">
      <c r="B7200" s="1168"/>
    </row>
    <row r="7201" spans="2:2" s="221" customFormat="1" ht="12.75" x14ac:dyDescent="0.2">
      <c r="B7201" s="1168"/>
    </row>
    <row r="7202" spans="2:2" s="221" customFormat="1" ht="12.75" x14ac:dyDescent="0.2">
      <c r="B7202" s="1168"/>
    </row>
    <row r="7203" spans="2:2" s="221" customFormat="1" ht="12.75" x14ac:dyDescent="0.2">
      <c r="B7203" s="1168"/>
    </row>
    <row r="7204" spans="2:2" s="221" customFormat="1" ht="12.75" x14ac:dyDescent="0.2">
      <c r="B7204" s="1168"/>
    </row>
    <row r="7205" spans="2:2" s="221" customFormat="1" ht="12.75" x14ac:dyDescent="0.2">
      <c r="B7205" s="1168"/>
    </row>
    <row r="7206" spans="2:2" s="221" customFormat="1" ht="12.75" x14ac:dyDescent="0.2">
      <c r="B7206" s="1168"/>
    </row>
    <row r="7207" spans="2:2" s="221" customFormat="1" ht="12.75" x14ac:dyDescent="0.2">
      <c r="B7207" s="1168"/>
    </row>
    <row r="7208" spans="2:2" s="221" customFormat="1" ht="12.75" x14ac:dyDescent="0.2">
      <c r="B7208" s="1168"/>
    </row>
    <row r="7209" spans="2:2" s="221" customFormat="1" ht="12.75" x14ac:dyDescent="0.2">
      <c r="B7209" s="1168"/>
    </row>
    <row r="7210" spans="2:2" s="221" customFormat="1" ht="12.75" x14ac:dyDescent="0.2">
      <c r="B7210" s="1168"/>
    </row>
    <row r="7211" spans="2:2" s="221" customFormat="1" ht="12.75" x14ac:dyDescent="0.2">
      <c r="B7211" s="1168"/>
    </row>
    <row r="7212" spans="2:2" s="221" customFormat="1" ht="12.75" x14ac:dyDescent="0.2">
      <c r="B7212" s="1168"/>
    </row>
    <row r="7213" spans="2:2" s="221" customFormat="1" ht="12.75" x14ac:dyDescent="0.2">
      <c r="B7213" s="1168"/>
    </row>
    <row r="7214" spans="2:2" s="221" customFormat="1" ht="12.75" x14ac:dyDescent="0.2">
      <c r="B7214" s="1168"/>
    </row>
    <row r="7215" spans="2:2" s="221" customFormat="1" ht="12.75" x14ac:dyDescent="0.2">
      <c r="B7215" s="1168"/>
    </row>
    <row r="7216" spans="2:2" s="221" customFormat="1" ht="12.75" x14ac:dyDescent="0.2">
      <c r="B7216" s="1168"/>
    </row>
    <row r="7217" spans="2:2" s="221" customFormat="1" ht="12.75" x14ac:dyDescent="0.2">
      <c r="B7217" s="1168"/>
    </row>
    <row r="7218" spans="2:2" s="221" customFormat="1" ht="12.75" x14ac:dyDescent="0.2">
      <c r="B7218" s="1168"/>
    </row>
    <row r="7219" spans="2:2" s="221" customFormat="1" ht="12.75" x14ac:dyDescent="0.2">
      <c r="B7219" s="1168"/>
    </row>
    <row r="7220" spans="2:2" s="221" customFormat="1" ht="12.75" x14ac:dyDescent="0.2">
      <c r="B7220" s="1168"/>
    </row>
    <row r="7221" spans="2:2" s="221" customFormat="1" ht="12.75" x14ac:dyDescent="0.2">
      <c r="B7221" s="1168"/>
    </row>
    <row r="7222" spans="2:2" s="221" customFormat="1" ht="12.75" x14ac:dyDescent="0.2">
      <c r="B7222" s="1168"/>
    </row>
    <row r="7223" spans="2:2" s="221" customFormat="1" ht="12.75" x14ac:dyDescent="0.2">
      <c r="B7223" s="1168"/>
    </row>
    <row r="7224" spans="2:2" s="221" customFormat="1" ht="12.75" x14ac:dyDescent="0.2">
      <c r="B7224" s="1168"/>
    </row>
    <row r="7225" spans="2:2" s="221" customFormat="1" ht="12.75" x14ac:dyDescent="0.2">
      <c r="B7225" s="1168"/>
    </row>
    <row r="7226" spans="2:2" s="221" customFormat="1" ht="12.75" x14ac:dyDescent="0.2">
      <c r="B7226" s="1168"/>
    </row>
    <row r="7227" spans="2:2" s="221" customFormat="1" ht="12.75" x14ac:dyDescent="0.2">
      <c r="B7227" s="1168"/>
    </row>
    <row r="7228" spans="2:2" s="221" customFormat="1" ht="12.75" x14ac:dyDescent="0.2">
      <c r="B7228" s="1168"/>
    </row>
    <row r="7229" spans="2:2" s="221" customFormat="1" ht="12.75" x14ac:dyDescent="0.2">
      <c r="B7229" s="1168"/>
    </row>
    <row r="7230" spans="2:2" s="221" customFormat="1" ht="12.75" x14ac:dyDescent="0.2">
      <c r="B7230" s="1168"/>
    </row>
    <row r="7231" spans="2:2" s="221" customFormat="1" ht="12.75" x14ac:dyDescent="0.2">
      <c r="B7231" s="1168"/>
    </row>
    <row r="7232" spans="2:2" s="221" customFormat="1" ht="12.75" x14ac:dyDescent="0.2">
      <c r="B7232" s="1168"/>
    </row>
    <row r="7233" spans="2:2" s="221" customFormat="1" ht="12.75" x14ac:dyDescent="0.2">
      <c r="B7233" s="1168"/>
    </row>
    <row r="7234" spans="2:2" s="221" customFormat="1" ht="12.75" x14ac:dyDescent="0.2">
      <c r="B7234" s="1168"/>
    </row>
    <row r="7235" spans="2:2" s="221" customFormat="1" ht="12.75" x14ac:dyDescent="0.2">
      <c r="B7235" s="1168"/>
    </row>
    <row r="7236" spans="2:2" s="221" customFormat="1" ht="12.75" x14ac:dyDescent="0.2">
      <c r="B7236" s="1168"/>
    </row>
    <row r="7237" spans="2:2" s="221" customFormat="1" ht="12.75" x14ac:dyDescent="0.2">
      <c r="B7237" s="1168"/>
    </row>
    <row r="7238" spans="2:2" s="221" customFormat="1" ht="12.75" x14ac:dyDescent="0.2">
      <c r="B7238" s="1168"/>
    </row>
    <row r="7239" spans="2:2" s="221" customFormat="1" ht="12.75" x14ac:dyDescent="0.2">
      <c r="B7239" s="1168"/>
    </row>
    <row r="7240" spans="2:2" s="221" customFormat="1" ht="12.75" x14ac:dyDescent="0.2">
      <c r="B7240" s="1168"/>
    </row>
    <row r="7241" spans="2:2" s="221" customFormat="1" ht="12.75" x14ac:dyDescent="0.2">
      <c r="B7241" s="1168"/>
    </row>
    <row r="7242" spans="2:2" s="221" customFormat="1" ht="12.75" x14ac:dyDescent="0.2">
      <c r="B7242" s="1168"/>
    </row>
    <row r="7243" spans="2:2" s="221" customFormat="1" ht="12.75" x14ac:dyDescent="0.2">
      <c r="B7243" s="1168"/>
    </row>
    <row r="7244" spans="2:2" s="221" customFormat="1" ht="12.75" x14ac:dyDescent="0.2">
      <c r="B7244" s="1168"/>
    </row>
    <row r="7245" spans="2:2" s="221" customFormat="1" ht="12.75" x14ac:dyDescent="0.2">
      <c r="B7245" s="1168"/>
    </row>
    <row r="7246" spans="2:2" s="221" customFormat="1" ht="12.75" x14ac:dyDescent="0.2">
      <c r="B7246" s="1168"/>
    </row>
    <row r="7247" spans="2:2" s="221" customFormat="1" ht="12.75" x14ac:dyDescent="0.2">
      <c r="B7247" s="1168"/>
    </row>
    <row r="7248" spans="2:2" s="221" customFormat="1" ht="12.75" x14ac:dyDescent="0.2">
      <c r="B7248" s="1168"/>
    </row>
    <row r="7249" spans="2:2" s="221" customFormat="1" ht="12.75" x14ac:dyDescent="0.2">
      <c r="B7249" s="1168"/>
    </row>
    <row r="7250" spans="2:2" s="221" customFormat="1" ht="12.75" x14ac:dyDescent="0.2">
      <c r="B7250" s="1168"/>
    </row>
    <row r="7251" spans="2:2" s="221" customFormat="1" ht="12.75" x14ac:dyDescent="0.2">
      <c r="B7251" s="1168"/>
    </row>
    <row r="7252" spans="2:2" s="221" customFormat="1" ht="12.75" x14ac:dyDescent="0.2">
      <c r="B7252" s="1168"/>
    </row>
    <row r="7253" spans="2:2" s="221" customFormat="1" ht="12.75" x14ac:dyDescent="0.2">
      <c r="B7253" s="1168"/>
    </row>
    <row r="7254" spans="2:2" s="221" customFormat="1" ht="12.75" x14ac:dyDescent="0.2">
      <c r="B7254" s="1168"/>
    </row>
    <row r="7255" spans="2:2" s="221" customFormat="1" ht="12.75" x14ac:dyDescent="0.2">
      <c r="B7255" s="1168"/>
    </row>
    <row r="7256" spans="2:2" s="221" customFormat="1" ht="12.75" x14ac:dyDescent="0.2">
      <c r="B7256" s="1168"/>
    </row>
    <row r="7257" spans="2:2" s="221" customFormat="1" ht="12.75" x14ac:dyDescent="0.2">
      <c r="B7257" s="1168"/>
    </row>
    <row r="7258" spans="2:2" s="221" customFormat="1" ht="12.75" x14ac:dyDescent="0.2">
      <c r="B7258" s="1168"/>
    </row>
    <row r="7259" spans="2:2" s="221" customFormat="1" ht="12.75" x14ac:dyDescent="0.2">
      <c r="B7259" s="1168"/>
    </row>
    <row r="7260" spans="2:2" s="221" customFormat="1" ht="12.75" x14ac:dyDescent="0.2">
      <c r="B7260" s="1168"/>
    </row>
    <row r="7261" spans="2:2" s="221" customFormat="1" ht="12.75" x14ac:dyDescent="0.2">
      <c r="B7261" s="1168"/>
    </row>
    <row r="7262" spans="2:2" s="221" customFormat="1" ht="12.75" x14ac:dyDescent="0.2">
      <c r="B7262" s="1168"/>
    </row>
    <row r="7263" spans="2:2" s="221" customFormat="1" ht="12.75" x14ac:dyDescent="0.2">
      <c r="B7263" s="1168"/>
    </row>
    <row r="7264" spans="2:2" s="221" customFormat="1" ht="12.75" x14ac:dyDescent="0.2">
      <c r="B7264" s="1168"/>
    </row>
    <row r="7265" spans="2:2" s="221" customFormat="1" ht="12.75" x14ac:dyDescent="0.2">
      <c r="B7265" s="1168"/>
    </row>
    <row r="7266" spans="2:2" s="221" customFormat="1" ht="12.75" x14ac:dyDescent="0.2">
      <c r="B7266" s="1168"/>
    </row>
    <row r="7267" spans="2:2" s="221" customFormat="1" ht="12.75" x14ac:dyDescent="0.2">
      <c r="B7267" s="1168"/>
    </row>
    <row r="7268" spans="2:2" s="221" customFormat="1" ht="12.75" x14ac:dyDescent="0.2">
      <c r="B7268" s="1168"/>
    </row>
    <row r="7269" spans="2:2" s="221" customFormat="1" ht="12.75" x14ac:dyDescent="0.2">
      <c r="B7269" s="1168"/>
    </row>
    <row r="7270" spans="2:2" s="221" customFormat="1" ht="12.75" x14ac:dyDescent="0.2">
      <c r="B7270" s="1168"/>
    </row>
    <row r="7271" spans="2:2" s="221" customFormat="1" ht="12.75" x14ac:dyDescent="0.2">
      <c r="B7271" s="1168"/>
    </row>
    <row r="7272" spans="2:2" s="221" customFormat="1" ht="12.75" x14ac:dyDescent="0.2">
      <c r="B7272" s="1168"/>
    </row>
    <row r="7273" spans="2:2" s="221" customFormat="1" ht="12.75" x14ac:dyDescent="0.2">
      <c r="B7273" s="1168"/>
    </row>
    <row r="7274" spans="2:2" s="221" customFormat="1" ht="12.75" x14ac:dyDescent="0.2">
      <c r="B7274" s="1168"/>
    </row>
    <row r="7275" spans="2:2" s="221" customFormat="1" ht="12.75" x14ac:dyDescent="0.2">
      <c r="B7275" s="1168"/>
    </row>
    <row r="7276" spans="2:2" s="221" customFormat="1" ht="12.75" x14ac:dyDescent="0.2">
      <c r="B7276" s="1168"/>
    </row>
    <row r="7277" spans="2:2" s="221" customFormat="1" ht="12.75" x14ac:dyDescent="0.2">
      <c r="B7277" s="1168"/>
    </row>
    <row r="7278" spans="2:2" s="221" customFormat="1" ht="12.75" x14ac:dyDescent="0.2">
      <c r="B7278" s="1168"/>
    </row>
    <row r="7279" spans="2:2" s="221" customFormat="1" ht="12.75" x14ac:dyDescent="0.2">
      <c r="B7279" s="1168"/>
    </row>
    <row r="7280" spans="2:2" s="221" customFormat="1" ht="12.75" x14ac:dyDescent="0.2">
      <c r="B7280" s="1168"/>
    </row>
    <row r="7281" spans="2:2" s="221" customFormat="1" ht="12.75" x14ac:dyDescent="0.2">
      <c r="B7281" s="1168"/>
    </row>
    <row r="7282" spans="2:2" s="221" customFormat="1" ht="12.75" x14ac:dyDescent="0.2">
      <c r="B7282" s="1168"/>
    </row>
    <row r="7283" spans="2:2" s="221" customFormat="1" ht="12.75" x14ac:dyDescent="0.2">
      <c r="B7283" s="1168"/>
    </row>
    <row r="7284" spans="2:2" s="221" customFormat="1" ht="12.75" x14ac:dyDescent="0.2">
      <c r="B7284" s="1168"/>
    </row>
    <row r="7285" spans="2:2" s="221" customFormat="1" ht="12.75" x14ac:dyDescent="0.2">
      <c r="B7285" s="1168"/>
    </row>
    <row r="7286" spans="2:2" s="221" customFormat="1" ht="12.75" x14ac:dyDescent="0.2">
      <c r="B7286" s="1168"/>
    </row>
    <row r="7287" spans="2:2" s="221" customFormat="1" ht="12.75" x14ac:dyDescent="0.2">
      <c r="B7287" s="1168"/>
    </row>
    <row r="7288" spans="2:2" s="221" customFormat="1" ht="12.75" x14ac:dyDescent="0.2">
      <c r="B7288" s="1168"/>
    </row>
    <row r="7289" spans="2:2" s="221" customFormat="1" ht="12.75" x14ac:dyDescent="0.2">
      <c r="B7289" s="1168"/>
    </row>
    <row r="7290" spans="2:2" s="221" customFormat="1" ht="12.75" x14ac:dyDescent="0.2">
      <c r="B7290" s="1168"/>
    </row>
    <row r="7291" spans="2:2" s="221" customFormat="1" ht="12.75" x14ac:dyDescent="0.2">
      <c r="B7291" s="1168"/>
    </row>
    <row r="7292" spans="2:2" s="221" customFormat="1" ht="12.75" x14ac:dyDescent="0.2">
      <c r="B7292" s="1168"/>
    </row>
    <row r="7293" spans="2:2" s="221" customFormat="1" ht="12.75" x14ac:dyDescent="0.2">
      <c r="B7293" s="1168"/>
    </row>
    <row r="7294" spans="2:2" s="221" customFormat="1" ht="12.75" x14ac:dyDescent="0.2">
      <c r="B7294" s="1168"/>
    </row>
    <row r="7295" spans="2:2" s="221" customFormat="1" ht="12.75" x14ac:dyDescent="0.2">
      <c r="B7295" s="1168"/>
    </row>
    <row r="7296" spans="2:2" s="221" customFormat="1" ht="12.75" x14ac:dyDescent="0.2">
      <c r="B7296" s="1168"/>
    </row>
    <row r="7297" spans="2:2" s="221" customFormat="1" ht="12.75" x14ac:dyDescent="0.2">
      <c r="B7297" s="1168"/>
    </row>
    <row r="7298" spans="2:2" s="221" customFormat="1" ht="12.75" x14ac:dyDescent="0.2">
      <c r="B7298" s="1168"/>
    </row>
    <row r="7299" spans="2:2" s="221" customFormat="1" ht="12.75" x14ac:dyDescent="0.2">
      <c r="B7299" s="1168"/>
    </row>
    <row r="7300" spans="2:2" s="221" customFormat="1" ht="12.75" x14ac:dyDescent="0.2">
      <c r="B7300" s="1168"/>
    </row>
    <row r="7301" spans="2:2" s="221" customFormat="1" ht="12.75" x14ac:dyDescent="0.2">
      <c r="B7301" s="1168"/>
    </row>
    <row r="7302" spans="2:2" s="221" customFormat="1" ht="12.75" x14ac:dyDescent="0.2">
      <c r="B7302" s="1168"/>
    </row>
    <row r="7303" spans="2:2" s="221" customFormat="1" ht="12.75" x14ac:dyDescent="0.2">
      <c r="B7303" s="1168"/>
    </row>
    <row r="7304" spans="2:2" s="221" customFormat="1" ht="12.75" x14ac:dyDescent="0.2">
      <c r="B7304" s="1168"/>
    </row>
    <row r="7305" spans="2:2" s="221" customFormat="1" ht="12.75" x14ac:dyDescent="0.2">
      <c r="B7305" s="1168"/>
    </row>
    <row r="7306" spans="2:2" s="221" customFormat="1" ht="12.75" x14ac:dyDescent="0.2">
      <c r="B7306" s="1168"/>
    </row>
    <row r="7307" spans="2:2" s="221" customFormat="1" ht="12.75" x14ac:dyDescent="0.2">
      <c r="B7307" s="1168"/>
    </row>
    <row r="7308" spans="2:2" s="221" customFormat="1" ht="12.75" x14ac:dyDescent="0.2">
      <c r="B7308" s="1168"/>
    </row>
    <row r="7309" spans="2:2" s="221" customFormat="1" ht="12.75" x14ac:dyDescent="0.2">
      <c r="B7309" s="1168"/>
    </row>
    <row r="7310" spans="2:2" s="221" customFormat="1" ht="12.75" x14ac:dyDescent="0.2">
      <c r="B7310" s="1168"/>
    </row>
    <row r="7311" spans="2:2" s="221" customFormat="1" ht="12.75" x14ac:dyDescent="0.2">
      <c r="B7311" s="1168"/>
    </row>
    <row r="7312" spans="2:2" s="221" customFormat="1" ht="12.75" x14ac:dyDescent="0.2">
      <c r="B7312" s="1168"/>
    </row>
    <row r="7313" spans="2:2" s="221" customFormat="1" ht="12.75" x14ac:dyDescent="0.2">
      <c r="B7313" s="1168"/>
    </row>
    <row r="7314" spans="2:2" s="221" customFormat="1" ht="12.75" x14ac:dyDescent="0.2">
      <c r="B7314" s="1168"/>
    </row>
    <row r="7315" spans="2:2" s="221" customFormat="1" ht="12.75" x14ac:dyDescent="0.2">
      <c r="B7315" s="1168"/>
    </row>
    <row r="7316" spans="2:2" s="221" customFormat="1" ht="12.75" x14ac:dyDescent="0.2">
      <c r="B7316" s="1168"/>
    </row>
    <row r="7317" spans="2:2" s="221" customFormat="1" ht="12.75" x14ac:dyDescent="0.2">
      <c r="B7317" s="1168"/>
    </row>
    <row r="7318" spans="2:2" s="221" customFormat="1" ht="12.75" x14ac:dyDescent="0.2">
      <c r="B7318" s="1168"/>
    </row>
    <row r="7319" spans="2:2" s="221" customFormat="1" ht="12.75" x14ac:dyDescent="0.2">
      <c r="B7319" s="1168"/>
    </row>
    <row r="7320" spans="2:2" s="221" customFormat="1" ht="12.75" x14ac:dyDescent="0.2">
      <c r="B7320" s="1168"/>
    </row>
    <row r="7321" spans="2:2" s="221" customFormat="1" ht="12.75" x14ac:dyDescent="0.2">
      <c r="B7321" s="1168"/>
    </row>
    <row r="7322" spans="2:2" s="221" customFormat="1" ht="12.75" x14ac:dyDescent="0.2">
      <c r="B7322" s="1168"/>
    </row>
    <row r="7323" spans="2:2" s="221" customFormat="1" ht="12.75" x14ac:dyDescent="0.2">
      <c r="B7323" s="1168"/>
    </row>
    <row r="7324" spans="2:2" s="221" customFormat="1" ht="12.75" x14ac:dyDescent="0.2">
      <c r="B7324" s="1168"/>
    </row>
    <row r="7325" spans="2:2" s="221" customFormat="1" ht="12.75" x14ac:dyDescent="0.2">
      <c r="B7325" s="1168"/>
    </row>
    <row r="7326" spans="2:2" s="221" customFormat="1" ht="12.75" x14ac:dyDescent="0.2">
      <c r="B7326" s="1168"/>
    </row>
    <row r="7327" spans="2:2" s="221" customFormat="1" ht="12.75" x14ac:dyDescent="0.2">
      <c r="B7327" s="1168"/>
    </row>
    <row r="7328" spans="2:2" s="221" customFormat="1" ht="12.75" x14ac:dyDescent="0.2">
      <c r="B7328" s="1168"/>
    </row>
    <row r="7329" spans="2:2" s="221" customFormat="1" ht="12.75" x14ac:dyDescent="0.2">
      <c r="B7329" s="1168"/>
    </row>
    <row r="7330" spans="2:2" s="221" customFormat="1" ht="12.75" x14ac:dyDescent="0.2">
      <c r="B7330" s="1168"/>
    </row>
    <row r="7331" spans="2:2" s="221" customFormat="1" ht="12.75" x14ac:dyDescent="0.2">
      <c r="B7331" s="1168"/>
    </row>
    <row r="7332" spans="2:2" s="221" customFormat="1" ht="12.75" x14ac:dyDescent="0.2">
      <c r="B7332" s="1168"/>
    </row>
    <row r="7333" spans="2:2" s="221" customFormat="1" ht="12.75" x14ac:dyDescent="0.2">
      <c r="B7333" s="1168"/>
    </row>
    <row r="7334" spans="2:2" s="221" customFormat="1" ht="12.75" x14ac:dyDescent="0.2">
      <c r="B7334" s="1168"/>
    </row>
    <row r="7335" spans="2:2" s="221" customFormat="1" ht="12.75" x14ac:dyDescent="0.2">
      <c r="B7335" s="1168"/>
    </row>
    <row r="7336" spans="2:2" s="221" customFormat="1" ht="12.75" x14ac:dyDescent="0.2">
      <c r="B7336" s="1168"/>
    </row>
    <row r="7337" spans="2:2" s="221" customFormat="1" ht="12.75" x14ac:dyDescent="0.2">
      <c r="B7337" s="1168"/>
    </row>
    <row r="7338" spans="2:2" s="221" customFormat="1" ht="12.75" x14ac:dyDescent="0.2">
      <c r="B7338" s="1168"/>
    </row>
    <row r="7339" spans="2:2" s="221" customFormat="1" ht="12.75" x14ac:dyDescent="0.2">
      <c r="B7339" s="1168"/>
    </row>
    <row r="7340" spans="2:2" s="221" customFormat="1" ht="12.75" x14ac:dyDescent="0.2">
      <c r="B7340" s="1168"/>
    </row>
    <row r="7341" spans="2:2" s="221" customFormat="1" ht="12.75" x14ac:dyDescent="0.2">
      <c r="B7341" s="1168"/>
    </row>
    <row r="7342" spans="2:2" s="221" customFormat="1" ht="12.75" x14ac:dyDescent="0.2">
      <c r="B7342" s="1168"/>
    </row>
    <row r="7343" spans="2:2" s="221" customFormat="1" ht="12.75" x14ac:dyDescent="0.2">
      <c r="B7343" s="1168"/>
    </row>
    <row r="7344" spans="2:2" s="221" customFormat="1" ht="12.75" x14ac:dyDescent="0.2">
      <c r="B7344" s="1168"/>
    </row>
    <row r="7345" spans="2:2" s="221" customFormat="1" ht="12.75" x14ac:dyDescent="0.2">
      <c r="B7345" s="1168"/>
    </row>
    <row r="7346" spans="2:2" s="221" customFormat="1" ht="12.75" x14ac:dyDescent="0.2">
      <c r="B7346" s="1168"/>
    </row>
    <row r="7347" spans="2:2" s="221" customFormat="1" ht="12.75" x14ac:dyDescent="0.2">
      <c r="B7347" s="1168"/>
    </row>
    <row r="7348" spans="2:2" s="221" customFormat="1" ht="12.75" x14ac:dyDescent="0.2">
      <c r="B7348" s="1168"/>
    </row>
    <row r="7349" spans="2:2" s="221" customFormat="1" ht="12.75" x14ac:dyDescent="0.2">
      <c r="B7349" s="1168"/>
    </row>
    <row r="7350" spans="2:2" s="221" customFormat="1" ht="12.75" x14ac:dyDescent="0.2">
      <c r="B7350" s="1168"/>
    </row>
    <row r="7351" spans="2:2" s="221" customFormat="1" ht="12.75" x14ac:dyDescent="0.2">
      <c r="B7351" s="1168"/>
    </row>
    <row r="7352" spans="2:2" s="221" customFormat="1" ht="12.75" x14ac:dyDescent="0.2">
      <c r="B7352" s="1168"/>
    </row>
    <row r="7353" spans="2:2" s="221" customFormat="1" ht="12.75" x14ac:dyDescent="0.2">
      <c r="B7353" s="1168"/>
    </row>
    <row r="7354" spans="2:2" s="221" customFormat="1" ht="12.75" x14ac:dyDescent="0.2">
      <c r="B7354" s="1168"/>
    </row>
    <row r="7355" spans="2:2" s="221" customFormat="1" ht="12.75" x14ac:dyDescent="0.2">
      <c r="B7355" s="1168"/>
    </row>
    <row r="7356" spans="2:2" s="221" customFormat="1" ht="12.75" x14ac:dyDescent="0.2">
      <c r="B7356" s="1168"/>
    </row>
    <row r="7357" spans="2:2" s="221" customFormat="1" ht="12.75" x14ac:dyDescent="0.2">
      <c r="B7357" s="1168"/>
    </row>
    <row r="7358" spans="2:2" s="221" customFormat="1" ht="12.75" x14ac:dyDescent="0.2">
      <c r="B7358" s="1168"/>
    </row>
    <row r="7359" spans="2:2" s="221" customFormat="1" ht="12.75" x14ac:dyDescent="0.2">
      <c r="B7359" s="1168"/>
    </row>
    <row r="7360" spans="2:2" s="221" customFormat="1" ht="12.75" x14ac:dyDescent="0.2">
      <c r="B7360" s="1168"/>
    </row>
    <row r="7361" spans="2:2" s="221" customFormat="1" ht="12.75" x14ac:dyDescent="0.2">
      <c r="B7361" s="1168"/>
    </row>
    <row r="7362" spans="2:2" s="221" customFormat="1" ht="12.75" x14ac:dyDescent="0.2">
      <c r="B7362" s="1168"/>
    </row>
    <row r="7363" spans="2:2" s="221" customFormat="1" ht="12.75" x14ac:dyDescent="0.2">
      <c r="B7363" s="1168"/>
    </row>
    <row r="7364" spans="2:2" s="221" customFormat="1" ht="12.75" x14ac:dyDescent="0.2">
      <c r="B7364" s="1168"/>
    </row>
    <row r="7365" spans="2:2" s="221" customFormat="1" ht="12.75" x14ac:dyDescent="0.2">
      <c r="B7365" s="1168"/>
    </row>
    <row r="7366" spans="2:2" s="221" customFormat="1" ht="12.75" x14ac:dyDescent="0.2">
      <c r="B7366" s="1168"/>
    </row>
    <row r="7367" spans="2:2" s="221" customFormat="1" ht="12.75" x14ac:dyDescent="0.2">
      <c r="B7367" s="1168"/>
    </row>
    <row r="7368" spans="2:2" s="221" customFormat="1" ht="12.75" x14ac:dyDescent="0.2">
      <c r="B7368" s="1168"/>
    </row>
    <row r="7369" spans="2:2" s="221" customFormat="1" ht="12.75" x14ac:dyDescent="0.2">
      <c r="B7369" s="1168"/>
    </row>
    <row r="7370" spans="2:2" s="221" customFormat="1" ht="12.75" x14ac:dyDescent="0.2">
      <c r="B7370" s="1168"/>
    </row>
    <row r="7371" spans="2:2" s="221" customFormat="1" ht="12.75" x14ac:dyDescent="0.2">
      <c r="B7371" s="1168"/>
    </row>
    <row r="7372" spans="2:2" s="221" customFormat="1" ht="12.75" x14ac:dyDescent="0.2">
      <c r="B7372" s="1168"/>
    </row>
    <row r="7373" spans="2:2" s="221" customFormat="1" ht="12.75" x14ac:dyDescent="0.2">
      <c r="B7373" s="1168"/>
    </row>
    <row r="7374" spans="2:2" s="221" customFormat="1" ht="12.75" x14ac:dyDescent="0.2">
      <c r="B7374" s="1168"/>
    </row>
    <row r="7375" spans="2:2" s="221" customFormat="1" ht="12.75" x14ac:dyDescent="0.2">
      <c r="B7375" s="1168"/>
    </row>
    <row r="7376" spans="2:2" s="221" customFormat="1" ht="12.75" x14ac:dyDescent="0.2">
      <c r="B7376" s="1168"/>
    </row>
    <row r="7377" spans="2:2" s="221" customFormat="1" ht="12.75" x14ac:dyDescent="0.2">
      <c r="B7377" s="1168"/>
    </row>
    <row r="7378" spans="2:2" s="221" customFormat="1" ht="12.75" x14ac:dyDescent="0.2">
      <c r="B7378" s="1168"/>
    </row>
    <row r="7379" spans="2:2" s="221" customFormat="1" ht="12.75" x14ac:dyDescent="0.2">
      <c r="B7379" s="1168"/>
    </row>
    <row r="7380" spans="2:2" s="221" customFormat="1" ht="12.75" x14ac:dyDescent="0.2">
      <c r="B7380" s="1168"/>
    </row>
    <row r="7381" spans="2:2" s="221" customFormat="1" ht="12.75" x14ac:dyDescent="0.2">
      <c r="B7381" s="1168"/>
    </row>
    <row r="7382" spans="2:2" s="221" customFormat="1" ht="12.75" x14ac:dyDescent="0.2">
      <c r="B7382" s="1168"/>
    </row>
    <row r="7383" spans="2:2" s="221" customFormat="1" ht="12.75" x14ac:dyDescent="0.2">
      <c r="B7383" s="1168"/>
    </row>
    <row r="7384" spans="2:2" s="221" customFormat="1" ht="12.75" x14ac:dyDescent="0.2">
      <c r="B7384" s="1168"/>
    </row>
    <row r="7385" spans="2:2" s="221" customFormat="1" ht="12.75" x14ac:dyDescent="0.2">
      <c r="B7385" s="1168"/>
    </row>
    <row r="7386" spans="2:2" s="221" customFormat="1" ht="12.75" x14ac:dyDescent="0.2">
      <c r="B7386" s="1168"/>
    </row>
    <row r="7387" spans="2:2" s="221" customFormat="1" ht="12.75" x14ac:dyDescent="0.2">
      <c r="B7387" s="1168"/>
    </row>
    <row r="7388" spans="2:2" s="221" customFormat="1" ht="12.75" x14ac:dyDescent="0.2">
      <c r="B7388" s="1168"/>
    </row>
    <row r="7389" spans="2:2" s="221" customFormat="1" ht="12.75" x14ac:dyDescent="0.2">
      <c r="B7389" s="1168"/>
    </row>
    <row r="7390" spans="2:2" s="221" customFormat="1" ht="12.75" x14ac:dyDescent="0.2">
      <c r="B7390" s="1168"/>
    </row>
    <row r="7391" spans="2:2" s="221" customFormat="1" ht="12.75" x14ac:dyDescent="0.2">
      <c r="B7391" s="1168"/>
    </row>
    <row r="7392" spans="2:2" s="221" customFormat="1" ht="12.75" x14ac:dyDescent="0.2">
      <c r="B7392" s="1168"/>
    </row>
    <row r="7393" spans="2:2" s="221" customFormat="1" ht="12.75" x14ac:dyDescent="0.2">
      <c r="B7393" s="1168"/>
    </row>
    <row r="7394" spans="2:2" s="221" customFormat="1" ht="12.75" x14ac:dyDescent="0.2">
      <c r="B7394" s="1168"/>
    </row>
    <row r="7395" spans="2:2" s="221" customFormat="1" ht="12.75" x14ac:dyDescent="0.2">
      <c r="B7395" s="1168"/>
    </row>
    <row r="7396" spans="2:2" s="221" customFormat="1" ht="12.75" x14ac:dyDescent="0.2">
      <c r="B7396" s="1168"/>
    </row>
    <row r="7397" spans="2:2" s="221" customFormat="1" ht="12.75" x14ac:dyDescent="0.2">
      <c r="B7397" s="1168"/>
    </row>
    <row r="7398" spans="2:2" s="221" customFormat="1" ht="12.75" x14ac:dyDescent="0.2">
      <c r="B7398" s="1168"/>
    </row>
    <row r="7399" spans="2:2" s="221" customFormat="1" ht="12.75" x14ac:dyDescent="0.2">
      <c r="B7399" s="1168"/>
    </row>
    <row r="7400" spans="2:2" s="221" customFormat="1" ht="12.75" x14ac:dyDescent="0.2">
      <c r="B7400" s="1168"/>
    </row>
    <row r="7401" spans="2:2" s="221" customFormat="1" ht="12.75" x14ac:dyDescent="0.2">
      <c r="B7401" s="1168"/>
    </row>
    <row r="7402" spans="2:2" s="221" customFormat="1" ht="12.75" x14ac:dyDescent="0.2">
      <c r="B7402" s="1168"/>
    </row>
    <row r="7403" spans="2:2" s="221" customFormat="1" ht="12.75" x14ac:dyDescent="0.2">
      <c r="B7403" s="1168"/>
    </row>
    <row r="7404" spans="2:2" s="221" customFormat="1" ht="12.75" x14ac:dyDescent="0.2">
      <c r="B7404" s="1168"/>
    </row>
    <row r="7405" spans="2:2" s="221" customFormat="1" ht="12.75" x14ac:dyDescent="0.2">
      <c r="B7405" s="1168"/>
    </row>
    <row r="7406" spans="2:2" s="221" customFormat="1" ht="12.75" x14ac:dyDescent="0.2">
      <c r="B7406" s="1168"/>
    </row>
    <row r="7407" spans="2:2" s="221" customFormat="1" ht="12.75" x14ac:dyDescent="0.2">
      <c r="B7407" s="1168"/>
    </row>
    <row r="7408" spans="2:2" s="221" customFormat="1" ht="12.75" x14ac:dyDescent="0.2">
      <c r="B7408" s="1168"/>
    </row>
    <row r="7409" spans="2:2" s="221" customFormat="1" ht="12.75" x14ac:dyDescent="0.2">
      <c r="B7409" s="1168"/>
    </row>
    <row r="7410" spans="2:2" s="221" customFormat="1" ht="12.75" x14ac:dyDescent="0.2">
      <c r="B7410" s="1168"/>
    </row>
    <row r="7411" spans="2:2" s="221" customFormat="1" ht="12.75" x14ac:dyDescent="0.2">
      <c r="B7411" s="1168"/>
    </row>
    <row r="7412" spans="2:2" s="221" customFormat="1" ht="12.75" x14ac:dyDescent="0.2">
      <c r="B7412" s="1168"/>
    </row>
    <row r="7413" spans="2:2" s="221" customFormat="1" ht="12.75" x14ac:dyDescent="0.2">
      <c r="B7413" s="1168"/>
    </row>
    <row r="7414" spans="2:2" s="221" customFormat="1" ht="12.75" x14ac:dyDescent="0.2">
      <c r="B7414" s="1168"/>
    </row>
    <row r="7415" spans="2:2" s="221" customFormat="1" ht="12.75" x14ac:dyDescent="0.2">
      <c r="B7415" s="1168"/>
    </row>
    <row r="7416" spans="2:2" s="221" customFormat="1" ht="12.75" x14ac:dyDescent="0.2">
      <c r="B7416" s="1168"/>
    </row>
    <row r="7417" spans="2:2" s="221" customFormat="1" ht="12.75" x14ac:dyDescent="0.2">
      <c r="B7417" s="1168"/>
    </row>
    <row r="7418" spans="2:2" s="221" customFormat="1" ht="12.75" x14ac:dyDescent="0.2">
      <c r="B7418" s="1168"/>
    </row>
    <row r="7419" spans="2:2" s="221" customFormat="1" ht="12.75" x14ac:dyDescent="0.2">
      <c r="B7419" s="1168"/>
    </row>
    <row r="7420" spans="2:2" s="221" customFormat="1" ht="12.75" x14ac:dyDescent="0.2">
      <c r="B7420" s="1168"/>
    </row>
    <row r="7421" spans="2:2" s="221" customFormat="1" ht="12.75" x14ac:dyDescent="0.2">
      <c r="B7421" s="1168"/>
    </row>
    <row r="7422" spans="2:2" s="221" customFormat="1" ht="12.75" x14ac:dyDescent="0.2">
      <c r="B7422" s="1168"/>
    </row>
    <row r="7423" spans="2:2" s="221" customFormat="1" ht="12.75" x14ac:dyDescent="0.2">
      <c r="B7423" s="1168"/>
    </row>
    <row r="7424" spans="2:2" s="221" customFormat="1" ht="12.75" x14ac:dyDescent="0.2">
      <c r="B7424" s="1168"/>
    </row>
    <row r="7425" spans="2:2" s="221" customFormat="1" ht="12.75" x14ac:dyDescent="0.2">
      <c r="B7425" s="1168"/>
    </row>
    <row r="7426" spans="2:2" s="221" customFormat="1" ht="12.75" x14ac:dyDescent="0.2">
      <c r="B7426" s="1168"/>
    </row>
    <row r="7427" spans="2:2" s="221" customFormat="1" ht="12.75" x14ac:dyDescent="0.2">
      <c r="B7427" s="1168"/>
    </row>
    <row r="7428" spans="2:2" s="221" customFormat="1" ht="12.75" x14ac:dyDescent="0.2">
      <c r="B7428" s="1168"/>
    </row>
    <row r="7429" spans="2:2" s="221" customFormat="1" ht="12.75" x14ac:dyDescent="0.2">
      <c r="B7429" s="1168"/>
    </row>
    <row r="7430" spans="2:2" s="221" customFormat="1" ht="12.75" x14ac:dyDescent="0.2">
      <c r="B7430" s="1168"/>
    </row>
    <row r="7431" spans="2:2" s="221" customFormat="1" ht="12.75" x14ac:dyDescent="0.2">
      <c r="B7431" s="1168"/>
    </row>
    <row r="7432" spans="2:2" s="221" customFormat="1" ht="12.75" x14ac:dyDescent="0.2">
      <c r="B7432" s="1168"/>
    </row>
    <row r="7433" spans="2:2" s="221" customFormat="1" ht="12.75" x14ac:dyDescent="0.2">
      <c r="B7433" s="1168"/>
    </row>
    <row r="7434" spans="2:2" s="221" customFormat="1" ht="12.75" x14ac:dyDescent="0.2">
      <c r="B7434" s="1168"/>
    </row>
    <row r="7435" spans="2:2" s="221" customFormat="1" ht="12.75" x14ac:dyDescent="0.2">
      <c r="B7435" s="1168"/>
    </row>
    <row r="7436" spans="2:2" s="221" customFormat="1" ht="12.75" x14ac:dyDescent="0.2">
      <c r="B7436" s="1168"/>
    </row>
    <row r="7437" spans="2:2" s="221" customFormat="1" ht="12.75" x14ac:dyDescent="0.2">
      <c r="B7437" s="1168"/>
    </row>
    <row r="7438" spans="2:2" s="221" customFormat="1" ht="12.75" x14ac:dyDescent="0.2">
      <c r="B7438" s="1168"/>
    </row>
    <row r="7439" spans="2:2" s="221" customFormat="1" ht="12.75" x14ac:dyDescent="0.2">
      <c r="B7439" s="1168"/>
    </row>
    <row r="7440" spans="2:2" s="221" customFormat="1" ht="12.75" x14ac:dyDescent="0.2">
      <c r="B7440" s="1168"/>
    </row>
    <row r="7441" spans="2:2" s="221" customFormat="1" ht="12.75" x14ac:dyDescent="0.2">
      <c r="B7441" s="1168"/>
    </row>
    <row r="7442" spans="2:2" s="221" customFormat="1" ht="12.75" x14ac:dyDescent="0.2">
      <c r="B7442" s="1168"/>
    </row>
    <row r="7443" spans="2:2" s="221" customFormat="1" ht="12.75" x14ac:dyDescent="0.2">
      <c r="B7443" s="1168"/>
    </row>
    <row r="7444" spans="2:2" s="221" customFormat="1" ht="12.75" x14ac:dyDescent="0.2">
      <c r="B7444" s="1168"/>
    </row>
    <row r="7445" spans="2:2" s="221" customFormat="1" ht="12.75" x14ac:dyDescent="0.2">
      <c r="B7445" s="1168"/>
    </row>
    <row r="7446" spans="2:2" s="221" customFormat="1" ht="12.75" x14ac:dyDescent="0.2">
      <c r="B7446" s="1168"/>
    </row>
    <row r="7447" spans="2:2" s="221" customFormat="1" ht="12.75" x14ac:dyDescent="0.2">
      <c r="B7447" s="1168"/>
    </row>
    <row r="7448" spans="2:2" s="221" customFormat="1" ht="12.75" x14ac:dyDescent="0.2">
      <c r="B7448" s="1168"/>
    </row>
    <row r="7449" spans="2:2" s="221" customFormat="1" ht="12.75" x14ac:dyDescent="0.2">
      <c r="B7449" s="1168"/>
    </row>
    <row r="7450" spans="2:2" s="221" customFormat="1" ht="12.75" x14ac:dyDescent="0.2">
      <c r="B7450" s="1168"/>
    </row>
    <row r="7451" spans="2:2" s="221" customFormat="1" ht="12.75" x14ac:dyDescent="0.2">
      <c r="B7451" s="1168"/>
    </row>
    <row r="7452" spans="2:2" s="221" customFormat="1" ht="12.75" x14ac:dyDescent="0.2">
      <c r="B7452" s="1168"/>
    </row>
    <row r="7453" spans="2:2" s="221" customFormat="1" ht="12.75" x14ac:dyDescent="0.2">
      <c r="B7453" s="1168"/>
    </row>
    <row r="7454" spans="2:2" s="221" customFormat="1" ht="12.75" x14ac:dyDescent="0.2">
      <c r="B7454" s="1168"/>
    </row>
    <row r="7455" spans="2:2" s="221" customFormat="1" ht="12.75" x14ac:dyDescent="0.2">
      <c r="B7455" s="1168"/>
    </row>
    <row r="7456" spans="2:2" s="221" customFormat="1" ht="12.75" x14ac:dyDescent="0.2">
      <c r="B7456" s="1168"/>
    </row>
    <row r="7457" spans="2:2" s="221" customFormat="1" ht="12.75" x14ac:dyDescent="0.2">
      <c r="B7457" s="1168"/>
    </row>
    <row r="7458" spans="2:2" s="221" customFormat="1" ht="12.75" x14ac:dyDescent="0.2">
      <c r="B7458" s="1168"/>
    </row>
    <row r="7459" spans="2:2" s="221" customFormat="1" ht="12.75" x14ac:dyDescent="0.2">
      <c r="B7459" s="1168"/>
    </row>
    <row r="7460" spans="2:2" s="221" customFormat="1" ht="12.75" x14ac:dyDescent="0.2">
      <c r="B7460" s="1168"/>
    </row>
    <row r="7461" spans="2:2" s="221" customFormat="1" ht="12.75" x14ac:dyDescent="0.2">
      <c r="B7461" s="1168"/>
    </row>
    <row r="7462" spans="2:2" s="221" customFormat="1" ht="12.75" x14ac:dyDescent="0.2">
      <c r="B7462" s="1168"/>
    </row>
    <row r="7463" spans="2:2" s="221" customFormat="1" ht="12.75" x14ac:dyDescent="0.2">
      <c r="B7463" s="1168"/>
    </row>
    <row r="7464" spans="2:2" s="221" customFormat="1" ht="12.75" x14ac:dyDescent="0.2">
      <c r="B7464" s="1168"/>
    </row>
    <row r="7465" spans="2:2" s="221" customFormat="1" ht="12.75" x14ac:dyDescent="0.2">
      <c r="B7465" s="1168"/>
    </row>
    <row r="7466" spans="2:2" s="221" customFormat="1" ht="12.75" x14ac:dyDescent="0.2">
      <c r="B7466" s="1168"/>
    </row>
    <row r="7467" spans="2:2" s="221" customFormat="1" ht="12.75" x14ac:dyDescent="0.2">
      <c r="B7467" s="1168"/>
    </row>
    <row r="7468" spans="2:2" s="221" customFormat="1" ht="12.75" x14ac:dyDescent="0.2">
      <c r="B7468" s="1168"/>
    </row>
    <row r="7469" spans="2:2" s="221" customFormat="1" ht="12.75" x14ac:dyDescent="0.2">
      <c r="B7469" s="1168"/>
    </row>
    <row r="7470" spans="2:2" s="221" customFormat="1" ht="12.75" x14ac:dyDescent="0.2">
      <c r="B7470" s="1168"/>
    </row>
    <row r="7471" spans="2:2" s="221" customFormat="1" ht="12.75" x14ac:dyDescent="0.2">
      <c r="B7471" s="1168"/>
    </row>
    <row r="7472" spans="2:2" s="221" customFormat="1" ht="12.75" x14ac:dyDescent="0.2">
      <c r="B7472" s="1168"/>
    </row>
    <row r="7473" spans="2:2" s="221" customFormat="1" ht="12.75" x14ac:dyDescent="0.2">
      <c r="B7473" s="1168"/>
    </row>
    <row r="7474" spans="2:2" s="221" customFormat="1" ht="12.75" x14ac:dyDescent="0.2">
      <c r="B7474" s="1168"/>
    </row>
    <row r="7475" spans="2:2" s="221" customFormat="1" ht="12.75" x14ac:dyDescent="0.2">
      <c r="B7475" s="1168"/>
    </row>
    <row r="7476" spans="2:2" s="221" customFormat="1" ht="12.75" x14ac:dyDescent="0.2">
      <c r="B7476" s="1168"/>
    </row>
    <row r="7477" spans="2:2" s="221" customFormat="1" ht="12.75" x14ac:dyDescent="0.2">
      <c r="B7477" s="1168"/>
    </row>
    <row r="7478" spans="2:2" s="221" customFormat="1" ht="12.75" x14ac:dyDescent="0.2">
      <c r="B7478" s="1168"/>
    </row>
    <row r="7479" spans="2:2" s="221" customFormat="1" ht="12.75" x14ac:dyDescent="0.2">
      <c r="B7479" s="1168"/>
    </row>
    <row r="7480" spans="2:2" s="221" customFormat="1" ht="12.75" x14ac:dyDescent="0.2">
      <c r="B7480" s="1168"/>
    </row>
    <row r="7481" spans="2:2" s="221" customFormat="1" ht="12.75" x14ac:dyDescent="0.2">
      <c r="B7481" s="1168"/>
    </row>
    <row r="7482" spans="2:2" s="221" customFormat="1" ht="12.75" x14ac:dyDescent="0.2">
      <c r="B7482" s="1168"/>
    </row>
    <row r="7483" spans="2:2" s="221" customFormat="1" ht="12.75" x14ac:dyDescent="0.2">
      <c r="B7483" s="1168"/>
    </row>
    <row r="7484" spans="2:2" s="221" customFormat="1" ht="12.75" x14ac:dyDescent="0.2">
      <c r="B7484" s="1168"/>
    </row>
    <row r="7485" spans="2:2" s="221" customFormat="1" ht="12.75" x14ac:dyDescent="0.2">
      <c r="B7485" s="1168"/>
    </row>
    <row r="7486" spans="2:2" s="221" customFormat="1" ht="12.75" x14ac:dyDescent="0.2">
      <c r="B7486" s="1168"/>
    </row>
    <row r="7487" spans="2:2" s="221" customFormat="1" ht="12.75" x14ac:dyDescent="0.2">
      <c r="B7487" s="1168"/>
    </row>
    <row r="7488" spans="2:2" s="221" customFormat="1" ht="12.75" x14ac:dyDescent="0.2">
      <c r="B7488" s="1168"/>
    </row>
    <row r="7489" spans="2:2" s="221" customFormat="1" ht="12.75" x14ac:dyDescent="0.2">
      <c r="B7489" s="1168"/>
    </row>
    <row r="7490" spans="2:2" s="221" customFormat="1" ht="12.75" x14ac:dyDescent="0.2">
      <c r="B7490" s="1168"/>
    </row>
    <row r="7491" spans="2:2" s="221" customFormat="1" ht="12.75" x14ac:dyDescent="0.2">
      <c r="B7491" s="1168"/>
    </row>
    <row r="7492" spans="2:2" s="221" customFormat="1" ht="12.75" x14ac:dyDescent="0.2">
      <c r="B7492" s="1168"/>
    </row>
    <row r="7493" spans="2:2" s="221" customFormat="1" ht="12.75" x14ac:dyDescent="0.2">
      <c r="B7493" s="1168"/>
    </row>
    <row r="7494" spans="2:2" s="221" customFormat="1" ht="12.75" x14ac:dyDescent="0.2">
      <c r="B7494" s="1168"/>
    </row>
    <row r="7495" spans="2:2" s="221" customFormat="1" ht="12.75" x14ac:dyDescent="0.2">
      <c r="B7495" s="1168"/>
    </row>
    <row r="7496" spans="2:2" s="221" customFormat="1" ht="12.75" x14ac:dyDescent="0.2">
      <c r="B7496" s="1168"/>
    </row>
    <row r="7497" spans="2:2" s="221" customFormat="1" ht="12.75" x14ac:dyDescent="0.2">
      <c r="B7497" s="1168"/>
    </row>
    <row r="7498" spans="2:2" s="221" customFormat="1" ht="12.75" x14ac:dyDescent="0.2">
      <c r="B7498" s="1168"/>
    </row>
    <row r="7499" spans="2:2" s="221" customFormat="1" ht="12.75" x14ac:dyDescent="0.2">
      <c r="B7499" s="1168"/>
    </row>
    <row r="7500" spans="2:2" s="221" customFormat="1" ht="12.75" x14ac:dyDescent="0.2">
      <c r="B7500" s="1168"/>
    </row>
    <row r="7501" spans="2:2" s="221" customFormat="1" ht="12.75" x14ac:dyDescent="0.2">
      <c r="B7501" s="1168"/>
    </row>
    <row r="7502" spans="2:2" s="221" customFormat="1" ht="12.75" x14ac:dyDescent="0.2">
      <c r="B7502" s="1168"/>
    </row>
    <row r="7503" spans="2:2" s="221" customFormat="1" ht="12.75" x14ac:dyDescent="0.2">
      <c r="B7503" s="1168"/>
    </row>
    <row r="7504" spans="2:2" s="221" customFormat="1" ht="12.75" x14ac:dyDescent="0.2">
      <c r="B7504" s="1168"/>
    </row>
    <row r="7505" spans="2:2" s="221" customFormat="1" ht="12.75" x14ac:dyDescent="0.2">
      <c r="B7505" s="1168"/>
    </row>
    <row r="7506" spans="2:2" s="221" customFormat="1" ht="12.75" x14ac:dyDescent="0.2">
      <c r="B7506" s="1168"/>
    </row>
    <row r="7507" spans="2:2" s="221" customFormat="1" ht="12.75" x14ac:dyDescent="0.2">
      <c r="B7507" s="1168"/>
    </row>
    <row r="7508" spans="2:2" s="221" customFormat="1" ht="12.75" x14ac:dyDescent="0.2">
      <c r="B7508" s="1168"/>
    </row>
    <row r="7509" spans="2:2" s="221" customFormat="1" ht="12.75" x14ac:dyDescent="0.2">
      <c r="B7509" s="1168"/>
    </row>
    <row r="7510" spans="2:2" s="221" customFormat="1" ht="12.75" x14ac:dyDescent="0.2">
      <c r="B7510" s="1168"/>
    </row>
    <row r="7511" spans="2:2" s="221" customFormat="1" ht="12.75" x14ac:dyDescent="0.2">
      <c r="B7511" s="1168"/>
    </row>
    <row r="7512" spans="2:2" s="221" customFormat="1" ht="12.75" x14ac:dyDescent="0.2">
      <c r="B7512" s="1168"/>
    </row>
    <row r="7513" spans="2:2" s="221" customFormat="1" ht="12.75" x14ac:dyDescent="0.2">
      <c r="B7513" s="1168"/>
    </row>
    <row r="7514" spans="2:2" s="221" customFormat="1" ht="12.75" x14ac:dyDescent="0.2">
      <c r="B7514" s="1168"/>
    </row>
    <row r="7515" spans="2:2" s="221" customFormat="1" ht="12.75" x14ac:dyDescent="0.2">
      <c r="B7515" s="1168"/>
    </row>
    <row r="7516" spans="2:2" s="221" customFormat="1" ht="12.75" x14ac:dyDescent="0.2">
      <c r="B7516" s="1168"/>
    </row>
    <row r="7517" spans="2:2" s="221" customFormat="1" ht="12.75" x14ac:dyDescent="0.2">
      <c r="B7517" s="1168"/>
    </row>
    <row r="7518" spans="2:2" s="221" customFormat="1" ht="12.75" x14ac:dyDescent="0.2">
      <c r="B7518" s="1168"/>
    </row>
    <row r="7519" spans="2:2" s="221" customFormat="1" ht="12.75" x14ac:dyDescent="0.2">
      <c r="B7519" s="1168"/>
    </row>
    <row r="7520" spans="2:2" s="221" customFormat="1" ht="12.75" x14ac:dyDescent="0.2">
      <c r="B7520" s="1168"/>
    </row>
    <row r="7521" spans="2:2" s="221" customFormat="1" ht="12.75" x14ac:dyDescent="0.2">
      <c r="B7521" s="1168"/>
    </row>
    <row r="7522" spans="2:2" s="221" customFormat="1" ht="12.75" x14ac:dyDescent="0.2">
      <c r="B7522" s="1168"/>
    </row>
    <row r="7523" spans="2:2" s="221" customFormat="1" ht="12.75" x14ac:dyDescent="0.2">
      <c r="B7523" s="1168"/>
    </row>
    <row r="7524" spans="2:2" s="221" customFormat="1" ht="12.75" x14ac:dyDescent="0.2">
      <c r="B7524" s="1168"/>
    </row>
    <row r="7525" spans="2:2" s="221" customFormat="1" ht="12.75" x14ac:dyDescent="0.2">
      <c r="B7525" s="1168"/>
    </row>
    <row r="7526" spans="2:2" s="221" customFormat="1" ht="12.75" x14ac:dyDescent="0.2">
      <c r="B7526" s="1168"/>
    </row>
    <row r="7527" spans="2:2" s="221" customFormat="1" ht="12.75" x14ac:dyDescent="0.2">
      <c r="B7527" s="1168"/>
    </row>
    <row r="7528" spans="2:2" s="221" customFormat="1" ht="12.75" x14ac:dyDescent="0.2">
      <c r="B7528" s="1168"/>
    </row>
    <row r="7529" spans="2:2" s="221" customFormat="1" ht="12.75" x14ac:dyDescent="0.2">
      <c r="B7529" s="1168"/>
    </row>
    <row r="7530" spans="2:2" s="221" customFormat="1" ht="12.75" x14ac:dyDescent="0.2">
      <c r="B7530" s="1168"/>
    </row>
    <row r="7531" spans="2:2" s="221" customFormat="1" ht="12.75" x14ac:dyDescent="0.2">
      <c r="B7531" s="1168"/>
    </row>
    <row r="7532" spans="2:2" s="221" customFormat="1" ht="12.75" x14ac:dyDescent="0.2">
      <c r="B7532" s="1168"/>
    </row>
    <row r="7533" spans="2:2" s="221" customFormat="1" ht="12.75" x14ac:dyDescent="0.2">
      <c r="B7533" s="1168"/>
    </row>
    <row r="7534" spans="2:2" s="221" customFormat="1" ht="12.75" x14ac:dyDescent="0.2">
      <c r="B7534" s="1168"/>
    </row>
    <row r="7535" spans="2:2" s="221" customFormat="1" ht="12.75" x14ac:dyDescent="0.2">
      <c r="B7535" s="1168"/>
    </row>
    <row r="7536" spans="2:2" s="221" customFormat="1" ht="12.75" x14ac:dyDescent="0.2">
      <c r="B7536" s="1168"/>
    </row>
    <row r="7537" spans="2:2" s="221" customFormat="1" ht="12.75" x14ac:dyDescent="0.2">
      <c r="B7537" s="1168"/>
    </row>
    <row r="7538" spans="2:2" s="221" customFormat="1" ht="12.75" x14ac:dyDescent="0.2">
      <c r="B7538" s="1168"/>
    </row>
    <row r="7539" spans="2:2" s="221" customFormat="1" ht="12.75" x14ac:dyDescent="0.2">
      <c r="B7539" s="1168"/>
    </row>
    <row r="7540" spans="2:2" s="221" customFormat="1" ht="12.75" x14ac:dyDescent="0.2">
      <c r="B7540" s="1168"/>
    </row>
    <row r="7541" spans="2:2" s="221" customFormat="1" ht="12.75" x14ac:dyDescent="0.2">
      <c r="B7541" s="1168"/>
    </row>
    <row r="7542" spans="2:2" s="221" customFormat="1" ht="12.75" x14ac:dyDescent="0.2">
      <c r="B7542" s="1168"/>
    </row>
    <row r="7543" spans="2:2" s="221" customFormat="1" ht="12.75" x14ac:dyDescent="0.2">
      <c r="B7543" s="1168"/>
    </row>
    <row r="7544" spans="2:2" s="221" customFormat="1" ht="12.75" x14ac:dyDescent="0.2">
      <c r="B7544" s="1168"/>
    </row>
    <row r="7545" spans="2:2" s="221" customFormat="1" ht="12.75" x14ac:dyDescent="0.2">
      <c r="B7545" s="1168"/>
    </row>
    <row r="7546" spans="2:2" s="221" customFormat="1" ht="12.75" x14ac:dyDescent="0.2">
      <c r="B7546" s="1168"/>
    </row>
    <row r="7547" spans="2:2" s="221" customFormat="1" ht="12.75" x14ac:dyDescent="0.2">
      <c r="B7547" s="1168"/>
    </row>
    <row r="7548" spans="2:2" s="221" customFormat="1" ht="12.75" x14ac:dyDescent="0.2">
      <c r="B7548" s="1168"/>
    </row>
    <row r="7549" spans="2:2" s="221" customFormat="1" ht="12.75" x14ac:dyDescent="0.2">
      <c r="B7549" s="1168"/>
    </row>
    <row r="7550" spans="2:2" s="221" customFormat="1" ht="12.75" x14ac:dyDescent="0.2">
      <c r="B7550" s="1168"/>
    </row>
    <row r="7551" spans="2:2" s="221" customFormat="1" ht="12.75" x14ac:dyDescent="0.2">
      <c r="B7551" s="1168"/>
    </row>
    <row r="7552" spans="2:2" s="221" customFormat="1" ht="12.75" x14ac:dyDescent="0.2">
      <c r="B7552" s="1168"/>
    </row>
    <row r="7553" spans="2:2" s="221" customFormat="1" ht="12.75" x14ac:dyDescent="0.2">
      <c r="B7553" s="1168"/>
    </row>
    <row r="7554" spans="2:2" s="221" customFormat="1" ht="12.75" x14ac:dyDescent="0.2">
      <c r="B7554" s="1168"/>
    </row>
    <row r="7555" spans="2:2" s="221" customFormat="1" ht="12.75" x14ac:dyDescent="0.2">
      <c r="B7555" s="1168"/>
    </row>
    <row r="7556" spans="2:2" s="221" customFormat="1" ht="12.75" x14ac:dyDescent="0.2">
      <c r="B7556" s="1168"/>
    </row>
    <row r="7557" spans="2:2" s="221" customFormat="1" ht="12.75" x14ac:dyDescent="0.2">
      <c r="B7557" s="1168"/>
    </row>
    <row r="7558" spans="2:2" s="221" customFormat="1" ht="12.75" x14ac:dyDescent="0.2">
      <c r="B7558" s="1168"/>
    </row>
    <row r="7559" spans="2:2" s="221" customFormat="1" ht="12.75" x14ac:dyDescent="0.2">
      <c r="B7559" s="1168"/>
    </row>
    <row r="7560" spans="2:2" s="221" customFormat="1" ht="12.75" x14ac:dyDescent="0.2">
      <c r="B7560" s="1168"/>
    </row>
    <row r="7561" spans="2:2" s="221" customFormat="1" ht="12.75" x14ac:dyDescent="0.2">
      <c r="B7561" s="1168"/>
    </row>
    <row r="7562" spans="2:2" s="221" customFormat="1" ht="12.75" x14ac:dyDescent="0.2">
      <c r="B7562" s="1168"/>
    </row>
    <row r="7563" spans="2:2" s="221" customFormat="1" ht="12.75" x14ac:dyDescent="0.2">
      <c r="B7563" s="1168"/>
    </row>
    <row r="7564" spans="2:2" s="221" customFormat="1" ht="12.75" x14ac:dyDescent="0.2">
      <c r="B7564" s="1168"/>
    </row>
    <row r="7565" spans="2:2" s="221" customFormat="1" ht="12.75" x14ac:dyDescent="0.2">
      <c r="B7565" s="1168"/>
    </row>
    <row r="7566" spans="2:2" s="221" customFormat="1" ht="12.75" x14ac:dyDescent="0.2">
      <c r="B7566" s="1168"/>
    </row>
    <row r="7567" spans="2:2" s="221" customFormat="1" ht="12.75" x14ac:dyDescent="0.2">
      <c r="B7567" s="1168"/>
    </row>
    <row r="7568" spans="2:2" s="221" customFormat="1" ht="12.75" x14ac:dyDescent="0.2">
      <c r="B7568" s="1168"/>
    </row>
    <row r="7569" spans="2:2" s="221" customFormat="1" ht="12.75" x14ac:dyDescent="0.2">
      <c r="B7569" s="1168"/>
    </row>
    <row r="7570" spans="2:2" s="221" customFormat="1" ht="12.75" x14ac:dyDescent="0.2">
      <c r="B7570" s="1168"/>
    </row>
    <row r="7571" spans="2:2" s="221" customFormat="1" ht="12.75" x14ac:dyDescent="0.2">
      <c r="B7571" s="1168"/>
    </row>
    <row r="7572" spans="2:2" s="221" customFormat="1" ht="12.75" x14ac:dyDescent="0.2">
      <c r="B7572" s="1168"/>
    </row>
    <row r="7573" spans="2:2" s="221" customFormat="1" ht="12.75" x14ac:dyDescent="0.2">
      <c r="B7573" s="1168"/>
    </row>
    <row r="7574" spans="2:2" s="221" customFormat="1" ht="12.75" x14ac:dyDescent="0.2">
      <c r="B7574" s="1168"/>
    </row>
    <row r="7575" spans="2:2" s="221" customFormat="1" ht="12.75" x14ac:dyDescent="0.2">
      <c r="B7575" s="1168"/>
    </row>
    <row r="7576" spans="2:2" s="221" customFormat="1" ht="12.75" x14ac:dyDescent="0.2">
      <c r="B7576" s="1168"/>
    </row>
    <row r="7577" spans="2:2" s="221" customFormat="1" ht="12.75" x14ac:dyDescent="0.2">
      <c r="B7577" s="1168"/>
    </row>
    <row r="7578" spans="2:2" s="221" customFormat="1" ht="12.75" x14ac:dyDescent="0.2">
      <c r="B7578" s="1168"/>
    </row>
    <row r="7579" spans="2:2" s="221" customFormat="1" ht="12.75" x14ac:dyDescent="0.2">
      <c r="B7579" s="1168"/>
    </row>
    <row r="7580" spans="2:2" s="221" customFormat="1" ht="12.75" x14ac:dyDescent="0.2">
      <c r="B7580" s="1168"/>
    </row>
    <row r="7581" spans="2:2" s="221" customFormat="1" ht="12.75" x14ac:dyDescent="0.2">
      <c r="B7581" s="1168"/>
    </row>
    <row r="7582" spans="2:2" s="221" customFormat="1" ht="12.75" x14ac:dyDescent="0.2">
      <c r="B7582" s="1168"/>
    </row>
    <row r="7583" spans="2:2" s="221" customFormat="1" ht="12.75" x14ac:dyDescent="0.2">
      <c r="B7583" s="1168"/>
    </row>
    <row r="7584" spans="2:2" s="221" customFormat="1" ht="12.75" x14ac:dyDescent="0.2">
      <c r="B7584" s="1168"/>
    </row>
    <row r="7585" spans="2:2" s="221" customFormat="1" ht="12.75" x14ac:dyDescent="0.2">
      <c r="B7585" s="1168"/>
    </row>
    <row r="7586" spans="2:2" s="221" customFormat="1" ht="12.75" x14ac:dyDescent="0.2">
      <c r="B7586" s="1168"/>
    </row>
    <row r="7587" spans="2:2" s="221" customFormat="1" ht="12.75" x14ac:dyDescent="0.2">
      <c r="B7587" s="1168"/>
    </row>
    <row r="7588" spans="2:2" s="221" customFormat="1" ht="12.75" x14ac:dyDescent="0.2">
      <c r="B7588" s="1168"/>
    </row>
    <row r="7589" spans="2:2" s="221" customFormat="1" ht="12.75" x14ac:dyDescent="0.2">
      <c r="B7589" s="1168"/>
    </row>
    <row r="7590" spans="2:2" s="221" customFormat="1" ht="12.75" x14ac:dyDescent="0.2">
      <c r="B7590" s="1168"/>
    </row>
    <row r="7591" spans="2:2" s="221" customFormat="1" ht="12.75" x14ac:dyDescent="0.2">
      <c r="B7591" s="1168"/>
    </row>
    <row r="7592" spans="2:2" s="221" customFormat="1" ht="12.75" x14ac:dyDescent="0.2">
      <c r="B7592" s="1168"/>
    </row>
    <row r="7593" spans="2:2" s="221" customFormat="1" ht="12.75" x14ac:dyDescent="0.2">
      <c r="B7593" s="1168"/>
    </row>
    <row r="7594" spans="2:2" s="221" customFormat="1" ht="12.75" x14ac:dyDescent="0.2">
      <c r="B7594" s="1168"/>
    </row>
    <row r="7595" spans="2:2" s="221" customFormat="1" ht="12.75" x14ac:dyDescent="0.2">
      <c r="B7595" s="1168"/>
    </row>
    <row r="7596" spans="2:2" s="221" customFormat="1" ht="12.75" x14ac:dyDescent="0.2">
      <c r="B7596" s="1168"/>
    </row>
    <row r="7597" spans="2:2" s="221" customFormat="1" ht="12.75" x14ac:dyDescent="0.2">
      <c r="B7597" s="1168"/>
    </row>
    <row r="7598" spans="2:2" s="221" customFormat="1" ht="12.75" x14ac:dyDescent="0.2">
      <c r="B7598" s="1168"/>
    </row>
    <row r="7599" spans="2:2" s="221" customFormat="1" ht="12.75" x14ac:dyDescent="0.2">
      <c r="B7599" s="1168"/>
    </row>
    <row r="7600" spans="2:2" s="221" customFormat="1" ht="12.75" x14ac:dyDescent="0.2">
      <c r="B7600" s="1168"/>
    </row>
    <row r="7601" spans="2:2" s="221" customFormat="1" ht="12.75" x14ac:dyDescent="0.2">
      <c r="B7601" s="1168"/>
    </row>
    <row r="7602" spans="2:2" s="221" customFormat="1" ht="12.75" x14ac:dyDescent="0.2">
      <c r="B7602" s="1168"/>
    </row>
    <row r="7603" spans="2:2" s="221" customFormat="1" ht="12.75" x14ac:dyDescent="0.2">
      <c r="B7603" s="1168"/>
    </row>
    <row r="7604" spans="2:2" s="221" customFormat="1" ht="12.75" x14ac:dyDescent="0.2">
      <c r="B7604" s="1168"/>
    </row>
    <row r="7605" spans="2:2" s="221" customFormat="1" ht="12.75" x14ac:dyDescent="0.2">
      <c r="B7605" s="1168"/>
    </row>
    <row r="7606" spans="2:2" s="221" customFormat="1" ht="12.75" x14ac:dyDescent="0.2">
      <c r="B7606" s="1168"/>
    </row>
    <row r="7607" spans="2:2" s="221" customFormat="1" ht="12.75" x14ac:dyDescent="0.2">
      <c r="B7607" s="1168"/>
    </row>
    <row r="7608" spans="2:2" s="221" customFormat="1" ht="12.75" x14ac:dyDescent="0.2">
      <c r="B7608" s="1168"/>
    </row>
    <row r="7609" spans="2:2" s="221" customFormat="1" ht="12.75" x14ac:dyDescent="0.2">
      <c r="B7609" s="1168"/>
    </row>
    <row r="7610" spans="2:2" s="221" customFormat="1" ht="12.75" x14ac:dyDescent="0.2">
      <c r="B7610" s="1168"/>
    </row>
    <row r="7611" spans="2:2" s="221" customFormat="1" ht="12.75" x14ac:dyDescent="0.2">
      <c r="B7611" s="1168"/>
    </row>
    <row r="7612" spans="2:2" s="221" customFormat="1" ht="12.75" x14ac:dyDescent="0.2">
      <c r="B7612" s="1168"/>
    </row>
    <row r="7613" spans="2:2" s="221" customFormat="1" ht="12.75" x14ac:dyDescent="0.2">
      <c r="B7613" s="1168"/>
    </row>
    <row r="7614" spans="2:2" s="221" customFormat="1" ht="12.75" x14ac:dyDescent="0.2">
      <c r="B7614" s="1168"/>
    </row>
    <row r="7615" spans="2:2" s="221" customFormat="1" ht="12.75" x14ac:dyDescent="0.2">
      <c r="B7615" s="1168"/>
    </row>
    <row r="7616" spans="2:2" s="221" customFormat="1" ht="12.75" x14ac:dyDescent="0.2">
      <c r="B7616" s="1168"/>
    </row>
    <row r="7617" spans="2:2" s="221" customFormat="1" ht="12.75" x14ac:dyDescent="0.2">
      <c r="B7617" s="1168"/>
    </row>
    <row r="7618" spans="2:2" s="221" customFormat="1" ht="12.75" x14ac:dyDescent="0.2">
      <c r="B7618" s="1168"/>
    </row>
    <row r="7619" spans="2:2" s="221" customFormat="1" ht="12.75" x14ac:dyDescent="0.2">
      <c r="B7619" s="1168"/>
    </row>
    <row r="7620" spans="2:2" s="221" customFormat="1" ht="12.75" x14ac:dyDescent="0.2">
      <c r="B7620" s="1168"/>
    </row>
    <row r="7621" spans="2:2" s="221" customFormat="1" ht="12.75" x14ac:dyDescent="0.2">
      <c r="B7621" s="1168"/>
    </row>
    <row r="7622" spans="2:2" s="221" customFormat="1" ht="12.75" x14ac:dyDescent="0.2">
      <c r="B7622" s="1168"/>
    </row>
    <row r="7623" spans="2:2" s="221" customFormat="1" ht="12.75" x14ac:dyDescent="0.2">
      <c r="B7623" s="1168"/>
    </row>
    <row r="7624" spans="2:2" s="221" customFormat="1" ht="12.75" x14ac:dyDescent="0.2">
      <c r="B7624" s="1168"/>
    </row>
    <row r="7625" spans="2:2" s="221" customFormat="1" ht="12.75" x14ac:dyDescent="0.2">
      <c r="B7625" s="1168"/>
    </row>
    <row r="7626" spans="2:2" s="221" customFormat="1" ht="12.75" x14ac:dyDescent="0.2">
      <c r="B7626" s="1168"/>
    </row>
    <row r="7627" spans="2:2" s="221" customFormat="1" ht="12.75" x14ac:dyDescent="0.2">
      <c r="B7627" s="1168"/>
    </row>
    <row r="7628" spans="2:2" s="221" customFormat="1" ht="12.75" x14ac:dyDescent="0.2">
      <c r="B7628" s="1168"/>
    </row>
    <row r="7629" spans="2:2" s="221" customFormat="1" ht="12.75" x14ac:dyDescent="0.2">
      <c r="B7629" s="1168"/>
    </row>
    <row r="7630" spans="2:2" s="221" customFormat="1" ht="12.75" x14ac:dyDescent="0.2">
      <c r="B7630" s="1168"/>
    </row>
    <row r="7631" spans="2:2" s="221" customFormat="1" ht="12.75" x14ac:dyDescent="0.2">
      <c r="B7631" s="1168"/>
    </row>
    <row r="7632" spans="2:2" s="221" customFormat="1" ht="12.75" x14ac:dyDescent="0.2">
      <c r="B7632" s="1168"/>
    </row>
    <row r="7633" spans="2:2" s="221" customFormat="1" ht="12.75" x14ac:dyDescent="0.2">
      <c r="B7633" s="1168"/>
    </row>
    <row r="7634" spans="2:2" s="221" customFormat="1" ht="12.75" x14ac:dyDescent="0.2">
      <c r="B7634" s="1168"/>
    </row>
    <row r="7635" spans="2:2" s="221" customFormat="1" ht="12.75" x14ac:dyDescent="0.2">
      <c r="B7635" s="1168"/>
    </row>
    <row r="7636" spans="2:2" s="221" customFormat="1" ht="12.75" x14ac:dyDescent="0.2">
      <c r="B7636" s="1168"/>
    </row>
    <row r="7637" spans="2:2" s="221" customFormat="1" ht="12.75" x14ac:dyDescent="0.2">
      <c r="B7637" s="1168"/>
    </row>
    <row r="7638" spans="2:2" s="221" customFormat="1" ht="12.75" x14ac:dyDescent="0.2">
      <c r="B7638" s="1168"/>
    </row>
    <row r="7639" spans="2:2" s="221" customFormat="1" ht="12.75" x14ac:dyDescent="0.2">
      <c r="B7639" s="1168"/>
    </row>
    <row r="7640" spans="2:2" s="221" customFormat="1" ht="12.75" x14ac:dyDescent="0.2">
      <c r="B7640" s="1168"/>
    </row>
    <row r="7641" spans="2:2" s="221" customFormat="1" ht="12.75" x14ac:dyDescent="0.2">
      <c r="B7641" s="1168"/>
    </row>
    <row r="7642" spans="2:2" s="221" customFormat="1" ht="12.75" x14ac:dyDescent="0.2">
      <c r="B7642" s="1168"/>
    </row>
    <row r="7643" spans="2:2" s="221" customFormat="1" ht="12.75" x14ac:dyDescent="0.2">
      <c r="B7643" s="1168"/>
    </row>
    <row r="7644" spans="2:2" s="221" customFormat="1" ht="12.75" x14ac:dyDescent="0.2">
      <c r="B7644" s="1168"/>
    </row>
    <row r="7645" spans="2:2" s="221" customFormat="1" ht="12.75" x14ac:dyDescent="0.2">
      <c r="B7645" s="1168"/>
    </row>
    <row r="7646" spans="2:2" s="221" customFormat="1" ht="12.75" x14ac:dyDescent="0.2">
      <c r="B7646" s="1168"/>
    </row>
    <row r="7647" spans="2:2" s="221" customFormat="1" ht="12.75" x14ac:dyDescent="0.2">
      <c r="B7647" s="1168"/>
    </row>
    <row r="7648" spans="2:2" s="221" customFormat="1" ht="12.75" x14ac:dyDescent="0.2">
      <c r="B7648" s="1168"/>
    </row>
    <row r="7649" spans="2:2" s="221" customFormat="1" ht="12.75" x14ac:dyDescent="0.2">
      <c r="B7649" s="1168"/>
    </row>
    <row r="7650" spans="2:2" s="221" customFormat="1" ht="12.75" x14ac:dyDescent="0.2">
      <c r="B7650" s="1168"/>
    </row>
    <row r="7651" spans="2:2" s="221" customFormat="1" ht="12.75" x14ac:dyDescent="0.2">
      <c r="B7651" s="1168"/>
    </row>
    <row r="7652" spans="2:2" s="221" customFormat="1" ht="12.75" x14ac:dyDescent="0.2">
      <c r="B7652" s="1168"/>
    </row>
    <row r="7653" spans="2:2" s="221" customFormat="1" ht="12.75" x14ac:dyDescent="0.2">
      <c r="B7653" s="1168"/>
    </row>
    <row r="7654" spans="2:2" s="221" customFormat="1" ht="12.75" x14ac:dyDescent="0.2">
      <c r="B7654" s="1168"/>
    </row>
    <row r="7655" spans="2:2" s="221" customFormat="1" ht="12.75" x14ac:dyDescent="0.2">
      <c r="B7655" s="1168"/>
    </row>
    <row r="7656" spans="2:2" s="221" customFormat="1" ht="12.75" x14ac:dyDescent="0.2">
      <c r="B7656" s="1168"/>
    </row>
    <row r="7657" spans="2:2" s="221" customFormat="1" ht="12.75" x14ac:dyDescent="0.2">
      <c r="B7657" s="1168"/>
    </row>
    <row r="7658" spans="2:2" s="221" customFormat="1" ht="12.75" x14ac:dyDescent="0.2">
      <c r="B7658" s="1168"/>
    </row>
    <row r="7659" spans="2:2" s="221" customFormat="1" ht="12.75" x14ac:dyDescent="0.2">
      <c r="B7659" s="1168"/>
    </row>
    <row r="7660" spans="2:2" s="221" customFormat="1" ht="12.75" x14ac:dyDescent="0.2">
      <c r="B7660" s="1168"/>
    </row>
    <row r="7661" spans="2:2" s="221" customFormat="1" ht="12.75" x14ac:dyDescent="0.2">
      <c r="B7661" s="1168"/>
    </row>
    <row r="7662" spans="2:2" s="221" customFormat="1" ht="12.75" x14ac:dyDescent="0.2">
      <c r="B7662" s="1168"/>
    </row>
    <row r="7663" spans="2:2" s="221" customFormat="1" ht="12.75" x14ac:dyDescent="0.2">
      <c r="B7663" s="1168"/>
    </row>
    <row r="7664" spans="2:2" s="221" customFormat="1" ht="12.75" x14ac:dyDescent="0.2">
      <c r="B7664" s="1168"/>
    </row>
    <row r="7665" spans="2:2" s="221" customFormat="1" ht="12.75" x14ac:dyDescent="0.2">
      <c r="B7665" s="1168"/>
    </row>
    <row r="7666" spans="2:2" s="221" customFormat="1" ht="12.75" x14ac:dyDescent="0.2">
      <c r="B7666" s="1168"/>
    </row>
    <row r="7667" spans="2:2" s="221" customFormat="1" ht="12.75" x14ac:dyDescent="0.2">
      <c r="B7667" s="1168"/>
    </row>
    <row r="7668" spans="2:2" s="221" customFormat="1" ht="12.75" x14ac:dyDescent="0.2">
      <c r="B7668" s="1168"/>
    </row>
    <row r="7669" spans="2:2" s="221" customFormat="1" ht="12.75" x14ac:dyDescent="0.2">
      <c r="B7669" s="1168"/>
    </row>
    <row r="7670" spans="2:2" s="221" customFormat="1" ht="12.75" x14ac:dyDescent="0.2">
      <c r="B7670" s="1168"/>
    </row>
    <row r="7671" spans="2:2" s="221" customFormat="1" ht="12.75" x14ac:dyDescent="0.2">
      <c r="B7671" s="1168"/>
    </row>
    <row r="7672" spans="2:2" s="221" customFormat="1" ht="12.75" x14ac:dyDescent="0.2">
      <c r="B7672" s="1168"/>
    </row>
    <row r="7673" spans="2:2" s="221" customFormat="1" ht="12.75" x14ac:dyDescent="0.2">
      <c r="B7673" s="1168"/>
    </row>
    <row r="7674" spans="2:2" s="221" customFormat="1" ht="12.75" x14ac:dyDescent="0.2">
      <c r="B7674" s="1168"/>
    </row>
    <row r="7675" spans="2:2" s="221" customFormat="1" ht="12.75" x14ac:dyDescent="0.2">
      <c r="B7675" s="1168"/>
    </row>
    <row r="7676" spans="2:2" s="221" customFormat="1" ht="12.75" x14ac:dyDescent="0.2">
      <c r="B7676" s="1168"/>
    </row>
    <row r="7677" spans="2:2" s="221" customFormat="1" ht="12.75" x14ac:dyDescent="0.2">
      <c r="B7677" s="1168"/>
    </row>
    <row r="7678" spans="2:2" s="221" customFormat="1" ht="12.75" x14ac:dyDescent="0.2">
      <c r="B7678" s="1168"/>
    </row>
    <row r="7679" spans="2:2" s="221" customFormat="1" ht="12.75" x14ac:dyDescent="0.2">
      <c r="B7679" s="1168"/>
    </row>
    <row r="7680" spans="2:2" s="221" customFormat="1" ht="12.75" x14ac:dyDescent="0.2">
      <c r="B7680" s="1168"/>
    </row>
    <row r="7681" spans="2:2" s="221" customFormat="1" ht="12.75" x14ac:dyDescent="0.2">
      <c r="B7681" s="1168"/>
    </row>
    <row r="7682" spans="2:2" s="221" customFormat="1" ht="12.75" x14ac:dyDescent="0.2">
      <c r="B7682" s="1168"/>
    </row>
    <row r="7683" spans="2:2" s="221" customFormat="1" ht="12.75" x14ac:dyDescent="0.2">
      <c r="B7683" s="1168"/>
    </row>
    <row r="7684" spans="2:2" s="221" customFormat="1" ht="12.75" x14ac:dyDescent="0.2">
      <c r="B7684" s="1168"/>
    </row>
    <row r="7685" spans="2:2" s="221" customFormat="1" ht="12.75" x14ac:dyDescent="0.2">
      <c r="B7685" s="1168"/>
    </row>
    <row r="7686" spans="2:2" s="221" customFormat="1" ht="12.75" x14ac:dyDescent="0.2">
      <c r="B7686" s="1168"/>
    </row>
    <row r="7687" spans="2:2" s="221" customFormat="1" ht="12.75" x14ac:dyDescent="0.2">
      <c r="B7687" s="1168"/>
    </row>
    <row r="7688" spans="2:2" s="221" customFormat="1" ht="12.75" x14ac:dyDescent="0.2">
      <c r="B7688" s="1168"/>
    </row>
    <row r="7689" spans="2:2" s="221" customFormat="1" ht="12.75" x14ac:dyDescent="0.2">
      <c r="B7689" s="1168"/>
    </row>
    <row r="7690" spans="2:2" s="221" customFormat="1" ht="12.75" x14ac:dyDescent="0.2">
      <c r="B7690" s="1168"/>
    </row>
    <row r="7691" spans="2:2" s="221" customFormat="1" ht="12.75" x14ac:dyDescent="0.2">
      <c r="B7691" s="1168"/>
    </row>
    <row r="7692" spans="2:2" s="221" customFormat="1" ht="12.75" x14ac:dyDescent="0.2">
      <c r="B7692" s="1168"/>
    </row>
    <row r="7693" spans="2:2" s="221" customFormat="1" ht="12.75" x14ac:dyDescent="0.2">
      <c r="B7693" s="1168"/>
    </row>
    <row r="7694" spans="2:2" s="221" customFormat="1" ht="12.75" x14ac:dyDescent="0.2">
      <c r="B7694" s="1168"/>
    </row>
    <row r="7695" spans="2:2" s="221" customFormat="1" ht="12.75" x14ac:dyDescent="0.2">
      <c r="B7695" s="1168"/>
    </row>
    <row r="7696" spans="2:2" s="221" customFormat="1" ht="12.75" x14ac:dyDescent="0.2">
      <c r="B7696" s="1168"/>
    </row>
    <row r="7697" spans="2:2" s="221" customFormat="1" ht="12.75" x14ac:dyDescent="0.2">
      <c r="B7697" s="1168"/>
    </row>
    <row r="7698" spans="2:2" s="221" customFormat="1" ht="12.75" x14ac:dyDescent="0.2">
      <c r="B7698" s="1168"/>
    </row>
    <row r="7699" spans="2:2" s="221" customFormat="1" ht="12.75" x14ac:dyDescent="0.2">
      <c r="B7699" s="1168"/>
    </row>
    <row r="7700" spans="2:2" s="221" customFormat="1" ht="12.75" x14ac:dyDescent="0.2">
      <c r="B7700" s="1168"/>
    </row>
    <row r="7701" spans="2:2" s="221" customFormat="1" ht="12.75" x14ac:dyDescent="0.2">
      <c r="B7701" s="1168"/>
    </row>
    <row r="7702" spans="2:2" s="221" customFormat="1" ht="12.75" x14ac:dyDescent="0.2">
      <c r="B7702" s="1168"/>
    </row>
    <row r="7703" spans="2:2" s="221" customFormat="1" ht="12.75" x14ac:dyDescent="0.2">
      <c r="B7703" s="1168"/>
    </row>
    <row r="7704" spans="2:2" s="221" customFormat="1" ht="12.75" x14ac:dyDescent="0.2">
      <c r="B7704" s="1168"/>
    </row>
    <row r="7705" spans="2:2" s="221" customFormat="1" ht="12.75" x14ac:dyDescent="0.2">
      <c r="B7705" s="1168"/>
    </row>
    <row r="7706" spans="2:2" s="221" customFormat="1" ht="12.75" x14ac:dyDescent="0.2">
      <c r="B7706" s="1168"/>
    </row>
    <row r="7707" spans="2:2" s="221" customFormat="1" ht="12.75" x14ac:dyDescent="0.2">
      <c r="B7707" s="1168"/>
    </row>
    <row r="7708" spans="2:2" s="221" customFormat="1" ht="12.75" x14ac:dyDescent="0.2">
      <c r="B7708" s="1168"/>
    </row>
    <row r="7709" spans="2:2" s="221" customFormat="1" ht="12.75" x14ac:dyDescent="0.2">
      <c r="B7709" s="1168"/>
    </row>
    <row r="7710" spans="2:2" s="221" customFormat="1" ht="12.75" x14ac:dyDescent="0.2">
      <c r="B7710" s="1168"/>
    </row>
    <row r="7711" spans="2:2" s="221" customFormat="1" ht="12.75" x14ac:dyDescent="0.2">
      <c r="B7711" s="1168"/>
    </row>
    <row r="7712" spans="2:2" s="221" customFormat="1" ht="12.75" x14ac:dyDescent="0.2">
      <c r="B7712" s="1168"/>
    </row>
    <row r="7713" spans="2:2" s="221" customFormat="1" ht="12.75" x14ac:dyDescent="0.2">
      <c r="B7713" s="1168"/>
    </row>
    <row r="7714" spans="2:2" s="221" customFormat="1" ht="12.75" x14ac:dyDescent="0.2">
      <c r="B7714" s="1168"/>
    </row>
    <row r="7715" spans="2:2" s="221" customFormat="1" ht="12.75" x14ac:dyDescent="0.2">
      <c r="B7715" s="1168"/>
    </row>
    <row r="7716" spans="2:2" s="221" customFormat="1" ht="12.75" x14ac:dyDescent="0.2">
      <c r="B7716" s="1168"/>
    </row>
    <row r="7717" spans="2:2" s="221" customFormat="1" ht="12.75" x14ac:dyDescent="0.2">
      <c r="B7717" s="1168"/>
    </row>
    <row r="7718" spans="2:2" s="221" customFormat="1" ht="12.75" x14ac:dyDescent="0.2">
      <c r="B7718" s="1168"/>
    </row>
    <row r="7719" spans="2:2" s="221" customFormat="1" ht="12.75" x14ac:dyDescent="0.2">
      <c r="B7719" s="1168"/>
    </row>
    <row r="7720" spans="2:2" s="221" customFormat="1" ht="12.75" x14ac:dyDescent="0.2">
      <c r="B7720" s="1168"/>
    </row>
    <row r="7721" spans="2:2" s="221" customFormat="1" ht="12.75" x14ac:dyDescent="0.2">
      <c r="B7721" s="1168"/>
    </row>
    <row r="7722" spans="2:2" s="221" customFormat="1" ht="12.75" x14ac:dyDescent="0.2">
      <c r="B7722" s="1168"/>
    </row>
    <row r="7723" spans="2:2" s="221" customFormat="1" ht="12.75" x14ac:dyDescent="0.2">
      <c r="B7723" s="1168"/>
    </row>
    <row r="7724" spans="2:2" s="221" customFormat="1" ht="12.75" x14ac:dyDescent="0.2">
      <c r="B7724" s="1168"/>
    </row>
    <row r="7725" spans="2:2" s="221" customFormat="1" ht="12.75" x14ac:dyDescent="0.2">
      <c r="B7725" s="1168"/>
    </row>
    <row r="7726" spans="2:2" s="221" customFormat="1" ht="12.75" x14ac:dyDescent="0.2">
      <c r="B7726" s="1168"/>
    </row>
    <row r="7727" spans="2:2" s="221" customFormat="1" ht="12.75" x14ac:dyDescent="0.2">
      <c r="B7727" s="1168"/>
    </row>
    <row r="7728" spans="2:2" s="221" customFormat="1" ht="12.75" x14ac:dyDescent="0.2">
      <c r="B7728" s="1168"/>
    </row>
    <row r="7729" spans="2:2" s="221" customFormat="1" ht="12.75" x14ac:dyDescent="0.2">
      <c r="B7729" s="1168"/>
    </row>
    <row r="7730" spans="2:2" s="221" customFormat="1" ht="12.75" x14ac:dyDescent="0.2">
      <c r="B7730" s="1168"/>
    </row>
    <row r="7731" spans="2:2" s="221" customFormat="1" ht="12.75" x14ac:dyDescent="0.2">
      <c r="B7731" s="1168"/>
    </row>
    <row r="7732" spans="2:2" s="221" customFormat="1" ht="12.75" x14ac:dyDescent="0.2">
      <c r="B7732" s="1168"/>
    </row>
    <row r="7733" spans="2:2" s="221" customFormat="1" ht="12.75" x14ac:dyDescent="0.2">
      <c r="B7733" s="1168"/>
    </row>
    <row r="7734" spans="2:2" s="221" customFormat="1" ht="12.75" x14ac:dyDescent="0.2">
      <c r="B7734" s="1168"/>
    </row>
    <row r="7735" spans="2:2" s="221" customFormat="1" ht="12.75" x14ac:dyDescent="0.2">
      <c r="B7735" s="1168"/>
    </row>
    <row r="7736" spans="2:2" s="221" customFormat="1" ht="12.75" x14ac:dyDescent="0.2">
      <c r="B7736" s="1168"/>
    </row>
    <row r="7737" spans="2:2" s="221" customFormat="1" ht="12.75" x14ac:dyDescent="0.2">
      <c r="B7737" s="1168"/>
    </row>
    <row r="7738" spans="2:2" s="221" customFormat="1" ht="12.75" x14ac:dyDescent="0.2">
      <c r="B7738" s="1168"/>
    </row>
    <row r="7739" spans="2:2" s="221" customFormat="1" ht="12.75" x14ac:dyDescent="0.2">
      <c r="B7739" s="1168"/>
    </row>
    <row r="7740" spans="2:2" s="221" customFormat="1" ht="12.75" x14ac:dyDescent="0.2">
      <c r="B7740" s="1168"/>
    </row>
    <row r="7741" spans="2:2" s="221" customFormat="1" ht="12.75" x14ac:dyDescent="0.2">
      <c r="B7741" s="1168"/>
    </row>
    <row r="7742" spans="2:2" s="221" customFormat="1" ht="12.75" x14ac:dyDescent="0.2">
      <c r="B7742" s="1168"/>
    </row>
    <row r="7743" spans="2:2" s="221" customFormat="1" ht="12.75" x14ac:dyDescent="0.2">
      <c r="B7743" s="1168"/>
    </row>
    <row r="7744" spans="2:2" s="221" customFormat="1" ht="12.75" x14ac:dyDescent="0.2">
      <c r="B7744" s="1168"/>
    </row>
    <row r="7745" spans="2:2" s="221" customFormat="1" ht="12.75" x14ac:dyDescent="0.2">
      <c r="B7745" s="1168"/>
    </row>
    <row r="7746" spans="2:2" s="221" customFormat="1" ht="12.75" x14ac:dyDescent="0.2">
      <c r="B7746" s="1168"/>
    </row>
    <row r="7747" spans="2:2" s="221" customFormat="1" ht="12.75" x14ac:dyDescent="0.2">
      <c r="B7747" s="1168"/>
    </row>
    <row r="7748" spans="2:2" s="221" customFormat="1" ht="12.75" x14ac:dyDescent="0.2">
      <c r="B7748" s="1168"/>
    </row>
    <row r="7749" spans="2:2" s="221" customFormat="1" ht="12.75" x14ac:dyDescent="0.2">
      <c r="B7749" s="1168"/>
    </row>
    <row r="7750" spans="2:2" s="221" customFormat="1" ht="12.75" x14ac:dyDescent="0.2">
      <c r="B7750" s="1168"/>
    </row>
    <row r="7751" spans="2:2" s="221" customFormat="1" ht="12.75" x14ac:dyDescent="0.2">
      <c r="B7751" s="1168"/>
    </row>
    <row r="7752" spans="2:2" s="221" customFormat="1" ht="12.75" x14ac:dyDescent="0.2">
      <c r="B7752" s="1168"/>
    </row>
    <row r="7753" spans="2:2" s="221" customFormat="1" ht="12.75" x14ac:dyDescent="0.2">
      <c r="B7753" s="1168"/>
    </row>
    <row r="7754" spans="2:2" s="221" customFormat="1" ht="12.75" x14ac:dyDescent="0.2">
      <c r="B7754" s="1168"/>
    </row>
    <row r="7755" spans="2:2" s="221" customFormat="1" ht="12.75" x14ac:dyDescent="0.2">
      <c r="B7755" s="1168"/>
    </row>
    <row r="7756" spans="2:2" s="221" customFormat="1" ht="12.75" x14ac:dyDescent="0.2">
      <c r="B7756" s="1168"/>
    </row>
    <row r="7757" spans="2:2" s="221" customFormat="1" ht="12.75" x14ac:dyDescent="0.2">
      <c r="B7757" s="1168"/>
    </row>
    <row r="7758" spans="2:2" s="221" customFormat="1" ht="12.75" x14ac:dyDescent="0.2">
      <c r="B7758" s="1168"/>
    </row>
    <row r="7759" spans="2:2" s="221" customFormat="1" ht="12.75" x14ac:dyDescent="0.2">
      <c r="B7759" s="1168"/>
    </row>
    <row r="7760" spans="2:2" s="221" customFormat="1" ht="12.75" x14ac:dyDescent="0.2">
      <c r="B7760" s="1168"/>
    </row>
    <row r="7761" spans="2:2" s="221" customFormat="1" ht="12.75" x14ac:dyDescent="0.2">
      <c r="B7761" s="1168"/>
    </row>
    <row r="7762" spans="2:2" s="221" customFormat="1" ht="12.75" x14ac:dyDescent="0.2">
      <c r="B7762" s="1168"/>
    </row>
    <row r="7763" spans="2:2" s="221" customFormat="1" ht="12.75" x14ac:dyDescent="0.2">
      <c r="B7763" s="1168"/>
    </row>
    <row r="7764" spans="2:2" s="221" customFormat="1" ht="12.75" x14ac:dyDescent="0.2">
      <c r="B7764" s="1168"/>
    </row>
    <row r="7765" spans="2:2" s="221" customFormat="1" ht="12.75" x14ac:dyDescent="0.2">
      <c r="B7765" s="1168"/>
    </row>
    <row r="7766" spans="2:2" s="221" customFormat="1" ht="12.75" x14ac:dyDescent="0.2">
      <c r="B7766" s="1168"/>
    </row>
    <row r="7767" spans="2:2" s="221" customFormat="1" ht="12.75" x14ac:dyDescent="0.2">
      <c r="B7767" s="1168"/>
    </row>
    <row r="7768" spans="2:2" s="221" customFormat="1" ht="12.75" x14ac:dyDescent="0.2">
      <c r="B7768" s="1168"/>
    </row>
    <row r="7769" spans="2:2" s="221" customFormat="1" ht="12.75" x14ac:dyDescent="0.2">
      <c r="B7769" s="1168"/>
    </row>
    <row r="7770" spans="2:2" s="221" customFormat="1" ht="12.75" x14ac:dyDescent="0.2">
      <c r="B7770" s="1168"/>
    </row>
    <row r="7771" spans="2:2" s="221" customFormat="1" ht="12.75" x14ac:dyDescent="0.2">
      <c r="B7771" s="1168"/>
    </row>
    <row r="7772" spans="2:2" s="221" customFormat="1" ht="12.75" x14ac:dyDescent="0.2">
      <c r="B7772" s="1168"/>
    </row>
    <row r="7773" spans="2:2" s="221" customFormat="1" ht="12.75" x14ac:dyDescent="0.2">
      <c r="B7773" s="1168"/>
    </row>
    <row r="7774" spans="2:2" s="221" customFormat="1" ht="12.75" x14ac:dyDescent="0.2">
      <c r="B7774" s="1168"/>
    </row>
    <row r="7775" spans="2:2" s="221" customFormat="1" ht="12.75" x14ac:dyDescent="0.2">
      <c r="B7775" s="1168"/>
    </row>
    <row r="7776" spans="2:2" s="221" customFormat="1" ht="12.75" x14ac:dyDescent="0.2">
      <c r="B7776" s="1168"/>
    </row>
    <row r="7777" spans="2:2" s="221" customFormat="1" ht="12.75" x14ac:dyDescent="0.2">
      <c r="B7777" s="1168"/>
    </row>
    <row r="7778" spans="2:2" s="221" customFormat="1" ht="12.75" x14ac:dyDescent="0.2">
      <c r="B7778" s="1168"/>
    </row>
    <row r="7779" spans="2:2" s="221" customFormat="1" ht="12.75" x14ac:dyDescent="0.2">
      <c r="B7779" s="1168"/>
    </row>
    <row r="7780" spans="2:2" s="221" customFormat="1" ht="12.75" x14ac:dyDescent="0.2">
      <c r="B7780" s="1168"/>
    </row>
    <row r="7781" spans="2:2" s="221" customFormat="1" ht="12.75" x14ac:dyDescent="0.2">
      <c r="B7781" s="1168"/>
    </row>
    <row r="7782" spans="2:2" s="221" customFormat="1" ht="12.75" x14ac:dyDescent="0.2">
      <c r="B7782" s="1168"/>
    </row>
    <row r="7783" spans="2:2" s="221" customFormat="1" ht="12.75" x14ac:dyDescent="0.2">
      <c r="B7783" s="1168"/>
    </row>
    <row r="7784" spans="2:2" s="221" customFormat="1" ht="12.75" x14ac:dyDescent="0.2">
      <c r="B7784" s="1168"/>
    </row>
    <row r="7785" spans="2:2" s="221" customFormat="1" ht="12.75" x14ac:dyDescent="0.2">
      <c r="B7785" s="1168"/>
    </row>
    <row r="7786" spans="2:2" s="221" customFormat="1" ht="12.75" x14ac:dyDescent="0.2">
      <c r="B7786" s="1168"/>
    </row>
    <row r="7787" spans="2:2" s="221" customFormat="1" ht="12.75" x14ac:dyDescent="0.2">
      <c r="B7787" s="1168"/>
    </row>
    <row r="7788" spans="2:2" s="221" customFormat="1" ht="12.75" x14ac:dyDescent="0.2">
      <c r="B7788" s="1168"/>
    </row>
    <row r="7789" spans="2:2" s="221" customFormat="1" ht="12.75" x14ac:dyDescent="0.2">
      <c r="B7789" s="1168"/>
    </row>
    <row r="7790" spans="2:2" s="221" customFormat="1" ht="12.75" x14ac:dyDescent="0.2">
      <c r="B7790" s="1168"/>
    </row>
    <row r="7791" spans="2:2" s="221" customFormat="1" ht="12.75" x14ac:dyDescent="0.2">
      <c r="B7791" s="1168"/>
    </row>
    <row r="7792" spans="2:2" s="221" customFormat="1" ht="12.75" x14ac:dyDescent="0.2">
      <c r="B7792" s="1168"/>
    </row>
    <row r="7793" spans="2:2" s="221" customFormat="1" ht="12.75" x14ac:dyDescent="0.2">
      <c r="B7793" s="1168"/>
    </row>
    <row r="7794" spans="2:2" s="221" customFormat="1" ht="12.75" x14ac:dyDescent="0.2">
      <c r="B7794" s="1168"/>
    </row>
    <row r="7795" spans="2:2" s="221" customFormat="1" ht="12.75" x14ac:dyDescent="0.2">
      <c r="B7795" s="1168"/>
    </row>
    <row r="7796" spans="2:2" s="221" customFormat="1" ht="12.75" x14ac:dyDescent="0.2">
      <c r="B7796" s="1168"/>
    </row>
    <row r="7797" spans="2:2" s="221" customFormat="1" ht="12.75" x14ac:dyDescent="0.2">
      <c r="B7797" s="1168"/>
    </row>
    <row r="7798" spans="2:2" s="221" customFormat="1" ht="12.75" x14ac:dyDescent="0.2">
      <c r="B7798" s="1168"/>
    </row>
    <row r="7799" spans="2:2" s="221" customFormat="1" ht="12.75" x14ac:dyDescent="0.2">
      <c r="B7799" s="1168"/>
    </row>
    <row r="7800" spans="2:2" s="221" customFormat="1" ht="12.75" x14ac:dyDescent="0.2">
      <c r="B7800" s="1168"/>
    </row>
    <row r="7801" spans="2:2" s="221" customFormat="1" ht="12.75" x14ac:dyDescent="0.2">
      <c r="B7801" s="1168"/>
    </row>
    <row r="7802" spans="2:2" s="221" customFormat="1" ht="12.75" x14ac:dyDescent="0.2">
      <c r="B7802" s="1168"/>
    </row>
    <row r="7803" spans="2:2" s="221" customFormat="1" ht="12.75" x14ac:dyDescent="0.2">
      <c r="B7803" s="1168"/>
    </row>
    <row r="7804" spans="2:2" s="221" customFormat="1" ht="12.75" x14ac:dyDescent="0.2">
      <c r="B7804" s="1168"/>
    </row>
    <row r="7805" spans="2:2" s="221" customFormat="1" ht="12.75" x14ac:dyDescent="0.2">
      <c r="B7805" s="1168"/>
    </row>
    <row r="7806" spans="2:2" s="221" customFormat="1" ht="12.75" x14ac:dyDescent="0.2">
      <c r="B7806" s="1168"/>
    </row>
    <row r="7807" spans="2:2" s="221" customFormat="1" ht="12.75" x14ac:dyDescent="0.2">
      <c r="B7807" s="1168"/>
    </row>
    <row r="7808" spans="2:2" s="221" customFormat="1" ht="12.75" x14ac:dyDescent="0.2">
      <c r="B7808" s="1168"/>
    </row>
    <row r="7809" spans="2:2" s="221" customFormat="1" ht="12.75" x14ac:dyDescent="0.2">
      <c r="B7809" s="1168"/>
    </row>
    <row r="7810" spans="2:2" s="221" customFormat="1" ht="12.75" x14ac:dyDescent="0.2">
      <c r="B7810" s="1168"/>
    </row>
    <row r="7811" spans="2:2" s="221" customFormat="1" ht="12.75" x14ac:dyDescent="0.2">
      <c r="B7811" s="1168"/>
    </row>
    <row r="7812" spans="2:2" s="221" customFormat="1" ht="12.75" x14ac:dyDescent="0.2">
      <c r="B7812" s="1168"/>
    </row>
    <row r="7813" spans="2:2" s="221" customFormat="1" ht="12.75" x14ac:dyDescent="0.2">
      <c r="B7813" s="1168"/>
    </row>
    <row r="7814" spans="2:2" s="221" customFormat="1" ht="12.75" x14ac:dyDescent="0.2">
      <c r="B7814" s="1168"/>
    </row>
    <row r="7815" spans="2:2" s="221" customFormat="1" ht="12.75" x14ac:dyDescent="0.2">
      <c r="B7815" s="1168"/>
    </row>
    <row r="7816" spans="2:2" s="221" customFormat="1" ht="12.75" x14ac:dyDescent="0.2">
      <c r="B7816" s="1168"/>
    </row>
    <row r="7817" spans="2:2" s="221" customFormat="1" ht="12.75" x14ac:dyDescent="0.2">
      <c r="B7817" s="1168"/>
    </row>
    <row r="7818" spans="2:2" s="221" customFormat="1" ht="12.75" x14ac:dyDescent="0.2">
      <c r="B7818" s="1168"/>
    </row>
    <row r="7819" spans="2:2" s="221" customFormat="1" ht="12.75" x14ac:dyDescent="0.2">
      <c r="B7819" s="1168"/>
    </row>
    <row r="7820" spans="2:2" s="221" customFormat="1" ht="12.75" x14ac:dyDescent="0.2">
      <c r="B7820" s="1168"/>
    </row>
    <row r="7821" spans="2:2" s="221" customFormat="1" ht="12.75" x14ac:dyDescent="0.2">
      <c r="B7821" s="1168"/>
    </row>
    <row r="7822" spans="2:2" s="221" customFormat="1" ht="12.75" x14ac:dyDescent="0.2">
      <c r="B7822" s="1168"/>
    </row>
    <row r="7823" spans="2:2" s="221" customFormat="1" ht="12.75" x14ac:dyDescent="0.2">
      <c r="B7823" s="1168"/>
    </row>
    <row r="7824" spans="2:2" s="221" customFormat="1" ht="12.75" x14ac:dyDescent="0.2">
      <c r="B7824" s="1168"/>
    </row>
    <row r="7825" spans="2:2" s="221" customFormat="1" ht="12.75" x14ac:dyDescent="0.2">
      <c r="B7825" s="1168"/>
    </row>
    <row r="7826" spans="2:2" s="221" customFormat="1" ht="12.75" x14ac:dyDescent="0.2">
      <c r="B7826" s="1168"/>
    </row>
    <row r="7827" spans="2:2" s="221" customFormat="1" ht="12.75" x14ac:dyDescent="0.2">
      <c r="B7827" s="1168"/>
    </row>
    <row r="7828" spans="2:2" s="221" customFormat="1" ht="12.75" x14ac:dyDescent="0.2">
      <c r="B7828" s="1168"/>
    </row>
    <row r="7829" spans="2:2" s="221" customFormat="1" ht="12.75" x14ac:dyDescent="0.2">
      <c r="B7829" s="1168"/>
    </row>
    <row r="7830" spans="2:2" s="221" customFormat="1" ht="12.75" x14ac:dyDescent="0.2">
      <c r="B7830" s="1168"/>
    </row>
    <row r="7831" spans="2:2" s="221" customFormat="1" ht="12.75" x14ac:dyDescent="0.2">
      <c r="B7831" s="1168"/>
    </row>
    <row r="7832" spans="2:2" s="221" customFormat="1" ht="12.75" x14ac:dyDescent="0.2">
      <c r="B7832" s="1168"/>
    </row>
    <row r="7833" spans="2:2" s="221" customFormat="1" ht="12.75" x14ac:dyDescent="0.2">
      <c r="B7833" s="1168"/>
    </row>
    <row r="7834" spans="2:2" s="221" customFormat="1" ht="12.75" x14ac:dyDescent="0.2">
      <c r="B7834" s="1168"/>
    </row>
    <row r="7835" spans="2:2" s="221" customFormat="1" ht="12.75" x14ac:dyDescent="0.2">
      <c r="B7835" s="1168"/>
    </row>
    <row r="7836" spans="2:2" s="221" customFormat="1" ht="12.75" x14ac:dyDescent="0.2">
      <c r="B7836" s="1168"/>
    </row>
    <row r="7837" spans="2:2" s="221" customFormat="1" ht="12.75" x14ac:dyDescent="0.2">
      <c r="B7837" s="1168"/>
    </row>
    <row r="7838" spans="2:2" s="221" customFormat="1" ht="12.75" x14ac:dyDescent="0.2">
      <c r="B7838" s="1168"/>
    </row>
    <row r="7839" spans="2:2" s="221" customFormat="1" ht="12.75" x14ac:dyDescent="0.2">
      <c r="B7839" s="1168"/>
    </row>
    <row r="7840" spans="2:2" s="221" customFormat="1" ht="12.75" x14ac:dyDescent="0.2">
      <c r="B7840" s="1168"/>
    </row>
    <row r="7841" spans="2:2" s="221" customFormat="1" ht="12.75" x14ac:dyDescent="0.2">
      <c r="B7841" s="1168"/>
    </row>
    <row r="7842" spans="2:2" s="221" customFormat="1" ht="12.75" x14ac:dyDescent="0.2">
      <c r="B7842" s="1168"/>
    </row>
    <row r="7843" spans="2:2" s="221" customFormat="1" ht="12.75" x14ac:dyDescent="0.2">
      <c r="B7843" s="1168"/>
    </row>
    <row r="7844" spans="2:2" s="221" customFormat="1" ht="12.75" x14ac:dyDescent="0.2">
      <c r="B7844" s="1168"/>
    </row>
    <row r="7845" spans="2:2" s="221" customFormat="1" ht="12.75" x14ac:dyDescent="0.2">
      <c r="B7845" s="1168"/>
    </row>
    <row r="7846" spans="2:2" s="221" customFormat="1" ht="12.75" x14ac:dyDescent="0.2">
      <c r="B7846" s="1168"/>
    </row>
    <row r="7847" spans="2:2" s="221" customFormat="1" ht="12.75" x14ac:dyDescent="0.2">
      <c r="B7847" s="1168"/>
    </row>
    <row r="7848" spans="2:2" s="221" customFormat="1" ht="12.75" x14ac:dyDescent="0.2">
      <c r="B7848" s="1168"/>
    </row>
    <row r="7849" spans="2:2" s="221" customFormat="1" ht="12.75" x14ac:dyDescent="0.2">
      <c r="B7849" s="1168"/>
    </row>
    <row r="7850" spans="2:2" s="221" customFormat="1" ht="12.75" x14ac:dyDescent="0.2">
      <c r="B7850" s="1168"/>
    </row>
    <row r="7851" spans="2:2" s="221" customFormat="1" ht="12.75" x14ac:dyDescent="0.2">
      <c r="B7851" s="1168"/>
    </row>
    <row r="7852" spans="2:2" s="221" customFormat="1" ht="12.75" x14ac:dyDescent="0.2">
      <c r="B7852" s="1168"/>
    </row>
    <row r="7853" spans="2:2" s="221" customFormat="1" ht="12.75" x14ac:dyDescent="0.2">
      <c r="B7853" s="1168"/>
    </row>
    <row r="7854" spans="2:2" s="221" customFormat="1" ht="12.75" x14ac:dyDescent="0.2">
      <c r="B7854" s="1168"/>
    </row>
    <row r="7855" spans="2:2" s="221" customFormat="1" ht="12.75" x14ac:dyDescent="0.2">
      <c r="B7855" s="1168"/>
    </row>
    <row r="7856" spans="2:2" s="221" customFormat="1" ht="12.75" x14ac:dyDescent="0.2">
      <c r="B7856" s="1168"/>
    </row>
    <row r="7857" spans="2:2" s="221" customFormat="1" ht="12.75" x14ac:dyDescent="0.2">
      <c r="B7857" s="1168"/>
    </row>
    <row r="7858" spans="2:2" s="221" customFormat="1" ht="12.75" x14ac:dyDescent="0.2">
      <c r="B7858" s="1168"/>
    </row>
    <row r="7859" spans="2:2" s="221" customFormat="1" ht="12.75" x14ac:dyDescent="0.2">
      <c r="B7859" s="1168"/>
    </row>
    <row r="7860" spans="2:2" s="221" customFormat="1" ht="12.75" x14ac:dyDescent="0.2">
      <c r="B7860" s="1168"/>
    </row>
    <row r="7861" spans="2:2" s="221" customFormat="1" ht="12.75" x14ac:dyDescent="0.2">
      <c r="B7861" s="1168"/>
    </row>
    <row r="7862" spans="2:2" s="221" customFormat="1" ht="12.75" x14ac:dyDescent="0.2">
      <c r="B7862" s="1168"/>
    </row>
    <row r="7863" spans="2:2" s="221" customFormat="1" ht="12.75" x14ac:dyDescent="0.2">
      <c r="B7863" s="1168"/>
    </row>
    <row r="7864" spans="2:2" s="221" customFormat="1" ht="12.75" x14ac:dyDescent="0.2">
      <c r="B7864" s="1168"/>
    </row>
    <row r="7865" spans="2:2" s="221" customFormat="1" ht="12.75" x14ac:dyDescent="0.2">
      <c r="B7865" s="1168"/>
    </row>
    <row r="7866" spans="2:2" s="221" customFormat="1" ht="12.75" x14ac:dyDescent="0.2">
      <c r="B7866" s="1168"/>
    </row>
    <row r="7867" spans="2:2" s="221" customFormat="1" ht="12.75" x14ac:dyDescent="0.2">
      <c r="B7867" s="1168"/>
    </row>
    <row r="7868" spans="2:2" s="221" customFormat="1" ht="12.75" x14ac:dyDescent="0.2">
      <c r="B7868" s="1168"/>
    </row>
    <row r="7869" spans="2:2" s="221" customFormat="1" ht="12.75" x14ac:dyDescent="0.2">
      <c r="B7869" s="1168"/>
    </row>
    <row r="7870" spans="2:2" s="221" customFormat="1" ht="12.75" x14ac:dyDescent="0.2">
      <c r="B7870" s="1168"/>
    </row>
    <row r="7871" spans="2:2" s="221" customFormat="1" ht="12.75" x14ac:dyDescent="0.2">
      <c r="B7871" s="1168"/>
    </row>
    <row r="7872" spans="2:2" s="221" customFormat="1" ht="12.75" x14ac:dyDescent="0.2">
      <c r="B7872" s="1168"/>
    </row>
    <row r="7873" spans="2:2" s="221" customFormat="1" ht="12.75" x14ac:dyDescent="0.2">
      <c r="B7873" s="1168"/>
    </row>
    <row r="7874" spans="2:2" s="221" customFormat="1" ht="12.75" x14ac:dyDescent="0.2">
      <c r="B7874" s="1168"/>
    </row>
    <row r="7875" spans="2:2" s="221" customFormat="1" ht="12.75" x14ac:dyDescent="0.2">
      <c r="B7875" s="1168"/>
    </row>
    <row r="7876" spans="2:2" s="221" customFormat="1" ht="12.75" x14ac:dyDescent="0.2">
      <c r="B7876" s="1168"/>
    </row>
    <row r="7877" spans="2:2" s="221" customFormat="1" ht="12.75" x14ac:dyDescent="0.2">
      <c r="B7877" s="1168"/>
    </row>
    <row r="7878" spans="2:2" s="221" customFormat="1" ht="12.75" x14ac:dyDescent="0.2">
      <c r="B7878" s="1168"/>
    </row>
    <row r="7879" spans="2:2" s="221" customFormat="1" ht="12.75" x14ac:dyDescent="0.2">
      <c r="B7879" s="1168"/>
    </row>
    <row r="7880" spans="2:2" s="221" customFormat="1" ht="12.75" x14ac:dyDescent="0.2">
      <c r="B7880" s="1168"/>
    </row>
    <row r="7881" spans="2:2" s="221" customFormat="1" ht="12.75" x14ac:dyDescent="0.2">
      <c r="B7881" s="1168"/>
    </row>
    <row r="7882" spans="2:2" s="221" customFormat="1" ht="12.75" x14ac:dyDescent="0.2">
      <c r="B7882" s="1168"/>
    </row>
    <row r="7883" spans="2:2" s="221" customFormat="1" ht="12.75" x14ac:dyDescent="0.2">
      <c r="B7883" s="1168"/>
    </row>
    <row r="7884" spans="2:2" s="221" customFormat="1" ht="12.75" x14ac:dyDescent="0.2">
      <c r="B7884" s="1168"/>
    </row>
    <row r="7885" spans="2:2" s="221" customFormat="1" ht="12.75" x14ac:dyDescent="0.2">
      <c r="B7885" s="1168"/>
    </row>
    <row r="7886" spans="2:2" s="221" customFormat="1" ht="12.75" x14ac:dyDescent="0.2">
      <c r="B7886" s="1168"/>
    </row>
    <row r="7887" spans="2:2" s="221" customFormat="1" ht="12.75" x14ac:dyDescent="0.2">
      <c r="B7887" s="1168"/>
    </row>
    <row r="7888" spans="2:2" s="221" customFormat="1" ht="12.75" x14ac:dyDescent="0.2">
      <c r="B7888" s="1168"/>
    </row>
    <row r="7889" spans="2:2" s="221" customFormat="1" ht="12.75" x14ac:dyDescent="0.2">
      <c r="B7889" s="1168"/>
    </row>
    <row r="7890" spans="2:2" s="221" customFormat="1" ht="12.75" x14ac:dyDescent="0.2">
      <c r="B7890" s="1168"/>
    </row>
    <row r="7891" spans="2:2" s="221" customFormat="1" ht="12.75" x14ac:dyDescent="0.2">
      <c r="B7891" s="1168"/>
    </row>
    <row r="7892" spans="2:2" s="221" customFormat="1" ht="12.75" x14ac:dyDescent="0.2">
      <c r="B7892" s="1168"/>
    </row>
    <row r="7893" spans="2:2" s="221" customFormat="1" ht="12.75" x14ac:dyDescent="0.2">
      <c r="B7893" s="1168"/>
    </row>
    <row r="7894" spans="2:2" s="221" customFormat="1" ht="12.75" x14ac:dyDescent="0.2">
      <c r="B7894" s="1168"/>
    </row>
    <row r="7895" spans="2:2" s="221" customFormat="1" ht="12.75" x14ac:dyDescent="0.2">
      <c r="B7895" s="1168"/>
    </row>
    <row r="7896" spans="2:2" s="221" customFormat="1" ht="12.75" x14ac:dyDescent="0.2">
      <c r="B7896" s="1168"/>
    </row>
    <row r="7897" spans="2:2" s="221" customFormat="1" ht="12.75" x14ac:dyDescent="0.2">
      <c r="B7897" s="1168"/>
    </row>
    <row r="7898" spans="2:2" s="221" customFormat="1" ht="12.75" x14ac:dyDescent="0.2">
      <c r="B7898" s="1168"/>
    </row>
    <row r="7899" spans="2:2" s="221" customFormat="1" ht="12.75" x14ac:dyDescent="0.2">
      <c r="B7899" s="1168"/>
    </row>
    <row r="7900" spans="2:2" s="221" customFormat="1" ht="12.75" x14ac:dyDescent="0.2">
      <c r="B7900" s="1168"/>
    </row>
    <row r="7901" spans="2:2" s="221" customFormat="1" ht="12.75" x14ac:dyDescent="0.2">
      <c r="B7901" s="1168"/>
    </row>
    <row r="7902" spans="2:2" s="221" customFormat="1" ht="12.75" x14ac:dyDescent="0.2">
      <c r="B7902" s="1168"/>
    </row>
    <row r="7903" spans="2:2" s="221" customFormat="1" ht="12.75" x14ac:dyDescent="0.2">
      <c r="B7903" s="1168"/>
    </row>
    <row r="7904" spans="2:2" s="221" customFormat="1" ht="12.75" x14ac:dyDescent="0.2">
      <c r="B7904" s="1168"/>
    </row>
    <row r="7905" spans="2:2" s="221" customFormat="1" ht="12.75" x14ac:dyDescent="0.2">
      <c r="B7905" s="1168"/>
    </row>
    <row r="7906" spans="2:2" s="221" customFormat="1" ht="12.75" x14ac:dyDescent="0.2">
      <c r="B7906" s="1168"/>
    </row>
    <row r="7907" spans="2:2" s="221" customFormat="1" ht="12.75" x14ac:dyDescent="0.2">
      <c r="B7907" s="1168"/>
    </row>
    <row r="7908" spans="2:2" s="221" customFormat="1" ht="12.75" x14ac:dyDescent="0.2">
      <c r="B7908" s="1168"/>
    </row>
    <row r="7909" spans="2:2" s="221" customFormat="1" ht="12.75" x14ac:dyDescent="0.2">
      <c r="B7909" s="1168"/>
    </row>
    <row r="7910" spans="2:2" s="221" customFormat="1" ht="12.75" x14ac:dyDescent="0.2">
      <c r="B7910" s="1168"/>
    </row>
    <row r="7911" spans="2:2" s="221" customFormat="1" ht="12.75" x14ac:dyDescent="0.2">
      <c r="B7911" s="1168"/>
    </row>
    <row r="7912" spans="2:2" s="221" customFormat="1" ht="12.75" x14ac:dyDescent="0.2">
      <c r="B7912" s="1168"/>
    </row>
    <row r="7913" spans="2:2" s="221" customFormat="1" ht="12.75" x14ac:dyDescent="0.2">
      <c r="B7913" s="1168"/>
    </row>
    <row r="7914" spans="2:2" s="221" customFormat="1" ht="12.75" x14ac:dyDescent="0.2">
      <c r="B7914" s="1168"/>
    </row>
    <row r="7915" spans="2:2" s="221" customFormat="1" ht="12.75" x14ac:dyDescent="0.2">
      <c r="B7915" s="1168"/>
    </row>
    <row r="7916" spans="2:2" s="221" customFormat="1" ht="12.75" x14ac:dyDescent="0.2">
      <c r="B7916" s="1168"/>
    </row>
    <row r="7917" spans="2:2" s="221" customFormat="1" ht="12.75" x14ac:dyDescent="0.2">
      <c r="B7917" s="1168"/>
    </row>
    <row r="7918" spans="2:2" s="221" customFormat="1" ht="12.75" x14ac:dyDescent="0.2">
      <c r="B7918" s="1168"/>
    </row>
    <row r="7919" spans="2:2" s="221" customFormat="1" ht="12.75" x14ac:dyDescent="0.2">
      <c r="B7919" s="1168"/>
    </row>
    <row r="7920" spans="2:2" s="221" customFormat="1" ht="12.75" x14ac:dyDescent="0.2">
      <c r="B7920" s="1168"/>
    </row>
    <row r="7921" spans="2:2" s="221" customFormat="1" ht="12.75" x14ac:dyDescent="0.2">
      <c r="B7921" s="1168"/>
    </row>
    <row r="7922" spans="2:2" s="221" customFormat="1" ht="12.75" x14ac:dyDescent="0.2">
      <c r="B7922" s="1168"/>
    </row>
    <row r="7923" spans="2:2" s="221" customFormat="1" ht="12.75" x14ac:dyDescent="0.2">
      <c r="B7923" s="1168"/>
    </row>
    <row r="7924" spans="2:2" s="221" customFormat="1" ht="12.75" x14ac:dyDescent="0.2">
      <c r="B7924" s="1168"/>
    </row>
    <row r="7925" spans="2:2" s="221" customFormat="1" ht="12.75" x14ac:dyDescent="0.2">
      <c r="B7925" s="1168"/>
    </row>
    <row r="7926" spans="2:2" s="221" customFormat="1" ht="12.75" x14ac:dyDescent="0.2">
      <c r="B7926" s="1168"/>
    </row>
    <row r="7927" spans="2:2" s="221" customFormat="1" ht="12.75" x14ac:dyDescent="0.2">
      <c r="B7927" s="1168"/>
    </row>
    <row r="7928" spans="2:2" s="221" customFormat="1" ht="12.75" x14ac:dyDescent="0.2">
      <c r="B7928" s="1168"/>
    </row>
    <row r="7929" spans="2:2" s="221" customFormat="1" ht="12.75" x14ac:dyDescent="0.2">
      <c r="B7929" s="1168"/>
    </row>
    <row r="7930" spans="2:2" s="221" customFormat="1" ht="12.75" x14ac:dyDescent="0.2">
      <c r="B7930" s="1168"/>
    </row>
    <row r="7931" spans="2:2" s="221" customFormat="1" ht="12.75" x14ac:dyDescent="0.2">
      <c r="B7931" s="1168"/>
    </row>
    <row r="7932" spans="2:2" s="221" customFormat="1" ht="12.75" x14ac:dyDescent="0.2">
      <c r="B7932" s="1168"/>
    </row>
    <row r="7933" spans="2:2" s="221" customFormat="1" ht="12.75" x14ac:dyDescent="0.2">
      <c r="B7933" s="1168"/>
    </row>
    <row r="7934" spans="2:2" s="221" customFormat="1" ht="12.75" x14ac:dyDescent="0.2">
      <c r="B7934" s="1168"/>
    </row>
    <row r="7935" spans="2:2" s="221" customFormat="1" ht="12.75" x14ac:dyDescent="0.2">
      <c r="B7935" s="1168"/>
    </row>
    <row r="7936" spans="2:2" s="221" customFormat="1" ht="12.75" x14ac:dyDescent="0.2">
      <c r="B7936" s="1168"/>
    </row>
    <row r="7937" spans="2:2" s="221" customFormat="1" ht="12.75" x14ac:dyDescent="0.2">
      <c r="B7937" s="1168"/>
    </row>
    <row r="7938" spans="2:2" s="221" customFormat="1" ht="12.75" x14ac:dyDescent="0.2">
      <c r="B7938" s="1168"/>
    </row>
    <row r="7939" spans="2:2" s="221" customFormat="1" ht="12.75" x14ac:dyDescent="0.2">
      <c r="B7939" s="1168"/>
    </row>
    <row r="7940" spans="2:2" s="221" customFormat="1" ht="12.75" x14ac:dyDescent="0.2">
      <c r="B7940" s="1168"/>
    </row>
    <row r="7941" spans="2:2" s="221" customFormat="1" ht="12.75" x14ac:dyDescent="0.2">
      <c r="B7941" s="1168"/>
    </row>
    <row r="7942" spans="2:2" s="221" customFormat="1" ht="12.75" x14ac:dyDescent="0.2">
      <c r="B7942" s="1168"/>
    </row>
    <row r="7943" spans="2:2" s="221" customFormat="1" ht="12.75" x14ac:dyDescent="0.2">
      <c r="B7943" s="1168"/>
    </row>
    <row r="7944" spans="2:2" s="221" customFormat="1" ht="12.75" x14ac:dyDescent="0.2">
      <c r="B7944" s="1168"/>
    </row>
    <row r="7945" spans="2:2" s="221" customFormat="1" ht="12.75" x14ac:dyDescent="0.2">
      <c r="B7945" s="1168"/>
    </row>
    <row r="7946" spans="2:2" s="221" customFormat="1" ht="12.75" x14ac:dyDescent="0.2">
      <c r="B7946" s="1168"/>
    </row>
    <row r="7947" spans="2:2" s="221" customFormat="1" ht="12.75" x14ac:dyDescent="0.2">
      <c r="B7947" s="1168"/>
    </row>
    <row r="7948" spans="2:2" s="221" customFormat="1" ht="12.75" x14ac:dyDescent="0.2">
      <c r="B7948" s="1168"/>
    </row>
    <row r="7949" spans="2:2" s="221" customFormat="1" ht="12.75" x14ac:dyDescent="0.2">
      <c r="B7949" s="1168"/>
    </row>
    <row r="7950" spans="2:2" s="221" customFormat="1" ht="12.75" x14ac:dyDescent="0.2">
      <c r="B7950" s="1168"/>
    </row>
    <row r="7951" spans="2:2" s="221" customFormat="1" ht="12.75" x14ac:dyDescent="0.2">
      <c r="B7951" s="1168"/>
    </row>
    <row r="7952" spans="2:2" s="221" customFormat="1" ht="12.75" x14ac:dyDescent="0.2">
      <c r="B7952" s="1168"/>
    </row>
    <row r="7953" spans="2:2" s="221" customFormat="1" ht="12.75" x14ac:dyDescent="0.2">
      <c r="B7953" s="1168"/>
    </row>
    <row r="7954" spans="2:2" s="221" customFormat="1" ht="12.75" x14ac:dyDescent="0.2">
      <c r="B7954" s="1168"/>
    </row>
    <row r="7955" spans="2:2" s="221" customFormat="1" ht="12.75" x14ac:dyDescent="0.2">
      <c r="B7955" s="1168"/>
    </row>
    <row r="7956" spans="2:2" s="221" customFormat="1" ht="12.75" x14ac:dyDescent="0.2">
      <c r="B7956" s="1168"/>
    </row>
    <row r="7957" spans="2:2" s="221" customFormat="1" ht="12.75" x14ac:dyDescent="0.2">
      <c r="B7957" s="1168"/>
    </row>
    <row r="7958" spans="2:2" s="221" customFormat="1" ht="12.75" x14ac:dyDescent="0.2">
      <c r="B7958" s="1168"/>
    </row>
    <row r="7959" spans="2:2" s="221" customFormat="1" ht="12.75" x14ac:dyDescent="0.2">
      <c r="B7959" s="1168"/>
    </row>
    <row r="7960" spans="2:2" s="221" customFormat="1" ht="12.75" x14ac:dyDescent="0.2">
      <c r="B7960" s="1168"/>
    </row>
    <row r="7961" spans="2:2" s="221" customFormat="1" ht="12.75" x14ac:dyDescent="0.2">
      <c r="B7961" s="1168"/>
    </row>
    <row r="7962" spans="2:2" s="221" customFormat="1" ht="12.75" x14ac:dyDescent="0.2">
      <c r="B7962" s="1168"/>
    </row>
    <row r="7963" spans="2:2" s="221" customFormat="1" ht="12.75" x14ac:dyDescent="0.2">
      <c r="B7963" s="1168"/>
    </row>
    <row r="7964" spans="2:2" s="221" customFormat="1" ht="12.75" x14ac:dyDescent="0.2">
      <c r="B7964" s="1168"/>
    </row>
    <row r="7965" spans="2:2" s="221" customFormat="1" ht="12.75" x14ac:dyDescent="0.2">
      <c r="B7965" s="1168"/>
    </row>
    <row r="7966" spans="2:2" s="221" customFormat="1" ht="12.75" x14ac:dyDescent="0.2">
      <c r="B7966" s="1168"/>
    </row>
    <row r="7967" spans="2:2" s="221" customFormat="1" ht="12.75" x14ac:dyDescent="0.2">
      <c r="B7967" s="1168"/>
    </row>
    <row r="7968" spans="2:2" s="221" customFormat="1" ht="12.75" x14ac:dyDescent="0.2">
      <c r="B7968" s="1168"/>
    </row>
    <row r="7969" spans="2:2" s="221" customFormat="1" ht="12.75" x14ac:dyDescent="0.2">
      <c r="B7969" s="1168"/>
    </row>
    <row r="7970" spans="2:2" s="221" customFormat="1" ht="12.75" x14ac:dyDescent="0.2">
      <c r="B7970" s="1168"/>
    </row>
    <row r="7971" spans="2:2" s="221" customFormat="1" ht="12.75" x14ac:dyDescent="0.2">
      <c r="B7971" s="1168"/>
    </row>
    <row r="7972" spans="2:2" s="221" customFormat="1" ht="12.75" x14ac:dyDescent="0.2">
      <c r="B7972" s="1168"/>
    </row>
    <row r="7973" spans="2:2" s="221" customFormat="1" ht="12.75" x14ac:dyDescent="0.2">
      <c r="B7973" s="1168"/>
    </row>
    <row r="7974" spans="2:2" s="221" customFormat="1" ht="12.75" x14ac:dyDescent="0.2">
      <c r="B7974" s="1168"/>
    </row>
    <row r="7975" spans="2:2" s="221" customFormat="1" ht="12.75" x14ac:dyDescent="0.2">
      <c r="B7975" s="1168"/>
    </row>
    <row r="7976" spans="2:2" s="221" customFormat="1" ht="12.75" x14ac:dyDescent="0.2">
      <c r="B7976" s="1168"/>
    </row>
    <row r="7977" spans="2:2" s="221" customFormat="1" ht="12.75" x14ac:dyDescent="0.2">
      <c r="B7977" s="1168"/>
    </row>
    <row r="7978" spans="2:2" s="221" customFormat="1" ht="12.75" x14ac:dyDescent="0.2">
      <c r="B7978" s="1168"/>
    </row>
    <row r="7979" spans="2:2" s="221" customFormat="1" ht="12.75" x14ac:dyDescent="0.2">
      <c r="B7979" s="1168"/>
    </row>
    <row r="7980" spans="2:2" s="221" customFormat="1" ht="12.75" x14ac:dyDescent="0.2">
      <c r="B7980" s="1168"/>
    </row>
    <row r="7981" spans="2:2" s="221" customFormat="1" ht="12.75" x14ac:dyDescent="0.2">
      <c r="B7981" s="1168"/>
    </row>
    <row r="7982" spans="2:2" s="221" customFormat="1" ht="12.75" x14ac:dyDescent="0.2">
      <c r="B7982" s="1168"/>
    </row>
    <row r="7983" spans="2:2" s="221" customFormat="1" ht="12.75" x14ac:dyDescent="0.2">
      <c r="B7983" s="1168"/>
    </row>
    <row r="7984" spans="2:2" s="221" customFormat="1" ht="12.75" x14ac:dyDescent="0.2">
      <c r="B7984" s="1168"/>
    </row>
    <row r="7985" spans="2:2" s="221" customFormat="1" ht="12.75" x14ac:dyDescent="0.2">
      <c r="B7985" s="1168"/>
    </row>
    <row r="7986" spans="2:2" s="221" customFormat="1" ht="12.75" x14ac:dyDescent="0.2">
      <c r="B7986" s="1168"/>
    </row>
    <row r="7987" spans="2:2" s="221" customFormat="1" ht="12.75" x14ac:dyDescent="0.2">
      <c r="B7987" s="1168"/>
    </row>
    <row r="7988" spans="2:2" s="221" customFormat="1" ht="12.75" x14ac:dyDescent="0.2">
      <c r="B7988" s="1168"/>
    </row>
    <row r="7989" spans="2:2" s="221" customFormat="1" ht="12.75" x14ac:dyDescent="0.2">
      <c r="B7989" s="1168"/>
    </row>
    <row r="7990" spans="2:2" s="221" customFormat="1" ht="12.75" x14ac:dyDescent="0.2">
      <c r="B7990" s="1168"/>
    </row>
    <row r="7991" spans="2:2" s="221" customFormat="1" ht="12.75" x14ac:dyDescent="0.2">
      <c r="B7991" s="1168"/>
    </row>
    <row r="7992" spans="2:2" s="221" customFormat="1" ht="12.75" x14ac:dyDescent="0.2">
      <c r="B7992" s="1168"/>
    </row>
    <row r="7993" spans="2:2" s="221" customFormat="1" ht="12.75" x14ac:dyDescent="0.2">
      <c r="B7993" s="1168"/>
    </row>
    <row r="7994" spans="2:2" s="221" customFormat="1" ht="12.75" x14ac:dyDescent="0.2">
      <c r="B7994" s="1168"/>
    </row>
    <row r="7995" spans="2:2" s="221" customFormat="1" ht="12.75" x14ac:dyDescent="0.2">
      <c r="B7995" s="1168"/>
    </row>
    <row r="7996" spans="2:2" s="221" customFormat="1" ht="12.75" x14ac:dyDescent="0.2">
      <c r="B7996" s="1168"/>
    </row>
    <row r="7997" spans="2:2" s="221" customFormat="1" ht="12.75" x14ac:dyDescent="0.2">
      <c r="B7997" s="1168"/>
    </row>
    <row r="7998" spans="2:2" s="221" customFormat="1" ht="12.75" x14ac:dyDescent="0.2">
      <c r="B7998" s="1168"/>
    </row>
    <row r="7999" spans="2:2" s="221" customFormat="1" ht="12.75" x14ac:dyDescent="0.2">
      <c r="B7999" s="1168"/>
    </row>
    <row r="8000" spans="2:2" s="221" customFormat="1" ht="12.75" x14ac:dyDescent="0.2">
      <c r="B8000" s="1168"/>
    </row>
    <row r="8001" spans="2:2" s="221" customFormat="1" ht="12.75" x14ac:dyDescent="0.2">
      <c r="B8001" s="1168"/>
    </row>
    <row r="8002" spans="2:2" s="221" customFormat="1" ht="12.75" x14ac:dyDescent="0.2">
      <c r="B8002" s="1168"/>
    </row>
    <row r="8003" spans="2:2" s="221" customFormat="1" ht="12.75" x14ac:dyDescent="0.2">
      <c r="B8003" s="1168"/>
    </row>
    <row r="8004" spans="2:2" s="221" customFormat="1" ht="12.75" x14ac:dyDescent="0.2">
      <c r="B8004" s="1168"/>
    </row>
    <row r="8005" spans="2:2" s="221" customFormat="1" ht="12.75" x14ac:dyDescent="0.2">
      <c r="B8005" s="1168"/>
    </row>
    <row r="8006" spans="2:2" s="221" customFormat="1" ht="12.75" x14ac:dyDescent="0.2">
      <c r="B8006" s="1168"/>
    </row>
    <row r="8007" spans="2:2" s="221" customFormat="1" ht="12.75" x14ac:dyDescent="0.2">
      <c r="B8007" s="1168"/>
    </row>
    <row r="8008" spans="2:2" s="221" customFormat="1" ht="12.75" x14ac:dyDescent="0.2">
      <c r="B8008" s="1168"/>
    </row>
    <row r="8009" spans="2:2" s="221" customFormat="1" ht="12.75" x14ac:dyDescent="0.2">
      <c r="B8009" s="1168"/>
    </row>
    <row r="8010" spans="2:2" s="221" customFormat="1" ht="12.75" x14ac:dyDescent="0.2">
      <c r="B8010" s="1168"/>
    </row>
    <row r="8011" spans="2:2" s="221" customFormat="1" ht="12.75" x14ac:dyDescent="0.2">
      <c r="B8011" s="1168"/>
    </row>
    <row r="8012" spans="2:2" s="221" customFormat="1" ht="12.75" x14ac:dyDescent="0.2">
      <c r="B8012" s="1168"/>
    </row>
    <row r="8013" spans="2:2" s="221" customFormat="1" ht="12.75" x14ac:dyDescent="0.2">
      <c r="B8013" s="1168"/>
    </row>
    <row r="8014" spans="2:2" s="221" customFormat="1" ht="12.75" x14ac:dyDescent="0.2">
      <c r="B8014" s="1168"/>
    </row>
    <row r="8015" spans="2:2" s="221" customFormat="1" ht="12.75" x14ac:dyDescent="0.2">
      <c r="B8015" s="1168"/>
    </row>
    <row r="8016" spans="2:2" s="221" customFormat="1" ht="12.75" x14ac:dyDescent="0.2">
      <c r="B8016" s="1168"/>
    </row>
    <row r="8017" spans="2:2" s="221" customFormat="1" ht="12.75" x14ac:dyDescent="0.2">
      <c r="B8017" s="1168"/>
    </row>
    <row r="8018" spans="2:2" s="221" customFormat="1" ht="12.75" x14ac:dyDescent="0.2">
      <c r="B8018" s="1168"/>
    </row>
    <row r="8019" spans="2:2" s="221" customFormat="1" ht="12.75" x14ac:dyDescent="0.2">
      <c r="B8019" s="1168"/>
    </row>
    <row r="8020" spans="2:2" s="221" customFormat="1" ht="12.75" x14ac:dyDescent="0.2">
      <c r="B8020" s="1168"/>
    </row>
    <row r="8021" spans="2:2" s="221" customFormat="1" ht="12.75" x14ac:dyDescent="0.2">
      <c r="B8021" s="1168"/>
    </row>
    <row r="8022" spans="2:2" s="221" customFormat="1" ht="12.75" x14ac:dyDescent="0.2">
      <c r="B8022" s="1168"/>
    </row>
    <row r="8023" spans="2:2" s="221" customFormat="1" ht="12.75" x14ac:dyDescent="0.2">
      <c r="B8023" s="1168"/>
    </row>
    <row r="8024" spans="2:2" s="221" customFormat="1" ht="12.75" x14ac:dyDescent="0.2">
      <c r="B8024" s="1168"/>
    </row>
    <row r="8025" spans="2:2" s="221" customFormat="1" ht="12.75" x14ac:dyDescent="0.2">
      <c r="B8025" s="1168"/>
    </row>
    <row r="8026" spans="2:2" s="221" customFormat="1" ht="12.75" x14ac:dyDescent="0.2">
      <c r="B8026" s="1168"/>
    </row>
    <row r="8027" spans="2:2" s="221" customFormat="1" ht="12.75" x14ac:dyDescent="0.2">
      <c r="B8027" s="1168"/>
    </row>
    <row r="8028" spans="2:2" s="221" customFormat="1" ht="12.75" x14ac:dyDescent="0.2">
      <c r="B8028" s="1168"/>
    </row>
    <row r="8029" spans="2:2" s="221" customFormat="1" ht="12.75" x14ac:dyDescent="0.2">
      <c r="B8029" s="1168"/>
    </row>
    <row r="8030" spans="2:2" s="221" customFormat="1" ht="12.75" x14ac:dyDescent="0.2">
      <c r="B8030" s="1168"/>
    </row>
    <row r="8031" spans="2:2" s="221" customFormat="1" ht="12.75" x14ac:dyDescent="0.2">
      <c r="B8031" s="1168"/>
    </row>
    <row r="8032" spans="2:2" s="221" customFormat="1" ht="12.75" x14ac:dyDescent="0.2">
      <c r="B8032" s="1168"/>
    </row>
    <row r="8033" spans="2:2" s="221" customFormat="1" ht="12.75" x14ac:dyDescent="0.2">
      <c r="B8033" s="1168"/>
    </row>
    <row r="8034" spans="2:2" s="221" customFormat="1" ht="12.75" x14ac:dyDescent="0.2">
      <c r="B8034" s="1168"/>
    </row>
    <row r="8035" spans="2:2" s="221" customFormat="1" ht="12.75" x14ac:dyDescent="0.2">
      <c r="B8035" s="1168"/>
    </row>
    <row r="8036" spans="2:2" s="221" customFormat="1" ht="12.75" x14ac:dyDescent="0.2">
      <c r="B8036" s="1168"/>
    </row>
    <row r="8037" spans="2:2" s="221" customFormat="1" ht="12.75" x14ac:dyDescent="0.2">
      <c r="B8037" s="1168"/>
    </row>
    <row r="8038" spans="2:2" s="221" customFormat="1" ht="12.75" x14ac:dyDescent="0.2">
      <c r="B8038" s="1168"/>
    </row>
    <row r="8039" spans="2:2" s="221" customFormat="1" ht="12.75" x14ac:dyDescent="0.2">
      <c r="B8039" s="1168"/>
    </row>
    <row r="8040" spans="2:2" s="221" customFormat="1" ht="12.75" x14ac:dyDescent="0.2">
      <c r="B8040" s="1168"/>
    </row>
    <row r="8041" spans="2:2" s="221" customFormat="1" ht="12.75" x14ac:dyDescent="0.2">
      <c r="B8041" s="1168"/>
    </row>
    <row r="8042" spans="2:2" s="221" customFormat="1" ht="12.75" x14ac:dyDescent="0.2">
      <c r="B8042" s="1168"/>
    </row>
    <row r="8043" spans="2:2" s="221" customFormat="1" ht="12.75" x14ac:dyDescent="0.2">
      <c r="B8043" s="1168"/>
    </row>
    <row r="8044" spans="2:2" s="221" customFormat="1" ht="12.75" x14ac:dyDescent="0.2">
      <c r="B8044" s="1168"/>
    </row>
    <row r="8045" spans="2:2" s="221" customFormat="1" ht="12.75" x14ac:dyDescent="0.2">
      <c r="B8045" s="1168"/>
    </row>
    <row r="8046" spans="2:2" s="221" customFormat="1" ht="12.75" x14ac:dyDescent="0.2">
      <c r="B8046" s="1168"/>
    </row>
    <row r="8047" spans="2:2" s="221" customFormat="1" ht="12.75" x14ac:dyDescent="0.2">
      <c r="B8047" s="1168"/>
    </row>
    <row r="8048" spans="2:2" s="221" customFormat="1" ht="12.75" x14ac:dyDescent="0.2">
      <c r="B8048" s="1168"/>
    </row>
    <row r="8049" spans="2:2" s="221" customFormat="1" ht="12.75" x14ac:dyDescent="0.2">
      <c r="B8049" s="1168"/>
    </row>
    <row r="8050" spans="2:2" s="221" customFormat="1" ht="12.75" x14ac:dyDescent="0.2">
      <c r="B8050" s="1168"/>
    </row>
    <row r="8051" spans="2:2" s="221" customFormat="1" ht="12.75" x14ac:dyDescent="0.2">
      <c r="B8051" s="1168"/>
    </row>
    <row r="8052" spans="2:2" s="221" customFormat="1" ht="12.75" x14ac:dyDescent="0.2">
      <c r="B8052" s="1168"/>
    </row>
    <row r="8053" spans="2:2" s="221" customFormat="1" ht="12.75" x14ac:dyDescent="0.2">
      <c r="B8053" s="1168"/>
    </row>
    <row r="8054" spans="2:2" s="221" customFormat="1" ht="12.75" x14ac:dyDescent="0.2">
      <c r="B8054" s="1168"/>
    </row>
    <row r="8055" spans="2:2" s="221" customFormat="1" ht="12.75" x14ac:dyDescent="0.2">
      <c r="B8055" s="1168"/>
    </row>
    <row r="8056" spans="2:2" s="221" customFormat="1" ht="12.75" x14ac:dyDescent="0.2">
      <c r="B8056" s="1168"/>
    </row>
    <row r="8057" spans="2:2" s="221" customFormat="1" ht="12.75" x14ac:dyDescent="0.2">
      <c r="B8057" s="1168"/>
    </row>
    <row r="8058" spans="2:2" s="221" customFormat="1" ht="12.75" x14ac:dyDescent="0.2">
      <c r="B8058" s="1168"/>
    </row>
    <row r="8059" spans="2:2" s="221" customFormat="1" ht="12.75" x14ac:dyDescent="0.2">
      <c r="B8059" s="1168"/>
    </row>
    <row r="8060" spans="2:2" s="221" customFormat="1" ht="12.75" x14ac:dyDescent="0.2">
      <c r="B8060" s="1168"/>
    </row>
    <row r="8061" spans="2:2" s="221" customFormat="1" ht="12.75" x14ac:dyDescent="0.2">
      <c r="B8061" s="1168"/>
    </row>
    <row r="8062" spans="2:2" s="221" customFormat="1" ht="12.75" x14ac:dyDescent="0.2">
      <c r="B8062" s="1168"/>
    </row>
    <row r="8063" spans="2:2" s="221" customFormat="1" ht="12.75" x14ac:dyDescent="0.2">
      <c r="B8063" s="1168"/>
    </row>
    <row r="8064" spans="2:2" s="221" customFormat="1" ht="12.75" x14ac:dyDescent="0.2">
      <c r="B8064" s="1168"/>
    </row>
    <row r="8065" spans="2:2" s="221" customFormat="1" ht="12.75" x14ac:dyDescent="0.2">
      <c r="B8065" s="1168"/>
    </row>
    <row r="8066" spans="2:2" s="221" customFormat="1" ht="12.75" x14ac:dyDescent="0.2">
      <c r="B8066" s="1168"/>
    </row>
    <row r="8067" spans="2:2" s="221" customFormat="1" ht="12.75" x14ac:dyDescent="0.2">
      <c r="B8067" s="1168"/>
    </row>
    <row r="8068" spans="2:2" s="221" customFormat="1" ht="12.75" x14ac:dyDescent="0.2">
      <c r="B8068" s="1168"/>
    </row>
    <row r="8069" spans="2:2" s="221" customFormat="1" ht="12.75" x14ac:dyDescent="0.2">
      <c r="B8069" s="1168"/>
    </row>
    <row r="8070" spans="2:2" s="221" customFormat="1" ht="12.75" x14ac:dyDescent="0.2">
      <c r="B8070" s="1168"/>
    </row>
    <row r="8071" spans="2:2" s="221" customFormat="1" ht="12.75" x14ac:dyDescent="0.2">
      <c r="B8071" s="1168"/>
    </row>
    <row r="8072" spans="2:2" s="221" customFormat="1" ht="12.75" x14ac:dyDescent="0.2">
      <c r="B8072" s="1168"/>
    </row>
    <row r="8073" spans="2:2" s="221" customFormat="1" ht="12.75" x14ac:dyDescent="0.2">
      <c r="B8073" s="1168"/>
    </row>
    <row r="8074" spans="2:2" s="221" customFormat="1" ht="12.75" x14ac:dyDescent="0.2">
      <c r="B8074" s="1168"/>
    </row>
    <row r="8075" spans="2:2" s="221" customFormat="1" ht="12.75" x14ac:dyDescent="0.2">
      <c r="B8075" s="1168"/>
    </row>
    <row r="8076" spans="2:2" s="221" customFormat="1" ht="12.75" x14ac:dyDescent="0.2">
      <c r="B8076" s="1168"/>
    </row>
    <row r="8077" spans="2:2" s="221" customFormat="1" ht="12.75" x14ac:dyDescent="0.2">
      <c r="B8077" s="1168"/>
    </row>
    <row r="8078" spans="2:2" s="221" customFormat="1" ht="12.75" x14ac:dyDescent="0.2">
      <c r="B8078" s="1168"/>
    </row>
    <row r="8079" spans="2:2" s="221" customFormat="1" ht="12.75" x14ac:dyDescent="0.2">
      <c r="B8079" s="1168"/>
    </row>
    <row r="8080" spans="2:2" s="221" customFormat="1" ht="12.75" x14ac:dyDescent="0.2">
      <c r="B8080" s="1168"/>
    </row>
    <row r="8081" spans="2:2" s="221" customFormat="1" ht="12.75" x14ac:dyDescent="0.2">
      <c r="B8081" s="1168"/>
    </row>
    <row r="8082" spans="2:2" s="221" customFormat="1" ht="12.75" x14ac:dyDescent="0.2">
      <c r="B8082" s="1168"/>
    </row>
    <row r="8083" spans="2:2" s="221" customFormat="1" ht="12.75" x14ac:dyDescent="0.2">
      <c r="B8083" s="1168"/>
    </row>
    <row r="8084" spans="2:2" s="221" customFormat="1" ht="12.75" x14ac:dyDescent="0.2">
      <c r="B8084" s="1168"/>
    </row>
    <row r="8085" spans="2:2" s="221" customFormat="1" ht="12.75" x14ac:dyDescent="0.2">
      <c r="B8085" s="1168"/>
    </row>
    <row r="8086" spans="2:2" s="221" customFormat="1" ht="12.75" x14ac:dyDescent="0.2">
      <c r="B8086" s="1168"/>
    </row>
    <row r="8087" spans="2:2" s="221" customFormat="1" ht="12.75" x14ac:dyDescent="0.2">
      <c r="B8087" s="1168"/>
    </row>
    <row r="8088" spans="2:2" s="221" customFormat="1" ht="12.75" x14ac:dyDescent="0.2">
      <c r="B8088" s="1168"/>
    </row>
    <row r="8089" spans="2:2" s="221" customFormat="1" ht="12.75" x14ac:dyDescent="0.2">
      <c r="B8089" s="1168"/>
    </row>
    <row r="8090" spans="2:2" s="221" customFormat="1" ht="12.75" x14ac:dyDescent="0.2">
      <c r="B8090" s="1168"/>
    </row>
    <row r="8091" spans="2:2" s="221" customFormat="1" ht="12.75" x14ac:dyDescent="0.2">
      <c r="B8091" s="1168"/>
    </row>
    <row r="8092" spans="2:2" s="221" customFormat="1" ht="12.75" x14ac:dyDescent="0.2">
      <c r="B8092" s="1168"/>
    </row>
    <row r="8093" spans="2:2" s="221" customFormat="1" ht="12.75" x14ac:dyDescent="0.2">
      <c r="B8093" s="1168"/>
    </row>
    <row r="8094" spans="2:2" s="221" customFormat="1" ht="12.75" x14ac:dyDescent="0.2">
      <c r="B8094" s="1168"/>
    </row>
    <row r="8095" spans="2:2" s="221" customFormat="1" ht="12.75" x14ac:dyDescent="0.2">
      <c r="B8095" s="1168"/>
    </row>
    <row r="8096" spans="2:2" s="221" customFormat="1" ht="12.75" x14ac:dyDescent="0.2">
      <c r="B8096" s="1168"/>
    </row>
    <row r="8097" spans="2:2" s="221" customFormat="1" ht="12.75" x14ac:dyDescent="0.2">
      <c r="B8097" s="1168"/>
    </row>
    <row r="8098" spans="2:2" s="221" customFormat="1" ht="12.75" x14ac:dyDescent="0.2">
      <c r="B8098" s="1168"/>
    </row>
    <row r="8099" spans="2:2" s="221" customFormat="1" ht="12.75" x14ac:dyDescent="0.2">
      <c r="B8099" s="1168"/>
    </row>
    <row r="8100" spans="2:2" s="221" customFormat="1" ht="12.75" x14ac:dyDescent="0.2">
      <c r="B8100" s="1168"/>
    </row>
    <row r="8101" spans="2:2" s="221" customFormat="1" ht="12.75" x14ac:dyDescent="0.2">
      <c r="B8101" s="1168"/>
    </row>
    <row r="8102" spans="2:2" s="221" customFormat="1" ht="12.75" x14ac:dyDescent="0.2">
      <c r="B8102" s="1168"/>
    </row>
    <row r="8103" spans="2:2" s="221" customFormat="1" ht="12.75" x14ac:dyDescent="0.2">
      <c r="B8103" s="1168"/>
    </row>
    <row r="8104" spans="2:2" s="221" customFormat="1" ht="12.75" x14ac:dyDescent="0.2">
      <c r="B8104" s="1168"/>
    </row>
    <row r="8105" spans="2:2" s="221" customFormat="1" ht="12.75" x14ac:dyDescent="0.2">
      <c r="B8105" s="1168"/>
    </row>
    <row r="8106" spans="2:2" s="221" customFormat="1" ht="12.75" x14ac:dyDescent="0.2">
      <c r="B8106" s="1168"/>
    </row>
    <row r="8107" spans="2:2" s="221" customFormat="1" ht="12.75" x14ac:dyDescent="0.2">
      <c r="B8107" s="1168"/>
    </row>
    <row r="8108" spans="2:2" s="221" customFormat="1" ht="12.75" x14ac:dyDescent="0.2">
      <c r="B8108" s="1168"/>
    </row>
    <row r="8109" spans="2:2" s="221" customFormat="1" ht="12.75" x14ac:dyDescent="0.2">
      <c r="B8109" s="1168"/>
    </row>
    <row r="8110" spans="2:2" s="221" customFormat="1" ht="12.75" x14ac:dyDescent="0.2">
      <c r="B8110" s="1168"/>
    </row>
    <row r="8111" spans="2:2" s="221" customFormat="1" ht="12.75" x14ac:dyDescent="0.2">
      <c r="B8111" s="1168"/>
    </row>
    <row r="8112" spans="2:2" s="221" customFormat="1" ht="12.75" x14ac:dyDescent="0.2">
      <c r="B8112" s="1168"/>
    </row>
    <row r="8113" spans="2:2" s="221" customFormat="1" ht="12.75" x14ac:dyDescent="0.2">
      <c r="B8113" s="1168"/>
    </row>
    <row r="8114" spans="2:2" s="221" customFormat="1" ht="12.75" x14ac:dyDescent="0.2">
      <c r="B8114" s="1168"/>
    </row>
    <row r="8115" spans="2:2" s="221" customFormat="1" ht="12.75" x14ac:dyDescent="0.2">
      <c r="B8115" s="1168"/>
    </row>
    <row r="8116" spans="2:2" s="221" customFormat="1" ht="12.75" x14ac:dyDescent="0.2">
      <c r="B8116" s="1168"/>
    </row>
    <row r="8117" spans="2:2" s="221" customFormat="1" ht="12.75" x14ac:dyDescent="0.2">
      <c r="B8117" s="1168"/>
    </row>
    <row r="8118" spans="2:2" s="221" customFormat="1" ht="12.75" x14ac:dyDescent="0.2">
      <c r="B8118" s="1168"/>
    </row>
    <row r="8119" spans="2:2" s="221" customFormat="1" ht="12.75" x14ac:dyDescent="0.2">
      <c r="B8119" s="1168"/>
    </row>
    <row r="8120" spans="2:2" s="221" customFormat="1" ht="12.75" x14ac:dyDescent="0.2">
      <c r="B8120" s="1168"/>
    </row>
    <row r="8121" spans="2:2" s="221" customFormat="1" ht="12.75" x14ac:dyDescent="0.2">
      <c r="B8121" s="1168"/>
    </row>
    <row r="8122" spans="2:2" s="221" customFormat="1" ht="12.75" x14ac:dyDescent="0.2">
      <c r="B8122" s="1168"/>
    </row>
    <row r="8123" spans="2:2" s="221" customFormat="1" ht="12.75" x14ac:dyDescent="0.2">
      <c r="B8123" s="1168"/>
    </row>
    <row r="8124" spans="2:2" s="221" customFormat="1" ht="12.75" x14ac:dyDescent="0.2">
      <c r="B8124" s="1168"/>
    </row>
    <row r="8125" spans="2:2" s="221" customFormat="1" ht="12.75" x14ac:dyDescent="0.2">
      <c r="B8125" s="1168"/>
    </row>
    <row r="8126" spans="2:2" s="221" customFormat="1" ht="12.75" x14ac:dyDescent="0.2">
      <c r="B8126" s="1168"/>
    </row>
    <row r="8127" spans="2:2" s="221" customFormat="1" ht="12.75" x14ac:dyDescent="0.2">
      <c r="B8127" s="1168"/>
    </row>
    <row r="8128" spans="2:2" s="221" customFormat="1" ht="12.75" x14ac:dyDescent="0.2">
      <c r="B8128" s="1168"/>
    </row>
    <row r="8129" spans="2:2" s="221" customFormat="1" ht="12.75" x14ac:dyDescent="0.2">
      <c r="B8129" s="1168"/>
    </row>
    <row r="8130" spans="2:2" s="221" customFormat="1" ht="12.75" x14ac:dyDescent="0.2">
      <c r="B8130" s="1168"/>
    </row>
    <row r="8131" spans="2:2" s="221" customFormat="1" ht="12.75" x14ac:dyDescent="0.2">
      <c r="B8131" s="1168"/>
    </row>
    <row r="8132" spans="2:2" s="221" customFormat="1" ht="12.75" x14ac:dyDescent="0.2">
      <c r="B8132" s="1168"/>
    </row>
    <row r="8133" spans="2:2" s="221" customFormat="1" ht="12.75" x14ac:dyDescent="0.2">
      <c r="B8133" s="1168"/>
    </row>
    <row r="8134" spans="2:2" s="221" customFormat="1" ht="12.75" x14ac:dyDescent="0.2">
      <c r="B8134" s="1168"/>
    </row>
    <row r="8135" spans="2:2" s="221" customFormat="1" ht="12.75" x14ac:dyDescent="0.2">
      <c r="B8135" s="1168"/>
    </row>
    <row r="8136" spans="2:2" s="221" customFormat="1" ht="12.75" x14ac:dyDescent="0.2">
      <c r="B8136" s="1168"/>
    </row>
    <row r="8137" spans="2:2" s="221" customFormat="1" ht="12.75" x14ac:dyDescent="0.2">
      <c r="B8137" s="1168"/>
    </row>
    <row r="8138" spans="2:2" s="221" customFormat="1" ht="12.75" x14ac:dyDescent="0.2">
      <c r="B8138" s="1168"/>
    </row>
    <row r="8139" spans="2:2" s="221" customFormat="1" ht="12.75" x14ac:dyDescent="0.2">
      <c r="B8139" s="1168"/>
    </row>
    <row r="8140" spans="2:2" s="221" customFormat="1" ht="12.75" x14ac:dyDescent="0.2">
      <c r="B8140" s="1168"/>
    </row>
    <row r="8141" spans="2:2" s="221" customFormat="1" ht="12.75" x14ac:dyDescent="0.2">
      <c r="B8141" s="1168"/>
    </row>
    <row r="8142" spans="2:2" s="221" customFormat="1" ht="12.75" x14ac:dyDescent="0.2">
      <c r="B8142" s="1168"/>
    </row>
    <row r="8143" spans="2:2" s="221" customFormat="1" ht="12.75" x14ac:dyDescent="0.2">
      <c r="B8143" s="1168"/>
    </row>
    <row r="8144" spans="2:2" s="221" customFormat="1" ht="12.75" x14ac:dyDescent="0.2">
      <c r="B8144" s="1168"/>
    </row>
    <row r="8145" spans="2:2" s="221" customFormat="1" ht="12.75" x14ac:dyDescent="0.2">
      <c r="B8145" s="1168"/>
    </row>
    <row r="8146" spans="2:2" s="221" customFormat="1" ht="12.75" x14ac:dyDescent="0.2">
      <c r="B8146" s="1168"/>
    </row>
    <row r="8147" spans="2:2" s="221" customFormat="1" ht="12.75" x14ac:dyDescent="0.2">
      <c r="B8147" s="1168"/>
    </row>
    <row r="8148" spans="2:2" s="221" customFormat="1" ht="12.75" x14ac:dyDescent="0.2">
      <c r="B8148" s="1168"/>
    </row>
    <row r="8149" spans="2:2" s="221" customFormat="1" ht="12.75" x14ac:dyDescent="0.2">
      <c r="B8149" s="1168"/>
    </row>
    <row r="8150" spans="2:2" s="221" customFormat="1" ht="12.75" x14ac:dyDescent="0.2">
      <c r="B8150" s="1168"/>
    </row>
    <row r="8151" spans="2:2" s="221" customFormat="1" ht="12.75" x14ac:dyDescent="0.2">
      <c r="B8151" s="1168"/>
    </row>
    <row r="8152" spans="2:2" s="221" customFormat="1" ht="12.75" x14ac:dyDescent="0.2">
      <c r="B8152" s="1168"/>
    </row>
    <row r="8153" spans="2:2" s="221" customFormat="1" ht="12.75" x14ac:dyDescent="0.2">
      <c r="B8153" s="1168"/>
    </row>
    <row r="8154" spans="2:2" s="221" customFormat="1" ht="12.75" x14ac:dyDescent="0.2">
      <c r="B8154" s="1168"/>
    </row>
    <row r="8155" spans="2:2" s="221" customFormat="1" ht="12.75" x14ac:dyDescent="0.2">
      <c r="B8155" s="1168"/>
    </row>
    <row r="8156" spans="2:2" s="221" customFormat="1" ht="12.75" x14ac:dyDescent="0.2">
      <c r="B8156" s="1168"/>
    </row>
    <row r="8157" spans="2:2" s="221" customFormat="1" ht="12.75" x14ac:dyDescent="0.2">
      <c r="B8157" s="1168"/>
    </row>
    <row r="8158" spans="2:2" s="221" customFormat="1" ht="12.75" x14ac:dyDescent="0.2">
      <c r="B8158" s="1168"/>
    </row>
    <row r="8159" spans="2:2" s="221" customFormat="1" ht="12.75" x14ac:dyDescent="0.2">
      <c r="B8159" s="1168"/>
    </row>
    <row r="8160" spans="2:2" s="221" customFormat="1" ht="12.75" x14ac:dyDescent="0.2">
      <c r="B8160" s="1168"/>
    </row>
    <row r="8161" spans="2:2" s="221" customFormat="1" ht="12.75" x14ac:dyDescent="0.2">
      <c r="B8161" s="1168"/>
    </row>
    <row r="8162" spans="2:2" s="221" customFormat="1" ht="12.75" x14ac:dyDescent="0.2">
      <c r="B8162" s="1168"/>
    </row>
    <row r="8163" spans="2:2" s="221" customFormat="1" ht="12.75" x14ac:dyDescent="0.2">
      <c r="B8163" s="1168"/>
    </row>
    <row r="8164" spans="2:2" s="221" customFormat="1" ht="12.75" x14ac:dyDescent="0.2">
      <c r="B8164" s="1168"/>
    </row>
    <row r="8165" spans="2:2" s="221" customFormat="1" ht="12.75" x14ac:dyDescent="0.2">
      <c r="B8165" s="1168"/>
    </row>
    <row r="8166" spans="2:2" s="221" customFormat="1" ht="12.75" x14ac:dyDescent="0.2">
      <c r="B8166" s="1168"/>
    </row>
    <row r="8167" spans="2:2" s="221" customFormat="1" ht="12.75" x14ac:dyDescent="0.2">
      <c r="B8167" s="1168"/>
    </row>
    <row r="8168" spans="2:2" s="221" customFormat="1" ht="12.75" x14ac:dyDescent="0.2">
      <c r="B8168" s="1168"/>
    </row>
    <row r="8169" spans="2:2" s="221" customFormat="1" ht="12.75" x14ac:dyDescent="0.2">
      <c r="B8169" s="1168"/>
    </row>
    <row r="8170" spans="2:2" s="221" customFormat="1" ht="12.75" x14ac:dyDescent="0.2">
      <c r="B8170" s="1168"/>
    </row>
    <row r="8171" spans="2:2" s="221" customFormat="1" ht="12.75" x14ac:dyDescent="0.2">
      <c r="B8171" s="1168"/>
    </row>
    <row r="8172" spans="2:2" s="221" customFormat="1" ht="12.75" x14ac:dyDescent="0.2">
      <c r="B8172" s="1168"/>
    </row>
    <row r="8173" spans="2:2" s="221" customFormat="1" ht="12.75" x14ac:dyDescent="0.2">
      <c r="B8173" s="1168"/>
    </row>
    <row r="8174" spans="2:2" s="221" customFormat="1" ht="12.75" x14ac:dyDescent="0.2">
      <c r="B8174" s="1168"/>
    </row>
    <row r="8175" spans="2:2" s="221" customFormat="1" ht="12.75" x14ac:dyDescent="0.2">
      <c r="B8175" s="1168"/>
    </row>
    <row r="8176" spans="2:2" s="221" customFormat="1" ht="12.75" x14ac:dyDescent="0.2">
      <c r="B8176" s="1168"/>
    </row>
    <row r="8177" spans="2:2" s="221" customFormat="1" ht="12.75" x14ac:dyDescent="0.2">
      <c r="B8177" s="1168"/>
    </row>
    <row r="8178" spans="2:2" s="221" customFormat="1" ht="12.75" x14ac:dyDescent="0.2">
      <c r="B8178" s="1168"/>
    </row>
    <row r="8179" spans="2:2" s="221" customFormat="1" ht="12.75" x14ac:dyDescent="0.2">
      <c r="B8179" s="1168"/>
    </row>
    <row r="8180" spans="2:2" s="221" customFormat="1" ht="12.75" x14ac:dyDescent="0.2">
      <c r="B8180" s="1168"/>
    </row>
    <row r="8181" spans="2:2" s="221" customFormat="1" ht="12.75" x14ac:dyDescent="0.2">
      <c r="B8181" s="1168"/>
    </row>
    <row r="8182" spans="2:2" s="221" customFormat="1" ht="12.75" x14ac:dyDescent="0.2">
      <c r="B8182" s="1168"/>
    </row>
    <row r="8183" spans="2:2" s="221" customFormat="1" ht="12.75" x14ac:dyDescent="0.2">
      <c r="B8183" s="1168"/>
    </row>
    <row r="8184" spans="2:2" s="221" customFormat="1" ht="12.75" x14ac:dyDescent="0.2">
      <c r="B8184" s="1168"/>
    </row>
    <row r="8185" spans="2:2" s="221" customFormat="1" ht="12.75" x14ac:dyDescent="0.2">
      <c r="B8185" s="1168"/>
    </row>
    <row r="8186" spans="2:2" s="221" customFormat="1" ht="12.75" x14ac:dyDescent="0.2">
      <c r="B8186" s="1168"/>
    </row>
    <row r="8187" spans="2:2" s="221" customFormat="1" ht="12.75" x14ac:dyDescent="0.2">
      <c r="B8187" s="1168"/>
    </row>
    <row r="8188" spans="2:2" s="221" customFormat="1" ht="12.75" x14ac:dyDescent="0.2">
      <c r="B8188" s="1168"/>
    </row>
    <row r="8189" spans="2:2" s="221" customFormat="1" ht="12.75" x14ac:dyDescent="0.2">
      <c r="B8189" s="1168"/>
    </row>
    <row r="8190" spans="2:2" s="221" customFormat="1" ht="12.75" x14ac:dyDescent="0.2">
      <c r="B8190" s="1168"/>
    </row>
    <row r="8191" spans="2:2" s="221" customFormat="1" ht="12.75" x14ac:dyDescent="0.2">
      <c r="B8191" s="1168"/>
    </row>
    <row r="8192" spans="2:2" s="221" customFormat="1" ht="12.75" x14ac:dyDescent="0.2">
      <c r="B8192" s="1168"/>
    </row>
    <row r="8193" spans="2:2" s="221" customFormat="1" ht="12.75" x14ac:dyDescent="0.2">
      <c r="B8193" s="1168"/>
    </row>
    <row r="8194" spans="2:2" s="221" customFormat="1" ht="12.75" x14ac:dyDescent="0.2">
      <c r="B8194" s="1168"/>
    </row>
    <row r="8195" spans="2:2" s="221" customFormat="1" ht="12.75" x14ac:dyDescent="0.2">
      <c r="B8195" s="1168"/>
    </row>
    <row r="8196" spans="2:2" s="221" customFormat="1" ht="12.75" x14ac:dyDescent="0.2">
      <c r="B8196" s="1168"/>
    </row>
    <row r="8197" spans="2:2" s="221" customFormat="1" ht="12.75" x14ac:dyDescent="0.2">
      <c r="B8197" s="1168"/>
    </row>
    <row r="8198" spans="2:2" s="221" customFormat="1" ht="12.75" x14ac:dyDescent="0.2">
      <c r="B8198" s="1168"/>
    </row>
    <row r="8199" spans="2:2" s="221" customFormat="1" ht="12.75" x14ac:dyDescent="0.2">
      <c r="B8199" s="1168"/>
    </row>
    <row r="8200" spans="2:2" s="221" customFormat="1" ht="12.75" x14ac:dyDescent="0.2">
      <c r="B8200" s="1168"/>
    </row>
    <row r="8201" spans="2:2" s="221" customFormat="1" ht="12.75" x14ac:dyDescent="0.2">
      <c r="B8201" s="1168"/>
    </row>
    <row r="8202" spans="2:2" s="221" customFormat="1" ht="12.75" x14ac:dyDescent="0.2">
      <c r="B8202" s="1168"/>
    </row>
    <row r="8203" spans="2:2" s="221" customFormat="1" ht="12.75" x14ac:dyDescent="0.2">
      <c r="B8203" s="1168"/>
    </row>
    <row r="8204" spans="2:2" s="221" customFormat="1" ht="12.75" x14ac:dyDescent="0.2">
      <c r="B8204" s="1168"/>
    </row>
    <row r="8205" spans="2:2" s="221" customFormat="1" ht="12.75" x14ac:dyDescent="0.2">
      <c r="B8205" s="1168"/>
    </row>
    <row r="8206" spans="2:2" s="221" customFormat="1" ht="12.75" x14ac:dyDescent="0.2">
      <c r="B8206" s="1168"/>
    </row>
    <row r="8207" spans="2:2" s="221" customFormat="1" ht="12.75" x14ac:dyDescent="0.2">
      <c r="B8207" s="1168"/>
    </row>
    <row r="8208" spans="2:2" s="221" customFormat="1" ht="12.75" x14ac:dyDescent="0.2">
      <c r="B8208" s="1168"/>
    </row>
    <row r="8209" spans="2:2" s="221" customFormat="1" ht="12.75" x14ac:dyDescent="0.2">
      <c r="B8209" s="1168"/>
    </row>
    <row r="8210" spans="2:2" s="221" customFormat="1" ht="12.75" x14ac:dyDescent="0.2">
      <c r="B8210" s="1168"/>
    </row>
    <row r="8211" spans="2:2" s="221" customFormat="1" ht="12.75" x14ac:dyDescent="0.2">
      <c r="B8211" s="1168"/>
    </row>
    <row r="8212" spans="2:2" s="221" customFormat="1" ht="12.75" x14ac:dyDescent="0.2">
      <c r="B8212" s="1168"/>
    </row>
    <row r="8213" spans="2:2" s="221" customFormat="1" ht="12.75" x14ac:dyDescent="0.2">
      <c r="B8213" s="1168"/>
    </row>
    <row r="8214" spans="2:2" s="221" customFormat="1" ht="12.75" x14ac:dyDescent="0.2">
      <c r="B8214" s="1168"/>
    </row>
    <row r="8215" spans="2:2" s="221" customFormat="1" ht="12.75" x14ac:dyDescent="0.2">
      <c r="B8215" s="1168"/>
    </row>
    <row r="8216" spans="2:2" s="221" customFormat="1" ht="12.75" x14ac:dyDescent="0.2">
      <c r="B8216" s="1168"/>
    </row>
    <row r="8217" spans="2:2" s="221" customFormat="1" ht="12.75" x14ac:dyDescent="0.2">
      <c r="B8217" s="1168"/>
    </row>
    <row r="8218" spans="2:2" s="221" customFormat="1" ht="12.75" x14ac:dyDescent="0.2">
      <c r="B8218" s="1168"/>
    </row>
    <row r="8219" spans="2:2" s="221" customFormat="1" ht="12.75" x14ac:dyDescent="0.2">
      <c r="B8219" s="1168"/>
    </row>
    <row r="8220" spans="2:2" s="221" customFormat="1" ht="12.75" x14ac:dyDescent="0.2">
      <c r="B8220" s="1168"/>
    </row>
    <row r="8221" spans="2:2" s="221" customFormat="1" ht="12.75" x14ac:dyDescent="0.2">
      <c r="B8221" s="1168"/>
    </row>
    <row r="8222" spans="2:2" s="221" customFormat="1" ht="12.75" x14ac:dyDescent="0.2">
      <c r="B8222" s="1168"/>
    </row>
    <row r="8223" spans="2:2" s="221" customFormat="1" ht="12.75" x14ac:dyDescent="0.2">
      <c r="B8223" s="1168"/>
    </row>
    <row r="8224" spans="2:2" s="221" customFormat="1" ht="12.75" x14ac:dyDescent="0.2">
      <c r="B8224" s="1168"/>
    </row>
    <row r="8225" spans="2:2" s="221" customFormat="1" ht="12.75" x14ac:dyDescent="0.2">
      <c r="B8225" s="1168"/>
    </row>
    <row r="8226" spans="2:2" s="221" customFormat="1" ht="12.75" x14ac:dyDescent="0.2">
      <c r="B8226" s="1168"/>
    </row>
    <row r="8227" spans="2:2" s="221" customFormat="1" ht="12.75" x14ac:dyDescent="0.2">
      <c r="B8227" s="1168"/>
    </row>
    <row r="8228" spans="2:2" s="221" customFormat="1" ht="12.75" x14ac:dyDescent="0.2">
      <c r="B8228" s="1168"/>
    </row>
    <row r="8229" spans="2:2" s="221" customFormat="1" ht="12.75" x14ac:dyDescent="0.2">
      <c r="B8229" s="1168"/>
    </row>
    <row r="8230" spans="2:2" s="221" customFormat="1" ht="12.75" x14ac:dyDescent="0.2">
      <c r="B8230" s="1168"/>
    </row>
    <row r="8231" spans="2:2" s="221" customFormat="1" ht="12.75" x14ac:dyDescent="0.2">
      <c r="B8231" s="1168"/>
    </row>
    <row r="8232" spans="2:2" s="221" customFormat="1" ht="12.75" x14ac:dyDescent="0.2">
      <c r="B8232" s="1168"/>
    </row>
    <row r="8233" spans="2:2" s="221" customFormat="1" ht="12.75" x14ac:dyDescent="0.2">
      <c r="B8233" s="1168"/>
    </row>
    <row r="8234" spans="2:2" s="221" customFormat="1" ht="12.75" x14ac:dyDescent="0.2">
      <c r="B8234" s="1168"/>
    </row>
    <row r="8235" spans="2:2" s="221" customFormat="1" ht="12.75" x14ac:dyDescent="0.2">
      <c r="B8235" s="1168"/>
    </row>
    <row r="8236" spans="2:2" s="221" customFormat="1" ht="12.75" x14ac:dyDescent="0.2">
      <c r="B8236" s="1168"/>
    </row>
    <row r="8237" spans="2:2" s="221" customFormat="1" ht="12.75" x14ac:dyDescent="0.2">
      <c r="B8237" s="1168"/>
    </row>
    <row r="8238" spans="2:2" s="221" customFormat="1" ht="12.75" x14ac:dyDescent="0.2">
      <c r="B8238" s="1168"/>
    </row>
    <row r="8239" spans="2:2" s="221" customFormat="1" ht="12.75" x14ac:dyDescent="0.2">
      <c r="B8239" s="1168"/>
    </row>
    <row r="8240" spans="2:2" s="221" customFormat="1" ht="12.75" x14ac:dyDescent="0.2">
      <c r="B8240" s="1168"/>
    </row>
    <row r="8241" spans="2:2" s="221" customFormat="1" ht="12.75" x14ac:dyDescent="0.2">
      <c r="B8241" s="1168"/>
    </row>
    <row r="8242" spans="2:2" s="221" customFormat="1" ht="12.75" x14ac:dyDescent="0.2">
      <c r="B8242" s="1168"/>
    </row>
    <row r="8243" spans="2:2" s="221" customFormat="1" ht="12.75" x14ac:dyDescent="0.2">
      <c r="B8243" s="1168"/>
    </row>
    <row r="8244" spans="2:2" s="221" customFormat="1" ht="12.75" x14ac:dyDescent="0.2">
      <c r="B8244" s="1168"/>
    </row>
    <row r="8245" spans="2:2" s="221" customFormat="1" ht="12.75" x14ac:dyDescent="0.2">
      <c r="B8245" s="1168"/>
    </row>
    <row r="8246" spans="2:2" s="221" customFormat="1" ht="12.75" x14ac:dyDescent="0.2">
      <c r="B8246" s="1168"/>
    </row>
    <row r="8247" spans="2:2" s="221" customFormat="1" ht="12.75" x14ac:dyDescent="0.2">
      <c r="B8247" s="1168"/>
    </row>
    <row r="8248" spans="2:2" s="221" customFormat="1" ht="12.75" x14ac:dyDescent="0.2">
      <c r="B8248" s="1168"/>
    </row>
    <row r="8249" spans="2:2" s="221" customFormat="1" ht="12.75" x14ac:dyDescent="0.2">
      <c r="B8249" s="1168"/>
    </row>
    <row r="8250" spans="2:2" s="221" customFormat="1" ht="12.75" x14ac:dyDescent="0.2">
      <c r="B8250" s="1168"/>
    </row>
    <row r="8251" spans="2:2" s="221" customFormat="1" ht="12.75" x14ac:dyDescent="0.2">
      <c r="B8251" s="1168"/>
    </row>
    <row r="8252" spans="2:2" s="221" customFormat="1" ht="12.75" x14ac:dyDescent="0.2">
      <c r="B8252" s="1168"/>
    </row>
    <row r="8253" spans="2:2" s="221" customFormat="1" ht="12.75" x14ac:dyDescent="0.2">
      <c r="B8253" s="1168"/>
    </row>
    <row r="8254" spans="2:2" s="221" customFormat="1" ht="12.75" x14ac:dyDescent="0.2">
      <c r="B8254" s="1168"/>
    </row>
    <row r="8255" spans="2:2" s="221" customFormat="1" ht="12.75" x14ac:dyDescent="0.2">
      <c r="B8255" s="1168"/>
    </row>
    <row r="8256" spans="2:2" s="221" customFormat="1" ht="12.75" x14ac:dyDescent="0.2">
      <c r="B8256" s="1168"/>
    </row>
    <row r="8257" spans="2:2" s="221" customFormat="1" ht="12.75" x14ac:dyDescent="0.2">
      <c r="B8257" s="1168"/>
    </row>
    <row r="8258" spans="2:2" s="221" customFormat="1" ht="12.75" x14ac:dyDescent="0.2">
      <c r="B8258" s="1168"/>
    </row>
    <row r="8259" spans="2:2" s="221" customFormat="1" ht="12.75" x14ac:dyDescent="0.2">
      <c r="B8259" s="1168"/>
    </row>
    <row r="8260" spans="2:2" s="221" customFormat="1" ht="12.75" x14ac:dyDescent="0.2">
      <c r="B8260" s="1168"/>
    </row>
    <row r="8261" spans="2:2" s="221" customFormat="1" ht="12.75" x14ac:dyDescent="0.2">
      <c r="B8261" s="1168"/>
    </row>
    <row r="8262" spans="2:2" s="221" customFormat="1" ht="12.75" x14ac:dyDescent="0.2">
      <c r="B8262" s="1168"/>
    </row>
    <row r="8263" spans="2:2" s="221" customFormat="1" ht="12.75" x14ac:dyDescent="0.2">
      <c r="B8263" s="1168"/>
    </row>
    <row r="8264" spans="2:2" s="221" customFormat="1" ht="12.75" x14ac:dyDescent="0.2">
      <c r="B8264" s="1168"/>
    </row>
    <row r="8265" spans="2:2" s="221" customFormat="1" ht="12.75" x14ac:dyDescent="0.2">
      <c r="B8265" s="1168"/>
    </row>
    <row r="8266" spans="2:2" s="221" customFormat="1" ht="12.75" x14ac:dyDescent="0.2">
      <c r="B8266" s="1168"/>
    </row>
    <row r="8267" spans="2:2" s="221" customFormat="1" ht="12.75" x14ac:dyDescent="0.2">
      <c r="B8267" s="1168"/>
    </row>
    <row r="8268" spans="2:2" s="221" customFormat="1" ht="12.75" x14ac:dyDescent="0.2">
      <c r="B8268" s="1168"/>
    </row>
    <row r="8269" spans="2:2" s="221" customFormat="1" ht="12.75" x14ac:dyDescent="0.2">
      <c r="B8269" s="1168"/>
    </row>
    <row r="8270" spans="2:2" s="221" customFormat="1" ht="12.75" x14ac:dyDescent="0.2">
      <c r="B8270" s="1168"/>
    </row>
    <row r="8271" spans="2:2" s="221" customFormat="1" ht="12.75" x14ac:dyDescent="0.2">
      <c r="B8271" s="1168"/>
    </row>
    <row r="8272" spans="2:2" s="221" customFormat="1" ht="12.75" x14ac:dyDescent="0.2">
      <c r="B8272" s="1168"/>
    </row>
    <row r="8273" spans="2:2" s="221" customFormat="1" ht="12.75" x14ac:dyDescent="0.2">
      <c r="B8273" s="1168"/>
    </row>
    <row r="8274" spans="2:2" s="221" customFormat="1" ht="12.75" x14ac:dyDescent="0.2">
      <c r="B8274" s="1168"/>
    </row>
    <row r="8275" spans="2:2" s="221" customFormat="1" ht="12.75" x14ac:dyDescent="0.2">
      <c r="B8275" s="1168"/>
    </row>
    <row r="8276" spans="2:2" s="221" customFormat="1" ht="12.75" x14ac:dyDescent="0.2">
      <c r="B8276" s="1168"/>
    </row>
    <row r="8277" spans="2:2" s="221" customFormat="1" ht="12.75" x14ac:dyDescent="0.2">
      <c r="B8277" s="1168"/>
    </row>
    <row r="8278" spans="2:2" s="221" customFormat="1" ht="12.75" x14ac:dyDescent="0.2">
      <c r="B8278" s="1168"/>
    </row>
    <row r="8279" spans="2:2" s="221" customFormat="1" ht="12.75" x14ac:dyDescent="0.2">
      <c r="B8279" s="1168"/>
    </row>
    <row r="8280" spans="2:2" s="221" customFormat="1" ht="12.75" x14ac:dyDescent="0.2">
      <c r="B8280" s="1168"/>
    </row>
    <row r="8281" spans="2:2" s="221" customFormat="1" ht="12.75" x14ac:dyDescent="0.2">
      <c r="B8281" s="1168"/>
    </row>
    <row r="8282" spans="2:2" s="221" customFormat="1" ht="12.75" x14ac:dyDescent="0.2">
      <c r="B8282" s="1168"/>
    </row>
    <row r="8283" spans="2:2" s="221" customFormat="1" ht="12.75" x14ac:dyDescent="0.2">
      <c r="B8283" s="1168"/>
    </row>
    <row r="8284" spans="2:2" s="221" customFormat="1" ht="12.75" x14ac:dyDescent="0.2">
      <c r="B8284" s="1168"/>
    </row>
    <row r="8285" spans="2:2" s="221" customFormat="1" ht="12.75" x14ac:dyDescent="0.2">
      <c r="B8285" s="1168"/>
    </row>
    <row r="8286" spans="2:2" s="221" customFormat="1" ht="12.75" x14ac:dyDescent="0.2">
      <c r="B8286" s="1168"/>
    </row>
    <row r="8287" spans="2:2" s="221" customFormat="1" ht="12.75" x14ac:dyDescent="0.2">
      <c r="B8287" s="1168"/>
    </row>
    <row r="8288" spans="2:2" s="221" customFormat="1" ht="12.75" x14ac:dyDescent="0.2">
      <c r="B8288" s="1168"/>
    </row>
    <row r="8289" spans="2:2" s="221" customFormat="1" ht="12.75" x14ac:dyDescent="0.2">
      <c r="B8289" s="1168"/>
    </row>
    <row r="8290" spans="2:2" s="221" customFormat="1" ht="12.75" x14ac:dyDescent="0.2">
      <c r="B8290" s="1168"/>
    </row>
    <row r="8291" spans="2:2" s="221" customFormat="1" ht="12.75" x14ac:dyDescent="0.2">
      <c r="B8291" s="1168"/>
    </row>
    <row r="8292" spans="2:2" s="221" customFormat="1" ht="12.75" x14ac:dyDescent="0.2">
      <c r="B8292" s="1168"/>
    </row>
    <row r="8293" spans="2:2" s="221" customFormat="1" ht="12.75" x14ac:dyDescent="0.2">
      <c r="B8293" s="1168"/>
    </row>
    <row r="8294" spans="2:2" s="221" customFormat="1" ht="12.75" x14ac:dyDescent="0.2">
      <c r="B8294" s="1168"/>
    </row>
    <row r="8295" spans="2:2" s="221" customFormat="1" ht="12.75" x14ac:dyDescent="0.2">
      <c r="B8295" s="1168"/>
    </row>
    <row r="8296" spans="2:2" s="221" customFormat="1" ht="12.75" x14ac:dyDescent="0.2">
      <c r="B8296" s="1168"/>
    </row>
    <row r="8297" spans="2:2" s="221" customFormat="1" ht="12.75" x14ac:dyDescent="0.2">
      <c r="B8297" s="1168"/>
    </row>
    <row r="8298" spans="2:2" s="221" customFormat="1" ht="12.75" x14ac:dyDescent="0.2">
      <c r="B8298" s="1168"/>
    </row>
    <row r="8299" spans="2:2" s="221" customFormat="1" ht="12.75" x14ac:dyDescent="0.2">
      <c r="B8299" s="1168"/>
    </row>
    <row r="8300" spans="2:2" s="221" customFormat="1" ht="12.75" x14ac:dyDescent="0.2">
      <c r="B8300" s="1168"/>
    </row>
    <row r="8301" spans="2:2" s="221" customFormat="1" ht="12.75" x14ac:dyDescent="0.2">
      <c r="B8301" s="1168"/>
    </row>
    <row r="8302" spans="2:2" s="221" customFormat="1" ht="12.75" x14ac:dyDescent="0.2">
      <c r="B8302" s="1168"/>
    </row>
    <row r="8303" spans="2:2" s="221" customFormat="1" ht="12.75" x14ac:dyDescent="0.2">
      <c r="B8303" s="1168"/>
    </row>
    <row r="8304" spans="2:2" s="221" customFormat="1" ht="12.75" x14ac:dyDescent="0.2">
      <c r="B8304" s="1168"/>
    </row>
    <row r="8305" spans="2:2" s="221" customFormat="1" ht="12.75" x14ac:dyDescent="0.2">
      <c r="B8305" s="1168"/>
    </row>
    <row r="8306" spans="2:2" s="221" customFormat="1" ht="12.75" x14ac:dyDescent="0.2">
      <c r="B8306" s="1168"/>
    </row>
    <row r="8307" spans="2:2" s="221" customFormat="1" ht="12.75" x14ac:dyDescent="0.2">
      <c r="B8307" s="1168"/>
    </row>
    <row r="8308" spans="2:2" s="221" customFormat="1" ht="12.75" x14ac:dyDescent="0.2">
      <c r="B8308" s="1168"/>
    </row>
    <row r="8309" spans="2:2" s="221" customFormat="1" ht="12.75" x14ac:dyDescent="0.2">
      <c r="B8309" s="1168"/>
    </row>
    <row r="8310" spans="2:2" s="221" customFormat="1" ht="12.75" x14ac:dyDescent="0.2">
      <c r="B8310" s="1168"/>
    </row>
    <row r="8311" spans="2:2" s="221" customFormat="1" ht="12.75" x14ac:dyDescent="0.2">
      <c r="B8311" s="1168"/>
    </row>
    <row r="8312" spans="2:2" s="221" customFormat="1" ht="12.75" x14ac:dyDescent="0.2">
      <c r="B8312" s="1168"/>
    </row>
    <row r="8313" spans="2:2" s="221" customFormat="1" ht="12.75" x14ac:dyDescent="0.2">
      <c r="B8313" s="1168"/>
    </row>
    <row r="8314" spans="2:2" s="221" customFormat="1" ht="12.75" x14ac:dyDescent="0.2">
      <c r="B8314" s="1168"/>
    </row>
    <row r="8315" spans="2:2" s="221" customFormat="1" ht="12.75" x14ac:dyDescent="0.2">
      <c r="B8315" s="1168"/>
    </row>
    <row r="8316" spans="2:2" s="221" customFormat="1" ht="12.75" x14ac:dyDescent="0.2">
      <c r="B8316" s="1168"/>
    </row>
    <row r="8317" spans="2:2" s="221" customFormat="1" ht="12.75" x14ac:dyDescent="0.2">
      <c r="B8317" s="1168"/>
    </row>
    <row r="8318" spans="2:2" s="221" customFormat="1" ht="12.75" x14ac:dyDescent="0.2">
      <c r="B8318" s="1168"/>
    </row>
    <row r="8319" spans="2:2" s="221" customFormat="1" ht="12.75" x14ac:dyDescent="0.2">
      <c r="B8319" s="1168"/>
    </row>
    <row r="8320" spans="2:2" s="221" customFormat="1" ht="12.75" x14ac:dyDescent="0.2">
      <c r="B8320" s="1168"/>
    </row>
    <row r="8321" spans="2:2" s="221" customFormat="1" ht="12.75" x14ac:dyDescent="0.2">
      <c r="B8321" s="1168"/>
    </row>
    <row r="8322" spans="2:2" s="221" customFormat="1" ht="12.75" x14ac:dyDescent="0.2">
      <c r="B8322" s="1168"/>
    </row>
    <row r="8323" spans="2:2" s="221" customFormat="1" ht="12.75" x14ac:dyDescent="0.2">
      <c r="B8323" s="1168"/>
    </row>
    <row r="8324" spans="2:2" s="221" customFormat="1" ht="12.75" x14ac:dyDescent="0.2">
      <c r="B8324" s="1168"/>
    </row>
    <row r="8325" spans="2:2" s="221" customFormat="1" ht="12.75" x14ac:dyDescent="0.2">
      <c r="B8325" s="1168"/>
    </row>
    <row r="8326" spans="2:2" s="221" customFormat="1" ht="12.75" x14ac:dyDescent="0.2">
      <c r="B8326" s="1168"/>
    </row>
    <row r="8327" spans="2:2" s="221" customFormat="1" ht="12.75" x14ac:dyDescent="0.2">
      <c r="B8327" s="1168"/>
    </row>
    <row r="8328" spans="2:2" s="221" customFormat="1" ht="12.75" x14ac:dyDescent="0.2">
      <c r="B8328" s="1168"/>
    </row>
    <row r="8329" spans="2:2" s="221" customFormat="1" ht="12.75" x14ac:dyDescent="0.2">
      <c r="B8329" s="1168"/>
    </row>
    <row r="8330" spans="2:2" s="221" customFormat="1" ht="12.75" x14ac:dyDescent="0.2">
      <c r="B8330" s="1168"/>
    </row>
    <row r="8331" spans="2:2" s="221" customFormat="1" ht="12.75" x14ac:dyDescent="0.2">
      <c r="B8331" s="1168"/>
    </row>
    <row r="8332" spans="2:2" s="221" customFormat="1" ht="12.75" x14ac:dyDescent="0.2">
      <c r="B8332" s="1168"/>
    </row>
    <row r="8333" spans="2:2" s="221" customFormat="1" ht="12.75" x14ac:dyDescent="0.2">
      <c r="B8333" s="1168"/>
    </row>
    <row r="8334" spans="2:2" s="221" customFormat="1" ht="12.75" x14ac:dyDescent="0.2">
      <c r="B8334" s="1168"/>
    </row>
    <row r="8335" spans="2:2" s="221" customFormat="1" ht="12.75" x14ac:dyDescent="0.2">
      <c r="B8335" s="1168"/>
    </row>
    <row r="8336" spans="2:2" s="221" customFormat="1" ht="12.75" x14ac:dyDescent="0.2">
      <c r="B8336" s="1168"/>
    </row>
    <row r="8337" spans="2:2" s="221" customFormat="1" ht="12.75" x14ac:dyDescent="0.2">
      <c r="B8337" s="1168"/>
    </row>
    <row r="8338" spans="2:2" s="221" customFormat="1" ht="12.75" x14ac:dyDescent="0.2">
      <c r="B8338" s="1168"/>
    </row>
    <row r="8339" spans="2:2" s="221" customFormat="1" ht="12.75" x14ac:dyDescent="0.2">
      <c r="B8339" s="1168"/>
    </row>
    <row r="8340" spans="2:2" s="221" customFormat="1" ht="12.75" x14ac:dyDescent="0.2">
      <c r="B8340" s="1168"/>
    </row>
    <row r="8341" spans="2:2" s="221" customFormat="1" ht="12.75" x14ac:dyDescent="0.2">
      <c r="B8341" s="1168"/>
    </row>
    <row r="8342" spans="2:2" s="221" customFormat="1" ht="12.75" x14ac:dyDescent="0.2">
      <c r="B8342" s="1168"/>
    </row>
    <row r="8343" spans="2:2" s="221" customFormat="1" ht="12.75" x14ac:dyDescent="0.2">
      <c r="B8343" s="1168"/>
    </row>
    <row r="8344" spans="2:2" s="221" customFormat="1" ht="12.75" x14ac:dyDescent="0.2">
      <c r="B8344" s="1168"/>
    </row>
    <row r="8345" spans="2:2" s="221" customFormat="1" ht="12.75" x14ac:dyDescent="0.2">
      <c r="B8345" s="1168"/>
    </row>
    <row r="8346" spans="2:2" s="221" customFormat="1" ht="12.75" x14ac:dyDescent="0.2">
      <c r="B8346" s="1168"/>
    </row>
    <row r="8347" spans="2:2" s="221" customFormat="1" ht="12.75" x14ac:dyDescent="0.2">
      <c r="B8347" s="1168"/>
    </row>
    <row r="8348" spans="2:2" s="221" customFormat="1" ht="12.75" x14ac:dyDescent="0.2">
      <c r="B8348" s="1168"/>
    </row>
    <row r="8349" spans="2:2" s="221" customFormat="1" ht="12.75" x14ac:dyDescent="0.2">
      <c r="B8349" s="1168"/>
    </row>
    <row r="8350" spans="2:2" s="221" customFormat="1" ht="12.75" x14ac:dyDescent="0.2">
      <c r="B8350" s="1168"/>
    </row>
    <row r="8351" spans="2:2" s="221" customFormat="1" ht="12.75" x14ac:dyDescent="0.2">
      <c r="B8351" s="1168"/>
    </row>
    <row r="8352" spans="2:2" s="221" customFormat="1" ht="12.75" x14ac:dyDescent="0.2">
      <c r="B8352" s="1168"/>
    </row>
    <row r="8353" spans="2:2" s="221" customFormat="1" ht="12.75" x14ac:dyDescent="0.2">
      <c r="B8353" s="1168"/>
    </row>
    <row r="8354" spans="2:2" s="221" customFormat="1" ht="12.75" x14ac:dyDescent="0.2">
      <c r="B8354" s="1168"/>
    </row>
    <row r="8355" spans="2:2" s="221" customFormat="1" ht="12.75" x14ac:dyDescent="0.2">
      <c r="B8355" s="1168"/>
    </row>
    <row r="8356" spans="2:2" s="221" customFormat="1" ht="12.75" x14ac:dyDescent="0.2">
      <c r="B8356" s="1168"/>
    </row>
    <row r="8357" spans="2:2" s="221" customFormat="1" ht="12.75" x14ac:dyDescent="0.2">
      <c r="B8357" s="1168"/>
    </row>
    <row r="8358" spans="2:2" s="221" customFormat="1" ht="12.75" x14ac:dyDescent="0.2">
      <c r="B8358" s="1168"/>
    </row>
    <row r="8359" spans="2:2" s="221" customFormat="1" ht="12.75" x14ac:dyDescent="0.2">
      <c r="B8359" s="1168"/>
    </row>
    <row r="8360" spans="2:2" s="221" customFormat="1" ht="12.75" x14ac:dyDescent="0.2">
      <c r="B8360" s="1168"/>
    </row>
    <row r="8361" spans="2:2" s="221" customFormat="1" ht="12.75" x14ac:dyDescent="0.2">
      <c r="B8361" s="1168"/>
    </row>
    <row r="8362" spans="2:2" s="221" customFormat="1" ht="12.75" x14ac:dyDescent="0.2">
      <c r="B8362" s="1168"/>
    </row>
    <row r="8363" spans="2:2" s="221" customFormat="1" ht="12.75" x14ac:dyDescent="0.2">
      <c r="B8363" s="1168"/>
    </row>
    <row r="8364" spans="2:2" s="221" customFormat="1" ht="12.75" x14ac:dyDescent="0.2">
      <c r="B8364" s="1168"/>
    </row>
    <row r="8365" spans="2:2" s="221" customFormat="1" ht="12.75" x14ac:dyDescent="0.2">
      <c r="B8365" s="1168"/>
    </row>
    <row r="8366" spans="2:2" s="221" customFormat="1" ht="12.75" x14ac:dyDescent="0.2">
      <c r="B8366" s="1168"/>
    </row>
    <row r="8367" spans="2:2" s="221" customFormat="1" ht="12.75" x14ac:dyDescent="0.2">
      <c r="B8367" s="1168"/>
    </row>
    <row r="8368" spans="2:2" s="221" customFormat="1" ht="12.75" x14ac:dyDescent="0.2">
      <c r="B8368" s="1168"/>
    </row>
    <row r="8369" spans="2:2" s="221" customFormat="1" ht="12.75" x14ac:dyDescent="0.2">
      <c r="B8369" s="1168"/>
    </row>
    <row r="8370" spans="2:2" s="221" customFormat="1" ht="12.75" x14ac:dyDescent="0.2">
      <c r="B8370" s="1168"/>
    </row>
    <row r="8371" spans="2:2" s="221" customFormat="1" ht="12.75" x14ac:dyDescent="0.2">
      <c r="B8371" s="1168"/>
    </row>
    <row r="8372" spans="2:2" s="221" customFormat="1" ht="12.75" x14ac:dyDescent="0.2">
      <c r="B8372" s="1168"/>
    </row>
    <row r="8373" spans="2:2" s="221" customFormat="1" ht="12.75" x14ac:dyDescent="0.2">
      <c r="B8373" s="1168"/>
    </row>
    <row r="8374" spans="2:2" s="221" customFormat="1" ht="12.75" x14ac:dyDescent="0.2">
      <c r="B8374" s="1168"/>
    </row>
    <row r="8375" spans="2:2" s="221" customFormat="1" ht="12.75" x14ac:dyDescent="0.2">
      <c r="B8375" s="1168"/>
    </row>
    <row r="8376" spans="2:2" s="221" customFormat="1" ht="12.75" x14ac:dyDescent="0.2">
      <c r="B8376" s="1168"/>
    </row>
    <row r="8377" spans="2:2" s="221" customFormat="1" ht="12.75" x14ac:dyDescent="0.2">
      <c r="B8377" s="1168"/>
    </row>
    <row r="8378" spans="2:2" s="221" customFormat="1" ht="12.75" x14ac:dyDescent="0.2">
      <c r="B8378" s="1168"/>
    </row>
    <row r="8379" spans="2:2" s="221" customFormat="1" ht="12.75" x14ac:dyDescent="0.2">
      <c r="B8379" s="1168"/>
    </row>
    <row r="8380" spans="2:2" s="221" customFormat="1" ht="12.75" x14ac:dyDescent="0.2">
      <c r="B8380" s="1168"/>
    </row>
    <row r="8381" spans="2:2" s="221" customFormat="1" ht="12.75" x14ac:dyDescent="0.2">
      <c r="B8381" s="1168"/>
    </row>
    <row r="8382" spans="2:2" s="221" customFormat="1" ht="12.75" x14ac:dyDescent="0.2">
      <c r="B8382" s="1168"/>
    </row>
    <row r="8383" spans="2:2" s="221" customFormat="1" ht="12.75" x14ac:dyDescent="0.2">
      <c r="B8383" s="1168"/>
    </row>
    <row r="8384" spans="2:2" s="221" customFormat="1" ht="12.75" x14ac:dyDescent="0.2">
      <c r="B8384" s="1168"/>
    </row>
    <row r="8385" spans="2:2" s="221" customFormat="1" ht="12.75" x14ac:dyDescent="0.2">
      <c r="B8385" s="1168"/>
    </row>
    <row r="8386" spans="2:2" s="221" customFormat="1" ht="12.75" x14ac:dyDescent="0.2">
      <c r="B8386" s="1168"/>
    </row>
    <row r="8387" spans="2:2" s="221" customFormat="1" ht="12.75" x14ac:dyDescent="0.2">
      <c r="B8387" s="1168"/>
    </row>
    <row r="8388" spans="2:2" s="221" customFormat="1" ht="12.75" x14ac:dyDescent="0.2">
      <c r="B8388" s="1168"/>
    </row>
    <row r="8389" spans="2:2" s="221" customFormat="1" ht="12.75" x14ac:dyDescent="0.2">
      <c r="B8389" s="1168"/>
    </row>
    <row r="8390" spans="2:2" s="221" customFormat="1" ht="12.75" x14ac:dyDescent="0.2">
      <c r="B8390" s="1168"/>
    </row>
    <row r="8391" spans="2:2" s="221" customFormat="1" ht="12.75" x14ac:dyDescent="0.2">
      <c r="B8391" s="1168"/>
    </row>
    <row r="8392" spans="2:2" s="221" customFormat="1" ht="12.75" x14ac:dyDescent="0.2">
      <c r="B8392" s="1168"/>
    </row>
    <row r="8393" spans="2:2" s="221" customFormat="1" ht="12.75" x14ac:dyDescent="0.2">
      <c r="B8393" s="1168"/>
    </row>
    <row r="8394" spans="2:2" s="221" customFormat="1" ht="12.75" x14ac:dyDescent="0.2">
      <c r="B8394" s="1168"/>
    </row>
    <row r="8395" spans="2:2" s="221" customFormat="1" ht="12.75" x14ac:dyDescent="0.2">
      <c r="B8395" s="1168"/>
    </row>
    <row r="8396" spans="2:2" s="221" customFormat="1" ht="12.75" x14ac:dyDescent="0.2">
      <c r="B8396" s="1168"/>
    </row>
    <row r="8397" spans="2:2" s="221" customFormat="1" ht="12.75" x14ac:dyDescent="0.2">
      <c r="B8397" s="1168"/>
    </row>
    <row r="8398" spans="2:2" s="221" customFormat="1" ht="12.75" x14ac:dyDescent="0.2">
      <c r="B8398" s="1168"/>
    </row>
    <row r="8399" spans="2:2" s="221" customFormat="1" ht="12.75" x14ac:dyDescent="0.2">
      <c r="B8399" s="1168"/>
    </row>
    <row r="8400" spans="2:2" s="221" customFormat="1" ht="12.75" x14ac:dyDescent="0.2">
      <c r="B8400" s="1168"/>
    </row>
    <row r="8401" spans="2:2" s="221" customFormat="1" ht="12.75" x14ac:dyDescent="0.2">
      <c r="B8401" s="1168"/>
    </row>
    <row r="8402" spans="2:2" s="221" customFormat="1" ht="12.75" x14ac:dyDescent="0.2">
      <c r="B8402" s="1168"/>
    </row>
    <row r="8403" spans="2:2" s="221" customFormat="1" ht="12.75" x14ac:dyDescent="0.2">
      <c r="B8403" s="1168"/>
    </row>
    <row r="8404" spans="2:2" s="221" customFormat="1" ht="12.75" x14ac:dyDescent="0.2">
      <c r="B8404" s="1168"/>
    </row>
    <row r="8405" spans="2:2" s="221" customFormat="1" ht="12.75" x14ac:dyDescent="0.2">
      <c r="B8405" s="1168"/>
    </row>
    <row r="8406" spans="2:2" s="221" customFormat="1" ht="12.75" x14ac:dyDescent="0.2">
      <c r="B8406" s="1168"/>
    </row>
    <row r="8407" spans="2:2" s="221" customFormat="1" ht="12.75" x14ac:dyDescent="0.2">
      <c r="B8407" s="1168"/>
    </row>
    <row r="8408" spans="2:2" s="221" customFormat="1" ht="12.75" x14ac:dyDescent="0.2">
      <c r="B8408" s="1168"/>
    </row>
    <row r="8409" spans="2:2" s="221" customFormat="1" ht="12.75" x14ac:dyDescent="0.2">
      <c r="B8409" s="1168"/>
    </row>
    <row r="8410" spans="2:2" s="221" customFormat="1" ht="12.75" x14ac:dyDescent="0.2">
      <c r="B8410" s="1168"/>
    </row>
    <row r="8411" spans="2:2" s="221" customFormat="1" ht="12.75" x14ac:dyDescent="0.2">
      <c r="B8411" s="1168"/>
    </row>
    <row r="8412" spans="2:2" s="221" customFormat="1" ht="12.75" x14ac:dyDescent="0.2">
      <c r="B8412" s="1168"/>
    </row>
    <row r="8413" spans="2:2" s="221" customFormat="1" ht="12.75" x14ac:dyDescent="0.2">
      <c r="B8413" s="1168"/>
    </row>
    <row r="8414" spans="2:2" s="221" customFormat="1" ht="12.75" x14ac:dyDescent="0.2">
      <c r="B8414" s="1168"/>
    </row>
    <row r="8415" spans="2:2" s="221" customFormat="1" ht="12.75" x14ac:dyDescent="0.2">
      <c r="B8415" s="1168"/>
    </row>
    <row r="8416" spans="2:2" s="221" customFormat="1" ht="12.75" x14ac:dyDescent="0.2">
      <c r="B8416" s="1168"/>
    </row>
    <row r="8417" spans="2:2" s="221" customFormat="1" ht="12.75" x14ac:dyDescent="0.2">
      <c r="B8417" s="1168"/>
    </row>
    <row r="8418" spans="2:2" s="221" customFormat="1" ht="12.75" x14ac:dyDescent="0.2">
      <c r="B8418" s="1168"/>
    </row>
    <row r="8419" spans="2:2" s="221" customFormat="1" ht="12.75" x14ac:dyDescent="0.2">
      <c r="B8419" s="1168"/>
    </row>
    <row r="8420" spans="2:2" s="221" customFormat="1" ht="12.75" x14ac:dyDescent="0.2">
      <c r="B8420" s="1168"/>
    </row>
    <row r="8421" spans="2:2" s="221" customFormat="1" ht="12.75" x14ac:dyDescent="0.2">
      <c r="B8421" s="1168"/>
    </row>
    <row r="8422" spans="2:2" s="221" customFormat="1" ht="12.75" x14ac:dyDescent="0.2">
      <c r="B8422" s="1168"/>
    </row>
    <row r="8423" spans="2:2" s="221" customFormat="1" ht="12.75" x14ac:dyDescent="0.2">
      <c r="B8423" s="1168"/>
    </row>
    <row r="8424" spans="2:2" s="221" customFormat="1" ht="12.75" x14ac:dyDescent="0.2">
      <c r="B8424" s="1168"/>
    </row>
    <row r="8425" spans="2:2" s="221" customFormat="1" ht="12.75" x14ac:dyDescent="0.2">
      <c r="B8425" s="1168"/>
    </row>
    <row r="8426" spans="2:2" s="221" customFormat="1" ht="12.75" x14ac:dyDescent="0.2">
      <c r="B8426" s="1168"/>
    </row>
    <row r="8427" spans="2:2" s="221" customFormat="1" ht="12.75" x14ac:dyDescent="0.2">
      <c r="B8427" s="1168"/>
    </row>
    <row r="8428" spans="2:2" s="221" customFormat="1" ht="12.75" x14ac:dyDescent="0.2">
      <c r="B8428" s="1168"/>
    </row>
    <row r="8429" spans="2:2" s="221" customFormat="1" ht="12.75" x14ac:dyDescent="0.2">
      <c r="B8429" s="1168"/>
    </row>
    <row r="8430" spans="2:2" s="221" customFormat="1" ht="12.75" x14ac:dyDescent="0.2">
      <c r="B8430" s="1168"/>
    </row>
    <row r="8431" spans="2:2" s="221" customFormat="1" ht="12.75" x14ac:dyDescent="0.2">
      <c r="B8431" s="1168"/>
    </row>
    <row r="8432" spans="2:2" s="221" customFormat="1" ht="12.75" x14ac:dyDescent="0.2">
      <c r="B8432" s="1168"/>
    </row>
    <row r="8433" spans="2:2" s="221" customFormat="1" ht="12.75" x14ac:dyDescent="0.2">
      <c r="B8433" s="1168"/>
    </row>
    <row r="8434" spans="2:2" s="221" customFormat="1" ht="12.75" x14ac:dyDescent="0.2">
      <c r="B8434" s="1168"/>
    </row>
    <row r="8435" spans="2:2" s="221" customFormat="1" ht="12.75" x14ac:dyDescent="0.2">
      <c r="B8435" s="1168"/>
    </row>
    <row r="8436" spans="2:2" s="221" customFormat="1" ht="12.75" x14ac:dyDescent="0.2">
      <c r="B8436" s="1168"/>
    </row>
    <row r="8437" spans="2:2" s="221" customFormat="1" ht="12.75" x14ac:dyDescent="0.2">
      <c r="B8437" s="1168"/>
    </row>
    <row r="8438" spans="2:2" s="221" customFormat="1" ht="12.75" x14ac:dyDescent="0.2">
      <c r="B8438" s="1168"/>
    </row>
    <row r="8439" spans="2:2" s="221" customFormat="1" ht="12.75" x14ac:dyDescent="0.2">
      <c r="B8439" s="1168"/>
    </row>
    <row r="8440" spans="2:2" s="221" customFormat="1" ht="12.75" x14ac:dyDescent="0.2">
      <c r="B8440" s="1168"/>
    </row>
    <row r="8441" spans="2:2" s="221" customFormat="1" ht="12.75" x14ac:dyDescent="0.2">
      <c r="B8441" s="1168"/>
    </row>
    <row r="8442" spans="2:2" s="221" customFormat="1" ht="12.75" x14ac:dyDescent="0.2">
      <c r="B8442" s="1168"/>
    </row>
    <row r="8443" spans="2:2" s="221" customFormat="1" ht="12.75" x14ac:dyDescent="0.2">
      <c r="B8443" s="1168"/>
    </row>
    <row r="8444" spans="2:2" s="221" customFormat="1" ht="12.75" x14ac:dyDescent="0.2">
      <c r="B8444" s="1168"/>
    </row>
    <row r="8445" spans="2:2" s="221" customFormat="1" ht="12.75" x14ac:dyDescent="0.2">
      <c r="B8445" s="1168"/>
    </row>
    <row r="8446" spans="2:2" s="221" customFormat="1" ht="12.75" x14ac:dyDescent="0.2">
      <c r="B8446" s="1168"/>
    </row>
    <row r="8447" spans="2:2" s="221" customFormat="1" ht="12.75" x14ac:dyDescent="0.2">
      <c r="B8447" s="1168"/>
    </row>
    <row r="8448" spans="2:2" s="221" customFormat="1" ht="12.75" x14ac:dyDescent="0.2">
      <c r="B8448" s="1168"/>
    </row>
    <row r="8449" spans="2:2" s="221" customFormat="1" ht="12.75" x14ac:dyDescent="0.2">
      <c r="B8449" s="1168"/>
    </row>
    <row r="8450" spans="2:2" s="221" customFormat="1" ht="12.75" x14ac:dyDescent="0.2">
      <c r="B8450" s="1168"/>
    </row>
    <row r="8451" spans="2:2" s="221" customFormat="1" ht="12.75" x14ac:dyDescent="0.2">
      <c r="B8451" s="1168"/>
    </row>
    <row r="8452" spans="2:2" s="221" customFormat="1" ht="12.75" x14ac:dyDescent="0.2">
      <c r="B8452" s="1168"/>
    </row>
    <row r="8453" spans="2:2" s="221" customFormat="1" ht="12.75" x14ac:dyDescent="0.2">
      <c r="B8453" s="1168"/>
    </row>
    <row r="8454" spans="2:2" s="221" customFormat="1" ht="12.75" x14ac:dyDescent="0.2">
      <c r="B8454" s="1168"/>
    </row>
    <row r="8455" spans="2:2" s="221" customFormat="1" ht="12.75" x14ac:dyDescent="0.2">
      <c r="B8455" s="1168"/>
    </row>
    <row r="8456" spans="2:2" s="221" customFormat="1" ht="12.75" x14ac:dyDescent="0.2">
      <c r="B8456" s="1168"/>
    </row>
    <row r="8457" spans="2:2" s="221" customFormat="1" ht="12.75" x14ac:dyDescent="0.2">
      <c r="B8457" s="1168"/>
    </row>
    <row r="8458" spans="2:2" s="221" customFormat="1" ht="12.75" x14ac:dyDescent="0.2">
      <c r="B8458" s="1168"/>
    </row>
    <row r="8459" spans="2:2" s="221" customFormat="1" ht="12.75" x14ac:dyDescent="0.2">
      <c r="B8459" s="1168"/>
    </row>
    <row r="8460" spans="2:2" s="221" customFormat="1" ht="12.75" x14ac:dyDescent="0.2">
      <c r="B8460" s="1168"/>
    </row>
    <row r="8461" spans="2:2" s="221" customFormat="1" ht="12.75" x14ac:dyDescent="0.2">
      <c r="B8461" s="1168"/>
    </row>
    <row r="8462" spans="2:2" s="221" customFormat="1" ht="12.75" x14ac:dyDescent="0.2">
      <c r="B8462" s="1168"/>
    </row>
    <row r="8463" spans="2:2" s="221" customFormat="1" ht="12.75" x14ac:dyDescent="0.2">
      <c r="B8463" s="1168"/>
    </row>
    <row r="8464" spans="2:2" s="221" customFormat="1" ht="12.75" x14ac:dyDescent="0.2">
      <c r="B8464" s="1168"/>
    </row>
    <row r="8465" spans="2:2" s="221" customFormat="1" ht="12.75" x14ac:dyDescent="0.2">
      <c r="B8465" s="1168"/>
    </row>
    <row r="8466" spans="2:2" s="221" customFormat="1" ht="12.75" x14ac:dyDescent="0.2">
      <c r="B8466" s="1168"/>
    </row>
    <row r="8467" spans="2:2" s="221" customFormat="1" ht="12.75" x14ac:dyDescent="0.2">
      <c r="B8467" s="1168"/>
    </row>
    <row r="8468" spans="2:2" s="221" customFormat="1" ht="12.75" x14ac:dyDescent="0.2">
      <c r="B8468" s="1168"/>
    </row>
    <row r="8469" spans="2:2" s="221" customFormat="1" ht="12.75" x14ac:dyDescent="0.2">
      <c r="B8469" s="1168"/>
    </row>
    <row r="8470" spans="2:2" s="221" customFormat="1" ht="12.75" x14ac:dyDescent="0.2">
      <c r="B8470" s="1168"/>
    </row>
    <row r="8471" spans="2:2" s="221" customFormat="1" ht="12.75" x14ac:dyDescent="0.2">
      <c r="B8471" s="1168"/>
    </row>
    <row r="8472" spans="2:2" s="221" customFormat="1" ht="12.75" x14ac:dyDescent="0.2">
      <c r="B8472" s="1168"/>
    </row>
    <row r="8473" spans="2:2" s="221" customFormat="1" ht="12.75" x14ac:dyDescent="0.2">
      <c r="B8473" s="1168"/>
    </row>
    <row r="8474" spans="2:2" s="221" customFormat="1" ht="12.75" x14ac:dyDescent="0.2">
      <c r="B8474" s="1168"/>
    </row>
    <row r="8475" spans="2:2" s="221" customFormat="1" ht="12.75" x14ac:dyDescent="0.2">
      <c r="B8475" s="1168"/>
    </row>
    <row r="8476" spans="2:2" s="221" customFormat="1" ht="12.75" x14ac:dyDescent="0.2">
      <c r="B8476" s="1168"/>
    </row>
    <row r="8477" spans="2:2" s="221" customFormat="1" ht="12.75" x14ac:dyDescent="0.2">
      <c r="B8477" s="1168"/>
    </row>
    <row r="8478" spans="2:2" s="221" customFormat="1" ht="12.75" x14ac:dyDescent="0.2">
      <c r="B8478" s="1168"/>
    </row>
    <row r="8479" spans="2:2" s="221" customFormat="1" ht="12.75" x14ac:dyDescent="0.2">
      <c r="B8479" s="1168"/>
    </row>
    <row r="8480" spans="2:2" s="221" customFormat="1" ht="12.75" x14ac:dyDescent="0.2">
      <c r="B8480" s="1168"/>
    </row>
    <row r="8481" spans="2:2" s="221" customFormat="1" ht="12.75" x14ac:dyDescent="0.2">
      <c r="B8481" s="1168"/>
    </row>
    <row r="8482" spans="2:2" s="221" customFormat="1" ht="12.75" x14ac:dyDescent="0.2">
      <c r="B8482" s="1168"/>
    </row>
    <row r="8483" spans="2:2" s="221" customFormat="1" ht="12.75" x14ac:dyDescent="0.2">
      <c r="B8483" s="1168"/>
    </row>
    <row r="8484" spans="2:2" s="221" customFormat="1" ht="12.75" x14ac:dyDescent="0.2">
      <c r="B8484" s="1168"/>
    </row>
    <row r="8485" spans="2:2" s="221" customFormat="1" ht="12.75" x14ac:dyDescent="0.2">
      <c r="B8485" s="1168"/>
    </row>
    <row r="8486" spans="2:2" s="221" customFormat="1" ht="12.75" x14ac:dyDescent="0.2">
      <c r="B8486" s="1168"/>
    </row>
    <row r="8487" spans="2:2" s="221" customFormat="1" ht="12.75" x14ac:dyDescent="0.2">
      <c r="B8487" s="1168"/>
    </row>
    <row r="8488" spans="2:2" s="221" customFormat="1" ht="12.75" x14ac:dyDescent="0.2">
      <c r="B8488" s="1168"/>
    </row>
    <row r="8489" spans="2:2" s="221" customFormat="1" ht="12.75" x14ac:dyDescent="0.2">
      <c r="B8489" s="1168"/>
    </row>
    <row r="8490" spans="2:2" s="221" customFormat="1" ht="12.75" x14ac:dyDescent="0.2">
      <c r="B8490" s="1168"/>
    </row>
    <row r="8491" spans="2:2" s="221" customFormat="1" ht="12.75" x14ac:dyDescent="0.2">
      <c r="B8491" s="1168"/>
    </row>
    <row r="8492" spans="2:2" s="221" customFormat="1" ht="12.75" x14ac:dyDescent="0.2">
      <c r="B8492" s="1168"/>
    </row>
    <row r="8493" spans="2:2" s="221" customFormat="1" ht="12.75" x14ac:dyDescent="0.2">
      <c r="B8493" s="1168"/>
    </row>
    <row r="8494" spans="2:2" s="221" customFormat="1" ht="12.75" x14ac:dyDescent="0.2">
      <c r="B8494" s="1168"/>
    </row>
    <row r="8495" spans="2:2" s="221" customFormat="1" ht="12.75" x14ac:dyDescent="0.2">
      <c r="B8495" s="1168"/>
    </row>
    <row r="8496" spans="2:2" s="221" customFormat="1" ht="12.75" x14ac:dyDescent="0.2">
      <c r="B8496" s="1168"/>
    </row>
    <row r="8497" spans="2:2" s="221" customFormat="1" ht="12.75" x14ac:dyDescent="0.2">
      <c r="B8497" s="1168"/>
    </row>
    <row r="8498" spans="2:2" s="221" customFormat="1" ht="12.75" x14ac:dyDescent="0.2">
      <c r="B8498" s="1168"/>
    </row>
    <row r="8499" spans="2:2" s="221" customFormat="1" ht="12.75" x14ac:dyDescent="0.2">
      <c r="B8499" s="1168"/>
    </row>
    <row r="8500" spans="2:2" s="221" customFormat="1" ht="12.75" x14ac:dyDescent="0.2">
      <c r="B8500" s="1168"/>
    </row>
    <row r="8501" spans="2:2" s="221" customFormat="1" ht="12.75" x14ac:dyDescent="0.2">
      <c r="B8501" s="1168"/>
    </row>
    <row r="8502" spans="2:2" s="221" customFormat="1" ht="12.75" x14ac:dyDescent="0.2">
      <c r="B8502" s="1168"/>
    </row>
    <row r="8503" spans="2:2" s="221" customFormat="1" ht="12.75" x14ac:dyDescent="0.2">
      <c r="B8503" s="1168"/>
    </row>
    <row r="8504" spans="2:2" s="221" customFormat="1" ht="12.75" x14ac:dyDescent="0.2">
      <c r="B8504" s="1168"/>
    </row>
    <row r="8505" spans="2:2" s="221" customFormat="1" ht="12.75" x14ac:dyDescent="0.2">
      <c r="B8505" s="1168"/>
    </row>
    <row r="8506" spans="2:2" s="221" customFormat="1" ht="12.75" x14ac:dyDescent="0.2">
      <c r="B8506" s="1168"/>
    </row>
    <row r="8507" spans="2:2" s="221" customFormat="1" ht="12.75" x14ac:dyDescent="0.2">
      <c r="B8507" s="1168"/>
    </row>
    <row r="8508" spans="2:2" s="221" customFormat="1" ht="12.75" x14ac:dyDescent="0.2">
      <c r="B8508" s="1168"/>
    </row>
    <row r="8509" spans="2:2" s="221" customFormat="1" ht="12.75" x14ac:dyDescent="0.2">
      <c r="B8509" s="1168"/>
    </row>
    <row r="8510" spans="2:2" s="221" customFormat="1" ht="12.75" x14ac:dyDescent="0.2">
      <c r="B8510" s="1168"/>
    </row>
    <row r="8511" spans="2:2" s="221" customFormat="1" ht="12.75" x14ac:dyDescent="0.2">
      <c r="B8511" s="1168"/>
    </row>
    <row r="8512" spans="2:2" s="221" customFormat="1" ht="12.75" x14ac:dyDescent="0.2">
      <c r="B8512" s="1168"/>
    </row>
    <row r="8513" spans="2:2" s="221" customFormat="1" ht="12.75" x14ac:dyDescent="0.2">
      <c r="B8513" s="1168"/>
    </row>
    <row r="8514" spans="2:2" s="221" customFormat="1" ht="12.75" x14ac:dyDescent="0.2">
      <c r="B8514" s="1168"/>
    </row>
    <row r="8515" spans="2:2" s="221" customFormat="1" ht="12.75" x14ac:dyDescent="0.2">
      <c r="B8515" s="1168"/>
    </row>
    <row r="8516" spans="2:2" s="221" customFormat="1" ht="12.75" x14ac:dyDescent="0.2">
      <c r="B8516" s="1168"/>
    </row>
    <row r="8517" spans="2:2" s="221" customFormat="1" ht="12.75" x14ac:dyDescent="0.2">
      <c r="B8517" s="1168"/>
    </row>
    <row r="8518" spans="2:2" s="221" customFormat="1" ht="12.75" x14ac:dyDescent="0.2">
      <c r="B8518" s="1168"/>
    </row>
    <row r="8519" spans="2:2" s="221" customFormat="1" ht="12.75" x14ac:dyDescent="0.2">
      <c r="B8519" s="1168"/>
    </row>
    <row r="8520" spans="2:2" s="221" customFormat="1" ht="12.75" x14ac:dyDescent="0.2">
      <c r="B8520" s="1168"/>
    </row>
    <row r="8521" spans="2:2" s="221" customFormat="1" ht="12.75" x14ac:dyDescent="0.2">
      <c r="B8521" s="1168"/>
    </row>
    <row r="8522" spans="2:2" s="221" customFormat="1" ht="12.75" x14ac:dyDescent="0.2">
      <c r="B8522" s="1168"/>
    </row>
    <row r="8523" spans="2:2" s="221" customFormat="1" ht="12.75" x14ac:dyDescent="0.2">
      <c r="B8523" s="1168"/>
    </row>
    <row r="8524" spans="2:2" s="221" customFormat="1" ht="12.75" x14ac:dyDescent="0.2">
      <c r="B8524" s="1168"/>
    </row>
    <row r="8525" spans="2:2" s="221" customFormat="1" ht="12.75" x14ac:dyDescent="0.2">
      <c r="B8525" s="1168"/>
    </row>
    <row r="8526" spans="2:2" s="221" customFormat="1" ht="12.75" x14ac:dyDescent="0.2">
      <c r="B8526" s="1168"/>
    </row>
    <row r="8527" spans="2:2" s="221" customFormat="1" ht="12.75" x14ac:dyDescent="0.2">
      <c r="B8527" s="1168"/>
    </row>
    <row r="8528" spans="2:2" s="221" customFormat="1" ht="12.75" x14ac:dyDescent="0.2">
      <c r="B8528" s="1168"/>
    </row>
    <row r="8529" spans="2:2" s="221" customFormat="1" ht="12.75" x14ac:dyDescent="0.2">
      <c r="B8529" s="1168"/>
    </row>
    <row r="8530" spans="2:2" s="221" customFormat="1" ht="12.75" x14ac:dyDescent="0.2">
      <c r="B8530" s="1168"/>
    </row>
    <row r="8531" spans="2:2" s="221" customFormat="1" ht="12.75" x14ac:dyDescent="0.2">
      <c r="B8531" s="1168"/>
    </row>
    <row r="8532" spans="2:2" s="221" customFormat="1" ht="12.75" x14ac:dyDescent="0.2">
      <c r="B8532" s="1168"/>
    </row>
    <row r="8533" spans="2:2" s="221" customFormat="1" ht="12.75" x14ac:dyDescent="0.2">
      <c r="B8533" s="1168"/>
    </row>
    <row r="8534" spans="2:2" s="221" customFormat="1" ht="12.75" x14ac:dyDescent="0.2">
      <c r="B8534" s="1168"/>
    </row>
    <row r="8535" spans="2:2" s="221" customFormat="1" ht="12.75" x14ac:dyDescent="0.2">
      <c r="B8535" s="1168"/>
    </row>
    <row r="8536" spans="2:2" s="221" customFormat="1" ht="12.75" x14ac:dyDescent="0.2">
      <c r="B8536" s="1168"/>
    </row>
    <row r="8537" spans="2:2" s="221" customFormat="1" ht="12.75" x14ac:dyDescent="0.2">
      <c r="B8537" s="1168"/>
    </row>
    <row r="8538" spans="2:2" s="221" customFormat="1" ht="12.75" x14ac:dyDescent="0.2">
      <c r="B8538" s="1168"/>
    </row>
    <row r="8539" spans="2:2" s="221" customFormat="1" ht="12.75" x14ac:dyDescent="0.2">
      <c r="B8539" s="1168"/>
    </row>
    <row r="8540" spans="2:2" s="221" customFormat="1" ht="12.75" x14ac:dyDescent="0.2">
      <c r="B8540" s="1168"/>
    </row>
    <row r="8541" spans="2:2" s="221" customFormat="1" ht="12.75" x14ac:dyDescent="0.2">
      <c r="B8541" s="1168"/>
    </row>
    <row r="8542" spans="2:2" s="221" customFormat="1" ht="12.75" x14ac:dyDescent="0.2">
      <c r="B8542" s="1168"/>
    </row>
    <row r="8543" spans="2:2" s="221" customFormat="1" ht="12.75" x14ac:dyDescent="0.2">
      <c r="B8543" s="1168"/>
    </row>
    <row r="8544" spans="2:2" s="221" customFormat="1" ht="12.75" x14ac:dyDescent="0.2">
      <c r="B8544" s="1168"/>
    </row>
    <row r="8545" spans="2:2" s="221" customFormat="1" ht="12.75" x14ac:dyDescent="0.2">
      <c r="B8545" s="1168"/>
    </row>
    <row r="8546" spans="2:2" s="221" customFormat="1" ht="12.75" x14ac:dyDescent="0.2">
      <c r="B8546" s="1168"/>
    </row>
    <row r="8547" spans="2:2" s="221" customFormat="1" ht="12.75" x14ac:dyDescent="0.2">
      <c r="B8547" s="1168"/>
    </row>
    <row r="8548" spans="2:2" s="221" customFormat="1" ht="12.75" x14ac:dyDescent="0.2">
      <c r="B8548" s="1168"/>
    </row>
    <row r="8549" spans="2:2" s="221" customFormat="1" ht="12.75" x14ac:dyDescent="0.2">
      <c r="B8549" s="1168"/>
    </row>
    <row r="8550" spans="2:2" s="221" customFormat="1" ht="12.75" x14ac:dyDescent="0.2">
      <c r="B8550" s="1168"/>
    </row>
    <row r="8551" spans="2:2" s="221" customFormat="1" ht="12.75" x14ac:dyDescent="0.2">
      <c r="B8551" s="1168"/>
    </row>
    <row r="8552" spans="2:2" s="221" customFormat="1" ht="12.75" x14ac:dyDescent="0.2">
      <c r="B8552" s="1168"/>
    </row>
    <row r="8553" spans="2:2" s="221" customFormat="1" ht="12.75" x14ac:dyDescent="0.2">
      <c r="B8553" s="1168"/>
    </row>
    <row r="8554" spans="2:2" s="221" customFormat="1" ht="12.75" x14ac:dyDescent="0.2">
      <c r="B8554" s="1168"/>
    </row>
    <row r="8555" spans="2:2" s="221" customFormat="1" ht="12.75" x14ac:dyDescent="0.2">
      <c r="B8555" s="1168"/>
    </row>
    <row r="8556" spans="2:2" s="221" customFormat="1" ht="12.75" x14ac:dyDescent="0.2">
      <c r="B8556" s="1168"/>
    </row>
    <row r="8557" spans="2:2" s="221" customFormat="1" ht="12.75" x14ac:dyDescent="0.2">
      <c r="B8557" s="1168"/>
    </row>
    <row r="8558" spans="2:2" s="221" customFormat="1" ht="12.75" x14ac:dyDescent="0.2">
      <c r="B8558" s="1168"/>
    </row>
    <row r="8559" spans="2:2" s="221" customFormat="1" ht="12.75" x14ac:dyDescent="0.2">
      <c r="B8559" s="1168"/>
    </row>
    <row r="8560" spans="2:2" s="221" customFormat="1" ht="12.75" x14ac:dyDescent="0.2">
      <c r="B8560" s="1168"/>
    </row>
    <row r="8561" spans="2:2" s="221" customFormat="1" ht="12.75" x14ac:dyDescent="0.2">
      <c r="B8561" s="1168"/>
    </row>
    <row r="8562" spans="2:2" s="221" customFormat="1" ht="12.75" x14ac:dyDescent="0.2">
      <c r="B8562" s="1168"/>
    </row>
    <row r="8563" spans="2:2" s="221" customFormat="1" ht="12.75" x14ac:dyDescent="0.2">
      <c r="B8563" s="1168"/>
    </row>
    <row r="8564" spans="2:2" s="221" customFormat="1" ht="12.75" x14ac:dyDescent="0.2">
      <c r="B8564" s="1168"/>
    </row>
    <row r="8565" spans="2:2" s="221" customFormat="1" ht="12.75" x14ac:dyDescent="0.2">
      <c r="B8565" s="1168"/>
    </row>
    <row r="8566" spans="2:2" s="221" customFormat="1" ht="12.75" x14ac:dyDescent="0.2">
      <c r="B8566" s="1168"/>
    </row>
    <row r="8567" spans="2:2" s="221" customFormat="1" ht="12.75" x14ac:dyDescent="0.2">
      <c r="B8567" s="1168"/>
    </row>
    <row r="8568" spans="2:2" s="221" customFormat="1" ht="12.75" x14ac:dyDescent="0.2">
      <c r="B8568" s="1168"/>
    </row>
    <row r="8569" spans="2:2" s="221" customFormat="1" ht="12.75" x14ac:dyDescent="0.2">
      <c r="B8569" s="1168"/>
    </row>
    <row r="8570" spans="2:2" s="221" customFormat="1" ht="12.75" x14ac:dyDescent="0.2">
      <c r="B8570" s="1168"/>
    </row>
    <row r="8571" spans="2:2" s="221" customFormat="1" ht="12.75" x14ac:dyDescent="0.2">
      <c r="B8571" s="1168"/>
    </row>
    <row r="8572" spans="2:2" s="221" customFormat="1" ht="12.75" x14ac:dyDescent="0.2">
      <c r="B8572" s="1168"/>
    </row>
    <row r="8573" spans="2:2" s="221" customFormat="1" ht="12.75" x14ac:dyDescent="0.2">
      <c r="B8573" s="1168"/>
    </row>
    <row r="8574" spans="2:2" s="221" customFormat="1" ht="12.75" x14ac:dyDescent="0.2">
      <c r="B8574" s="1168"/>
    </row>
    <row r="8575" spans="2:2" s="221" customFormat="1" ht="12.75" x14ac:dyDescent="0.2">
      <c r="B8575" s="1168"/>
    </row>
    <row r="8576" spans="2:2" s="221" customFormat="1" ht="12.75" x14ac:dyDescent="0.2">
      <c r="B8576" s="1168"/>
    </row>
    <row r="8577" spans="2:2" s="221" customFormat="1" ht="12.75" x14ac:dyDescent="0.2">
      <c r="B8577" s="1168"/>
    </row>
    <row r="8578" spans="2:2" s="221" customFormat="1" ht="12.75" x14ac:dyDescent="0.2">
      <c r="B8578" s="1168"/>
    </row>
    <row r="8579" spans="2:2" s="221" customFormat="1" ht="12.75" x14ac:dyDescent="0.2">
      <c r="B8579" s="1168"/>
    </row>
    <row r="8580" spans="2:2" s="221" customFormat="1" ht="12.75" x14ac:dyDescent="0.2">
      <c r="B8580" s="1168"/>
    </row>
    <row r="8581" spans="2:2" s="221" customFormat="1" ht="12.75" x14ac:dyDescent="0.2">
      <c r="B8581" s="1168"/>
    </row>
    <row r="8582" spans="2:2" s="221" customFormat="1" ht="12.75" x14ac:dyDescent="0.2">
      <c r="B8582" s="1168"/>
    </row>
    <row r="8583" spans="2:2" s="221" customFormat="1" ht="12.75" x14ac:dyDescent="0.2">
      <c r="B8583" s="1168"/>
    </row>
    <row r="8584" spans="2:2" s="221" customFormat="1" ht="12.75" x14ac:dyDescent="0.2">
      <c r="B8584" s="1168"/>
    </row>
    <row r="8585" spans="2:2" s="221" customFormat="1" ht="12.75" x14ac:dyDescent="0.2">
      <c r="B8585" s="1168"/>
    </row>
    <row r="8586" spans="2:2" s="221" customFormat="1" ht="12.75" x14ac:dyDescent="0.2">
      <c r="B8586" s="1168"/>
    </row>
    <row r="8587" spans="2:2" s="221" customFormat="1" ht="12.75" x14ac:dyDescent="0.2">
      <c r="B8587" s="1168"/>
    </row>
    <row r="8588" spans="2:2" s="221" customFormat="1" ht="12.75" x14ac:dyDescent="0.2">
      <c r="B8588" s="1168"/>
    </row>
    <row r="8589" spans="2:2" s="221" customFormat="1" ht="12.75" x14ac:dyDescent="0.2">
      <c r="B8589" s="1168"/>
    </row>
    <row r="8590" spans="2:2" s="221" customFormat="1" ht="12.75" x14ac:dyDescent="0.2">
      <c r="B8590" s="1168"/>
    </row>
    <row r="8591" spans="2:2" s="221" customFormat="1" ht="12.75" x14ac:dyDescent="0.2">
      <c r="B8591" s="1168"/>
    </row>
    <row r="8592" spans="2:2" s="221" customFormat="1" ht="12.75" x14ac:dyDescent="0.2">
      <c r="B8592" s="1168"/>
    </row>
    <row r="8593" spans="2:2" s="221" customFormat="1" ht="12.75" x14ac:dyDescent="0.2">
      <c r="B8593" s="1168"/>
    </row>
    <row r="8594" spans="2:2" s="221" customFormat="1" ht="12.75" x14ac:dyDescent="0.2">
      <c r="B8594" s="1168"/>
    </row>
    <row r="8595" spans="2:2" s="221" customFormat="1" ht="12.75" x14ac:dyDescent="0.2">
      <c r="B8595" s="1168"/>
    </row>
    <row r="8596" spans="2:2" s="221" customFormat="1" ht="12.75" x14ac:dyDescent="0.2">
      <c r="B8596" s="1168"/>
    </row>
    <row r="8597" spans="2:2" s="221" customFormat="1" ht="12.75" x14ac:dyDescent="0.2">
      <c r="B8597" s="1168"/>
    </row>
    <row r="8598" spans="2:2" s="221" customFormat="1" ht="12.75" x14ac:dyDescent="0.2">
      <c r="B8598" s="1168"/>
    </row>
    <row r="8599" spans="2:2" s="221" customFormat="1" ht="12.75" x14ac:dyDescent="0.2">
      <c r="B8599" s="1168"/>
    </row>
    <row r="8600" spans="2:2" s="221" customFormat="1" ht="12.75" x14ac:dyDescent="0.2">
      <c r="B8600" s="1168"/>
    </row>
    <row r="8601" spans="2:2" s="221" customFormat="1" ht="12.75" x14ac:dyDescent="0.2">
      <c r="B8601" s="1168"/>
    </row>
    <row r="8602" spans="2:2" s="221" customFormat="1" ht="12.75" x14ac:dyDescent="0.2">
      <c r="B8602" s="1168"/>
    </row>
    <row r="8603" spans="2:2" s="221" customFormat="1" ht="12.75" x14ac:dyDescent="0.2">
      <c r="B8603" s="1168"/>
    </row>
    <row r="8604" spans="2:2" s="221" customFormat="1" ht="12.75" x14ac:dyDescent="0.2">
      <c r="B8604" s="1168"/>
    </row>
    <row r="8605" spans="2:2" s="221" customFormat="1" ht="12.75" x14ac:dyDescent="0.2">
      <c r="B8605" s="1168"/>
    </row>
    <row r="8606" spans="2:2" s="221" customFormat="1" ht="12.75" x14ac:dyDescent="0.2">
      <c r="B8606" s="1168"/>
    </row>
    <row r="8607" spans="2:2" s="221" customFormat="1" ht="12.75" x14ac:dyDescent="0.2">
      <c r="B8607" s="1168"/>
    </row>
    <row r="8608" spans="2:2" s="221" customFormat="1" ht="12.75" x14ac:dyDescent="0.2">
      <c r="B8608" s="1168"/>
    </row>
    <row r="8609" spans="2:2" s="221" customFormat="1" ht="12.75" x14ac:dyDescent="0.2">
      <c r="B8609" s="1168"/>
    </row>
    <row r="8610" spans="2:2" s="221" customFormat="1" ht="12.75" x14ac:dyDescent="0.2">
      <c r="B8610" s="1168"/>
    </row>
    <row r="8611" spans="2:2" s="221" customFormat="1" ht="12.75" x14ac:dyDescent="0.2">
      <c r="B8611" s="1168"/>
    </row>
    <row r="8612" spans="2:2" s="221" customFormat="1" ht="12.75" x14ac:dyDescent="0.2">
      <c r="B8612" s="1168"/>
    </row>
    <row r="8613" spans="2:2" s="221" customFormat="1" ht="12.75" x14ac:dyDescent="0.2">
      <c r="B8613" s="1168"/>
    </row>
    <row r="8614" spans="2:2" s="221" customFormat="1" ht="12.75" x14ac:dyDescent="0.2">
      <c r="B8614" s="1168"/>
    </row>
    <row r="8615" spans="2:2" s="221" customFormat="1" ht="12.75" x14ac:dyDescent="0.2">
      <c r="B8615" s="1168"/>
    </row>
    <row r="8616" spans="2:2" s="221" customFormat="1" ht="12.75" x14ac:dyDescent="0.2">
      <c r="B8616" s="1168"/>
    </row>
    <row r="8617" spans="2:2" s="221" customFormat="1" ht="12.75" x14ac:dyDescent="0.2">
      <c r="B8617" s="1168"/>
    </row>
    <row r="8618" spans="2:2" s="221" customFormat="1" ht="12.75" x14ac:dyDescent="0.2">
      <c r="B8618" s="1168"/>
    </row>
    <row r="8619" spans="2:2" s="221" customFormat="1" ht="12.75" x14ac:dyDescent="0.2">
      <c r="B8619" s="1168"/>
    </row>
    <row r="8620" spans="2:2" s="221" customFormat="1" ht="12.75" x14ac:dyDescent="0.2">
      <c r="B8620" s="1168"/>
    </row>
    <row r="8621" spans="2:2" s="221" customFormat="1" ht="12.75" x14ac:dyDescent="0.2">
      <c r="B8621" s="1168"/>
    </row>
    <row r="8622" spans="2:2" s="221" customFormat="1" ht="12.75" x14ac:dyDescent="0.2">
      <c r="B8622" s="1168"/>
    </row>
    <row r="8623" spans="2:2" s="221" customFormat="1" ht="12.75" x14ac:dyDescent="0.2">
      <c r="B8623" s="1168"/>
    </row>
    <row r="8624" spans="2:2" s="221" customFormat="1" ht="12.75" x14ac:dyDescent="0.2">
      <c r="B8624" s="1168"/>
    </row>
    <row r="8625" spans="2:2" s="221" customFormat="1" ht="12.75" x14ac:dyDescent="0.2">
      <c r="B8625" s="1168"/>
    </row>
    <row r="8626" spans="2:2" s="221" customFormat="1" ht="12.75" x14ac:dyDescent="0.2">
      <c r="B8626" s="1168"/>
    </row>
    <row r="8627" spans="2:2" s="221" customFormat="1" ht="12.75" x14ac:dyDescent="0.2">
      <c r="B8627" s="1168"/>
    </row>
    <row r="8628" spans="2:2" s="221" customFormat="1" ht="12.75" x14ac:dyDescent="0.2">
      <c r="B8628" s="1168"/>
    </row>
    <row r="8629" spans="2:2" s="221" customFormat="1" ht="12.75" x14ac:dyDescent="0.2">
      <c r="B8629" s="1168"/>
    </row>
    <row r="8630" spans="2:2" s="221" customFormat="1" ht="12.75" x14ac:dyDescent="0.2">
      <c r="B8630" s="1168"/>
    </row>
    <row r="8631" spans="2:2" s="221" customFormat="1" ht="12.75" x14ac:dyDescent="0.2">
      <c r="B8631" s="1168"/>
    </row>
    <row r="8632" spans="2:2" s="221" customFormat="1" ht="12.75" x14ac:dyDescent="0.2">
      <c r="B8632" s="1168"/>
    </row>
    <row r="8633" spans="2:2" s="221" customFormat="1" ht="12.75" x14ac:dyDescent="0.2">
      <c r="B8633" s="1168"/>
    </row>
    <row r="8634" spans="2:2" s="221" customFormat="1" ht="12.75" x14ac:dyDescent="0.2">
      <c r="B8634" s="1168"/>
    </row>
    <row r="8635" spans="2:2" s="221" customFormat="1" ht="12.75" x14ac:dyDescent="0.2">
      <c r="B8635" s="1168"/>
    </row>
    <row r="8636" spans="2:2" s="221" customFormat="1" ht="12.75" x14ac:dyDescent="0.2">
      <c r="B8636" s="1168"/>
    </row>
    <row r="8637" spans="2:2" s="221" customFormat="1" ht="12.75" x14ac:dyDescent="0.2">
      <c r="B8637" s="1168"/>
    </row>
    <row r="8638" spans="2:2" s="221" customFormat="1" ht="12.75" x14ac:dyDescent="0.2">
      <c r="B8638" s="1168"/>
    </row>
    <row r="8639" spans="2:2" s="221" customFormat="1" ht="12.75" x14ac:dyDescent="0.2">
      <c r="B8639" s="1168"/>
    </row>
    <row r="8640" spans="2:2" s="221" customFormat="1" ht="12.75" x14ac:dyDescent="0.2">
      <c r="B8640" s="1168"/>
    </row>
    <row r="8641" spans="2:2" s="221" customFormat="1" ht="12.75" x14ac:dyDescent="0.2">
      <c r="B8641" s="1168"/>
    </row>
    <row r="8642" spans="2:2" s="221" customFormat="1" ht="12.75" x14ac:dyDescent="0.2">
      <c r="B8642" s="1168"/>
    </row>
    <row r="8643" spans="2:2" s="221" customFormat="1" ht="12.75" x14ac:dyDescent="0.2">
      <c r="B8643" s="1168"/>
    </row>
    <row r="8644" spans="2:2" s="221" customFormat="1" ht="12.75" x14ac:dyDescent="0.2">
      <c r="B8644" s="1168"/>
    </row>
    <row r="8645" spans="2:2" s="221" customFormat="1" ht="12.75" x14ac:dyDescent="0.2">
      <c r="B8645" s="1168"/>
    </row>
    <row r="8646" spans="2:2" s="221" customFormat="1" ht="12.75" x14ac:dyDescent="0.2">
      <c r="B8646" s="1168"/>
    </row>
    <row r="8647" spans="2:2" s="221" customFormat="1" ht="12.75" x14ac:dyDescent="0.2">
      <c r="B8647" s="1168"/>
    </row>
    <row r="8648" spans="2:2" s="221" customFormat="1" ht="12.75" x14ac:dyDescent="0.2">
      <c r="B8648" s="1168"/>
    </row>
    <row r="8649" spans="2:2" s="221" customFormat="1" ht="12.75" x14ac:dyDescent="0.2">
      <c r="B8649" s="1168"/>
    </row>
    <row r="8650" spans="2:2" s="221" customFormat="1" ht="12.75" x14ac:dyDescent="0.2">
      <c r="B8650" s="1168"/>
    </row>
    <row r="8651" spans="2:2" s="221" customFormat="1" ht="12.75" x14ac:dyDescent="0.2">
      <c r="B8651" s="1168"/>
    </row>
    <row r="8652" spans="2:2" s="221" customFormat="1" ht="12.75" x14ac:dyDescent="0.2">
      <c r="B8652" s="1168"/>
    </row>
    <row r="8653" spans="2:2" s="221" customFormat="1" ht="12.75" x14ac:dyDescent="0.2">
      <c r="B8653" s="1168"/>
    </row>
    <row r="8654" spans="2:2" s="221" customFormat="1" ht="12.75" x14ac:dyDescent="0.2">
      <c r="B8654" s="1168"/>
    </row>
    <row r="8655" spans="2:2" s="221" customFormat="1" ht="12.75" x14ac:dyDescent="0.2">
      <c r="B8655" s="1168"/>
    </row>
    <row r="8656" spans="2:2" s="221" customFormat="1" ht="12.75" x14ac:dyDescent="0.2">
      <c r="B8656" s="1168"/>
    </row>
    <row r="8657" spans="2:2" s="221" customFormat="1" ht="12.75" x14ac:dyDescent="0.2">
      <c r="B8657" s="1168"/>
    </row>
    <row r="8658" spans="2:2" s="221" customFormat="1" ht="12.75" x14ac:dyDescent="0.2">
      <c r="B8658" s="1168"/>
    </row>
    <row r="8659" spans="2:2" s="221" customFormat="1" ht="12.75" x14ac:dyDescent="0.2">
      <c r="B8659" s="1168"/>
    </row>
    <row r="8660" spans="2:2" s="221" customFormat="1" ht="12.75" x14ac:dyDescent="0.2">
      <c r="B8660" s="1168"/>
    </row>
    <row r="8661" spans="2:2" s="221" customFormat="1" ht="12.75" x14ac:dyDescent="0.2">
      <c r="B8661" s="1168"/>
    </row>
    <row r="8662" spans="2:2" s="221" customFormat="1" ht="12.75" x14ac:dyDescent="0.2">
      <c r="B8662" s="1168"/>
    </row>
    <row r="8663" spans="2:2" s="221" customFormat="1" ht="12.75" x14ac:dyDescent="0.2">
      <c r="B8663" s="1168"/>
    </row>
    <row r="8664" spans="2:2" s="221" customFormat="1" ht="12.75" x14ac:dyDescent="0.2">
      <c r="B8664" s="1168"/>
    </row>
    <row r="8665" spans="2:2" s="221" customFormat="1" ht="12.75" x14ac:dyDescent="0.2">
      <c r="B8665" s="1168"/>
    </row>
    <row r="8666" spans="2:2" s="221" customFormat="1" ht="12.75" x14ac:dyDescent="0.2">
      <c r="B8666" s="1168"/>
    </row>
    <row r="8667" spans="2:2" s="221" customFormat="1" ht="12.75" x14ac:dyDescent="0.2">
      <c r="B8667" s="1168"/>
    </row>
    <row r="8668" spans="2:2" s="221" customFormat="1" ht="12.75" x14ac:dyDescent="0.2">
      <c r="B8668" s="1168"/>
    </row>
    <row r="8669" spans="2:2" s="221" customFormat="1" ht="12.75" x14ac:dyDescent="0.2">
      <c r="B8669" s="1168"/>
    </row>
    <row r="8670" spans="2:2" s="221" customFormat="1" ht="12.75" x14ac:dyDescent="0.2">
      <c r="B8670" s="1168"/>
    </row>
    <row r="8671" spans="2:2" s="221" customFormat="1" ht="12.75" x14ac:dyDescent="0.2">
      <c r="B8671" s="1168"/>
    </row>
    <row r="8672" spans="2:2" s="221" customFormat="1" ht="12.75" x14ac:dyDescent="0.2">
      <c r="B8672" s="1168"/>
    </row>
    <row r="8673" spans="2:2" s="221" customFormat="1" ht="12.75" x14ac:dyDescent="0.2">
      <c r="B8673" s="1168"/>
    </row>
    <row r="8674" spans="2:2" s="221" customFormat="1" ht="12.75" x14ac:dyDescent="0.2">
      <c r="B8674" s="1168"/>
    </row>
    <row r="8675" spans="2:2" s="221" customFormat="1" ht="12.75" x14ac:dyDescent="0.2">
      <c r="B8675" s="1168"/>
    </row>
    <row r="8676" spans="2:2" s="221" customFormat="1" ht="12.75" x14ac:dyDescent="0.2">
      <c r="B8676" s="1168"/>
    </row>
    <row r="8677" spans="2:2" s="221" customFormat="1" ht="12.75" x14ac:dyDescent="0.2">
      <c r="B8677" s="1168"/>
    </row>
    <row r="8678" spans="2:2" s="221" customFormat="1" ht="12.75" x14ac:dyDescent="0.2">
      <c r="B8678" s="1168"/>
    </row>
    <row r="8679" spans="2:2" s="221" customFormat="1" ht="12.75" x14ac:dyDescent="0.2">
      <c r="B8679" s="1168"/>
    </row>
    <row r="8680" spans="2:2" s="221" customFormat="1" ht="12.75" x14ac:dyDescent="0.2">
      <c r="B8680" s="1168"/>
    </row>
    <row r="8681" spans="2:2" s="221" customFormat="1" ht="12.75" x14ac:dyDescent="0.2">
      <c r="B8681" s="1168"/>
    </row>
    <row r="8682" spans="2:2" s="221" customFormat="1" ht="12.75" x14ac:dyDescent="0.2">
      <c r="B8682" s="1168"/>
    </row>
    <row r="8683" spans="2:2" s="221" customFormat="1" ht="12.75" x14ac:dyDescent="0.2">
      <c r="B8683" s="1168"/>
    </row>
    <row r="8684" spans="2:2" s="221" customFormat="1" ht="12.75" x14ac:dyDescent="0.2">
      <c r="B8684" s="1168"/>
    </row>
    <row r="8685" spans="2:2" s="221" customFormat="1" ht="12.75" x14ac:dyDescent="0.2">
      <c r="B8685" s="1168"/>
    </row>
    <row r="8686" spans="2:2" s="221" customFormat="1" ht="12.75" x14ac:dyDescent="0.2">
      <c r="B8686" s="1168"/>
    </row>
    <row r="8687" spans="2:2" s="221" customFormat="1" ht="12.75" x14ac:dyDescent="0.2">
      <c r="B8687" s="1168"/>
    </row>
    <row r="8688" spans="2:2" s="221" customFormat="1" ht="12.75" x14ac:dyDescent="0.2">
      <c r="B8688" s="1168"/>
    </row>
    <row r="8689" spans="2:2" s="221" customFormat="1" ht="12.75" x14ac:dyDescent="0.2">
      <c r="B8689" s="1168"/>
    </row>
    <row r="8690" spans="2:2" s="221" customFormat="1" ht="12.75" x14ac:dyDescent="0.2">
      <c r="B8690" s="1168"/>
    </row>
    <row r="8691" spans="2:2" s="221" customFormat="1" ht="12.75" x14ac:dyDescent="0.2">
      <c r="B8691" s="1168"/>
    </row>
    <row r="8692" spans="2:2" s="221" customFormat="1" ht="12.75" x14ac:dyDescent="0.2">
      <c r="B8692" s="1168"/>
    </row>
    <row r="8693" spans="2:2" s="221" customFormat="1" ht="12.75" x14ac:dyDescent="0.2">
      <c r="B8693" s="1168"/>
    </row>
    <row r="8694" spans="2:2" s="221" customFormat="1" ht="12.75" x14ac:dyDescent="0.2">
      <c r="B8694" s="1168"/>
    </row>
    <row r="8695" spans="2:2" s="221" customFormat="1" ht="12.75" x14ac:dyDescent="0.2">
      <c r="B8695" s="1168"/>
    </row>
    <row r="8696" spans="2:2" s="221" customFormat="1" ht="12.75" x14ac:dyDescent="0.2">
      <c r="B8696" s="1168"/>
    </row>
    <row r="8697" spans="2:2" s="221" customFormat="1" ht="12.75" x14ac:dyDescent="0.2">
      <c r="B8697" s="1168"/>
    </row>
    <row r="8698" spans="2:2" s="221" customFormat="1" ht="12.75" x14ac:dyDescent="0.2">
      <c r="B8698" s="1168"/>
    </row>
    <row r="8699" spans="2:2" s="221" customFormat="1" ht="12.75" x14ac:dyDescent="0.2">
      <c r="B8699" s="1168"/>
    </row>
    <row r="8700" spans="2:2" s="221" customFormat="1" ht="12.75" x14ac:dyDescent="0.2">
      <c r="B8700" s="1168"/>
    </row>
    <row r="8701" spans="2:2" s="221" customFormat="1" ht="12.75" x14ac:dyDescent="0.2">
      <c r="B8701" s="1168"/>
    </row>
    <row r="8702" spans="2:2" s="221" customFormat="1" ht="12.75" x14ac:dyDescent="0.2">
      <c r="B8702" s="1168"/>
    </row>
    <row r="8703" spans="2:2" s="221" customFormat="1" ht="12.75" x14ac:dyDescent="0.2">
      <c r="B8703" s="1168"/>
    </row>
    <row r="8704" spans="2:2" s="221" customFormat="1" ht="12.75" x14ac:dyDescent="0.2">
      <c r="B8704" s="1168"/>
    </row>
    <row r="8705" spans="2:2" s="221" customFormat="1" ht="12.75" x14ac:dyDescent="0.2">
      <c r="B8705" s="1168"/>
    </row>
    <row r="8706" spans="2:2" s="221" customFormat="1" ht="12.75" x14ac:dyDescent="0.2">
      <c r="B8706" s="1168"/>
    </row>
    <row r="8707" spans="2:2" s="221" customFormat="1" ht="12.75" x14ac:dyDescent="0.2">
      <c r="B8707" s="1168"/>
    </row>
    <row r="8708" spans="2:2" s="221" customFormat="1" ht="12.75" x14ac:dyDescent="0.2">
      <c r="B8708" s="1168"/>
    </row>
    <row r="8709" spans="2:2" s="221" customFormat="1" ht="12.75" x14ac:dyDescent="0.2">
      <c r="B8709" s="1168"/>
    </row>
    <row r="8710" spans="2:2" s="221" customFormat="1" ht="12.75" x14ac:dyDescent="0.2">
      <c r="B8710" s="1168"/>
    </row>
    <row r="8711" spans="2:2" s="221" customFormat="1" ht="12.75" x14ac:dyDescent="0.2">
      <c r="B8711" s="1168"/>
    </row>
    <row r="8712" spans="2:2" s="221" customFormat="1" ht="12.75" x14ac:dyDescent="0.2">
      <c r="B8712" s="1168"/>
    </row>
    <row r="8713" spans="2:2" s="221" customFormat="1" ht="12.75" x14ac:dyDescent="0.2">
      <c r="B8713" s="1168"/>
    </row>
    <row r="8714" spans="2:2" s="221" customFormat="1" ht="12.75" x14ac:dyDescent="0.2">
      <c r="B8714" s="1168"/>
    </row>
    <row r="8715" spans="2:2" s="221" customFormat="1" ht="12.75" x14ac:dyDescent="0.2">
      <c r="B8715" s="1168"/>
    </row>
    <row r="8716" spans="2:2" s="221" customFormat="1" ht="12.75" x14ac:dyDescent="0.2">
      <c r="B8716" s="1168"/>
    </row>
    <row r="8717" spans="2:2" s="221" customFormat="1" ht="12.75" x14ac:dyDescent="0.2">
      <c r="B8717" s="1168"/>
    </row>
    <row r="8718" spans="2:2" s="221" customFormat="1" ht="12.75" x14ac:dyDescent="0.2">
      <c r="B8718" s="1168"/>
    </row>
    <row r="8719" spans="2:2" s="221" customFormat="1" ht="12.75" x14ac:dyDescent="0.2">
      <c r="B8719" s="1168"/>
    </row>
    <row r="8720" spans="2:2" s="221" customFormat="1" ht="12.75" x14ac:dyDescent="0.2">
      <c r="B8720" s="1168"/>
    </row>
    <row r="8721" spans="2:2" s="221" customFormat="1" ht="12.75" x14ac:dyDescent="0.2">
      <c r="B8721" s="1168"/>
    </row>
    <row r="8722" spans="2:2" s="221" customFormat="1" ht="12.75" x14ac:dyDescent="0.2">
      <c r="B8722" s="1168"/>
    </row>
    <row r="8723" spans="2:2" s="221" customFormat="1" ht="12.75" x14ac:dyDescent="0.2">
      <c r="B8723" s="1168"/>
    </row>
    <row r="8724" spans="2:2" s="221" customFormat="1" ht="12.75" x14ac:dyDescent="0.2">
      <c r="B8724" s="1168"/>
    </row>
    <row r="8725" spans="2:2" s="221" customFormat="1" ht="12.75" x14ac:dyDescent="0.2">
      <c r="B8725" s="1168"/>
    </row>
    <row r="8726" spans="2:2" s="221" customFormat="1" ht="12.75" x14ac:dyDescent="0.2">
      <c r="B8726" s="1168"/>
    </row>
    <row r="8727" spans="2:2" s="221" customFormat="1" ht="12.75" x14ac:dyDescent="0.2">
      <c r="B8727" s="1168"/>
    </row>
    <row r="8728" spans="2:2" s="221" customFormat="1" ht="12.75" x14ac:dyDescent="0.2">
      <c r="B8728" s="1168"/>
    </row>
    <row r="8729" spans="2:2" s="221" customFormat="1" ht="12.75" x14ac:dyDescent="0.2">
      <c r="B8729" s="1168"/>
    </row>
    <row r="8730" spans="2:2" s="221" customFormat="1" ht="12.75" x14ac:dyDescent="0.2">
      <c r="B8730" s="1168"/>
    </row>
    <row r="8731" spans="2:2" s="221" customFormat="1" ht="12.75" x14ac:dyDescent="0.2">
      <c r="B8731" s="1168"/>
    </row>
    <row r="8732" spans="2:2" s="221" customFormat="1" ht="12.75" x14ac:dyDescent="0.2">
      <c r="B8732" s="1168"/>
    </row>
    <row r="8733" spans="2:2" s="221" customFormat="1" ht="12.75" x14ac:dyDescent="0.2">
      <c r="B8733" s="1168"/>
    </row>
    <row r="8734" spans="2:2" s="221" customFormat="1" ht="12.75" x14ac:dyDescent="0.2">
      <c r="B8734" s="1168"/>
    </row>
    <row r="8735" spans="2:2" s="221" customFormat="1" ht="12.75" x14ac:dyDescent="0.2">
      <c r="B8735" s="1168"/>
    </row>
    <row r="8736" spans="2:2" s="221" customFormat="1" ht="12.75" x14ac:dyDescent="0.2">
      <c r="B8736" s="1168"/>
    </row>
    <row r="8737" spans="2:2" s="221" customFormat="1" ht="12.75" x14ac:dyDescent="0.2">
      <c r="B8737" s="1168"/>
    </row>
    <row r="8738" spans="2:2" s="221" customFormat="1" ht="12.75" x14ac:dyDescent="0.2">
      <c r="B8738" s="1168"/>
    </row>
    <row r="8739" spans="2:2" s="221" customFormat="1" ht="12.75" x14ac:dyDescent="0.2">
      <c r="B8739" s="1168"/>
    </row>
    <row r="8740" spans="2:2" s="221" customFormat="1" ht="12.75" x14ac:dyDescent="0.2">
      <c r="B8740" s="1168"/>
    </row>
    <row r="8741" spans="2:2" s="221" customFormat="1" ht="12.75" x14ac:dyDescent="0.2">
      <c r="B8741" s="1168"/>
    </row>
    <row r="8742" spans="2:2" s="221" customFormat="1" ht="12.75" x14ac:dyDescent="0.2">
      <c r="B8742" s="1168"/>
    </row>
    <row r="8743" spans="2:2" s="221" customFormat="1" ht="12.75" x14ac:dyDescent="0.2">
      <c r="B8743" s="1168"/>
    </row>
    <row r="8744" spans="2:2" s="221" customFormat="1" ht="12.75" x14ac:dyDescent="0.2">
      <c r="B8744" s="1168"/>
    </row>
    <row r="8745" spans="2:2" s="221" customFormat="1" ht="12.75" x14ac:dyDescent="0.2">
      <c r="B8745" s="1168"/>
    </row>
    <row r="8746" spans="2:2" s="221" customFormat="1" ht="12.75" x14ac:dyDescent="0.2">
      <c r="B8746" s="1168"/>
    </row>
    <row r="8747" spans="2:2" s="221" customFormat="1" ht="12.75" x14ac:dyDescent="0.2">
      <c r="B8747" s="1168"/>
    </row>
    <row r="8748" spans="2:2" s="221" customFormat="1" ht="12.75" x14ac:dyDescent="0.2">
      <c r="B8748" s="1168"/>
    </row>
    <row r="8749" spans="2:2" s="221" customFormat="1" ht="12.75" x14ac:dyDescent="0.2">
      <c r="B8749" s="1168"/>
    </row>
    <row r="8750" spans="2:2" s="221" customFormat="1" ht="12.75" x14ac:dyDescent="0.2">
      <c r="B8750" s="1168"/>
    </row>
    <row r="8751" spans="2:2" s="221" customFormat="1" ht="12.75" x14ac:dyDescent="0.2">
      <c r="B8751" s="1168"/>
    </row>
    <row r="8752" spans="2:2" s="221" customFormat="1" ht="12.75" x14ac:dyDescent="0.2">
      <c r="B8752" s="1168"/>
    </row>
    <row r="8753" spans="2:2" s="221" customFormat="1" ht="12.75" x14ac:dyDescent="0.2">
      <c r="B8753" s="1168"/>
    </row>
    <row r="8754" spans="2:2" s="221" customFormat="1" ht="12.75" x14ac:dyDescent="0.2">
      <c r="B8754" s="1168"/>
    </row>
    <row r="8755" spans="2:2" s="221" customFormat="1" ht="12.75" x14ac:dyDescent="0.2">
      <c r="B8755" s="1168"/>
    </row>
    <row r="8756" spans="2:2" s="221" customFormat="1" ht="12.75" x14ac:dyDescent="0.2">
      <c r="B8756" s="1168"/>
    </row>
    <row r="8757" spans="2:2" s="221" customFormat="1" ht="12.75" x14ac:dyDescent="0.2">
      <c r="B8757" s="1168"/>
    </row>
    <row r="8758" spans="2:2" s="221" customFormat="1" ht="12.75" x14ac:dyDescent="0.2">
      <c r="B8758" s="1168"/>
    </row>
    <row r="8759" spans="2:2" s="221" customFormat="1" ht="12.75" x14ac:dyDescent="0.2">
      <c r="B8759" s="1168"/>
    </row>
    <row r="8760" spans="2:2" s="221" customFormat="1" ht="12.75" x14ac:dyDescent="0.2">
      <c r="B8760" s="1168"/>
    </row>
    <row r="8761" spans="2:2" s="221" customFormat="1" ht="12.75" x14ac:dyDescent="0.2">
      <c r="B8761" s="1168"/>
    </row>
    <row r="8762" spans="2:2" s="221" customFormat="1" ht="12.75" x14ac:dyDescent="0.2">
      <c r="B8762" s="1168"/>
    </row>
    <row r="8763" spans="2:2" s="221" customFormat="1" ht="12.75" x14ac:dyDescent="0.2">
      <c r="B8763" s="1168"/>
    </row>
    <row r="8764" spans="2:2" s="221" customFormat="1" ht="12.75" x14ac:dyDescent="0.2">
      <c r="B8764" s="1168"/>
    </row>
    <row r="8765" spans="2:2" s="221" customFormat="1" ht="12.75" x14ac:dyDescent="0.2">
      <c r="B8765" s="1168"/>
    </row>
    <row r="8766" spans="2:2" s="221" customFormat="1" ht="12.75" x14ac:dyDescent="0.2">
      <c r="B8766" s="1168"/>
    </row>
    <row r="8767" spans="2:2" s="221" customFormat="1" ht="12.75" x14ac:dyDescent="0.2">
      <c r="B8767" s="1168"/>
    </row>
    <row r="8768" spans="2:2" s="221" customFormat="1" ht="12.75" x14ac:dyDescent="0.2">
      <c r="B8768" s="1168"/>
    </row>
    <row r="8769" spans="2:2" s="221" customFormat="1" ht="12.75" x14ac:dyDescent="0.2">
      <c r="B8769" s="1168"/>
    </row>
    <row r="8770" spans="2:2" s="221" customFormat="1" ht="12.75" x14ac:dyDescent="0.2">
      <c r="B8770" s="1168"/>
    </row>
    <row r="8771" spans="2:2" s="221" customFormat="1" ht="12.75" x14ac:dyDescent="0.2">
      <c r="B8771" s="1168"/>
    </row>
    <row r="8772" spans="2:2" s="221" customFormat="1" ht="12.75" x14ac:dyDescent="0.2">
      <c r="B8772" s="1168"/>
    </row>
    <row r="8773" spans="2:2" s="221" customFormat="1" ht="12.75" x14ac:dyDescent="0.2">
      <c r="B8773" s="1168"/>
    </row>
    <row r="8774" spans="2:2" s="221" customFormat="1" ht="12.75" x14ac:dyDescent="0.2">
      <c r="B8774" s="1168"/>
    </row>
    <row r="8775" spans="2:2" s="221" customFormat="1" ht="12.75" x14ac:dyDescent="0.2">
      <c r="B8775" s="1168"/>
    </row>
    <row r="8776" spans="2:2" s="221" customFormat="1" ht="12.75" x14ac:dyDescent="0.2">
      <c r="B8776" s="1168"/>
    </row>
    <row r="8777" spans="2:2" s="221" customFormat="1" ht="12.75" x14ac:dyDescent="0.2">
      <c r="B8777" s="1168"/>
    </row>
    <row r="8778" spans="2:2" s="221" customFormat="1" ht="12.75" x14ac:dyDescent="0.2">
      <c r="B8778" s="1168"/>
    </row>
    <row r="8779" spans="2:2" s="221" customFormat="1" ht="12.75" x14ac:dyDescent="0.2">
      <c r="B8779" s="1168"/>
    </row>
    <row r="8780" spans="2:2" s="221" customFormat="1" ht="12.75" x14ac:dyDescent="0.2">
      <c r="B8780" s="1168"/>
    </row>
    <row r="8781" spans="2:2" s="221" customFormat="1" ht="12.75" x14ac:dyDescent="0.2">
      <c r="B8781" s="1168"/>
    </row>
    <row r="8782" spans="2:2" s="221" customFormat="1" ht="12.75" x14ac:dyDescent="0.2">
      <c r="B8782" s="1168"/>
    </row>
    <row r="8783" spans="2:2" s="221" customFormat="1" ht="12.75" x14ac:dyDescent="0.2">
      <c r="B8783" s="1168"/>
    </row>
    <row r="8784" spans="2:2" s="221" customFormat="1" ht="12.75" x14ac:dyDescent="0.2">
      <c r="B8784" s="1168"/>
    </row>
    <row r="8785" spans="2:2" s="221" customFormat="1" ht="12.75" x14ac:dyDescent="0.2">
      <c r="B8785" s="1168"/>
    </row>
    <row r="8786" spans="2:2" s="221" customFormat="1" ht="12.75" x14ac:dyDescent="0.2">
      <c r="B8786" s="1168"/>
    </row>
    <row r="8787" spans="2:2" s="221" customFormat="1" ht="12.75" x14ac:dyDescent="0.2">
      <c r="B8787" s="1168"/>
    </row>
    <row r="8788" spans="2:2" s="221" customFormat="1" ht="12.75" x14ac:dyDescent="0.2">
      <c r="B8788" s="1168"/>
    </row>
    <row r="8789" spans="2:2" s="221" customFormat="1" ht="12.75" x14ac:dyDescent="0.2">
      <c r="B8789" s="1168"/>
    </row>
    <row r="8790" spans="2:2" s="221" customFormat="1" ht="12.75" x14ac:dyDescent="0.2">
      <c r="B8790" s="1168"/>
    </row>
    <row r="8791" spans="2:2" s="221" customFormat="1" ht="12.75" x14ac:dyDescent="0.2">
      <c r="B8791" s="1168"/>
    </row>
    <row r="8792" spans="2:2" s="221" customFormat="1" ht="12.75" x14ac:dyDescent="0.2">
      <c r="B8792" s="1168"/>
    </row>
    <row r="8793" spans="2:2" s="221" customFormat="1" ht="12.75" x14ac:dyDescent="0.2">
      <c r="B8793" s="1168"/>
    </row>
    <row r="8794" spans="2:2" s="221" customFormat="1" ht="12.75" x14ac:dyDescent="0.2">
      <c r="B8794" s="1168"/>
    </row>
    <row r="8795" spans="2:2" s="221" customFormat="1" ht="12.75" x14ac:dyDescent="0.2">
      <c r="B8795" s="1168"/>
    </row>
    <row r="8796" spans="2:2" s="221" customFormat="1" ht="12.75" x14ac:dyDescent="0.2">
      <c r="B8796" s="1168"/>
    </row>
    <row r="8797" spans="2:2" s="221" customFormat="1" ht="12.75" x14ac:dyDescent="0.2">
      <c r="B8797" s="1168"/>
    </row>
    <row r="8798" spans="2:2" s="221" customFormat="1" ht="12.75" x14ac:dyDescent="0.2">
      <c r="B8798" s="1168"/>
    </row>
    <row r="8799" spans="2:2" s="221" customFormat="1" ht="12.75" x14ac:dyDescent="0.2">
      <c r="B8799" s="1168"/>
    </row>
    <row r="8800" spans="2:2" s="221" customFormat="1" ht="12.75" x14ac:dyDescent="0.2">
      <c r="B8800" s="1168"/>
    </row>
    <row r="8801" spans="2:2" s="221" customFormat="1" ht="12.75" x14ac:dyDescent="0.2">
      <c r="B8801" s="1168"/>
    </row>
    <row r="8802" spans="2:2" s="221" customFormat="1" ht="12.75" x14ac:dyDescent="0.2">
      <c r="B8802" s="1168"/>
    </row>
    <row r="8803" spans="2:2" s="221" customFormat="1" ht="12.75" x14ac:dyDescent="0.2">
      <c r="B8803" s="1168"/>
    </row>
    <row r="8804" spans="2:2" s="221" customFormat="1" ht="12.75" x14ac:dyDescent="0.2">
      <c r="B8804" s="1168"/>
    </row>
    <row r="8805" spans="2:2" s="221" customFormat="1" ht="12.75" x14ac:dyDescent="0.2">
      <c r="B8805" s="1168"/>
    </row>
    <row r="8806" spans="2:2" s="221" customFormat="1" ht="12.75" x14ac:dyDescent="0.2">
      <c r="B8806" s="1168"/>
    </row>
    <row r="8807" spans="2:2" s="221" customFormat="1" ht="12.75" x14ac:dyDescent="0.2">
      <c r="B8807" s="1168"/>
    </row>
    <row r="8808" spans="2:2" s="221" customFormat="1" ht="12.75" x14ac:dyDescent="0.2">
      <c r="B8808" s="1168"/>
    </row>
    <row r="8809" spans="2:2" s="221" customFormat="1" ht="12.75" x14ac:dyDescent="0.2">
      <c r="B8809" s="1168"/>
    </row>
    <row r="8810" spans="2:2" s="221" customFormat="1" ht="12.75" x14ac:dyDescent="0.2">
      <c r="B8810" s="1168"/>
    </row>
    <row r="8811" spans="2:2" s="221" customFormat="1" ht="12.75" x14ac:dyDescent="0.2">
      <c r="B8811" s="1168"/>
    </row>
    <row r="8812" spans="2:2" s="221" customFormat="1" ht="12.75" x14ac:dyDescent="0.2">
      <c r="B8812" s="1168"/>
    </row>
    <row r="8813" spans="2:2" s="221" customFormat="1" ht="12.75" x14ac:dyDescent="0.2">
      <c r="B8813" s="1168"/>
    </row>
    <row r="8814" spans="2:2" s="221" customFormat="1" ht="12.75" x14ac:dyDescent="0.2">
      <c r="B8814" s="1168"/>
    </row>
    <row r="8815" spans="2:2" s="221" customFormat="1" ht="12.75" x14ac:dyDescent="0.2">
      <c r="B8815" s="1168"/>
    </row>
    <row r="8816" spans="2:2" s="221" customFormat="1" ht="12.75" x14ac:dyDescent="0.2">
      <c r="B8816" s="1168"/>
    </row>
    <row r="8817" spans="2:2" s="221" customFormat="1" ht="12.75" x14ac:dyDescent="0.2">
      <c r="B8817" s="1168"/>
    </row>
    <row r="8818" spans="2:2" s="221" customFormat="1" ht="12.75" x14ac:dyDescent="0.2">
      <c r="B8818" s="1168"/>
    </row>
    <row r="8819" spans="2:2" s="221" customFormat="1" ht="12.75" x14ac:dyDescent="0.2">
      <c r="B8819" s="1168"/>
    </row>
    <row r="8820" spans="2:2" s="221" customFormat="1" ht="12.75" x14ac:dyDescent="0.2">
      <c r="B8820" s="1168"/>
    </row>
    <row r="8821" spans="2:2" s="221" customFormat="1" ht="12.75" x14ac:dyDescent="0.2">
      <c r="B8821" s="1168"/>
    </row>
    <row r="8822" spans="2:2" s="221" customFormat="1" ht="12.75" x14ac:dyDescent="0.2">
      <c r="B8822" s="1168"/>
    </row>
    <row r="8823" spans="2:2" s="221" customFormat="1" ht="12.75" x14ac:dyDescent="0.2">
      <c r="B8823" s="1168"/>
    </row>
    <row r="8824" spans="2:2" s="221" customFormat="1" ht="12.75" x14ac:dyDescent="0.2">
      <c r="B8824" s="1168"/>
    </row>
    <row r="8825" spans="2:2" s="221" customFormat="1" ht="12.75" x14ac:dyDescent="0.2">
      <c r="B8825" s="1168"/>
    </row>
    <row r="8826" spans="2:2" s="221" customFormat="1" ht="12.75" x14ac:dyDescent="0.2">
      <c r="B8826" s="1168"/>
    </row>
    <row r="8827" spans="2:2" s="221" customFormat="1" ht="12.75" x14ac:dyDescent="0.2">
      <c r="B8827" s="1168"/>
    </row>
    <row r="8828" spans="2:2" s="221" customFormat="1" ht="12.75" x14ac:dyDescent="0.2">
      <c r="B8828" s="1168"/>
    </row>
    <row r="8829" spans="2:2" s="221" customFormat="1" ht="12.75" x14ac:dyDescent="0.2">
      <c r="B8829" s="1168"/>
    </row>
    <row r="8830" spans="2:2" s="221" customFormat="1" ht="12.75" x14ac:dyDescent="0.2">
      <c r="B8830" s="1168"/>
    </row>
    <row r="8831" spans="2:2" s="221" customFormat="1" ht="12.75" x14ac:dyDescent="0.2">
      <c r="B8831" s="1168"/>
    </row>
    <row r="8832" spans="2:2" s="221" customFormat="1" ht="12.75" x14ac:dyDescent="0.2">
      <c r="B8832" s="1168"/>
    </row>
    <row r="8833" spans="2:2" s="221" customFormat="1" ht="12.75" x14ac:dyDescent="0.2">
      <c r="B8833" s="1168"/>
    </row>
    <row r="8834" spans="2:2" s="221" customFormat="1" ht="12.75" x14ac:dyDescent="0.2">
      <c r="B8834" s="1168"/>
    </row>
    <row r="8835" spans="2:2" s="221" customFormat="1" ht="12.75" x14ac:dyDescent="0.2">
      <c r="B8835" s="1168"/>
    </row>
    <row r="8836" spans="2:2" s="221" customFormat="1" ht="12.75" x14ac:dyDescent="0.2">
      <c r="B8836" s="1168"/>
    </row>
    <row r="8837" spans="2:2" s="221" customFormat="1" ht="12.75" x14ac:dyDescent="0.2">
      <c r="B8837" s="1168"/>
    </row>
    <row r="8838" spans="2:2" s="221" customFormat="1" ht="12.75" x14ac:dyDescent="0.2">
      <c r="B8838" s="1168"/>
    </row>
    <row r="8839" spans="2:2" s="221" customFormat="1" ht="12.75" x14ac:dyDescent="0.2">
      <c r="B8839" s="1168"/>
    </row>
    <row r="8840" spans="2:2" s="221" customFormat="1" ht="12.75" x14ac:dyDescent="0.2">
      <c r="B8840" s="1168"/>
    </row>
    <row r="8841" spans="2:2" s="221" customFormat="1" ht="12.75" x14ac:dyDescent="0.2">
      <c r="B8841" s="1168"/>
    </row>
    <row r="8842" spans="2:2" s="221" customFormat="1" ht="12.75" x14ac:dyDescent="0.2">
      <c r="B8842" s="1168"/>
    </row>
    <row r="8843" spans="2:2" s="221" customFormat="1" ht="12.75" x14ac:dyDescent="0.2">
      <c r="B8843" s="1168"/>
    </row>
    <row r="8844" spans="2:2" s="221" customFormat="1" ht="12.75" x14ac:dyDescent="0.2">
      <c r="B8844" s="1168"/>
    </row>
    <row r="8845" spans="2:2" s="221" customFormat="1" ht="12.75" x14ac:dyDescent="0.2">
      <c r="B8845" s="1168"/>
    </row>
    <row r="8846" spans="2:2" s="221" customFormat="1" ht="12.75" x14ac:dyDescent="0.2">
      <c r="B8846" s="1168"/>
    </row>
    <row r="8847" spans="2:2" s="221" customFormat="1" ht="12.75" x14ac:dyDescent="0.2">
      <c r="B8847" s="1168"/>
    </row>
    <row r="8848" spans="2:2" s="221" customFormat="1" ht="12.75" x14ac:dyDescent="0.2">
      <c r="B8848" s="1168"/>
    </row>
    <row r="8849" spans="2:2" s="221" customFormat="1" ht="12.75" x14ac:dyDescent="0.2">
      <c r="B8849" s="1168"/>
    </row>
    <row r="8850" spans="2:2" s="221" customFormat="1" ht="12.75" x14ac:dyDescent="0.2">
      <c r="B8850" s="1168"/>
    </row>
    <row r="8851" spans="2:2" s="221" customFormat="1" ht="12.75" x14ac:dyDescent="0.2">
      <c r="B8851" s="1168"/>
    </row>
    <row r="8852" spans="2:2" s="221" customFormat="1" ht="12.75" x14ac:dyDescent="0.2">
      <c r="B8852" s="1168"/>
    </row>
    <row r="8853" spans="2:2" s="221" customFormat="1" ht="12.75" x14ac:dyDescent="0.2">
      <c r="B8853" s="1168"/>
    </row>
    <row r="8854" spans="2:2" s="221" customFormat="1" ht="12.75" x14ac:dyDescent="0.2">
      <c r="B8854" s="1168"/>
    </row>
    <row r="8855" spans="2:2" s="221" customFormat="1" ht="12.75" x14ac:dyDescent="0.2">
      <c r="B8855" s="1168"/>
    </row>
    <row r="8856" spans="2:2" s="221" customFormat="1" ht="12.75" x14ac:dyDescent="0.2">
      <c r="B8856" s="1168"/>
    </row>
    <row r="8857" spans="2:2" s="221" customFormat="1" ht="12.75" x14ac:dyDescent="0.2">
      <c r="B8857" s="1168"/>
    </row>
    <row r="8858" spans="2:2" s="221" customFormat="1" ht="12.75" x14ac:dyDescent="0.2">
      <c r="B8858" s="1168"/>
    </row>
    <row r="8859" spans="2:2" s="221" customFormat="1" ht="12.75" x14ac:dyDescent="0.2">
      <c r="B8859" s="1168"/>
    </row>
    <row r="8860" spans="2:2" s="221" customFormat="1" ht="12.75" x14ac:dyDescent="0.2">
      <c r="B8860" s="1168"/>
    </row>
    <row r="8861" spans="2:2" s="221" customFormat="1" ht="12.75" x14ac:dyDescent="0.2">
      <c r="B8861" s="1168"/>
    </row>
    <row r="8862" spans="2:2" s="221" customFormat="1" ht="12.75" x14ac:dyDescent="0.2">
      <c r="B8862" s="1168"/>
    </row>
    <row r="8863" spans="2:2" s="221" customFormat="1" ht="12.75" x14ac:dyDescent="0.2">
      <c r="B8863" s="1168"/>
    </row>
    <row r="8864" spans="2:2" s="221" customFormat="1" ht="12.75" x14ac:dyDescent="0.2">
      <c r="B8864" s="1168"/>
    </row>
    <row r="8865" spans="2:2" s="221" customFormat="1" ht="12.75" x14ac:dyDescent="0.2">
      <c r="B8865" s="1168"/>
    </row>
    <row r="8866" spans="2:2" s="221" customFormat="1" ht="12.75" x14ac:dyDescent="0.2">
      <c r="B8866" s="1168"/>
    </row>
    <row r="8867" spans="2:2" s="221" customFormat="1" ht="12.75" x14ac:dyDescent="0.2">
      <c r="B8867" s="1168"/>
    </row>
    <row r="8868" spans="2:2" s="221" customFormat="1" ht="12.75" x14ac:dyDescent="0.2">
      <c r="B8868" s="1168"/>
    </row>
    <row r="8869" spans="2:2" s="221" customFormat="1" ht="12.75" x14ac:dyDescent="0.2">
      <c r="B8869" s="1168"/>
    </row>
    <row r="8870" spans="2:2" s="221" customFormat="1" ht="12.75" x14ac:dyDescent="0.2">
      <c r="B8870" s="1168"/>
    </row>
    <row r="8871" spans="2:2" s="221" customFormat="1" ht="12.75" x14ac:dyDescent="0.2">
      <c r="B8871" s="1168"/>
    </row>
    <row r="8872" spans="2:2" s="221" customFormat="1" ht="12.75" x14ac:dyDescent="0.2">
      <c r="B8872" s="1168"/>
    </row>
    <row r="8873" spans="2:2" s="221" customFormat="1" ht="12.75" x14ac:dyDescent="0.2">
      <c r="B8873" s="1168"/>
    </row>
    <row r="8874" spans="2:2" s="221" customFormat="1" ht="12.75" x14ac:dyDescent="0.2">
      <c r="B8874" s="1168"/>
    </row>
    <row r="8875" spans="2:2" s="221" customFormat="1" ht="12.75" x14ac:dyDescent="0.2">
      <c r="B8875" s="1168"/>
    </row>
    <row r="8876" spans="2:2" s="221" customFormat="1" ht="12.75" x14ac:dyDescent="0.2">
      <c r="B8876" s="1168"/>
    </row>
    <row r="8877" spans="2:2" s="221" customFormat="1" ht="12.75" x14ac:dyDescent="0.2">
      <c r="B8877" s="1168"/>
    </row>
    <row r="8878" spans="2:2" s="221" customFormat="1" ht="12.75" x14ac:dyDescent="0.2">
      <c r="B8878" s="1168"/>
    </row>
    <row r="8879" spans="2:2" s="221" customFormat="1" ht="12.75" x14ac:dyDescent="0.2">
      <c r="B8879" s="1168"/>
    </row>
    <row r="8880" spans="2:2" s="221" customFormat="1" ht="12.75" x14ac:dyDescent="0.2">
      <c r="B8880" s="1168"/>
    </row>
    <row r="8881" spans="2:2" s="221" customFormat="1" ht="12.75" x14ac:dyDescent="0.2">
      <c r="B8881" s="1168"/>
    </row>
    <row r="8882" spans="2:2" s="221" customFormat="1" ht="12.75" x14ac:dyDescent="0.2">
      <c r="B8882" s="1168"/>
    </row>
    <row r="8883" spans="2:2" s="221" customFormat="1" ht="12.75" x14ac:dyDescent="0.2">
      <c r="B8883" s="1168"/>
    </row>
    <row r="8884" spans="2:2" s="221" customFormat="1" ht="12.75" x14ac:dyDescent="0.2">
      <c r="B8884" s="1168"/>
    </row>
    <row r="8885" spans="2:2" s="221" customFormat="1" ht="12.75" x14ac:dyDescent="0.2">
      <c r="B8885" s="1168"/>
    </row>
    <row r="8886" spans="2:2" s="221" customFormat="1" ht="12.75" x14ac:dyDescent="0.2">
      <c r="B8886" s="1168"/>
    </row>
    <row r="8887" spans="2:2" s="221" customFormat="1" ht="12.75" x14ac:dyDescent="0.2">
      <c r="B8887" s="1168"/>
    </row>
    <row r="8888" spans="2:2" s="221" customFormat="1" ht="12.75" x14ac:dyDescent="0.2">
      <c r="B8888" s="1168"/>
    </row>
    <row r="8889" spans="2:2" s="221" customFormat="1" ht="12.75" x14ac:dyDescent="0.2">
      <c r="B8889" s="1168"/>
    </row>
    <row r="8890" spans="2:2" s="221" customFormat="1" ht="12.75" x14ac:dyDescent="0.2">
      <c r="B8890" s="1168"/>
    </row>
    <row r="8891" spans="2:2" s="221" customFormat="1" ht="12.75" x14ac:dyDescent="0.2">
      <c r="B8891" s="1168"/>
    </row>
    <row r="8892" spans="2:2" s="221" customFormat="1" ht="12.75" x14ac:dyDescent="0.2">
      <c r="B8892" s="1168"/>
    </row>
    <row r="8893" spans="2:2" s="221" customFormat="1" ht="12.75" x14ac:dyDescent="0.2">
      <c r="B8893" s="1168"/>
    </row>
    <row r="8894" spans="2:2" s="221" customFormat="1" ht="12.75" x14ac:dyDescent="0.2">
      <c r="B8894" s="1168"/>
    </row>
    <row r="8895" spans="2:2" s="221" customFormat="1" ht="12.75" x14ac:dyDescent="0.2">
      <c r="B8895" s="1168"/>
    </row>
    <row r="8896" spans="2:2" s="221" customFormat="1" ht="12.75" x14ac:dyDescent="0.2">
      <c r="B8896" s="1168"/>
    </row>
    <row r="8897" spans="2:2" s="221" customFormat="1" ht="12.75" x14ac:dyDescent="0.2">
      <c r="B8897" s="1168"/>
    </row>
    <row r="8898" spans="2:2" s="221" customFormat="1" ht="12.75" x14ac:dyDescent="0.2">
      <c r="B8898" s="1168"/>
    </row>
    <row r="8899" spans="2:2" s="221" customFormat="1" ht="12.75" x14ac:dyDescent="0.2">
      <c r="B8899" s="1168"/>
    </row>
    <row r="8900" spans="2:2" s="221" customFormat="1" ht="12.75" x14ac:dyDescent="0.2">
      <c r="B8900" s="1168"/>
    </row>
    <row r="8901" spans="2:2" s="221" customFormat="1" ht="12.75" x14ac:dyDescent="0.2">
      <c r="B8901" s="1168"/>
    </row>
    <row r="8902" spans="2:2" s="221" customFormat="1" ht="12.75" x14ac:dyDescent="0.2">
      <c r="B8902" s="1168"/>
    </row>
    <row r="8903" spans="2:2" s="221" customFormat="1" ht="12.75" x14ac:dyDescent="0.2">
      <c r="B8903" s="1168"/>
    </row>
    <row r="8904" spans="2:2" s="221" customFormat="1" ht="12.75" x14ac:dyDescent="0.2">
      <c r="B8904" s="1168"/>
    </row>
    <row r="8905" spans="2:2" s="221" customFormat="1" ht="12.75" x14ac:dyDescent="0.2">
      <c r="B8905" s="1168"/>
    </row>
    <row r="8906" spans="2:2" s="221" customFormat="1" ht="12.75" x14ac:dyDescent="0.2">
      <c r="B8906" s="1168"/>
    </row>
    <row r="8907" spans="2:2" s="221" customFormat="1" ht="12.75" x14ac:dyDescent="0.2">
      <c r="B8907" s="1168"/>
    </row>
    <row r="8908" spans="2:2" s="221" customFormat="1" ht="12.75" x14ac:dyDescent="0.2">
      <c r="B8908" s="1168"/>
    </row>
    <row r="8909" spans="2:2" s="221" customFormat="1" ht="12.75" x14ac:dyDescent="0.2">
      <c r="B8909" s="1168"/>
    </row>
    <row r="8910" spans="2:2" s="221" customFormat="1" ht="12.75" x14ac:dyDescent="0.2">
      <c r="B8910" s="1168"/>
    </row>
    <row r="8911" spans="2:2" s="221" customFormat="1" ht="12.75" x14ac:dyDescent="0.2">
      <c r="B8911" s="1168"/>
    </row>
    <row r="8912" spans="2:2" s="221" customFormat="1" ht="12.75" x14ac:dyDescent="0.2">
      <c r="B8912" s="1168"/>
    </row>
    <row r="8913" spans="2:2" s="221" customFormat="1" ht="12.75" x14ac:dyDescent="0.2">
      <c r="B8913" s="1168"/>
    </row>
    <row r="8914" spans="2:2" s="221" customFormat="1" ht="12.75" x14ac:dyDescent="0.2">
      <c r="B8914" s="1168"/>
    </row>
    <row r="8915" spans="2:2" s="221" customFormat="1" ht="12.75" x14ac:dyDescent="0.2">
      <c r="B8915" s="1168"/>
    </row>
    <row r="8916" spans="2:2" s="221" customFormat="1" ht="12.75" x14ac:dyDescent="0.2">
      <c r="B8916" s="1168"/>
    </row>
    <row r="8917" spans="2:2" s="221" customFormat="1" ht="12.75" x14ac:dyDescent="0.2">
      <c r="B8917" s="1168"/>
    </row>
    <row r="8918" spans="2:2" s="221" customFormat="1" ht="12.75" x14ac:dyDescent="0.2">
      <c r="B8918" s="1168"/>
    </row>
    <row r="8919" spans="2:2" s="221" customFormat="1" ht="12.75" x14ac:dyDescent="0.2">
      <c r="B8919" s="1168"/>
    </row>
    <row r="8920" spans="2:2" s="221" customFormat="1" ht="12.75" x14ac:dyDescent="0.2">
      <c r="B8920" s="1168"/>
    </row>
    <row r="8921" spans="2:2" s="221" customFormat="1" ht="12.75" x14ac:dyDescent="0.2">
      <c r="B8921" s="1168"/>
    </row>
    <row r="8922" spans="2:2" s="221" customFormat="1" ht="12.75" x14ac:dyDescent="0.2">
      <c r="B8922" s="1168"/>
    </row>
    <row r="8923" spans="2:2" s="221" customFormat="1" ht="12.75" x14ac:dyDescent="0.2">
      <c r="B8923" s="1168"/>
    </row>
    <row r="8924" spans="2:2" s="221" customFormat="1" ht="12.75" x14ac:dyDescent="0.2">
      <c r="B8924" s="1168"/>
    </row>
    <row r="8925" spans="2:2" s="221" customFormat="1" ht="12.75" x14ac:dyDescent="0.2">
      <c r="B8925" s="1168"/>
    </row>
    <row r="8926" spans="2:2" s="221" customFormat="1" ht="12.75" x14ac:dyDescent="0.2">
      <c r="B8926" s="1168"/>
    </row>
    <row r="8927" spans="2:2" s="221" customFormat="1" ht="12.75" x14ac:dyDescent="0.2">
      <c r="B8927" s="1168"/>
    </row>
    <row r="8928" spans="2:2" s="221" customFormat="1" ht="12.75" x14ac:dyDescent="0.2">
      <c r="B8928" s="1168"/>
    </row>
    <row r="8929" spans="2:2" s="221" customFormat="1" ht="12.75" x14ac:dyDescent="0.2">
      <c r="B8929" s="1168"/>
    </row>
    <row r="8930" spans="2:2" s="221" customFormat="1" ht="12.75" x14ac:dyDescent="0.2">
      <c r="B8930" s="1168"/>
    </row>
    <row r="8931" spans="2:2" s="221" customFormat="1" ht="12.75" x14ac:dyDescent="0.2">
      <c r="B8931" s="1168"/>
    </row>
    <row r="8932" spans="2:2" s="221" customFormat="1" ht="12.75" x14ac:dyDescent="0.2">
      <c r="B8932" s="1168"/>
    </row>
    <row r="8933" spans="2:2" s="221" customFormat="1" ht="12.75" x14ac:dyDescent="0.2">
      <c r="B8933" s="1168"/>
    </row>
    <row r="8934" spans="2:2" s="221" customFormat="1" ht="12.75" x14ac:dyDescent="0.2">
      <c r="B8934" s="1168"/>
    </row>
    <row r="8935" spans="2:2" s="221" customFormat="1" ht="12.75" x14ac:dyDescent="0.2">
      <c r="B8935" s="1168"/>
    </row>
    <row r="8936" spans="2:2" s="221" customFormat="1" ht="12.75" x14ac:dyDescent="0.2">
      <c r="B8936" s="1168"/>
    </row>
    <row r="8937" spans="2:2" s="221" customFormat="1" ht="12.75" x14ac:dyDescent="0.2">
      <c r="B8937" s="1168"/>
    </row>
    <row r="8938" spans="2:2" s="221" customFormat="1" ht="12.75" x14ac:dyDescent="0.2">
      <c r="B8938" s="1168"/>
    </row>
    <row r="8939" spans="2:2" s="221" customFormat="1" ht="12.75" x14ac:dyDescent="0.2">
      <c r="B8939" s="1168"/>
    </row>
    <row r="8940" spans="2:2" s="221" customFormat="1" ht="12.75" x14ac:dyDescent="0.2">
      <c r="B8940" s="1168"/>
    </row>
    <row r="8941" spans="2:2" s="221" customFormat="1" ht="12.75" x14ac:dyDescent="0.2">
      <c r="B8941" s="1168"/>
    </row>
    <row r="8942" spans="2:2" s="221" customFormat="1" ht="12.75" x14ac:dyDescent="0.2">
      <c r="B8942" s="1168"/>
    </row>
    <row r="8943" spans="2:2" s="221" customFormat="1" ht="12.75" x14ac:dyDescent="0.2">
      <c r="B8943" s="1168"/>
    </row>
    <row r="8944" spans="2:2" s="221" customFormat="1" ht="12.75" x14ac:dyDescent="0.2">
      <c r="B8944" s="1168"/>
    </row>
    <row r="8945" spans="2:2" s="221" customFormat="1" ht="12.75" x14ac:dyDescent="0.2">
      <c r="B8945" s="1168"/>
    </row>
    <row r="8946" spans="2:2" s="221" customFormat="1" ht="12.75" x14ac:dyDescent="0.2">
      <c r="B8946" s="1168"/>
    </row>
    <row r="8947" spans="2:2" s="221" customFormat="1" ht="12.75" x14ac:dyDescent="0.2">
      <c r="B8947" s="1168"/>
    </row>
    <row r="8948" spans="2:2" s="221" customFormat="1" ht="12.75" x14ac:dyDescent="0.2">
      <c r="B8948" s="1168"/>
    </row>
    <row r="8949" spans="2:2" s="221" customFormat="1" ht="12.75" x14ac:dyDescent="0.2">
      <c r="B8949" s="1168"/>
    </row>
    <row r="8950" spans="2:2" s="221" customFormat="1" ht="12.75" x14ac:dyDescent="0.2">
      <c r="B8950" s="1168"/>
    </row>
    <row r="8951" spans="2:2" s="221" customFormat="1" ht="12.75" x14ac:dyDescent="0.2">
      <c r="B8951" s="1168"/>
    </row>
    <row r="8952" spans="2:2" s="221" customFormat="1" ht="12.75" x14ac:dyDescent="0.2">
      <c r="B8952" s="1168"/>
    </row>
    <row r="8953" spans="2:2" s="221" customFormat="1" ht="12.75" x14ac:dyDescent="0.2">
      <c r="B8953" s="1168"/>
    </row>
    <row r="8954" spans="2:2" s="221" customFormat="1" ht="12.75" x14ac:dyDescent="0.2">
      <c r="B8954" s="1168"/>
    </row>
    <row r="8955" spans="2:2" s="221" customFormat="1" ht="12.75" x14ac:dyDescent="0.2">
      <c r="B8955" s="1168"/>
    </row>
    <row r="8956" spans="2:2" s="221" customFormat="1" ht="12.75" x14ac:dyDescent="0.2">
      <c r="B8956" s="1168"/>
    </row>
    <row r="8957" spans="2:2" s="221" customFormat="1" ht="12.75" x14ac:dyDescent="0.2">
      <c r="B8957" s="1168"/>
    </row>
    <row r="8958" spans="2:2" s="221" customFormat="1" ht="12.75" x14ac:dyDescent="0.2">
      <c r="B8958" s="1168"/>
    </row>
    <row r="8959" spans="2:2" s="221" customFormat="1" ht="12.75" x14ac:dyDescent="0.2">
      <c r="B8959" s="1168"/>
    </row>
    <row r="8960" spans="2:2" s="221" customFormat="1" ht="12.75" x14ac:dyDescent="0.2">
      <c r="B8960" s="1168"/>
    </row>
    <row r="8961" spans="2:2" s="221" customFormat="1" ht="12.75" x14ac:dyDescent="0.2">
      <c r="B8961" s="1168"/>
    </row>
    <row r="8962" spans="2:2" s="221" customFormat="1" ht="12.75" x14ac:dyDescent="0.2">
      <c r="B8962" s="1168"/>
    </row>
    <row r="8963" spans="2:2" s="221" customFormat="1" ht="12.75" x14ac:dyDescent="0.2">
      <c r="B8963" s="1168"/>
    </row>
    <row r="8964" spans="2:2" s="221" customFormat="1" ht="12.75" x14ac:dyDescent="0.2">
      <c r="B8964" s="1168"/>
    </row>
    <row r="8965" spans="2:2" s="221" customFormat="1" ht="12.75" x14ac:dyDescent="0.2">
      <c r="B8965" s="1168"/>
    </row>
    <row r="8966" spans="2:2" s="221" customFormat="1" ht="12.75" x14ac:dyDescent="0.2">
      <c r="B8966" s="1168"/>
    </row>
    <row r="8967" spans="2:2" s="221" customFormat="1" ht="12.75" x14ac:dyDescent="0.2">
      <c r="B8967" s="1168"/>
    </row>
    <row r="8968" spans="2:2" s="221" customFormat="1" ht="12.75" x14ac:dyDescent="0.2">
      <c r="B8968" s="1168"/>
    </row>
    <row r="8969" spans="2:2" s="221" customFormat="1" ht="12.75" x14ac:dyDescent="0.2">
      <c r="B8969" s="1168"/>
    </row>
    <row r="8970" spans="2:2" s="221" customFormat="1" ht="12.75" x14ac:dyDescent="0.2">
      <c r="B8970" s="1168"/>
    </row>
    <row r="8971" spans="2:2" s="221" customFormat="1" ht="12.75" x14ac:dyDescent="0.2">
      <c r="B8971" s="1168"/>
    </row>
    <row r="8972" spans="2:2" s="221" customFormat="1" ht="12.75" x14ac:dyDescent="0.2">
      <c r="B8972" s="1168"/>
    </row>
    <row r="8973" spans="2:2" s="221" customFormat="1" ht="12.75" x14ac:dyDescent="0.2">
      <c r="B8973" s="1168"/>
    </row>
    <row r="8974" spans="2:2" s="221" customFormat="1" ht="12.75" x14ac:dyDescent="0.2">
      <c r="B8974" s="1168"/>
    </row>
    <row r="8975" spans="2:2" s="221" customFormat="1" ht="12.75" x14ac:dyDescent="0.2">
      <c r="B8975" s="1168"/>
    </row>
    <row r="8976" spans="2:2" s="221" customFormat="1" ht="12.75" x14ac:dyDescent="0.2">
      <c r="B8976" s="1168"/>
    </row>
    <row r="8977" spans="2:2" s="221" customFormat="1" ht="12.75" x14ac:dyDescent="0.2">
      <c r="B8977" s="1168"/>
    </row>
    <row r="8978" spans="2:2" s="221" customFormat="1" ht="12.75" x14ac:dyDescent="0.2">
      <c r="B8978" s="1168"/>
    </row>
    <row r="8979" spans="2:2" s="221" customFormat="1" ht="12.75" x14ac:dyDescent="0.2">
      <c r="B8979" s="1168"/>
    </row>
    <row r="8980" spans="2:2" s="221" customFormat="1" ht="12.75" x14ac:dyDescent="0.2">
      <c r="B8980" s="1168"/>
    </row>
    <row r="8981" spans="2:2" s="221" customFormat="1" ht="12.75" x14ac:dyDescent="0.2">
      <c r="B8981" s="1168"/>
    </row>
    <row r="8982" spans="2:2" s="221" customFormat="1" ht="12.75" x14ac:dyDescent="0.2">
      <c r="B8982" s="1168"/>
    </row>
    <row r="8983" spans="2:2" s="221" customFormat="1" ht="12.75" x14ac:dyDescent="0.2">
      <c r="B8983" s="1168"/>
    </row>
    <row r="8984" spans="2:2" s="221" customFormat="1" ht="12.75" x14ac:dyDescent="0.2">
      <c r="B8984" s="1168"/>
    </row>
    <row r="8985" spans="2:2" s="221" customFormat="1" ht="12.75" x14ac:dyDescent="0.2">
      <c r="B8985" s="1168"/>
    </row>
    <row r="8986" spans="2:2" s="221" customFormat="1" ht="12.75" x14ac:dyDescent="0.2">
      <c r="B8986" s="1168"/>
    </row>
    <row r="8987" spans="2:2" s="221" customFormat="1" ht="12.75" x14ac:dyDescent="0.2">
      <c r="B8987" s="1168"/>
    </row>
    <row r="8988" spans="2:2" s="221" customFormat="1" ht="12.75" x14ac:dyDescent="0.2">
      <c r="B8988" s="1168"/>
    </row>
    <row r="8989" spans="2:2" s="221" customFormat="1" ht="12.75" x14ac:dyDescent="0.2">
      <c r="B8989" s="1168"/>
    </row>
    <row r="8990" spans="2:2" s="221" customFormat="1" ht="12.75" x14ac:dyDescent="0.2">
      <c r="B8990" s="1168"/>
    </row>
    <row r="8991" spans="2:2" s="221" customFormat="1" ht="12.75" x14ac:dyDescent="0.2">
      <c r="B8991" s="1168"/>
    </row>
    <row r="8992" spans="2:2" s="221" customFormat="1" ht="12.75" x14ac:dyDescent="0.2">
      <c r="B8992" s="1168"/>
    </row>
    <row r="8993" spans="2:2" s="221" customFormat="1" ht="12.75" x14ac:dyDescent="0.2">
      <c r="B8993" s="1168"/>
    </row>
    <row r="8994" spans="2:2" s="221" customFormat="1" ht="12.75" x14ac:dyDescent="0.2">
      <c r="B8994" s="1168"/>
    </row>
    <row r="8995" spans="2:2" s="221" customFormat="1" ht="12.75" x14ac:dyDescent="0.2">
      <c r="B8995" s="1168"/>
    </row>
    <row r="8996" spans="2:2" s="221" customFormat="1" ht="12.75" x14ac:dyDescent="0.2">
      <c r="B8996" s="1168"/>
    </row>
    <row r="8997" spans="2:2" s="221" customFormat="1" ht="12.75" x14ac:dyDescent="0.2">
      <c r="B8997" s="1168"/>
    </row>
    <row r="8998" spans="2:2" s="221" customFormat="1" ht="12.75" x14ac:dyDescent="0.2">
      <c r="B8998" s="1168"/>
    </row>
    <row r="8999" spans="2:2" s="221" customFormat="1" ht="12.75" x14ac:dyDescent="0.2">
      <c r="B8999" s="1168"/>
    </row>
    <row r="9000" spans="2:2" s="221" customFormat="1" ht="12.75" x14ac:dyDescent="0.2">
      <c r="B9000" s="1168"/>
    </row>
    <row r="9001" spans="2:2" s="221" customFormat="1" ht="12.75" x14ac:dyDescent="0.2">
      <c r="B9001" s="1168"/>
    </row>
    <row r="9002" spans="2:2" s="221" customFormat="1" ht="12.75" x14ac:dyDescent="0.2">
      <c r="B9002" s="1168"/>
    </row>
    <row r="9003" spans="2:2" s="221" customFormat="1" ht="12.75" x14ac:dyDescent="0.2">
      <c r="B9003" s="1168"/>
    </row>
    <row r="9004" spans="2:2" s="221" customFormat="1" ht="12.75" x14ac:dyDescent="0.2">
      <c r="B9004" s="1168"/>
    </row>
    <row r="9005" spans="2:2" s="221" customFormat="1" ht="12.75" x14ac:dyDescent="0.2">
      <c r="B9005" s="1168"/>
    </row>
    <row r="9006" spans="2:2" s="221" customFormat="1" ht="12.75" x14ac:dyDescent="0.2">
      <c r="B9006" s="1168"/>
    </row>
    <row r="9007" spans="2:2" s="221" customFormat="1" ht="12.75" x14ac:dyDescent="0.2">
      <c r="B9007" s="1168"/>
    </row>
    <row r="9008" spans="2:2" s="221" customFormat="1" ht="12.75" x14ac:dyDescent="0.2">
      <c r="B9008" s="1168"/>
    </row>
    <row r="9009" spans="2:2" s="221" customFormat="1" ht="12.75" x14ac:dyDescent="0.2">
      <c r="B9009" s="1168"/>
    </row>
    <row r="9010" spans="2:2" s="221" customFormat="1" ht="12.75" x14ac:dyDescent="0.2">
      <c r="B9010" s="1168"/>
    </row>
    <row r="9011" spans="2:2" s="221" customFormat="1" ht="12.75" x14ac:dyDescent="0.2">
      <c r="B9011" s="1168"/>
    </row>
    <row r="9012" spans="2:2" s="221" customFormat="1" ht="12.75" x14ac:dyDescent="0.2">
      <c r="B9012" s="1168"/>
    </row>
    <row r="9013" spans="2:2" s="221" customFormat="1" ht="12.75" x14ac:dyDescent="0.2">
      <c r="B9013" s="1168"/>
    </row>
    <row r="9014" spans="2:2" s="221" customFormat="1" ht="12.75" x14ac:dyDescent="0.2">
      <c r="B9014" s="1168"/>
    </row>
    <row r="9015" spans="2:2" s="221" customFormat="1" ht="12.75" x14ac:dyDescent="0.2">
      <c r="B9015" s="1168"/>
    </row>
    <row r="9016" spans="2:2" s="221" customFormat="1" ht="12.75" x14ac:dyDescent="0.2">
      <c r="B9016" s="1168"/>
    </row>
    <row r="9017" spans="2:2" s="221" customFormat="1" ht="12.75" x14ac:dyDescent="0.2">
      <c r="B9017" s="1168"/>
    </row>
    <row r="9018" spans="2:2" s="221" customFormat="1" ht="12.75" x14ac:dyDescent="0.2">
      <c r="B9018" s="1168"/>
    </row>
    <row r="9019" spans="2:2" s="221" customFormat="1" ht="12.75" x14ac:dyDescent="0.2">
      <c r="B9019" s="1168"/>
    </row>
    <row r="9020" spans="2:2" s="221" customFormat="1" ht="12.75" x14ac:dyDescent="0.2">
      <c r="B9020" s="1168"/>
    </row>
    <row r="9021" spans="2:2" s="221" customFormat="1" ht="12.75" x14ac:dyDescent="0.2">
      <c r="B9021" s="1168"/>
    </row>
    <row r="9022" spans="2:2" s="221" customFormat="1" ht="12.75" x14ac:dyDescent="0.2">
      <c r="B9022" s="1168"/>
    </row>
    <row r="9023" spans="2:2" s="221" customFormat="1" ht="12.75" x14ac:dyDescent="0.2">
      <c r="B9023" s="1168"/>
    </row>
    <row r="9024" spans="2:2" s="221" customFormat="1" ht="12.75" x14ac:dyDescent="0.2">
      <c r="B9024" s="1168"/>
    </row>
    <row r="9025" spans="2:2" s="221" customFormat="1" ht="12.75" x14ac:dyDescent="0.2">
      <c r="B9025" s="1168"/>
    </row>
    <row r="9026" spans="2:2" s="221" customFormat="1" ht="12.75" x14ac:dyDescent="0.2">
      <c r="B9026" s="1168"/>
    </row>
    <row r="9027" spans="2:2" s="221" customFormat="1" ht="12.75" x14ac:dyDescent="0.2">
      <c r="B9027" s="1168"/>
    </row>
    <row r="9028" spans="2:2" s="221" customFormat="1" ht="12.75" x14ac:dyDescent="0.2">
      <c r="B9028" s="1168"/>
    </row>
    <row r="9029" spans="2:2" s="221" customFormat="1" ht="12.75" x14ac:dyDescent="0.2">
      <c r="B9029" s="1168"/>
    </row>
    <row r="9030" spans="2:2" s="221" customFormat="1" ht="12.75" x14ac:dyDescent="0.2">
      <c r="B9030" s="1168"/>
    </row>
    <row r="9031" spans="2:2" s="221" customFormat="1" ht="12.75" x14ac:dyDescent="0.2">
      <c r="B9031" s="1168"/>
    </row>
    <row r="9032" spans="2:2" s="221" customFormat="1" ht="12.75" x14ac:dyDescent="0.2">
      <c r="B9032" s="1168"/>
    </row>
    <row r="9033" spans="2:2" s="221" customFormat="1" ht="12.75" x14ac:dyDescent="0.2">
      <c r="B9033" s="1168"/>
    </row>
    <row r="9034" spans="2:2" s="221" customFormat="1" ht="12.75" x14ac:dyDescent="0.2">
      <c r="B9034" s="1168"/>
    </row>
    <row r="9035" spans="2:2" s="221" customFormat="1" ht="12.75" x14ac:dyDescent="0.2">
      <c r="B9035" s="1168"/>
    </row>
    <row r="9036" spans="2:2" s="221" customFormat="1" ht="12.75" x14ac:dyDescent="0.2">
      <c r="B9036" s="1168"/>
    </row>
    <row r="9037" spans="2:2" s="221" customFormat="1" ht="12.75" x14ac:dyDescent="0.2">
      <c r="B9037" s="1168"/>
    </row>
    <row r="9038" spans="2:2" s="221" customFormat="1" ht="12.75" x14ac:dyDescent="0.2">
      <c r="B9038" s="1168"/>
    </row>
    <row r="9039" spans="2:2" s="221" customFormat="1" ht="12.75" x14ac:dyDescent="0.2">
      <c r="B9039" s="1168"/>
    </row>
    <row r="9040" spans="2:2" s="221" customFormat="1" ht="12.75" x14ac:dyDescent="0.2">
      <c r="B9040" s="1168"/>
    </row>
    <row r="9041" spans="2:2" s="221" customFormat="1" ht="12.75" x14ac:dyDescent="0.2">
      <c r="B9041" s="1168"/>
    </row>
    <row r="9042" spans="2:2" s="221" customFormat="1" ht="12.75" x14ac:dyDescent="0.2">
      <c r="B9042" s="1168"/>
    </row>
    <row r="9043" spans="2:2" s="221" customFormat="1" ht="12.75" x14ac:dyDescent="0.2">
      <c r="B9043" s="1168"/>
    </row>
    <row r="9044" spans="2:2" s="221" customFormat="1" ht="12.75" x14ac:dyDescent="0.2">
      <c r="B9044" s="1168"/>
    </row>
    <row r="9045" spans="2:2" s="221" customFormat="1" ht="12.75" x14ac:dyDescent="0.2">
      <c r="B9045" s="1168"/>
    </row>
    <row r="9046" spans="2:2" s="221" customFormat="1" ht="12.75" x14ac:dyDescent="0.2">
      <c r="B9046" s="1168"/>
    </row>
    <row r="9047" spans="2:2" s="221" customFormat="1" ht="12.75" x14ac:dyDescent="0.2">
      <c r="B9047" s="1168"/>
    </row>
    <row r="9048" spans="2:2" s="221" customFormat="1" ht="12.75" x14ac:dyDescent="0.2">
      <c r="B9048" s="1168"/>
    </row>
    <row r="9049" spans="2:2" s="221" customFormat="1" ht="12.75" x14ac:dyDescent="0.2">
      <c r="B9049" s="1168"/>
    </row>
    <row r="9050" spans="2:2" s="221" customFormat="1" ht="12.75" x14ac:dyDescent="0.2">
      <c r="B9050" s="1168"/>
    </row>
    <row r="9051" spans="2:2" s="221" customFormat="1" ht="12.75" x14ac:dyDescent="0.2">
      <c r="B9051" s="1168"/>
    </row>
    <row r="9052" spans="2:2" s="221" customFormat="1" ht="12.75" x14ac:dyDescent="0.2">
      <c r="B9052" s="1168"/>
    </row>
    <row r="9053" spans="2:2" s="221" customFormat="1" ht="12.75" x14ac:dyDescent="0.2">
      <c r="B9053" s="1168"/>
    </row>
    <row r="9054" spans="2:2" s="221" customFormat="1" ht="12.75" x14ac:dyDescent="0.2">
      <c r="B9054" s="1168"/>
    </row>
    <row r="9055" spans="2:2" s="221" customFormat="1" ht="12.75" x14ac:dyDescent="0.2">
      <c r="B9055" s="1168"/>
    </row>
    <row r="9056" spans="2:2" s="221" customFormat="1" ht="12.75" x14ac:dyDescent="0.2">
      <c r="B9056" s="1168"/>
    </row>
    <row r="9057" spans="2:2" s="221" customFormat="1" ht="12.75" x14ac:dyDescent="0.2">
      <c r="B9057" s="1168"/>
    </row>
    <row r="9058" spans="2:2" s="221" customFormat="1" ht="12.75" x14ac:dyDescent="0.2">
      <c r="B9058" s="1168"/>
    </row>
    <row r="9059" spans="2:2" s="221" customFormat="1" ht="12.75" x14ac:dyDescent="0.2">
      <c r="B9059" s="1168"/>
    </row>
    <row r="9060" spans="2:2" s="221" customFormat="1" ht="12.75" x14ac:dyDescent="0.2">
      <c r="B9060" s="1168"/>
    </row>
    <row r="9061" spans="2:2" s="221" customFormat="1" ht="12.75" x14ac:dyDescent="0.2">
      <c r="B9061" s="1168"/>
    </row>
    <row r="9062" spans="2:2" s="221" customFormat="1" ht="12.75" x14ac:dyDescent="0.2">
      <c r="B9062" s="1168"/>
    </row>
    <row r="9063" spans="2:2" s="221" customFormat="1" ht="12.75" x14ac:dyDescent="0.2">
      <c r="B9063" s="1168"/>
    </row>
    <row r="9064" spans="2:2" s="221" customFormat="1" ht="12.75" x14ac:dyDescent="0.2">
      <c r="B9064" s="1168"/>
    </row>
    <row r="9065" spans="2:2" s="221" customFormat="1" ht="12.75" x14ac:dyDescent="0.2">
      <c r="B9065" s="1168"/>
    </row>
    <row r="9066" spans="2:2" s="221" customFormat="1" ht="12.75" x14ac:dyDescent="0.2">
      <c r="B9066" s="1168"/>
    </row>
    <row r="9067" spans="2:2" s="221" customFormat="1" ht="12.75" x14ac:dyDescent="0.2">
      <c r="B9067" s="1168"/>
    </row>
    <row r="9068" spans="2:2" s="221" customFormat="1" ht="12.75" x14ac:dyDescent="0.2">
      <c r="B9068" s="1168"/>
    </row>
    <row r="9069" spans="2:2" s="221" customFormat="1" ht="12.75" x14ac:dyDescent="0.2">
      <c r="B9069" s="1168"/>
    </row>
    <row r="9070" spans="2:2" s="221" customFormat="1" ht="12.75" x14ac:dyDescent="0.2">
      <c r="B9070" s="1168"/>
    </row>
    <row r="9071" spans="2:2" s="221" customFormat="1" ht="12.75" x14ac:dyDescent="0.2">
      <c r="B9071" s="1168"/>
    </row>
    <row r="9072" spans="2:2" s="221" customFormat="1" ht="12.75" x14ac:dyDescent="0.2">
      <c r="B9072" s="1168"/>
    </row>
    <row r="9073" spans="2:2" s="221" customFormat="1" ht="12.75" x14ac:dyDescent="0.2">
      <c r="B9073" s="1168"/>
    </row>
    <row r="9074" spans="2:2" s="221" customFormat="1" ht="12.75" x14ac:dyDescent="0.2">
      <c r="B9074" s="1168"/>
    </row>
    <row r="9075" spans="2:2" s="221" customFormat="1" ht="12.75" x14ac:dyDescent="0.2">
      <c r="B9075" s="1168"/>
    </row>
    <row r="9076" spans="2:2" s="221" customFormat="1" ht="12.75" x14ac:dyDescent="0.2">
      <c r="B9076" s="1168"/>
    </row>
    <row r="9077" spans="2:2" s="221" customFormat="1" ht="12.75" x14ac:dyDescent="0.2">
      <c r="B9077" s="1168"/>
    </row>
    <row r="9078" spans="2:2" s="221" customFormat="1" ht="12.75" x14ac:dyDescent="0.2">
      <c r="B9078" s="1168"/>
    </row>
    <row r="9079" spans="2:2" s="221" customFormat="1" ht="12.75" x14ac:dyDescent="0.2">
      <c r="B9079" s="1168"/>
    </row>
    <row r="9080" spans="2:2" s="221" customFormat="1" ht="12.75" x14ac:dyDescent="0.2">
      <c r="B9080" s="1168"/>
    </row>
    <row r="9081" spans="2:2" s="221" customFormat="1" ht="12.75" x14ac:dyDescent="0.2">
      <c r="B9081" s="1168"/>
    </row>
    <row r="9082" spans="2:2" s="221" customFormat="1" ht="12.75" x14ac:dyDescent="0.2">
      <c r="B9082" s="1168"/>
    </row>
    <row r="9083" spans="2:2" s="221" customFormat="1" ht="12.75" x14ac:dyDescent="0.2">
      <c r="B9083" s="1168"/>
    </row>
    <row r="9084" spans="2:2" s="221" customFormat="1" ht="12.75" x14ac:dyDescent="0.2">
      <c r="B9084" s="1168"/>
    </row>
    <row r="9085" spans="2:2" s="221" customFormat="1" ht="12.75" x14ac:dyDescent="0.2">
      <c r="B9085" s="1168"/>
    </row>
    <row r="9086" spans="2:2" s="221" customFormat="1" ht="12.75" x14ac:dyDescent="0.2">
      <c r="B9086" s="1168"/>
    </row>
    <row r="9087" spans="2:2" s="221" customFormat="1" ht="12.75" x14ac:dyDescent="0.2">
      <c r="B9087" s="1168"/>
    </row>
    <row r="9088" spans="2:2" s="221" customFormat="1" ht="12.75" x14ac:dyDescent="0.2">
      <c r="B9088" s="1168"/>
    </row>
    <row r="9089" spans="2:2" s="221" customFormat="1" ht="12.75" x14ac:dyDescent="0.2">
      <c r="B9089" s="1168"/>
    </row>
    <row r="9090" spans="2:2" s="221" customFormat="1" ht="12.75" x14ac:dyDescent="0.2">
      <c r="B9090" s="1168"/>
    </row>
    <row r="9091" spans="2:2" s="221" customFormat="1" ht="12.75" x14ac:dyDescent="0.2">
      <c r="B9091" s="1168"/>
    </row>
    <row r="9092" spans="2:2" s="221" customFormat="1" ht="12.75" x14ac:dyDescent="0.2">
      <c r="B9092" s="1168"/>
    </row>
    <row r="9093" spans="2:2" s="221" customFormat="1" ht="12.75" x14ac:dyDescent="0.2">
      <c r="B9093" s="1168"/>
    </row>
    <row r="9094" spans="2:2" s="221" customFormat="1" ht="12.75" x14ac:dyDescent="0.2">
      <c r="B9094" s="1168"/>
    </row>
    <row r="9095" spans="2:2" s="221" customFormat="1" ht="12.75" x14ac:dyDescent="0.2">
      <c r="B9095" s="1168"/>
    </row>
    <row r="9096" spans="2:2" s="221" customFormat="1" ht="12.75" x14ac:dyDescent="0.2">
      <c r="B9096" s="1168"/>
    </row>
    <row r="9097" spans="2:2" s="221" customFormat="1" ht="12.75" x14ac:dyDescent="0.2">
      <c r="B9097" s="1168"/>
    </row>
    <row r="9098" spans="2:2" s="221" customFormat="1" ht="12.75" x14ac:dyDescent="0.2">
      <c r="B9098" s="1168"/>
    </row>
    <row r="9099" spans="2:2" s="221" customFormat="1" ht="12.75" x14ac:dyDescent="0.2">
      <c r="B9099" s="1168"/>
    </row>
    <row r="9100" spans="2:2" s="221" customFormat="1" ht="12.75" x14ac:dyDescent="0.2">
      <c r="B9100" s="1168"/>
    </row>
    <row r="9101" spans="2:2" s="221" customFormat="1" ht="12.75" x14ac:dyDescent="0.2">
      <c r="B9101" s="1168"/>
    </row>
    <row r="9102" spans="2:2" s="221" customFormat="1" ht="12.75" x14ac:dyDescent="0.2">
      <c r="B9102" s="1168"/>
    </row>
    <row r="9103" spans="2:2" s="221" customFormat="1" ht="12.75" x14ac:dyDescent="0.2">
      <c r="B9103" s="1168"/>
    </row>
    <row r="9104" spans="2:2" s="221" customFormat="1" ht="12.75" x14ac:dyDescent="0.2">
      <c r="B9104" s="1168"/>
    </row>
    <row r="9105" spans="2:2" s="221" customFormat="1" ht="12.75" x14ac:dyDescent="0.2">
      <c r="B9105" s="1168"/>
    </row>
    <row r="9106" spans="2:2" s="221" customFormat="1" ht="12.75" x14ac:dyDescent="0.2">
      <c r="B9106" s="1168"/>
    </row>
    <row r="9107" spans="2:2" s="221" customFormat="1" ht="12.75" x14ac:dyDescent="0.2">
      <c r="B9107" s="1168"/>
    </row>
    <row r="9108" spans="2:2" s="221" customFormat="1" ht="12.75" x14ac:dyDescent="0.2">
      <c r="B9108" s="1168"/>
    </row>
    <row r="9109" spans="2:2" s="221" customFormat="1" ht="12.75" x14ac:dyDescent="0.2">
      <c r="B9109" s="1168"/>
    </row>
    <row r="9110" spans="2:2" s="221" customFormat="1" ht="12.75" x14ac:dyDescent="0.2">
      <c r="B9110" s="1168"/>
    </row>
    <row r="9111" spans="2:2" s="221" customFormat="1" ht="12.75" x14ac:dyDescent="0.2">
      <c r="B9111" s="1168"/>
    </row>
    <row r="9112" spans="2:2" s="221" customFormat="1" ht="12.75" x14ac:dyDescent="0.2">
      <c r="B9112" s="1168"/>
    </row>
    <row r="9113" spans="2:2" s="221" customFormat="1" ht="12.75" x14ac:dyDescent="0.2">
      <c r="B9113" s="1168"/>
    </row>
    <row r="9114" spans="2:2" s="221" customFormat="1" ht="12.75" x14ac:dyDescent="0.2">
      <c r="B9114" s="1168"/>
    </row>
    <row r="9115" spans="2:2" s="221" customFormat="1" ht="12.75" x14ac:dyDescent="0.2">
      <c r="B9115" s="1168"/>
    </row>
    <row r="9116" spans="2:2" s="221" customFormat="1" ht="12.75" x14ac:dyDescent="0.2">
      <c r="B9116" s="1168"/>
    </row>
    <row r="9117" spans="2:2" s="221" customFormat="1" ht="12.75" x14ac:dyDescent="0.2">
      <c r="B9117" s="1168"/>
    </row>
    <row r="9118" spans="2:2" s="221" customFormat="1" ht="12.75" x14ac:dyDescent="0.2">
      <c r="B9118" s="1168"/>
    </row>
    <row r="9119" spans="2:2" s="221" customFormat="1" ht="12.75" x14ac:dyDescent="0.2">
      <c r="B9119" s="1168"/>
    </row>
    <row r="9120" spans="2:2" s="221" customFormat="1" ht="12.75" x14ac:dyDescent="0.2">
      <c r="B9120" s="1168"/>
    </row>
    <row r="9121" spans="2:2" s="221" customFormat="1" ht="12.75" x14ac:dyDescent="0.2">
      <c r="B9121" s="1168"/>
    </row>
    <row r="9122" spans="2:2" s="221" customFormat="1" ht="12.75" x14ac:dyDescent="0.2">
      <c r="B9122" s="1168"/>
    </row>
    <row r="9123" spans="2:2" s="221" customFormat="1" ht="12.75" x14ac:dyDescent="0.2">
      <c r="B9123" s="1168"/>
    </row>
    <row r="9124" spans="2:2" s="221" customFormat="1" ht="12.75" x14ac:dyDescent="0.2">
      <c r="B9124" s="1168"/>
    </row>
    <row r="9125" spans="2:2" s="221" customFormat="1" ht="12.75" x14ac:dyDescent="0.2">
      <c r="B9125" s="1168"/>
    </row>
    <row r="9126" spans="2:2" s="221" customFormat="1" ht="12.75" x14ac:dyDescent="0.2">
      <c r="B9126" s="1168"/>
    </row>
    <row r="9127" spans="2:2" s="221" customFormat="1" ht="12.75" x14ac:dyDescent="0.2">
      <c r="B9127" s="1168"/>
    </row>
    <row r="9128" spans="2:2" s="221" customFormat="1" ht="12.75" x14ac:dyDescent="0.2">
      <c r="B9128" s="1168"/>
    </row>
    <row r="9129" spans="2:2" s="221" customFormat="1" ht="12.75" x14ac:dyDescent="0.2">
      <c r="B9129" s="1168"/>
    </row>
    <row r="9130" spans="2:2" s="221" customFormat="1" ht="12.75" x14ac:dyDescent="0.2">
      <c r="B9130" s="1168"/>
    </row>
    <row r="9131" spans="2:2" s="221" customFormat="1" ht="12.75" x14ac:dyDescent="0.2">
      <c r="B9131" s="1168"/>
    </row>
    <row r="9132" spans="2:2" s="221" customFormat="1" ht="12.75" x14ac:dyDescent="0.2">
      <c r="B9132" s="1168"/>
    </row>
    <row r="9133" spans="2:2" s="221" customFormat="1" ht="12.75" x14ac:dyDescent="0.2">
      <c r="B9133" s="1168"/>
    </row>
    <row r="9134" spans="2:2" s="221" customFormat="1" ht="12.75" x14ac:dyDescent="0.2">
      <c r="B9134" s="1168"/>
    </row>
    <row r="9135" spans="2:2" s="221" customFormat="1" ht="12.75" x14ac:dyDescent="0.2">
      <c r="B9135" s="1168"/>
    </row>
    <row r="9136" spans="2:2" s="221" customFormat="1" ht="12.75" x14ac:dyDescent="0.2">
      <c r="B9136" s="1168"/>
    </row>
    <row r="9137" spans="2:2" s="221" customFormat="1" ht="12.75" x14ac:dyDescent="0.2">
      <c r="B9137" s="1168"/>
    </row>
    <row r="9138" spans="2:2" s="221" customFormat="1" ht="12.75" x14ac:dyDescent="0.2">
      <c r="B9138" s="1168"/>
    </row>
    <row r="9139" spans="2:2" s="221" customFormat="1" ht="12.75" x14ac:dyDescent="0.2">
      <c r="B9139" s="1168"/>
    </row>
    <row r="9140" spans="2:2" s="221" customFormat="1" ht="12.75" x14ac:dyDescent="0.2">
      <c r="B9140" s="1168"/>
    </row>
    <row r="9141" spans="2:2" s="221" customFormat="1" ht="12.75" x14ac:dyDescent="0.2">
      <c r="B9141" s="1168"/>
    </row>
    <row r="9142" spans="2:2" s="221" customFormat="1" ht="12.75" x14ac:dyDescent="0.2">
      <c r="B9142" s="1168"/>
    </row>
    <row r="9143" spans="2:2" s="221" customFormat="1" ht="12.75" x14ac:dyDescent="0.2">
      <c r="B9143" s="1168"/>
    </row>
    <row r="9144" spans="2:2" s="221" customFormat="1" ht="12.75" x14ac:dyDescent="0.2">
      <c r="B9144" s="1168"/>
    </row>
    <row r="9145" spans="2:2" s="221" customFormat="1" ht="12.75" x14ac:dyDescent="0.2">
      <c r="B9145" s="1168"/>
    </row>
    <row r="9146" spans="2:2" s="221" customFormat="1" ht="12.75" x14ac:dyDescent="0.2">
      <c r="B9146" s="1168"/>
    </row>
    <row r="9147" spans="2:2" s="221" customFormat="1" ht="12.75" x14ac:dyDescent="0.2">
      <c r="B9147" s="1168"/>
    </row>
    <row r="9148" spans="2:2" s="221" customFormat="1" ht="12.75" x14ac:dyDescent="0.2">
      <c r="B9148" s="1168"/>
    </row>
    <row r="9149" spans="2:2" s="221" customFormat="1" ht="12.75" x14ac:dyDescent="0.2">
      <c r="B9149" s="1168"/>
    </row>
    <row r="9150" spans="2:2" s="221" customFormat="1" ht="12.75" x14ac:dyDescent="0.2">
      <c r="B9150" s="1168"/>
    </row>
    <row r="9151" spans="2:2" s="221" customFormat="1" ht="12.75" x14ac:dyDescent="0.2">
      <c r="B9151" s="1168"/>
    </row>
    <row r="9152" spans="2:2" s="221" customFormat="1" ht="12.75" x14ac:dyDescent="0.2">
      <c r="B9152" s="1168"/>
    </row>
    <row r="9153" spans="2:2" s="221" customFormat="1" ht="12.75" x14ac:dyDescent="0.2">
      <c r="B9153" s="1168"/>
    </row>
    <row r="9154" spans="2:2" s="221" customFormat="1" ht="12.75" x14ac:dyDescent="0.2">
      <c r="B9154" s="1168"/>
    </row>
    <row r="9155" spans="2:2" s="221" customFormat="1" ht="12.75" x14ac:dyDescent="0.2">
      <c r="B9155" s="1168"/>
    </row>
    <row r="9156" spans="2:2" s="221" customFormat="1" ht="12.75" x14ac:dyDescent="0.2">
      <c r="B9156" s="1168"/>
    </row>
    <row r="9157" spans="2:2" s="221" customFormat="1" ht="12.75" x14ac:dyDescent="0.2">
      <c r="B9157" s="1168"/>
    </row>
    <row r="9158" spans="2:2" s="221" customFormat="1" ht="12.75" x14ac:dyDescent="0.2">
      <c r="B9158" s="1168"/>
    </row>
    <row r="9159" spans="2:2" s="221" customFormat="1" ht="12.75" x14ac:dyDescent="0.2">
      <c r="B9159" s="1168"/>
    </row>
    <row r="9160" spans="2:2" s="221" customFormat="1" ht="12.75" x14ac:dyDescent="0.2">
      <c r="B9160" s="1168"/>
    </row>
    <row r="9161" spans="2:2" s="221" customFormat="1" ht="12.75" x14ac:dyDescent="0.2">
      <c r="B9161" s="1168"/>
    </row>
    <row r="9162" spans="2:2" s="221" customFormat="1" ht="12.75" x14ac:dyDescent="0.2">
      <c r="B9162" s="1168"/>
    </row>
    <row r="9163" spans="2:2" s="221" customFormat="1" ht="12.75" x14ac:dyDescent="0.2">
      <c r="B9163" s="1168"/>
    </row>
    <row r="9164" spans="2:2" s="221" customFormat="1" ht="12.75" x14ac:dyDescent="0.2">
      <c r="B9164" s="1168"/>
    </row>
    <row r="9165" spans="2:2" s="221" customFormat="1" ht="12.75" x14ac:dyDescent="0.2">
      <c r="B9165" s="1168"/>
    </row>
    <row r="9166" spans="2:2" s="221" customFormat="1" ht="12.75" x14ac:dyDescent="0.2">
      <c r="B9166" s="1168"/>
    </row>
    <row r="9167" spans="2:2" s="221" customFormat="1" ht="12.75" x14ac:dyDescent="0.2">
      <c r="B9167" s="1168"/>
    </row>
    <row r="9168" spans="2:2" s="221" customFormat="1" ht="12.75" x14ac:dyDescent="0.2">
      <c r="B9168" s="1168"/>
    </row>
    <row r="9169" spans="2:2" s="221" customFormat="1" ht="12.75" x14ac:dyDescent="0.2">
      <c r="B9169" s="1168"/>
    </row>
    <row r="9170" spans="2:2" s="221" customFormat="1" ht="12.75" x14ac:dyDescent="0.2">
      <c r="B9170" s="1168"/>
    </row>
    <row r="9171" spans="2:2" s="221" customFormat="1" ht="12.75" x14ac:dyDescent="0.2">
      <c r="B9171" s="1168"/>
    </row>
    <row r="9172" spans="2:2" s="221" customFormat="1" ht="12.75" x14ac:dyDescent="0.2">
      <c r="B9172" s="1168"/>
    </row>
    <row r="9173" spans="2:2" s="221" customFormat="1" ht="12.75" x14ac:dyDescent="0.2">
      <c r="B9173" s="1168"/>
    </row>
    <row r="9174" spans="2:2" s="221" customFormat="1" ht="12.75" x14ac:dyDescent="0.2">
      <c r="B9174" s="1168"/>
    </row>
    <row r="9175" spans="2:2" s="221" customFormat="1" ht="12.75" x14ac:dyDescent="0.2">
      <c r="B9175" s="1168"/>
    </row>
    <row r="9176" spans="2:2" s="221" customFormat="1" ht="12.75" x14ac:dyDescent="0.2">
      <c r="B9176" s="1168"/>
    </row>
    <row r="9177" spans="2:2" s="221" customFormat="1" ht="12.75" x14ac:dyDescent="0.2">
      <c r="B9177" s="1168"/>
    </row>
    <row r="9178" spans="2:2" s="221" customFormat="1" ht="12.75" x14ac:dyDescent="0.2">
      <c r="B9178" s="1168"/>
    </row>
    <row r="9179" spans="2:2" s="221" customFormat="1" ht="12.75" x14ac:dyDescent="0.2">
      <c r="B9179" s="1168"/>
    </row>
    <row r="9180" spans="2:2" s="221" customFormat="1" ht="12.75" x14ac:dyDescent="0.2">
      <c r="B9180" s="1168"/>
    </row>
    <row r="9181" spans="2:2" s="221" customFormat="1" ht="12.75" x14ac:dyDescent="0.2">
      <c r="B9181" s="1168"/>
    </row>
    <row r="9182" spans="2:2" s="221" customFormat="1" ht="12.75" x14ac:dyDescent="0.2">
      <c r="B9182" s="1168"/>
    </row>
    <row r="9183" spans="2:2" s="221" customFormat="1" ht="12.75" x14ac:dyDescent="0.2">
      <c r="B9183" s="1168"/>
    </row>
    <row r="9184" spans="2:2" s="221" customFormat="1" ht="12.75" x14ac:dyDescent="0.2">
      <c r="B9184" s="1168"/>
    </row>
    <row r="9185" spans="2:2" s="221" customFormat="1" ht="12.75" x14ac:dyDescent="0.2">
      <c r="B9185" s="1168"/>
    </row>
    <row r="9186" spans="2:2" s="221" customFormat="1" ht="12.75" x14ac:dyDescent="0.2">
      <c r="B9186" s="1168"/>
    </row>
    <row r="9187" spans="2:2" s="221" customFormat="1" ht="12.75" x14ac:dyDescent="0.2">
      <c r="B9187" s="1168"/>
    </row>
    <row r="9188" spans="2:2" s="221" customFormat="1" ht="12.75" x14ac:dyDescent="0.2">
      <c r="B9188" s="1168"/>
    </row>
    <row r="9189" spans="2:2" s="221" customFormat="1" ht="12.75" x14ac:dyDescent="0.2">
      <c r="B9189" s="1168"/>
    </row>
    <row r="9190" spans="2:2" s="221" customFormat="1" ht="12.75" x14ac:dyDescent="0.2">
      <c r="B9190" s="1168"/>
    </row>
    <row r="9191" spans="2:2" s="221" customFormat="1" ht="12.75" x14ac:dyDescent="0.2">
      <c r="B9191" s="1168"/>
    </row>
    <row r="9192" spans="2:2" s="221" customFormat="1" ht="12.75" x14ac:dyDescent="0.2">
      <c r="B9192" s="1168"/>
    </row>
    <row r="9193" spans="2:2" s="221" customFormat="1" ht="12.75" x14ac:dyDescent="0.2">
      <c r="B9193" s="1168"/>
    </row>
    <row r="9194" spans="2:2" s="221" customFormat="1" ht="12.75" x14ac:dyDescent="0.2">
      <c r="B9194" s="1168"/>
    </row>
    <row r="9195" spans="2:2" s="221" customFormat="1" ht="12.75" x14ac:dyDescent="0.2">
      <c r="B9195" s="1168"/>
    </row>
    <row r="9196" spans="2:2" s="221" customFormat="1" ht="12.75" x14ac:dyDescent="0.2">
      <c r="B9196" s="1168"/>
    </row>
    <row r="9197" spans="2:2" s="221" customFormat="1" ht="12.75" x14ac:dyDescent="0.2">
      <c r="B9197" s="1168"/>
    </row>
    <row r="9198" spans="2:2" s="221" customFormat="1" ht="12.75" x14ac:dyDescent="0.2">
      <c r="B9198" s="1168"/>
    </row>
    <row r="9199" spans="2:2" s="221" customFormat="1" ht="12.75" x14ac:dyDescent="0.2">
      <c r="B9199" s="1168"/>
    </row>
    <row r="9200" spans="2:2" s="221" customFormat="1" ht="12.75" x14ac:dyDescent="0.2">
      <c r="B9200" s="1168"/>
    </row>
    <row r="9201" spans="2:2" s="221" customFormat="1" ht="12.75" x14ac:dyDescent="0.2">
      <c r="B9201" s="1168"/>
    </row>
    <row r="9202" spans="2:2" s="221" customFormat="1" ht="12.75" x14ac:dyDescent="0.2">
      <c r="B9202" s="1168"/>
    </row>
    <row r="9203" spans="2:2" s="221" customFormat="1" ht="12.75" x14ac:dyDescent="0.2">
      <c r="B9203" s="1168"/>
    </row>
    <row r="9204" spans="2:2" s="221" customFormat="1" ht="12.75" x14ac:dyDescent="0.2">
      <c r="B9204" s="1168"/>
    </row>
    <row r="9205" spans="2:2" s="221" customFormat="1" ht="12.75" x14ac:dyDescent="0.2">
      <c r="B9205" s="1168"/>
    </row>
    <row r="9206" spans="2:2" s="221" customFormat="1" ht="12.75" x14ac:dyDescent="0.2">
      <c r="B9206" s="1168"/>
    </row>
    <row r="9207" spans="2:2" s="221" customFormat="1" ht="12.75" x14ac:dyDescent="0.2">
      <c r="B9207" s="1168"/>
    </row>
    <row r="9208" spans="2:2" s="221" customFormat="1" ht="12.75" x14ac:dyDescent="0.2">
      <c r="B9208" s="1168"/>
    </row>
    <row r="9209" spans="2:2" s="221" customFormat="1" ht="12.75" x14ac:dyDescent="0.2">
      <c r="B9209" s="1168"/>
    </row>
    <row r="9210" spans="2:2" s="221" customFormat="1" ht="12.75" x14ac:dyDescent="0.2">
      <c r="B9210" s="1168"/>
    </row>
    <row r="9211" spans="2:2" s="221" customFormat="1" ht="12.75" x14ac:dyDescent="0.2">
      <c r="B9211" s="1168"/>
    </row>
    <row r="9212" spans="2:2" s="221" customFormat="1" ht="12.75" x14ac:dyDescent="0.2">
      <c r="B9212" s="1168"/>
    </row>
    <row r="9213" spans="2:2" s="221" customFormat="1" ht="12.75" x14ac:dyDescent="0.2">
      <c r="B9213" s="1168"/>
    </row>
    <row r="9214" spans="2:2" s="221" customFormat="1" ht="12.75" x14ac:dyDescent="0.2">
      <c r="B9214" s="1168"/>
    </row>
    <row r="9215" spans="2:2" s="221" customFormat="1" ht="12.75" x14ac:dyDescent="0.2">
      <c r="B9215" s="1168"/>
    </row>
    <row r="9216" spans="2:2" s="221" customFormat="1" ht="12.75" x14ac:dyDescent="0.2">
      <c r="B9216" s="1168"/>
    </row>
    <row r="9217" spans="2:2" s="221" customFormat="1" ht="12.75" x14ac:dyDescent="0.2">
      <c r="B9217" s="1168"/>
    </row>
    <row r="9218" spans="2:2" s="221" customFormat="1" ht="12.75" x14ac:dyDescent="0.2">
      <c r="B9218" s="1168"/>
    </row>
    <row r="9219" spans="2:2" s="221" customFormat="1" ht="12.75" x14ac:dyDescent="0.2">
      <c r="B9219" s="1168"/>
    </row>
    <row r="9220" spans="2:2" s="221" customFormat="1" ht="12.75" x14ac:dyDescent="0.2">
      <c r="B9220" s="1168"/>
    </row>
    <row r="9221" spans="2:2" s="221" customFormat="1" ht="12.75" x14ac:dyDescent="0.2">
      <c r="B9221" s="1168"/>
    </row>
    <row r="9222" spans="2:2" s="221" customFormat="1" ht="12.75" x14ac:dyDescent="0.2">
      <c r="B9222" s="1168"/>
    </row>
    <row r="9223" spans="2:2" s="221" customFormat="1" ht="12.75" x14ac:dyDescent="0.2">
      <c r="B9223" s="1168"/>
    </row>
    <row r="9224" spans="2:2" s="221" customFormat="1" ht="12.75" x14ac:dyDescent="0.2">
      <c r="B9224" s="1168"/>
    </row>
    <row r="9225" spans="2:2" s="221" customFormat="1" ht="12.75" x14ac:dyDescent="0.2">
      <c r="B9225" s="1168"/>
    </row>
    <row r="9226" spans="2:2" s="221" customFormat="1" ht="12.75" x14ac:dyDescent="0.2">
      <c r="B9226" s="1168"/>
    </row>
    <row r="9227" spans="2:2" s="221" customFormat="1" ht="12.75" x14ac:dyDescent="0.2">
      <c r="B9227" s="1168"/>
    </row>
    <row r="9228" spans="2:2" s="221" customFormat="1" ht="12.75" x14ac:dyDescent="0.2">
      <c r="B9228" s="1168"/>
    </row>
    <row r="9229" spans="2:2" s="221" customFormat="1" ht="12.75" x14ac:dyDescent="0.2">
      <c r="B9229" s="1168"/>
    </row>
    <row r="9230" spans="2:2" s="221" customFormat="1" ht="12.75" x14ac:dyDescent="0.2">
      <c r="B9230" s="1168"/>
    </row>
    <row r="9231" spans="2:2" s="221" customFormat="1" ht="12.75" x14ac:dyDescent="0.2">
      <c r="B9231" s="1168"/>
    </row>
    <row r="9232" spans="2:2" s="221" customFormat="1" ht="12.75" x14ac:dyDescent="0.2">
      <c r="B9232" s="1168"/>
    </row>
    <row r="9233" spans="2:2" s="221" customFormat="1" ht="12.75" x14ac:dyDescent="0.2">
      <c r="B9233" s="1168"/>
    </row>
    <row r="9234" spans="2:2" s="221" customFormat="1" ht="12.75" x14ac:dyDescent="0.2">
      <c r="B9234" s="1168"/>
    </row>
    <row r="9235" spans="2:2" s="221" customFormat="1" ht="12.75" x14ac:dyDescent="0.2">
      <c r="B9235" s="1168"/>
    </row>
    <row r="9236" spans="2:2" s="221" customFormat="1" ht="12.75" x14ac:dyDescent="0.2">
      <c r="B9236" s="1168"/>
    </row>
    <row r="9237" spans="2:2" s="221" customFormat="1" ht="12.75" x14ac:dyDescent="0.2">
      <c r="B9237" s="1168"/>
    </row>
    <row r="9238" spans="2:2" s="221" customFormat="1" ht="12.75" x14ac:dyDescent="0.2">
      <c r="B9238" s="1168"/>
    </row>
    <row r="9239" spans="2:2" s="221" customFormat="1" ht="12.75" x14ac:dyDescent="0.2">
      <c r="B9239" s="1168"/>
    </row>
    <row r="9240" spans="2:2" s="221" customFormat="1" ht="12.75" x14ac:dyDescent="0.2">
      <c r="B9240" s="1168"/>
    </row>
    <row r="9241" spans="2:2" s="221" customFormat="1" ht="12.75" x14ac:dyDescent="0.2">
      <c r="B9241" s="1168"/>
    </row>
    <row r="9242" spans="2:2" s="221" customFormat="1" ht="12.75" x14ac:dyDescent="0.2">
      <c r="B9242" s="1168"/>
    </row>
    <row r="9243" spans="2:2" s="221" customFormat="1" ht="12.75" x14ac:dyDescent="0.2">
      <c r="B9243" s="1168"/>
    </row>
    <row r="9244" spans="2:2" s="221" customFormat="1" ht="12.75" x14ac:dyDescent="0.2">
      <c r="B9244" s="1168"/>
    </row>
    <row r="9245" spans="2:2" s="221" customFormat="1" ht="12.75" x14ac:dyDescent="0.2">
      <c r="B9245" s="1168"/>
    </row>
    <row r="9246" spans="2:2" s="221" customFormat="1" ht="12.75" x14ac:dyDescent="0.2">
      <c r="B9246" s="1168"/>
    </row>
    <row r="9247" spans="2:2" s="221" customFormat="1" ht="12.75" x14ac:dyDescent="0.2">
      <c r="B9247" s="1168"/>
    </row>
    <row r="9248" spans="2:2" s="221" customFormat="1" ht="12.75" x14ac:dyDescent="0.2">
      <c r="B9248" s="1168"/>
    </row>
    <row r="9249" spans="2:2" s="221" customFormat="1" ht="12.75" x14ac:dyDescent="0.2">
      <c r="B9249" s="1168"/>
    </row>
    <row r="9250" spans="2:2" s="221" customFormat="1" ht="12.75" x14ac:dyDescent="0.2">
      <c r="B9250" s="1168"/>
    </row>
    <row r="9251" spans="2:2" s="221" customFormat="1" ht="12.75" x14ac:dyDescent="0.2">
      <c r="B9251" s="1168"/>
    </row>
    <row r="9252" spans="2:2" s="221" customFormat="1" ht="12.75" x14ac:dyDescent="0.2">
      <c r="B9252" s="1168"/>
    </row>
    <row r="9253" spans="2:2" s="221" customFormat="1" ht="12.75" x14ac:dyDescent="0.2">
      <c r="B9253" s="1168"/>
    </row>
    <row r="9254" spans="2:2" s="221" customFormat="1" ht="12.75" x14ac:dyDescent="0.2">
      <c r="B9254" s="1168"/>
    </row>
    <row r="9255" spans="2:2" s="221" customFormat="1" ht="12.75" x14ac:dyDescent="0.2">
      <c r="B9255" s="1168"/>
    </row>
    <row r="9256" spans="2:2" s="221" customFormat="1" ht="12.75" x14ac:dyDescent="0.2">
      <c r="B9256" s="1168"/>
    </row>
    <row r="9257" spans="2:2" s="221" customFormat="1" ht="12.75" x14ac:dyDescent="0.2">
      <c r="B9257" s="1168"/>
    </row>
    <row r="9258" spans="2:2" s="221" customFormat="1" ht="12.75" x14ac:dyDescent="0.2">
      <c r="B9258" s="1168"/>
    </row>
    <row r="9259" spans="2:2" s="221" customFormat="1" ht="12.75" x14ac:dyDescent="0.2">
      <c r="B9259" s="1168"/>
    </row>
    <row r="9260" spans="2:2" s="221" customFormat="1" ht="12.75" x14ac:dyDescent="0.2">
      <c r="B9260" s="1168"/>
    </row>
    <row r="9261" spans="2:2" s="221" customFormat="1" ht="12.75" x14ac:dyDescent="0.2">
      <c r="B9261" s="1168"/>
    </row>
    <row r="9262" spans="2:2" s="221" customFormat="1" ht="12.75" x14ac:dyDescent="0.2">
      <c r="B9262" s="1168"/>
    </row>
    <row r="9263" spans="2:2" s="221" customFormat="1" ht="12.75" x14ac:dyDescent="0.2">
      <c r="B9263" s="1168"/>
    </row>
    <row r="9264" spans="2:2" s="221" customFormat="1" ht="12.75" x14ac:dyDescent="0.2">
      <c r="B9264" s="1168"/>
    </row>
    <row r="9265" spans="2:2" s="221" customFormat="1" ht="12.75" x14ac:dyDescent="0.2">
      <c r="B9265" s="1168"/>
    </row>
    <row r="9266" spans="2:2" s="221" customFormat="1" ht="12.75" x14ac:dyDescent="0.2">
      <c r="B9266" s="1168"/>
    </row>
    <row r="9267" spans="2:2" s="221" customFormat="1" ht="12.75" x14ac:dyDescent="0.2">
      <c r="B9267" s="1168"/>
    </row>
    <row r="9268" spans="2:2" s="221" customFormat="1" ht="12.75" x14ac:dyDescent="0.2">
      <c r="B9268" s="1168"/>
    </row>
    <row r="9269" spans="2:2" s="221" customFormat="1" ht="12.75" x14ac:dyDescent="0.2">
      <c r="B9269" s="1168"/>
    </row>
    <row r="9270" spans="2:2" s="221" customFormat="1" ht="12.75" x14ac:dyDescent="0.2">
      <c r="B9270" s="1168"/>
    </row>
    <row r="9271" spans="2:2" s="221" customFormat="1" ht="12.75" x14ac:dyDescent="0.2">
      <c r="B9271" s="1168"/>
    </row>
    <row r="9272" spans="2:2" s="221" customFormat="1" ht="12.75" x14ac:dyDescent="0.2">
      <c r="B9272" s="1168"/>
    </row>
    <row r="9273" spans="2:2" s="221" customFormat="1" ht="12.75" x14ac:dyDescent="0.2">
      <c r="B9273" s="1168"/>
    </row>
    <row r="9274" spans="2:2" s="221" customFormat="1" ht="12.75" x14ac:dyDescent="0.2">
      <c r="B9274" s="1168"/>
    </row>
    <row r="9275" spans="2:2" s="221" customFormat="1" ht="12.75" x14ac:dyDescent="0.2">
      <c r="B9275" s="1168"/>
    </row>
    <row r="9276" spans="2:2" s="221" customFormat="1" ht="12.75" x14ac:dyDescent="0.2">
      <c r="B9276" s="1168"/>
    </row>
    <row r="9277" spans="2:2" s="221" customFormat="1" ht="12.75" x14ac:dyDescent="0.2">
      <c r="B9277" s="1168"/>
    </row>
    <row r="9278" spans="2:2" s="221" customFormat="1" ht="12.75" x14ac:dyDescent="0.2">
      <c r="B9278" s="1168"/>
    </row>
    <row r="9279" spans="2:2" s="221" customFormat="1" ht="12.75" x14ac:dyDescent="0.2">
      <c r="B9279" s="1168"/>
    </row>
    <row r="9280" spans="2:2" s="221" customFormat="1" ht="12.75" x14ac:dyDescent="0.2">
      <c r="B9280" s="1168"/>
    </row>
    <row r="9281" spans="2:2" s="221" customFormat="1" ht="12.75" x14ac:dyDescent="0.2">
      <c r="B9281" s="1168"/>
    </row>
    <row r="9282" spans="2:2" s="221" customFormat="1" ht="12.75" x14ac:dyDescent="0.2">
      <c r="B9282" s="1168"/>
    </row>
    <row r="9283" spans="2:2" s="221" customFormat="1" ht="12.75" x14ac:dyDescent="0.2">
      <c r="B9283" s="1168"/>
    </row>
    <row r="9284" spans="2:2" s="221" customFormat="1" ht="12.75" x14ac:dyDescent="0.2">
      <c r="B9284" s="1168"/>
    </row>
    <row r="9285" spans="2:2" s="221" customFormat="1" ht="12.75" x14ac:dyDescent="0.2">
      <c r="B9285" s="1168"/>
    </row>
    <row r="9286" spans="2:2" s="221" customFormat="1" ht="12.75" x14ac:dyDescent="0.2">
      <c r="B9286" s="1168"/>
    </row>
    <row r="9287" spans="2:2" s="221" customFormat="1" ht="12.75" x14ac:dyDescent="0.2">
      <c r="B9287" s="1168"/>
    </row>
    <row r="9288" spans="2:2" s="221" customFormat="1" ht="12.75" x14ac:dyDescent="0.2">
      <c r="B9288" s="1168"/>
    </row>
    <row r="9289" spans="2:2" s="221" customFormat="1" ht="12.75" x14ac:dyDescent="0.2">
      <c r="B9289" s="1168"/>
    </row>
    <row r="9290" spans="2:2" s="221" customFormat="1" ht="12.75" x14ac:dyDescent="0.2">
      <c r="B9290" s="1168"/>
    </row>
    <row r="9291" spans="2:2" s="221" customFormat="1" ht="12.75" x14ac:dyDescent="0.2">
      <c r="B9291" s="1168"/>
    </row>
    <row r="9292" spans="2:2" s="221" customFormat="1" ht="12.75" x14ac:dyDescent="0.2">
      <c r="B9292" s="1168"/>
    </row>
    <row r="9293" spans="2:2" s="221" customFormat="1" ht="12.75" x14ac:dyDescent="0.2">
      <c r="B9293" s="1168"/>
    </row>
    <row r="9294" spans="2:2" s="221" customFormat="1" ht="12.75" x14ac:dyDescent="0.2">
      <c r="B9294" s="1168"/>
    </row>
    <row r="9295" spans="2:2" s="221" customFormat="1" ht="12.75" x14ac:dyDescent="0.2">
      <c r="B9295" s="1168"/>
    </row>
    <row r="9296" spans="2:2" s="221" customFormat="1" ht="12.75" x14ac:dyDescent="0.2">
      <c r="B9296" s="1168"/>
    </row>
    <row r="9297" spans="2:2" s="221" customFormat="1" ht="12.75" x14ac:dyDescent="0.2">
      <c r="B9297" s="1168"/>
    </row>
    <row r="9298" spans="2:2" s="221" customFormat="1" ht="12.75" x14ac:dyDescent="0.2">
      <c r="B9298" s="1168"/>
    </row>
    <row r="9299" spans="2:2" s="221" customFormat="1" ht="12.75" x14ac:dyDescent="0.2">
      <c r="B9299" s="1168"/>
    </row>
    <row r="9300" spans="2:2" s="221" customFormat="1" ht="12.75" x14ac:dyDescent="0.2">
      <c r="B9300" s="1168"/>
    </row>
    <row r="9301" spans="2:2" s="221" customFormat="1" ht="12.75" x14ac:dyDescent="0.2">
      <c r="B9301" s="1168"/>
    </row>
    <row r="9302" spans="2:2" s="221" customFormat="1" ht="12.75" x14ac:dyDescent="0.2">
      <c r="B9302" s="1168"/>
    </row>
    <row r="9303" spans="2:2" s="221" customFormat="1" ht="12.75" x14ac:dyDescent="0.2">
      <c r="B9303" s="1168"/>
    </row>
    <row r="9304" spans="2:2" s="221" customFormat="1" ht="12.75" x14ac:dyDescent="0.2">
      <c r="B9304" s="1168"/>
    </row>
    <row r="9305" spans="2:2" s="221" customFormat="1" ht="12.75" x14ac:dyDescent="0.2">
      <c r="B9305" s="1168"/>
    </row>
    <row r="9306" spans="2:2" s="221" customFormat="1" ht="12.75" x14ac:dyDescent="0.2">
      <c r="B9306" s="1168"/>
    </row>
    <row r="9307" spans="2:2" s="221" customFormat="1" ht="12.75" x14ac:dyDescent="0.2">
      <c r="B9307" s="1168"/>
    </row>
    <row r="9308" spans="2:2" s="221" customFormat="1" ht="12.75" x14ac:dyDescent="0.2">
      <c r="B9308" s="1168"/>
    </row>
    <row r="9309" spans="2:2" s="221" customFormat="1" ht="12.75" x14ac:dyDescent="0.2">
      <c r="B9309" s="1168"/>
    </row>
    <row r="9310" spans="2:2" s="221" customFormat="1" ht="12.75" x14ac:dyDescent="0.2">
      <c r="B9310" s="1168"/>
    </row>
    <row r="9311" spans="2:2" s="221" customFormat="1" ht="12.75" x14ac:dyDescent="0.2">
      <c r="B9311" s="1168"/>
    </row>
    <row r="9312" spans="2:2" s="221" customFormat="1" ht="12.75" x14ac:dyDescent="0.2">
      <c r="B9312" s="1168"/>
    </row>
    <row r="9313" spans="2:2" s="221" customFormat="1" ht="12.75" x14ac:dyDescent="0.2">
      <c r="B9313" s="1168"/>
    </row>
    <row r="9314" spans="2:2" s="221" customFormat="1" ht="12.75" x14ac:dyDescent="0.2">
      <c r="B9314" s="1168"/>
    </row>
    <row r="9315" spans="2:2" s="221" customFormat="1" ht="12.75" x14ac:dyDescent="0.2">
      <c r="B9315" s="1168"/>
    </row>
    <row r="9316" spans="2:2" s="221" customFormat="1" ht="12.75" x14ac:dyDescent="0.2">
      <c r="B9316" s="1168"/>
    </row>
    <row r="9317" spans="2:2" s="221" customFormat="1" ht="12.75" x14ac:dyDescent="0.2">
      <c r="B9317" s="1168"/>
    </row>
    <row r="9318" spans="2:2" s="221" customFormat="1" ht="12.75" x14ac:dyDescent="0.2">
      <c r="B9318" s="1168"/>
    </row>
    <row r="9319" spans="2:2" s="221" customFormat="1" ht="12.75" x14ac:dyDescent="0.2">
      <c r="B9319" s="1168"/>
    </row>
    <row r="9320" spans="2:2" s="221" customFormat="1" ht="12.75" x14ac:dyDescent="0.2">
      <c r="B9320" s="1168"/>
    </row>
    <row r="9321" spans="2:2" s="221" customFormat="1" ht="12.75" x14ac:dyDescent="0.2">
      <c r="B9321" s="1168"/>
    </row>
    <row r="9322" spans="2:2" s="221" customFormat="1" ht="12.75" x14ac:dyDescent="0.2">
      <c r="B9322" s="1168"/>
    </row>
    <row r="9323" spans="2:2" s="221" customFormat="1" ht="12.75" x14ac:dyDescent="0.2">
      <c r="B9323" s="1168"/>
    </row>
    <row r="9324" spans="2:2" s="221" customFormat="1" ht="12.75" x14ac:dyDescent="0.2">
      <c r="B9324" s="1168"/>
    </row>
    <row r="9325" spans="2:2" s="221" customFormat="1" ht="12.75" x14ac:dyDescent="0.2">
      <c r="B9325" s="1168"/>
    </row>
    <row r="9326" spans="2:2" s="221" customFormat="1" ht="12.75" x14ac:dyDescent="0.2">
      <c r="B9326" s="1168"/>
    </row>
    <row r="9327" spans="2:2" s="221" customFormat="1" ht="12.75" x14ac:dyDescent="0.2">
      <c r="B9327" s="1168"/>
    </row>
    <row r="9328" spans="2:2" s="221" customFormat="1" ht="12.75" x14ac:dyDescent="0.2">
      <c r="B9328" s="1168"/>
    </row>
    <row r="9329" spans="2:2" s="221" customFormat="1" ht="12.75" x14ac:dyDescent="0.2">
      <c r="B9329" s="1168"/>
    </row>
    <row r="9330" spans="2:2" s="221" customFormat="1" ht="12.75" x14ac:dyDescent="0.2">
      <c r="B9330" s="1168"/>
    </row>
    <row r="9331" spans="2:2" s="221" customFormat="1" ht="12.75" x14ac:dyDescent="0.2">
      <c r="B9331" s="1168"/>
    </row>
    <row r="9332" spans="2:2" s="221" customFormat="1" ht="12.75" x14ac:dyDescent="0.2">
      <c r="B9332" s="1168"/>
    </row>
    <row r="9333" spans="2:2" s="221" customFormat="1" ht="12.75" x14ac:dyDescent="0.2">
      <c r="B9333" s="1168"/>
    </row>
    <row r="9334" spans="2:2" s="221" customFormat="1" ht="12.75" x14ac:dyDescent="0.2">
      <c r="B9334" s="1168"/>
    </row>
    <row r="9335" spans="2:2" s="221" customFormat="1" ht="12.75" x14ac:dyDescent="0.2">
      <c r="B9335" s="1168"/>
    </row>
    <row r="9336" spans="2:2" s="221" customFormat="1" ht="12.75" x14ac:dyDescent="0.2">
      <c r="B9336" s="1168"/>
    </row>
    <row r="9337" spans="2:2" s="221" customFormat="1" ht="12.75" x14ac:dyDescent="0.2">
      <c r="B9337" s="1168"/>
    </row>
    <row r="9338" spans="2:2" s="221" customFormat="1" ht="12.75" x14ac:dyDescent="0.2">
      <c r="B9338" s="1168"/>
    </row>
    <row r="9339" spans="2:2" s="221" customFormat="1" ht="12.75" x14ac:dyDescent="0.2">
      <c r="B9339" s="1168"/>
    </row>
    <row r="9340" spans="2:2" s="221" customFormat="1" ht="12.75" x14ac:dyDescent="0.2">
      <c r="B9340" s="1168"/>
    </row>
    <row r="9341" spans="2:2" s="221" customFormat="1" ht="12.75" x14ac:dyDescent="0.2">
      <c r="B9341" s="1168"/>
    </row>
    <row r="9342" spans="2:2" s="221" customFormat="1" ht="12.75" x14ac:dyDescent="0.2">
      <c r="B9342" s="1168"/>
    </row>
    <row r="9343" spans="2:2" s="221" customFormat="1" ht="12.75" x14ac:dyDescent="0.2">
      <c r="B9343" s="1168"/>
    </row>
    <row r="9344" spans="2:2" s="221" customFormat="1" ht="12.75" x14ac:dyDescent="0.2">
      <c r="B9344" s="1168"/>
    </row>
    <row r="9345" spans="2:2" s="221" customFormat="1" ht="12.75" x14ac:dyDescent="0.2">
      <c r="B9345" s="1168"/>
    </row>
    <row r="9346" spans="2:2" s="221" customFormat="1" ht="12.75" x14ac:dyDescent="0.2">
      <c r="B9346" s="1168"/>
    </row>
    <row r="9347" spans="2:2" s="221" customFormat="1" ht="12.75" x14ac:dyDescent="0.2">
      <c r="B9347" s="1168"/>
    </row>
    <row r="9348" spans="2:2" s="221" customFormat="1" ht="12.75" x14ac:dyDescent="0.2">
      <c r="B9348" s="1168"/>
    </row>
    <row r="9349" spans="2:2" s="221" customFormat="1" ht="12.75" x14ac:dyDescent="0.2">
      <c r="B9349" s="1168"/>
    </row>
    <row r="9350" spans="2:2" s="221" customFormat="1" ht="12.75" x14ac:dyDescent="0.2">
      <c r="B9350" s="1168"/>
    </row>
    <row r="9351" spans="2:2" s="221" customFormat="1" ht="12.75" x14ac:dyDescent="0.2">
      <c r="B9351" s="1168"/>
    </row>
    <row r="9352" spans="2:2" s="221" customFormat="1" ht="12.75" x14ac:dyDescent="0.2">
      <c r="B9352" s="1168"/>
    </row>
    <row r="9353" spans="2:2" s="221" customFormat="1" ht="12.75" x14ac:dyDescent="0.2">
      <c r="B9353" s="1168"/>
    </row>
    <row r="9354" spans="2:2" s="221" customFormat="1" ht="12.75" x14ac:dyDescent="0.2">
      <c r="B9354" s="1168"/>
    </row>
    <row r="9355" spans="2:2" s="221" customFormat="1" ht="12.75" x14ac:dyDescent="0.2">
      <c r="B9355" s="1168"/>
    </row>
    <row r="9356" spans="2:2" s="221" customFormat="1" ht="12.75" x14ac:dyDescent="0.2">
      <c r="B9356" s="1168"/>
    </row>
    <row r="9357" spans="2:2" s="221" customFormat="1" ht="12.75" x14ac:dyDescent="0.2">
      <c r="B9357" s="1168"/>
    </row>
    <row r="9358" spans="2:2" s="221" customFormat="1" ht="12.75" x14ac:dyDescent="0.2">
      <c r="B9358" s="1168"/>
    </row>
    <row r="9359" spans="2:2" s="221" customFormat="1" ht="12.75" x14ac:dyDescent="0.2">
      <c r="B9359" s="1168"/>
    </row>
    <row r="9360" spans="2:2" s="221" customFormat="1" ht="12.75" x14ac:dyDescent="0.2">
      <c r="B9360" s="1168"/>
    </row>
    <row r="9361" spans="2:2" s="221" customFormat="1" ht="12.75" x14ac:dyDescent="0.2">
      <c r="B9361" s="1168"/>
    </row>
    <row r="9362" spans="2:2" s="221" customFormat="1" ht="12.75" x14ac:dyDescent="0.2">
      <c r="B9362" s="1168"/>
    </row>
    <row r="9363" spans="2:2" s="221" customFormat="1" ht="12.75" x14ac:dyDescent="0.2">
      <c r="B9363" s="1168"/>
    </row>
    <row r="9364" spans="2:2" s="221" customFormat="1" ht="12.75" x14ac:dyDescent="0.2">
      <c r="B9364" s="1168"/>
    </row>
    <row r="9365" spans="2:2" s="221" customFormat="1" ht="12.75" x14ac:dyDescent="0.2">
      <c r="B9365" s="1168"/>
    </row>
    <row r="9366" spans="2:2" s="221" customFormat="1" ht="12.75" x14ac:dyDescent="0.2">
      <c r="B9366" s="1168"/>
    </row>
    <row r="9367" spans="2:2" s="221" customFormat="1" ht="12.75" x14ac:dyDescent="0.2">
      <c r="B9367" s="1168"/>
    </row>
    <row r="9368" spans="2:2" s="221" customFormat="1" ht="12.75" x14ac:dyDescent="0.2">
      <c r="B9368" s="1168"/>
    </row>
    <row r="9369" spans="2:2" s="221" customFormat="1" ht="12.75" x14ac:dyDescent="0.2">
      <c r="B9369" s="1168"/>
    </row>
    <row r="9370" spans="2:2" s="221" customFormat="1" ht="12.75" x14ac:dyDescent="0.2">
      <c r="B9370" s="1168"/>
    </row>
    <row r="9371" spans="2:2" s="221" customFormat="1" ht="12.75" x14ac:dyDescent="0.2">
      <c r="B9371" s="1168"/>
    </row>
    <row r="9372" spans="2:2" s="221" customFormat="1" ht="12.75" x14ac:dyDescent="0.2">
      <c r="B9372" s="1168"/>
    </row>
    <row r="9373" spans="2:2" s="221" customFormat="1" ht="12.75" x14ac:dyDescent="0.2">
      <c r="B9373" s="1168"/>
    </row>
    <row r="9374" spans="2:2" s="221" customFormat="1" ht="12.75" x14ac:dyDescent="0.2">
      <c r="B9374" s="1168"/>
    </row>
    <row r="9375" spans="2:2" s="221" customFormat="1" ht="12.75" x14ac:dyDescent="0.2">
      <c r="B9375" s="1168"/>
    </row>
    <row r="9376" spans="2:2" s="221" customFormat="1" ht="12.75" x14ac:dyDescent="0.2">
      <c r="B9376" s="1168"/>
    </row>
    <row r="9377" spans="2:2" s="221" customFormat="1" ht="12.75" x14ac:dyDescent="0.2">
      <c r="B9377" s="1168"/>
    </row>
    <row r="9378" spans="2:2" s="221" customFormat="1" ht="12.75" x14ac:dyDescent="0.2">
      <c r="B9378" s="1168"/>
    </row>
    <row r="9379" spans="2:2" s="221" customFormat="1" ht="12.75" x14ac:dyDescent="0.2">
      <c r="B9379" s="1168"/>
    </row>
    <row r="9380" spans="2:2" s="221" customFormat="1" ht="12.75" x14ac:dyDescent="0.2">
      <c r="B9380" s="1168"/>
    </row>
    <row r="9381" spans="2:2" s="221" customFormat="1" ht="12.75" x14ac:dyDescent="0.2">
      <c r="B9381" s="1168"/>
    </row>
    <row r="9382" spans="2:2" s="221" customFormat="1" ht="12.75" x14ac:dyDescent="0.2">
      <c r="B9382" s="1168"/>
    </row>
    <row r="9383" spans="2:2" s="221" customFormat="1" ht="12.75" x14ac:dyDescent="0.2">
      <c r="B9383" s="1168"/>
    </row>
    <row r="9384" spans="2:2" s="221" customFormat="1" ht="12.75" x14ac:dyDescent="0.2">
      <c r="B9384" s="1168"/>
    </row>
    <row r="9385" spans="2:2" s="221" customFormat="1" ht="12.75" x14ac:dyDescent="0.2">
      <c r="B9385" s="1168"/>
    </row>
    <row r="9386" spans="2:2" s="221" customFormat="1" ht="12.75" x14ac:dyDescent="0.2">
      <c r="B9386" s="1168"/>
    </row>
    <row r="9387" spans="2:2" s="221" customFormat="1" ht="12.75" x14ac:dyDescent="0.2">
      <c r="B9387" s="1168"/>
    </row>
    <row r="9388" spans="2:2" s="221" customFormat="1" ht="12.75" x14ac:dyDescent="0.2">
      <c r="B9388" s="1168"/>
    </row>
    <row r="9389" spans="2:2" s="221" customFormat="1" ht="12.75" x14ac:dyDescent="0.2">
      <c r="B9389" s="1168"/>
    </row>
    <row r="9390" spans="2:2" s="221" customFormat="1" ht="12.75" x14ac:dyDescent="0.2">
      <c r="B9390" s="1168"/>
    </row>
    <row r="9391" spans="2:2" s="221" customFormat="1" ht="12.75" x14ac:dyDescent="0.2">
      <c r="B9391" s="1168"/>
    </row>
    <row r="9392" spans="2:2" s="221" customFormat="1" ht="12.75" x14ac:dyDescent="0.2">
      <c r="B9392" s="1168"/>
    </row>
    <row r="9393" spans="2:2" s="221" customFormat="1" ht="12.75" x14ac:dyDescent="0.2">
      <c r="B9393" s="1168"/>
    </row>
    <row r="9394" spans="2:2" s="221" customFormat="1" ht="12.75" x14ac:dyDescent="0.2">
      <c r="B9394" s="1168"/>
    </row>
    <row r="9395" spans="2:2" s="221" customFormat="1" ht="12.75" x14ac:dyDescent="0.2">
      <c r="B9395" s="1168"/>
    </row>
    <row r="9396" spans="2:2" s="221" customFormat="1" ht="12.75" x14ac:dyDescent="0.2">
      <c r="B9396" s="1168"/>
    </row>
    <row r="9397" spans="2:2" s="221" customFormat="1" ht="12.75" x14ac:dyDescent="0.2">
      <c r="B9397" s="1168"/>
    </row>
    <row r="9398" spans="2:2" s="221" customFormat="1" ht="12.75" x14ac:dyDescent="0.2">
      <c r="B9398" s="1168"/>
    </row>
    <row r="9399" spans="2:2" s="221" customFormat="1" ht="12.75" x14ac:dyDescent="0.2">
      <c r="B9399" s="1168"/>
    </row>
    <row r="9400" spans="2:2" s="221" customFormat="1" ht="12.75" x14ac:dyDescent="0.2">
      <c r="B9400" s="1168"/>
    </row>
    <row r="9401" spans="2:2" s="221" customFormat="1" ht="12.75" x14ac:dyDescent="0.2">
      <c r="B9401" s="1168"/>
    </row>
    <row r="9402" spans="2:2" s="221" customFormat="1" ht="12.75" x14ac:dyDescent="0.2">
      <c r="B9402" s="1168"/>
    </row>
    <row r="9403" spans="2:2" s="221" customFormat="1" ht="12.75" x14ac:dyDescent="0.2">
      <c r="B9403" s="1168"/>
    </row>
    <row r="9404" spans="2:2" s="221" customFormat="1" ht="12.75" x14ac:dyDescent="0.2">
      <c r="B9404" s="1168"/>
    </row>
    <row r="9405" spans="2:2" s="221" customFormat="1" ht="12.75" x14ac:dyDescent="0.2">
      <c r="B9405" s="1168"/>
    </row>
    <row r="9406" spans="2:2" s="221" customFormat="1" ht="12.75" x14ac:dyDescent="0.2">
      <c r="B9406" s="1168"/>
    </row>
    <row r="9407" spans="2:2" s="221" customFormat="1" ht="12.75" x14ac:dyDescent="0.2">
      <c r="B9407" s="1168"/>
    </row>
    <row r="9408" spans="2:2" s="221" customFormat="1" ht="12.75" x14ac:dyDescent="0.2">
      <c r="B9408" s="1168"/>
    </row>
    <row r="9409" spans="2:2" s="221" customFormat="1" ht="12.75" x14ac:dyDescent="0.2">
      <c r="B9409" s="1168"/>
    </row>
    <row r="9410" spans="2:2" s="221" customFormat="1" ht="12.75" x14ac:dyDescent="0.2">
      <c r="B9410" s="1168"/>
    </row>
    <row r="9411" spans="2:2" s="221" customFormat="1" ht="12.75" x14ac:dyDescent="0.2">
      <c r="B9411" s="1168"/>
    </row>
    <row r="9412" spans="2:2" s="221" customFormat="1" ht="12.75" x14ac:dyDescent="0.2">
      <c r="B9412" s="1168"/>
    </row>
    <row r="9413" spans="2:2" s="221" customFormat="1" ht="12.75" x14ac:dyDescent="0.2">
      <c r="B9413" s="1168"/>
    </row>
    <row r="9414" spans="2:2" s="221" customFormat="1" ht="12.75" x14ac:dyDescent="0.2">
      <c r="B9414" s="1168"/>
    </row>
    <row r="9415" spans="2:2" s="221" customFormat="1" ht="12.75" x14ac:dyDescent="0.2">
      <c r="B9415" s="1168"/>
    </row>
    <row r="9416" spans="2:2" s="221" customFormat="1" ht="12.75" x14ac:dyDescent="0.2">
      <c r="B9416" s="1168"/>
    </row>
    <row r="9417" spans="2:2" s="221" customFormat="1" ht="12.75" x14ac:dyDescent="0.2">
      <c r="B9417" s="1168"/>
    </row>
    <row r="9418" spans="2:2" s="221" customFormat="1" ht="12.75" x14ac:dyDescent="0.2">
      <c r="B9418" s="1168"/>
    </row>
    <row r="9419" spans="2:2" s="221" customFormat="1" ht="12.75" x14ac:dyDescent="0.2">
      <c r="B9419" s="1168"/>
    </row>
    <row r="9420" spans="2:2" s="221" customFormat="1" ht="12.75" x14ac:dyDescent="0.2">
      <c r="B9420" s="1168"/>
    </row>
    <row r="9421" spans="2:2" s="221" customFormat="1" ht="12.75" x14ac:dyDescent="0.2">
      <c r="B9421" s="1168"/>
    </row>
    <row r="9422" spans="2:2" s="221" customFormat="1" ht="12.75" x14ac:dyDescent="0.2">
      <c r="B9422" s="1168"/>
    </row>
    <row r="9423" spans="2:2" s="221" customFormat="1" ht="12.75" x14ac:dyDescent="0.2">
      <c r="B9423" s="1168"/>
    </row>
    <row r="9424" spans="2:2" s="221" customFormat="1" ht="12.75" x14ac:dyDescent="0.2">
      <c r="B9424" s="1168"/>
    </row>
    <row r="9425" spans="2:2" s="221" customFormat="1" ht="12.75" x14ac:dyDescent="0.2">
      <c r="B9425" s="1168"/>
    </row>
    <row r="9426" spans="2:2" s="221" customFormat="1" ht="12.75" x14ac:dyDescent="0.2">
      <c r="B9426" s="1168"/>
    </row>
    <row r="9427" spans="2:2" s="221" customFormat="1" ht="12.75" x14ac:dyDescent="0.2">
      <c r="B9427" s="1168"/>
    </row>
    <row r="9428" spans="2:2" s="221" customFormat="1" ht="12.75" x14ac:dyDescent="0.2">
      <c r="B9428" s="1168"/>
    </row>
    <row r="9429" spans="2:2" s="221" customFormat="1" ht="12.75" x14ac:dyDescent="0.2">
      <c r="B9429" s="1168"/>
    </row>
    <row r="9430" spans="2:2" s="221" customFormat="1" ht="12.75" x14ac:dyDescent="0.2">
      <c r="B9430" s="1168"/>
    </row>
    <row r="9431" spans="2:2" s="221" customFormat="1" ht="12.75" x14ac:dyDescent="0.2">
      <c r="B9431" s="1168"/>
    </row>
    <row r="9432" spans="2:2" s="221" customFormat="1" ht="12.75" x14ac:dyDescent="0.2">
      <c r="B9432" s="1168"/>
    </row>
    <row r="9433" spans="2:2" s="221" customFormat="1" ht="12.75" x14ac:dyDescent="0.2">
      <c r="B9433" s="1168"/>
    </row>
    <row r="9434" spans="2:2" s="221" customFormat="1" ht="12.75" x14ac:dyDescent="0.2">
      <c r="B9434" s="1168"/>
    </row>
    <row r="9435" spans="2:2" s="221" customFormat="1" ht="12.75" x14ac:dyDescent="0.2">
      <c r="B9435" s="1168"/>
    </row>
    <row r="9436" spans="2:2" s="221" customFormat="1" ht="12.75" x14ac:dyDescent="0.2">
      <c r="B9436" s="1168"/>
    </row>
    <row r="9437" spans="2:2" s="221" customFormat="1" ht="12.75" x14ac:dyDescent="0.2">
      <c r="B9437" s="1168"/>
    </row>
    <row r="9438" spans="2:2" s="221" customFormat="1" ht="12.75" x14ac:dyDescent="0.2">
      <c r="B9438" s="1168"/>
    </row>
    <row r="9439" spans="2:2" s="221" customFormat="1" ht="12.75" x14ac:dyDescent="0.2">
      <c r="B9439" s="1168"/>
    </row>
    <row r="9440" spans="2:2" s="221" customFormat="1" ht="12.75" x14ac:dyDescent="0.2">
      <c r="B9440" s="1168"/>
    </row>
    <row r="9441" spans="2:2" s="221" customFormat="1" ht="12.75" x14ac:dyDescent="0.2">
      <c r="B9441" s="1168"/>
    </row>
    <row r="9442" spans="2:2" s="221" customFormat="1" ht="12.75" x14ac:dyDescent="0.2">
      <c r="B9442" s="1168"/>
    </row>
    <row r="9443" spans="2:2" s="221" customFormat="1" ht="12.75" x14ac:dyDescent="0.2">
      <c r="B9443" s="1168"/>
    </row>
    <row r="9444" spans="2:2" s="221" customFormat="1" ht="12.75" x14ac:dyDescent="0.2">
      <c r="B9444" s="1168"/>
    </row>
    <row r="9445" spans="2:2" s="221" customFormat="1" ht="12.75" x14ac:dyDescent="0.2">
      <c r="B9445" s="1168"/>
    </row>
    <row r="9446" spans="2:2" s="221" customFormat="1" ht="12.75" x14ac:dyDescent="0.2">
      <c r="B9446" s="1168"/>
    </row>
    <row r="9447" spans="2:2" s="221" customFormat="1" ht="12.75" x14ac:dyDescent="0.2">
      <c r="B9447" s="1168"/>
    </row>
    <row r="9448" spans="2:2" s="221" customFormat="1" ht="12.75" x14ac:dyDescent="0.2">
      <c r="B9448" s="1168"/>
    </row>
    <row r="9449" spans="2:2" s="221" customFormat="1" ht="12.75" x14ac:dyDescent="0.2">
      <c r="B9449" s="1168"/>
    </row>
    <row r="9450" spans="2:2" s="221" customFormat="1" ht="12.75" x14ac:dyDescent="0.2">
      <c r="B9450" s="1168"/>
    </row>
    <row r="9451" spans="2:2" s="221" customFormat="1" ht="12.75" x14ac:dyDescent="0.2">
      <c r="B9451" s="1168"/>
    </row>
    <row r="9452" spans="2:2" s="221" customFormat="1" ht="12.75" x14ac:dyDescent="0.2">
      <c r="B9452" s="1168"/>
    </row>
    <row r="9453" spans="2:2" s="221" customFormat="1" ht="12.75" x14ac:dyDescent="0.2">
      <c r="B9453" s="1168"/>
    </row>
    <row r="9454" spans="2:2" s="221" customFormat="1" ht="12.75" x14ac:dyDescent="0.2">
      <c r="B9454" s="1168"/>
    </row>
    <row r="9455" spans="2:2" s="221" customFormat="1" ht="12.75" x14ac:dyDescent="0.2">
      <c r="B9455" s="1168"/>
    </row>
    <row r="9456" spans="2:2" s="221" customFormat="1" ht="12.75" x14ac:dyDescent="0.2">
      <c r="B9456" s="1168"/>
    </row>
    <row r="9457" spans="2:2" s="221" customFormat="1" ht="12.75" x14ac:dyDescent="0.2">
      <c r="B9457" s="1168"/>
    </row>
    <row r="9458" spans="2:2" s="221" customFormat="1" ht="12.75" x14ac:dyDescent="0.2">
      <c r="B9458" s="1168"/>
    </row>
    <row r="9459" spans="2:2" s="221" customFormat="1" ht="12.75" x14ac:dyDescent="0.2">
      <c r="B9459" s="1168"/>
    </row>
    <row r="9460" spans="2:2" s="221" customFormat="1" ht="12.75" x14ac:dyDescent="0.2">
      <c r="B9460" s="1168"/>
    </row>
    <row r="9461" spans="2:2" s="221" customFormat="1" ht="12.75" x14ac:dyDescent="0.2">
      <c r="B9461" s="1168"/>
    </row>
    <row r="9462" spans="2:2" s="221" customFormat="1" ht="12.75" x14ac:dyDescent="0.2">
      <c r="B9462" s="1168"/>
    </row>
    <row r="9463" spans="2:2" s="221" customFormat="1" ht="12.75" x14ac:dyDescent="0.2">
      <c r="B9463" s="1168"/>
    </row>
    <row r="9464" spans="2:2" s="221" customFormat="1" ht="12.75" x14ac:dyDescent="0.2">
      <c r="B9464" s="1168"/>
    </row>
    <row r="9465" spans="2:2" s="221" customFormat="1" ht="12.75" x14ac:dyDescent="0.2">
      <c r="B9465" s="1168"/>
    </row>
    <row r="9466" spans="2:2" s="221" customFormat="1" ht="12.75" x14ac:dyDescent="0.2">
      <c r="B9466" s="1168"/>
    </row>
    <row r="9467" spans="2:2" s="221" customFormat="1" ht="12.75" x14ac:dyDescent="0.2">
      <c r="B9467" s="1168"/>
    </row>
    <row r="9468" spans="2:2" s="221" customFormat="1" ht="12.75" x14ac:dyDescent="0.2">
      <c r="B9468" s="1168"/>
    </row>
    <row r="9469" spans="2:2" s="221" customFormat="1" ht="12.75" x14ac:dyDescent="0.2">
      <c r="B9469" s="1168"/>
    </row>
    <row r="9470" spans="2:2" s="221" customFormat="1" ht="12.75" x14ac:dyDescent="0.2">
      <c r="B9470" s="1168"/>
    </row>
    <row r="9471" spans="2:2" s="221" customFormat="1" ht="12.75" x14ac:dyDescent="0.2">
      <c r="B9471" s="1168"/>
    </row>
    <row r="9472" spans="2:2" s="221" customFormat="1" ht="12.75" x14ac:dyDescent="0.2">
      <c r="B9472" s="1168"/>
    </row>
    <row r="9473" spans="2:2" s="221" customFormat="1" ht="12.75" x14ac:dyDescent="0.2">
      <c r="B9473" s="1168"/>
    </row>
    <row r="9474" spans="2:2" s="221" customFormat="1" ht="12.75" x14ac:dyDescent="0.2">
      <c r="B9474" s="1168"/>
    </row>
    <row r="9475" spans="2:2" s="221" customFormat="1" ht="12.75" x14ac:dyDescent="0.2">
      <c r="B9475" s="1168"/>
    </row>
    <row r="9476" spans="2:2" s="221" customFormat="1" ht="12.75" x14ac:dyDescent="0.2">
      <c r="B9476" s="1168"/>
    </row>
    <row r="9477" spans="2:2" s="221" customFormat="1" ht="12.75" x14ac:dyDescent="0.2">
      <c r="B9477" s="1168"/>
    </row>
    <row r="9478" spans="2:2" s="221" customFormat="1" ht="12.75" x14ac:dyDescent="0.2">
      <c r="B9478" s="1168"/>
    </row>
    <row r="9479" spans="2:2" s="221" customFormat="1" ht="12.75" x14ac:dyDescent="0.2">
      <c r="B9479" s="1168"/>
    </row>
    <row r="9480" spans="2:2" s="221" customFormat="1" ht="12.75" x14ac:dyDescent="0.2">
      <c r="B9480" s="1168"/>
    </row>
    <row r="9481" spans="2:2" s="221" customFormat="1" ht="12.75" x14ac:dyDescent="0.2">
      <c r="B9481" s="1168"/>
    </row>
    <row r="9482" spans="2:2" s="221" customFormat="1" ht="12.75" x14ac:dyDescent="0.2">
      <c r="B9482" s="1168"/>
    </row>
    <row r="9483" spans="2:2" s="221" customFormat="1" ht="12.75" x14ac:dyDescent="0.2">
      <c r="B9483" s="1168"/>
    </row>
    <row r="9484" spans="2:2" s="221" customFormat="1" ht="12.75" x14ac:dyDescent="0.2">
      <c r="B9484" s="1168"/>
    </row>
    <row r="9485" spans="2:2" s="221" customFormat="1" ht="12.75" x14ac:dyDescent="0.2">
      <c r="B9485" s="1168"/>
    </row>
    <row r="9486" spans="2:2" s="221" customFormat="1" ht="12.75" x14ac:dyDescent="0.2">
      <c r="B9486" s="1168"/>
    </row>
    <row r="9487" spans="2:2" s="221" customFormat="1" ht="12.75" x14ac:dyDescent="0.2">
      <c r="B9487" s="1168"/>
    </row>
    <row r="9488" spans="2:2" s="221" customFormat="1" ht="12.75" x14ac:dyDescent="0.2">
      <c r="B9488" s="1168"/>
    </row>
    <row r="9489" spans="2:2" s="221" customFormat="1" ht="12.75" x14ac:dyDescent="0.2">
      <c r="B9489" s="1168"/>
    </row>
    <row r="9490" spans="2:2" s="221" customFormat="1" ht="12.75" x14ac:dyDescent="0.2">
      <c r="B9490" s="1168"/>
    </row>
    <row r="9491" spans="2:2" s="221" customFormat="1" ht="12.75" x14ac:dyDescent="0.2">
      <c r="B9491" s="1168"/>
    </row>
    <row r="9492" spans="2:2" s="221" customFormat="1" ht="12.75" x14ac:dyDescent="0.2">
      <c r="B9492" s="1168"/>
    </row>
    <row r="9493" spans="2:2" s="221" customFormat="1" ht="12.75" x14ac:dyDescent="0.2">
      <c r="B9493" s="1168"/>
    </row>
    <row r="9494" spans="2:2" s="221" customFormat="1" ht="12.75" x14ac:dyDescent="0.2">
      <c r="B9494" s="1168"/>
    </row>
    <row r="9495" spans="2:2" s="221" customFormat="1" ht="12.75" x14ac:dyDescent="0.2">
      <c r="B9495" s="1168"/>
    </row>
    <row r="9496" spans="2:2" s="221" customFormat="1" ht="12.75" x14ac:dyDescent="0.2">
      <c r="B9496" s="1168"/>
    </row>
    <row r="9497" spans="2:2" s="221" customFormat="1" ht="12.75" x14ac:dyDescent="0.2">
      <c r="B9497" s="1168"/>
    </row>
    <row r="9498" spans="2:2" s="221" customFormat="1" ht="12.75" x14ac:dyDescent="0.2">
      <c r="B9498" s="1168"/>
    </row>
    <row r="9499" spans="2:2" s="221" customFormat="1" ht="12.75" x14ac:dyDescent="0.2">
      <c r="B9499" s="1168"/>
    </row>
    <row r="9500" spans="2:2" s="221" customFormat="1" ht="12.75" x14ac:dyDescent="0.2">
      <c r="B9500" s="1168"/>
    </row>
    <row r="9501" spans="2:2" s="221" customFormat="1" ht="12.75" x14ac:dyDescent="0.2">
      <c r="B9501" s="1168"/>
    </row>
    <row r="9502" spans="2:2" s="221" customFormat="1" ht="12.75" x14ac:dyDescent="0.2">
      <c r="B9502" s="1168"/>
    </row>
    <row r="9503" spans="2:2" s="221" customFormat="1" ht="12.75" x14ac:dyDescent="0.2">
      <c r="B9503" s="1168"/>
    </row>
    <row r="9504" spans="2:2" s="221" customFormat="1" ht="12.75" x14ac:dyDescent="0.2">
      <c r="B9504" s="1168"/>
    </row>
    <row r="9505" spans="2:2" s="221" customFormat="1" ht="12.75" x14ac:dyDescent="0.2">
      <c r="B9505" s="1168"/>
    </row>
    <row r="9506" spans="2:2" s="221" customFormat="1" ht="12.75" x14ac:dyDescent="0.2">
      <c r="B9506" s="1168"/>
    </row>
    <row r="9507" spans="2:2" s="221" customFormat="1" ht="12.75" x14ac:dyDescent="0.2">
      <c r="B9507" s="1168"/>
    </row>
    <row r="9508" spans="2:2" s="221" customFormat="1" ht="12.75" x14ac:dyDescent="0.2">
      <c r="B9508" s="1168"/>
    </row>
    <row r="9509" spans="2:2" s="221" customFormat="1" ht="12.75" x14ac:dyDescent="0.2">
      <c r="B9509" s="1168"/>
    </row>
    <row r="9510" spans="2:2" s="221" customFormat="1" ht="12.75" x14ac:dyDescent="0.2">
      <c r="B9510" s="1168"/>
    </row>
    <row r="9511" spans="2:2" s="221" customFormat="1" ht="12.75" x14ac:dyDescent="0.2">
      <c r="B9511" s="1168"/>
    </row>
    <row r="9512" spans="2:2" s="221" customFormat="1" ht="12.75" x14ac:dyDescent="0.2">
      <c r="B9512" s="1168"/>
    </row>
    <row r="9513" spans="2:2" s="221" customFormat="1" ht="12.75" x14ac:dyDescent="0.2">
      <c r="B9513" s="1168"/>
    </row>
    <row r="9514" spans="2:2" s="221" customFormat="1" ht="12.75" x14ac:dyDescent="0.2">
      <c r="B9514" s="1168"/>
    </row>
    <row r="9515" spans="2:2" s="221" customFormat="1" ht="12.75" x14ac:dyDescent="0.2">
      <c r="B9515" s="1168"/>
    </row>
    <row r="9516" spans="2:2" s="221" customFormat="1" ht="12.75" x14ac:dyDescent="0.2">
      <c r="B9516" s="1168"/>
    </row>
    <row r="9517" spans="2:2" s="221" customFormat="1" ht="12.75" x14ac:dyDescent="0.2">
      <c r="B9517" s="1168"/>
    </row>
    <row r="9518" spans="2:2" s="221" customFormat="1" ht="12.75" x14ac:dyDescent="0.2">
      <c r="B9518" s="1168"/>
    </row>
    <row r="9519" spans="2:2" s="221" customFormat="1" ht="12.75" x14ac:dyDescent="0.2">
      <c r="B9519" s="1168"/>
    </row>
    <row r="9520" spans="2:2" s="221" customFormat="1" ht="12.75" x14ac:dyDescent="0.2">
      <c r="B9520" s="1168"/>
    </row>
    <row r="9521" spans="2:2" s="221" customFormat="1" ht="12.75" x14ac:dyDescent="0.2">
      <c r="B9521" s="1168"/>
    </row>
    <row r="9522" spans="2:2" s="221" customFormat="1" ht="12.75" x14ac:dyDescent="0.2">
      <c r="B9522" s="1168"/>
    </row>
    <row r="9523" spans="2:2" s="221" customFormat="1" ht="12.75" x14ac:dyDescent="0.2">
      <c r="B9523" s="1168"/>
    </row>
    <row r="9524" spans="2:2" s="221" customFormat="1" ht="12.75" x14ac:dyDescent="0.2">
      <c r="B9524" s="1168"/>
    </row>
    <row r="9525" spans="2:2" s="221" customFormat="1" ht="12.75" x14ac:dyDescent="0.2">
      <c r="B9525" s="1168"/>
    </row>
    <row r="9526" spans="2:2" s="221" customFormat="1" ht="12.75" x14ac:dyDescent="0.2">
      <c r="B9526" s="1168"/>
    </row>
    <row r="9527" spans="2:2" s="221" customFormat="1" ht="12.75" x14ac:dyDescent="0.2">
      <c r="B9527" s="1168"/>
    </row>
    <row r="9528" spans="2:2" s="221" customFormat="1" ht="12.75" x14ac:dyDescent="0.2">
      <c r="B9528" s="1168"/>
    </row>
    <row r="9529" spans="2:2" s="221" customFormat="1" ht="12.75" x14ac:dyDescent="0.2">
      <c r="B9529" s="1168"/>
    </row>
    <row r="9530" spans="2:2" s="221" customFormat="1" ht="12.75" x14ac:dyDescent="0.2">
      <c r="B9530" s="1168"/>
    </row>
    <row r="9531" spans="2:2" s="221" customFormat="1" ht="12.75" x14ac:dyDescent="0.2">
      <c r="B9531" s="1168"/>
    </row>
    <row r="9532" spans="2:2" s="221" customFormat="1" ht="12.75" x14ac:dyDescent="0.2">
      <c r="B9532" s="1168"/>
    </row>
    <row r="9533" spans="2:2" s="221" customFormat="1" ht="12.75" x14ac:dyDescent="0.2">
      <c r="B9533" s="1168"/>
    </row>
    <row r="9534" spans="2:2" s="221" customFormat="1" ht="12.75" x14ac:dyDescent="0.2">
      <c r="B9534" s="1168"/>
    </row>
    <row r="9535" spans="2:2" s="221" customFormat="1" ht="12.75" x14ac:dyDescent="0.2">
      <c r="B9535" s="1168"/>
    </row>
    <row r="9536" spans="2:2" s="221" customFormat="1" ht="12.75" x14ac:dyDescent="0.2">
      <c r="B9536" s="1168"/>
    </row>
    <row r="9537" spans="2:2" s="221" customFormat="1" ht="12.75" x14ac:dyDescent="0.2">
      <c r="B9537" s="1168"/>
    </row>
    <row r="9538" spans="2:2" s="221" customFormat="1" ht="12.75" x14ac:dyDescent="0.2">
      <c r="B9538" s="1168"/>
    </row>
    <row r="9539" spans="2:2" s="221" customFormat="1" ht="12.75" x14ac:dyDescent="0.2">
      <c r="B9539" s="1168"/>
    </row>
    <row r="9540" spans="2:2" s="221" customFormat="1" ht="12.75" x14ac:dyDescent="0.2">
      <c r="B9540" s="1168"/>
    </row>
    <row r="9541" spans="2:2" s="221" customFormat="1" ht="12.75" x14ac:dyDescent="0.2">
      <c r="B9541" s="1168"/>
    </row>
    <row r="9542" spans="2:2" s="221" customFormat="1" ht="12.75" x14ac:dyDescent="0.2">
      <c r="B9542" s="1168"/>
    </row>
    <row r="9543" spans="2:2" s="221" customFormat="1" ht="12.75" x14ac:dyDescent="0.2">
      <c r="B9543" s="1168"/>
    </row>
    <row r="9544" spans="2:2" s="221" customFormat="1" ht="12.75" x14ac:dyDescent="0.2">
      <c r="B9544" s="1168"/>
    </row>
    <row r="9545" spans="2:2" s="221" customFormat="1" ht="12.75" x14ac:dyDescent="0.2">
      <c r="B9545" s="1168"/>
    </row>
    <row r="9546" spans="2:2" s="221" customFormat="1" ht="12.75" x14ac:dyDescent="0.2">
      <c r="B9546" s="1168"/>
    </row>
    <row r="9547" spans="2:2" s="221" customFormat="1" ht="12.75" x14ac:dyDescent="0.2">
      <c r="B9547" s="1168"/>
    </row>
    <row r="9548" spans="2:2" s="221" customFormat="1" ht="12.75" x14ac:dyDescent="0.2">
      <c r="B9548" s="1168"/>
    </row>
    <row r="9549" spans="2:2" s="221" customFormat="1" ht="12.75" x14ac:dyDescent="0.2">
      <c r="B9549" s="1168"/>
    </row>
    <row r="9550" spans="2:2" s="221" customFormat="1" ht="12.75" x14ac:dyDescent="0.2">
      <c r="B9550" s="1168"/>
    </row>
    <row r="9551" spans="2:2" s="221" customFormat="1" ht="12.75" x14ac:dyDescent="0.2">
      <c r="B9551" s="1168"/>
    </row>
    <row r="9552" spans="2:2" s="221" customFormat="1" ht="12.75" x14ac:dyDescent="0.2">
      <c r="B9552" s="1168"/>
    </row>
    <row r="9553" spans="2:2" s="221" customFormat="1" ht="12.75" x14ac:dyDescent="0.2">
      <c r="B9553" s="1168"/>
    </row>
    <row r="9554" spans="2:2" s="221" customFormat="1" ht="12.75" x14ac:dyDescent="0.2">
      <c r="B9554" s="1168"/>
    </row>
    <row r="9555" spans="2:2" s="221" customFormat="1" ht="12.75" x14ac:dyDescent="0.2">
      <c r="B9555" s="1168"/>
    </row>
    <row r="9556" spans="2:2" s="221" customFormat="1" ht="12.75" x14ac:dyDescent="0.2">
      <c r="B9556" s="1168"/>
    </row>
    <row r="9557" spans="2:2" s="221" customFormat="1" ht="12.75" x14ac:dyDescent="0.2">
      <c r="B9557" s="1168"/>
    </row>
    <row r="9558" spans="2:2" s="221" customFormat="1" ht="12.75" x14ac:dyDescent="0.2">
      <c r="B9558" s="1168"/>
    </row>
    <row r="9559" spans="2:2" s="221" customFormat="1" ht="12.75" x14ac:dyDescent="0.2">
      <c r="B9559" s="1168"/>
    </row>
    <row r="9560" spans="2:2" s="221" customFormat="1" ht="12.75" x14ac:dyDescent="0.2">
      <c r="B9560" s="1168"/>
    </row>
    <row r="9561" spans="2:2" s="221" customFormat="1" ht="12.75" x14ac:dyDescent="0.2">
      <c r="B9561" s="1168"/>
    </row>
    <row r="9562" spans="2:2" s="221" customFormat="1" ht="12.75" x14ac:dyDescent="0.2">
      <c r="B9562" s="1168"/>
    </row>
    <row r="9563" spans="2:2" s="221" customFormat="1" ht="12.75" x14ac:dyDescent="0.2">
      <c r="B9563" s="1168"/>
    </row>
    <row r="9564" spans="2:2" s="221" customFormat="1" ht="12.75" x14ac:dyDescent="0.2">
      <c r="B9564" s="1168"/>
    </row>
    <row r="9565" spans="2:2" s="221" customFormat="1" ht="12.75" x14ac:dyDescent="0.2">
      <c r="B9565" s="1168"/>
    </row>
    <row r="9566" spans="2:2" s="221" customFormat="1" ht="12.75" x14ac:dyDescent="0.2">
      <c r="B9566" s="1168"/>
    </row>
    <row r="9567" spans="2:2" s="221" customFormat="1" ht="12.75" x14ac:dyDescent="0.2">
      <c r="B9567" s="1168"/>
    </row>
    <row r="9568" spans="2:2" s="221" customFormat="1" ht="12.75" x14ac:dyDescent="0.2">
      <c r="B9568" s="1168"/>
    </row>
    <row r="9569" spans="2:2" s="221" customFormat="1" ht="12.75" x14ac:dyDescent="0.2">
      <c r="B9569" s="1168"/>
    </row>
    <row r="9570" spans="2:2" s="221" customFormat="1" ht="12.75" x14ac:dyDescent="0.2">
      <c r="B9570" s="1168"/>
    </row>
    <row r="9571" spans="2:2" s="221" customFormat="1" ht="12.75" x14ac:dyDescent="0.2">
      <c r="B9571" s="1168"/>
    </row>
    <row r="9572" spans="2:2" s="221" customFormat="1" ht="12.75" x14ac:dyDescent="0.2">
      <c r="B9572" s="1168"/>
    </row>
    <row r="9573" spans="2:2" s="221" customFormat="1" ht="12.75" x14ac:dyDescent="0.2">
      <c r="B9573" s="1168"/>
    </row>
    <row r="9574" spans="2:2" s="221" customFormat="1" ht="12.75" x14ac:dyDescent="0.2">
      <c r="B9574" s="1168"/>
    </row>
    <row r="9575" spans="2:2" s="221" customFormat="1" ht="12.75" x14ac:dyDescent="0.2">
      <c r="B9575" s="1168"/>
    </row>
    <row r="9576" spans="2:2" s="221" customFormat="1" ht="12.75" x14ac:dyDescent="0.2">
      <c r="B9576" s="1168"/>
    </row>
    <row r="9577" spans="2:2" s="221" customFormat="1" ht="12.75" x14ac:dyDescent="0.2">
      <c r="B9577" s="1168"/>
    </row>
    <row r="9578" spans="2:2" s="221" customFormat="1" ht="12.75" x14ac:dyDescent="0.2">
      <c r="B9578" s="1168"/>
    </row>
    <row r="9579" spans="2:2" s="221" customFormat="1" ht="12.75" x14ac:dyDescent="0.2">
      <c r="B9579" s="1168"/>
    </row>
    <row r="9580" spans="2:2" s="221" customFormat="1" ht="12.75" x14ac:dyDescent="0.2">
      <c r="B9580" s="1168"/>
    </row>
    <row r="9581" spans="2:2" s="221" customFormat="1" ht="12.75" x14ac:dyDescent="0.2">
      <c r="B9581" s="1168"/>
    </row>
    <row r="9582" spans="2:2" s="221" customFormat="1" ht="12.75" x14ac:dyDescent="0.2">
      <c r="B9582" s="1168"/>
    </row>
    <row r="9583" spans="2:2" s="221" customFormat="1" ht="12.75" x14ac:dyDescent="0.2">
      <c r="B9583" s="1168"/>
    </row>
    <row r="9584" spans="2:2" s="221" customFormat="1" ht="12.75" x14ac:dyDescent="0.2">
      <c r="B9584" s="1168"/>
    </row>
    <row r="9585" spans="2:2" s="221" customFormat="1" ht="12.75" x14ac:dyDescent="0.2">
      <c r="B9585" s="1168"/>
    </row>
    <row r="9586" spans="2:2" s="221" customFormat="1" ht="12.75" x14ac:dyDescent="0.2">
      <c r="B9586" s="1168"/>
    </row>
    <row r="9587" spans="2:2" s="221" customFormat="1" ht="12.75" x14ac:dyDescent="0.2">
      <c r="B9587" s="1168"/>
    </row>
    <row r="9588" spans="2:2" s="221" customFormat="1" ht="12.75" x14ac:dyDescent="0.2">
      <c r="B9588" s="1168"/>
    </row>
    <row r="9589" spans="2:2" s="221" customFormat="1" ht="12.75" x14ac:dyDescent="0.2">
      <c r="B9589" s="1168"/>
    </row>
    <row r="9590" spans="2:2" s="221" customFormat="1" ht="12.75" x14ac:dyDescent="0.2">
      <c r="B9590" s="1168"/>
    </row>
    <row r="9591" spans="2:2" s="221" customFormat="1" ht="12.75" x14ac:dyDescent="0.2">
      <c r="B9591" s="1168"/>
    </row>
    <row r="9592" spans="2:2" s="221" customFormat="1" ht="12.75" x14ac:dyDescent="0.2">
      <c r="B9592" s="1168"/>
    </row>
    <row r="9593" spans="2:2" s="221" customFormat="1" ht="12.75" x14ac:dyDescent="0.2">
      <c r="B9593" s="1168"/>
    </row>
    <row r="9594" spans="2:2" s="221" customFormat="1" ht="12.75" x14ac:dyDescent="0.2">
      <c r="B9594" s="1168"/>
    </row>
    <row r="9595" spans="2:2" s="221" customFormat="1" ht="12.75" x14ac:dyDescent="0.2">
      <c r="B9595" s="1168"/>
    </row>
    <row r="9596" spans="2:2" s="221" customFormat="1" ht="12.75" x14ac:dyDescent="0.2">
      <c r="B9596" s="1168"/>
    </row>
    <row r="9597" spans="2:2" s="221" customFormat="1" ht="12.75" x14ac:dyDescent="0.2">
      <c r="B9597" s="1168"/>
    </row>
    <row r="9598" spans="2:2" s="221" customFormat="1" ht="12.75" x14ac:dyDescent="0.2">
      <c r="B9598" s="1168"/>
    </row>
    <row r="9599" spans="2:2" s="221" customFormat="1" ht="12.75" x14ac:dyDescent="0.2">
      <c r="B9599" s="1168"/>
    </row>
    <row r="9600" spans="2:2" s="221" customFormat="1" ht="12.75" x14ac:dyDescent="0.2">
      <c r="B9600" s="1168"/>
    </row>
    <row r="9601" spans="2:2" s="221" customFormat="1" ht="12.75" x14ac:dyDescent="0.2">
      <c r="B9601" s="1168"/>
    </row>
    <row r="9602" spans="2:2" s="221" customFormat="1" ht="12.75" x14ac:dyDescent="0.2">
      <c r="B9602" s="1168"/>
    </row>
    <row r="9603" spans="2:2" s="221" customFormat="1" ht="12.75" x14ac:dyDescent="0.2">
      <c r="B9603" s="1168"/>
    </row>
    <row r="9604" spans="2:2" s="221" customFormat="1" ht="12.75" x14ac:dyDescent="0.2">
      <c r="B9604" s="1168"/>
    </row>
    <row r="9605" spans="2:2" s="221" customFormat="1" ht="12.75" x14ac:dyDescent="0.2">
      <c r="B9605" s="1168"/>
    </row>
    <row r="9606" spans="2:2" s="221" customFormat="1" ht="12.75" x14ac:dyDescent="0.2">
      <c r="B9606" s="1168"/>
    </row>
    <row r="9607" spans="2:2" s="221" customFormat="1" ht="12.75" x14ac:dyDescent="0.2">
      <c r="B9607" s="1168"/>
    </row>
    <row r="9608" spans="2:2" s="221" customFormat="1" ht="12.75" x14ac:dyDescent="0.2">
      <c r="B9608" s="1168"/>
    </row>
    <row r="9609" spans="2:2" s="221" customFormat="1" ht="12.75" x14ac:dyDescent="0.2">
      <c r="B9609" s="1168"/>
    </row>
    <row r="9610" spans="2:2" s="221" customFormat="1" ht="12.75" x14ac:dyDescent="0.2">
      <c r="B9610" s="1168"/>
    </row>
    <row r="9611" spans="2:2" s="221" customFormat="1" ht="12.75" x14ac:dyDescent="0.2">
      <c r="B9611" s="1168"/>
    </row>
    <row r="9612" spans="2:2" s="221" customFormat="1" ht="12.75" x14ac:dyDescent="0.2">
      <c r="B9612" s="1168"/>
    </row>
    <row r="9613" spans="2:2" s="221" customFormat="1" ht="12.75" x14ac:dyDescent="0.2">
      <c r="B9613" s="1168"/>
    </row>
    <row r="9614" spans="2:2" s="221" customFormat="1" ht="12.75" x14ac:dyDescent="0.2">
      <c r="B9614" s="1168"/>
    </row>
    <row r="9615" spans="2:2" s="221" customFormat="1" ht="12.75" x14ac:dyDescent="0.2">
      <c r="B9615" s="1168"/>
    </row>
    <row r="9616" spans="2:2" s="221" customFormat="1" ht="12.75" x14ac:dyDescent="0.2">
      <c r="B9616" s="1168"/>
    </row>
    <row r="9617" spans="2:2" s="221" customFormat="1" ht="12.75" x14ac:dyDescent="0.2">
      <c r="B9617" s="1168"/>
    </row>
    <row r="9618" spans="2:2" s="221" customFormat="1" ht="12.75" x14ac:dyDescent="0.2">
      <c r="B9618" s="1168"/>
    </row>
    <row r="9619" spans="2:2" s="221" customFormat="1" ht="12.75" x14ac:dyDescent="0.2">
      <c r="B9619" s="1168"/>
    </row>
    <row r="9620" spans="2:2" s="221" customFormat="1" ht="12.75" x14ac:dyDescent="0.2">
      <c r="B9620" s="1168"/>
    </row>
    <row r="9621" spans="2:2" s="221" customFormat="1" ht="12.75" x14ac:dyDescent="0.2">
      <c r="B9621" s="1168"/>
    </row>
    <row r="9622" spans="2:2" s="221" customFormat="1" ht="12.75" x14ac:dyDescent="0.2">
      <c r="B9622" s="1168"/>
    </row>
    <row r="9623" spans="2:2" s="221" customFormat="1" ht="12.75" x14ac:dyDescent="0.2">
      <c r="B9623" s="1168"/>
    </row>
    <row r="9624" spans="2:2" s="221" customFormat="1" ht="12.75" x14ac:dyDescent="0.2">
      <c r="B9624" s="1168"/>
    </row>
    <row r="9625" spans="2:2" s="221" customFormat="1" ht="12.75" x14ac:dyDescent="0.2">
      <c r="B9625" s="1168"/>
    </row>
    <row r="9626" spans="2:2" s="221" customFormat="1" ht="12.75" x14ac:dyDescent="0.2">
      <c r="B9626" s="1168"/>
    </row>
    <row r="9627" spans="2:2" s="221" customFormat="1" ht="12.75" x14ac:dyDescent="0.2">
      <c r="B9627" s="1168"/>
    </row>
    <row r="9628" spans="2:2" s="221" customFormat="1" ht="12.75" x14ac:dyDescent="0.2">
      <c r="B9628" s="1168"/>
    </row>
    <row r="9629" spans="2:2" s="221" customFormat="1" ht="12.75" x14ac:dyDescent="0.2">
      <c r="B9629" s="1168"/>
    </row>
    <row r="9630" spans="2:2" s="221" customFormat="1" ht="12.75" x14ac:dyDescent="0.2">
      <c r="B9630" s="1168"/>
    </row>
    <row r="9631" spans="2:2" s="221" customFormat="1" ht="12.75" x14ac:dyDescent="0.2">
      <c r="B9631" s="1168"/>
    </row>
    <row r="9632" spans="2:2" s="221" customFormat="1" ht="12.75" x14ac:dyDescent="0.2">
      <c r="B9632" s="1168"/>
    </row>
    <row r="9633" spans="2:2" s="221" customFormat="1" ht="12.75" x14ac:dyDescent="0.2">
      <c r="B9633" s="1168"/>
    </row>
    <row r="9634" spans="2:2" s="221" customFormat="1" ht="12.75" x14ac:dyDescent="0.2">
      <c r="B9634" s="1168"/>
    </row>
    <row r="9635" spans="2:2" s="221" customFormat="1" ht="12.75" x14ac:dyDescent="0.2">
      <c r="B9635" s="1168"/>
    </row>
    <row r="9636" spans="2:2" s="221" customFormat="1" ht="12.75" x14ac:dyDescent="0.2">
      <c r="B9636" s="1168"/>
    </row>
    <row r="9637" spans="2:2" s="221" customFormat="1" ht="12.75" x14ac:dyDescent="0.2">
      <c r="B9637" s="1168"/>
    </row>
    <row r="9638" spans="2:2" s="221" customFormat="1" ht="12.75" x14ac:dyDescent="0.2">
      <c r="B9638" s="1168"/>
    </row>
    <row r="9639" spans="2:2" s="221" customFormat="1" ht="12.75" x14ac:dyDescent="0.2">
      <c r="B9639" s="1168"/>
    </row>
    <row r="9640" spans="2:2" s="221" customFormat="1" ht="12.75" x14ac:dyDescent="0.2">
      <c r="B9640" s="1168"/>
    </row>
    <row r="9641" spans="2:2" s="221" customFormat="1" ht="12.75" x14ac:dyDescent="0.2">
      <c r="B9641" s="1168"/>
    </row>
    <row r="9642" spans="2:2" s="221" customFormat="1" ht="12.75" x14ac:dyDescent="0.2">
      <c r="B9642" s="1168"/>
    </row>
    <row r="9643" spans="2:2" s="221" customFormat="1" ht="12.75" x14ac:dyDescent="0.2">
      <c r="B9643" s="1168"/>
    </row>
    <row r="9644" spans="2:2" s="221" customFormat="1" ht="12.75" x14ac:dyDescent="0.2">
      <c r="B9644" s="1168"/>
    </row>
    <row r="9645" spans="2:2" s="221" customFormat="1" ht="12.75" x14ac:dyDescent="0.2">
      <c r="B9645" s="1168"/>
    </row>
    <row r="9646" spans="2:2" s="221" customFormat="1" ht="12.75" x14ac:dyDescent="0.2">
      <c r="B9646" s="1168"/>
    </row>
    <row r="9647" spans="2:2" s="221" customFormat="1" ht="12.75" x14ac:dyDescent="0.2">
      <c r="B9647" s="1168"/>
    </row>
    <row r="9648" spans="2:2" s="221" customFormat="1" ht="12.75" x14ac:dyDescent="0.2">
      <c r="B9648" s="1168"/>
    </row>
    <row r="9649" spans="2:2" s="221" customFormat="1" ht="12.75" x14ac:dyDescent="0.2">
      <c r="B9649" s="1168"/>
    </row>
    <row r="9650" spans="2:2" s="221" customFormat="1" ht="12.75" x14ac:dyDescent="0.2">
      <c r="B9650" s="1168"/>
    </row>
    <row r="9651" spans="2:2" s="221" customFormat="1" ht="12.75" x14ac:dyDescent="0.2">
      <c r="B9651" s="1168"/>
    </row>
    <row r="9652" spans="2:2" s="221" customFormat="1" ht="12.75" x14ac:dyDescent="0.2">
      <c r="B9652" s="1168"/>
    </row>
    <row r="9653" spans="2:2" s="221" customFormat="1" ht="12.75" x14ac:dyDescent="0.2">
      <c r="B9653" s="1168"/>
    </row>
    <row r="9654" spans="2:2" s="221" customFormat="1" ht="12.75" x14ac:dyDescent="0.2">
      <c r="B9654" s="1168"/>
    </row>
    <row r="9655" spans="2:2" s="221" customFormat="1" ht="12.75" x14ac:dyDescent="0.2">
      <c r="B9655" s="1168"/>
    </row>
    <row r="9656" spans="2:2" s="221" customFormat="1" ht="12.75" x14ac:dyDescent="0.2">
      <c r="B9656" s="1168"/>
    </row>
    <row r="9657" spans="2:2" s="221" customFormat="1" ht="12.75" x14ac:dyDescent="0.2">
      <c r="B9657" s="1168"/>
    </row>
    <row r="9658" spans="2:2" s="221" customFormat="1" ht="12.75" x14ac:dyDescent="0.2">
      <c r="B9658" s="1168"/>
    </row>
    <row r="9659" spans="2:2" s="221" customFormat="1" ht="12.75" x14ac:dyDescent="0.2">
      <c r="B9659" s="1168"/>
    </row>
    <row r="9660" spans="2:2" s="221" customFormat="1" ht="12.75" x14ac:dyDescent="0.2">
      <c r="B9660" s="1168"/>
    </row>
    <row r="9661" spans="2:2" s="221" customFormat="1" ht="12.75" x14ac:dyDescent="0.2">
      <c r="B9661" s="1168"/>
    </row>
    <row r="9662" spans="2:2" s="221" customFormat="1" ht="12.75" x14ac:dyDescent="0.2">
      <c r="B9662" s="1168"/>
    </row>
    <row r="9663" spans="2:2" s="221" customFormat="1" ht="12.75" x14ac:dyDescent="0.2">
      <c r="B9663" s="1168"/>
    </row>
    <row r="9664" spans="2:2" s="221" customFormat="1" ht="12.75" x14ac:dyDescent="0.2">
      <c r="B9664" s="1168"/>
    </row>
    <row r="9665" spans="2:2" s="221" customFormat="1" ht="12.75" x14ac:dyDescent="0.2">
      <c r="B9665" s="1168"/>
    </row>
    <row r="9666" spans="2:2" s="221" customFormat="1" ht="12.75" x14ac:dyDescent="0.2">
      <c r="B9666" s="1168"/>
    </row>
    <row r="9667" spans="2:2" s="221" customFormat="1" ht="12.75" x14ac:dyDescent="0.2">
      <c r="B9667" s="1168"/>
    </row>
    <row r="9668" spans="2:2" s="221" customFormat="1" ht="12.75" x14ac:dyDescent="0.2">
      <c r="B9668" s="1168"/>
    </row>
    <row r="9669" spans="2:2" s="221" customFormat="1" ht="12.75" x14ac:dyDescent="0.2">
      <c r="B9669" s="1168"/>
    </row>
    <row r="9670" spans="2:2" s="221" customFormat="1" ht="12.75" x14ac:dyDescent="0.2">
      <c r="B9670" s="1168"/>
    </row>
    <row r="9671" spans="2:2" s="221" customFormat="1" ht="12.75" x14ac:dyDescent="0.2">
      <c r="B9671" s="1168"/>
    </row>
    <row r="9672" spans="2:2" s="221" customFormat="1" ht="12.75" x14ac:dyDescent="0.2">
      <c r="B9672" s="1168"/>
    </row>
    <row r="9673" spans="2:2" s="221" customFormat="1" ht="12.75" x14ac:dyDescent="0.2">
      <c r="B9673" s="1168"/>
    </row>
    <row r="9674" spans="2:2" s="221" customFormat="1" ht="12.75" x14ac:dyDescent="0.2">
      <c r="B9674" s="1168"/>
    </row>
    <row r="9675" spans="2:2" s="221" customFormat="1" ht="12.75" x14ac:dyDescent="0.2">
      <c r="B9675" s="1168"/>
    </row>
    <row r="9676" spans="2:2" s="221" customFormat="1" ht="12.75" x14ac:dyDescent="0.2">
      <c r="B9676" s="1168"/>
    </row>
    <row r="9677" spans="2:2" s="221" customFormat="1" ht="12.75" x14ac:dyDescent="0.2">
      <c r="B9677" s="1168"/>
    </row>
    <row r="9678" spans="2:2" s="221" customFormat="1" ht="12.75" x14ac:dyDescent="0.2">
      <c r="B9678" s="1168"/>
    </row>
    <row r="9679" spans="2:2" s="221" customFormat="1" ht="12.75" x14ac:dyDescent="0.2">
      <c r="B9679" s="1168"/>
    </row>
    <row r="9680" spans="2:2" s="221" customFormat="1" ht="12.75" x14ac:dyDescent="0.2">
      <c r="B9680" s="1168"/>
    </row>
    <row r="9681" spans="2:2" s="221" customFormat="1" ht="12.75" x14ac:dyDescent="0.2">
      <c r="B9681" s="1168"/>
    </row>
    <row r="9682" spans="2:2" s="221" customFormat="1" ht="12.75" x14ac:dyDescent="0.2">
      <c r="B9682" s="1168"/>
    </row>
    <row r="9683" spans="2:2" s="221" customFormat="1" ht="12.75" x14ac:dyDescent="0.2">
      <c r="B9683" s="1168"/>
    </row>
    <row r="9684" spans="2:2" s="221" customFormat="1" ht="12.75" x14ac:dyDescent="0.2">
      <c r="B9684" s="1168"/>
    </row>
    <row r="9685" spans="2:2" s="221" customFormat="1" ht="12.75" x14ac:dyDescent="0.2">
      <c r="B9685" s="1168"/>
    </row>
    <row r="9686" spans="2:2" s="221" customFormat="1" ht="12.75" x14ac:dyDescent="0.2">
      <c r="B9686" s="1168"/>
    </row>
    <row r="9687" spans="2:2" s="221" customFormat="1" ht="12.75" x14ac:dyDescent="0.2">
      <c r="B9687" s="1168"/>
    </row>
    <row r="9688" spans="2:2" s="221" customFormat="1" ht="12.75" x14ac:dyDescent="0.2">
      <c r="B9688" s="1168"/>
    </row>
    <row r="9689" spans="2:2" s="221" customFormat="1" ht="12.75" x14ac:dyDescent="0.2">
      <c r="B9689" s="1168"/>
    </row>
    <row r="9690" spans="2:2" s="221" customFormat="1" ht="12.75" x14ac:dyDescent="0.2">
      <c r="B9690" s="1168"/>
    </row>
    <row r="9691" spans="2:2" s="221" customFormat="1" ht="12.75" x14ac:dyDescent="0.2">
      <c r="B9691" s="1168"/>
    </row>
    <row r="9692" spans="2:2" s="221" customFormat="1" ht="12.75" x14ac:dyDescent="0.2">
      <c r="B9692" s="1168"/>
    </row>
    <row r="9693" spans="2:2" s="221" customFormat="1" ht="12.75" x14ac:dyDescent="0.2">
      <c r="B9693" s="1168"/>
    </row>
    <row r="9694" spans="2:2" s="221" customFormat="1" ht="12.75" x14ac:dyDescent="0.2">
      <c r="B9694" s="1168"/>
    </row>
    <row r="9695" spans="2:2" s="221" customFormat="1" ht="12.75" x14ac:dyDescent="0.2">
      <c r="B9695" s="1168"/>
    </row>
    <row r="9696" spans="2:2" s="221" customFormat="1" ht="12.75" x14ac:dyDescent="0.2">
      <c r="B9696" s="1168"/>
    </row>
    <row r="9697" spans="2:2" s="221" customFormat="1" ht="12.75" x14ac:dyDescent="0.2">
      <c r="B9697" s="1168"/>
    </row>
    <row r="9698" spans="2:2" s="221" customFormat="1" ht="12.75" x14ac:dyDescent="0.2">
      <c r="B9698" s="1168"/>
    </row>
    <row r="9699" spans="2:2" s="221" customFormat="1" ht="12.75" x14ac:dyDescent="0.2">
      <c r="B9699" s="1168"/>
    </row>
    <row r="9700" spans="2:2" s="221" customFormat="1" ht="12.75" x14ac:dyDescent="0.2">
      <c r="B9700" s="1168"/>
    </row>
    <row r="9701" spans="2:2" s="221" customFormat="1" ht="12.75" x14ac:dyDescent="0.2">
      <c r="B9701" s="1168"/>
    </row>
    <row r="9702" spans="2:2" s="221" customFormat="1" ht="12.75" x14ac:dyDescent="0.2">
      <c r="B9702" s="1168"/>
    </row>
    <row r="9703" spans="2:2" s="221" customFormat="1" ht="12.75" x14ac:dyDescent="0.2">
      <c r="B9703" s="1168"/>
    </row>
    <row r="9704" spans="2:2" s="221" customFormat="1" ht="12.75" x14ac:dyDescent="0.2">
      <c r="B9704" s="1168"/>
    </row>
    <row r="9705" spans="2:2" s="221" customFormat="1" ht="12.75" x14ac:dyDescent="0.2">
      <c r="B9705" s="1168"/>
    </row>
    <row r="9706" spans="2:2" s="221" customFormat="1" ht="12.75" x14ac:dyDescent="0.2">
      <c r="B9706" s="1168"/>
    </row>
    <row r="9707" spans="2:2" s="221" customFormat="1" ht="12.75" x14ac:dyDescent="0.2">
      <c r="B9707" s="1168"/>
    </row>
    <row r="9708" spans="2:2" s="221" customFormat="1" ht="12.75" x14ac:dyDescent="0.2">
      <c r="B9708" s="1168"/>
    </row>
    <row r="9709" spans="2:2" s="221" customFormat="1" ht="12.75" x14ac:dyDescent="0.2">
      <c r="B9709" s="1168"/>
    </row>
    <row r="9710" spans="2:2" s="221" customFormat="1" ht="12.75" x14ac:dyDescent="0.2">
      <c r="B9710" s="1168"/>
    </row>
    <row r="9711" spans="2:2" s="221" customFormat="1" ht="12.75" x14ac:dyDescent="0.2">
      <c r="B9711" s="1168"/>
    </row>
    <row r="9712" spans="2:2" s="221" customFormat="1" ht="12.75" x14ac:dyDescent="0.2">
      <c r="B9712" s="1168"/>
    </row>
    <row r="9713" spans="2:2" s="221" customFormat="1" ht="12.75" x14ac:dyDescent="0.2">
      <c r="B9713" s="1168"/>
    </row>
    <row r="9714" spans="2:2" s="221" customFormat="1" ht="12.75" x14ac:dyDescent="0.2">
      <c r="B9714" s="1168"/>
    </row>
    <row r="9715" spans="2:2" s="221" customFormat="1" ht="12.75" x14ac:dyDescent="0.2">
      <c r="B9715" s="1168"/>
    </row>
    <row r="9716" spans="2:2" s="221" customFormat="1" ht="12.75" x14ac:dyDescent="0.2">
      <c r="B9716" s="1168"/>
    </row>
    <row r="9717" spans="2:2" s="221" customFormat="1" ht="12.75" x14ac:dyDescent="0.2">
      <c r="B9717" s="1168"/>
    </row>
    <row r="9718" spans="2:2" s="221" customFormat="1" ht="12.75" x14ac:dyDescent="0.2">
      <c r="B9718" s="1168"/>
    </row>
    <row r="9719" spans="2:2" s="221" customFormat="1" ht="12.75" x14ac:dyDescent="0.2">
      <c r="B9719" s="1168"/>
    </row>
    <row r="9720" spans="2:2" s="221" customFormat="1" ht="12.75" x14ac:dyDescent="0.2">
      <c r="B9720" s="1168"/>
    </row>
    <row r="9721" spans="2:2" s="221" customFormat="1" ht="12.75" x14ac:dyDescent="0.2">
      <c r="B9721" s="1168"/>
    </row>
    <row r="9722" spans="2:2" s="221" customFormat="1" ht="12.75" x14ac:dyDescent="0.2">
      <c r="B9722" s="1168"/>
    </row>
    <row r="9723" spans="2:2" s="221" customFormat="1" ht="12.75" x14ac:dyDescent="0.2">
      <c r="B9723" s="1168"/>
    </row>
    <row r="9724" spans="2:2" s="221" customFormat="1" ht="12.75" x14ac:dyDescent="0.2">
      <c r="B9724" s="1168"/>
    </row>
    <row r="9725" spans="2:2" s="221" customFormat="1" ht="12.75" x14ac:dyDescent="0.2">
      <c r="B9725" s="1168"/>
    </row>
    <row r="9726" spans="2:2" s="221" customFormat="1" ht="12.75" x14ac:dyDescent="0.2">
      <c r="B9726" s="1168"/>
    </row>
    <row r="9727" spans="2:2" s="221" customFormat="1" ht="12.75" x14ac:dyDescent="0.2">
      <c r="B9727" s="1168"/>
    </row>
    <row r="9728" spans="2:2" s="221" customFormat="1" ht="12.75" x14ac:dyDescent="0.2">
      <c r="B9728" s="1168"/>
    </row>
    <row r="9729" spans="2:2" s="221" customFormat="1" ht="12.75" x14ac:dyDescent="0.2">
      <c r="B9729" s="1168"/>
    </row>
    <row r="9730" spans="2:2" s="221" customFormat="1" ht="12.75" x14ac:dyDescent="0.2">
      <c r="B9730" s="1168"/>
    </row>
    <row r="9731" spans="2:2" s="221" customFormat="1" ht="12.75" x14ac:dyDescent="0.2">
      <c r="B9731" s="1168"/>
    </row>
    <row r="9732" spans="2:2" s="221" customFormat="1" ht="12.75" x14ac:dyDescent="0.2">
      <c r="B9732" s="1168"/>
    </row>
    <row r="9733" spans="2:2" s="221" customFormat="1" ht="12.75" x14ac:dyDescent="0.2">
      <c r="B9733" s="1168"/>
    </row>
    <row r="9734" spans="2:2" s="221" customFormat="1" ht="12.75" x14ac:dyDescent="0.2">
      <c r="B9734" s="1168"/>
    </row>
    <row r="9735" spans="2:2" s="221" customFormat="1" ht="12.75" x14ac:dyDescent="0.2">
      <c r="B9735" s="1168"/>
    </row>
    <row r="9736" spans="2:2" s="221" customFormat="1" ht="12.75" x14ac:dyDescent="0.2">
      <c r="B9736" s="1168"/>
    </row>
    <row r="9737" spans="2:2" s="221" customFormat="1" ht="12.75" x14ac:dyDescent="0.2">
      <c r="B9737" s="1168"/>
    </row>
    <row r="9738" spans="2:2" s="221" customFormat="1" ht="12.75" x14ac:dyDescent="0.2">
      <c r="B9738" s="1168"/>
    </row>
    <row r="9739" spans="2:2" s="221" customFormat="1" ht="12.75" x14ac:dyDescent="0.2">
      <c r="B9739" s="1168"/>
    </row>
    <row r="9740" spans="2:2" s="221" customFormat="1" ht="12.75" x14ac:dyDescent="0.2">
      <c r="B9740" s="1168"/>
    </row>
    <row r="9741" spans="2:2" s="221" customFormat="1" ht="12.75" x14ac:dyDescent="0.2">
      <c r="B9741" s="1168"/>
    </row>
    <row r="9742" spans="2:2" s="221" customFormat="1" ht="12.75" x14ac:dyDescent="0.2">
      <c r="B9742" s="1168"/>
    </row>
    <row r="9743" spans="2:2" s="221" customFormat="1" ht="12.75" x14ac:dyDescent="0.2">
      <c r="B9743" s="1168"/>
    </row>
    <row r="9744" spans="2:2" s="221" customFormat="1" ht="12.75" x14ac:dyDescent="0.2">
      <c r="B9744" s="1168"/>
    </row>
    <row r="9745" spans="2:2" s="221" customFormat="1" ht="12.75" x14ac:dyDescent="0.2">
      <c r="B9745" s="1168"/>
    </row>
    <row r="9746" spans="2:2" s="221" customFormat="1" ht="12.75" x14ac:dyDescent="0.2">
      <c r="B9746" s="1168"/>
    </row>
    <row r="9747" spans="2:2" s="221" customFormat="1" ht="12.75" x14ac:dyDescent="0.2">
      <c r="B9747" s="1168"/>
    </row>
    <row r="9748" spans="2:2" s="221" customFormat="1" ht="12.75" x14ac:dyDescent="0.2">
      <c r="B9748" s="1168"/>
    </row>
    <row r="9749" spans="2:2" s="221" customFormat="1" ht="12.75" x14ac:dyDescent="0.2">
      <c r="B9749" s="1168"/>
    </row>
    <row r="9750" spans="2:2" s="221" customFormat="1" ht="12.75" x14ac:dyDescent="0.2">
      <c r="B9750" s="1168"/>
    </row>
    <row r="9751" spans="2:2" s="221" customFormat="1" ht="12.75" x14ac:dyDescent="0.2">
      <c r="B9751" s="1168"/>
    </row>
    <row r="9752" spans="2:2" s="221" customFormat="1" ht="12.75" x14ac:dyDescent="0.2">
      <c r="B9752" s="1168"/>
    </row>
    <row r="9753" spans="2:2" s="221" customFormat="1" ht="12.75" x14ac:dyDescent="0.2">
      <c r="B9753" s="1168"/>
    </row>
    <row r="9754" spans="2:2" s="221" customFormat="1" ht="12.75" x14ac:dyDescent="0.2">
      <c r="B9754" s="1168"/>
    </row>
    <row r="9755" spans="2:2" s="221" customFormat="1" ht="12.75" x14ac:dyDescent="0.2">
      <c r="B9755" s="1168"/>
    </row>
    <row r="9756" spans="2:2" s="221" customFormat="1" ht="12.75" x14ac:dyDescent="0.2">
      <c r="B9756" s="1168"/>
    </row>
    <row r="9757" spans="2:2" s="221" customFormat="1" ht="12.75" x14ac:dyDescent="0.2">
      <c r="B9757" s="1168"/>
    </row>
    <row r="9758" spans="2:2" s="221" customFormat="1" ht="12.75" x14ac:dyDescent="0.2">
      <c r="B9758" s="1168"/>
    </row>
    <row r="9759" spans="2:2" s="221" customFormat="1" ht="12.75" x14ac:dyDescent="0.2">
      <c r="B9759" s="1168"/>
    </row>
    <row r="9760" spans="2:2" s="221" customFormat="1" ht="12.75" x14ac:dyDescent="0.2">
      <c r="B9760" s="1168"/>
    </row>
    <row r="9761" spans="2:2" s="221" customFormat="1" ht="12.75" x14ac:dyDescent="0.2">
      <c r="B9761" s="1168"/>
    </row>
    <row r="9762" spans="2:2" s="221" customFormat="1" ht="12.75" x14ac:dyDescent="0.2">
      <c r="B9762" s="1168"/>
    </row>
    <row r="9763" spans="2:2" s="221" customFormat="1" ht="12.75" x14ac:dyDescent="0.2">
      <c r="B9763" s="1168"/>
    </row>
    <row r="9764" spans="2:2" s="221" customFormat="1" ht="12.75" x14ac:dyDescent="0.2">
      <c r="B9764" s="1168"/>
    </row>
    <row r="9765" spans="2:2" s="221" customFormat="1" ht="12.75" x14ac:dyDescent="0.2">
      <c r="B9765" s="1168"/>
    </row>
    <row r="9766" spans="2:2" s="221" customFormat="1" ht="12.75" x14ac:dyDescent="0.2">
      <c r="B9766" s="1168"/>
    </row>
    <row r="9767" spans="2:2" s="221" customFormat="1" ht="12.75" x14ac:dyDescent="0.2">
      <c r="B9767" s="1168"/>
    </row>
    <row r="9768" spans="2:2" s="221" customFormat="1" ht="12.75" x14ac:dyDescent="0.2">
      <c r="B9768" s="1168"/>
    </row>
    <row r="9769" spans="2:2" s="221" customFormat="1" ht="12.75" x14ac:dyDescent="0.2">
      <c r="B9769" s="1168"/>
    </row>
    <row r="9770" spans="2:2" s="221" customFormat="1" ht="12.75" x14ac:dyDescent="0.2">
      <c r="B9770" s="1168"/>
    </row>
    <row r="9771" spans="2:2" s="221" customFormat="1" ht="12.75" x14ac:dyDescent="0.2">
      <c r="B9771" s="1168"/>
    </row>
    <row r="9772" spans="2:2" s="221" customFormat="1" ht="12.75" x14ac:dyDescent="0.2">
      <c r="B9772" s="1168"/>
    </row>
    <row r="9773" spans="2:2" s="221" customFormat="1" ht="12.75" x14ac:dyDescent="0.2">
      <c r="B9773" s="1168"/>
    </row>
    <row r="9774" spans="2:2" s="221" customFormat="1" ht="12.75" x14ac:dyDescent="0.2">
      <c r="B9774" s="1168"/>
    </row>
    <row r="9775" spans="2:2" s="221" customFormat="1" ht="12.75" x14ac:dyDescent="0.2">
      <c r="B9775" s="1168"/>
    </row>
    <row r="9776" spans="2:2" s="221" customFormat="1" ht="12.75" x14ac:dyDescent="0.2">
      <c r="B9776" s="1168"/>
    </row>
    <row r="9777" spans="2:2" s="221" customFormat="1" ht="12.75" x14ac:dyDescent="0.2">
      <c r="B9777" s="1168"/>
    </row>
    <row r="9778" spans="2:2" s="221" customFormat="1" ht="12.75" x14ac:dyDescent="0.2">
      <c r="B9778" s="1168"/>
    </row>
    <row r="9779" spans="2:2" s="221" customFormat="1" ht="12.75" x14ac:dyDescent="0.2">
      <c r="B9779" s="1168"/>
    </row>
    <row r="9780" spans="2:2" s="221" customFormat="1" ht="12.75" x14ac:dyDescent="0.2">
      <c r="B9780" s="1168"/>
    </row>
    <row r="9781" spans="2:2" s="221" customFormat="1" ht="12.75" x14ac:dyDescent="0.2">
      <c r="B9781" s="1168"/>
    </row>
    <row r="9782" spans="2:2" s="221" customFormat="1" ht="12.75" x14ac:dyDescent="0.2">
      <c r="B9782" s="1168"/>
    </row>
    <row r="9783" spans="2:2" s="221" customFormat="1" ht="12.75" x14ac:dyDescent="0.2">
      <c r="B9783" s="1168"/>
    </row>
    <row r="9784" spans="2:2" s="221" customFormat="1" ht="12.75" x14ac:dyDescent="0.2">
      <c r="B9784" s="1168"/>
    </row>
    <row r="9785" spans="2:2" s="221" customFormat="1" ht="12.75" x14ac:dyDescent="0.2">
      <c r="B9785" s="1168"/>
    </row>
    <row r="9786" spans="2:2" s="221" customFormat="1" ht="12.75" x14ac:dyDescent="0.2">
      <c r="B9786" s="1168"/>
    </row>
    <row r="9787" spans="2:2" s="221" customFormat="1" ht="12.75" x14ac:dyDescent="0.2">
      <c r="B9787" s="1168"/>
    </row>
    <row r="9788" spans="2:2" s="221" customFormat="1" ht="12.75" x14ac:dyDescent="0.2">
      <c r="B9788" s="1168"/>
    </row>
    <row r="9789" spans="2:2" s="221" customFormat="1" ht="12.75" x14ac:dyDescent="0.2">
      <c r="B9789" s="1168"/>
    </row>
    <row r="9790" spans="2:2" s="221" customFormat="1" ht="12.75" x14ac:dyDescent="0.2">
      <c r="B9790" s="1168"/>
    </row>
    <row r="9791" spans="2:2" s="221" customFormat="1" ht="12.75" x14ac:dyDescent="0.2">
      <c r="B9791" s="1168"/>
    </row>
    <row r="9792" spans="2:2" s="221" customFormat="1" ht="12.75" x14ac:dyDescent="0.2">
      <c r="B9792" s="1168"/>
    </row>
    <row r="9793" spans="2:2" s="221" customFormat="1" ht="12.75" x14ac:dyDescent="0.2">
      <c r="B9793" s="1168"/>
    </row>
    <row r="9794" spans="2:2" s="221" customFormat="1" ht="12.75" x14ac:dyDescent="0.2">
      <c r="B9794" s="1168"/>
    </row>
    <row r="9795" spans="2:2" s="221" customFormat="1" ht="12.75" x14ac:dyDescent="0.2">
      <c r="B9795" s="1168"/>
    </row>
    <row r="9796" spans="2:2" s="221" customFormat="1" ht="12.75" x14ac:dyDescent="0.2">
      <c r="B9796" s="1168"/>
    </row>
    <row r="9797" spans="2:2" s="221" customFormat="1" ht="12.75" x14ac:dyDescent="0.2">
      <c r="B9797" s="1168"/>
    </row>
    <row r="9798" spans="2:2" s="221" customFormat="1" ht="12.75" x14ac:dyDescent="0.2">
      <c r="B9798" s="1168"/>
    </row>
    <row r="9799" spans="2:2" s="221" customFormat="1" ht="12.75" x14ac:dyDescent="0.2">
      <c r="B9799" s="1168"/>
    </row>
    <row r="9800" spans="2:2" s="221" customFormat="1" ht="12.75" x14ac:dyDescent="0.2">
      <c r="B9800" s="1168"/>
    </row>
    <row r="9801" spans="2:2" s="221" customFormat="1" ht="12.75" x14ac:dyDescent="0.2">
      <c r="B9801" s="1168"/>
    </row>
    <row r="9802" spans="2:2" s="221" customFormat="1" ht="12.75" x14ac:dyDescent="0.2">
      <c r="B9802" s="1168"/>
    </row>
    <row r="9803" spans="2:2" s="221" customFormat="1" ht="12.75" x14ac:dyDescent="0.2">
      <c r="B9803" s="1168"/>
    </row>
    <row r="9804" spans="2:2" s="221" customFormat="1" ht="12.75" x14ac:dyDescent="0.2">
      <c r="B9804" s="1168"/>
    </row>
    <row r="9805" spans="2:2" s="221" customFormat="1" ht="12.75" x14ac:dyDescent="0.2">
      <c r="B9805" s="1168"/>
    </row>
    <row r="9806" spans="2:2" s="221" customFormat="1" ht="12.75" x14ac:dyDescent="0.2">
      <c r="B9806" s="1168"/>
    </row>
    <row r="9807" spans="2:2" s="221" customFormat="1" ht="12.75" x14ac:dyDescent="0.2">
      <c r="B9807" s="1168"/>
    </row>
    <row r="9808" spans="2:2" s="221" customFormat="1" ht="12.75" x14ac:dyDescent="0.2">
      <c r="B9808" s="1168"/>
    </row>
    <row r="9809" spans="2:2" s="221" customFormat="1" ht="12.75" x14ac:dyDescent="0.2">
      <c r="B9809" s="1168"/>
    </row>
    <row r="9810" spans="2:2" s="221" customFormat="1" ht="12.75" x14ac:dyDescent="0.2">
      <c r="B9810" s="1168"/>
    </row>
    <row r="9811" spans="2:2" s="221" customFormat="1" ht="12.75" x14ac:dyDescent="0.2">
      <c r="B9811" s="1168"/>
    </row>
    <row r="9812" spans="2:2" s="221" customFormat="1" ht="12.75" x14ac:dyDescent="0.2">
      <c r="B9812" s="1168"/>
    </row>
    <row r="9813" spans="2:2" s="221" customFormat="1" ht="12.75" x14ac:dyDescent="0.2">
      <c r="B9813" s="1168"/>
    </row>
    <row r="9814" spans="2:2" s="221" customFormat="1" ht="12.75" x14ac:dyDescent="0.2">
      <c r="B9814" s="1168"/>
    </row>
    <row r="9815" spans="2:2" s="221" customFormat="1" ht="12.75" x14ac:dyDescent="0.2">
      <c r="B9815" s="1168"/>
    </row>
    <row r="9816" spans="2:2" s="221" customFormat="1" ht="12.75" x14ac:dyDescent="0.2">
      <c r="B9816" s="1168"/>
    </row>
    <row r="9817" spans="2:2" s="221" customFormat="1" ht="12.75" x14ac:dyDescent="0.2">
      <c r="B9817" s="1168"/>
    </row>
    <row r="9818" spans="2:2" s="221" customFormat="1" ht="12.75" x14ac:dyDescent="0.2">
      <c r="B9818" s="1168"/>
    </row>
    <row r="9819" spans="2:2" s="221" customFormat="1" ht="12.75" x14ac:dyDescent="0.2">
      <c r="B9819" s="1168"/>
    </row>
    <row r="9820" spans="2:2" s="221" customFormat="1" ht="12.75" x14ac:dyDescent="0.2">
      <c r="B9820" s="1168"/>
    </row>
    <row r="9821" spans="2:2" s="221" customFormat="1" ht="12.75" x14ac:dyDescent="0.2">
      <c r="B9821" s="1168"/>
    </row>
    <row r="9822" spans="2:2" s="221" customFormat="1" ht="12.75" x14ac:dyDescent="0.2">
      <c r="B9822" s="1168"/>
    </row>
    <row r="9823" spans="2:2" s="221" customFormat="1" ht="12.75" x14ac:dyDescent="0.2">
      <c r="B9823" s="1168"/>
    </row>
    <row r="9824" spans="2:2" s="221" customFormat="1" ht="12.75" x14ac:dyDescent="0.2">
      <c r="B9824" s="1168"/>
    </row>
    <row r="9825" spans="2:2" s="221" customFormat="1" ht="12.75" x14ac:dyDescent="0.2">
      <c r="B9825" s="1168"/>
    </row>
    <row r="9826" spans="2:2" s="221" customFormat="1" ht="12.75" x14ac:dyDescent="0.2">
      <c r="B9826" s="1168"/>
    </row>
    <row r="9827" spans="2:2" s="221" customFormat="1" ht="12.75" x14ac:dyDescent="0.2">
      <c r="B9827" s="1168"/>
    </row>
    <row r="9828" spans="2:2" s="221" customFormat="1" ht="12.75" x14ac:dyDescent="0.2">
      <c r="B9828" s="1168"/>
    </row>
    <row r="9829" spans="2:2" s="221" customFormat="1" ht="12.75" x14ac:dyDescent="0.2">
      <c r="B9829" s="1168"/>
    </row>
    <row r="9830" spans="2:2" s="221" customFormat="1" ht="12.75" x14ac:dyDescent="0.2">
      <c r="B9830" s="1168"/>
    </row>
    <row r="9831" spans="2:2" s="221" customFormat="1" ht="12.75" x14ac:dyDescent="0.2">
      <c r="B9831" s="1168"/>
    </row>
    <row r="9832" spans="2:2" s="221" customFormat="1" ht="12.75" x14ac:dyDescent="0.2">
      <c r="B9832" s="1168"/>
    </row>
    <row r="9833" spans="2:2" s="221" customFormat="1" ht="12.75" x14ac:dyDescent="0.2">
      <c r="B9833" s="1168"/>
    </row>
    <row r="9834" spans="2:2" s="221" customFormat="1" ht="12.75" x14ac:dyDescent="0.2">
      <c r="B9834" s="1168"/>
    </row>
    <row r="9835" spans="2:2" s="221" customFormat="1" ht="12.75" x14ac:dyDescent="0.2">
      <c r="B9835" s="1168"/>
    </row>
    <row r="9836" spans="2:2" s="221" customFormat="1" ht="12.75" x14ac:dyDescent="0.2">
      <c r="B9836" s="1168"/>
    </row>
    <row r="9837" spans="2:2" s="221" customFormat="1" ht="12.75" x14ac:dyDescent="0.2">
      <c r="B9837" s="1168"/>
    </row>
    <row r="9838" spans="2:2" s="221" customFormat="1" ht="12.75" x14ac:dyDescent="0.2">
      <c r="B9838" s="1168"/>
    </row>
    <row r="9839" spans="2:2" s="221" customFormat="1" ht="12.75" x14ac:dyDescent="0.2">
      <c r="B9839" s="1168"/>
    </row>
    <row r="9840" spans="2:2" s="221" customFormat="1" ht="12.75" x14ac:dyDescent="0.2">
      <c r="B9840" s="1168"/>
    </row>
    <row r="9841" spans="2:2" s="221" customFormat="1" ht="12.75" x14ac:dyDescent="0.2">
      <c r="B9841" s="1168"/>
    </row>
    <row r="9842" spans="2:2" s="221" customFormat="1" ht="12.75" x14ac:dyDescent="0.2">
      <c r="B9842" s="1168"/>
    </row>
    <row r="9843" spans="2:2" s="221" customFormat="1" ht="12.75" x14ac:dyDescent="0.2">
      <c r="B9843" s="1168"/>
    </row>
    <row r="9844" spans="2:2" s="221" customFormat="1" ht="12.75" x14ac:dyDescent="0.2">
      <c r="B9844" s="1168"/>
    </row>
    <row r="9845" spans="2:2" s="221" customFormat="1" ht="12.75" x14ac:dyDescent="0.2">
      <c r="B9845" s="1168"/>
    </row>
    <row r="9846" spans="2:2" s="221" customFormat="1" ht="12.75" x14ac:dyDescent="0.2">
      <c r="B9846" s="1168"/>
    </row>
    <row r="9847" spans="2:2" s="221" customFormat="1" ht="12.75" x14ac:dyDescent="0.2">
      <c r="B9847" s="1168"/>
    </row>
    <row r="9848" spans="2:2" s="221" customFormat="1" ht="12.75" x14ac:dyDescent="0.2">
      <c r="B9848" s="1168"/>
    </row>
    <row r="9849" spans="2:2" s="221" customFormat="1" ht="12.75" x14ac:dyDescent="0.2">
      <c r="B9849" s="1168"/>
    </row>
    <row r="9850" spans="2:2" s="221" customFormat="1" ht="12.75" x14ac:dyDescent="0.2">
      <c r="B9850" s="1168"/>
    </row>
    <row r="9851" spans="2:2" s="221" customFormat="1" ht="12.75" x14ac:dyDescent="0.2">
      <c r="B9851" s="1168"/>
    </row>
    <row r="9852" spans="2:2" s="221" customFormat="1" ht="12.75" x14ac:dyDescent="0.2">
      <c r="B9852" s="1168"/>
    </row>
    <row r="9853" spans="2:2" s="221" customFormat="1" ht="12.75" x14ac:dyDescent="0.2">
      <c r="B9853" s="1168"/>
    </row>
    <row r="9854" spans="2:2" s="221" customFormat="1" ht="12.75" x14ac:dyDescent="0.2">
      <c r="B9854" s="1168"/>
    </row>
    <row r="9855" spans="2:2" s="221" customFormat="1" ht="12.75" x14ac:dyDescent="0.2">
      <c r="B9855" s="1168"/>
    </row>
    <row r="9856" spans="2:2" s="221" customFormat="1" ht="12.75" x14ac:dyDescent="0.2">
      <c r="B9856" s="1168"/>
    </row>
    <row r="9857" spans="2:2" s="221" customFormat="1" ht="12.75" x14ac:dyDescent="0.2">
      <c r="B9857" s="1168"/>
    </row>
    <row r="9858" spans="2:2" s="221" customFormat="1" ht="12.75" x14ac:dyDescent="0.2">
      <c r="B9858" s="1168"/>
    </row>
    <row r="9859" spans="2:2" s="221" customFormat="1" ht="12.75" x14ac:dyDescent="0.2">
      <c r="B9859" s="1168"/>
    </row>
    <row r="9860" spans="2:2" s="221" customFormat="1" ht="12.75" x14ac:dyDescent="0.2">
      <c r="B9860" s="1168"/>
    </row>
    <row r="9861" spans="2:2" s="221" customFormat="1" ht="12.75" x14ac:dyDescent="0.2">
      <c r="B9861" s="1168"/>
    </row>
    <row r="9862" spans="2:2" s="221" customFormat="1" ht="12.75" x14ac:dyDescent="0.2">
      <c r="B9862" s="1168"/>
    </row>
    <row r="9863" spans="2:2" s="221" customFormat="1" ht="12.75" x14ac:dyDescent="0.2">
      <c r="B9863" s="1168"/>
    </row>
    <row r="9864" spans="2:2" s="221" customFormat="1" ht="12.75" x14ac:dyDescent="0.2">
      <c r="B9864" s="1168"/>
    </row>
    <row r="9865" spans="2:2" s="221" customFormat="1" ht="12.75" x14ac:dyDescent="0.2">
      <c r="B9865" s="1168"/>
    </row>
    <row r="9866" spans="2:2" s="221" customFormat="1" ht="12.75" x14ac:dyDescent="0.2">
      <c r="B9866" s="1168"/>
    </row>
    <row r="9867" spans="2:2" s="221" customFormat="1" ht="12.75" x14ac:dyDescent="0.2">
      <c r="B9867" s="1168"/>
    </row>
    <row r="9868" spans="2:2" s="221" customFormat="1" ht="12.75" x14ac:dyDescent="0.2">
      <c r="B9868" s="1168"/>
    </row>
    <row r="9869" spans="2:2" s="221" customFormat="1" ht="12.75" x14ac:dyDescent="0.2">
      <c r="B9869" s="1168"/>
    </row>
    <row r="9870" spans="2:2" s="221" customFormat="1" ht="12.75" x14ac:dyDescent="0.2">
      <c r="B9870" s="1168"/>
    </row>
    <row r="9871" spans="2:2" s="221" customFormat="1" ht="12.75" x14ac:dyDescent="0.2">
      <c r="B9871" s="1168"/>
    </row>
    <row r="9872" spans="2:2" s="221" customFormat="1" ht="12.75" x14ac:dyDescent="0.2">
      <c r="B9872" s="1168"/>
    </row>
    <row r="9873" spans="2:2" s="221" customFormat="1" ht="12.75" x14ac:dyDescent="0.2">
      <c r="B9873" s="1168"/>
    </row>
    <row r="9874" spans="2:2" s="221" customFormat="1" ht="12.75" x14ac:dyDescent="0.2">
      <c r="B9874" s="1168"/>
    </row>
    <row r="9875" spans="2:2" s="221" customFormat="1" ht="12.75" x14ac:dyDescent="0.2">
      <c r="B9875" s="1168"/>
    </row>
    <row r="9876" spans="2:2" s="221" customFormat="1" ht="12.75" x14ac:dyDescent="0.2">
      <c r="B9876" s="1168"/>
    </row>
    <row r="9877" spans="2:2" s="221" customFormat="1" ht="12.75" x14ac:dyDescent="0.2">
      <c r="B9877" s="1168"/>
    </row>
    <row r="9878" spans="2:2" s="221" customFormat="1" ht="12.75" x14ac:dyDescent="0.2">
      <c r="B9878" s="1168"/>
    </row>
    <row r="9879" spans="2:2" s="221" customFormat="1" ht="12.75" x14ac:dyDescent="0.2">
      <c r="B9879" s="1168"/>
    </row>
    <row r="9880" spans="2:2" s="221" customFormat="1" ht="12.75" x14ac:dyDescent="0.2">
      <c r="B9880" s="1168"/>
    </row>
    <row r="9881" spans="2:2" s="221" customFormat="1" ht="12.75" x14ac:dyDescent="0.2">
      <c r="B9881" s="1168"/>
    </row>
    <row r="9882" spans="2:2" s="221" customFormat="1" ht="12.75" x14ac:dyDescent="0.2">
      <c r="B9882" s="1168"/>
    </row>
    <row r="9883" spans="2:2" s="221" customFormat="1" ht="12.75" x14ac:dyDescent="0.2">
      <c r="B9883" s="1168"/>
    </row>
    <row r="9884" spans="2:2" s="221" customFormat="1" ht="12.75" x14ac:dyDescent="0.2">
      <c r="B9884" s="1168"/>
    </row>
    <row r="9885" spans="2:2" s="221" customFormat="1" ht="12.75" x14ac:dyDescent="0.2">
      <c r="B9885" s="1168"/>
    </row>
    <row r="9886" spans="2:2" s="221" customFormat="1" ht="12.75" x14ac:dyDescent="0.2">
      <c r="B9886" s="1168"/>
    </row>
    <row r="9887" spans="2:2" s="221" customFormat="1" ht="12.75" x14ac:dyDescent="0.2">
      <c r="B9887" s="1168"/>
    </row>
    <row r="9888" spans="2:2" s="221" customFormat="1" ht="12.75" x14ac:dyDescent="0.2">
      <c r="B9888" s="1168"/>
    </row>
    <row r="9889" spans="2:2" s="221" customFormat="1" ht="12.75" x14ac:dyDescent="0.2">
      <c r="B9889" s="1168"/>
    </row>
    <row r="9890" spans="2:2" s="221" customFormat="1" ht="12.75" x14ac:dyDescent="0.2">
      <c r="B9890" s="1168"/>
    </row>
    <row r="9891" spans="2:2" s="221" customFormat="1" ht="12.75" x14ac:dyDescent="0.2">
      <c r="B9891" s="1168"/>
    </row>
    <row r="9892" spans="2:2" s="221" customFormat="1" ht="12.75" x14ac:dyDescent="0.2">
      <c r="B9892" s="1168"/>
    </row>
    <row r="9893" spans="2:2" s="221" customFormat="1" ht="12.75" x14ac:dyDescent="0.2">
      <c r="B9893" s="1168"/>
    </row>
    <row r="9894" spans="2:2" s="221" customFormat="1" ht="12.75" x14ac:dyDescent="0.2">
      <c r="B9894" s="1168"/>
    </row>
    <row r="9895" spans="2:2" s="221" customFormat="1" ht="12.75" x14ac:dyDescent="0.2">
      <c r="B9895" s="1168"/>
    </row>
    <row r="9896" spans="2:2" s="221" customFormat="1" ht="12.75" x14ac:dyDescent="0.2">
      <c r="B9896" s="1168"/>
    </row>
    <row r="9897" spans="2:2" s="221" customFormat="1" ht="12.75" x14ac:dyDescent="0.2">
      <c r="B9897" s="1168"/>
    </row>
    <row r="9898" spans="2:2" s="221" customFormat="1" ht="12.75" x14ac:dyDescent="0.2">
      <c r="B9898" s="1168"/>
    </row>
    <row r="9899" spans="2:2" s="221" customFormat="1" ht="12.75" x14ac:dyDescent="0.2">
      <c r="B9899" s="1168"/>
    </row>
    <row r="9900" spans="2:2" s="221" customFormat="1" ht="12.75" x14ac:dyDescent="0.2">
      <c r="B9900" s="1168"/>
    </row>
    <row r="9901" spans="2:2" s="221" customFormat="1" ht="12.75" x14ac:dyDescent="0.2">
      <c r="B9901" s="1168"/>
    </row>
    <row r="9902" spans="2:2" s="221" customFormat="1" ht="12.75" x14ac:dyDescent="0.2">
      <c r="B9902" s="1168"/>
    </row>
    <row r="9903" spans="2:2" s="221" customFormat="1" ht="12.75" x14ac:dyDescent="0.2">
      <c r="B9903" s="1168"/>
    </row>
    <row r="9904" spans="2:2" s="221" customFormat="1" ht="12.75" x14ac:dyDescent="0.2">
      <c r="B9904" s="1168"/>
    </row>
    <row r="9905" spans="2:2" s="221" customFormat="1" ht="12.75" x14ac:dyDescent="0.2">
      <c r="B9905" s="1168"/>
    </row>
    <row r="9906" spans="2:2" s="221" customFormat="1" ht="12.75" x14ac:dyDescent="0.2">
      <c r="B9906" s="1168"/>
    </row>
    <row r="9907" spans="2:2" s="221" customFormat="1" ht="12.75" x14ac:dyDescent="0.2">
      <c r="B9907" s="1168"/>
    </row>
    <row r="9908" spans="2:2" s="221" customFormat="1" ht="12.75" x14ac:dyDescent="0.2">
      <c r="B9908" s="1168"/>
    </row>
    <row r="9909" spans="2:2" s="221" customFormat="1" ht="12.75" x14ac:dyDescent="0.2">
      <c r="B9909" s="1168"/>
    </row>
    <row r="9910" spans="2:2" s="221" customFormat="1" ht="12.75" x14ac:dyDescent="0.2">
      <c r="B9910" s="1168"/>
    </row>
    <row r="9911" spans="2:2" s="221" customFormat="1" ht="12.75" x14ac:dyDescent="0.2">
      <c r="B9911" s="1168"/>
    </row>
    <row r="9912" spans="2:2" s="221" customFormat="1" ht="12.75" x14ac:dyDescent="0.2">
      <c r="B9912" s="1168"/>
    </row>
    <row r="9913" spans="2:2" s="221" customFormat="1" ht="12.75" x14ac:dyDescent="0.2">
      <c r="B9913" s="1168"/>
    </row>
    <row r="9914" spans="2:2" s="221" customFormat="1" ht="12.75" x14ac:dyDescent="0.2">
      <c r="B9914" s="1168"/>
    </row>
    <row r="9915" spans="2:2" s="221" customFormat="1" ht="12.75" x14ac:dyDescent="0.2">
      <c r="B9915" s="1168"/>
    </row>
    <row r="9916" spans="2:2" s="221" customFormat="1" ht="12.75" x14ac:dyDescent="0.2">
      <c r="B9916" s="1168"/>
    </row>
    <row r="9917" spans="2:2" s="221" customFormat="1" ht="12.75" x14ac:dyDescent="0.2">
      <c r="B9917" s="1168"/>
    </row>
    <row r="9918" spans="2:2" s="221" customFormat="1" ht="12.75" x14ac:dyDescent="0.2">
      <c r="B9918" s="1168"/>
    </row>
    <row r="9919" spans="2:2" s="221" customFormat="1" ht="12.75" x14ac:dyDescent="0.2">
      <c r="B9919" s="1168"/>
    </row>
    <row r="9920" spans="2:2" s="221" customFormat="1" ht="12.75" x14ac:dyDescent="0.2">
      <c r="B9920" s="1168"/>
    </row>
    <row r="9921" spans="2:2" s="221" customFormat="1" ht="12.75" x14ac:dyDescent="0.2">
      <c r="B9921" s="1168"/>
    </row>
    <row r="9922" spans="2:2" s="221" customFormat="1" ht="12.75" x14ac:dyDescent="0.2">
      <c r="B9922" s="1168"/>
    </row>
    <row r="9923" spans="2:2" s="221" customFormat="1" ht="12.75" x14ac:dyDescent="0.2">
      <c r="B9923" s="1168"/>
    </row>
    <row r="9924" spans="2:2" s="221" customFormat="1" ht="12.75" x14ac:dyDescent="0.2">
      <c r="B9924" s="1168"/>
    </row>
    <row r="9925" spans="2:2" s="221" customFormat="1" ht="12.75" x14ac:dyDescent="0.2">
      <c r="B9925" s="1168"/>
    </row>
    <row r="9926" spans="2:2" s="221" customFormat="1" ht="12.75" x14ac:dyDescent="0.2">
      <c r="B9926" s="1168"/>
    </row>
    <row r="9927" spans="2:2" s="221" customFormat="1" ht="12.75" x14ac:dyDescent="0.2">
      <c r="B9927" s="1168"/>
    </row>
    <row r="9928" spans="2:2" s="221" customFormat="1" ht="12.75" x14ac:dyDescent="0.2">
      <c r="B9928" s="1168"/>
    </row>
    <row r="9929" spans="2:2" s="221" customFormat="1" ht="12.75" x14ac:dyDescent="0.2">
      <c r="B9929" s="1168"/>
    </row>
    <row r="9930" spans="2:2" s="221" customFormat="1" ht="12.75" x14ac:dyDescent="0.2">
      <c r="B9930" s="1168"/>
    </row>
    <row r="9931" spans="2:2" s="221" customFormat="1" ht="12.75" x14ac:dyDescent="0.2">
      <c r="B9931" s="1168"/>
    </row>
    <row r="9932" spans="2:2" s="221" customFormat="1" ht="12.75" x14ac:dyDescent="0.2">
      <c r="B9932" s="1168"/>
    </row>
    <row r="9933" spans="2:2" s="221" customFormat="1" ht="12.75" x14ac:dyDescent="0.2">
      <c r="B9933" s="1168"/>
    </row>
    <row r="9934" spans="2:2" s="221" customFormat="1" ht="12.75" x14ac:dyDescent="0.2">
      <c r="B9934" s="1168"/>
    </row>
    <row r="9935" spans="2:2" s="221" customFormat="1" ht="12.75" x14ac:dyDescent="0.2">
      <c r="B9935" s="1168"/>
    </row>
    <row r="9936" spans="2:2" s="221" customFormat="1" ht="12.75" x14ac:dyDescent="0.2">
      <c r="B9936" s="1168"/>
    </row>
    <row r="9937" spans="2:2" s="221" customFormat="1" ht="12.75" x14ac:dyDescent="0.2">
      <c r="B9937" s="1168"/>
    </row>
    <row r="9938" spans="2:2" s="221" customFormat="1" ht="12.75" x14ac:dyDescent="0.2">
      <c r="B9938" s="1168"/>
    </row>
    <row r="9939" spans="2:2" s="221" customFormat="1" ht="12.75" x14ac:dyDescent="0.2">
      <c r="B9939" s="1168"/>
    </row>
    <row r="9940" spans="2:2" s="221" customFormat="1" ht="12.75" x14ac:dyDescent="0.2">
      <c r="B9940" s="1168"/>
    </row>
    <row r="9941" spans="2:2" s="221" customFormat="1" ht="12.75" x14ac:dyDescent="0.2">
      <c r="B9941" s="1168"/>
    </row>
    <row r="9942" spans="2:2" s="221" customFormat="1" ht="12.75" x14ac:dyDescent="0.2">
      <c r="B9942" s="1168"/>
    </row>
    <row r="9943" spans="2:2" s="221" customFormat="1" ht="12.75" x14ac:dyDescent="0.2">
      <c r="B9943" s="1168"/>
    </row>
    <row r="9944" spans="2:2" s="221" customFormat="1" ht="12.75" x14ac:dyDescent="0.2">
      <c r="B9944" s="1168"/>
    </row>
    <row r="9945" spans="2:2" s="221" customFormat="1" ht="12.75" x14ac:dyDescent="0.2">
      <c r="B9945" s="1168"/>
    </row>
    <row r="9946" spans="2:2" s="221" customFormat="1" ht="12.75" x14ac:dyDescent="0.2">
      <c r="B9946" s="1168"/>
    </row>
    <row r="9947" spans="2:2" s="221" customFormat="1" ht="12.75" x14ac:dyDescent="0.2">
      <c r="B9947" s="1168"/>
    </row>
    <row r="9948" spans="2:2" s="221" customFormat="1" ht="12.75" x14ac:dyDescent="0.2">
      <c r="B9948" s="1168"/>
    </row>
    <row r="9949" spans="2:2" s="221" customFormat="1" ht="12.75" x14ac:dyDescent="0.2">
      <c r="B9949" s="1168"/>
    </row>
    <row r="9950" spans="2:2" s="221" customFormat="1" ht="12.75" x14ac:dyDescent="0.2">
      <c r="B9950" s="1168"/>
    </row>
    <row r="9951" spans="2:2" s="221" customFormat="1" ht="12.75" x14ac:dyDescent="0.2">
      <c r="B9951" s="1168"/>
    </row>
    <row r="9952" spans="2:2" s="221" customFormat="1" ht="12.75" x14ac:dyDescent="0.2">
      <c r="B9952" s="1168"/>
    </row>
    <row r="9953" spans="2:2" s="221" customFormat="1" ht="12.75" x14ac:dyDescent="0.2">
      <c r="B9953" s="1168"/>
    </row>
    <row r="9954" spans="2:2" s="221" customFormat="1" ht="12.75" x14ac:dyDescent="0.2">
      <c r="B9954" s="1168"/>
    </row>
    <row r="9955" spans="2:2" s="221" customFormat="1" ht="12.75" x14ac:dyDescent="0.2">
      <c r="B9955" s="1168"/>
    </row>
    <row r="9956" spans="2:2" s="221" customFormat="1" ht="12.75" x14ac:dyDescent="0.2">
      <c r="B9956" s="1168"/>
    </row>
    <row r="9957" spans="2:2" s="221" customFormat="1" ht="12.75" x14ac:dyDescent="0.2">
      <c r="B9957" s="1168"/>
    </row>
    <row r="9958" spans="2:2" s="221" customFormat="1" ht="12.75" x14ac:dyDescent="0.2">
      <c r="B9958" s="1168"/>
    </row>
    <row r="9959" spans="2:2" s="221" customFormat="1" ht="12.75" x14ac:dyDescent="0.2">
      <c r="B9959" s="1168"/>
    </row>
    <row r="9960" spans="2:2" s="221" customFormat="1" ht="12.75" x14ac:dyDescent="0.2">
      <c r="B9960" s="1168"/>
    </row>
    <row r="9961" spans="2:2" s="221" customFormat="1" ht="12.75" x14ac:dyDescent="0.2">
      <c r="B9961" s="1168"/>
    </row>
    <row r="9962" spans="2:2" s="221" customFormat="1" ht="12.75" x14ac:dyDescent="0.2">
      <c r="B9962" s="1168"/>
    </row>
    <row r="9963" spans="2:2" s="221" customFormat="1" ht="12.75" x14ac:dyDescent="0.2">
      <c r="B9963" s="1168"/>
    </row>
    <row r="9964" spans="2:2" s="221" customFormat="1" ht="12.75" x14ac:dyDescent="0.2">
      <c r="B9964" s="1168"/>
    </row>
    <row r="9965" spans="2:2" s="221" customFormat="1" ht="12.75" x14ac:dyDescent="0.2">
      <c r="B9965" s="1168"/>
    </row>
    <row r="9966" spans="2:2" s="221" customFormat="1" ht="12.75" x14ac:dyDescent="0.2">
      <c r="B9966" s="1168"/>
    </row>
    <row r="9967" spans="2:2" s="221" customFormat="1" ht="12.75" x14ac:dyDescent="0.2">
      <c r="B9967" s="1168"/>
    </row>
    <row r="9968" spans="2:2" s="221" customFormat="1" ht="12.75" x14ac:dyDescent="0.2">
      <c r="B9968" s="1168"/>
    </row>
    <row r="9969" spans="2:2" s="221" customFormat="1" ht="12.75" x14ac:dyDescent="0.2">
      <c r="B9969" s="1168"/>
    </row>
    <row r="9970" spans="2:2" s="221" customFormat="1" ht="12.75" x14ac:dyDescent="0.2">
      <c r="B9970" s="1168"/>
    </row>
    <row r="9971" spans="2:2" s="221" customFormat="1" ht="12.75" x14ac:dyDescent="0.2">
      <c r="B9971" s="1168"/>
    </row>
    <row r="9972" spans="2:2" s="221" customFormat="1" ht="12.75" x14ac:dyDescent="0.2">
      <c r="B9972" s="1168"/>
    </row>
    <row r="9973" spans="2:2" s="221" customFormat="1" ht="12.75" x14ac:dyDescent="0.2">
      <c r="B9973" s="1168"/>
    </row>
    <row r="9974" spans="2:2" s="221" customFormat="1" ht="12.75" x14ac:dyDescent="0.2">
      <c r="B9974" s="1168"/>
    </row>
    <row r="9975" spans="2:2" s="221" customFormat="1" ht="12.75" x14ac:dyDescent="0.2">
      <c r="B9975" s="1168"/>
    </row>
    <row r="9976" spans="2:2" s="221" customFormat="1" ht="12.75" x14ac:dyDescent="0.2">
      <c r="B9976" s="1168"/>
    </row>
    <row r="9977" spans="2:2" s="221" customFormat="1" ht="12.75" x14ac:dyDescent="0.2">
      <c r="B9977" s="1168"/>
    </row>
    <row r="9978" spans="2:2" s="221" customFormat="1" ht="12.75" x14ac:dyDescent="0.2">
      <c r="B9978" s="1168"/>
    </row>
    <row r="9979" spans="2:2" s="221" customFormat="1" ht="12.75" x14ac:dyDescent="0.2">
      <c r="B9979" s="1168"/>
    </row>
    <row r="9980" spans="2:2" s="221" customFormat="1" ht="12.75" x14ac:dyDescent="0.2">
      <c r="B9980" s="1168"/>
    </row>
    <row r="9981" spans="2:2" s="221" customFormat="1" ht="12.75" x14ac:dyDescent="0.2">
      <c r="B9981" s="1168"/>
    </row>
    <row r="9982" spans="2:2" s="221" customFormat="1" ht="12.75" x14ac:dyDescent="0.2">
      <c r="B9982" s="1168"/>
    </row>
    <row r="9983" spans="2:2" s="221" customFormat="1" ht="12.75" x14ac:dyDescent="0.2">
      <c r="B9983" s="1168"/>
    </row>
    <row r="9984" spans="2:2" s="221" customFormat="1" ht="12.75" x14ac:dyDescent="0.2">
      <c r="B9984" s="1168"/>
    </row>
    <row r="9985" spans="2:2" s="221" customFormat="1" ht="12.75" x14ac:dyDescent="0.2">
      <c r="B9985" s="1168"/>
    </row>
    <row r="9986" spans="2:2" s="221" customFormat="1" ht="12.75" x14ac:dyDescent="0.2">
      <c r="B9986" s="1168"/>
    </row>
    <row r="9987" spans="2:2" s="221" customFormat="1" ht="12.75" x14ac:dyDescent="0.2">
      <c r="B9987" s="1168"/>
    </row>
    <row r="9988" spans="2:2" s="221" customFormat="1" ht="12.75" x14ac:dyDescent="0.2">
      <c r="B9988" s="1168"/>
    </row>
    <row r="9989" spans="2:2" s="221" customFormat="1" ht="12.75" x14ac:dyDescent="0.2">
      <c r="B9989" s="1168"/>
    </row>
    <row r="9990" spans="2:2" s="221" customFormat="1" ht="12.75" x14ac:dyDescent="0.2">
      <c r="B9990" s="1168"/>
    </row>
    <row r="9991" spans="2:2" s="221" customFormat="1" ht="12.75" x14ac:dyDescent="0.2">
      <c r="B9991" s="1168"/>
    </row>
    <row r="9992" spans="2:2" s="221" customFormat="1" ht="12.75" x14ac:dyDescent="0.2">
      <c r="B9992" s="1168"/>
    </row>
    <row r="9993" spans="2:2" s="221" customFormat="1" ht="12.75" x14ac:dyDescent="0.2">
      <c r="B9993" s="1168"/>
    </row>
    <row r="9994" spans="2:2" s="221" customFormat="1" ht="12.75" x14ac:dyDescent="0.2">
      <c r="B9994" s="1168"/>
    </row>
    <row r="9995" spans="2:2" s="221" customFormat="1" ht="12.75" x14ac:dyDescent="0.2">
      <c r="B9995" s="1168"/>
    </row>
    <row r="9996" spans="2:2" s="221" customFormat="1" ht="12.75" x14ac:dyDescent="0.2">
      <c r="B9996" s="1168"/>
    </row>
    <row r="9997" spans="2:2" s="221" customFormat="1" ht="12.75" x14ac:dyDescent="0.2">
      <c r="B9997" s="1168"/>
    </row>
    <row r="9998" spans="2:2" s="221" customFormat="1" ht="12.75" x14ac:dyDescent="0.2">
      <c r="B9998" s="1168"/>
    </row>
    <row r="9999" spans="2:2" s="221" customFormat="1" ht="12.75" x14ac:dyDescent="0.2">
      <c r="B9999" s="1168"/>
    </row>
    <row r="10000" spans="2:2" s="221" customFormat="1" ht="12.75" x14ac:dyDescent="0.2">
      <c r="B10000" s="1168"/>
    </row>
    <row r="10001" spans="2:2" s="221" customFormat="1" ht="12.75" x14ac:dyDescent="0.2">
      <c r="B10001" s="1168"/>
    </row>
    <row r="10002" spans="2:2" s="221" customFormat="1" ht="12.75" x14ac:dyDescent="0.2">
      <c r="B10002" s="1168"/>
    </row>
    <row r="10003" spans="2:2" s="221" customFormat="1" ht="12.75" x14ac:dyDescent="0.2">
      <c r="B10003" s="1168"/>
    </row>
    <row r="10004" spans="2:2" s="221" customFormat="1" ht="12.75" x14ac:dyDescent="0.2">
      <c r="B10004" s="1168"/>
    </row>
    <row r="10005" spans="2:2" s="221" customFormat="1" ht="12.75" x14ac:dyDescent="0.2">
      <c r="B10005" s="1168"/>
    </row>
    <row r="10006" spans="2:2" s="221" customFormat="1" ht="12.75" x14ac:dyDescent="0.2">
      <c r="B10006" s="1168"/>
    </row>
    <row r="10007" spans="2:2" s="221" customFormat="1" ht="12.75" x14ac:dyDescent="0.2">
      <c r="B10007" s="1168"/>
    </row>
    <row r="10008" spans="2:2" s="221" customFormat="1" ht="12.75" x14ac:dyDescent="0.2">
      <c r="B10008" s="1168"/>
    </row>
    <row r="10009" spans="2:2" s="221" customFormat="1" ht="12.75" x14ac:dyDescent="0.2">
      <c r="B10009" s="1168"/>
    </row>
    <row r="10010" spans="2:2" s="221" customFormat="1" ht="12.75" x14ac:dyDescent="0.2">
      <c r="B10010" s="1168"/>
    </row>
    <row r="10011" spans="2:2" s="221" customFormat="1" ht="12.75" x14ac:dyDescent="0.2">
      <c r="B10011" s="1168"/>
    </row>
    <row r="10012" spans="2:2" s="221" customFormat="1" ht="12.75" x14ac:dyDescent="0.2">
      <c r="B10012" s="1168"/>
    </row>
    <row r="10013" spans="2:2" s="221" customFormat="1" ht="12.75" x14ac:dyDescent="0.2">
      <c r="B10013" s="1168"/>
    </row>
    <row r="10014" spans="2:2" s="221" customFormat="1" ht="12.75" x14ac:dyDescent="0.2">
      <c r="B10014" s="1168"/>
    </row>
    <row r="10015" spans="2:2" s="221" customFormat="1" ht="12.75" x14ac:dyDescent="0.2">
      <c r="B10015" s="1168"/>
    </row>
    <row r="10016" spans="2:2" s="221" customFormat="1" ht="12.75" x14ac:dyDescent="0.2">
      <c r="B10016" s="1168"/>
    </row>
    <row r="10017" spans="2:2" s="221" customFormat="1" ht="12.75" x14ac:dyDescent="0.2">
      <c r="B10017" s="1168"/>
    </row>
    <row r="10018" spans="2:2" s="221" customFormat="1" ht="12.75" x14ac:dyDescent="0.2">
      <c r="B10018" s="1168"/>
    </row>
    <row r="10019" spans="2:2" s="221" customFormat="1" ht="12.75" x14ac:dyDescent="0.2">
      <c r="B10019" s="1168"/>
    </row>
    <row r="10020" spans="2:2" s="221" customFormat="1" ht="12.75" x14ac:dyDescent="0.2">
      <c r="B10020" s="1168"/>
    </row>
    <row r="10021" spans="2:2" s="221" customFormat="1" ht="12.75" x14ac:dyDescent="0.2">
      <c r="B10021" s="1168"/>
    </row>
    <row r="10022" spans="2:2" s="221" customFormat="1" ht="12.75" x14ac:dyDescent="0.2">
      <c r="B10022" s="1168"/>
    </row>
    <row r="10023" spans="2:2" s="221" customFormat="1" ht="12.75" x14ac:dyDescent="0.2">
      <c r="B10023" s="1168"/>
    </row>
    <row r="10024" spans="2:2" s="221" customFormat="1" ht="12.75" x14ac:dyDescent="0.2">
      <c r="B10024" s="1168"/>
    </row>
    <row r="10025" spans="2:2" s="221" customFormat="1" ht="12.75" x14ac:dyDescent="0.2">
      <c r="B10025" s="1168"/>
    </row>
    <row r="10026" spans="2:2" s="221" customFormat="1" ht="12.75" x14ac:dyDescent="0.2">
      <c r="B10026" s="1168"/>
    </row>
    <row r="10027" spans="2:2" s="221" customFormat="1" ht="12.75" x14ac:dyDescent="0.2">
      <c r="B10027" s="1168"/>
    </row>
    <row r="10028" spans="2:2" s="221" customFormat="1" ht="12.75" x14ac:dyDescent="0.2">
      <c r="B10028" s="1168"/>
    </row>
    <row r="10029" spans="2:2" s="221" customFormat="1" ht="12.75" x14ac:dyDescent="0.2">
      <c r="B10029" s="1168"/>
    </row>
    <row r="10030" spans="2:2" s="221" customFormat="1" ht="12.75" x14ac:dyDescent="0.2">
      <c r="B10030" s="1168"/>
    </row>
    <row r="10031" spans="2:2" s="221" customFormat="1" ht="12.75" x14ac:dyDescent="0.2">
      <c r="B10031" s="1168"/>
    </row>
    <row r="10032" spans="2:2" s="221" customFormat="1" ht="12.75" x14ac:dyDescent="0.2">
      <c r="B10032" s="1168"/>
    </row>
    <row r="10033" spans="2:2" s="221" customFormat="1" ht="12.75" x14ac:dyDescent="0.2">
      <c r="B10033" s="1168"/>
    </row>
    <row r="10034" spans="2:2" s="221" customFormat="1" ht="12.75" x14ac:dyDescent="0.2">
      <c r="B10034" s="1168"/>
    </row>
    <row r="10035" spans="2:2" s="221" customFormat="1" ht="12.75" x14ac:dyDescent="0.2">
      <c r="B10035" s="1168"/>
    </row>
    <row r="10036" spans="2:2" s="221" customFormat="1" ht="12.75" x14ac:dyDescent="0.2">
      <c r="B10036" s="1168"/>
    </row>
    <row r="10037" spans="2:2" s="221" customFormat="1" ht="12.75" x14ac:dyDescent="0.2">
      <c r="B10037" s="1168"/>
    </row>
    <row r="10038" spans="2:2" s="221" customFormat="1" ht="12.75" x14ac:dyDescent="0.2">
      <c r="B10038" s="1168"/>
    </row>
    <row r="10039" spans="2:2" s="221" customFormat="1" ht="12.75" x14ac:dyDescent="0.2">
      <c r="B10039" s="1168"/>
    </row>
    <row r="10040" spans="2:2" s="221" customFormat="1" ht="12.75" x14ac:dyDescent="0.2">
      <c r="B10040" s="1168"/>
    </row>
    <row r="10041" spans="2:2" s="221" customFormat="1" ht="12.75" x14ac:dyDescent="0.2">
      <c r="B10041" s="1168"/>
    </row>
    <row r="10042" spans="2:2" s="221" customFormat="1" ht="12.75" x14ac:dyDescent="0.2">
      <c r="B10042" s="1168"/>
    </row>
    <row r="10043" spans="2:2" s="221" customFormat="1" ht="12.75" x14ac:dyDescent="0.2">
      <c r="B10043" s="1168"/>
    </row>
    <row r="10044" spans="2:2" s="221" customFormat="1" ht="12.75" x14ac:dyDescent="0.2">
      <c r="B10044" s="1168"/>
    </row>
    <row r="10045" spans="2:2" s="221" customFormat="1" ht="12.75" x14ac:dyDescent="0.2">
      <c r="B10045" s="1168"/>
    </row>
    <row r="10046" spans="2:2" s="221" customFormat="1" ht="12.75" x14ac:dyDescent="0.2">
      <c r="B10046" s="1168"/>
    </row>
    <row r="10047" spans="2:2" s="221" customFormat="1" ht="12.75" x14ac:dyDescent="0.2">
      <c r="B10047" s="1168"/>
    </row>
    <row r="10048" spans="2:2" s="221" customFormat="1" ht="12.75" x14ac:dyDescent="0.2">
      <c r="B10048" s="1168"/>
    </row>
    <row r="10049" spans="2:2" s="221" customFormat="1" ht="12.75" x14ac:dyDescent="0.2">
      <c r="B10049" s="1168"/>
    </row>
    <row r="10050" spans="2:2" s="221" customFormat="1" ht="12.75" x14ac:dyDescent="0.2">
      <c r="B10050" s="1168"/>
    </row>
    <row r="10051" spans="2:2" s="221" customFormat="1" ht="12.75" x14ac:dyDescent="0.2">
      <c r="B10051" s="1168"/>
    </row>
    <row r="10052" spans="2:2" s="221" customFormat="1" ht="12.75" x14ac:dyDescent="0.2">
      <c r="B10052" s="1168"/>
    </row>
    <row r="10053" spans="2:2" s="221" customFormat="1" ht="12.75" x14ac:dyDescent="0.2">
      <c r="B10053" s="1168"/>
    </row>
    <row r="10054" spans="2:2" s="221" customFormat="1" ht="12.75" x14ac:dyDescent="0.2">
      <c r="B10054" s="1168"/>
    </row>
    <row r="10055" spans="2:2" s="221" customFormat="1" ht="12.75" x14ac:dyDescent="0.2">
      <c r="B10055" s="1168"/>
    </row>
    <row r="10056" spans="2:2" s="221" customFormat="1" ht="12.75" x14ac:dyDescent="0.2">
      <c r="B10056" s="1168"/>
    </row>
    <row r="10057" spans="2:2" s="221" customFormat="1" ht="12.75" x14ac:dyDescent="0.2">
      <c r="B10057" s="1168"/>
    </row>
    <row r="10058" spans="2:2" s="221" customFormat="1" ht="12.75" x14ac:dyDescent="0.2">
      <c r="B10058" s="1168"/>
    </row>
    <row r="10059" spans="2:2" s="221" customFormat="1" ht="12.75" x14ac:dyDescent="0.2">
      <c r="B10059" s="1168"/>
    </row>
    <row r="10060" spans="2:2" s="221" customFormat="1" ht="12.75" x14ac:dyDescent="0.2">
      <c r="B10060" s="1168"/>
    </row>
    <row r="10061" spans="2:2" s="221" customFormat="1" ht="12.75" x14ac:dyDescent="0.2">
      <c r="B10061" s="1168"/>
    </row>
    <row r="10062" spans="2:2" s="221" customFormat="1" ht="12.75" x14ac:dyDescent="0.2">
      <c r="B10062" s="1168"/>
    </row>
    <row r="10063" spans="2:2" s="221" customFormat="1" ht="12.75" x14ac:dyDescent="0.2">
      <c r="B10063" s="1168"/>
    </row>
    <row r="10064" spans="2:2" s="221" customFormat="1" ht="12.75" x14ac:dyDescent="0.2">
      <c r="B10064" s="1168"/>
    </row>
    <row r="10065" spans="2:2" s="221" customFormat="1" ht="12.75" x14ac:dyDescent="0.2">
      <c r="B10065" s="1168"/>
    </row>
    <row r="10066" spans="2:2" s="221" customFormat="1" ht="12.75" x14ac:dyDescent="0.2">
      <c r="B10066" s="1168"/>
    </row>
    <row r="10067" spans="2:2" s="221" customFormat="1" ht="12.75" x14ac:dyDescent="0.2">
      <c r="B10067" s="1168"/>
    </row>
    <row r="10068" spans="2:2" s="221" customFormat="1" ht="12.75" x14ac:dyDescent="0.2">
      <c r="B10068" s="1168"/>
    </row>
    <row r="10069" spans="2:2" s="221" customFormat="1" ht="12.75" x14ac:dyDescent="0.2">
      <c r="B10069" s="1168"/>
    </row>
    <row r="10070" spans="2:2" s="221" customFormat="1" ht="12.75" x14ac:dyDescent="0.2">
      <c r="B10070" s="1168"/>
    </row>
    <row r="10071" spans="2:2" s="221" customFormat="1" ht="12.75" x14ac:dyDescent="0.2">
      <c r="B10071" s="1168"/>
    </row>
    <row r="10072" spans="2:2" s="221" customFormat="1" ht="12.75" x14ac:dyDescent="0.2">
      <c r="B10072" s="1168"/>
    </row>
    <row r="10073" spans="2:2" s="221" customFormat="1" ht="12.75" x14ac:dyDescent="0.2">
      <c r="B10073" s="1168"/>
    </row>
    <row r="10074" spans="2:2" s="221" customFormat="1" ht="12.75" x14ac:dyDescent="0.2">
      <c r="B10074" s="1168"/>
    </row>
    <row r="10075" spans="2:2" s="221" customFormat="1" ht="12.75" x14ac:dyDescent="0.2">
      <c r="B10075" s="1168"/>
    </row>
    <row r="10076" spans="2:2" s="221" customFormat="1" ht="12.75" x14ac:dyDescent="0.2">
      <c r="B10076" s="1168"/>
    </row>
    <row r="10077" spans="2:2" s="221" customFormat="1" ht="12.75" x14ac:dyDescent="0.2">
      <c r="B10077" s="1168"/>
    </row>
    <row r="10078" spans="2:2" s="221" customFormat="1" ht="12.75" x14ac:dyDescent="0.2">
      <c r="B10078" s="1168"/>
    </row>
    <row r="10079" spans="2:2" s="221" customFormat="1" ht="12.75" x14ac:dyDescent="0.2">
      <c r="B10079" s="1168"/>
    </row>
    <row r="10080" spans="2:2" s="221" customFormat="1" ht="12.75" x14ac:dyDescent="0.2">
      <c r="B10080" s="1168"/>
    </row>
    <row r="10081" spans="2:2" s="221" customFormat="1" ht="12.75" x14ac:dyDescent="0.2">
      <c r="B10081" s="1168"/>
    </row>
    <row r="10082" spans="2:2" s="221" customFormat="1" ht="12.75" x14ac:dyDescent="0.2">
      <c r="B10082" s="1168"/>
    </row>
    <row r="10083" spans="2:2" s="221" customFormat="1" ht="12.75" x14ac:dyDescent="0.2">
      <c r="B10083" s="1168"/>
    </row>
    <row r="10084" spans="2:2" s="221" customFormat="1" ht="12.75" x14ac:dyDescent="0.2">
      <c r="B10084" s="1168"/>
    </row>
    <row r="10085" spans="2:2" s="221" customFormat="1" ht="12.75" x14ac:dyDescent="0.2">
      <c r="B10085" s="1168"/>
    </row>
    <row r="10086" spans="2:2" s="221" customFormat="1" ht="12.75" x14ac:dyDescent="0.2">
      <c r="B10086" s="1168"/>
    </row>
    <row r="10087" spans="2:2" s="221" customFormat="1" ht="12.75" x14ac:dyDescent="0.2">
      <c r="B10087" s="1168"/>
    </row>
    <row r="10088" spans="2:2" s="221" customFormat="1" ht="12.75" x14ac:dyDescent="0.2">
      <c r="B10088" s="1168"/>
    </row>
    <row r="10089" spans="2:2" s="221" customFormat="1" ht="12.75" x14ac:dyDescent="0.2">
      <c r="B10089" s="1168"/>
    </row>
    <row r="10090" spans="2:2" s="221" customFormat="1" ht="12.75" x14ac:dyDescent="0.2">
      <c r="B10090" s="1168"/>
    </row>
    <row r="10091" spans="2:2" s="221" customFormat="1" ht="12.75" x14ac:dyDescent="0.2">
      <c r="B10091" s="1168"/>
    </row>
    <row r="10092" spans="2:2" s="221" customFormat="1" ht="12.75" x14ac:dyDescent="0.2">
      <c r="B10092" s="1168"/>
    </row>
    <row r="10093" spans="2:2" s="221" customFormat="1" ht="12.75" x14ac:dyDescent="0.2">
      <c r="B10093" s="1168"/>
    </row>
    <row r="10094" spans="2:2" s="221" customFormat="1" ht="12.75" x14ac:dyDescent="0.2">
      <c r="B10094" s="1168"/>
    </row>
    <row r="10095" spans="2:2" s="221" customFormat="1" ht="12.75" x14ac:dyDescent="0.2">
      <c r="B10095" s="1168"/>
    </row>
    <row r="10096" spans="2:2" s="221" customFormat="1" ht="12.75" x14ac:dyDescent="0.2">
      <c r="B10096" s="1168"/>
    </row>
    <row r="10097" spans="2:2" s="221" customFormat="1" ht="12.75" x14ac:dyDescent="0.2">
      <c r="B10097" s="1168"/>
    </row>
    <row r="10098" spans="2:2" s="221" customFormat="1" ht="12.75" x14ac:dyDescent="0.2">
      <c r="B10098" s="1168"/>
    </row>
    <row r="10099" spans="2:2" s="221" customFormat="1" ht="12.75" x14ac:dyDescent="0.2">
      <c r="B10099" s="1168"/>
    </row>
    <row r="10100" spans="2:2" s="221" customFormat="1" ht="12.75" x14ac:dyDescent="0.2">
      <c r="B10100" s="1168"/>
    </row>
    <row r="10101" spans="2:2" s="221" customFormat="1" ht="12.75" x14ac:dyDescent="0.2">
      <c r="B10101" s="1168"/>
    </row>
    <row r="10102" spans="2:2" s="221" customFormat="1" ht="12.75" x14ac:dyDescent="0.2">
      <c r="B10102" s="1168"/>
    </row>
    <row r="10103" spans="2:2" s="221" customFormat="1" ht="12.75" x14ac:dyDescent="0.2">
      <c r="B10103" s="1168"/>
    </row>
    <row r="10104" spans="2:2" s="221" customFormat="1" ht="12.75" x14ac:dyDescent="0.2">
      <c r="B10104" s="1168"/>
    </row>
    <row r="10105" spans="2:2" s="221" customFormat="1" ht="12.75" x14ac:dyDescent="0.2">
      <c r="B10105" s="1168"/>
    </row>
    <row r="10106" spans="2:2" s="221" customFormat="1" ht="12.75" x14ac:dyDescent="0.2">
      <c r="B10106" s="1168"/>
    </row>
    <row r="10107" spans="2:2" s="221" customFormat="1" ht="12.75" x14ac:dyDescent="0.2">
      <c r="B10107" s="1168"/>
    </row>
    <row r="10108" spans="2:2" s="221" customFormat="1" ht="12.75" x14ac:dyDescent="0.2">
      <c r="B10108" s="1168"/>
    </row>
    <row r="10109" spans="2:2" s="221" customFormat="1" ht="12.75" x14ac:dyDescent="0.2">
      <c r="B10109" s="1168"/>
    </row>
    <row r="10110" spans="2:2" s="221" customFormat="1" ht="12.75" x14ac:dyDescent="0.2">
      <c r="B10110" s="1168"/>
    </row>
    <row r="10111" spans="2:2" s="221" customFormat="1" ht="12.75" x14ac:dyDescent="0.2">
      <c r="B10111" s="1168"/>
    </row>
    <row r="10112" spans="2:2" s="221" customFormat="1" ht="12.75" x14ac:dyDescent="0.2">
      <c r="B10112" s="1168"/>
    </row>
    <row r="10113" spans="2:2" s="221" customFormat="1" ht="12.75" x14ac:dyDescent="0.2">
      <c r="B10113" s="1168"/>
    </row>
    <row r="10114" spans="2:2" s="221" customFormat="1" ht="12.75" x14ac:dyDescent="0.2">
      <c r="B10114" s="1168"/>
    </row>
    <row r="10115" spans="2:2" s="221" customFormat="1" ht="12.75" x14ac:dyDescent="0.2">
      <c r="B10115" s="1168"/>
    </row>
    <row r="10116" spans="2:2" s="221" customFormat="1" ht="12.75" x14ac:dyDescent="0.2">
      <c r="B10116" s="1168"/>
    </row>
    <row r="10117" spans="2:2" s="221" customFormat="1" ht="12.75" x14ac:dyDescent="0.2">
      <c r="B10117" s="1168"/>
    </row>
    <row r="10118" spans="2:2" s="221" customFormat="1" ht="12.75" x14ac:dyDescent="0.2">
      <c r="B10118" s="1168"/>
    </row>
    <row r="10119" spans="2:2" s="221" customFormat="1" ht="12.75" x14ac:dyDescent="0.2">
      <c r="B10119" s="1168"/>
    </row>
    <row r="10120" spans="2:2" s="221" customFormat="1" ht="12.75" x14ac:dyDescent="0.2">
      <c r="B10120" s="1168"/>
    </row>
    <row r="10121" spans="2:2" s="221" customFormat="1" ht="12.75" x14ac:dyDescent="0.2">
      <c r="B10121" s="1168"/>
    </row>
    <row r="10122" spans="2:2" s="221" customFormat="1" ht="12.75" x14ac:dyDescent="0.2">
      <c r="B10122" s="1168"/>
    </row>
    <row r="10123" spans="2:2" s="221" customFormat="1" ht="12.75" x14ac:dyDescent="0.2">
      <c r="B10123" s="1168"/>
    </row>
    <row r="10124" spans="2:2" s="221" customFormat="1" ht="12.75" x14ac:dyDescent="0.2">
      <c r="B10124" s="1168"/>
    </row>
    <row r="10125" spans="2:2" s="221" customFormat="1" ht="12.75" x14ac:dyDescent="0.2">
      <c r="B10125" s="1168"/>
    </row>
    <row r="10126" spans="2:2" s="221" customFormat="1" ht="12.75" x14ac:dyDescent="0.2">
      <c r="B10126" s="1168"/>
    </row>
    <row r="10127" spans="2:2" s="221" customFormat="1" ht="12.75" x14ac:dyDescent="0.2">
      <c r="B10127" s="1168"/>
    </row>
    <row r="10128" spans="2:2" s="221" customFormat="1" ht="12.75" x14ac:dyDescent="0.2">
      <c r="B10128" s="1168"/>
    </row>
    <row r="10129" spans="2:2" s="221" customFormat="1" ht="12.75" x14ac:dyDescent="0.2">
      <c r="B10129" s="1168"/>
    </row>
    <row r="10130" spans="2:2" s="221" customFormat="1" ht="12.75" x14ac:dyDescent="0.2">
      <c r="B10130" s="1168"/>
    </row>
    <row r="10131" spans="2:2" s="221" customFormat="1" ht="12.75" x14ac:dyDescent="0.2">
      <c r="B10131" s="1168"/>
    </row>
    <row r="10132" spans="2:2" s="221" customFormat="1" ht="12.75" x14ac:dyDescent="0.2">
      <c r="B10132" s="1168"/>
    </row>
    <row r="10133" spans="2:2" s="221" customFormat="1" ht="12.75" x14ac:dyDescent="0.2">
      <c r="B10133" s="1168"/>
    </row>
    <row r="10134" spans="2:2" s="221" customFormat="1" ht="12.75" x14ac:dyDescent="0.2">
      <c r="B10134" s="1168"/>
    </row>
    <row r="10135" spans="2:2" s="221" customFormat="1" ht="12.75" x14ac:dyDescent="0.2">
      <c r="B10135" s="1168"/>
    </row>
    <row r="10136" spans="2:2" s="221" customFormat="1" ht="12.75" x14ac:dyDescent="0.2">
      <c r="B10136" s="1168"/>
    </row>
    <row r="10137" spans="2:2" s="221" customFormat="1" ht="12.75" x14ac:dyDescent="0.2">
      <c r="B10137" s="1168"/>
    </row>
    <row r="10138" spans="2:2" s="221" customFormat="1" ht="12.75" x14ac:dyDescent="0.2">
      <c r="B10138" s="1168"/>
    </row>
    <row r="10139" spans="2:2" s="221" customFormat="1" ht="12.75" x14ac:dyDescent="0.2">
      <c r="B10139" s="1168"/>
    </row>
    <row r="10140" spans="2:2" s="221" customFormat="1" ht="12.75" x14ac:dyDescent="0.2">
      <c r="B10140" s="1168"/>
    </row>
    <row r="10141" spans="2:2" s="221" customFormat="1" ht="12.75" x14ac:dyDescent="0.2">
      <c r="B10141" s="1168"/>
    </row>
    <row r="10142" spans="2:2" s="221" customFormat="1" ht="12.75" x14ac:dyDescent="0.2">
      <c r="B10142" s="1168"/>
    </row>
    <row r="10143" spans="2:2" s="221" customFormat="1" ht="12.75" x14ac:dyDescent="0.2">
      <c r="B10143" s="1168"/>
    </row>
    <row r="10144" spans="2:2" s="221" customFormat="1" ht="12.75" x14ac:dyDescent="0.2">
      <c r="B10144" s="1168"/>
    </row>
    <row r="10145" spans="2:2" s="221" customFormat="1" ht="12.75" x14ac:dyDescent="0.2">
      <c r="B10145" s="1168"/>
    </row>
    <row r="10146" spans="2:2" s="221" customFormat="1" ht="12.75" x14ac:dyDescent="0.2">
      <c r="B10146" s="1168"/>
    </row>
    <row r="10147" spans="2:2" s="221" customFormat="1" ht="12.75" x14ac:dyDescent="0.2">
      <c r="B10147" s="1168"/>
    </row>
    <row r="10148" spans="2:2" s="221" customFormat="1" ht="12.75" x14ac:dyDescent="0.2">
      <c r="B10148" s="1168"/>
    </row>
    <row r="10149" spans="2:2" s="221" customFormat="1" ht="12.75" x14ac:dyDescent="0.2">
      <c r="B10149" s="1168"/>
    </row>
    <row r="10150" spans="2:2" s="221" customFormat="1" ht="12.75" x14ac:dyDescent="0.2">
      <c r="B10150" s="1168"/>
    </row>
    <row r="10151" spans="2:2" s="221" customFormat="1" ht="12.75" x14ac:dyDescent="0.2">
      <c r="B10151" s="1168"/>
    </row>
    <row r="10152" spans="2:2" s="221" customFormat="1" ht="12.75" x14ac:dyDescent="0.2">
      <c r="B10152" s="1168"/>
    </row>
    <row r="10153" spans="2:2" s="221" customFormat="1" ht="12.75" x14ac:dyDescent="0.2">
      <c r="B10153" s="1168"/>
    </row>
    <row r="10154" spans="2:2" s="221" customFormat="1" ht="12.75" x14ac:dyDescent="0.2">
      <c r="B10154" s="1168"/>
    </row>
    <row r="10155" spans="2:2" s="221" customFormat="1" ht="12.75" x14ac:dyDescent="0.2">
      <c r="B10155" s="1168"/>
    </row>
    <row r="10156" spans="2:2" s="221" customFormat="1" ht="12.75" x14ac:dyDescent="0.2">
      <c r="B10156" s="1168"/>
    </row>
    <row r="10157" spans="2:2" s="221" customFormat="1" ht="12.75" x14ac:dyDescent="0.2">
      <c r="B10157" s="1168"/>
    </row>
    <row r="10158" spans="2:2" s="221" customFormat="1" ht="12.75" x14ac:dyDescent="0.2">
      <c r="B10158" s="1168"/>
    </row>
    <row r="10159" spans="2:2" s="221" customFormat="1" ht="12.75" x14ac:dyDescent="0.2">
      <c r="B10159" s="1168"/>
    </row>
    <row r="10160" spans="2:2" s="221" customFormat="1" ht="12.75" x14ac:dyDescent="0.2">
      <c r="B10160" s="1168"/>
    </row>
    <row r="10161" spans="2:2" s="221" customFormat="1" ht="12.75" x14ac:dyDescent="0.2">
      <c r="B10161" s="1168"/>
    </row>
    <row r="10162" spans="2:2" s="221" customFormat="1" ht="12.75" x14ac:dyDescent="0.2">
      <c r="B10162" s="1168"/>
    </row>
    <row r="10163" spans="2:2" s="221" customFormat="1" ht="12.75" x14ac:dyDescent="0.2">
      <c r="B10163" s="1168"/>
    </row>
    <row r="10164" spans="2:2" s="221" customFormat="1" ht="12.75" x14ac:dyDescent="0.2">
      <c r="B10164" s="1168"/>
    </row>
    <row r="10165" spans="2:2" s="221" customFormat="1" ht="12.75" x14ac:dyDescent="0.2">
      <c r="B10165" s="1168"/>
    </row>
    <row r="10166" spans="2:2" s="221" customFormat="1" ht="12.75" x14ac:dyDescent="0.2">
      <c r="B10166" s="1168"/>
    </row>
    <row r="10167" spans="2:2" s="221" customFormat="1" ht="12.75" x14ac:dyDescent="0.2">
      <c r="B10167" s="1168"/>
    </row>
    <row r="10168" spans="2:2" s="221" customFormat="1" ht="12.75" x14ac:dyDescent="0.2">
      <c r="B10168" s="1168"/>
    </row>
    <row r="10169" spans="2:2" s="221" customFormat="1" ht="12.75" x14ac:dyDescent="0.2">
      <c r="B10169" s="1168"/>
    </row>
    <row r="10170" spans="2:2" s="221" customFormat="1" ht="12.75" x14ac:dyDescent="0.2">
      <c r="B10170" s="1168"/>
    </row>
    <row r="10171" spans="2:2" s="221" customFormat="1" ht="12.75" x14ac:dyDescent="0.2">
      <c r="B10171" s="1168"/>
    </row>
    <row r="10172" spans="2:2" s="221" customFormat="1" ht="12.75" x14ac:dyDescent="0.2">
      <c r="B10172" s="1168"/>
    </row>
    <row r="10173" spans="2:2" s="221" customFormat="1" ht="12.75" x14ac:dyDescent="0.2">
      <c r="B10173" s="1168"/>
    </row>
    <row r="10174" spans="2:2" s="221" customFormat="1" ht="12.75" x14ac:dyDescent="0.2">
      <c r="B10174" s="1168"/>
    </row>
    <row r="10175" spans="2:2" s="221" customFormat="1" ht="12.75" x14ac:dyDescent="0.2">
      <c r="B10175" s="1168"/>
    </row>
    <row r="10176" spans="2:2" s="221" customFormat="1" ht="12.75" x14ac:dyDescent="0.2">
      <c r="B10176" s="1168"/>
    </row>
    <row r="10177" spans="2:2" s="221" customFormat="1" ht="12.75" x14ac:dyDescent="0.2">
      <c r="B10177" s="1168"/>
    </row>
    <row r="10178" spans="2:2" s="221" customFormat="1" ht="12.75" x14ac:dyDescent="0.2">
      <c r="B10178" s="1168"/>
    </row>
    <row r="10179" spans="2:2" s="221" customFormat="1" ht="12.75" x14ac:dyDescent="0.2">
      <c r="B10179" s="1168"/>
    </row>
    <row r="10180" spans="2:2" s="221" customFormat="1" ht="12.75" x14ac:dyDescent="0.2">
      <c r="B10180" s="1168"/>
    </row>
    <row r="10181" spans="2:2" s="221" customFormat="1" ht="12.75" x14ac:dyDescent="0.2">
      <c r="B10181" s="1168"/>
    </row>
    <row r="10182" spans="2:2" s="221" customFormat="1" ht="12.75" x14ac:dyDescent="0.2">
      <c r="B10182" s="1168"/>
    </row>
    <row r="10183" spans="2:2" s="221" customFormat="1" ht="12.75" x14ac:dyDescent="0.2">
      <c r="B10183" s="1168"/>
    </row>
    <row r="10184" spans="2:2" s="221" customFormat="1" ht="12.75" x14ac:dyDescent="0.2">
      <c r="B10184" s="1168"/>
    </row>
    <row r="10185" spans="2:2" s="221" customFormat="1" ht="12.75" x14ac:dyDescent="0.2">
      <c r="B10185" s="1168"/>
    </row>
    <row r="10186" spans="2:2" s="221" customFormat="1" ht="12.75" x14ac:dyDescent="0.2">
      <c r="B10186" s="1168"/>
    </row>
    <row r="10187" spans="2:2" s="221" customFormat="1" ht="12.75" x14ac:dyDescent="0.2">
      <c r="B10187" s="1168"/>
    </row>
    <row r="10188" spans="2:2" s="221" customFormat="1" ht="12.75" x14ac:dyDescent="0.2">
      <c r="B10188" s="1168"/>
    </row>
    <row r="10189" spans="2:2" s="221" customFormat="1" ht="12.75" x14ac:dyDescent="0.2">
      <c r="B10189" s="1168"/>
    </row>
    <row r="10190" spans="2:2" s="221" customFormat="1" ht="12.75" x14ac:dyDescent="0.2">
      <c r="B10190" s="1168"/>
    </row>
    <row r="10191" spans="2:2" s="221" customFormat="1" ht="12.75" x14ac:dyDescent="0.2">
      <c r="B10191" s="1168"/>
    </row>
    <row r="10192" spans="2:2" s="221" customFormat="1" ht="12.75" x14ac:dyDescent="0.2">
      <c r="B10192" s="1168"/>
    </row>
    <row r="10193" spans="2:2" s="221" customFormat="1" ht="12.75" x14ac:dyDescent="0.2">
      <c r="B10193" s="1168"/>
    </row>
    <row r="10194" spans="2:2" s="221" customFormat="1" ht="12.75" x14ac:dyDescent="0.2">
      <c r="B10194" s="1168"/>
    </row>
    <row r="10195" spans="2:2" s="221" customFormat="1" ht="12.75" x14ac:dyDescent="0.2">
      <c r="B10195" s="1168"/>
    </row>
    <row r="10196" spans="2:2" s="221" customFormat="1" ht="12.75" x14ac:dyDescent="0.2">
      <c r="B10196" s="1168"/>
    </row>
    <row r="10197" spans="2:2" s="221" customFormat="1" ht="12.75" x14ac:dyDescent="0.2">
      <c r="B10197" s="1168"/>
    </row>
    <row r="10198" spans="2:2" s="221" customFormat="1" ht="12.75" x14ac:dyDescent="0.2">
      <c r="B10198" s="1168"/>
    </row>
    <row r="10199" spans="2:2" s="221" customFormat="1" ht="12.75" x14ac:dyDescent="0.2">
      <c r="B10199" s="1168"/>
    </row>
    <row r="10200" spans="2:2" s="221" customFormat="1" ht="12.75" x14ac:dyDescent="0.2">
      <c r="B10200" s="1168"/>
    </row>
    <row r="10201" spans="2:2" s="221" customFormat="1" ht="12.75" x14ac:dyDescent="0.2">
      <c r="B10201" s="1168"/>
    </row>
    <row r="10202" spans="2:2" s="221" customFormat="1" ht="12.75" x14ac:dyDescent="0.2">
      <c r="B10202" s="1168"/>
    </row>
    <row r="10203" spans="2:2" s="221" customFormat="1" ht="12.75" x14ac:dyDescent="0.2">
      <c r="B10203" s="1168"/>
    </row>
    <row r="10204" spans="2:2" s="221" customFormat="1" ht="12.75" x14ac:dyDescent="0.2">
      <c r="B10204" s="1168"/>
    </row>
    <row r="10205" spans="2:2" s="221" customFormat="1" ht="12.75" x14ac:dyDescent="0.2">
      <c r="B10205" s="1168"/>
    </row>
    <row r="10206" spans="2:2" s="221" customFormat="1" ht="12.75" x14ac:dyDescent="0.2">
      <c r="B10206" s="1168"/>
    </row>
    <row r="10207" spans="2:2" s="221" customFormat="1" ht="12.75" x14ac:dyDescent="0.2">
      <c r="B10207" s="1168"/>
    </row>
    <row r="10208" spans="2:2" s="221" customFormat="1" ht="12.75" x14ac:dyDescent="0.2">
      <c r="B10208" s="1168"/>
    </row>
    <row r="10209" spans="2:2" s="221" customFormat="1" ht="12.75" x14ac:dyDescent="0.2">
      <c r="B10209" s="1168"/>
    </row>
    <row r="10210" spans="2:2" s="221" customFormat="1" ht="12.75" x14ac:dyDescent="0.2">
      <c r="B10210" s="1168"/>
    </row>
    <row r="10211" spans="2:2" s="221" customFormat="1" ht="12.75" x14ac:dyDescent="0.2">
      <c r="B10211" s="1168"/>
    </row>
    <row r="10212" spans="2:2" s="221" customFormat="1" ht="12.75" x14ac:dyDescent="0.2">
      <c r="B10212" s="1168"/>
    </row>
    <row r="10213" spans="2:2" s="221" customFormat="1" ht="12.75" x14ac:dyDescent="0.2">
      <c r="B10213" s="1168"/>
    </row>
    <row r="10214" spans="2:2" s="221" customFormat="1" ht="12.75" x14ac:dyDescent="0.2">
      <c r="B10214" s="1168"/>
    </row>
    <row r="10215" spans="2:2" s="221" customFormat="1" ht="12.75" x14ac:dyDescent="0.2">
      <c r="B10215" s="1168"/>
    </row>
    <row r="10216" spans="2:2" s="221" customFormat="1" ht="12.75" x14ac:dyDescent="0.2">
      <c r="B10216" s="1168"/>
    </row>
    <row r="10217" spans="2:2" s="221" customFormat="1" ht="12.75" x14ac:dyDescent="0.2">
      <c r="B10217" s="1168"/>
    </row>
    <row r="10218" spans="2:2" s="221" customFormat="1" ht="12.75" x14ac:dyDescent="0.2">
      <c r="B10218" s="1168"/>
    </row>
    <row r="10219" spans="2:2" s="221" customFormat="1" ht="12.75" x14ac:dyDescent="0.2">
      <c r="B10219" s="1168"/>
    </row>
    <row r="10220" spans="2:2" s="221" customFormat="1" ht="12.75" x14ac:dyDescent="0.2">
      <c r="B10220" s="1168"/>
    </row>
    <row r="10221" spans="2:2" s="221" customFormat="1" ht="12.75" x14ac:dyDescent="0.2">
      <c r="B10221" s="1168"/>
    </row>
    <row r="10222" spans="2:2" s="221" customFormat="1" ht="12.75" x14ac:dyDescent="0.2">
      <c r="B10222" s="1168"/>
    </row>
    <row r="10223" spans="2:2" s="221" customFormat="1" ht="12.75" x14ac:dyDescent="0.2">
      <c r="B10223" s="1168"/>
    </row>
    <row r="10224" spans="2:2" s="221" customFormat="1" ht="12.75" x14ac:dyDescent="0.2">
      <c r="B10224" s="1168"/>
    </row>
    <row r="10225" spans="2:2" s="221" customFormat="1" ht="12.75" x14ac:dyDescent="0.2">
      <c r="B10225" s="1168"/>
    </row>
    <row r="10226" spans="2:2" s="221" customFormat="1" ht="12.75" x14ac:dyDescent="0.2">
      <c r="B10226" s="1168"/>
    </row>
    <row r="10227" spans="2:2" s="221" customFormat="1" ht="12.75" x14ac:dyDescent="0.2">
      <c r="B10227" s="1168"/>
    </row>
    <row r="10228" spans="2:2" s="221" customFormat="1" ht="12.75" x14ac:dyDescent="0.2">
      <c r="B10228" s="1168"/>
    </row>
    <row r="10229" spans="2:2" s="221" customFormat="1" ht="12.75" x14ac:dyDescent="0.2">
      <c r="B10229" s="1168"/>
    </row>
    <row r="10230" spans="2:2" s="221" customFormat="1" ht="12.75" x14ac:dyDescent="0.2">
      <c r="B10230" s="1168"/>
    </row>
    <row r="10231" spans="2:2" s="221" customFormat="1" ht="12.75" x14ac:dyDescent="0.2">
      <c r="B10231" s="1168"/>
    </row>
    <row r="10232" spans="2:2" s="221" customFormat="1" ht="12.75" x14ac:dyDescent="0.2">
      <c r="B10232" s="1168"/>
    </row>
    <row r="10233" spans="2:2" s="221" customFormat="1" ht="12.75" x14ac:dyDescent="0.2">
      <c r="B10233" s="1168"/>
    </row>
    <row r="10234" spans="2:2" s="221" customFormat="1" ht="12.75" x14ac:dyDescent="0.2">
      <c r="B10234" s="1168"/>
    </row>
    <row r="10235" spans="2:2" s="221" customFormat="1" ht="12.75" x14ac:dyDescent="0.2">
      <c r="B10235" s="1168"/>
    </row>
    <row r="10236" spans="2:2" s="221" customFormat="1" ht="12.75" x14ac:dyDescent="0.2">
      <c r="B10236" s="1168"/>
    </row>
    <row r="10237" spans="2:2" s="221" customFormat="1" ht="12.75" x14ac:dyDescent="0.2">
      <c r="B10237" s="1168"/>
    </row>
    <row r="10238" spans="2:2" s="221" customFormat="1" ht="12.75" x14ac:dyDescent="0.2">
      <c r="B10238" s="1168"/>
    </row>
    <row r="10239" spans="2:2" s="221" customFormat="1" ht="12.75" x14ac:dyDescent="0.2">
      <c r="B10239" s="1168"/>
    </row>
    <row r="10240" spans="2:2" s="221" customFormat="1" ht="12.75" x14ac:dyDescent="0.2">
      <c r="B10240" s="1168"/>
    </row>
    <row r="10241" spans="2:2" s="221" customFormat="1" ht="12.75" x14ac:dyDescent="0.2">
      <c r="B10241" s="1168"/>
    </row>
    <row r="10242" spans="2:2" s="221" customFormat="1" ht="12.75" x14ac:dyDescent="0.2">
      <c r="B10242" s="1168"/>
    </row>
    <row r="10243" spans="2:2" s="221" customFormat="1" ht="12.75" x14ac:dyDescent="0.2">
      <c r="B10243" s="1168"/>
    </row>
    <row r="10244" spans="2:2" s="221" customFormat="1" ht="12.75" x14ac:dyDescent="0.2">
      <c r="B10244" s="1168"/>
    </row>
    <row r="10245" spans="2:2" s="221" customFormat="1" ht="12.75" x14ac:dyDescent="0.2">
      <c r="B10245" s="1168"/>
    </row>
    <row r="10246" spans="2:2" s="221" customFormat="1" ht="12.75" x14ac:dyDescent="0.2">
      <c r="B10246" s="1168"/>
    </row>
    <row r="10247" spans="2:2" s="221" customFormat="1" ht="12.75" x14ac:dyDescent="0.2">
      <c r="B10247" s="1168"/>
    </row>
    <row r="10248" spans="2:2" s="221" customFormat="1" ht="12.75" x14ac:dyDescent="0.2">
      <c r="B10248" s="1168"/>
    </row>
    <row r="10249" spans="2:2" s="221" customFormat="1" ht="12.75" x14ac:dyDescent="0.2">
      <c r="B10249" s="1168"/>
    </row>
    <row r="10250" spans="2:2" s="221" customFormat="1" ht="12.75" x14ac:dyDescent="0.2">
      <c r="B10250" s="1168"/>
    </row>
    <row r="10251" spans="2:2" s="221" customFormat="1" ht="12.75" x14ac:dyDescent="0.2">
      <c r="B10251" s="1168"/>
    </row>
    <row r="10252" spans="2:2" s="221" customFormat="1" ht="12.75" x14ac:dyDescent="0.2">
      <c r="B10252" s="1168"/>
    </row>
    <row r="10253" spans="2:2" s="221" customFormat="1" ht="12.75" x14ac:dyDescent="0.2">
      <c r="B10253" s="1168"/>
    </row>
    <row r="10254" spans="2:2" s="221" customFormat="1" ht="12.75" x14ac:dyDescent="0.2">
      <c r="B10254" s="1168"/>
    </row>
    <row r="10255" spans="2:2" s="221" customFormat="1" ht="12.75" x14ac:dyDescent="0.2">
      <c r="B10255" s="1168"/>
    </row>
    <row r="10256" spans="2:2" s="221" customFormat="1" ht="12.75" x14ac:dyDescent="0.2">
      <c r="B10256" s="1168"/>
    </row>
    <row r="10257" spans="2:2" s="221" customFormat="1" ht="12.75" x14ac:dyDescent="0.2">
      <c r="B10257" s="1168"/>
    </row>
    <row r="10258" spans="2:2" s="221" customFormat="1" ht="12.75" x14ac:dyDescent="0.2">
      <c r="B10258" s="1168"/>
    </row>
    <row r="10259" spans="2:2" s="221" customFormat="1" ht="12.75" x14ac:dyDescent="0.2">
      <c r="B10259" s="1168"/>
    </row>
    <row r="10260" spans="2:2" s="221" customFormat="1" ht="12.75" x14ac:dyDescent="0.2">
      <c r="B10260" s="1168"/>
    </row>
    <row r="10261" spans="2:2" s="221" customFormat="1" ht="12.75" x14ac:dyDescent="0.2">
      <c r="B10261" s="1168"/>
    </row>
    <row r="10262" spans="2:2" s="221" customFormat="1" ht="12.75" x14ac:dyDescent="0.2">
      <c r="B10262" s="1168"/>
    </row>
    <row r="10263" spans="2:2" s="221" customFormat="1" ht="12.75" x14ac:dyDescent="0.2">
      <c r="B10263" s="1168"/>
    </row>
    <row r="10264" spans="2:2" s="221" customFormat="1" ht="12.75" x14ac:dyDescent="0.2">
      <c r="B10264" s="1168"/>
    </row>
    <row r="10265" spans="2:2" s="221" customFormat="1" ht="12.75" x14ac:dyDescent="0.2">
      <c r="B10265" s="1168"/>
    </row>
    <row r="10266" spans="2:2" s="221" customFormat="1" ht="12.75" x14ac:dyDescent="0.2">
      <c r="B10266" s="1168"/>
    </row>
    <row r="10267" spans="2:2" s="221" customFormat="1" ht="12.75" x14ac:dyDescent="0.2">
      <c r="B10267" s="1168"/>
    </row>
    <row r="10268" spans="2:2" s="221" customFormat="1" ht="12.75" x14ac:dyDescent="0.2">
      <c r="B10268" s="1168"/>
    </row>
    <row r="10269" spans="2:2" s="221" customFormat="1" ht="12.75" x14ac:dyDescent="0.2">
      <c r="B10269" s="1168"/>
    </row>
    <row r="10270" spans="2:2" s="221" customFormat="1" ht="12.75" x14ac:dyDescent="0.2">
      <c r="B10270" s="1168"/>
    </row>
    <row r="10271" spans="2:2" s="221" customFormat="1" ht="12.75" x14ac:dyDescent="0.2">
      <c r="B10271" s="1168"/>
    </row>
    <row r="10272" spans="2:2" s="221" customFormat="1" ht="12.75" x14ac:dyDescent="0.2">
      <c r="B10272" s="1168"/>
    </row>
    <row r="10273" spans="2:2" s="221" customFormat="1" ht="12.75" x14ac:dyDescent="0.2">
      <c r="B10273" s="1168"/>
    </row>
    <row r="10274" spans="2:2" s="221" customFormat="1" ht="12.75" x14ac:dyDescent="0.2">
      <c r="B10274" s="1168"/>
    </row>
    <row r="10275" spans="2:2" s="221" customFormat="1" ht="12.75" x14ac:dyDescent="0.2">
      <c r="B10275" s="1168"/>
    </row>
    <row r="10276" spans="2:2" s="221" customFormat="1" ht="12.75" x14ac:dyDescent="0.2">
      <c r="B10276" s="1168"/>
    </row>
    <row r="10277" spans="2:2" s="221" customFormat="1" ht="12.75" x14ac:dyDescent="0.2">
      <c r="B10277" s="1168"/>
    </row>
    <row r="10278" spans="2:2" s="221" customFormat="1" ht="12.75" x14ac:dyDescent="0.2">
      <c r="B10278" s="1168"/>
    </row>
    <row r="10279" spans="2:2" s="221" customFormat="1" ht="12.75" x14ac:dyDescent="0.2">
      <c r="B10279" s="1168"/>
    </row>
    <row r="10280" spans="2:2" s="221" customFormat="1" ht="12.75" x14ac:dyDescent="0.2">
      <c r="B10280" s="1168"/>
    </row>
    <row r="10281" spans="2:2" s="221" customFormat="1" ht="12.75" x14ac:dyDescent="0.2">
      <c r="B10281" s="1168"/>
    </row>
    <row r="10282" spans="2:2" s="221" customFormat="1" ht="12.75" x14ac:dyDescent="0.2">
      <c r="B10282" s="1168"/>
    </row>
    <row r="10283" spans="2:2" s="221" customFormat="1" ht="12.75" x14ac:dyDescent="0.2">
      <c r="B10283" s="1168"/>
    </row>
    <row r="10284" spans="2:2" s="221" customFormat="1" ht="12.75" x14ac:dyDescent="0.2">
      <c r="B10284" s="1168"/>
    </row>
    <row r="10285" spans="2:2" s="221" customFormat="1" ht="12.75" x14ac:dyDescent="0.2">
      <c r="B10285" s="1168"/>
    </row>
    <row r="10286" spans="2:2" s="221" customFormat="1" ht="12.75" x14ac:dyDescent="0.2">
      <c r="B10286" s="1168"/>
    </row>
    <row r="10287" spans="2:2" s="221" customFormat="1" ht="12.75" x14ac:dyDescent="0.2">
      <c r="B10287" s="1168"/>
    </row>
    <row r="10288" spans="2:2" s="221" customFormat="1" ht="12.75" x14ac:dyDescent="0.2">
      <c r="B10288" s="1168"/>
    </row>
    <row r="10289" spans="2:2" s="221" customFormat="1" ht="12.75" x14ac:dyDescent="0.2">
      <c r="B10289" s="1168"/>
    </row>
    <row r="10290" spans="2:2" s="221" customFormat="1" ht="12.75" x14ac:dyDescent="0.2">
      <c r="B10290" s="1168"/>
    </row>
    <row r="10291" spans="2:2" s="221" customFormat="1" ht="12.75" x14ac:dyDescent="0.2">
      <c r="B10291" s="1168"/>
    </row>
    <row r="10292" spans="2:2" s="221" customFormat="1" ht="12.75" x14ac:dyDescent="0.2">
      <c r="B10292" s="1168"/>
    </row>
    <row r="10293" spans="2:2" s="221" customFormat="1" ht="12.75" x14ac:dyDescent="0.2">
      <c r="B10293" s="1168"/>
    </row>
    <row r="10294" spans="2:2" s="221" customFormat="1" ht="12.75" x14ac:dyDescent="0.2">
      <c r="B10294" s="1168"/>
    </row>
    <row r="10295" spans="2:2" s="221" customFormat="1" ht="12.75" x14ac:dyDescent="0.2">
      <c r="B10295" s="1168"/>
    </row>
    <row r="10296" spans="2:2" s="221" customFormat="1" ht="12.75" x14ac:dyDescent="0.2">
      <c r="B10296" s="1168"/>
    </row>
    <row r="10297" spans="2:2" s="221" customFormat="1" ht="12.75" x14ac:dyDescent="0.2">
      <c r="B10297" s="1168"/>
    </row>
    <row r="10298" spans="2:2" s="221" customFormat="1" ht="12.75" x14ac:dyDescent="0.2">
      <c r="B10298" s="1168"/>
    </row>
    <row r="10299" spans="2:2" s="221" customFormat="1" ht="12.75" x14ac:dyDescent="0.2">
      <c r="B10299" s="1168"/>
    </row>
    <row r="10300" spans="2:2" s="221" customFormat="1" ht="12.75" x14ac:dyDescent="0.2">
      <c r="B10300" s="1168"/>
    </row>
    <row r="10301" spans="2:2" s="221" customFormat="1" ht="12.75" x14ac:dyDescent="0.2">
      <c r="B10301" s="1168"/>
    </row>
    <row r="10302" spans="2:2" s="221" customFormat="1" ht="12.75" x14ac:dyDescent="0.2">
      <c r="B10302" s="1168"/>
    </row>
    <row r="10303" spans="2:2" s="221" customFormat="1" ht="12.75" x14ac:dyDescent="0.2">
      <c r="B10303" s="1168"/>
    </row>
    <row r="10304" spans="2:2" s="221" customFormat="1" ht="12.75" x14ac:dyDescent="0.2">
      <c r="B10304" s="1168"/>
    </row>
    <row r="10305" spans="2:2" s="221" customFormat="1" ht="12.75" x14ac:dyDescent="0.2">
      <c r="B10305" s="1168"/>
    </row>
    <row r="10306" spans="2:2" s="221" customFormat="1" ht="12.75" x14ac:dyDescent="0.2">
      <c r="B10306" s="1168"/>
    </row>
    <row r="10307" spans="2:2" s="221" customFormat="1" ht="12.75" x14ac:dyDescent="0.2">
      <c r="B10307" s="1168"/>
    </row>
    <row r="10308" spans="2:2" s="221" customFormat="1" ht="12.75" x14ac:dyDescent="0.2">
      <c r="B10308" s="1168"/>
    </row>
    <row r="10309" spans="2:2" s="221" customFormat="1" ht="12.75" x14ac:dyDescent="0.2">
      <c r="B10309" s="1168"/>
    </row>
    <row r="10310" spans="2:2" s="221" customFormat="1" ht="12.75" x14ac:dyDescent="0.2">
      <c r="B10310" s="1168"/>
    </row>
    <row r="10311" spans="2:2" s="221" customFormat="1" ht="12.75" x14ac:dyDescent="0.2">
      <c r="B10311" s="1168"/>
    </row>
    <row r="10312" spans="2:2" s="221" customFormat="1" ht="12.75" x14ac:dyDescent="0.2">
      <c r="B10312" s="1168"/>
    </row>
    <row r="10313" spans="2:2" s="221" customFormat="1" ht="12.75" x14ac:dyDescent="0.2">
      <c r="B10313" s="1168"/>
    </row>
    <row r="10314" spans="2:2" s="221" customFormat="1" ht="12.75" x14ac:dyDescent="0.2">
      <c r="B10314" s="1168"/>
    </row>
    <row r="10315" spans="2:2" s="221" customFormat="1" ht="12.75" x14ac:dyDescent="0.2">
      <c r="B10315" s="1168"/>
    </row>
    <row r="10316" spans="2:2" s="221" customFormat="1" ht="12.75" x14ac:dyDescent="0.2">
      <c r="B10316" s="1168"/>
    </row>
    <row r="10317" spans="2:2" s="221" customFormat="1" ht="12.75" x14ac:dyDescent="0.2">
      <c r="B10317" s="1168"/>
    </row>
    <row r="10318" spans="2:2" s="221" customFormat="1" ht="12.75" x14ac:dyDescent="0.2">
      <c r="B10318" s="1168"/>
    </row>
    <row r="10319" spans="2:2" s="221" customFormat="1" ht="12.75" x14ac:dyDescent="0.2">
      <c r="B10319" s="1168"/>
    </row>
    <row r="10320" spans="2:2" s="221" customFormat="1" ht="12.75" x14ac:dyDescent="0.2">
      <c r="B10320" s="1168"/>
    </row>
    <row r="10321" spans="2:2" s="221" customFormat="1" ht="12.75" x14ac:dyDescent="0.2">
      <c r="B10321" s="1168"/>
    </row>
    <row r="10322" spans="2:2" s="221" customFormat="1" ht="12.75" x14ac:dyDescent="0.2">
      <c r="B10322" s="1168"/>
    </row>
    <row r="10323" spans="2:2" s="221" customFormat="1" ht="12.75" x14ac:dyDescent="0.2">
      <c r="B10323" s="1168"/>
    </row>
    <row r="10324" spans="2:2" s="221" customFormat="1" ht="12.75" x14ac:dyDescent="0.2">
      <c r="B10324" s="1168"/>
    </row>
    <row r="10325" spans="2:2" s="221" customFormat="1" ht="12.75" x14ac:dyDescent="0.2">
      <c r="B10325" s="1168"/>
    </row>
    <row r="10326" spans="2:2" s="221" customFormat="1" ht="12.75" x14ac:dyDescent="0.2">
      <c r="B10326" s="1168"/>
    </row>
    <row r="10327" spans="2:2" s="221" customFormat="1" ht="12.75" x14ac:dyDescent="0.2">
      <c r="B10327" s="1168"/>
    </row>
    <row r="10328" spans="2:2" s="221" customFormat="1" ht="12.75" x14ac:dyDescent="0.2">
      <c r="B10328" s="1168"/>
    </row>
    <row r="10329" spans="2:2" s="221" customFormat="1" ht="12.75" x14ac:dyDescent="0.2">
      <c r="B10329" s="1168"/>
    </row>
    <row r="10330" spans="2:2" s="221" customFormat="1" ht="12.75" x14ac:dyDescent="0.2">
      <c r="B10330" s="1168"/>
    </row>
    <row r="10331" spans="2:2" s="221" customFormat="1" ht="12.75" x14ac:dyDescent="0.2">
      <c r="B10331" s="1168"/>
    </row>
    <row r="10332" spans="2:2" s="221" customFormat="1" ht="12.75" x14ac:dyDescent="0.2">
      <c r="B10332" s="1168"/>
    </row>
    <row r="10333" spans="2:2" s="221" customFormat="1" ht="12.75" x14ac:dyDescent="0.2">
      <c r="B10333" s="1168"/>
    </row>
    <row r="10334" spans="2:2" s="221" customFormat="1" ht="12.75" x14ac:dyDescent="0.2">
      <c r="B10334" s="1168"/>
    </row>
    <row r="10335" spans="2:2" s="221" customFormat="1" ht="12.75" x14ac:dyDescent="0.2">
      <c r="B10335" s="1168"/>
    </row>
    <row r="10336" spans="2:2" s="221" customFormat="1" ht="12.75" x14ac:dyDescent="0.2">
      <c r="B10336" s="1168"/>
    </row>
    <row r="10337" spans="2:2" s="221" customFormat="1" ht="12.75" x14ac:dyDescent="0.2">
      <c r="B10337" s="1168"/>
    </row>
    <row r="10338" spans="2:2" s="221" customFormat="1" ht="12.75" x14ac:dyDescent="0.2">
      <c r="B10338" s="1168"/>
    </row>
    <row r="10339" spans="2:2" s="221" customFormat="1" ht="12.75" x14ac:dyDescent="0.2">
      <c r="B10339" s="1168"/>
    </row>
    <row r="10340" spans="2:2" s="221" customFormat="1" ht="12.75" x14ac:dyDescent="0.2">
      <c r="B10340" s="1168"/>
    </row>
    <row r="10341" spans="2:2" s="221" customFormat="1" ht="12.75" x14ac:dyDescent="0.2">
      <c r="B10341" s="1168"/>
    </row>
    <row r="10342" spans="2:2" s="221" customFormat="1" ht="12.75" x14ac:dyDescent="0.2">
      <c r="B10342" s="1168"/>
    </row>
    <row r="10343" spans="2:2" s="221" customFormat="1" ht="12.75" x14ac:dyDescent="0.2">
      <c r="B10343" s="1168"/>
    </row>
    <row r="10344" spans="2:2" s="221" customFormat="1" ht="12.75" x14ac:dyDescent="0.2">
      <c r="B10344" s="1168"/>
    </row>
    <row r="10345" spans="2:2" s="221" customFormat="1" ht="12.75" x14ac:dyDescent="0.2">
      <c r="B10345" s="1168"/>
    </row>
    <row r="10346" spans="2:2" s="221" customFormat="1" ht="12.75" x14ac:dyDescent="0.2">
      <c r="B10346" s="1168"/>
    </row>
    <row r="10347" spans="2:2" s="221" customFormat="1" ht="12.75" x14ac:dyDescent="0.2">
      <c r="B10347" s="1168"/>
    </row>
    <row r="10348" spans="2:2" s="221" customFormat="1" ht="12.75" x14ac:dyDescent="0.2">
      <c r="B10348" s="1168"/>
    </row>
    <row r="10349" spans="2:2" s="221" customFormat="1" ht="12.75" x14ac:dyDescent="0.2">
      <c r="B10349" s="1168"/>
    </row>
    <row r="10350" spans="2:2" s="221" customFormat="1" ht="12.75" x14ac:dyDescent="0.2">
      <c r="B10350" s="1168"/>
    </row>
    <row r="10351" spans="2:2" s="221" customFormat="1" ht="12.75" x14ac:dyDescent="0.2">
      <c r="B10351" s="1168"/>
    </row>
    <row r="10352" spans="2:2" s="221" customFormat="1" ht="12.75" x14ac:dyDescent="0.2">
      <c r="B10352" s="1168"/>
    </row>
    <row r="10353" spans="2:2" s="221" customFormat="1" ht="12.75" x14ac:dyDescent="0.2">
      <c r="B10353" s="1168"/>
    </row>
    <row r="10354" spans="2:2" s="221" customFormat="1" ht="12.75" x14ac:dyDescent="0.2">
      <c r="B10354" s="1168"/>
    </row>
    <row r="10355" spans="2:2" s="221" customFormat="1" ht="12.75" x14ac:dyDescent="0.2">
      <c r="B10355" s="1168"/>
    </row>
    <row r="10356" spans="2:2" s="221" customFormat="1" ht="12.75" x14ac:dyDescent="0.2">
      <c r="B10356" s="1168"/>
    </row>
    <row r="10357" spans="2:2" s="221" customFormat="1" ht="12.75" x14ac:dyDescent="0.2">
      <c r="B10357" s="1168"/>
    </row>
    <row r="10358" spans="2:2" s="221" customFormat="1" ht="12.75" x14ac:dyDescent="0.2">
      <c r="B10358" s="1168"/>
    </row>
    <row r="10359" spans="2:2" s="221" customFormat="1" ht="12.75" x14ac:dyDescent="0.2">
      <c r="B10359" s="1168"/>
    </row>
    <row r="10360" spans="2:2" s="221" customFormat="1" ht="12.75" x14ac:dyDescent="0.2">
      <c r="B10360" s="1168"/>
    </row>
    <row r="10361" spans="2:2" s="221" customFormat="1" ht="12.75" x14ac:dyDescent="0.2">
      <c r="B10361" s="1168"/>
    </row>
    <row r="10362" spans="2:2" s="221" customFormat="1" ht="12.75" x14ac:dyDescent="0.2">
      <c r="B10362" s="1168"/>
    </row>
    <row r="10363" spans="2:2" s="221" customFormat="1" ht="12.75" x14ac:dyDescent="0.2">
      <c r="B10363" s="1168"/>
    </row>
    <row r="10364" spans="2:2" s="221" customFormat="1" ht="12.75" x14ac:dyDescent="0.2">
      <c r="B10364" s="1168"/>
    </row>
    <row r="10365" spans="2:2" s="221" customFormat="1" ht="12.75" x14ac:dyDescent="0.2">
      <c r="B10365" s="1168"/>
    </row>
    <row r="10366" spans="2:2" s="221" customFormat="1" ht="12.75" x14ac:dyDescent="0.2">
      <c r="B10366" s="1168"/>
    </row>
    <row r="10367" spans="2:2" s="221" customFormat="1" ht="12.75" x14ac:dyDescent="0.2">
      <c r="B10367" s="1168"/>
    </row>
    <row r="10368" spans="2:2" s="221" customFormat="1" ht="12.75" x14ac:dyDescent="0.2">
      <c r="B10368" s="1168"/>
    </row>
    <row r="10369" spans="2:2" s="221" customFormat="1" ht="12.75" x14ac:dyDescent="0.2">
      <c r="B10369" s="1168"/>
    </row>
    <row r="10370" spans="2:2" s="221" customFormat="1" ht="12.75" x14ac:dyDescent="0.2">
      <c r="B10370" s="1168"/>
    </row>
    <row r="10371" spans="2:2" s="221" customFormat="1" ht="12.75" x14ac:dyDescent="0.2">
      <c r="B10371" s="1168"/>
    </row>
    <row r="10372" spans="2:2" s="221" customFormat="1" ht="12.75" x14ac:dyDescent="0.2">
      <c r="B10372" s="1168"/>
    </row>
    <row r="10373" spans="2:2" s="221" customFormat="1" ht="12.75" x14ac:dyDescent="0.2">
      <c r="B10373" s="1168"/>
    </row>
    <row r="10374" spans="2:2" s="221" customFormat="1" ht="12.75" x14ac:dyDescent="0.2">
      <c r="B10374" s="1168"/>
    </row>
    <row r="10375" spans="2:2" s="221" customFormat="1" ht="12.75" x14ac:dyDescent="0.2">
      <c r="B10375" s="1168"/>
    </row>
    <row r="10376" spans="2:2" s="221" customFormat="1" ht="12.75" x14ac:dyDescent="0.2">
      <c r="B10376" s="1168"/>
    </row>
    <row r="10377" spans="2:2" s="221" customFormat="1" ht="12.75" x14ac:dyDescent="0.2">
      <c r="B10377" s="1168"/>
    </row>
    <row r="10378" spans="2:2" s="221" customFormat="1" ht="12.75" x14ac:dyDescent="0.2">
      <c r="B10378" s="1168"/>
    </row>
    <row r="10379" spans="2:2" s="221" customFormat="1" ht="12.75" x14ac:dyDescent="0.2">
      <c r="B10379" s="1168"/>
    </row>
    <row r="10380" spans="2:2" s="221" customFormat="1" ht="12.75" x14ac:dyDescent="0.2">
      <c r="B10380" s="1168"/>
    </row>
    <row r="10381" spans="2:2" s="221" customFormat="1" ht="12.75" x14ac:dyDescent="0.2">
      <c r="B10381" s="1168"/>
    </row>
    <row r="10382" spans="2:2" s="221" customFormat="1" ht="12.75" x14ac:dyDescent="0.2">
      <c r="B10382" s="1168"/>
    </row>
    <row r="10383" spans="2:2" s="221" customFormat="1" ht="12.75" x14ac:dyDescent="0.2">
      <c r="B10383" s="1168"/>
    </row>
    <row r="10384" spans="2:2" s="221" customFormat="1" ht="12.75" x14ac:dyDescent="0.2">
      <c r="B10384" s="1168"/>
    </row>
    <row r="10385" spans="2:2" s="221" customFormat="1" ht="12.75" x14ac:dyDescent="0.2">
      <c r="B10385" s="1168"/>
    </row>
    <row r="10386" spans="2:2" s="221" customFormat="1" ht="12.75" x14ac:dyDescent="0.2">
      <c r="B10386" s="1168"/>
    </row>
    <row r="10387" spans="2:2" s="221" customFormat="1" ht="12.75" x14ac:dyDescent="0.2">
      <c r="B10387" s="1168"/>
    </row>
    <row r="10388" spans="2:2" s="221" customFormat="1" ht="12.75" x14ac:dyDescent="0.2">
      <c r="B10388" s="1168"/>
    </row>
    <row r="10389" spans="2:2" s="221" customFormat="1" ht="12.75" x14ac:dyDescent="0.2">
      <c r="B10389" s="1168"/>
    </row>
    <row r="10390" spans="2:2" s="221" customFormat="1" ht="12.75" x14ac:dyDescent="0.2">
      <c r="B10390" s="1168"/>
    </row>
    <row r="10391" spans="2:2" s="221" customFormat="1" ht="12.75" x14ac:dyDescent="0.2">
      <c r="B10391" s="1168"/>
    </row>
    <row r="10392" spans="2:2" s="221" customFormat="1" ht="12.75" x14ac:dyDescent="0.2">
      <c r="B10392" s="1168"/>
    </row>
    <row r="10393" spans="2:2" s="221" customFormat="1" ht="12.75" x14ac:dyDescent="0.2">
      <c r="B10393" s="1168"/>
    </row>
    <row r="10394" spans="2:2" s="221" customFormat="1" ht="12.75" x14ac:dyDescent="0.2">
      <c r="B10394" s="1168"/>
    </row>
    <row r="10395" spans="2:2" s="221" customFormat="1" ht="12.75" x14ac:dyDescent="0.2">
      <c r="B10395" s="1168"/>
    </row>
    <row r="10396" spans="2:2" s="221" customFormat="1" ht="12.75" x14ac:dyDescent="0.2">
      <c r="B10396" s="1168"/>
    </row>
    <row r="10397" spans="2:2" s="221" customFormat="1" ht="12.75" x14ac:dyDescent="0.2">
      <c r="B10397" s="1168"/>
    </row>
    <row r="10398" spans="2:2" s="221" customFormat="1" ht="12.75" x14ac:dyDescent="0.2">
      <c r="B10398" s="1168"/>
    </row>
    <row r="10399" spans="2:2" s="221" customFormat="1" ht="12.75" x14ac:dyDescent="0.2">
      <c r="B10399" s="1168"/>
    </row>
    <row r="10400" spans="2:2" s="221" customFormat="1" ht="12.75" x14ac:dyDescent="0.2">
      <c r="B10400" s="1168"/>
    </row>
    <row r="10401" spans="2:2" s="221" customFormat="1" ht="12.75" x14ac:dyDescent="0.2">
      <c r="B10401" s="1168"/>
    </row>
    <row r="10402" spans="2:2" s="221" customFormat="1" ht="12.75" x14ac:dyDescent="0.2">
      <c r="B10402" s="1168"/>
    </row>
    <row r="10403" spans="2:2" s="221" customFormat="1" ht="12.75" x14ac:dyDescent="0.2">
      <c r="B10403" s="1168"/>
    </row>
    <row r="10404" spans="2:2" s="221" customFormat="1" ht="12.75" x14ac:dyDescent="0.2">
      <c r="B10404" s="1168"/>
    </row>
    <row r="10405" spans="2:2" s="221" customFormat="1" ht="12.75" x14ac:dyDescent="0.2">
      <c r="B10405" s="1168"/>
    </row>
    <row r="10406" spans="2:2" s="221" customFormat="1" ht="12.75" x14ac:dyDescent="0.2">
      <c r="B10406" s="1168"/>
    </row>
    <row r="10407" spans="2:2" s="221" customFormat="1" ht="12.75" x14ac:dyDescent="0.2">
      <c r="B10407" s="1168"/>
    </row>
    <row r="10408" spans="2:2" s="221" customFormat="1" ht="12.75" x14ac:dyDescent="0.2">
      <c r="B10408" s="1168"/>
    </row>
    <row r="10409" spans="2:2" s="221" customFormat="1" ht="12.75" x14ac:dyDescent="0.2">
      <c r="B10409" s="1168"/>
    </row>
    <row r="10410" spans="2:2" s="221" customFormat="1" ht="12.75" x14ac:dyDescent="0.2">
      <c r="B10410" s="1168"/>
    </row>
    <row r="10411" spans="2:2" s="221" customFormat="1" ht="12.75" x14ac:dyDescent="0.2">
      <c r="B10411" s="1168"/>
    </row>
    <row r="10412" spans="2:2" s="221" customFormat="1" ht="12.75" x14ac:dyDescent="0.2">
      <c r="B10412" s="1168"/>
    </row>
    <row r="10413" spans="2:2" s="221" customFormat="1" ht="12.75" x14ac:dyDescent="0.2">
      <c r="B10413" s="1168"/>
    </row>
    <row r="10414" spans="2:2" s="221" customFormat="1" ht="12.75" x14ac:dyDescent="0.2">
      <c r="B10414" s="1168"/>
    </row>
    <row r="10415" spans="2:2" s="221" customFormat="1" ht="12.75" x14ac:dyDescent="0.2">
      <c r="B10415" s="1168"/>
    </row>
    <row r="10416" spans="2:2" s="221" customFormat="1" ht="12.75" x14ac:dyDescent="0.2">
      <c r="B10416" s="1168"/>
    </row>
    <row r="10417" spans="2:2" s="221" customFormat="1" ht="12.75" x14ac:dyDescent="0.2">
      <c r="B10417" s="1168"/>
    </row>
    <row r="10418" spans="2:2" s="221" customFormat="1" ht="12.75" x14ac:dyDescent="0.2">
      <c r="B10418" s="1168"/>
    </row>
    <row r="10419" spans="2:2" s="221" customFormat="1" ht="12.75" x14ac:dyDescent="0.2">
      <c r="B10419" s="1168"/>
    </row>
    <row r="10420" spans="2:2" s="221" customFormat="1" ht="12.75" x14ac:dyDescent="0.2">
      <c r="B10420" s="1168"/>
    </row>
    <row r="10421" spans="2:2" s="221" customFormat="1" ht="12.75" x14ac:dyDescent="0.2">
      <c r="B10421" s="1168"/>
    </row>
    <row r="10422" spans="2:2" s="221" customFormat="1" ht="12.75" x14ac:dyDescent="0.2">
      <c r="B10422" s="1168"/>
    </row>
    <row r="10423" spans="2:2" s="221" customFormat="1" ht="12.75" x14ac:dyDescent="0.2">
      <c r="B10423" s="1168"/>
    </row>
    <row r="10424" spans="2:2" s="221" customFormat="1" ht="12.75" x14ac:dyDescent="0.2">
      <c r="B10424" s="1168"/>
    </row>
    <row r="10425" spans="2:2" s="221" customFormat="1" ht="12.75" x14ac:dyDescent="0.2">
      <c r="B10425" s="1168"/>
    </row>
    <row r="10426" spans="2:2" s="221" customFormat="1" ht="12.75" x14ac:dyDescent="0.2">
      <c r="B10426" s="1168"/>
    </row>
    <row r="10427" spans="2:2" s="221" customFormat="1" ht="12.75" x14ac:dyDescent="0.2">
      <c r="B10427" s="1168"/>
    </row>
    <row r="10428" spans="2:2" s="221" customFormat="1" ht="12.75" x14ac:dyDescent="0.2">
      <c r="B10428" s="1168"/>
    </row>
    <row r="10429" spans="2:2" s="221" customFormat="1" ht="12.75" x14ac:dyDescent="0.2">
      <c r="B10429" s="1168"/>
    </row>
    <row r="10430" spans="2:2" s="221" customFormat="1" ht="12.75" x14ac:dyDescent="0.2">
      <c r="B10430" s="1168"/>
    </row>
    <row r="10431" spans="2:2" s="221" customFormat="1" ht="12.75" x14ac:dyDescent="0.2">
      <c r="B10431" s="1168"/>
    </row>
    <row r="10432" spans="2:2" s="221" customFormat="1" ht="12.75" x14ac:dyDescent="0.2">
      <c r="B10432" s="1168"/>
    </row>
    <row r="10433" spans="2:2" s="221" customFormat="1" ht="12.75" x14ac:dyDescent="0.2">
      <c r="B10433" s="1168"/>
    </row>
    <row r="10434" spans="2:2" s="221" customFormat="1" ht="12.75" x14ac:dyDescent="0.2">
      <c r="B10434" s="1168"/>
    </row>
    <row r="10435" spans="2:2" s="221" customFormat="1" ht="12.75" x14ac:dyDescent="0.2">
      <c r="B10435" s="1168"/>
    </row>
    <row r="10436" spans="2:2" s="221" customFormat="1" ht="12.75" x14ac:dyDescent="0.2">
      <c r="B10436" s="1168"/>
    </row>
    <row r="10437" spans="2:2" s="221" customFormat="1" ht="12.75" x14ac:dyDescent="0.2">
      <c r="B10437" s="1168"/>
    </row>
    <row r="10438" spans="2:2" s="221" customFormat="1" ht="12.75" x14ac:dyDescent="0.2">
      <c r="B10438" s="1168"/>
    </row>
    <row r="10439" spans="2:2" s="221" customFormat="1" ht="12.75" x14ac:dyDescent="0.2">
      <c r="B10439" s="1168"/>
    </row>
    <row r="10440" spans="2:2" s="221" customFormat="1" ht="12.75" x14ac:dyDescent="0.2">
      <c r="B10440" s="1168"/>
    </row>
    <row r="10441" spans="2:2" s="221" customFormat="1" ht="12.75" x14ac:dyDescent="0.2">
      <c r="B10441" s="1168"/>
    </row>
    <row r="10442" spans="2:2" s="221" customFormat="1" ht="12.75" x14ac:dyDescent="0.2">
      <c r="B10442" s="1168"/>
    </row>
    <row r="10443" spans="2:2" s="221" customFormat="1" ht="12.75" x14ac:dyDescent="0.2">
      <c r="B10443" s="1168"/>
    </row>
    <row r="10444" spans="2:2" s="221" customFormat="1" ht="12.75" x14ac:dyDescent="0.2">
      <c r="B10444" s="1168"/>
    </row>
    <row r="10445" spans="2:2" s="221" customFormat="1" ht="12.75" x14ac:dyDescent="0.2">
      <c r="B10445" s="1168"/>
    </row>
    <row r="10446" spans="2:2" s="221" customFormat="1" ht="12.75" x14ac:dyDescent="0.2">
      <c r="B10446" s="1168"/>
    </row>
    <row r="10447" spans="2:2" s="221" customFormat="1" ht="12.75" x14ac:dyDescent="0.2">
      <c r="B10447" s="1168"/>
    </row>
    <row r="10448" spans="2:2" s="221" customFormat="1" ht="12.75" x14ac:dyDescent="0.2">
      <c r="B10448" s="1168"/>
    </row>
    <row r="10449" spans="2:2" s="221" customFormat="1" ht="12.75" x14ac:dyDescent="0.2">
      <c r="B10449" s="1168"/>
    </row>
    <row r="10450" spans="2:2" s="221" customFormat="1" ht="12.75" x14ac:dyDescent="0.2">
      <c r="B10450" s="1168"/>
    </row>
    <row r="10451" spans="2:2" s="221" customFormat="1" ht="12.75" x14ac:dyDescent="0.2">
      <c r="B10451" s="1168"/>
    </row>
    <row r="10452" spans="2:2" s="221" customFormat="1" ht="12.75" x14ac:dyDescent="0.2">
      <c r="B10452" s="1168"/>
    </row>
    <row r="10453" spans="2:2" s="221" customFormat="1" ht="12.75" x14ac:dyDescent="0.2">
      <c r="B10453" s="1168"/>
    </row>
    <row r="10454" spans="2:2" s="221" customFormat="1" ht="12.75" x14ac:dyDescent="0.2">
      <c r="B10454" s="1168"/>
    </row>
    <row r="10455" spans="2:2" s="221" customFormat="1" ht="12.75" x14ac:dyDescent="0.2">
      <c r="B10455" s="1168"/>
    </row>
    <row r="10456" spans="2:2" s="221" customFormat="1" ht="12.75" x14ac:dyDescent="0.2">
      <c r="B10456" s="1168"/>
    </row>
    <row r="10457" spans="2:2" s="221" customFormat="1" ht="12.75" x14ac:dyDescent="0.2">
      <c r="B10457" s="1168"/>
    </row>
    <row r="10458" spans="2:2" s="221" customFormat="1" ht="12.75" x14ac:dyDescent="0.2">
      <c r="B10458" s="1168"/>
    </row>
    <row r="10459" spans="2:2" s="221" customFormat="1" ht="12.75" x14ac:dyDescent="0.2">
      <c r="B10459" s="1168"/>
    </row>
    <row r="10460" spans="2:2" s="221" customFormat="1" ht="12.75" x14ac:dyDescent="0.2">
      <c r="B10460" s="1168"/>
    </row>
    <row r="10461" spans="2:2" s="221" customFormat="1" ht="12.75" x14ac:dyDescent="0.2">
      <c r="B10461" s="1168"/>
    </row>
    <row r="10462" spans="2:2" s="221" customFormat="1" ht="12.75" x14ac:dyDescent="0.2">
      <c r="B10462" s="1168"/>
    </row>
    <row r="10463" spans="2:2" s="221" customFormat="1" ht="12.75" x14ac:dyDescent="0.2">
      <c r="B10463" s="1168"/>
    </row>
    <row r="10464" spans="2:2" s="221" customFormat="1" ht="12.75" x14ac:dyDescent="0.2">
      <c r="B10464" s="1168"/>
    </row>
    <row r="10465" spans="2:2" s="221" customFormat="1" ht="12.75" x14ac:dyDescent="0.2">
      <c r="B10465" s="1168"/>
    </row>
    <row r="10466" spans="2:2" s="221" customFormat="1" ht="12.75" x14ac:dyDescent="0.2">
      <c r="B10466" s="1168"/>
    </row>
    <row r="10467" spans="2:2" s="221" customFormat="1" ht="12.75" x14ac:dyDescent="0.2">
      <c r="B10467" s="1168"/>
    </row>
    <row r="10468" spans="2:2" s="221" customFormat="1" ht="12.75" x14ac:dyDescent="0.2">
      <c r="B10468" s="1168"/>
    </row>
    <row r="10469" spans="2:2" s="221" customFormat="1" ht="12.75" x14ac:dyDescent="0.2">
      <c r="B10469" s="1168"/>
    </row>
    <row r="10470" spans="2:2" s="221" customFormat="1" ht="12.75" x14ac:dyDescent="0.2">
      <c r="B10470" s="1168"/>
    </row>
    <row r="10471" spans="2:2" s="221" customFormat="1" ht="12.75" x14ac:dyDescent="0.2">
      <c r="B10471" s="1168"/>
    </row>
    <row r="10472" spans="2:2" s="221" customFormat="1" ht="12.75" x14ac:dyDescent="0.2">
      <c r="B10472" s="1168"/>
    </row>
    <row r="10473" spans="2:2" s="221" customFormat="1" ht="12.75" x14ac:dyDescent="0.2">
      <c r="B10473" s="1168"/>
    </row>
    <row r="10474" spans="2:2" s="221" customFormat="1" ht="12.75" x14ac:dyDescent="0.2">
      <c r="B10474" s="1168"/>
    </row>
    <row r="10475" spans="2:2" s="221" customFormat="1" ht="12.75" x14ac:dyDescent="0.2">
      <c r="B10475" s="1168"/>
    </row>
    <row r="10476" spans="2:2" s="221" customFormat="1" ht="12.75" x14ac:dyDescent="0.2">
      <c r="B10476" s="1168"/>
    </row>
    <row r="10477" spans="2:2" s="221" customFormat="1" ht="12.75" x14ac:dyDescent="0.2">
      <c r="B10477" s="1168"/>
    </row>
    <row r="10478" spans="2:2" s="221" customFormat="1" ht="12.75" x14ac:dyDescent="0.2">
      <c r="B10478" s="1168"/>
    </row>
    <row r="10479" spans="2:2" s="221" customFormat="1" ht="12.75" x14ac:dyDescent="0.2">
      <c r="B10479" s="1168"/>
    </row>
    <row r="10480" spans="2:2" s="221" customFormat="1" ht="12.75" x14ac:dyDescent="0.2">
      <c r="B10480" s="1168"/>
    </row>
    <row r="10481" spans="2:2" s="221" customFormat="1" ht="12.75" x14ac:dyDescent="0.2">
      <c r="B10481" s="1168"/>
    </row>
    <row r="10482" spans="2:2" s="221" customFormat="1" ht="12.75" x14ac:dyDescent="0.2">
      <c r="B10482" s="1168"/>
    </row>
    <row r="10483" spans="2:2" s="221" customFormat="1" ht="12.75" x14ac:dyDescent="0.2">
      <c r="B10483" s="1168"/>
    </row>
    <row r="10484" spans="2:2" s="221" customFormat="1" ht="12.75" x14ac:dyDescent="0.2">
      <c r="B10484" s="1168"/>
    </row>
    <row r="10485" spans="2:2" s="221" customFormat="1" ht="12.75" x14ac:dyDescent="0.2">
      <c r="B10485" s="1168"/>
    </row>
    <row r="10486" spans="2:2" s="221" customFormat="1" ht="12.75" x14ac:dyDescent="0.2">
      <c r="B10486" s="1168"/>
    </row>
    <row r="10487" spans="2:2" s="221" customFormat="1" ht="12.75" x14ac:dyDescent="0.2">
      <c r="B10487" s="1168"/>
    </row>
    <row r="10488" spans="2:2" s="221" customFormat="1" ht="12.75" x14ac:dyDescent="0.2">
      <c r="B10488" s="1168"/>
    </row>
    <row r="10489" spans="2:2" s="221" customFormat="1" ht="12.75" x14ac:dyDescent="0.2">
      <c r="B10489" s="1168"/>
    </row>
    <row r="10490" spans="2:2" s="221" customFormat="1" ht="12.75" x14ac:dyDescent="0.2">
      <c r="B10490" s="1168"/>
    </row>
    <row r="10491" spans="2:2" s="221" customFormat="1" ht="12.75" x14ac:dyDescent="0.2">
      <c r="B10491" s="1168"/>
    </row>
    <row r="10492" spans="2:2" s="221" customFormat="1" ht="12.75" x14ac:dyDescent="0.2">
      <c r="B10492" s="1168"/>
    </row>
    <row r="10493" spans="2:2" s="221" customFormat="1" ht="12.75" x14ac:dyDescent="0.2">
      <c r="B10493" s="1168"/>
    </row>
    <row r="10494" spans="2:2" s="221" customFormat="1" ht="12.75" x14ac:dyDescent="0.2">
      <c r="B10494" s="1168"/>
    </row>
    <row r="10495" spans="2:2" s="221" customFormat="1" ht="12.75" x14ac:dyDescent="0.2">
      <c r="B10495" s="1168"/>
    </row>
    <row r="10496" spans="2:2" s="221" customFormat="1" ht="12.75" x14ac:dyDescent="0.2">
      <c r="B10496" s="1168"/>
    </row>
    <row r="10497" spans="2:2" s="221" customFormat="1" ht="12.75" x14ac:dyDescent="0.2">
      <c r="B10497" s="1168"/>
    </row>
    <row r="10498" spans="2:2" s="221" customFormat="1" ht="12.75" x14ac:dyDescent="0.2">
      <c r="B10498" s="1168"/>
    </row>
    <row r="10499" spans="2:2" s="221" customFormat="1" ht="12.75" x14ac:dyDescent="0.2">
      <c r="B10499" s="1168"/>
    </row>
    <row r="10500" spans="2:2" s="221" customFormat="1" ht="12.75" x14ac:dyDescent="0.2">
      <c r="B10500" s="1168"/>
    </row>
    <row r="10501" spans="2:2" s="221" customFormat="1" ht="12.75" x14ac:dyDescent="0.2">
      <c r="B10501" s="1168"/>
    </row>
    <row r="10502" spans="2:2" s="221" customFormat="1" ht="12.75" x14ac:dyDescent="0.2">
      <c r="B10502" s="1168"/>
    </row>
    <row r="10503" spans="2:2" s="221" customFormat="1" ht="12.75" x14ac:dyDescent="0.2">
      <c r="B10503" s="1168"/>
    </row>
    <row r="10504" spans="2:2" s="221" customFormat="1" ht="12.75" x14ac:dyDescent="0.2">
      <c r="B10504" s="1168"/>
    </row>
    <row r="10505" spans="2:2" s="221" customFormat="1" ht="12.75" x14ac:dyDescent="0.2">
      <c r="B10505" s="1168"/>
    </row>
    <row r="10506" spans="2:2" s="221" customFormat="1" ht="12.75" x14ac:dyDescent="0.2">
      <c r="B10506" s="1168"/>
    </row>
    <row r="10507" spans="2:2" s="221" customFormat="1" ht="12.75" x14ac:dyDescent="0.2">
      <c r="B10507" s="1168"/>
    </row>
    <row r="10508" spans="2:2" s="221" customFormat="1" ht="12.75" x14ac:dyDescent="0.2">
      <c r="B10508" s="1168"/>
    </row>
    <row r="10509" spans="2:2" s="221" customFormat="1" ht="12.75" x14ac:dyDescent="0.2">
      <c r="B10509" s="1168"/>
    </row>
    <row r="10510" spans="2:2" s="221" customFormat="1" ht="12.75" x14ac:dyDescent="0.2">
      <c r="B10510" s="1168"/>
    </row>
    <row r="10511" spans="2:2" s="221" customFormat="1" ht="12.75" x14ac:dyDescent="0.2">
      <c r="B10511" s="1168"/>
    </row>
    <row r="10512" spans="2:2" s="221" customFormat="1" ht="12.75" x14ac:dyDescent="0.2">
      <c r="B10512" s="1168"/>
    </row>
    <row r="10513" spans="2:2" s="221" customFormat="1" ht="12.75" x14ac:dyDescent="0.2">
      <c r="B10513" s="1168"/>
    </row>
    <row r="10514" spans="2:2" s="221" customFormat="1" ht="12.75" x14ac:dyDescent="0.2">
      <c r="B10514" s="1168"/>
    </row>
    <row r="10515" spans="2:2" s="221" customFormat="1" ht="12.75" x14ac:dyDescent="0.2">
      <c r="B10515" s="1168"/>
    </row>
    <row r="10516" spans="2:2" s="221" customFormat="1" ht="12.75" x14ac:dyDescent="0.2">
      <c r="B10516" s="1168"/>
    </row>
    <row r="10517" spans="2:2" s="221" customFormat="1" ht="12.75" x14ac:dyDescent="0.2">
      <c r="B10517" s="1168"/>
    </row>
    <row r="10518" spans="2:2" s="221" customFormat="1" ht="12.75" x14ac:dyDescent="0.2">
      <c r="B10518" s="1168"/>
    </row>
    <row r="10519" spans="2:2" s="221" customFormat="1" ht="12.75" x14ac:dyDescent="0.2">
      <c r="B10519" s="1168"/>
    </row>
    <row r="10520" spans="2:2" s="221" customFormat="1" ht="12.75" x14ac:dyDescent="0.2">
      <c r="B10520" s="1168"/>
    </row>
    <row r="10521" spans="2:2" s="221" customFormat="1" ht="12.75" x14ac:dyDescent="0.2">
      <c r="B10521" s="1168"/>
    </row>
    <row r="10522" spans="2:2" s="221" customFormat="1" ht="12.75" x14ac:dyDescent="0.2">
      <c r="B10522" s="1168"/>
    </row>
    <row r="10523" spans="2:2" s="221" customFormat="1" ht="12.75" x14ac:dyDescent="0.2">
      <c r="B10523" s="1168"/>
    </row>
    <row r="10524" spans="2:2" s="221" customFormat="1" ht="12.75" x14ac:dyDescent="0.2">
      <c r="B10524" s="1168"/>
    </row>
    <row r="10525" spans="2:2" s="221" customFormat="1" ht="12.75" x14ac:dyDescent="0.2">
      <c r="B10525" s="1168"/>
    </row>
    <row r="10526" spans="2:2" s="221" customFormat="1" ht="12.75" x14ac:dyDescent="0.2">
      <c r="B10526" s="1168"/>
    </row>
    <row r="10527" spans="2:2" s="221" customFormat="1" ht="12.75" x14ac:dyDescent="0.2">
      <c r="B10527" s="1168"/>
    </row>
    <row r="10528" spans="2:2" s="221" customFormat="1" ht="12.75" x14ac:dyDescent="0.2">
      <c r="B10528" s="1168"/>
    </row>
    <row r="10529" spans="2:2" s="221" customFormat="1" ht="12.75" x14ac:dyDescent="0.2">
      <c r="B10529" s="1168"/>
    </row>
    <row r="10530" spans="2:2" s="221" customFormat="1" ht="12.75" x14ac:dyDescent="0.2">
      <c r="B10530" s="1168"/>
    </row>
    <row r="10531" spans="2:2" s="221" customFormat="1" ht="12.75" x14ac:dyDescent="0.2">
      <c r="B10531" s="1168"/>
    </row>
    <row r="10532" spans="2:2" s="221" customFormat="1" ht="12.75" x14ac:dyDescent="0.2">
      <c r="B10532" s="1168"/>
    </row>
    <row r="10533" spans="2:2" s="221" customFormat="1" ht="12.75" x14ac:dyDescent="0.2">
      <c r="B10533" s="1168"/>
    </row>
    <row r="10534" spans="2:2" s="221" customFormat="1" ht="12.75" x14ac:dyDescent="0.2">
      <c r="B10534" s="1168"/>
    </row>
    <row r="10535" spans="2:2" s="221" customFormat="1" ht="12.75" x14ac:dyDescent="0.2">
      <c r="B10535" s="1168"/>
    </row>
    <row r="10536" spans="2:2" s="221" customFormat="1" ht="12.75" x14ac:dyDescent="0.2">
      <c r="B10536" s="1168"/>
    </row>
    <row r="10537" spans="2:2" s="221" customFormat="1" ht="12.75" x14ac:dyDescent="0.2">
      <c r="B10537" s="1168"/>
    </row>
    <row r="10538" spans="2:2" s="221" customFormat="1" ht="12.75" x14ac:dyDescent="0.2">
      <c r="B10538" s="1168"/>
    </row>
    <row r="10539" spans="2:2" s="221" customFormat="1" ht="12.75" x14ac:dyDescent="0.2">
      <c r="B10539" s="1168"/>
    </row>
    <row r="10540" spans="2:2" s="221" customFormat="1" ht="12.75" x14ac:dyDescent="0.2">
      <c r="B10540" s="1168"/>
    </row>
    <row r="10541" spans="2:2" s="221" customFormat="1" ht="12.75" x14ac:dyDescent="0.2">
      <c r="B10541" s="1168"/>
    </row>
    <row r="10542" spans="2:2" s="221" customFormat="1" ht="12.75" x14ac:dyDescent="0.2">
      <c r="B10542" s="1168"/>
    </row>
    <row r="10543" spans="2:2" s="221" customFormat="1" ht="12.75" x14ac:dyDescent="0.2">
      <c r="B10543" s="1168"/>
    </row>
    <row r="10544" spans="2:2" s="221" customFormat="1" ht="12.75" x14ac:dyDescent="0.2">
      <c r="B10544" s="1168"/>
    </row>
    <row r="10545" spans="2:2" s="221" customFormat="1" ht="12.75" x14ac:dyDescent="0.2">
      <c r="B10545" s="1168"/>
    </row>
    <row r="10546" spans="2:2" s="221" customFormat="1" ht="12.75" x14ac:dyDescent="0.2">
      <c r="B10546" s="1168"/>
    </row>
    <row r="10547" spans="2:2" s="221" customFormat="1" ht="12.75" x14ac:dyDescent="0.2">
      <c r="B10547" s="1168"/>
    </row>
    <row r="10548" spans="2:2" s="221" customFormat="1" ht="12.75" x14ac:dyDescent="0.2">
      <c r="B10548" s="1168"/>
    </row>
    <row r="10549" spans="2:2" s="221" customFormat="1" ht="12.75" x14ac:dyDescent="0.2">
      <c r="B10549" s="1168"/>
    </row>
    <row r="10550" spans="2:2" s="221" customFormat="1" ht="12.75" x14ac:dyDescent="0.2">
      <c r="B10550" s="1168"/>
    </row>
    <row r="10551" spans="2:2" s="221" customFormat="1" ht="12.75" x14ac:dyDescent="0.2">
      <c r="B10551" s="1168"/>
    </row>
    <row r="10552" spans="2:2" s="221" customFormat="1" ht="12.75" x14ac:dyDescent="0.2">
      <c r="B10552" s="1168"/>
    </row>
    <row r="10553" spans="2:2" s="221" customFormat="1" ht="12.75" x14ac:dyDescent="0.2">
      <c r="B10553" s="1168"/>
    </row>
    <row r="10554" spans="2:2" s="221" customFormat="1" ht="12.75" x14ac:dyDescent="0.2">
      <c r="B10554" s="1168"/>
    </row>
    <row r="10555" spans="2:2" s="221" customFormat="1" ht="12.75" x14ac:dyDescent="0.2">
      <c r="B10555" s="1168"/>
    </row>
    <row r="10556" spans="2:2" s="221" customFormat="1" ht="12.75" x14ac:dyDescent="0.2">
      <c r="B10556" s="1168"/>
    </row>
    <row r="10557" spans="2:2" s="221" customFormat="1" ht="12.75" x14ac:dyDescent="0.2">
      <c r="B10557" s="1168"/>
    </row>
    <row r="10558" spans="2:2" s="221" customFormat="1" ht="12.75" x14ac:dyDescent="0.2">
      <c r="B10558" s="1168"/>
    </row>
    <row r="10559" spans="2:2" s="221" customFormat="1" ht="12.75" x14ac:dyDescent="0.2">
      <c r="B10559" s="1168"/>
    </row>
    <row r="10560" spans="2:2" s="221" customFormat="1" ht="12.75" x14ac:dyDescent="0.2">
      <c r="B10560" s="1168"/>
    </row>
    <row r="10561" spans="2:2" s="221" customFormat="1" ht="12.75" x14ac:dyDescent="0.2">
      <c r="B10561" s="1168"/>
    </row>
    <row r="10562" spans="2:2" s="221" customFormat="1" ht="12.75" x14ac:dyDescent="0.2">
      <c r="B10562" s="1168"/>
    </row>
    <row r="10563" spans="2:2" s="221" customFormat="1" ht="12.75" x14ac:dyDescent="0.2">
      <c r="B10563" s="1168"/>
    </row>
    <row r="10564" spans="2:2" s="221" customFormat="1" ht="12.75" x14ac:dyDescent="0.2">
      <c r="B10564" s="1168"/>
    </row>
    <row r="10565" spans="2:2" s="221" customFormat="1" ht="12.75" x14ac:dyDescent="0.2">
      <c r="B10565" s="1168"/>
    </row>
    <row r="10566" spans="2:2" s="221" customFormat="1" ht="12.75" x14ac:dyDescent="0.2">
      <c r="B10566" s="1168"/>
    </row>
    <row r="10567" spans="2:2" s="221" customFormat="1" ht="12.75" x14ac:dyDescent="0.2">
      <c r="B10567" s="1168"/>
    </row>
    <row r="10568" spans="2:2" s="221" customFormat="1" ht="12.75" x14ac:dyDescent="0.2">
      <c r="B10568" s="1168"/>
    </row>
    <row r="10569" spans="2:2" s="221" customFormat="1" ht="12.75" x14ac:dyDescent="0.2">
      <c r="B10569" s="1168"/>
    </row>
    <row r="10570" spans="2:2" s="221" customFormat="1" ht="12.75" x14ac:dyDescent="0.2">
      <c r="B10570" s="1168"/>
    </row>
    <row r="10571" spans="2:2" s="221" customFormat="1" ht="12.75" x14ac:dyDescent="0.2">
      <c r="B10571" s="1168"/>
    </row>
    <row r="10572" spans="2:2" s="221" customFormat="1" ht="12.75" x14ac:dyDescent="0.2">
      <c r="B10572" s="1168"/>
    </row>
    <row r="10573" spans="2:2" s="221" customFormat="1" ht="12.75" x14ac:dyDescent="0.2">
      <c r="B10573" s="1168"/>
    </row>
    <row r="10574" spans="2:2" s="221" customFormat="1" ht="12.75" x14ac:dyDescent="0.2">
      <c r="B10574" s="1168"/>
    </row>
    <row r="10575" spans="2:2" s="221" customFormat="1" ht="12.75" x14ac:dyDescent="0.2">
      <c r="B10575" s="1168"/>
    </row>
    <row r="10576" spans="2:2" s="221" customFormat="1" ht="12.75" x14ac:dyDescent="0.2">
      <c r="B10576" s="1168"/>
    </row>
    <row r="10577" spans="2:2" s="221" customFormat="1" ht="12.75" x14ac:dyDescent="0.2">
      <c r="B10577" s="1168"/>
    </row>
    <row r="10578" spans="2:2" s="221" customFormat="1" ht="12.75" x14ac:dyDescent="0.2">
      <c r="B10578" s="1168"/>
    </row>
    <row r="10579" spans="2:2" s="221" customFormat="1" ht="12.75" x14ac:dyDescent="0.2">
      <c r="B10579" s="1168"/>
    </row>
    <row r="10580" spans="2:2" s="221" customFormat="1" ht="12.75" x14ac:dyDescent="0.2">
      <c r="B10580" s="1168"/>
    </row>
    <row r="10581" spans="2:2" s="221" customFormat="1" ht="12.75" x14ac:dyDescent="0.2">
      <c r="B10581" s="1168"/>
    </row>
    <row r="10582" spans="2:2" s="221" customFormat="1" ht="12.75" x14ac:dyDescent="0.2">
      <c r="B10582" s="1168"/>
    </row>
    <row r="10583" spans="2:2" s="221" customFormat="1" ht="12.75" x14ac:dyDescent="0.2">
      <c r="B10583" s="1168"/>
    </row>
    <row r="10584" spans="2:2" s="221" customFormat="1" ht="12.75" x14ac:dyDescent="0.2">
      <c r="B10584" s="1168"/>
    </row>
    <row r="10585" spans="2:2" s="221" customFormat="1" ht="12.75" x14ac:dyDescent="0.2">
      <c r="B10585" s="1168"/>
    </row>
    <row r="10586" spans="2:2" s="221" customFormat="1" ht="12.75" x14ac:dyDescent="0.2">
      <c r="B10586" s="1168"/>
    </row>
    <row r="10587" spans="2:2" s="221" customFormat="1" ht="12.75" x14ac:dyDescent="0.2">
      <c r="B10587" s="1168"/>
    </row>
    <row r="10588" spans="2:2" s="221" customFormat="1" ht="12.75" x14ac:dyDescent="0.2">
      <c r="B10588" s="1168"/>
    </row>
    <row r="10589" spans="2:2" s="221" customFormat="1" ht="12.75" x14ac:dyDescent="0.2">
      <c r="B10589" s="1168"/>
    </row>
    <row r="10590" spans="2:2" s="221" customFormat="1" ht="12.75" x14ac:dyDescent="0.2">
      <c r="B10590" s="1168"/>
    </row>
    <row r="10591" spans="2:2" s="221" customFormat="1" ht="12.75" x14ac:dyDescent="0.2">
      <c r="B10591" s="1168"/>
    </row>
    <row r="10592" spans="2:2" s="221" customFormat="1" ht="12.75" x14ac:dyDescent="0.2">
      <c r="B10592" s="1168"/>
    </row>
    <row r="10593" spans="2:2" s="221" customFormat="1" ht="12.75" x14ac:dyDescent="0.2">
      <c r="B10593" s="1168"/>
    </row>
    <row r="10594" spans="2:2" s="221" customFormat="1" ht="12.75" x14ac:dyDescent="0.2">
      <c r="B10594" s="1168"/>
    </row>
    <row r="10595" spans="2:2" s="221" customFormat="1" ht="12.75" x14ac:dyDescent="0.2">
      <c r="B10595" s="1168"/>
    </row>
    <row r="10596" spans="2:2" s="221" customFormat="1" ht="12.75" x14ac:dyDescent="0.2">
      <c r="B10596" s="1168"/>
    </row>
    <row r="10597" spans="2:2" s="221" customFormat="1" ht="12.75" x14ac:dyDescent="0.2">
      <c r="B10597" s="1168"/>
    </row>
    <row r="10598" spans="2:2" s="221" customFormat="1" ht="12.75" x14ac:dyDescent="0.2">
      <c r="B10598" s="1168"/>
    </row>
    <row r="10599" spans="2:2" s="221" customFormat="1" ht="12.75" x14ac:dyDescent="0.2">
      <c r="B10599" s="1168"/>
    </row>
    <row r="10600" spans="2:2" s="221" customFormat="1" ht="12.75" x14ac:dyDescent="0.2">
      <c r="B10600" s="1168"/>
    </row>
    <row r="10601" spans="2:2" s="221" customFormat="1" ht="12.75" x14ac:dyDescent="0.2">
      <c r="B10601" s="1168"/>
    </row>
    <row r="10602" spans="2:2" s="221" customFormat="1" ht="12.75" x14ac:dyDescent="0.2">
      <c r="B10602" s="1168"/>
    </row>
    <row r="10603" spans="2:2" s="221" customFormat="1" ht="12.75" x14ac:dyDescent="0.2">
      <c r="B10603" s="1168"/>
    </row>
    <row r="10604" spans="2:2" s="221" customFormat="1" ht="12.75" x14ac:dyDescent="0.2">
      <c r="B10604" s="1168"/>
    </row>
    <row r="10605" spans="2:2" s="221" customFormat="1" ht="12.75" x14ac:dyDescent="0.2">
      <c r="B10605" s="1168"/>
    </row>
    <row r="10606" spans="2:2" s="221" customFormat="1" ht="12.75" x14ac:dyDescent="0.2">
      <c r="B10606" s="1168"/>
    </row>
    <row r="10607" spans="2:2" s="221" customFormat="1" ht="12.75" x14ac:dyDescent="0.2">
      <c r="B10607" s="1168"/>
    </row>
    <row r="10608" spans="2:2" s="221" customFormat="1" ht="12.75" x14ac:dyDescent="0.2">
      <c r="B10608" s="1168"/>
    </row>
    <row r="10609" spans="2:2" s="221" customFormat="1" ht="12.75" x14ac:dyDescent="0.2">
      <c r="B10609" s="1168"/>
    </row>
    <row r="10610" spans="2:2" s="221" customFormat="1" ht="12.75" x14ac:dyDescent="0.2">
      <c r="B10610" s="1168"/>
    </row>
    <row r="10611" spans="2:2" s="221" customFormat="1" ht="12.75" x14ac:dyDescent="0.2">
      <c r="B10611" s="1168"/>
    </row>
    <row r="10612" spans="2:2" s="221" customFormat="1" ht="12.75" x14ac:dyDescent="0.2">
      <c r="B10612" s="1168"/>
    </row>
    <row r="10613" spans="2:2" s="221" customFormat="1" ht="12.75" x14ac:dyDescent="0.2">
      <c r="B10613" s="1168"/>
    </row>
    <row r="10614" spans="2:2" s="221" customFormat="1" ht="12.75" x14ac:dyDescent="0.2">
      <c r="B10614" s="1168"/>
    </row>
    <row r="10615" spans="2:2" s="221" customFormat="1" ht="12.75" x14ac:dyDescent="0.2">
      <c r="B10615" s="1168"/>
    </row>
    <row r="10616" spans="2:2" s="221" customFormat="1" ht="12.75" x14ac:dyDescent="0.2">
      <c r="B10616" s="1168"/>
    </row>
    <row r="10617" spans="2:2" s="221" customFormat="1" ht="12.75" x14ac:dyDescent="0.2">
      <c r="B10617" s="1168"/>
    </row>
    <row r="10618" spans="2:2" s="221" customFormat="1" ht="12.75" x14ac:dyDescent="0.2">
      <c r="B10618" s="1168"/>
    </row>
    <row r="10619" spans="2:2" s="221" customFormat="1" ht="12.75" x14ac:dyDescent="0.2">
      <c r="B10619" s="1168"/>
    </row>
    <row r="10620" spans="2:2" s="221" customFormat="1" ht="12.75" x14ac:dyDescent="0.2">
      <c r="B10620" s="1168"/>
    </row>
    <row r="10621" spans="2:2" s="221" customFormat="1" ht="12.75" x14ac:dyDescent="0.2">
      <c r="B10621" s="1168"/>
    </row>
    <row r="10622" spans="2:2" s="221" customFormat="1" ht="12.75" x14ac:dyDescent="0.2">
      <c r="B10622" s="1168"/>
    </row>
    <row r="10623" spans="2:2" s="221" customFormat="1" ht="12.75" x14ac:dyDescent="0.2">
      <c r="B10623" s="1168"/>
    </row>
    <row r="10624" spans="2:2" s="221" customFormat="1" ht="12.75" x14ac:dyDescent="0.2">
      <c r="B10624" s="1168"/>
    </row>
    <row r="10625" spans="2:2" s="221" customFormat="1" ht="12.75" x14ac:dyDescent="0.2">
      <c r="B10625" s="1168"/>
    </row>
    <row r="10626" spans="2:2" s="221" customFormat="1" ht="12.75" x14ac:dyDescent="0.2">
      <c r="B10626" s="1168"/>
    </row>
    <row r="10627" spans="2:2" s="221" customFormat="1" ht="12.75" x14ac:dyDescent="0.2">
      <c r="B10627" s="1168"/>
    </row>
    <row r="10628" spans="2:2" s="221" customFormat="1" ht="12.75" x14ac:dyDescent="0.2">
      <c r="B10628" s="1168"/>
    </row>
    <row r="10629" spans="2:2" s="221" customFormat="1" ht="12.75" x14ac:dyDescent="0.2">
      <c r="B10629" s="1168"/>
    </row>
    <row r="10630" spans="2:2" s="221" customFormat="1" ht="12.75" x14ac:dyDescent="0.2">
      <c r="B10630" s="1168"/>
    </row>
    <row r="10631" spans="2:2" s="221" customFormat="1" ht="12.75" x14ac:dyDescent="0.2">
      <c r="B10631" s="1168"/>
    </row>
    <row r="10632" spans="2:2" s="221" customFormat="1" ht="12.75" x14ac:dyDescent="0.2">
      <c r="B10632" s="1168"/>
    </row>
    <row r="10633" spans="2:2" s="221" customFormat="1" ht="12.75" x14ac:dyDescent="0.2">
      <c r="B10633" s="1168"/>
    </row>
    <row r="10634" spans="2:2" s="221" customFormat="1" ht="12.75" x14ac:dyDescent="0.2">
      <c r="B10634" s="1168"/>
    </row>
    <row r="10635" spans="2:2" s="221" customFormat="1" ht="12.75" x14ac:dyDescent="0.2">
      <c r="B10635" s="1168"/>
    </row>
    <row r="10636" spans="2:2" s="221" customFormat="1" ht="12.75" x14ac:dyDescent="0.2">
      <c r="B10636" s="1168"/>
    </row>
    <row r="10637" spans="2:2" s="221" customFormat="1" ht="12.75" x14ac:dyDescent="0.2">
      <c r="B10637" s="1168"/>
    </row>
    <row r="10638" spans="2:2" s="221" customFormat="1" ht="12.75" x14ac:dyDescent="0.2">
      <c r="B10638" s="1168"/>
    </row>
    <row r="10639" spans="2:2" s="221" customFormat="1" ht="12.75" x14ac:dyDescent="0.2">
      <c r="B10639" s="1168"/>
    </row>
    <row r="10640" spans="2:2" s="221" customFormat="1" ht="12.75" x14ac:dyDescent="0.2">
      <c r="B10640" s="1168"/>
    </row>
    <row r="10641" spans="2:2" s="221" customFormat="1" ht="12.75" x14ac:dyDescent="0.2">
      <c r="B10641" s="1168"/>
    </row>
    <row r="10642" spans="2:2" s="221" customFormat="1" ht="12.75" x14ac:dyDescent="0.2">
      <c r="B10642" s="1168"/>
    </row>
    <row r="10643" spans="2:2" s="221" customFormat="1" ht="12.75" x14ac:dyDescent="0.2">
      <c r="B10643" s="1168"/>
    </row>
    <row r="10644" spans="2:2" s="221" customFormat="1" ht="12.75" x14ac:dyDescent="0.2">
      <c r="B10644" s="1168"/>
    </row>
    <row r="10645" spans="2:2" s="221" customFormat="1" ht="12.75" x14ac:dyDescent="0.2">
      <c r="B10645" s="1168"/>
    </row>
    <row r="10646" spans="2:2" s="221" customFormat="1" ht="12.75" x14ac:dyDescent="0.2">
      <c r="B10646" s="1168"/>
    </row>
    <row r="10647" spans="2:2" s="221" customFormat="1" ht="12.75" x14ac:dyDescent="0.2">
      <c r="B10647" s="1168"/>
    </row>
    <row r="10648" spans="2:2" s="221" customFormat="1" ht="12.75" x14ac:dyDescent="0.2">
      <c r="B10648" s="1168"/>
    </row>
    <row r="10649" spans="2:2" s="221" customFormat="1" ht="12.75" x14ac:dyDescent="0.2">
      <c r="B10649" s="1168"/>
    </row>
    <row r="10650" spans="2:2" s="221" customFormat="1" ht="12.75" x14ac:dyDescent="0.2">
      <c r="B10650" s="1168"/>
    </row>
    <row r="10651" spans="2:2" s="221" customFormat="1" ht="12.75" x14ac:dyDescent="0.2">
      <c r="B10651" s="1168"/>
    </row>
    <row r="10652" spans="2:2" s="221" customFormat="1" ht="12.75" x14ac:dyDescent="0.2">
      <c r="B10652" s="1168"/>
    </row>
    <row r="10653" spans="2:2" s="221" customFormat="1" ht="12.75" x14ac:dyDescent="0.2">
      <c r="B10653" s="1168"/>
    </row>
    <row r="10654" spans="2:2" s="221" customFormat="1" ht="12.75" x14ac:dyDescent="0.2">
      <c r="B10654" s="1168"/>
    </row>
    <row r="10655" spans="2:2" s="221" customFormat="1" ht="12.75" x14ac:dyDescent="0.2">
      <c r="B10655" s="1168"/>
    </row>
    <row r="10656" spans="2:2" s="221" customFormat="1" ht="12.75" x14ac:dyDescent="0.2">
      <c r="B10656" s="1168"/>
    </row>
    <row r="10657" spans="2:2" s="221" customFormat="1" ht="12.75" x14ac:dyDescent="0.2">
      <c r="B10657" s="1168"/>
    </row>
    <row r="10658" spans="2:2" s="221" customFormat="1" ht="12.75" x14ac:dyDescent="0.2">
      <c r="B10658" s="1168"/>
    </row>
    <row r="10659" spans="2:2" s="221" customFormat="1" ht="12.75" x14ac:dyDescent="0.2">
      <c r="B10659" s="1168"/>
    </row>
    <row r="10660" spans="2:2" s="221" customFormat="1" ht="12.75" x14ac:dyDescent="0.2">
      <c r="B10660" s="1168"/>
    </row>
    <row r="10661" spans="2:2" s="221" customFormat="1" ht="12.75" x14ac:dyDescent="0.2">
      <c r="B10661" s="1168"/>
    </row>
    <row r="10662" spans="2:2" s="221" customFormat="1" ht="12.75" x14ac:dyDescent="0.2">
      <c r="B10662" s="1168"/>
    </row>
    <row r="10663" spans="2:2" s="221" customFormat="1" ht="12.75" x14ac:dyDescent="0.2">
      <c r="B10663" s="1168"/>
    </row>
    <row r="10664" spans="2:2" s="221" customFormat="1" ht="12.75" x14ac:dyDescent="0.2">
      <c r="B10664" s="1168"/>
    </row>
    <row r="10665" spans="2:2" s="221" customFormat="1" ht="12.75" x14ac:dyDescent="0.2">
      <c r="B10665" s="1168"/>
    </row>
    <row r="10666" spans="2:2" s="221" customFormat="1" ht="12.75" x14ac:dyDescent="0.2">
      <c r="B10666" s="1168"/>
    </row>
    <row r="10667" spans="2:2" s="221" customFormat="1" ht="12.75" x14ac:dyDescent="0.2">
      <c r="B10667" s="1168"/>
    </row>
    <row r="10668" spans="2:2" s="221" customFormat="1" ht="12.75" x14ac:dyDescent="0.2">
      <c r="B10668" s="1168"/>
    </row>
    <row r="10669" spans="2:2" s="221" customFormat="1" ht="12.75" x14ac:dyDescent="0.2">
      <c r="B10669" s="1168"/>
    </row>
    <row r="10670" spans="2:2" s="221" customFormat="1" ht="12.75" x14ac:dyDescent="0.2">
      <c r="B10670" s="1168"/>
    </row>
    <row r="10671" spans="2:2" s="221" customFormat="1" ht="12.75" x14ac:dyDescent="0.2">
      <c r="B10671" s="1168"/>
    </row>
    <row r="10672" spans="2:2" s="221" customFormat="1" ht="12.75" x14ac:dyDescent="0.2">
      <c r="B10672" s="1168"/>
    </row>
    <row r="10673" spans="2:2" s="221" customFormat="1" ht="12.75" x14ac:dyDescent="0.2">
      <c r="B10673" s="1168"/>
    </row>
    <row r="10674" spans="2:2" s="221" customFormat="1" ht="12.75" x14ac:dyDescent="0.2">
      <c r="B10674" s="1168"/>
    </row>
    <row r="10675" spans="2:2" s="221" customFormat="1" ht="12.75" x14ac:dyDescent="0.2">
      <c r="B10675" s="1168"/>
    </row>
    <row r="10676" spans="2:2" s="221" customFormat="1" ht="12.75" x14ac:dyDescent="0.2">
      <c r="B10676" s="1168"/>
    </row>
    <row r="10677" spans="2:2" s="221" customFormat="1" ht="12.75" x14ac:dyDescent="0.2">
      <c r="B10677" s="1168"/>
    </row>
    <row r="10678" spans="2:2" s="221" customFormat="1" ht="12.75" x14ac:dyDescent="0.2">
      <c r="B10678" s="1168"/>
    </row>
    <row r="10679" spans="2:2" s="221" customFormat="1" ht="12.75" x14ac:dyDescent="0.2">
      <c r="B10679" s="1168"/>
    </row>
    <row r="10680" spans="2:2" s="221" customFormat="1" ht="12.75" x14ac:dyDescent="0.2">
      <c r="B10680" s="1168"/>
    </row>
    <row r="10681" spans="2:2" s="221" customFormat="1" ht="12.75" x14ac:dyDescent="0.2">
      <c r="B10681" s="1168"/>
    </row>
    <row r="10682" spans="2:2" s="221" customFormat="1" ht="12.75" x14ac:dyDescent="0.2">
      <c r="B10682" s="1168"/>
    </row>
    <row r="10683" spans="2:2" s="221" customFormat="1" ht="12.75" x14ac:dyDescent="0.2">
      <c r="B10683" s="1168"/>
    </row>
    <row r="10684" spans="2:2" s="221" customFormat="1" ht="12.75" x14ac:dyDescent="0.2">
      <c r="B10684" s="1168"/>
    </row>
    <row r="10685" spans="2:2" s="221" customFormat="1" ht="12.75" x14ac:dyDescent="0.2">
      <c r="B10685" s="1168"/>
    </row>
    <row r="10686" spans="2:2" s="221" customFormat="1" ht="12.75" x14ac:dyDescent="0.2">
      <c r="B10686" s="1168"/>
    </row>
    <row r="10687" spans="2:2" s="221" customFormat="1" ht="12.75" x14ac:dyDescent="0.2">
      <c r="B10687" s="1168"/>
    </row>
    <row r="10688" spans="2:2" s="221" customFormat="1" ht="12.75" x14ac:dyDescent="0.2">
      <c r="B10688" s="1168"/>
    </row>
    <row r="10689" spans="2:2" s="221" customFormat="1" ht="12.75" x14ac:dyDescent="0.2">
      <c r="B10689" s="1168"/>
    </row>
    <row r="10690" spans="2:2" s="221" customFormat="1" ht="12.75" x14ac:dyDescent="0.2">
      <c r="B10690" s="1168"/>
    </row>
    <row r="10691" spans="2:2" s="221" customFormat="1" ht="12.75" x14ac:dyDescent="0.2">
      <c r="B10691" s="1168"/>
    </row>
    <row r="10692" spans="2:2" s="221" customFormat="1" ht="12.75" x14ac:dyDescent="0.2">
      <c r="B10692" s="1168"/>
    </row>
    <row r="10693" spans="2:2" s="221" customFormat="1" ht="12.75" x14ac:dyDescent="0.2">
      <c r="B10693" s="1168"/>
    </row>
    <row r="10694" spans="2:2" s="221" customFormat="1" ht="12.75" x14ac:dyDescent="0.2">
      <c r="B10694" s="1168"/>
    </row>
    <row r="10695" spans="2:2" s="221" customFormat="1" ht="12.75" x14ac:dyDescent="0.2">
      <c r="B10695" s="1168"/>
    </row>
    <row r="10696" spans="2:2" s="221" customFormat="1" ht="12.75" x14ac:dyDescent="0.2">
      <c r="B10696" s="1168"/>
    </row>
    <row r="10697" spans="2:2" s="221" customFormat="1" ht="12.75" x14ac:dyDescent="0.2">
      <c r="B10697" s="1168"/>
    </row>
    <row r="10698" spans="2:2" s="221" customFormat="1" ht="12.75" x14ac:dyDescent="0.2">
      <c r="B10698" s="1168"/>
    </row>
    <row r="10699" spans="2:2" s="221" customFormat="1" ht="12.75" x14ac:dyDescent="0.2">
      <c r="B10699" s="1168"/>
    </row>
    <row r="10700" spans="2:2" s="221" customFormat="1" ht="12.75" x14ac:dyDescent="0.2">
      <c r="B10700" s="1168"/>
    </row>
    <row r="10701" spans="2:2" s="221" customFormat="1" ht="12.75" x14ac:dyDescent="0.2">
      <c r="B10701" s="1168"/>
    </row>
    <row r="10702" spans="2:2" s="221" customFormat="1" ht="12.75" x14ac:dyDescent="0.2">
      <c r="B10702" s="1168"/>
    </row>
    <row r="10703" spans="2:2" s="221" customFormat="1" ht="12.75" x14ac:dyDescent="0.2">
      <c r="B10703" s="1168"/>
    </row>
    <row r="10704" spans="2:2" s="221" customFormat="1" ht="12.75" x14ac:dyDescent="0.2">
      <c r="B10704" s="1168"/>
    </row>
    <row r="10705" spans="2:2" s="221" customFormat="1" ht="12.75" x14ac:dyDescent="0.2">
      <c r="B10705" s="1168"/>
    </row>
    <row r="10706" spans="2:2" s="221" customFormat="1" ht="12.75" x14ac:dyDescent="0.2">
      <c r="B10706" s="1168"/>
    </row>
    <row r="10707" spans="2:2" s="221" customFormat="1" ht="12.75" x14ac:dyDescent="0.2">
      <c r="B10707" s="1168"/>
    </row>
    <row r="10708" spans="2:2" s="221" customFormat="1" ht="12.75" x14ac:dyDescent="0.2">
      <c r="B10708" s="1168"/>
    </row>
    <row r="10709" spans="2:2" s="221" customFormat="1" ht="12.75" x14ac:dyDescent="0.2">
      <c r="B10709" s="1168"/>
    </row>
    <row r="10710" spans="2:2" s="221" customFormat="1" ht="12.75" x14ac:dyDescent="0.2">
      <c r="B10710" s="1168"/>
    </row>
    <row r="10711" spans="2:2" s="221" customFormat="1" ht="12.75" x14ac:dyDescent="0.2">
      <c r="B10711" s="1168"/>
    </row>
    <row r="10712" spans="2:2" s="221" customFormat="1" ht="12.75" x14ac:dyDescent="0.2">
      <c r="B10712" s="1168"/>
    </row>
    <row r="10713" spans="2:2" s="221" customFormat="1" ht="12.75" x14ac:dyDescent="0.2">
      <c r="B10713" s="1168"/>
    </row>
    <row r="10714" spans="2:2" s="221" customFormat="1" ht="12.75" x14ac:dyDescent="0.2">
      <c r="B10714" s="1168"/>
    </row>
    <row r="10715" spans="2:2" s="221" customFormat="1" ht="12.75" x14ac:dyDescent="0.2">
      <c r="B10715" s="1168"/>
    </row>
    <row r="10716" spans="2:2" s="221" customFormat="1" ht="12.75" x14ac:dyDescent="0.2">
      <c r="B10716" s="1168"/>
    </row>
    <row r="10717" spans="2:2" s="221" customFormat="1" ht="12.75" x14ac:dyDescent="0.2">
      <c r="B10717" s="1168"/>
    </row>
    <row r="10718" spans="2:2" s="221" customFormat="1" ht="12.75" x14ac:dyDescent="0.2">
      <c r="B10718" s="1168"/>
    </row>
    <row r="10719" spans="2:2" s="221" customFormat="1" ht="12.75" x14ac:dyDescent="0.2">
      <c r="B10719" s="1168"/>
    </row>
    <row r="10720" spans="2:2" s="221" customFormat="1" ht="12.75" x14ac:dyDescent="0.2">
      <c r="B10720" s="1168"/>
    </row>
    <row r="10721" spans="2:2" s="221" customFormat="1" ht="12.75" x14ac:dyDescent="0.2">
      <c r="B10721" s="1168"/>
    </row>
    <row r="10722" spans="2:2" s="221" customFormat="1" ht="12.75" x14ac:dyDescent="0.2">
      <c r="B10722" s="1168"/>
    </row>
    <row r="10723" spans="2:2" s="221" customFormat="1" ht="12.75" x14ac:dyDescent="0.2">
      <c r="B10723" s="1168"/>
    </row>
    <row r="10724" spans="2:2" s="221" customFormat="1" ht="12.75" x14ac:dyDescent="0.2">
      <c r="B10724" s="1168"/>
    </row>
    <row r="10725" spans="2:2" s="221" customFormat="1" ht="12.75" x14ac:dyDescent="0.2">
      <c r="B10725" s="1168"/>
    </row>
    <row r="10726" spans="2:2" s="221" customFormat="1" ht="12.75" x14ac:dyDescent="0.2">
      <c r="B10726" s="1168"/>
    </row>
    <row r="10727" spans="2:2" s="221" customFormat="1" ht="12.75" x14ac:dyDescent="0.2">
      <c r="B10727" s="1168"/>
    </row>
    <row r="10728" spans="2:2" s="221" customFormat="1" ht="12.75" x14ac:dyDescent="0.2">
      <c r="B10728" s="1168"/>
    </row>
    <row r="10729" spans="2:2" s="221" customFormat="1" ht="12.75" x14ac:dyDescent="0.2">
      <c r="B10729" s="1168"/>
    </row>
    <row r="10730" spans="2:2" s="221" customFormat="1" ht="12.75" x14ac:dyDescent="0.2">
      <c r="B10730" s="1168"/>
    </row>
    <row r="10731" spans="2:2" s="221" customFormat="1" ht="12.75" x14ac:dyDescent="0.2">
      <c r="B10731" s="1168"/>
    </row>
    <row r="10732" spans="2:2" s="221" customFormat="1" ht="12.75" x14ac:dyDescent="0.2">
      <c r="B10732" s="1168"/>
    </row>
    <row r="10733" spans="2:2" s="221" customFormat="1" ht="12.75" x14ac:dyDescent="0.2">
      <c r="B10733" s="1168"/>
    </row>
    <row r="10734" spans="2:2" s="221" customFormat="1" ht="12.75" x14ac:dyDescent="0.2">
      <c r="B10734" s="1168"/>
    </row>
    <row r="10735" spans="2:2" s="221" customFormat="1" ht="12.75" x14ac:dyDescent="0.2">
      <c r="B10735" s="1168"/>
    </row>
    <row r="10736" spans="2:2" s="221" customFormat="1" ht="12.75" x14ac:dyDescent="0.2">
      <c r="B10736" s="1168"/>
    </row>
    <row r="10737" spans="2:2" s="221" customFormat="1" ht="12.75" x14ac:dyDescent="0.2">
      <c r="B10737" s="1168"/>
    </row>
    <row r="10738" spans="2:2" s="221" customFormat="1" ht="12.75" x14ac:dyDescent="0.2">
      <c r="B10738" s="1168"/>
    </row>
    <row r="10739" spans="2:2" s="221" customFormat="1" ht="12.75" x14ac:dyDescent="0.2">
      <c r="B10739" s="1168"/>
    </row>
    <row r="10740" spans="2:2" s="221" customFormat="1" ht="12.75" x14ac:dyDescent="0.2">
      <c r="B10740" s="1168"/>
    </row>
    <row r="10741" spans="2:2" s="221" customFormat="1" ht="12.75" x14ac:dyDescent="0.2">
      <c r="B10741" s="1168"/>
    </row>
    <row r="10742" spans="2:2" s="221" customFormat="1" ht="12.75" x14ac:dyDescent="0.2">
      <c r="B10742" s="1168"/>
    </row>
    <row r="10743" spans="2:2" s="221" customFormat="1" ht="12.75" x14ac:dyDescent="0.2">
      <c r="B10743" s="1168"/>
    </row>
    <row r="10744" spans="2:2" s="221" customFormat="1" ht="12.75" x14ac:dyDescent="0.2">
      <c r="B10744" s="1168"/>
    </row>
    <row r="10745" spans="2:2" s="221" customFormat="1" ht="12.75" x14ac:dyDescent="0.2">
      <c r="B10745" s="1168"/>
    </row>
    <row r="10746" spans="2:2" s="221" customFormat="1" ht="12.75" x14ac:dyDescent="0.2">
      <c r="B10746" s="1168"/>
    </row>
    <row r="10747" spans="2:2" s="221" customFormat="1" ht="12.75" x14ac:dyDescent="0.2">
      <c r="B10747" s="1168"/>
    </row>
    <row r="10748" spans="2:2" s="221" customFormat="1" ht="12.75" x14ac:dyDescent="0.2">
      <c r="B10748" s="1168"/>
    </row>
    <row r="10749" spans="2:2" s="221" customFormat="1" ht="12.75" x14ac:dyDescent="0.2">
      <c r="B10749" s="1168"/>
    </row>
    <row r="10750" spans="2:2" s="221" customFormat="1" ht="12.75" x14ac:dyDescent="0.2">
      <c r="B10750" s="1168"/>
    </row>
    <row r="10751" spans="2:2" s="221" customFormat="1" ht="12.75" x14ac:dyDescent="0.2">
      <c r="B10751" s="1168"/>
    </row>
    <row r="10752" spans="2:2" s="221" customFormat="1" ht="12.75" x14ac:dyDescent="0.2">
      <c r="B10752" s="1168"/>
    </row>
    <row r="10753" spans="2:2" s="221" customFormat="1" ht="12.75" x14ac:dyDescent="0.2">
      <c r="B10753" s="1168"/>
    </row>
    <row r="10754" spans="2:2" s="221" customFormat="1" ht="12.75" x14ac:dyDescent="0.2">
      <c r="B10754" s="1168"/>
    </row>
    <row r="10755" spans="2:2" s="221" customFormat="1" ht="12.75" x14ac:dyDescent="0.2">
      <c r="B10755" s="1168"/>
    </row>
    <row r="10756" spans="2:2" s="221" customFormat="1" ht="12.75" x14ac:dyDescent="0.2">
      <c r="B10756" s="1168"/>
    </row>
    <row r="10757" spans="2:2" s="221" customFormat="1" ht="12.75" x14ac:dyDescent="0.2">
      <c r="B10757" s="1168"/>
    </row>
    <row r="10758" spans="2:2" s="221" customFormat="1" ht="12.75" x14ac:dyDescent="0.2">
      <c r="B10758" s="1168"/>
    </row>
    <row r="10759" spans="2:2" s="221" customFormat="1" ht="12.75" x14ac:dyDescent="0.2">
      <c r="B10759" s="1168"/>
    </row>
    <row r="10760" spans="2:2" s="221" customFormat="1" ht="12.75" x14ac:dyDescent="0.2">
      <c r="B10760" s="1168"/>
    </row>
    <row r="10761" spans="2:2" s="221" customFormat="1" ht="12.75" x14ac:dyDescent="0.2">
      <c r="B10761" s="1168"/>
    </row>
    <row r="10762" spans="2:2" s="221" customFormat="1" ht="12.75" x14ac:dyDescent="0.2">
      <c r="B10762" s="1168"/>
    </row>
    <row r="10763" spans="2:2" s="221" customFormat="1" ht="12.75" x14ac:dyDescent="0.2">
      <c r="B10763" s="1168"/>
    </row>
    <row r="10764" spans="2:2" s="221" customFormat="1" ht="12.75" x14ac:dyDescent="0.2">
      <c r="B10764" s="1168"/>
    </row>
    <row r="10765" spans="2:2" s="221" customFormat="1" ht="12.75" x14ac:dyDescent="0.2">
      <c r="B10765" s="1168"/>
    </row>
    <row r="10766" spans="2:2" s="221" customFormat="1" ht="12.75" x14ac:dyDescent="0.2">
      <c r="B10766" s="1168"/>
    </row>
    <row r="10767" spans="2:2" s="221" customFormat="1" ht="12.75" x14ac:dyDescent="0.2">
      <c r="B10767" s="1168"/>
    </row>
    <row r="10768" spans="2:2" s="221" customFormat="1" ht="12.75" x14ac:dyDescent="0.2">
      <c r="B10768" s="1168"/>
    </row>
    <row r="10769" spans="2:2" s="221" customFormat="1" ht="12.75" x14ac:dyDescent="0.2">
      <c r="B10769" s="1168"/>
    </row>
    <row r="10770" spans="2:2" s="221" customFormat="1" ht="12.75" x14ac:dyDescent="0.2">
      <c r="B10770" s="1168"/>
    </row>
    <row r="10771" spans="2:2" s="221" customFormat="1" ht="12.75" x14ac:dyDescent="0.2">
      <c r="B10771" s="1168"/>
    </row>
    <row r="10772" spans="2:2" s="221" customFormat="1" ht="12.75" x14ac:dyDescent="0.2">
      <c r="B10772" s="1168"/>
    </row>
    <row r="10773" spans="2:2" s="221" customFormat="1" ht="12.75" x14ac:dyDescent="0.2">
      <c r="B10773" s="1168"/>
    </row>
    <row r="10774" spans="2:2" s="221" customFormat="1" ht="12.75" x14ac:dyDescent="0.2">
      <c r="B10774" s="1168"/>
    </row>
    <row r="10775" spans="2:2" s="221" customFormat="1" ht="12.75" x14ac:dyDescent="0.2">
      <c r="B10775" s="1168"/>
    </row>
    <row r="10776" spans="2:2" s="221" customFormat="1" ht="12.75" x14ac:dyDescent="0.2">
      <c r="B10776" s="1168"/>
    </row>
    <row r="10777" spans="2:2" s="221" customFormat="1" ht="12.75" x14ac:dyDescent="0.2">
      <c r="B10777" s="1168"/>
    </row>
    <row r="10778" spans="2:2" s="221" customFormat="1" ht="12.75" x14ac:dyDescent="0.2">
      <c r="B10778" s="1168"/>
    </row>
    <row r="10779" spans="2:2" s="221" customFormat="1" ht="12.75" x14ac:dyDescent="0.2">
      <c r="B10779" s="1168"/>
    </row>
    <row r="10780" spans="2:2" s="221" customFormat="1" ht="12.75" x14ac:dyDescent="0.2">
      <c r="B10780" s="1168"/>
    </row>
    <row r="10781" spans="2:2" s="221" customFormat="1" ht="12.75" x14ac:dyDescent="0.2">
      <c r="B10781" s="1168"/>
    </row>
    <row r="10782" spans="2:2" s="221" customFormat="1" ht="12.75" x14ac:dyDescent="0.2">
      <c r="B10782" s="1168"/>
    </row>
    <row r="10783" spans="2:2" s="221" customFormat="1" ht="12.75" x14ac:dyDescent="0.2">
      <c r="B10783" s="1168"/>
    </row>
    <row r="10784" spans="2:2" s="221" customFormat="1" ht="12.75" x14ac:dyDescent="0.2">
      <c r="B10784" s="1168"/>
    </row>
    <row r="10785" spans="2:2" s="221" customFormat="1" ht="12.75" x14ac:dyDescent="0.2">
      <c r="B10785" s="1168"/>
    </row>
    <row r="10786" spans="2:2" s="221" customFormat="1" ht="12.75" x14ac:dyDescent="0.2">
      <c r="B10786" s="1168"/>
    </row>
    <row r="10787" spans="2:2" s="221" customFormat="1" ht="12.75" x14ac:dyDescent="0.2">
      <c r="B10787" s="1168"/>
    </row>
    <row r="10788" spans="2:2" s="221" customFormat="1" ht="12.75" x14ac:dyDescent="0.2">
      <c r="B10788" s="1168"/>
    </row>
    <row r="10789" spans="2:2" s="221" customFormat="1" ht="12.75" x14ac:dyDescent="0.2">
      <c r="B10789" s="1168"/>
    </row>
    <row r="10790" spans="2:2" s="221" customFormat="1" ht="12.75" x14ac:dyDescent="0.2">
      <c r="B10790" s="1168"/>
    </row>
    <row r="10791" spans="2:2" s="221" customFormat="1" ht="12.75" x14ac:dyDescent="0.2">
      <c r="B10791" s="1168"/>
    </row>
    <row r="10792" spans="2:2" s="221" customFormat="1" ht="12.75" x14ac:dyDescent="0.2">
      <c r="B10792" s="1168"/>
    </row>
    <row r="10793" spans="2:2" s="221" customFormat="1" ht="12.75" x14ac:dyDescent="0.2">
      <c r="B10793" s="1168"/>
    </row>
    <row r="10794" spans="2:2" s="221" customFormat="1" ht="12.75" x14ac:dyDescent="0.2">
      <c r="B10794" s="1168"/>
    </row>
    <row r="10795" spans="2:2" s="221" customFormat="1" ht="12.75" x14ac:dyDescent="0.2">
      <c r="B10795" s="1168"/>
    </row>
    <row r="10796" spans="2:2" s="221" customFormat="1" ht="12.75" x14ac:dyDescent="0.2">
      <c r="B10796" s="1168"/>
    </row>
    <row r="10797" spans="2:2" s="221" customFormat="1" ht="12.75" x14ac:dyDescent="0.2">
      <c r="B10797" s="1168"/>
    </row>
    <row r="10798" spans="2:2" s="221" customFormat="1" ht="12.75" x14ac:dyDescent="0.2">
      <c r="B10798" s="1168"/>
    </row>
    <row r="10799" spans="2:2" s="221" customFormat="1" ht="12.75" x14ac:dyDescent="0.2">
      <c r="B10799" s="1168"/>
    </row>
    <row r="10800" spans="2:2" s="221" customFormat="1" ht="12.75" x14ac:dyDescent="0.2">
      <c r="B10800" s="1168"/>
    </row>
    <row r="10801" spans="2:2" s="221" customFormat="1" ht="12.75" x14ac:dyDescent="0.2">
      <c r="B10801" s="1168"/>
    </row>
    <row r="10802" spans="2:2" s="221" customFormat="1" ht="12.75" x14ac:dyDescent="0.2">
      <c r="B10802" s="1168"/>
    </row>
    <row r="10803" spans="2:2" s="221" customFormat="1" ht="12.75" x14ac:dyDescent="0.2">
      <c r="B10803" s="1168"/>
    </row>
    <row r="10804" spans="2:2" s="221" customFormat="1" ht="12.75" x14ac:dyDescent="0.2">
      <c r="B10804" s="1168"/>
    </row>
    <row r="10805" spans="2:2" s="221" customFormat="1" ht="12.75" x14ac:dyDescent="0.2">
      <c r="B10805" s="1168"/>
    </row>
    <row r="10806" spans="2:2" s="221" customFormat="1" ht="12.75" x14ac:dyDescent="0.2">
      <c r="B10806" s="1168"/>
    </row>
    <row r="10807" spans="2:2" s="221" customFormat="1" ht="12.75" x14ac:dyDescent="0.2">
      <c r="B10807" s="1168"/>
    </row>
    <row r="10808" spans="2:2" s="221" customFormat="1" ht="12.75" x14ac:dyDescent="0.2">
      <c r="B10808" s="1168"/>
    </row>
    <row r="10809" spans="2:2" s="221" customFormat="1" ht="12.75" x14ac:dyDescent="0.2">
      <c r="B10809" s="1168"/>
    </row>
    <row r="10810" spans="2:2" s="221" customFormat="1" ht="12.75" x14ac:dyDescent="0.2">
      <c r="B10810" s="1168"/>
    </row>
    <row r="10811" spans="2:2" s="221" customFormat="1" ht="12.75" x14ac:dyDescent="0.2">
      <c r="B10811" s="1168"/>
    </row>
    <row r="10812" spans="2:2" s="221" customFormat="1" ht="12.75" x14ac:dyDescent="0.2">
      <c r="B10812" s="1168"/>
    </row>
    <row r="10813" spans="2:2" s="221" customFormat="1" ht="12.75" x14ac:dyDescent="0.2">
      <c r="B10813" s="1168"/>
    </row>
    <row r="10814" spans="2:2" s="221" customFormat="1" ht="12.75" x14ac:dyDescent="0.2">
      <c r="B10814" s="1168"/>
    </row>
    <row r="10815" spans="2:2" s="221" customFormat="1" ht="12.75" x14ac:dyDescent="0.2">
      <c r="B10815" s="1168"/>
    </row>
    <row r="10816" spans="2:2" s="221" customFormat="1" ht="12.75" x14ac:dyDescent="0.2">
      <c r="B10816" s="1168"/>
    </row>
    <row r="10817" spans="2:2" s="221" customFormat="1" ht="12.75" x14ac:dyDescent="0.2">
      <c r="B10817" s="1168"/>
    </row>
    <row r="10818" spans="2:2" s="221" customFormat="1" ht="12.75" x14ac:dyDescent="0.2">
      <c r="B10818" s="1168"/>
    </row>
    <row r="10819" spans="2:2" s="221" customFormat="1" ht="12.75" x14ac:dyDescent="0.2">
      <c r="B10819" s="1168"/>
    </row>
    <row r="10820" spans="2:2" s="221" customFormat="1" ht="12.75" x14ac:dyDescent="0.2">
      <c r="B10820" s="1168"/>
    </row>
    <row r="10821" spans="2:2" s="221" customFormat="1" ht="12.75" x14ac:dyDescent="0.2">
      <c r="B10821" s="1168"/>
    </row>
    <row r="10822" spans="2:2" s="221" customFormat="1" ht="12.75" x14ac:dyDescent="0.2">
      <c r="B10822" s="1168"/>
    </row>
    <row r="10823" spans="2:2" s="221" customFormat="1" ht="12.75" x14ac:dyDescent="0.2">
      <c r="B10823" s="1168"/>
    </row>
    <row r="10824" spans="2:2" s="221" customFormat="1" ht="12.75" x14ac:dyDescent="0.2">
      <c r="B10824" s="1168"/>
    </row>
    <row r="10825" spans="2:2" s="221" customFormat="1" ht="12.75" x14ac:dyDescent="0.2">
      <c r="B10825" s="1168"/>
    </row>
    <row r="10826" spans="2:2" s="221" customFormat="1" ht="12.75" x14ac:dyDescent="0.2">
      <c r="B10826" s="1168"/>
    </row>
    <row r="10827" spans="2:2" s="221" customFormat="1" ht="12.75" x14ac:dyDescent="0.2">
      <c r="B10827" s="1168"/>
    </row>
    <row r="10828" spans="2:2" s="221" customFormat="1" ht="12.75" x14ac:dyDescent="0.2">
      <c r="B10828" s="1168"/>
    </row>
    <row r="10829" spans="2:2" s="221" customFormat="1" ht="12.75" x14ac:dyDescent="0.2">
      <c r="B10829" s="1168"/>
    </row>
    <row r="10830" spans="2:2" s="221" customFormat="1" ht="12.75" x14ac:dyDescent="0.2">
      <c r="B10830" s="1168"/>
    </row>
    <row r="10831" spans="2:2" s="221" customFormat="1" ht="12.75" x14ac:dyDescent="0.2">
      <c r="B10831" s="1168"/>
    </row>
    <row r="10832" spans="2:2" s="221" customFormat="1" ht="12.75" x14ac:dyDescent="0.2">
      <c r="B10832" s="1168"/>
    </row>
    <row r="10833" spans="2:2" s="221" customFormat="1" ht="12.75" x14ac:dyDescent="0.2">
      <c r="B10833" s="1168"/>
    </row>
    <row r="10834" spans="2:2" s="221" customFormat="1" ht="12.75" x14ac:dyDescent="0.2">
      <c r="B10834" s="1168"/>
    </row>
    <row r="10835" spans="2:2" s="221" customFormat="1" ht="12.75" x14ac:dyDescent="0.2">
      <c r="B10835" s="1168"/>
    </row>
    <row r="10836" spans="2:2" s="221" customFormat="1" ht="12.75" x14ac:dyDescent="0.2">
      <c r="B10836" s="1168"/>
    </row>
    <row r="10837" spans="2:2" s="221" customFormat="1" ht="12.75" x14ac:dyDescent="0.2">
      <c r="B10837" s="1168"/>
    </row>
    <row r="10838" spans="2:2" s="221" customFormat="1" ht="12.75" x14ac:dyDescent="0.2">
      <c r="B10838" s="1168"/>
    </row>
    <row r="10839" spans="2:2" s="221" customFormat="1" ht="12.75" x14ac:dyDescent="0.2">
      <c r="B10839" s="1168"/>
    </row>
    <row r="10840" spans="2:2" s="221" customFormat="1" ht="12.75" x14ac:dyDescent="0.2">
      <c r="B10840" s="1168"/>
    </row>
    <row r="10841" spans="2:2" s="221" customFormat="1" ht="12.75" x14ac:dyDescent="0.2">
      <c r="B10841" s="1168"/>
    </row>
    <row r="10842" spans="2:2" s="221" customFormat="1" ht="12.75" x14ac:dyDescent="0.2">
      <c r="B10842" s="1168"/>
    </row>
    <row r="10843" spans="2:2" s="221" customFormat="1" ht="12.75" x14ac:dyDescent="0.2">
      <c r="B10843" s="1168"/>
    </row>
    <row r="10844" spans="2:2" s="221" customFormat="1" ht="12.75" x14ac:dyDescent="0.2">
      <c r="B10844" s="1168"/>
    </row>
    <row r="10845" spans="2:2" s="221" customFormat="1" ht="12.75" x14ac:dyDescent="0.2">
      <c r="B10845" s="1168"/>
    </row>
    <row r="10846" spans="2:2" s="221" customFormat="1" ht="12.75" x14ac:dyDescent="0.2">
      <c r="B10846" s="1168"/>
    </row>
    <row r="10847" spans="2:2" s="221" customFormat="1" ht="12.75" x14ac:dyDescent="0.2">
      <c r="B10847" s="1168"/>
    </row>
    <row r="10848" spans="2:2" s="221" customFormat="1" ht="12.75" x14ac:dyDescent="0.2">
      <c r="B10848" s="1168"/>
    </row>
    <row r="10849" spans="2:2" s="221" customFormat="1" ht="12.75" x14ac:dyDescent="0.2">
      <c r="B10849" s="1168"/>
    </row>
    <row r="10850" spans="2:2" s="221" customFormat="1" ht="12.75" x14ac:dyDescent="0.2">
      <c r="B10850" s="1168"/>
    </row>
    <row r="10851" spans="2:2" s="221" customFormat="1" ht="12.75" x14ac:dyDescent="0.2">
      <c r="B10851" s="1168"/>
    </row>
    <row r="10852" spans="2:2" s="221" customFormat="1" ht="12.75" x14ac:dyDescent="0.2">
      <c r="B10852" s="1168"/>
    </row>
    <row r="10853" spans="2:2" s="221" customFormat="1" ht="12.75" x14ac:dyDescent="0.2">
      <c r="B10853" s="1168"/>
    </row>
    <row r="10854" spans="2:2" s="221" customFormat="1" ht="12.75" x14ac:dyDescent="0.2">
      <c r="B10854" s="1168"/>
    </row>
    <row r="10855" spans="2:2" s="221" customFormat="1" ht="12.75" x14ac:dyDescent="0.2">
      <c r="B10855" s="1168"/>
    </row>
    <row r="10856" spans="2:2" s="221" customFormat="1" ht="12.75" x14ac:dyDescent="0.2">
      <c r="B10856" s="1168"/>
    </row>
    <row r="10857" spans="2:2" s="221" customFormat="1" ht="12.75" x14ac:dyDescent="0.2">
      <c r="B10857" s="1168"/>
    </row>
    <row r="10858" spans="2:2" s="221" customFormat="1" ht="12.75" x14ac:dyDescent="0.2">
      <c r="B10858" s="1168"/>
    </row>
    <row r="10859" spans="2:2" s="221" customFormat="1" ht="12.75" x14ac:dyDescent="0.2">
      <c r="B10859" s="1168"/>
    </row>
    <row r="10860" spans="2:2" s="221" customFormat="1" ht="12.75" x14ac:dyDescent="0.2">
      <c r="B10860" s="1168"/>
    </row>
    <row r="10861" spans="2:2" s="221" customFormat="1" ht="12.75" x14ac:dyDescent="0.2">
      <c r="B10861" s="1168"/>
    </row>
    <row r="10862" spans="2:2" s="221" customFormat="1" ht="12.75" x14ac:dyDescent="0.2">
      <c r="B10862" s="1168"/>
    </row>
    <row r="10863" spans="2:2" s="221" customFormat="1" ht="12.75" x14ac:dyDescent="0.2">
      <c r="B10863" s="1168"/>
    </row>
    <row r="10864" spans="2:2" s="221" customFormat="1" ht="12.75" x14ac:dyDescent="0.2">
      <c r="B10864" s="1168"/>
    </row>
    <row r="10865" spans="2:2" s="221" customFormat="1" ht="12.75" x14ac:dyDescent="0.2">
      <c r="B10865" s="1168"/>
    </row>
    <row r="10866" spans="2:2" s="221" customFormat="1" ht="12.75" x14ac:dyDescent="0.2">
      <c r="B10866" s="1168"/>
    </row>
    <row r="10867" spans="2:2" s="221" customFormat="1" ht="12.75" x14ac:dyDescent="0.2">
      <c r="B10867" s="1168"/>
    </row>
    <row r="10868" spans="2:2" s="221" customFormat="1" ht="12.75" x14ac:dyDescent="0.2">
      <c r="B10868" s="1168"/>
    </row>
    <row r="10869" spans="2:2" s="221" customFormat="1" ht="12.75" x14ac:dyDescent="0.2">
      <c r="B10869" s="1168"/>
    </row>
    <row r="10870" spans="2:2" s="221" customFormat="1" ht="12.75" x14ac:dyDescent="0.2">
      <c r="B10870" s="1168"/>
    </row>
    <row r="10871" spans="2:2" s="221" customFormat="1" ht="12.75" x14ac:dyDescent="0.2">
      <c r="B10871" s="1168"/>
    </row>
    <row r="10872" spans="2:2" s="221" customFormat="1" ht="12.75" x14ac:dyDescent="0.2">
      <c r="B10872" s="1168"/>
    </row>
    <row r="10873" spans="2:2" s="221" customFormat="1" ht="12.75" x14ac:dyDescent="0.2">
      <c r="B10873" s="1168"/>
    </row>
    <row r="10874" spans="2:2" s="221" customFormat="1" ht="12.75" x14ac:dyDescent="0.2">
      <c r="B10874" s="1168"/>
    </row>
    <row r="10875" spans="2:2" s="221" customFormat="1" ht="12.75" x14ac:dyDescent="0.2">
      <c r="B10875" s="1168"/>
    </row>
    <row r="10876" spans="2:2" s="221" customFormat="1" ht="12.75" x14ac:dyDescent="0.2">
      <c r="B10876" s="1168"/>
    </row>
    <row r="10877" spans="2:2" s="221" customFormat="1" ht="12.75" x14ac:dyDescent="0.2">
      <c r="B10877" s="1168"/>
    </row>
    <row r="10878" spans="2:2" s="221" customFormat="1" ht="12.75" x14ac:dyDescent="0.2">
      <c r="B10878" s="1168"/>
    </row>
    <row r="10879" spans="2:2" s="221" customFormat="1" ht="12.75" x14ac:dyDescent="0.2">
      <c r="B10879" s="1168"/>
    </row>
    <row r="10880" spans="2:2" s="221" customFormat="1" ht="12.75" x14ac:dyDescent="0.2">
      <c r="B10880" s="1168"/>
    </row>
    <row r="10881" spans="2:2" s="221" customFormat="1" ht="12.75" x14ac:dyDescent="0.2">
      <c r="B10881" s="1168"/>
    </row>
    <row r="10882" spans="2:2" s="221" customFormat="1" ht="12.75" x14ac:dyDescent="0.2">
      <c r="B10882" s="1168"/>
    </row>
    <row r="10883" spans="2:2" s="221" customFormat="1" ht="12.75" x14ac:dyDescent="0.2">
      <c r="B10883" s="1168"/>
    </row>
    <row r="10884" spans="2:2" s="221" customFormat="1" ht="12.75" x14ac:dyDescent="0.2">
      <c r="B10884" s="1168"/>
    </row>
    <row r="10885" spans="2:2" s="221" customFormat="1" ht="12.75" x14ac:dyDescent="0.2">
      <c r="B10885" s="1168"/>
    </row>
    <row r="10886" spans="2:2" s="221" customFormat="1" ht="12.75" x14ac:dyDescent="0.2">
      <c r="B10886" s="1168"/>
    </row>
    <row r="10887" spans="2:2" s="221" customFormat="1" ht="12.75" x14ac:dyDescent="0.2">
      <c r="B10887" s="1168"/>
    </row>
    <row r="10888" spans="2:2" s="221" customFormat="1" ht="12.75" x14ac:dyDescent="0.2">
      <c r="B10888" s="1168"/>
    </row>
    <row r="10889" spans="2:2" s="221" customFormat="1" ht="12.75" x14ac:dyDescent="0.2">
      <c r="B10889" s="1168"/>
    </row>
    <row r="10890" spans="2:2" s="221" customFormat="1" ht="12.75" x14ac:dyDescent="0.2">
      <c r="B10890" s="1168"/>
    </row>
    <row r="10891" spans="2:2" s="221" customFormat="1" ht="12.75" x14ac:dyDescent="0.2">
      <c r="B10891" s="1168"/>
    </row>
    <row r="10892" spans="2:2" s="221" customFormat="1" ht="12.75" x14ac:dyDescent="0.2">
      <c r="B10892" s="1168"/>
    </row>
    <row r="10893" spans="2:2" s="221" customFormat="1" ht="12.75" x14ac:dyDescent="0.2">
      <c r="B10893" s="1168"/>
    </row>
    <row r="10894" spans="2:2" s="221" customFormat="1" ht="12.75" x14ac:dyDescent="0.2">
      <c r="B10894" s="1168"/>
    </row>
    <row r="10895" spans="2:2" s="221" customFormat="1" ht="12.75" x14ac:dyDescent="0.2">
      <c r="B10895" s="1168"/>
    </row>
    <row r="10896" spans="2:2" s="221" customFormat="1" ht="12.75" x14ac:dyDescent="0.2">
      <c r="B10896" s="1168"/>
    </row>
    <row r="10897" spans="2:2" s="221" customFormat="1" ht="12.75" x14ac:dyDescent="0.2">
      <c r="B10897" s="1168"/>
    </row>
    <row r="10898" spans="2:2" s="221" customFormat="1" ht="12.75" x14ac:dyDescent="0.2">
      <c r="B10898" s="1168"/>
    </row>
    <row r="10899" spans="2:2" s="221" customFormat="1" ht="12.75" x14ac:dyDescent="0.2">
      <c r="B10899" s="1168"/>
    </row>
    <row r="10900" spans="2:2" s="221" customFormat="1" ht="12.75" x14ac:dyDescent="0.2">
      <c r="B10900" s="1168"/>
    </row>
    <row r="10901" spans="2:2" s="221" customFormat="1" ht="12.75" x14ac:dyDescent="0.2">
      <c r="B10901" s="1168"/>
    </row>
    <row r="10902" spans="2:2" s="221" customFormat="1" ht="12.75" x14ac:dyDescent="0.2">
      <c r="B10902" s="1168"/>
    </row>
    <row r="10903" spans="2:2" s="221" customFormat="1" ht="12.75" x14ac:dyDescent="0.2">
      <c r="B10903" s="1168"/>
    </row>
    <row r="10904" spans="2:2" s="221" customFormat="1" ht="12.75" x14ac:dyDescent="0.2">
      <c r="B10904" s="1168"/>
    </row>
    <row r="10905" spans="2:2" s="221" customFormat="1" ht="12.75" x14ac:dyDescent="0.2">
      <c r="B10905" s="1168"/>
    </row>
    <row r="10906" spans="2:2" s="221" customFormat="1" ht="12.75" x14ac:dyDescent="0.2">
      <c r="B10906" s="1168"/>
    </row>
    <row r="10907" spans="2:2" s="221" customFormat="1" ht="12.75" x14ac:dyDescent="0.2">
      <c r="B10907" s="1168"/>
    </row>
    <row r="10908" spans="2:2" s="221" customFormat="1" ht="12.75" x14ac:dyDescent="0.2">
      <c r="B10908" s="1168"/>
    </row>
    <row r="10909" spans="2:2" s="221" customFormat="1" ht="12.75" x14ac:dyDescent="0.2">
      <c r="B10909" s="1168"/>
    </row>
    <row r="10910" spans="2:2" s="221" customFormat="1" ht="12.75" x14ac:dyDescent="0.2">
      <c r="B10910" s="1168"/>
    </row>
    <row r="10911" spans="2:2" s="221" customFormat="1" ht="12.75" x14ac:dyDescent="0.2">
      <c r="B10911" s="1168"/>
    </row>
    <row r="10912" spans="2:2" s="221" customFormat="1" ht="12.75" x14ac:dyDescent="0.2">
      <c r="B10912" s="1168"/>
    </row>
    <row r="10913" spans="2:2" s="221" customFormat="1" ht="12.75" x14ac:dyDescent="0.2">
      <c r="B10913" s="1168"/>
    </row>
    <row r="10914" spans="2:2" s="221" customFormat="1" ht="12.75" x14ac:dyDescent="0.2">
      <c r="B10914" s="1168"/>
    </row>
    <row r="10915" spans="2:2" s="221" customFormat="1" ht="12.75" x14ac:dyDescent="0.2">
      <c r="B10915" s="1168"/>
    </row>
    <row r="10916" spans="2:2" s="221" customFormat="1" ht="12.75" x14ac:dyDescent="0.2">
      <c r="B10916" s="1168"/>
    </row>
    <row r="10917" spans="2:2" s="221" customFormat="1" ht="12.75" x14ac:dyDescent="0.2">
      <c r="B10917" s="1168"/>
    </row>
    <row r="10918" spans="2:2" s="221" customFormat="1" ht="12.75" x14ac:dyDescent="0.2">
      <c r="B10918" s="1168"/>
    </row>
    <row r="10919" spans="2:2" s="221" customFormat="1" ht="12.75" x14ac:dyDescent="0.2">
      <c r="B10919" s="1168"/>
    </row>
    <row r="10920" spans="2:2" s="221" customFormat="1" ht="12.75" x14ac:dyDescent="0.2">
      <c r="B10920" s="1168"/>
    </row>
    <row r="10921" spans="2:2" s="221" customFormat="1" ht="12.75" x14ac:dyDescent="0.2">
      <c r="B10921" s="1168"/>
    </row>
    <row r="10922" spans="2:2" s="221" customFormat="1" ht="12.75" x14ac:dyDescent="0.2">
      <c r="B10922" s="1168"/>
    </row>
    <row r="10923" spans="2:2" s="221" customFormat="1" ht="12.75" x14ac:dyDescent="0.2">
      <c r="B10923" s="1168"/>
    </row>
    <row r="10924" spans="2:2" s="221" customFormat="1" ht="12.75" x14ac:dyDescent="0.2">
      <c r="B10924" s="1168"/>
    </row>
    <row r="10925" spans="2:2" s="221" customFormat="1" ht="12.75" x14ac:dyDescent="0.2">
      <c r="B10925" s="1168"/>
    </row>
    <row r="10926" spans="2:2" s="221" customFormat="1" ht="12.75" x14ac:dyDescent="0.2">
      <c r="B10926" s="1168"/>
    </row>
    <row r="10927" spans="2:2" s="221" customFormat="1" ht="12.75" x14ac:dyDescent="0.2">
      <c r="B10927" s="1168"/>
    </row>
    <row r="10928" spans="2:2" s="221" customFormat="1" ht="12.75" x14ac:dyDescent="0.2">
      <c r="B10928" s="1168"/>
    </row>
    <row r="10929" spans="2:2" s="221" customFormat="1" ht="12.75" x14ac:dyDescent="0.2">
      <c r="B10929" s="1168"/>
    </row>
    <row r="10930" spans="2:2" s="221" customFormat="1" ht="12.75" x14ac:dyDescent="0.2">
      <c r="B10930" s="1168"/>
    </row>
    <row r="10931" spans="2:2" s="221" customFormat="1" ht="12.75" x14ac:dyDescent="0.2">
      <c r="B10931" s="1168"/>
    </row>
    <row r="10932" spans="2:2" s="221" customFormat="1" ht="12.75" x14ac:dyDescent="0.2">
      <c r="B10932" s="1168"/>
    </row>
    <row r="10933" spans="2:2" s="221" customFormat="1" ht="12.75" x14ac:dyDescent="0.2">
      <c r="B10933" s="1168"/>
    </row>
    <row r="10934" spans="2:2" s="221" customFormat="1" ht="12.75" x14ac:dyDescent="0.2">
      <c r="B10934" s="1168"/>
    </row>
    <row r="10935" spans="2:2" s="221" customFormat="1" ht="12.75" x14ac:dyDescent="0.2">
      <c r="B10935" s="1168"/>
    </row>
    <row r="10936" spans="2:2" s="221" customFormat="1" ht="12.75" x14ac:dyDescent="0.2">
      <c r="B10936" s="1168"/>
    </row>
    <row r="10937" spans="2:2" s="221" customFormat="1" ht="12.75" x14ac:dyDescent="0.2">
      <c r="B10937" s="1168"/>
    </row>
    <row r="10938" spans="2:2" s="221" customFormat="1" ht="12.75" x14ac:dyDescent="0.2">
      <c r="B10938" s="1168"/>
    </row>
    <row r="10939" spans="2:2" s="221" customFormat="1" ht="12.75" x14ac:dyDescent="0.2">
      <c r="B10939" s="1168"/>
    </row>
    <row r="10940" spans="2:2" s="221" customFormat="1" ht="12.75" x14ac:dyDescent="0.2">
      <c r="B10940" s="1168"/>
    </row>
    <row r="10941" spans="2:2" s="221" customFormat="1" ht="12.75" x14ac:dyDescent="0.2">
      <c r="B10941" s="1168"/>
    </row>
    <row r="10942" spans="2:2" s="221" customFormat="1" ht="12.75" x14ac:dyDescent="0.2">
      <c r="B10942" s="1168"/>
    </row>
    <row r="10943" spans="2:2" s="221" customFormat="1" ht="12.75" x14ac:dyDescent="0.2">
      <c r="B10943" s="1168"/>
    </row>
    <row r="10944" spans="2:2" s="221" customFormat="1" ht="12.75" x14ac:dyDescent="0.2">
      <c r="B10944" s="1168"/>
    </row>
    <row r="10945" spans="2:2" s="221" customFormat="1" ht="12.75" x14ac:dyDescent="0.2">
      <c r="B10945" s="1168"/>
    </row>
    <row r="10946" spans="2:2" s="221" customFormat="1" ht="12.75" x14ac:dyDescent="0.2">
      <c r="B10946" s="1168"/>
    </row>
    <row r="10947" spans="2:2" s="221" customFormat="1" ht="12.75" x14ac:dyDescent="0.2">
      <c r="B10947" s="1168"/>
    </row>
    <row r="10948" spans="2:2" s="221" customFormat="1" ht="12.75" x14ac:dyDescent="0.2">
      <c r="B10948" s="1168"/>
    </row>
    <row r="10949" spans="2:2" s="221" customFormat="1" ht="12.75" x14ac:dyDescent="0.2">
      <c r="B10949" s="1168"/>
    </row>
    <row r="10950" spans="2:2" s="221" customFormat="1" ht="12.75" x14ac:dyDescent="0.2">
      <c r="B10950" s="1168"/>
    </row>
    <row r="10951" spans="2:2" s="221" customFormat="1" ht="12.75" x14ac:dyDescent="0.2">
      <c r="B10951" s="1168"/>
    </row>
    <row r="10952" spans="2:2" s="221" customFormat="1" ht="12.75" x14ac:dyDescent="0.2">
      <c r="B10952" s="1168"/>
    </row>
    <row r="10953" spans="2:2" s="221" customFormat="1" ht="12.75" x14ac:dyDescent="0.2">
      <c r="B10953" s="1168"/>
    </row>
    <row r="10954" spans="2:2" s="221" customFormat="1" ht="12.75" x14ac:dyDescent="0.2">
      <c r="B10954" s="1168"/>
    </row>
    <row r="10955" spans="2:2" s="221" customFormat="1" ht="12.75" x14ac:dyDescent="0.2">
      <c r="B10955" s="1168"/>
    </row>
    <row r="10956" spans="2:2" s="221" customFormat="1" ht="12.75" x14ac:dyDescent="0.2">
      <c r="B10956" s="1168"/>
    </row>
    <row r="10957" spans="2:2" s="221" customFormat="1" ht="12.75" x14ac:dyDescent="0.2">
      <c r="B10957" s="1168"/>
    </row>
    <row r="10958" spans="2:2" s="221" customFormat="1" ht="12.75" x14ac:dyDescent="0.2">
      <c r="B10958" s="1168"/>
    </row>
    <row r="10959" spans="2:2" s="221" customFormat="1" ht="12.75" x14ac:dyDescent="0.2">
      <c r="B10959" s="1168"/>
    </row>
    <row r="10960" spans="2:2" s="221" customFormat="1" ht="12.75" x14ac:dyDescent="0.2">
      <c r="B10960" s="1168"/>
    </row>
    <row r="10961" spans="2:2" s="221" customFormat="1" ht="12.75" x14ac:dyDescent="0.2">
      <c r="B10961" s="1168"/>
    </row>
    <row r="10962" spans="2:2" s="221" customFormat="1" ht="12.75" x14ac:dyDescent="0.2">
      <c r="B10962" s="1168"/>
    </row>
    <row r="10963" spans="2:2" s="221" customFormat="1" ht="12.75" x14ac:dyDescent="0.2">
      <c r="B10963" s="1168"/>
    </row>
    <row r="10964" spans="2:2" s="221" customFormat="1" ht="12.75" x14ac:dyDescent="0.2">
      <c r="B10964" s="1168"/>
    </row>
    <row r="10965" spans="2:2" s="221" customFormat="1" ht="12.75" x14ac:dyDescent="0.2">
      <c r="B10965" s="1168"/>
    </row>
    <row r="10966" spans="2:2" s="221" customFormat="1" ht="12.75" x14ac:dyDescent="0.2">
      <c r="B10966" s="1168"/>
    </row>
    <row r="10967" spans="2:2" s="221" customFormat="1" ht="12.75" x14ac:dyDescent="0.2">
      <c r="B10967" s="1168"/>
    </row>
    <row r="10968" spans="2:2" s="221" customFormat="1" ht="12.75" x14ac:dyDescent="0.2">
      <c r="B10968" s="1168"/>
    </row>
    <row r="10969" spans="2:2" s="221" customFormat="1" ht="12.75" x14ac:dyDescent="0.2">
      <c r="B10969" s="1168"/>
    </row>
    <row r="10970" spans="2:2" s="221" customFormat="1" ht="12.75" x14ac:dyDescent="0.2">
      <c r="B10970" s="1168"/>
    </row>
    <row r="10971" spans="2:2" s="221" customFormat="1" ht="12.75" x14ac:dyDescent="0.2">
      <c r="B10971" s="1168"/>
    </row>
    <row r="10972" spans="2:2" s="221" customFormat="1" ht="12.75" x14ac:dyDescent="0.2">
      <c r="B10972" s="1168"/>
    </row>
    <row r="10973" spans="2:2" s="221" customFormat="1" ht="12.75" x14ac:dyDescent="0.2">
      <c r="B10973" s="1168"/>
    </row>
    <row r="10974" spans="2:2" s="221" customFormat="1" ht="12.75" x14ac:dyDescent="0.2">
      <c r="B10974" s="1168"/>
    </row>
    <row r="10975" spans="2:2" s="221" customFormat="1" ht="12.75" x14ac:dyDescent="0.2">
      <c r="B10975" s="1168"/>
    </row>
    <row r="10976" spans="2:2" s="221" customFormat="1" ht="12.75" x14ac:dyDescent="0.2">
      <c r="B10976" s="1168"/>
    </row>
    <row r="10977" spans="2:2" s="221" customFormat="1" ht="12.75" x14ac:dyDescent="0.2">
      <c r="B10977" s="1168"/>
    </row>
    <row r="10978" spans="2:2" s="221" customFormat="1" ht="12.75" x14ac:dyDescent="0.2">
      <c r="B10978" s="1168"/>
    </row>
    <row r="10979" spans="2:2" s="221" customFormat="1" ht="12.75" x14ac:dyDescent="0.2">
      <c r="B10979" s="1168"/>
    </row>
    <row r="10980" spans="2:2" s="221" customFormat="1" ht="12.75" x14ac:dyDescent="0.2">
      <c r="B10980" s="1168"/>
    </row>
    <row r="10981" spans="2:2" s="221" customFormat="1" ht="12.75" x14ac:dyDescent="0.2">
      <c r="B10981" s="1168"/>
    </row>
    <row r="10982" spans="2:2" s="221" customFormat="1" ht="12.75" x14ac:dyDescent="0.2">
      <c r="B10982" s="1168"/>
    </row>
    <row r="10983" spans="2:2" s="221" customFormat="1" ht="12.75" x14ac:dyDescent="0.2">
      <c r="B10983" s="1168"/>
    </row>
    <row r="10984" spans="2:2" s="221" customFormat="1" ht="12.75" x14ac:dyDescent="0.2">
      <c r="B10984" s="1168"/>
    </row>
    <row r="10985" spans="2:2" s="221" customFormat="1" ht="12.75" x14ac:dyDescent="0.2">
      <c r="B10985" s="1168"/>
    </row>
    <row r="10986" spans="2:2" s="221" customFormat="1" ht="12.75" x14ac:dyDescent="0.2">
      <c r="B10986" s="1168"/>
    </row>
    <row r="10987" spans="2:2" s="221" customFormat="1" ht="12.75" x14ac:dyDescent="0.2">
      <c r="B10987" s="1168"/>
    </row>
    <row r="10988" spans="2:2" s="221" customFormat="1" ht="12.75" x14ac:dyDescent="0.2">
      <c r="B10988" s="1168"/>
    </row>
    <row r="10989" spans="2:2" s="221" customFormat="1" ht="12.75" x14ac:dyDescent="0.2">
      <c r="B10989" s="1168"/>
    </row>
    <row r="10990" spans="2:2" s="221" customFormat="1" ht="12.75" x14ac:dyDescent="0.2">
      <c r="B10990" s="1168"/>
    </row>
    <row r="10991" spans="2:2" s="221" customFormat="1" ht="12.75" x14ac:dyDescent="0.2">
      <c r="B10991" s="1168"/>
    </row>
    <row r="10992" spans="2:2" s="221" customFormat="1" ht="12.75" x14ac:dyDescent="0.2">
      <c r="B10992" s="1168"/>
    </row>
    <row r="10993" spans="2:2" s="221" customFormat="1" ht="12.75" x14ac:dyDescent="0.2">
      <c r="B10993" s="1168"/>
    </row>
    <row r="10994" spans="2:2" s="221" customFormat="1" ht="12.75" x14ac:dyDescent="0.2">
      <c r="B10994" s="1168"/>
    </row>
    <row r="10995" spans="2:2" s="221" customFormat="1" ht="12.75" x14ac:dyDescent="0.2">
      <c r="B10995" s="1168"/>
    </row>
    <row r="10996" spans="2:2" s="221" customFormat="1" ht="12.75" x14ac:dyDescent="0.2">
      <c r="B10996" s="1168"/>
    </row>
    <row r="10997" spans="2:2" s="221" customFormat="1" ht="12.75" x14ac:dyDescent="0.2">
      <c r="B10997" s="1168"/>
    </row>
    <row r="10998" spans="2:2" s="221" customFormat="1" ht="12.75" x14ac:dyDescent="0.2">
      <c r="B10998" s="1168"/>
    </row>
    <row r="10999" spans="2:2" s="221" customFormat="1" ht="12.75" x14ac:dyDescent="0.2">
      <c r="B10999" s="1168"/>
    </row>
    <row r="11000" spans="2:2" s="221" customFormat="1" ht="12.75" x14ac:dyDescent="0.2">
      <c r="B11000" s="1168"/>
    </row>
    <row r="11001" spans="2:2" s="221" customFormat="1" ht="12.75" x14ac:dyDescent="0.2">
      <c r="B11001" s="1168"/>
    </row>
    <row r="11002" spans="2:2" s="221" customFormat="1" ht="12.75" x14ac:dyDescent="0.2">
      <c r="B11002" s="1168"/>
    </row>
    <row r="11003" spans="2:2" s="221" customFormat="1" ht="12.75" x14ac:dyDescent="0.2">
      <c r="B11003" s="1168"/>
    </row>
    <row r="11004" spans="2:2" s="221" customFormat="1" ht="12.75" x14ac:dyDescent="0.2">
      <c r="B11004" s="1168"/>
    </row>
    <row r="11005" spans="2:2" s="221" customFormat="1" ht="12.75" x14ac:dyDescent="0.2">
      <c r="B11005" s="1168"/>
    </row>
    <row r="11006" spans="2:2" s="221" customFormat="1" ht="12.75" x14ac:dyDescent="0.2">
      <c r="B11006" s="1168"/>
    </row>
    <row r="11007" spans="2:2" s="221" customFormat="1" ht="12.75" x14ac:dyDescent="0.2">
      <c r="B11007" s="1168"/>
    </row>
    <row r="11008" spans="2:2" s="221" customFormat="1" ht="12.75" x14ac:dyDescent="0.2">
      <c r="B11008" s="1168"/>
    </row>
    <row r="11009" spans="2:2" s="221" customFormat="1" ht="12.75" x14ac:dyDescent="0.2">
      <c r="B11009" s="1168"/>
    </row>
    <row r="11010" spans="2:2" s="221" customFormat="1" ht="12.75" x14ac:dyDescent="0.2">
      <c r="B11010" s="1168"/>
    </row>
    <row r="11011" spans="2:2" s="221" customFormat="1" ht="12.75" x14ac:dyDescent="0.2">
      <c r="B11011" s="1168"/>
    </row>
    <row r="11012" spans="2:2" s="221" customFormat="1" ht="12.75" x14ac:dyDescent="0.2">
      <c r="B11012" s="1168"/>
    </row>
    <row r="11013" spans="2:2" s="221" customFormat="1" ht="12.75" x14ac:dyDescent="0.2">
      <c r="B11013" s="1168"/>
    </row>
    <row r="11014" spans="2:2" s="221" customFormat="1" ht="12.75" x14ac:dyDescent="0.2">
      <c r="B11014" s="1168"/>
    </row>
    <row r="11015" spans="2:2" s="221" customFormat="1" ht="12.75" x14ac:dyDescent="0.2">
      <c r="B11015" s="1168"/>
    </row>
    <row r="11016" spans="2:2" s="221" customFormat="1" ht="12.75" x14ac:dyDescent="0.2">
      <c r="B11016" s="1168"/>
    </row>
    <row r="11017" spans="2:2" s="221" customFormat="1" ht="12.75" x14ac:dyDescent="0.2">
      <c r="B11017" s="1168"/>
    </row>
    <row r="11018" spans="2:2" s="221" customFormat="1" ht="12.75" x14ac:dyDescent="0.2">
      <c r="B11018" s="1168"/>
    </row>
    <row r="11019" spans="2:2" s="221" customFormat="1" ht="12.75" x14ac:dyDescent="0.2">
      <c r="B11019" s="1168"/>
    </row>
    <row r="11020" spans="2:2" s="221" customFormat="1" ht="12.75" x14ac:dyDescent="0.2">
      <c r="B11020" s="1168"/>
    </row>
    <row r="11021" spans="2:2" s="221" customFormat="1" ht="12.75" x14ac:dyDescent="0.2">
      <c r="B11021" s="1168"/>
    </row>
    <row r="11022" spans="2:2" s="221" customFormat="1" ht="12.75" x14ac:dyDescent="0.2">
      <c r="B11022" s="1168"/>
    </row>
    <row r="11023" spans="2:2" s="221" customFormat="1" ht="12.75" x14ac:dyDescent="0.2">
      <c r="B11023" s="1168"/>
    </row>
    <row r="11024" spans="2:2" s="221" customFormat="1" ht="12.75" x14ac:dyDescent="0.2">
      <c r="B11024" s="1168"/>
    </row>
    <row r="11025" spans="2:2" s="221" customFormat="1" ht="12.75" x14ac:dyDescent="0.2">
      <c r="B11025" s="1168"/>
    </row>
    <row r="11026" spans="2:2" s="221" customFormat="1" ht="12.75" x14ac:dyDescent="0.2">
      <c r="B11026" s="1168"/>
    </row>
    <row r="11027" spans="2:2" s="221" customFormat="1" ht="12.75" x14ac:dyDescent="0.2">
      <c r="B11027" s="1168"/>
    </row>
    <row r="11028" spans="2:2" s="221" customFormat="1" ht="12.75" x14ac:dyDescent="0.2">
      <c r="B11028" s="1168"/>
    </row>
    <row r="11029" spans="2:2" s="221" customFormat="1" ht="12.75" x14ac:dyDescent="0.2">
      <c r="B11029" s="1168"/>
    </row>
    <row r="11030" spans="2:2" s="221" customFormat="1" ht="12.75" x14ac:dyDescent="0.2">
      <c r="B11030" s="1168"/>
    </row>
    <row r="11031" spans="2:2" s="221" customFormat="1" ht="12.75" x14ac:dyDescent="0.2">
      <c r="B11031" s="1168"/>
    </row>
    <row r="11032" spans="2:2" s="221" customFormat="1" ht="12.75" x14ac:dyDescent="0.2">
      <c r="B11032" s="1168"/>
    </row>
    <row r="11033" spans="2:2" s="221" customFormat="1" ht="12.75" x14ac:dyDescent="0.2">
      <c r="B11033" s="1168"/>
    </row>
    <row r="11034" spans="2:2" s="221" customFormat="1" ht="12.75" x14ac:dyDescent="0.2">
      <c r="B11034" s="1168"/>
    </row>
    <row r="11035" spans="2:2" s="221" customFormat="1" ht="12.75" x14ac:dyDescent="0.2">
      <c r="B11035" s="1168"/>
    </row>
    <row r="11036" spans="2:2" s="221" customFormat="1" ht="12.75" x14ac:dyDescent="0.2">
      <c r="B11036" s="1168"/>
    </row>
    <row r="11037" spans="2:2" s="221" customFormat="1" ht="12.75" x14ac:dyDescent="0.2">
      <c r="B11037" s="1168"/>
    </row>
    <row r="11038" spans="2:2" s="221" customFormat="1" ht="12.75" x14ac:dyDescent="0.2">
      <c r="B11038" s="1168"/>
    </row>
    <row r="11039" spans="2:2" s="221" customFormat="1" ht="12.75" x14ac:dyDescent="0.2">
      <c r="B11039" s="1168"/>
    </row>
    <row r="11040" spans="2:2" s="221" customFormat="1" ht="12.75" x14ac:dyDescent="0.2">
      <c r="B11040" s="1168"/>
    </row>
    <row r="11041" spans="2:2" s="221" customFormat="1" ht="12.75" x14ac:dyDescent="0.2">
      <c r="B11041" s="1168"/>
    </row>
    <row r="11042" spans="2:2" s="221" customFormat="1" ht="12.75" x14ac:dyDescent="0.2">
      <c r="B11042" s="1168"/>
    </row>
    <row r="11043" spans="2:2" s="221" customFormat="1" ht="12.75" x14ac:dyDescent="0.2">
      <c r="B11043" s="1168"/>
    </row>
    <row r="11044" spans="2:2" s="221" customFormat="1" ht="12.75" x14ac:dyDescent="0.2">
      <c r="B11044" s="1168"/>
    </row>
    <row r="11045" spans="2:2" s="221" customFormat="1" ht="12.75" x14ac:dyDescent="0.2">
      <c r="B11045" s="1168"/>
    </row>
    <row r="11046" spans="2:2" s="221" customFormat="1" ht="12.75" x14ac:dyDescent="0.2">
      <c r="B11046" s="1168"/>
    </row>
    <row r="11047" spans="2:2" s="221" customFormat="1" ht="12.75" x14ac:dyDescent="0.2">
      <c r="B11047" s="1168"/>
    </row>
    <row r="11048" spans="2:2" s="221" customFormat="1" ht="12.75" x14ac:dyDescent="0.2">
      <c r="B11048" s="1168"/>
    </row>
    <row r="11049" spans="2:2" s="221" customFormat="1" ht="12.75" x14ac:dyDescent="0.2">
      <c r="B11049" s="1168"/>
    </row>
    <row r="11050" spans="2:2" s="221" customFormat="1" ht="12.75" x14ac:dyDescent="0.2">
      <c r="B11050" s="1168"/>
    </row>
    <row r="11051" spans="2:2" s="221" customFormat="1" ht="12.75" x14ac:dyDescent="0.2">
      <c r="B11051" s="1168"/>
    </row>
    <row r="11052" spans="2:2" s="221" customFormat="1" ht="12.75" x14ac:dyDescent="0.2">
      <c r="B11052" s="1168"/>
    </row>
    <row r="11053" spans="2:2" s="221" customFormat="1" ht="12.75" x14ac:dyDescent="0.2">
      <c r="B11053" s="1168"/>
    </row>
    <row r="11054" spans="2:2" s="221" customFormat="1" ht="12.75" x14ac:dyDescent="0.2">
      <c r="B11054" s="1168"/>
    </row>
    <row r="11055" spans="2:2" s="221" customFormat="1" ht="12.75" x14ac:dyDescent="0.2">
      <c r="B11055" s="1168"/>
    </row>
    <row r="11056" spans="2:2" s="221" customFormat="1" ht="12.75" x14ac:dyDescent="0.2">
      <c r="B11056" s="1168"/>
    </row>
    <row r="11057" spans="2:2" s="221" customFormat="1" ht="12.75" x14ac:dyDescent="0.2">
      <c r="B11057" s="1168"/>
    </row>
    <row r="11058" spans="2:2" s="221" customFormat="1" ht="12.75" x14ac:dyDescent="0.2">
      <c r="B11058" s="1168"/>
    </row>
    <row r="11059" spans="2:2" s="221" customFormat="1" ht="12.75" x14ac:dyDescent="0.2">
      <c r="B11059" s="1168"/>
    </row>
    <row r="11060" spans="2:2" s="221" customFormat="1" ht="12.75" x14ac:dyDescent="0.2">
      <c r="B11060" s="1168"/>
    </row>
    <row r="11061" spans="2:2" s="221" customFormat="1" ht="12.75" x14ac:dyDescent="0.2">
      <c r="B11061" s="1168"/>
    </row>
    <row r="11062" spans="2:2" s="221" customFormat="1" ht="12.75" x14ac:dyDescent="0.2">
      <c r="B11062" s="1168"/>
    </row>
    <row r="11063" spans="2:2" s="221" customFormat="1" ht="12.75" x14ac:dyDescent="0.2">
      <c r="B11063" s="1168"/>
    </row>
    <row r="11064" spans="2:2" s="221" customFormat="1" ht="12.75" x14ac:dyDescent="0.2">
      <c r="B11064" s="1168"/>
    </row>
    <row r="11065" spans="2:2" s="221" customFormat="1" ht="12.75" x14ac:dyDescent="0.2">
      <c r="B11065" s="1168"/>
    </row>
    <row r="11066" spans="2:2" s="221" customFormat="1" ht="12.75" x14ac:dyDescent="0.2">
      <c r="B11066" s="1168"/>
    </row>
    <row r="11067" spans="2:2" s="221" customFormat="1" ht="12.75" x14ac:dyDescent="0.2">
      <c r="B11067" s="1168"/>
    </row>
    <row r="11068" spans="2:2" s="221" customFormat="1" ht="12.75" x14ac:dyDescent="0.2">
      <c r="B11068" s="1168"/>
    </row>
    <row r="11069" spans="2:2" s="221" customFormat="1" ht="12.75" x14ac:dyDescent="0.2">
      <c r="B11069" s="1168"/>
    </row>
    <row r="11070" spans="2:2" s="221" customFormat="1" ht="12.75" x14ac:dyDescent="0.2">
      <c r="B11070" s="1168"/>
    </row>
    <row r="11071" spans="2:2" s="221" customFormat="1" ht="12.75" x14ac:dyDescent="0.2">
      <c r="B11071" s="1168"/>
    </row>
    <row r="11072" spans="2:2" s="221" customFormat="1" ht="12.75" x14ac:dyDescent="0.2">
      <c r="B11072" s="1168"/>
    </row>
    <row r="11073" spans="2:2" s="221" customFormat="1" ht="12.75" x14ac:dyDescent="0.2">
      <c r="B11073" s="1168"/>
    </row>
    <row r="11074" spans="2:2" s="221" customFormat="1" ht="12.75" x14ac:dyDescent="0.2">
      <c r="B11074" s="1168"/>
    </row>
    <row r="11075" spans="2:2" s="221" customFormat="1" ht="12.75" x14ac:dyDescent="0.2">
      <c r="B11075" s="1168"/>
    </row>
    <row r="11076" spans="2:2" s="221" customFormat="1" ht="12.75" x14ac:dyDescent="0.2">
      <c r="B11076" s="1168"/>
    </row>
    <row r="11077" spans="2:2" s="221" customFormat="1" ht="12.75" x14ac:dyDescent="0.2">
      <c r="B11077" s="1168"/>
    </row>
    <row r="11078" spans="2:2" s="221" customFormat="1" ht="12.75" x14ac:dyDescent="0.2">
      <c r="B11078" s="1168"/>
    </row>
    <row r="11079" spans="2:2" s="221" customFormat="1" ht="12.75" x14ac:dyDescent="0.2">
      <c r="B11079" s="1168"/>
    </row>
    <row r="11080" spans="2:2" s="221" customFormat="1" ht="12.75" x14ac:dyDescent="0.2">
      <c r="B11080" s="1168"/>
    </row>
    <row r="11081" spans="2:2" s="221" customFormat="1" ht="12.75" x14ac:dyDescent="0.2">
      <c r="B11081" s="1168"/>
    </row>
    <row r="11082" spans="2:2" s="221" customFormat="1" ht="12.75" x14ac:dyDescent="0.2">
      <c r="B11082" s="1168"/>
    </row>
    <row r="11083" spans="2:2" s="221" customFormat="1" ht="12.75" x14ac:dyDescent="0.2">
      <c r="B11083" s="1168"/>
    </row>
    <row r="11084" spans="2:2" s="221" customFormat="1" ht="12.75" x14ac:dyDescent="0.2">
      <c r="B11084" s="1168"/>
    </row>
    <row r="11085" spans="2:2" s="221" customFormat="1" ht="12.75" x14ac:dyDescent="0.2">
      <c r="B11085" s="1168"/>
    </row>
    <row r="11086" spans="2:2" s="221" customFormat="1" ht="12.75" x14ac:dyDescent="0.2">
      <c r="B11086" s="1168"/>
    </row>
    <row r="11087" spans="2:2" s="221" customFormat="1" ht="12.75" x14ac:dyDescent="0.2">
      <c r="B11087" s="1168"/>
    </row>
    <row r="11088" spans="2:2" s="221" customFormat="1" ht="12.75" x14ac:dyDescent="0.2">
      <c r="B11088" s="1168"/>
    </row>
    <row r="11089" spans="2:2" s="221" customFormat="1" ht="12.75" x14ac:dyDescent="0.2">
      <c r="B11089" s="1168"/>
    </row>
    <row r="11090" spans="2:2" s="221" customFormat="1" ht="12.75" x14ac:dyDescent="0.2">
      <c r="B11090" s="1168"/>
    </row>
    <row r="11091" spans="2:2" s="221" customFormat="1" ht="12.75" x14ac:dyDescent="0.2">
      <c r="B11091" s="1168"/>
    </row>
    <row r="11092" spans="2:2" s="221" customFormat="1" ht="12.75" x14ac:dyDescent="0.2">
      <c r="B11092" s="1168"/>
    </row>
    <row r="11093" spans="2:2" s="221" customFormat="1" ht="12.75" x14ac:dyDescent="0.2">
      <c r="B11093" s="1168"/>
    </row>
    <row r="11094" spans="2:2" s="221" customFormat="1" ht="12.75" x14ac:dyDescent="0.2">
      <c r="B11094" s="1168"/>
    </row>
    <row r="11095" spans="2:2" s="221" customFormat="1" ht="12.75" x14ac:dyDescent="0.2">
      <c r="B11095" s="1168"/>
    </row>
    <row r="11096" spans="2:2" s="221" customFormat="1" ht="12.75" x14ac:dyDescent="0.2">
      <c r="B11096" s="1168"/>
    </row>
    <row r="11097" spans="2:2" s="221" customFormat="1" ht="12.75" x14ac:dyDescent="0.2">
      <c r="B11097" s="1168"/>
    </row>
    <row r="11098" spans="2:2" s="221" customFormat="1" ht="12.75" x14ac:dyDescent="0.2">
      <c r="B11098" s="1168"/>
    </row>
    <row r="11099" spans="2:2" s="221" customFormat="1" ht="12.75" x14ac:dyDescent="0.2">
      <c r="B11099" s="1168"/>
    </row>
    <row r="11100" spans="2:2" s="221" customFormat="1" ht="12.75" x14ac:dyDescent="0.2">
      <c r="B11100" s="1168"/>
    </row>
    <row r="11101" spans="2:2" s="221" customFormat="1" ht="12.75" x14ac:dyDescent="0.2">
      <c r="B11101" s="1168"/>
    </row>
    <row r="11102" spans="2:2" s="221" customFormat="1" ht="12.75" x14ac:dyDescent="0.2">
      <c r="B11102" s="1168"/>
    </row>
    <row r="11103" spans="2:2" s="221" customFormat="1" ht="12.75" x14ac:dyDescent="0.2">
      <c r="B11103" s="1168"/>
    </row>
    <row r="11104" spans="2:2" s="221" customFormat="1" ht="12.75" x14ac:dyDescent="0.2">
      <c r="B11104" s="1168"/>
    </row>
    <row r="11105" spans="2:2" s="221" customFormat="1" ht="12.75" x14ac:dyDescent="0.2">
      <c r="B11105" s="1168"/>
    </row>
    <row r="11106" spans="2:2" s="221" customFormat="1" ht="12.75" x14ac:dyDescent="0.2">
      <c r="B11106" s="1168"/>
    </row>
    <row r="11107" spans="2:2" s="221" customFormat="1" ht="12.75" x14ac:dyDescent="0.2">
      <c r="B11107" s="1168"/>
    </row>
    <row r="11108" spans="2:2" s="221" customFormat="1" ht="12.75" x14ac:dyDescent="0.2">
      <c r="B11108" s="1168"/>
    </row>
    <row r="11109" spans="2:2" s="221" customFormat="1" ht="12.75" x14ac:dyDescent="0.2">
      <c r="B11109" s="1168"/>
    </row>
    <row r="11110" spans="2:2" s="221" customFormat="1" ht="12.75" x14ac:dyDescent="0.2">
      <c r="B11110" s="1168"/>
    </row>
    <row r="11111" spans="2:2" s="221" customFormat="1" ht="12.75" x14ac:dyDescent="0.2">
      <c r="B11111" s="1168"/>
    </row>
    <row r="11112" spans="2:2" s="221" customFormat="1" ht="12.75" x14ac:dyDescent="0.2">
      <c r="B11112" s="1168"/>
    </row>
    <row r="11113" spans="2:2" s="221" customFormat="1" ht="12.75" x14ac:dyDescent="0.2">
      <c r="B11113" s="1168"/>
    </row>
    <row r="11114" spans="2:2" s="221" customFormat="1" ht="12.75" x14ac:dyDescent="0.2">
      <c r="B11114" s="1168"/>
    </row>
    <row r="11115" spans="2:2" s="221" customFormat="1" ht="12.75" x14ac:dyDescent="0.2">
      <c r="B11115" s="1168"/>
    </row>
    <row r="11116" spans="2:2" s="221" customFormat="1" ht="12.75" x14ac:dyDescent="0.2">
      <c r="B11116" s="1168"/>
    </row>
    <row r="11117" spans="2:2" s="221" customFormat="1" ht="12.75" x14ac:dyDescent="0.2">
      <c r="B11117" s="1168"/>
    </row>
    <row r="11118" spans="2:2" s="221" customFormat="1" ht="12.75" x14ac:dyDescent="0.2">
      <c r="B11118" s="1168"/>
    </row>
    <row r="11119" spans="2:2" s="221" customFormat="1" ht="12.75" x14ac:dyDescent="0.2">
      <c r="B11119" s="1168"/>
    </row>
    <row r="11120" spans="2:2" s="221" customFormat="1" ht="12.75" x14ac:dyDescent="0.2">
      <c r="B11120" s="1168"/>
    </row>
    <row r="11121" spans="2:2" s="221" customFormat="1" ht="12.75" x14ac:dyDescent="0.2">
      <c r="B11121" s="1168"/>
    </row>
    <row r="11122" spans="2:2" s="221" customFormat="1" ht="12.75" x14ac:dyDescent="0.2">
      <c r="B11122" s="1168"/>
    </row>
    <row r="11123" spans="2:2" s="221" customFormat="1" ht="12.75" x14ac:dyDescent="0.2">
      <c r="B11123" s="1168"/>
    </row>
    <row r="11124" spans="2:2" s="221" customFormat="1" ht="12.75" x14ac:dyDescent="0.2">
      <c r="B11124" s="1168"/>
    </row>
    <row r="11125" spans="2:2" s="221" customFormat="1" ht="12.75" x14ac:dyDescent="0.2">
      <c r="B11125" s="1168"/>
    </row>
    <row r="11126" spans="2:2" s="221" customFormat="1" ht="12.75" x14ac:dyDescent="0.2">
      <c r="B11126" s="1168"/>
    </row>
    <row r="11127" spans="2:2" s="221" customFormat="1" ht="12.75" x14ac:dyDescent="0.2">
      <c r="B11127" s="1168"/>
    </row>
    <row r="11128" spans="2:2" s="221" customFormat="1" ht="12.75" x14ac:dyDescent="0.2">
      <c r="B11128" s="1168"/>
    </row>
    <row r="11129" spans="2:2" s="221" customFormat="1" ht="12.75" x14ac:dyDescent="0.2">
      <c r="B11129" s="1168"/>
    </row>
    <row r="11130" spans="2:2" s="221" customFormat="1" ht="12.75" x14ac:dyDescent="0.2">
      <c r="B11130" s="1168"/>
    </row>
    <row r="11131" spans="2:2" s="221" customFormat="1" ht="12.75" x14ac:dyDescent="0.2">
      <c r="B11131" s="1168"/>
    </row>
    <row r="11132" spans="2:2" s="221" customFormat="1" ht="12.75" x14ac:dyDescent="0.2">
      <c r="B11132" s="1168"/>
    </row>
    <row r="11133" spans="2:2" s="221" customFormat="1" ht="12.75" x14ac:dyDescent="0.2">
      <c r="B11133" s="1168"/>
    </row>
    <row r="11134" spans="2:2" s="221" customFormat="1" ht="12.75" x14ac:dyDescent="0.2">
      <c r="B11134" s="1168"/>
    </row>
    <row r="11135" spans="2:2" s="221" customFormat="1" ht="12.75" x14ac:dyDescent="0.2">
      <c r="B11135" s="1168"/>
    </row>
    <row r="11136" spans="2:2" s="221" customFormat="1" ht="12.75" x14ac:dyDescent="0.2">
      <c r="B11136" s="1168"/>
    </row>
    <row r="11137" spans="2:2" s="221" customFormat="1" ht="12.75" x14ac:dyDescent="0.2">
      <c r="B11137" s="1168"/>
    </row>
    <row r="11138" spans="2:2" s="221" customFormat="1" ht="12.75" x14ac:dyDescent="0.2">
      <c r="B11138" s="1168"/>
    </row>
    <row r="11139" spans="2:2" s="221" customFormat="1" ht="12.75" x14ac:dyDescent="0.2">
      <c r="B11139" s="1168"/>
    </row>
    <row r="11140" spans="2:2" s="221" customFormat="1" ht="12.75" x14ac:dyDescent="0.2">
      <c r="B11140" s="1168"/>
    </row>
    <row r="11141" spans="2:2" s="221" customFormat="1" ht="12.75" x14ac:dyDescent="0.2">
      <c r="B11141" s="1168"/>
    </row>
    <row r="11142" spans="2:2" s="221" customFormat="1" ht="12.75" x14ac:dyDescent="0.2">
      <c r="B11142" s="1168"/>
    </row>
    <row r="11143" spans="2:2" s="221" customFormat="1" ht="12.75" x14ac:dyDescent="0.2">
      <c r="B11143" s="1168"/>
    </row>
    <row r="11144" spans="2:2" s="221" customFormat="1" ht="12.75" x14ac:dyDescent="0.2">
      <c r="B11144" s="1168"/>
    </row>
    <row r="11145" spans="2:2" s="221" customFormat="1" ht="12.75" x14ac:dyDescent="0.2">
      <c r="B11145" s="1168"/>
    </row>
    <row r="11146" spans="2:2" s="221" customFormat="1" ht="12.75" x14ac:dyDescent="0.2">
      <c r="B11146" s="1168"/>
    </row>
    <row r="11147" spans="2:2" s="221" customFormat="1" ht="12.75" x14ac:dyDescent="0.2">
      <c r="B11147" s="1168"/>
    </row>
    <row r="11148" spans="2:2" s="221" customFormat="1" ht="12.75" x14ac:dyDescent="0.2">
      <c r="B11148" s="1168"/>
    </row>
    <row r="11149" spans="2:2" s="221" customFormat="1" ht="12.75" x14ac:dyDescent="0.2">
      <c r="B11149" s="1168"/>
    </row>
    <row r="11150" spans="2:2" s="221" customFormat="1" ht="12.75" x14ac:dyDescent="0.2">
      <c r="B11150" s="1168"/>
    </row>
    <row r="11151" spans="2:2" s="221" customFormat="1" ht="12.75" x14ac:dyDescent="0.2">
      <c r="B11151" s="1168"/>
    </row>
    <row r="11152" spans="2:2" s="221" customFormat="1" ht="12.75" x14ac:dyDescent="0.2">
      <c r="B11152" s="1168"/>
    </row>
    <row r="11153" spans="2:2" s="221" customFormat="1" ht="12.75" x14ac:dyDescent="0.2">
      <c r="B11153" s="1168"/>
    </row>
    <row r="11154" spans="2:2" s="221" customFormat="1" ht="12.75" x14ac:dyDescent="0.2">
      <c r="B11154" s="1168"/>
    </row>
    <row r="11155" spans="2:2" s="221" customFormat="1" ht="12.75" x14ac:dyDescent="0.2">
      <c r="B11155" s="1168"/>
    </row>
    <row r="11156" spans="2:2" s="221" customFormat="1" ht="12.75" x14ac:dyDescent="0.2">
      <c r="B11156" s="1168"/>
    </row>
    <row r="11157" spans="2:2" s="221" customFormat="1" ht="12.75" x14ac:dyDescent="0.2">
      <c r="B11157" s="1168"/>
    </row>
    <row r="11158" spans="2:2" s="221" customFormat="1" ht="12.75" x14ac:dyDescent="0.2">
      <c r="B11158" s="1168"/>
    </row>
    <row r="11159" spans="2:2" s="221" customFormat="1" ht="12.75" x14ac:dyDescent="0.2">
      <c r="B11159" s="1168"/>
    </row>
    <row r="11160" spans="2:2" s="221" customFormat="1" ht="12.75" x14ac:dyDescent="0.2">
      <c r="B11160" s="1168"/>
    </row>
    <row r="11161" spans="2:2" s="221" customFormat="1" ht="12.75" x14ac:dyDescent="0.2">
      <c r="B11161" s="1168"/>
    </row>
    <row r="11162" spans="2:2" s="221" customFormat="1" ht="12.75" x14ac:dyDescent="0.2">
      <c r="B11162" s="1168"/>
    </row>
    <row r="11163" spans="2:2" s="221" customFormat="1" ht="12.75" x14ac:dyDescent="0.2">
      <c r="B11163" s="1168"/>
    </row>
    <row r="11164" spans="2:2" s="221" customFormat="1" ht="12.75" x14ac:dyDescent="0.2">
      <c r="B11164" s="1168"/>
    </row>
    <row r="11165" spans="2:2" s="221" customFormat="1" ht="12.75" x14ac:dyDescent="0.2">
      <c r="B11165" s="1168"/>
    </row>
    <row r="11166" spans="2:2" s="221" customFormat="1" ht="12.75" x14ac:dyDescent="0.2">
      <c r="B11166" s="1168"/>
    </row>
    <row r="11167" spans="2:2" s="221" customFormat="1" ht="12.75" x14ac:dyDescent="0.2">
      <c r="B11167" s="1168"/>
    </row>
    <row r="11168" spans="2:2" s="221" customFormat="1" ht="12.75" x14ac:dyDescent="0.2">
      <c r="B11168" s="1168"/>
    </row>
    <row r="11169" spans="2:2" s="221" customFormat="1" ht="12.75" x14ac:dyDescent="0.2">
      <c r="B11169" s="1168"/>
    </row>
    <row r="11170" spans="2:2" s="221" customFormat="1" ht="12.75" x14ac:dyDescent="0.2">
      <c r="B11170" s="1168"/>
    </row>
    <row r="11171" spans="2:2" s="221" customFormat="1" ht="12.75" x14ac:dyDescent="0.2">
      <c r="B11171" s="1168"/>
    </row>
    <row r="11172" spans="2:2" s="221" customFormat="1" ht="12.75" x14ac:dyDescent="0.2">
      <c r="B11172" s="1168"/>
    </row>
    <row r="11173" spans="2:2" s="221" customFormat="1" ht="12.75" x14ac:dyDescent="0.2">
      <c r="B11173" s="1168"/>
    </row>
    <row r="11174" spans="2:2" s="221" customFormat="1" ht="12.75" x14ac:dyDescent="0.2">
      <c r="B11174" s="1168"/>
    </row>
    <row r="11175" spans="2:2" s="221" customFormat="1" ht="12.75" x14ac:dyDescent="0.2">
      <c r="B11175" s="1168"/>
    </row>
    <row r="11176" spans="2:2" s="221" customFormat="1" ht="12.75" x14ac:dyDescent="0.2">
      <c r="B11176" s="1168"/>
    </row>
    <row r="11177" spans="2:2" s="221" customFormat="1" ht="12.75" x14ac:dyDescent="0.2">
      <c r="B11177" s="1168"/>
    </row>
    <row r="11178" spans="2:2" s="221" customFormat="1" ht="12.75" x14ac:dyDescent="0.2">
      <c r="B11178" s="1168"/>
    </row>
    <row r="11179" spans="2:2" s="221" customFormat="1" ht="12.75" x14ac:dyDescent="0.2">
      <c r="B11179" s="1168"/>
    </row>
    <row r="11180" spans="2:2" s="221" customFormat="1" ht="12.75" x14ac:dyDescent="0.2">
      <c r="B11180" s="1168"/>
    </row>
    <row r="11181" spans="2:2" s="221" customFormat="1" ht="12.75" x14ac:dyDescent="0.2">
      <c r="B11181" s="1168"/>
    </row>
    <row r="11182" spans="2:2" s="221" customFormat="1" ht="12.75" x14ac:dyDescent="0.2">
      <c r="B11182" s="1168"/>
    </row>
    <row r="11183" spans="2:2" s="221" customFormat="1" ht="12.75" x14ac:dyDescent="0.2">
      <c r="B11183" s="1168"/>
    </row>
    <row r="11184" spans="2:2" s="221" customFormat="1" ht="12.75" x14ac:dyDescent="0.2">
      <c r="B11184" s="1168"/>
    </row>
    <row r="11185" spans="2:2" s="221" customFormat="1" ht="12.75" x14ac:dyDescent="0.2">
      <c r="B11185" s="1168"/>
    </row>
    <row r="11186" spans="2:2" s="221" customFormat="1" ht="12.75" x14ac:dyDescent="0.2">
      <c r="B11186" s="1168"/>
    </row>
    <row r="11187" spans="2:2" s="221" customFormat="1" ht="12.75" x14ac:dyDescent="0.2">
      <c r="B11187" s="1168"/>
    </row>
    <row r="11188" spans="2:2" s="221" customFormat="1" ht="12.75" x14ac:dyDescent="0.2">
      <c r="B11188" s="1168"/>
    </row>
    <row r="11189" spans="2:2" s="221" customFormat="1" ht="12.75" x14ac:dyDescent="0.2">
      <c r="B11189" s="1168"/>
    </row>
    <row r="11190" spans="2:2" s="221" customFormat="1" ht="12.75" x14ac:dyDescent="0.2">
      <c r="B11190" s="1168"/>
    </row>
    <row r="11191" spans="2:2" s="221" customFormat="1" ht="12.75" x14ac:dyDescent="0.2">
      <c r="B11191" s="1168"/>
    </row>
    <row r="11192" spans="2:2" s="221" customFormat="1" ht="12.75" x14ac:dyDescent="0.2">
      <c r="B11192" s="1168"/>
    </row>
    <row r="11193" spans="2:2" s="221" customFormat="1" ht="12.75" x14ac:dyDescent="0.2">
      <c r="B11193" s="1168"/>
    </row>
    <row r="11194" spans="2:2" s="221" customFormat="1" ht="12.75" x14ac:dyDescent="0.2">
      <c r="B11194" s="1168"/>
    </row>
    <row r="11195" spans="2:2" s="221" customFormat="1" ht="12.75" x14ac:dyDescent="0.2">
      <c r="B11195" s="1168"/>
    </row>
    <row r="11196" spans="2:2" s="221" customFormat="1" ht="12.75" x14ac:dyDescent="0.2">
      <c r="B11196" s="1168"/>
    </row>
    <row r="11197" spans="2:2" s="221" customFormat="1" ht="12.75" x14ac:dyDescent="0.2">
      <c r="B11197" s="1168"/>
    </row>
    <row r="11198" spans="2:2" s="221" customFormat="1" ht="12.75" x14ac:dyDescent="0.2">
      <c r="B11198" s="1168"/>
    </row>
    <row r="11199" spans="2:2" s="221" customFormat="1" ht="12.75" x14ac:dyDescent="0.2">
      <c r="B11199" s="1168"/>
    </row>
    <row r="11200" spans="2:2" s="221" customFormat="1" ht="12.75" x14ac:dyDescent="0.2">
      <c r="B11200" s="1168"/>
    </row>
    <row r="11201" spans="2:2" s="221" customFormat="1" ht="12.75" x14ac:dyDescent="0.2">
      <c r="B11201" s="1168"/>
    </row>
    <row r="11202" spans="2:2" s="221" customFormat="1" ht="12.75" x14ac:dyDescent="0.2">
      <c r="B11202" s="1168"/>
    </row>
    <row r="11203" spans="2:2" s="221" customFormat="1" ht="12.75" x14ac:dyDescent="0.2">
      <c r="B11203" s="1168"/>
    </row>
    <row r="11204" spans="2:2" s="221" customFormat="1" ht="12.75" x14ac:dyDescent="0.2">
      <c r="B11204" s="1168"/>
    </row>
    <row r="11205" spans="2:2" s="221" customFormat="1" ht="12.75" x14ac:dyDescent="0.2">
      <c r="B11205" s="1168"/>
    </row>
    <row r="11206" spans="2:2" s="221" customFormat="1" ht="12.75" x14ac:dyDescent="0.2">
      <c r="B11206" s="1168"/>
    </row>
    <row r="11207" spans="2:2" s="221" customFormat="1" ht="12.75" x14ac:dyDescent="0.2">
      <c r="B11207" s="1168"/>
    </row>
    <row r="11208" spans="2:2" s="221" customFormat="1" ht="12.75" x14ac:dyDescent="0.2">
      <c r="B11208" s="1168"/>
    </row>
    <row r="11209" spans="2:2" s="221" customFormat="1" ht="12.75" x14ac:dyDescent="0.2">
      <c r="B11209" s="1168"/>
    </row>
    <row r="11210" spans="2:2" s="221" customFormat="1" ht="12.75" x14ac:dyDescent="0.2">
      <c r="B11210" s="1168"/>
    </row>
    <row r="11211" spans="2:2" s="221" customFormat="1" ht="12.75" x14ac:dyDescent="0.2">
      <c r="B11211" s="1168"/>
    </row>
    <row r="11212" spans="2:2" s="221" customFormat="1" ht="12.75" x14ac:dyDescent="0.2">
      <c r="B11212" s="1168"/>
    </row>
    <row r="11213" spans="2:2" s="221" customFormat="1" ht="12.75" x14ac:dyDescent="0.2">
      <c r="B11213" s="1168"/>
    </row>
    <row r="11214" spans="2:2" s="221" customFormat="1" ht="12.75" x14ac:dyDescent="0.2">
      <c r="B11214" s="1168"/>
    </row>
    <row r="11215" spans="2:2" s="221" customFormat="1" ht="12.75" x14ac:dyDescent="0.2">
      <c r="B11215" s="1168"/>
    </row>
    <row r="11216" spans="2:2" s="221" customFormat="1" ht="12.75" x14ac:dyDescent="0.2">
      <c r="B11216" s="1168"/>
    </row>
    <row r="11217" spans="2:2" s="221" customFormat="1" ht="12.75" x14ac:dyDescent="0.2">
      <c r="B11217" s="1168"/>
    </row>
    <row r="11218" spans="2:2" s="221" customFormat="1" ht="12.75" x14ac:dyDescent="0.2">
      <c r="B11218" s="1168"/>
    </row>
    <row r="11219" spans="2:2" s="221" customFormat="1" ht="12.75" x14ac:dyDescent="0.2">
      <c r="B11219" s="1168"/>
    </row>
    <row r="11220" spans="2:2" s="221" customFormat="1" ht="12.75" x14ac:dyDescent="0.2">
      <c r="B11220" s="1168"/>
    </row>
    <row r="11221" spans="2:2" s="221" customFormat="1" ht="12.75" x14ac:dyDescent="0.2">
      <c r="B11221" s="1168"/>
    </row>
    <row r="11222" spans="2:2" s="221" customFormat="1" ht="12.75" x14ac:dyDescent="0.2">
      <c r="B11222" s="1168"/>
    </row>
    <row r="11223" spans="2:2" s="221" customFormat="1" ht="12.75" x14ac:dyDescent="0.2">
      <c r="B11223" s="1168"/>
    </row>
    <row r="11224" spans="2:2" s="221" customFormat="1" ht="12.75" x14ac:dyDescent="0.2">
      <c r="B11224" s="1168"/>
    </row>
    <row r="11225" spans="2:2" s="221" customFormat="1" ht="12.75" x14ac:dyDescent="0.2">
      <c r="B11225" s="1168"/>
    </row>
    <row r="11226" spans="2:2" s="221" customFormat="1" ht="12.75" x14ac:dyDescent="0.2">
      <c r="B11226" s="1168"/>
    </row>
    <row r="11227" spans="2:2" s="221" customFormat="1" ht="12.75" x14ac:dyDescent="0.2">
      <c r="B11227" s="1168"/>
    </row>
    <row r="11228" spans="2:2" s="221" customFormat="1" ht="12.75" x14ac:dyDescent="0.2">
      <c r="B11228" s="1168"/>
    </row>
    <row r="11229" spans="2:2" s="221" customFormat="1" ht="12.75" x14ac:dyDescent="0.2">
      <c r="B11229" s="1168"/>
    </row>
    <row r="11230" spans="2:2" s="221" customFormat="1" ht="12.75" x14ac:dyDescent="0.2">
      <c r="B11230" s="1168"/>
    </row>
    <row r="11231" spans="2:2" s="221" customFormat="1" ht="12.75" x14ac:dyDescent="0.2">
      <c r="B11231" s="1168"/>
    </row>
    <row r="11232" spans="2:2" s="221" customFormat="1" ht="12.75" x14ac:dyDescent="0.2">
      <c r="B11232" s="1168"/>
    </row>
    <row r="11233" spans="2:2" s="221" customFormat="1" ht="12.75" x14ac:dyDescent="0.2">
      <c r="B11233" s="1168"/>
    </row>
    <row r="11234" spans="2:2" s="221" customFormat="1" ht="12.75" x14ac:dyDescent="0.2">
      <c r="B11234" s="1168"/>
    </row>
    <row r="11235" spans="2:2" s="221" customFormat="1" ht="12.75" x14ac:dyDescent="0.2">
      <c r="B11235" s="1168"/>
    </row>
    <row r="11236" spans="2:2" s="221" customFormat="1" ht="12.75" x14ac:dyDescent="0.2">
      <c r="B11236" s="1168"/>
    </row>
    <row r="11237" spans="2:2" s="221" customFormat="1" ht="12.75" x14ac:dyDescent="0.2">
      <c r="B11237" s="1168"/>
    </row>
    <row r="11238" spans="2:2" s="221" customFormat="1" ht="12.75" x14ac:dyDescent="0.2">
      <c r="B11238" s="1168"/>
    </row>
    <row r="11239" spans="2:2" s="221" customFormat="1" ht="12.75" x14ac:dyDescent="0.2">
      <c r="B11239" s="1168"/>
    </row>
    <row r="11240" spans="2:2" s="221" customFormat="1" ht="12.75" x14ac:dyDescent="0.2">
      <c r="B11240" s="1168"/>
    </row>
    <row r="11241" spans="2:2" s="221" customFormat="1" ht="12.75" x14ac:dyDescent="0.2">
      <c r="B11241" s="1168"/>
    </row>
    <row r="11242" spans="2:2" s="221" customFormat="1" ht="12.75" x14ac:dyDescent="0.2">
      <c r="B11242" s="1168"/>
    </row>
    <row r="11243" spans="2:2" s="221" customFormat="1" ht="12.75" x14ac:dyDescent="0.2">
      <c r="B11243" s="1168"/>
    </row>
    <row r="11244" spans="2:2" s="221" customFormat="1" ht="12.75" x14ac:dyDescent="0.2">
      <c r="B11244" s="1168"/>
    </row>
    <row r="11245" spans="2:2" s="221" customFormat="1" ht="12.75" x14ac:dyDescent="0.2">
      <c r="B11245" s="1168"/>
    </row>
    <row r="11246" spans="2:2" s="221" customFormat="1" ht="12.75" x14ac:dyDescent="0.2">
      <c r="B11246" s="1168"/>
    </row>
    <row r="11247" spans="2:2" s="221" customFormat="1" ht="12.75" x14ac:dyDescent="0.2">
      <c r="B11247" s="1168"/>
    </row>
    <row r="11248" spans="2:2" s="221" customFormat="1" ht="12.75" x14ac:dyDescent="0.2">
      <c r="B11248" s="1168"/>
    </row>
    <row r="11249" spans="2:2" s="221" customFormat="1" ht="12.75" x14ac:dyDescent="0.2">
      <c r="B11249" s="1168"/>
    </row>
    <row r="11250" spans="2:2" s="221" customFormat="1" ht="12.75" x14ac:dyDescent="0.2">
      <c r="B11250" s="1168"/>
    </row>
    <row r="11251" spans="2:2" s="221" customFormat="1" ht="12.75" x14ac:dyDescent="0.2">
      <c r="B11251" s="1168"/>
    </row>
    <row r="11252" spans="2:2" s="221" customFormat="1" ht="12.75" x14ac:dyDescent="0.2">
      <c r="B11252" s="1168"/>
    </row>
    <row r="11253" spans="2:2" s="221" customFormat="1" ht="12.75" x14ac:dyDescent="0.2">
      <c r="B11253" s="1168"/>
    </row>
    <row r="11254" spans="2:2" s="221" customFormat="1" ht="12.75" x14ac:dyDescent="0.2">
      <c r="B11254" s="1168"/>
    </row>
    <row r="11255" spans="2:2" s="221" customFormat="1" ht="12.75" x14ac:dyDescent="0.2">
      <c r="B11255" s="1168"/>
    </row>
    <row r="11256" spans="2:2" s="221" customFormat="1" ht="12.75" x14ac:dyDescent="0.2">
      <c r="B11256" s="1168"/>
    </row>
    <row r="11257" spans="2:2" s="221" customFormat="1" ht="12.75" x14ac:dyDescent="0.2">
      <c r="B11257" s="1168"/>
    </row>
    <row r="11258" spans="2:2" s="221" customFormat="1" ht="12.75" x14ac:dyDescent="0.2">
      <c r="B11258" s="1168"/>
    </row>
    <row r="11259" spans="2:2" s="221" customFormat="1" ht="12.75" x14ac:dyDescent="0.2">
      <c r="B11259" s="1168"/>
    </row>
    <row r="11260" spans="2:2" s="221" customFormat="1" ht="12.75" x14ac:dyDescent="0.2">
      <c r="B11260" s="1168"/>
    </row>
    <row r="11261" spans="2:2" s="221" customFormat="1" ht="12.75" x14ac:dyDescent="0.2">
      <c r="B11261" s="1168"/>
    </row>
    <row r="11262" spans="2:2" s="221" customFormat="1" ht="12.75" x14ac:dyDescent="0.2">
      <c r="B11262" s="1168"/>
    </row>
    <row r="11263" spans="2:2" s="221" customFormat="1" ht="12.75" x14ac:dyDescent="0.2">
      <c r="B11263" s="1168"/>
    </row>
    <row r="11264" spans="2:2" s="221" customFormat="1" ht="12.75" x14ac:dyDescent="0.2">
      <c r="B11264" s="1168"/>
    </row>
    <row r="11265" spans="2:2" s="221" customFormat="1" ht="12.75" x14ac:dyDescent="0.2">
      <c r="B11265" s="1168"/>
    </row>
    <row r="11266" spans="2:2" s="221" customFormat="1" ht="12.75" x14ac:dyDescent="0.2">
      <c r="B11266" s="1168"/>
    </row>
    <row r="11267" spans="2:2" s="221" customFormat="1" ht="12.75" x14ac:dyDescent="0.2">
      <c r="B11267" s="1168"/>
    </row>
    <row r="11268" spans="2:2" s="221" customFormat="1" ht="12.75" x14ac:dyDescent="0.2">
      <c r="B11268" s="1168"/>
    </row>
    <row r="11269" spans="2:2" s="221" customFormat="1" ht="12.75" x14ac:dyDescent="0.2">
      <c r="B11269" s="1168"/>
    </row>
    <row r="11270" spans="2:2" s="221" customFormat="1" ht="12.75" x14ac:dyDescent="0.2">
      <c r="B11270" s="1168"/>
    </row>
    <row r="11271" spans="2:2" s="221" customFormat="1" ht="12.75" x14ac:dyDescent="0.2">
      <c r="B11271" s="1168"/>
    </row>
    <row r="11272" spans="2:2" s="221" customFormat="1" ht="12.75" x14ac:dyDescent="0.2">
      <c r="B11272" s="1168"/>
    </row>
    <row r="11273" spans="2:2" s="221" customFormat="1" ht="12.75" x14ac:dyDescent="0.2">
      <c r="B11273" s="1168"/>
    </row>
    <row r="11274" spans="2:2" s="221" customFormat="1" ht="12.75" x14ac:dyDescent="0.2">
      <c r="B11274" s="1168"/>
    </row>
    <row r="11275" spans="2:2" s="221" customFormat="1" ht="12.75" x14ac:dyDescent="0.2">
      <c r="B11275" s="1168"/>
    </row>
    <row r="11276" spans="2:2" s="221" customFormat="1" ht="12.75" x14ac:dyDescent="0.2">
      <c r="B11276" s="1168"/>
    </row>
    <row r="11277" spans="2:2" s="221" customFormat="1" ht="12.75" x14ac:dyDescent="0.2">
      <c r="B11277" s="1168"/>
    </row>
    <row r="11278" spans="2:2" s="221" customFormat="1" ht="12.75" x14ac:dyDescent="0.2">
      <c r="B11278" s="1168"/>
    </row>
    <row r="11279" spans="2:2" s="221" customFormat="1" ht="12.75" x14ac:dyDescent="0.2">
      <c r="B11279" s="1168"/>
    </row>
    <row r="11280" spans="2:2" s="221" customFormat="1" ht="12.75" x14ac:dyDescent="0.2">
      <c r="B11280" s="1168"/>
    </row>
    <row r="11281" spans="2:2" s="221" customFormat="1" ht="12.75" x14ac:dyDescent="0.2">
      <c r="B11281" s="1168"/>
    </row>
    <row r="11282" spans="2:2" s="221" customFormat="1" ht="12.75" x14ac:dyDescent="0.2">
      <c r="B11282" s="1168"/>
    </row>
    <row r="11283" spans="2:2" s="221" customFormat="1" ht="12.75" x14ac:dyDescent="0.2">
      <c r="B11283" s="1168"/>
    </row>
    <row r="11284" spans="2:2" s="221" customFormat="1" ht="12.75" x14ac:dyDescent="0.2">
      <c r="B11284" s="1168"/>
    </row>
    <row r="11285" spans="2:2" s="221" customFormat="1" ht="12.75" x14ac:dyDescent="0.2">
      <c r="B11285" s="1168"/>
    </row>
    <row r="11286" spans="2:2" s="221" customFormat="1" ht="12.75" x14ac:dyDescent="0.2">
      <c r="B11286" s="1168"/>
    </row>
    <row r="11287" spans="2:2" s="221" customFormat="1" ht="12.75" x14ac:dyDescent="0.2">
      <c r="B11287" s="1168"/>
    </row>
    <row r="11288" spans="2:2" s="221" customFormat="1" ht="12.75" x14ac:dyDescent="0.2">
      <c r="B11288" s="1168"/>
    </row>
    <row r="11289" spans="2:2" s="221" customFormat="1" ht="12.75" x14ac:dyDescent="0.2">
      <c r="B11289" s="1168"/>
    </row>
    <row r="11290" spans="2:2" s="221" customFormat="1" ht="12.75" x14ac:dyDescent="0.2">
      <c r="B11290" s="1168"/>
    </row>
    <row r="11291" spans="2:2" s="221" customFormat="1" ht="12.75" x14ac:dyDescent="0.2">
      <c r="B11291" s="1168"/>
    </row>
    <row r="11292" spans="2:2" s="221" customFormat="1" ht="12.75" x14ac:dyDescent="0.2">
      <c r="B11292" s="1168"/>
    </row>
    <row r="11293" spans="2:2" s="221" customFormat="1" ht="12.75" x14ac:dyDescent="0.2">
      <c r="B11293" s="1168"/>
    </row>
    <row r="11294" spans="2:2" s="221" customFormat="1" ht="12.75" x14ac:dyDescent="0.2">
      <c r="B11294" s="1168"/>
    </row>
    <row r="11295" spans="2:2" s="221" customFormat="1" ht="12.75" x14ac:dyDescent="0.2">
      <c r="B11295" s="1168"/>
    </row>
    <row r="11296" spans="2:2" s="221" customFormat="1" ht="12.75" x14ac:dyDescent="0.2">
      <c r="B11296" s="1168"/>
    </row>
    <row r="11297" spans="2:2" s="221" customFormat="1" ht="12.75" x14ac:dyDescent="0.2">
      <c r="B11297" s="1168"/>
    </row>
    <row r="11298" spans="2:2" s="221" customFormat="1" ht="12.75" x14ac:dyDescent="0.2">
      <c r="B11298" s="1168"/>
    </row>
    <row r="11299" spans="2:2" s="221" customFormat="1" ht="12.75" x14ac:dyDescent="0.2">
      <c r="B11299" s="1168"/>
    </row>
    <row r="11300" spans="2:2" s="221" customFormat="1" ht="12.75" x14ac:dyDescent="0.2">
      <c r="B11300" s="1168"/>
    </row>
    <row r="11301" spans="2:2" s="221" customFormat="1" ht="12.75" x14ac:dyDescent="0.2">
      <c r="B11301" s="1168"/>
    </row>
    <row r="11302" spans="2:2" s="221" customFormat="1" ht="12.75" x14ac:dyDescent="0.2">
      <c r="B11302" s="1168"/>
    </row>
    <row r="11303" spans="2:2" s="221" customFormat="1" ht="12.75" x14ac:dyDescent="0.2">
      <c r="B11303" s="1168"/>
    </row>
    <row r="11304" spans="2:2" s="221" customFormat="1" ht="12.75" x14ac:dyDescent="0.2">
      <c r="B11304" s="1168"/>
    </row>
    <row r="11305" spans="2:2" s="221" customFormat="1" ht="12.75" x14ac:dyDescent="0.2">
      <c r="B11305" s="1168"/>
    </row>
    <row r="11306" spans="2:2" s="221" customFormat="1" ht="12.75" x14ac:dyDescent="0.2">
      <c r="B11306" s="1168"/>
    </row>
    <row r="11307" spans="2:2" s="221" customFormat="1" ht="12.75" x14ac:dyDescent="0.2">
      <c r="B11307" s="1168"/>
    </row>
    <row r="11308" spans="2:2" s="221" customFormat="1" ht="12.75" x14ac:dyDescent="0.2">
      <c r="B11308" s="1168"/>
    </row>
    <row r="11309" spans="2:2" s="221" customFormat="1" ht="12.75" x14ac:dyDescent="0.2">
      <c r="B11309" s="1168"/>
    </row>
    <row r="11310" spans="2:2" s="221" customFormat="1" ht="12.75" x14ac:dyDescent="0.2">
      <c r="B11310" s="1168"/>
    </row>
    <row r="11311" spans="2:2" s="221" customFormat="1" ht="12.75" x14ac:dyDescent="0.2">
      <c r="B11311" s="1168"/>
    </row>
    <row r="11312" spans="2:2" s="221" customFormat="1" ht="12.75" x14ac:dyDescent="0.2">
      <c r="B11312" s="1168"/>
    </row>
    <row r="11313" spans="2:2" s="221" customFormat="1" ht="12.75" x14ac:dyDescent="0.2">
      <c r="B11313" s="1168"/>
    </row>
    <row r="11314" spans="2:2" s="221" customFormat="1" ht="12.75" x14ac:dyDescent="0.2">
      <c r="B11314" s="1168"/>
    </row>
    <row r="11315" spans="2:2" s="221" customFormat="1" ht="12.75" x14ac:dyDescent="0.2">
      <c r="B11315" s="1168"/>
    </row>
    <row r="11316" spans="2:2" s="221" customFormat="1" ht="12.75" x14ac:dyDescent="0.2">
      <c r="B11316" s="1168"/>
    </row>
    <row r="11317" spans="2:2" s="221" customFormat="1" ht="12.75" x14ac:dyDescent="0.2">
      <c r="B11317" s="1168"/>
    </row>
    <row r="11318" spans="2:2" s="221" customFormat="1" ht="12.75" x14ac:dyDescent="0.2">
      <c r="B11318" s="1168"/>
    </row>
    <row r="11319" spans="2:2" s="221" customFormat="1" ht="12.75" x14ac:dyDescent="0.2">
      <c r="B11319" s="1168"/>
    </row>
    <row r="11320" spans="2:2" s="221" customFormat="1" ht="12.75" x14ac:dyDescent="0.2">
      <c r="B11320" s="1168"/>
    </row>
    <row r="11321" spans="2:2" s="221" customFormat="1" ht="12.75" x14ac:dyDescent="0.2">
      <c r="B11321" s="1168"/>
    </row>
    <row r="11322" spans="2:2" s="221" customFormat="1" ht="12.75" x14ac:dyDescent="0.2">
      <c r="B11322" s="1168"/>
    </row>
    <row r="11323" spans="2:2" s="221" customFormat="1" ht="12.75" x14ac:dyDescent="0.2">
      <c r="B11323" s="1168"/>
    </row>
    <row r="11324" spans="2:2" s="221" customFormat="1" ht="12.75" x14ac:dyDescent="0.2">
      <c r="B11324" s="1168"/>
    </row>
    <row r="11325" spans="2:2" s="221" customFormat="1" ht="12.75" x14ac:dyDescent="0.2">
      <c r="B11325" s="1168"/>
    </row>
    <row r="11326" spans="2:2" s="221" customFormat="1" ht="12.75" x14ac:dyDescent="0.2">
      <c r="B11326" s="1168"/>
    </row>
    <row r="11327" spans="2:2" s="221" customFormat="1" ht="12.75" x14ac:dyDescent="0.2">
      <c r="B11327" s="1168"/>
    </row>
    <row r="11328" spans="2:2" s="221" customFormat="1" ht="12.75" x14ac:dyDescent="0.2">
      <c r="B11328" s="1168"/>
    </row>
    <row r="11329" spans="2:2" s="221" customFormat="1" ht="12.75" x14ac:dyDescent="0.2">
      <c r="B11329" s="1168"/>
    </row>
    <row r="11330" spans="2:2" s="221" customFormat="1" ht="12.75" x14ac:dyDescent="0.2">
      <c r="B11330" s="1168"/>
    </row>
    <row r="11331" spans="2:2" s="221" customFormat="1" ht="12.75" x14ac:dyDescent="0.2">
      <c r="B11331" s="1168"/>
    </row>
    <row r="11332" spans="2:2" s="221" customFormat="1" ht="12.75" x14ac:dyDescent="0.2">
      <c r="B11332" s="1168"/>
    </row>
    <row r="11333" spans="2:2" s="221" customFormat="1" ht="12.75" x14ac:dyDescent="0.2">
      <c r="B11333" s="1168"/>
    </row>
    <row r="11334" spans="2:2" s="221" customFormat="1" ht="12.75" x14ac:dyDescent="0.2">
      <c r="B11334" s="1168"/>
    </row>
    <row r="11335" spans="2:2" s="221" customFormat="1" ht="12.75" x14ac:dyDescent="0.2">
      <c r="B11335" s="1168"/>
    </row>
    <row r="11336" spans="2:2" s="221" customFormat="1" ht="12.75" x14ac:dyDescent="0.2">
      <c r="B11336" s="1168"/>
    </row>
    <row r="11337" spans="2:2" s="221" customFormat="1" ht="12.75" x14ac:dyDescent="0.2">
      <c r="B11337" s="1168"/>
    </row>
    <row r="11338" spans="2:2" s="221" customFormat="1" ht="12.75" x14ac:dyDescent="0.2">
      <c r="B11338" s="1168"/>
    </row>
    <row r="11339" spans="2:2" s="221" customFormat="1" ht="12.75" x14ac:dyDescent="0.2">
      <c r="B11339" s="1168"/>
    </row>
    <row r="11340" spans="2:2" s="221" customFormat="1" ht="12.75" x14ac:dyDescent="0.2">
      <c r="B11340" s="1168"/>
    </row>
    <row r="11341" spans="2:2" s="221" customFormat="1" ht="12.75" x14ac:dyDescent="0.2">
      <c r="B11341" s="1168"/>
    </row>
    <row r="11342" spans="2:2" s="221" customFormat="1" ht="12.75" x14ac:dyDescent="0.2">
      <c r="B11342" s="1168"/>
    </row>
    <row r="11343" spans="2:2" s="221" customFormat="1" ht="12.75" x14ac:dyDescent="0.2">
      <c r="B11343" s="1168"/>
    </row>
    <row r="11344" spans="2:2" s="221" customFormat="1" ht="12.75" x14ac:dyDescent="0.2">
      <c r="B11344" s="1168"/>
    </row>
    <row r="11345" spans="2:2" s="221" customFormat="1" ht="12.75" x14ac:dyDescent="0.2">
      <c r="B11345" s="1168"/>
    </row>
    <row r="11346" spans="2:2" s="221" customFormat="1" ht="12.75" x14ac:dyDescent="0.2">
      <c r="B11346" s="1168"/>
    </row>
    <row r="11347" spans="2:2" s="221" customFormat="1" ht="12.75" x14ac:dyDescent="0.2">
      <c r="B11347" s="1168"/>
    </row>
    <row r="11348" spans="2:2" s="221" customFormat="1" ht="12.75" x14ac:dyDescent="0.2">
      <c r="B11348" s="1168"/>
    </row>
    <row r="11349" spans="2:2" s="221" customFormat="1" ht="12.75" x14ac:dyDescent="0.2">
      <c r="B11349" s="1168"/>
    </row>
    <row r="11350" spans="2:2" s="221" customFormat="1" ht="12.75" x14ac:dyDescent="0.2">
      <c r="B11350" s="1168"/>
    </row>
    <row r="11351" spans="2:2" s="221" customFormat="1" ht="12.75" x14ac:dyDescent="0.2">
      <c r="B11351" s="1168"/>
    </row>
    <row r="11352" spans="2:2" s="221" customFormat="1" ht="12.75" x14ac:dyDescent="0.2">
      <c r="B11352" s="1168"/>
    </row>
    <row r="11353" spans="2:2" s="221" customFormat="1" ht="12.75" x14ac:dyDescent="0.2">
      <c r="B11353" s="1168"/>
    </row>
    <row r="11354" spans="2:2" s="221" customFormat="1" ht="12.75" x14ac:dyDescent="0.2">
      <c r="B11354" s="1168"/>
    </row>
    <row r="11355" spans="2:2" s="221" customFormat="1" ht="12.75" x14ac:dyDescent="0.2">
      <c r="B11355" s="1168"/>
    </row>
    <row r="11356" spans="2:2" s="221" customFormat="1" ht="12.75" x14ac:dyDescent="0.2">
      <c r="B11356" s="1168"/>
    </row>
    <row r="11357" spans="2:2" s="221" customFormat="1" ht="12.75" x14ac:dyDescent="0.2">
      <c r="B11357" s="1168"/>
    </row>
    <row r="11358" spans="2:2" s="221" customFormat="1" ht="12.75" x14ac:dyDescent="0.2">
      <c r="B11358" s="1168"/>
    </row>
    <row r="11359" spans="2:2" s="221" customFormat="1" ht="12.75" x14ac:dyDescent="0.2">
      <c r="B11359" s="1168"/>
    </row>
    <row r="11360" spans="2:2" s="221" customFormat="1" ht="12.75" x14ac:dyDescent="0.2">
      <c r="B11360" s="1168"/>
    </row>
    <row r="11361" spans="2:2" s="221" customFormat="1" ht="12.75" x14ac:dyDescent="0.2">
      <c r="B11361" s="1168"/>
    </row>
    <row r="11362" spans="2:2" s="221" customFormat="1" ht="12.75" x14ac:dyDescent="0.2">
      <c r="B11362" s="1168"/>
    </row>
    <row r="11363" spans="2:2" s="221" customFormat="1" ht="12.75" x14ac:dyDescent="0.2">
      <c r="B11363" s="1168"/>
    </row>
    <row r="11364" spans="2:2" s="221" customFormat="1" ht="12.75" x14ac:dyDescent="0.2">
      <c r="B11364" s="1168"/>
    </row>
    <row r="11365" spans="2:2" s="221" customFormat="1" ht="12.75" x14ac:dyDescent="0.2">
      <c r="B11365" s="1168"/>
    </row>
    <row r="11366" spans="2:2" s="221" customFormat="1" ht="12.75" x14ac:dyDescent="0.2">
      <c r="B11366" s="1168"/>
    </row>
    <row r="11367" spans="2:2" s="221" customFormat="1" ht="12.75" x14ac:dyDescent="0.2">
      <c r="B11367" s="1168"/>
    </row>
    <row r="11368" spans="2:2" s="221" customFormat="1" ht="12.75" x14ac:dyDescent="0.2">
      <c r="B11368" s="1168"/>
    </row>
    <row r="11369" spans="2:2" s="221" customFormat="1" ht="12.75" x14ac:dyDescent="0.2">
      <c r="B11369" s="1168"/>
    </row>
    <row r="11370" spans="2:2" s="221" customFormat="1" ht="12.75" x14ac:dyDescent="0.2">
      <c r="B11370" s="1168"/>
    </row>
    <row r="11371" spans="2:2" s="221" customFormat="1" ht="12.75" x14ac:dyDescent="0.2">
      <c r="B11371" s="1168"/>
    </row>
    <row r="11372" spans="2:2" s="221" customFormat="1" ht="12.75" x14ac:dyDescent="0.2">
      <c r="B11372" s="1168"/>
    </row>
    <row r="11373" spans="2:2" s="221" customFormat="1" ht="12.75" x14ac:dyDescent="0.2">
      <c r="B11373" s="1168"/>
    </row>
    <row r="11374" spans="2:2" s="221" customFormat="1" ht="12.75" x14ac:dyDescent="0.2">
      <c r="B11374" s="1168"/>
    </row>
    <row r="11375" spans="2:2" s="221" customFormat="1" ht="12.75" x14ac:dyDescent="0.2">
      <c r="B11375" s="1168"/>
    </row>
    <row r="11376" spans="2:2" s="221" customFormat="1" ht="12.75" x14ac:dyDescent="0.2">
      <c r="B11376" s="1168"/>
    </row>
    <row r="11377" spans="2:2" s="221" customFormat="1" ht="12.75" x14ac:dyDescent="0.2">
      <c r="B11377" s="1168"/>
    </row>
    <row r="11378" spans="2:2" s="221" customFormat="1" ht="12.75" x14ac:dyDescent="0.2">
      <c r="B11378" s="1168"/>
    </row>
    <row r="11379" spans="2:2" s="221" customFormat="1" ht="12.75" x14ac:dyDescent="0.2">
      <c r="B11379" s="1168"/>
    </row>
    <row r="11380" spans="2:2" s="221" customFormat="1" ht="12.75" x14ac:dyDescent="0.2">
      <c r="B11380" s="1168"/>
    </row>
    <row r="11381" spans="2:2" s="221" customFormat="1" ht="12.75" x14ac:dyDescent="0.2">
      <c r="B11381" s="1168"/>
    </row>
    <row r="11382" spans="2:2" s="221" customFormat="1" ht="12.75" x14ac:dyDescent="0.2">
      <c r="B11382" s="1168"/>
    </row>
    <row r="11383" spans="2:2" s="221" customFormat="1" ht="12.75" x14ac:dyDescent="0.2">
      <c r="B11383" s="1168"/>
    </row>
    <row r="11384" spans="2:2" s="221" customFormat="1" ht="12.75" x14ac:dyDescent="0.2">
      <c r="B11384" s="1168"/>
    </row>
    <row r="11385" spans="2:2" s="221" customFormat="1" ht="12.75" x14ac:dyDescent="0.2">
      <c r="B11385" s="1168"/>
    </row>
    <row r="11386" spans="2:2" s="221" customFormat="1" ht="12.75" x14ac:dyDescent="0.2">
      <c r="B11386" s="1168"/>
    </row>
    <row r="11387" spans="2:2" s="221" customFormat="1" ht="12.75" x14ac:dyDescent="0.2">
      <c r="B11387" s="1168"/>
    </row>
    <row r="11388" spans="2:2" s="221" customFormat="1" ht="12.75" x14ac:dyDescent="0.2">
      <c r="B11388" s="1168"/>
    </row>
    <row r="11389" spans="2:2" s="221" customFormat="1" ht="12.75" x14ac:dyDescent="0.2">
      <c r="B11389" s="1168"/>
    </row>
    <row r="11390" spans="2:2" s="221" customFormat="1" ht="12.75" x14ac:dyDescent="0.2">
      <c r="B11390" s="1168"/>
    </row>
    <row r="11391" spans="2:2" s="221" customFormat="1" ht="12.75" x14ac:dyDescent="0.2">
      <c r="B11391" s="1168"/>
    </row>
    <row r="11392" spans="2:2" s="221" customFormat="1" ht="12.75" x14ac:dyDescent="0.2">
      <c r="B11392" s="1168"/>
    </row>
    <row r="11393" spans="2:2" s="221" customFormat="1" ht="12.75" x14ac:dyDescent="0.2">
      <c r="B11393" s="1168"/>
    </row>
    <row r="11394" spans="2:2" s="221" customFormat="1" ht="12.75" x14ac:dyDescent="0.2">
      <c r="B11394" s="1168"/>
    </row>
    <row r="11395" spans="2:2" s="221" customFormat="1" ht="12.75" x14ac:dyDescent="0.2">
      <c r="B11395" s="1168"/>
    </row>
    <row r="11396" spans="2:2" s="221" customFormat="1" ht="12.75" x14ac:dyDescent="0.2">
      <c r="B11396" s="1168"/>
    </row>
    <row r="11397" spans="2:2" s="221" customFormat="1" ht="12.75" x14ac:dyDescent="0.2">
      <c r="B11397" s="1168"/>
    </row>
    <row r="11398" spans="2:2" s="221" customFormat="1" ht="12.75" x14ac:dyDescent="0.2">
      <c r="B11398" s="1168"/>
    </row>
    <row r="11399" spans="2:2" s="221" customFormat="1" ht="12.75" x14ac:dyDescent="0.2">
      <c r="B11399" s="1168"/>
    </row>
    <row r="11400" spans="2:2" s="221" customFormat="1" ht="12.75" x14ac:dyDescent="0.2">
      <c r="B11400" s="1168"/>
    </row>
    <row r="11401" spans="2:2" s="221" customFormat="1" ht="12.75" x14ac:dyDescent="0.2">
      <c r="B11401" s="1168"/>
    </row>
    <row r="11402" spans="2:2" s="221" customFormat="1" ht="12.75" x14ac:dyDescent="0.2">
      <c r="B11402" s="1168"/>
    </row>
    <row r="11403" spans="2:2" s="221" customFormat="1" ht="12.75" x14ac:dyDescent="0.2">
      <c r="B11403" s="1168"/>
    </row>
    <row r="11404" spans="2:2" s="221" customFormat="1" ht="12.75" x14ac:dyDescent="0.2">
      <c r="B11404" s="1168"/>
    </row>
    <row r="11405" spans="2:2" s="221" customFormat="1" ht="12.75" x14ac:dyDescent="0.2">
      <c r="B11405" s="1168"/>
    </row>
    <row r="11406" spans="2:2" s="221" customFormat="1" ht="12.75" x14ac:dyDescent="0.2">
      <c r="B11406" s="1168"/>
    </row>
    <row r="11407" spans="2:2" s="221" customFormat="1" ht="12.75" x14ac:dyDescent="0.2">
      <c r="B11407" s="1168"/>
    </row>
    <row r="11408" spans="2:2" s="221" customFormat="1" ht="12.75" x14ac:dyDescent="0.2">
      <c r="B11408" s="1168"/>
    </row>
    <row r="11409" spans="2:2" s="221" customFormat="1" ht="12.75" x14ac:dyDescent="0.2">
      <c r="B11409" s="1168"/>
    </row>
    <row r="11410" spans="2:2" s="221" customFormat="1" ht="12.75" x14ac:dyDescent="0.2">
      <c r="B11410" s="1168"/>
    </row>
    <row r="11411" spans="2:2" s="221" customFormat="1" ht="12.75" x14ac:dyDescent="0.2">
      <c r="B11411" s="1168"/>
    </row>
    <row r="11412" spans="2:2" s="221" customFormat="1" ht="12.75" x14ac:dyDescent="0.2">
      <c r="B11412" s="1168"/>
    </row>
    <row r="11413" spans="2:2" s="221" customFormat="1" ht="12.75" x14ac:dyDescent="0.2">
      <c r="B11413" s="1168"/>
    </row>
    <row r="11414" spans="2:2" s="221" customFormat="1" ht="12.75" x14ac:dyDescent="0.2">
      <c r="B11414" s="1168"/>
    </row>
    <row r="11415" spans="2:2" s="221" customFormat="1" ht="12.75" x14ac:dyDescent="0.2">
      <c r="B11415" s="1168"/>
    </row>
    <row r="11416" spans="2:2" s="221" customFormat="1" ht="12.75" x14ac:dyDescent="0.2">
      <c r="B11416" s="1168"/>
    </row>
    <row r="11417" spans="2:2" s="221" customFormat="1" ht="12.75" x14ac:dyDescent="0.2">
      <c r="B11417" s="1168"/>
    </row>
    <row r="11418" spans="2:2" s="221" customFormat="1" ht="12.75" x14ac:dyDescent="0.2">
      <c r="B11418" s="1168"/>
    </row>
    <row r="11419" spans="2:2" s="221" customFormat="1" ht="12.75" x14ac:dyDescent="0.2">
      <c r="B11419" s="1168"/>
    </row>
    <row r="11420" spans="2:2" s="221" customFormat="1" ht="12.75" x14ac:dyDescent="0.2">
      <c r="B11420" s="1168"/>
    </row>
    <row r="11421" spans="2:2" s="221" customFormat="1" ht="12.75" x14ac:dyDescent="0.2">
      <c r="B11421" s="1168"/>
    </row>
    <row r="11422" spans="2:2" s="221" customFormat="1" ht="12.75" x14ac:dyDescent="0.2">
      <c r="B11422" s="1168"/>
    </row>
    <row r="11423" spans="2:2" s="221" customFormat="1" ht="12.75" x14ac:dyDescent="0.2">
      <c r="B11423" s="1168"/>
    </row>
    <row r="11424" spans="2:2" s="221" customFormat="1" ht="12.75" x14ac:dyDescent="0.2">
      <c r="B11424" s="1168"/>
    </row>
    <row r="11425" spans="2:2" s="221" customFormat="1" ht="12.75" x14ac:dyDescent="0.2">
      <c r="B11425" s="1168"/>
    </row>
    <row r="11426" spans="2:2" s="221" customFormat="1" ht="12.75" x14ac:dyDescent="0.2">
      <c r="B11426" s="1168"/>
    </row>
    <row r="11427" spans="2:2" s="221" customFormat="1" ht="12.75" x14ac:dyDescent="0.2">
      <c r="B11427" s="1168"/>
    </row>
    <row r="11428" spans="2:2" s="221" customFormat="1" ht="12.75" x14ac:dyDescent="0.2">
      <c r="B11428" s="1168"/>
    </row>
    <row r="11429" spans="2:2" s="221" customFormat="1" ht="12.75" x14ac:dyDescent="0.2">
      <c r="B11429" s="1168"/>
    </row>
    <row r="11430" spans="2:2" s="221" customFormat="1" ht="12.75" x14ac:dyDescent="0.2">
      <c r="B11430" s="1168"/>
    </row>
    <row r="11431" spans="2:2" s="221" customFormat="1" ht="12.75" x14ac:dyDescent="0.2">
      <c r="B11431" s="1168"/>
    </row>
    <row r="11432" spans="2:2" s="221" customFormat="1" ht="12.75" x14ac:dyDescent="0.2">
      <c r="B11432" s="1168"/>
    </row>
    <row r="11433" spans="2:2" s="221" customFormat="1" ht="12.75" x14ac:dyDescent="0.2">
      <c r="B11433" s="1168"/>
    </row>
    <row r="11434" spans="2:2" s="221" customFormat="1" ht="12.75" x14ac:dyDescent="0.2">
      <c r="B11434" s="1168"/>
    </row>
    <row r="11435" spans="2:2" s="221" customFormat="1" ht="12.75" x14ac:dyDescent="0.2">
      <c r="B11435" s="1168"/>
    </row>
    <row r="11436" spans="2:2" s="221" customFormat="1" ht="12.75" x14ac:dyDescent="0.2">
      <c r="B11436" s="1168"/>
    </row>
    <row r="11437" spans="2:2" s="221" customFormat="1" ht="12.75" x14ac:dyDescent="0.2">
      <c r="B11437" s="1168"/>
    </row>
    <row r="11438" spans="2:2" s="221" customFormat="1" ht="12.75" x14ac:dyDescent="0.2">
      <c r="B11438" s="1168"/>
    </row>
    <row r="11439" spans="2:2" s="221" customFormat="1" ht="12.75" x14ac:dyDescent="0.2">
      <c r="B11439" s="1168"/>
    </row>
    <row r="11440" spans="2:2" s="221" customFormat="1" ht="12.75" x14ac:dyDescent="0.2">
      <c r="B11440" s="1168"/>
    </row>
    <row r="11441" spans="2:2" s="221" customFormat="1" ht="12.75" x14ac:dyDescent="0.2">
      <c r="B11441" s="1168"/>
    </row>
    <row r="11442" spans="2:2" s="221" customFormat="1" ht="12.75" x14ac:dyDescent="0.2">
      <c r="B11442" s="1168"/>
    </row>
    <row r="11443" spans="2:2" s="221" customFormat="1" ht="12.75" x14ac:dyDescent="0.2">
      <c r="B11443" s="1168"/>
    </row>
    <row r="11444" spans="2:2" s="221" customFormat="1" ht="12.75" x14ac:dyDescent="0.2">
      <c r="B11444" s="1168"/>
    </row>
    <row r="11445" spans="2:2" s="221" customFormat="1" ht="12.75" x14ac:dyDescent="0.2">
      <c r="B11445" s="1168"/>
    </row>
    <row r="11446" spans="2:2" s="221" customFormat="1" ht="12.75" x14ac:dyDescent="0.2">
      <c r="B11446" s="1168"/>
    </row>
    <row r="11447" spans="2:2" s="221" customFormat="1" ht="12.75" x14ac:dyDescent="0.2">
      <c r="B11447" s="1168"/>
    </row>
    <row r="11448" spans="2:2" s="221" customFormat="1" ht="12.75" x14ac:dyDescent="0.2">
      <c r="B11448" s="1168"/>
    </row>
    <row r="11449" spans="2:2" s="221" customFormat="1" ht="12.75" x14ac:dyDescent="0.2">
      <c r="B11449" s="1168"/>
    </row>
    <row r="11450" spans="2:2" s="221" customFormat="1" ht="12.75" x14ac:dyDescent="0.2">
      <c r="B11450" s="1168"/>
    </row>
    <row r="11451" spans="2:2" s="221" customFormat="1" ht="12.75" x14ac:dyDescent="0.2">
      <c r="B11451" s="1168"/>
    </row>
    <row r="11452" spans="2:2" s="221" customFormat="1" ht="12.75" x14ac:dyDescent="0.2">
      <c r="B11452" s="1168"/>
    </row>
    <row r="11453" spans="2:2" s="221" customFormat="1" ht="12.75" x14ac:dyDescent="0.2">
      <c r="B11453" s="1168"/>
    </row>
    <row r="11454" spans="2:2" s="221" customFormat="1" ht="12.75" x14ac:dyDescent="0.2">
      <c r="B11454" s="1168"/>
    </row>
    <row r="11455" spans="2:2" s="221" customFormat="1" ht="12.75" x14ac:dyDescent="0.2">
      <c r="B11455" s="1168"/>
    </row>
    <row r="11456" spans="2:2" s="221" customFormat="1" ht="12.75" x14ac:dyDescent="0.2">
      <c r="B11456" s="1168"/>
    </row>
    <row r="11457" spans="2:2" s="221" customFormat="1" ht="12.75" x14ac:dyDescent="0.2">
      <c r="B11457" s="1168"/>
    </row>
    <row r="11458" spans="2:2" s="221" customFormat="1" ht="12.75" x14ac:dyDescent="0.2">
      <c r="B11458" s="1168"/>
    </row>
    <row r="11459" spans="2:2" s="221" customFormat="1" ht="12.75" x14ac:dyDescent="0.2">
      <c r="B11459" s="1168"/>
    </row>
    <row r="11460" spans="2:2" s="221" customFormat="1" ht="12.75" x14ac:dyDescent="0.2">
      <c r="B11460" s="1168"/>
    </row>
    <row r="11461" spans="2:2" s="221" customFormat="1" ht="12.75" x14ac:dyDescent="0.2">
      <c r="B11461" s="1168"/>
    </row>
    <row r="11462" spans="2:2" s="221" customFormat="1" ht="12.75" x14ac:dyDescent="0.2">
      <c r="B11462" s="1168"/>
    </row>
    <row r="11463" spans="2:2" s="221" customFormat="1" ht="12.75" x14ac:dyDescent="0.2">
      <c r="B11463" s="1168"/>
    </row>
    <row r="11464" spans="2:2" s="221" customFormat="1" ht="12.75" x14ac:dyDescent="0.2">
      <c r="B11464" s="1168"/>
    </row>
    <row r="11465" spans="2:2" s="221" customFormat="1" ht="12.75" x14ac:dyDescent="0.2">
      <c r="B11465" s="1168"/>
    </row>
    <row r="11466" spans="2:2" s="221" customFormat="1" ht="12.75" x14ac:dyDescent="0.2">
      <c r="B11466" s="1168"/>
    </row>
    <row r="11467" spans="2:2" s="221" customFormat="1" ht="12.75" x14ac:dyDescent="0.2">
      <c r="B11467" s="1168"/>
    </row>
    <row r="11468" spans="2:2" s="221" customFormat="1" ht="12.75" x14ac:dyDescent="0.2">
      <c r="B11468" s="1168"/>
    </row>
    <row r="11469" spans="2:2" s="221" customFormat="1" ht="12.75" x14ac:dyDescent="0.2">
      <c r="B11469" s="1168"/>
    </row>
    <row r="11470" spans="2:2" s="221" customFormat="1" ht="12.75" x14ac:dyDescent="0.2">
      <c r="B11470" s="1168"/>
    </row>
    <row r="11471" spans="2:2" s="221" customFormat="1" ht="12.75" x14ac:dyDescent="0.2">
      <c r="B11471" s="1168"/>
    </row>
    <row r="11472" spans="2:2" s="221" customFormat="1" ht="12.75" x14ac:dyDescent="0.2">
      <c r="B11472" s="1168"/>
    </row>
    <row r="11473" spans="2:2" s="221" customFormat="1" ht="12.75" x14ac:dyDescent="0.2">
      <c r="B11473" s="1168"/>
    </row>
    <row r="11474" spans="2:2" s="221" customFormat="1" ht="12.75" x14ac:dyDescent="0.2">
      <c r="B11474" s="1168"/>
    </row>
    <row r="11475" spans="2:2" s="221" customFormat="1" ht="12.75" x14ac:dyDescent="0.2">
      <c r="B11475" s="1168"/>
    </row>
    <row r="11476" spans="2:2" s="221" customFormat="1" ht="12.75" x14ac:dyDescent="0.2">
      <c r="B11476" s="1168"/>
    </row>
    <row r="11477" spans="2:2" s="221" customFormat="1" ht="12.75" x14ac:dyDescent="0.2">
      <c r="B11477" s="1168"/>
    </row>
    <row r="11478" spans="2:2" s="221" customFormat="1" ht="12.75" x14ac:dyDescent="0.2">
      <c r="B11478" s="1168"/>
    </row>
    <row r="11479" spans="2:2" s="221" customFormat="1" ht="12.75" x14ac:dyDescent="0.2">
      <c r="B11479" s="1168"/>
    </row>
    <row r="11480" spans="2:2" s="221" customFormat="1" ht="12.75" x14ac:dyDescent="0.2">
      <c r="B11480" s="1168"/>
    </row>
    <row r="11481" spans="2:2" s="221" customFormat="1" ht="12.75" x14ac:dyDescent="0.2">
      <c r="B11481" s="1168"/>
    </row>
    <row r="11482" spans="2:2" s="221" customFormat="1" ht="12.75" x14ac:dyDescent="0.2">
      <c r="B11482" s="1168"/>
    </row>
    <row r="11483" spans="2:2" s="221" customFormat="1" ht="12.75" x14ac:dyDescent="0.2">
      <c r="B11483" s="1168"/>
    </row>
    <row r="11484" spans="2:2" s="221" customFormat="1" ht="12.75" x14ac:dyDescent="0.2">
      <c r="B11484" s="1168"/>
    </row>
    <row r="11485" spans="2:2" s="221" customFormat="1" ht="12.75" x14ac:dyDescent="0.2">
      <c r="B11485" s="1168"/>
    </row>
    <row r="11486" spans="2:2" s="221" customFormat="1" ht="12.75" x14ac:dyDescent="0.2">
      <c r="B11486" s="1168"/>
    </row>
    <row r="11487" spans="2:2" s="221" customFormat="1" ht="12.75" x14ac:dyDescent="0.2">
      <c r="B11487" s="1168"/>
    </row>
    <row r="11488" spans="2:2" s="221" customFormat="1" ht="12.75" x14ac:dyDescent="0.2">
      <c r="B11488" s="1168"/>
    </row>
    <row r="11489" spans="2:2" s="221" customFormat="1" ht="12.75" x14ac:dyDescent="0.2">
      <c r="B11489" s="1168"/>
    </row>
    <row r="11490" spans="2:2" s="221" customFormat="1" ht="12.75" x14ac:dyDescent="0.2">
      <c r="B11490" s="1168"/>
    </row>
    <row r="11491" spans="2:2" s="221" customFormat="1" ht="12.75" x14ac:dyDescent="0.2">
      <c r="B11491" s="1168"/>
    </row>
    <row r="11492" spans="2:2" s="221" customFormat="1" ht="12.75" x14ac:dyDescent="0.2">
      <c r="B11492" s="1168"/>
    </row>
    <row r="11493" spans="2:2" s="221" customFormat="1" ht="12.75" x14ac:dyDescent="0.2">
      <c r="B11493" s="1168"/>
    </row>
    <row r="11494" spans="2:2" s="221" customFormat="1" ht="12.75" x14ac:dyDescent="0.2">
      <c r="B11494" s="1168"/>
    </row>
    <row r="11495" spans="2:2" s="221" customFormat="1" ht="12.75" x14ac:dyDescent="0.2">
      <c r="B11495" s="1168"/>
    </row>
    <row r="11496" spans="2:2" s="221" customFormat="1" ht="12.75" x14ac:dyDescent="0.2">
      <c r="B11496" s="1168"/>
    </row>
    <row r="11497" spans="2:2" s="221" customFormat="1" ht="12.75" x14ac:dyDescent="0.2">
      <c r="B11497" s="1168"/>
    </row>
    <row r="11498" spans="2:2" s="221" customFormat="1" ht="12.75" x14ac:dyDescent="0.2">
      <c r="B11498" s="1168"/>
    </row>
    <row r="11499" spans="2:2" s="221" customFormat="1" ht="12.75" x14ac:dyDescent="0.2">
      <c r="B11499" s="1168"/>
    </row>
    <row r="11500" spans="2:2" s="221" customFormat="1" ht="12.75" x14ac:dyDescent="0.2">
      <c r="B11500" s="1168"/>
    </row>
    <row r="11501" spans="2:2" s="221" customFormat="1" ht="12.75" x14ac:dyDescent="0.2">
      <c r="B11501" s="1168"/>
    </row>
    <row r="11502" spans="2:2" s="221" customFormat="1" ht="12.75" x14ac:dyDescent="0.2">
      <c r="B11502" s="1168"/>
    </row>
    <row r="11503" spans="2:2" s="221" customFormat="1" ht="12.75" x14ac:dyDescent="0.2">
      <c r="B11503" s="1168"/>
    </row>
    <row r="11504" spans="2:2" s="221" customFormat="1" ht="12.75" x14ac:dyDescent="0.2">
      <c r="B11504" s="1168"/>
    </row>
    <row r="11505" spans="2:2" s="221" customFormat="1" ht="12.75" x14ac:dyDescent="0.2">
      <c r="B11505" s="1168"/>
    </row>
    <row r="11506" spans="2:2" s="221" customFormat="1" ht="12.75" x14ac:dyDescent="0.2">
      <c r="B11506" s="1168"/>
    </row>
    <row r="11507" spans="2:2" s="221" customFormat="1" ht="12.75" x14ac:dyDescent="0.2">
      <c r="B11507" s="1168"/>
    </row>
    <row r="11508" spans="2:2" s="221" customFormat="1" ht="12.75" x14ac:dyDescent="0.2">
      <c r="B11508" s="1168"/>
    </row>
    <row r="11509" spans="2:2" s="221" customFormat="1" ht="12.75" x14ac:dyDescent="0.2">
      <c r="B11509" s="1168"/>
    </row>
    <row r="11510" spans="2:2" s="221" customFormat="1" ht="12.75" x14ac:dyDescent="0.2">
      <c r="B11510" s="1168"/>
    </row>
    <row r="11511" spans="2:2" s="221" customFormat="1" ht="12.75" x14ac:dyDescent="0.2">
      <c r="B11511" s="1168"/>
    </row>
    <row r="11512" spans="2:2" s="221" customFormat="1" ht="12.75" x14ac:dyDescent="0.2">
      <c r="B11512" s="1168"/>
    </row>
    <row r="11513" spans="2:2" s="221" customFormat="1" ht="12.75" x14ac:dyDescent="0.2">
      <c r="B11513" s="1168"/>
    </row>
    <row r="11514" spans="2:2" s="221" customFormat="1" ht="12.75" x14ac:dyDescent="0.2">
      <c r="B11514" s="1168"/>
    </row>
    <row r="11515" spans="2:2" s="221" customFormat="1" ht="12.75" x14ac:dyDescent="0.2">
      <c r="B11515" s="1168"/>
    </row>
    <row r="11516" spans="2:2" s="221" customFormat="1" ht="12.75" x14ac:dyDescent="0.2">
      <c r="B11516" s="1168"/>
    </row>
    <row r="11517" spans="2:2" s="221" customFormat="1" ht="12.75" x14ac:dyDescent="0.2">
      <c r="B11517" s="1168"/>
    </row>
    <row r="11518" spans="2:2" s="221" customFormat="1" ht="12.75" x14ac:dyDescent="0.2">
      <c r="B11518" s="1168"/>
    </row>
    <row r="11519" spans="2:2" s="221" customFormat="1" ht="12.75" x14ac:dyDescent="0.2">
      <c r="B11519" s="1168"/>
    </row>
    <row r="11520" spans="2:2" s="221" customFormat="1" ht="12.75" x14ac:dyDescent="0.2">
      <c r="B11520" s="1168"/>
    </row>
    <row r="11521" spans="2:2" s="221" customFormat="1" ht="12.75" x14ac:dyDescent="0.2">
      <c r="B11521" s="1168"/>
    </row>
    <row r="11522" spans="2:2" s="221" customFormat="1" ht="12.75" x14ac:dyDescent="0.2">
      <c r="B11522" s="1168"/>
    </row>
    <row r="11523" spans="2:2" s="221" customFormat="1" ht="12.75" x14ac:dyDescent="0.2">
      <c r="B11523" s="1168"/>
    </row>
    <row r="11524" spans="2:2" s="221" customFormat="1" ht="12.75" x14ac:dyDescent="0.2">
      <c r="B11524" s="1168"/>
    </row>
    <row r="11525" spans="2:2" s="221" customFormat="1" ht="12.75" x14ac:dyDescent="0.2">
      <c r="B11525" s="1168"/>
    </row>
    <row r="11526" spans="2:2" s="221" customFormat="1" ht="12.75" x14ac:dyDescent="0.2">
      <c r="B11526" s="1168"/>
    </row>
    <row r="11527" spans="2:2" s="221" customFormat="1" ht="12.75" x14ac:dyDescent="0.2">
      <c r="B11527" s="1168"/>
    </row>
    <row r="11528" spans="2:2" s="221" customFormat="1" ht="12.75" x14ac:dyDescent="0.2">
      <c r="B11528" s="1168"/>
    </row>
    <row r="11529" spans="2:2" s="221" customFormat="1" ht="12.75" x14ac:dyDescent="0.2">
      <c r="B11529" s="1168"/>
    </row>
    <row r="11530" spans="2:2" s="221" customFormat="1" ht="12.75" x14ac:dyDescent="0.2">
      <c r="B11530" s="1168"/>
    </row>
    <row r="11531" spans="2:2" s="221" customFormat="1" ht="12.75" x14ac:dyDescent="0.2">
      <c r="B11531" s="1168"/>
    </row>
    <row r="11532" spans="2:2" s="221" customFormat="1" ht="12.75" x14ac:dyDescent="0.2">
      <c r="B11532" s="1168"/>
    </row>
    <row r="11533" spans="2:2" s="221" customFormat="1" ht="12.75" x14ac:dyDescent="0.2">
      <c r="B11533" s="1168"/>
    </row>
    <row r="11534" spans="2:2" s="221" customFormat="1" ht="12.75" x14ac:dyDescent="0.2">
      <c r="B11534" s="1168"/>
    </row>
    <row r="11535" spans="2:2" s="221" customFormat="1" ht="12.75" x14ac:dyDescent="0.2">
      <c r="B11535" s="1168"/>
    </row>
    <row r="11536" spans="2:2" s="221" customFormat="1" ht="12.75" x14ac:dyDescent="0.2">
      <c r="B11536" s="1168"/>
    </row>
    <row r="11537" spans="2:2" s="221" customFormat="1" ht="12.75" x14ac:dyDescent="0.2">
      <c r="B11537" s="1168"/>
    </row>
    <row r="11538" spans="2:2" s="221" customFormat="1" ht="12.75" x14ac:dyDescent="0.2">
      <c r="B11538" s="1168"/>
    </row>
    <row r="11539" spans="2:2" s="221" customFormat="1" ht="12.75" x14ac:dyDescent="0.2">
      <c r="B11539" s="1168"/>
    </row>
    <row r="11540" spans="2:2" s="221" customFormat="1" ht="12.75" x14ac:dyDescent="0.2">
      <c r="B11540" s="1168"/>
    </row>
    <row r="11541" spans="2:2" s="221" customFormat="1" ht="12.75" x14ac:dyDescent="0.2">
      <c r="B11541" s="1168"/>
    </row>
    <row r="11542" spans="2:2" s="221" customFormat="1" ht="12.75" x14ac:dyDescent="0.2">
      <c r="B11542" s="1168"/>
    </row>
    <row r="11543" spans="2:2" s="221" customFormat="1" ht="12.75" x14ac:dyDescent="0.2">
      <c r="B11543" s="1168"/>
    </row>
    <row r="11544" spans="2:2" s="221" customFormat="1" ht="12.75" x14ac:dyDescent="0.2">
      <c r="B11544" s="1168"/>
    </row>
    <row r="11545" spans="2:2" s="221" customFormat="1" ht="12.75" x14ac:dyDescent="0.2">
      <c r="B11545" s="1168"/>
    </row>
    <row r="11546" spans="2:2" s="221" customFormat="1" ht="12.75" x14ac:dyDescent="0.2">
      <c r="B11546" s="1168"/>
    </row>
    <row r="11547" spans="2:2" s="221" customFormat="1" ht="12.75" x14ac:dyDescent="0.2">
      <c r="B11547" s="1168"/>
    </row>
    <row r="11548" spans="2:2" s="221" customFormat="1" ht="12.75" x14ac:dyDescent="0.2">
      <c r="B11548" s="1168"/>
    </row>
    <row r="11549" spans="2:2" s="221" customFormat="1" ht="12.75" x14ac:dyDescent="0.2">
      <c r="B11549" s="1168"/>
    </row>
    <row r="11550" spans="2:2" s="221" customFormat="1" ht="12.75" x14ac:dyDescent="0.2">
      <c r="B11550" s="1168"/>
    </row>
    <row r="11551" spans="2:2" s="221" customFormat="1" ht="12.75" x14ac:dyDescent="0.2">
      <c r="B11551" s="1168"/>
    </row>
    <row r="11552" spans="2:2" s="221" customFormat="1" ht="12.75" x14ac:dyDescent="0.2">
      <c r="B11552" s="1168"/>
    </row>
    <row r="11553" spans="2:2" s="221" customFormat="1" ht="12.75" x14ac:dyDescent="0.2">
      <c r="B11553" s="1168"/>
    </row>
    <row r="11554" spans="2:2" s="221" customFormat="1" ht="12.75" x14ac:dyDescent="0.2">
      <c r="B11554" s="1168"/>
    </row>
    <row r="11555" spans="2:2" s="221" customFormat="1" ht="12.75" x14ac:dyDescent="0.2">
      <c r="B11555" s="1168"/>
    </row>
    <row r="11556" spans="2:2" s="221" customFormat="1" ht="12.75" x14ac:dyDescent="0.2">
      <c r="B11556" s="1168"/>
    </row>
    <row r="11557" spans="2:2" s="221" customFormat="1" ht="12.75" x14ac:dyDescent="0.2">
      <c r="B11557" s="1168"/>
    </row>
    <row r="11558" spans="2:2" s="221" customFormat="1" ht="12.75" x14ac:dyDescent="0.2">
      <c r="B11558" s="1168"/>
    </row>
    <row r="11559" spans="2:2" s="221" customFormat="1" ht="12.75" x14ac:dyDescent="0.2">
      <c r="B11559" s="1168"/>
    </row>
    <row r="11560" spans="2:2" s="221" customFormat="1" ht="12.75" x14ac:dyDescent="0.2">
      <c r="B11560" s="1168"/>
    </row>
    <row r="11561" spans="2:2" s="221" customFormat="1" ht="12.75" x14ac:dyDescent="0.2">
      <c r="B11561" s="1168"/>
    </row>
    <row r="11562" spans="2:2" s="221" customFormat="1" ht="12.75" x14ac:dyDescent="0.2">
      <c r="B11562" s="1168"/>
    </row>
    <row r="11563" spans="2:2" s="221" customFormat="1" ht="12.75" x14ac:dyDescent="0.2">
      <c r="B11563" s="1168"/>
    </row>
    <row r="11564" spans="2:2" s="221" customFormat="1" ht="12.75" x14ac:dyDescent="0.2">
      <c r="B11564" s="1168"/>
    </row>
    <row r="11565" spans="2:2" s="221" customFormat="1" ht="12.75" x14ac:dyDescent="0.2">
      <c r="B11565" s="1168"/>
    </row>
    <row r="11566" spans="2:2" s="221" customFormat="1" ht="12.75" x14ac:dyDescent="0.2">
      <c r="B11566" s="1168"/>
    </row>
    <row r="11567" spans="2:2" s="221" customFormat="1" ht="12.75" x14ac:dyDescent="0.2">
      <c r="B11567" s="1168"/>
    </row>
    <row r="11568" spans="2:2" s="221" customFormat="1" ht="12.75" x14ac:dyDescent="0.2">
      <c r="B11568" s="1168"/>
    </row>
    <row r="11569" spans="2:2" s="221" customFormat="1" ht="12.75" x14ac:dyDescent="0.2">
      <c r="B11569" s="1168"/>
    </row>
    <row r="11570" spans="2:2" s="221" customFormat="1" ht="12.75" x14ac:dyDescent="0.2">
      <c r="B11570" s="1168"/>
    </row>
    <row r="11571" spans="2:2" s="221" customFormat="1" ht="12.75" x14ac:dyDescent="0.2">
      <c r="B11571" s="1168"/>
    </row>
    <row r="11572" spans="2:2" s="221" customFormat="1" ht="12.75" x14ac:dyDescent="0.2">
      <c r="B11572" s="1168"/>
    </row>
    <row r="11573" spans="2:2" s="221" customFormat="1" ht="12.75" x14ac:dyDescent="0.2">
      <c r="B11573" s="1168"/>
    </row>
    <row r="11574" spans="2:2" s="221" customFormat="1" ht="12.75" x14ac:dyDescent="0.2">
      <c r="B11574" s="1168"/>
    </row>
    <row r="11575" spans="2:2" s="221" customFormat="1" ht="12.75" x14ac:dyDescent="0.2">
      <c r="B11575" s="1168"/>
    </row>
    <row r="11576" spans="2:2" s="221" customFormat="1" ht="12.75" x14ac:dyDescent="0.2">
      <c r="B11576" s="1168"/>
    </row>
    <row r="11577" spans="2:2" s="221" customFormat="1" ht="12.75" x14ac:dyDescent="0.2">
      <c r="B11577" s="1168"/>
    </row>
    <row r="11578" spans="2:2" s="221" customFormat="1" ht="12.75" x14ac:dyDescent="0.2">
      <c r="B11578" s="1168"/>
    </row>
    <row r="11579" spans="2:2" s="221" customFormat="1" ht="12.75" x14ac:dyDescent="0.2">
      <c r="B11579" s="1168"/>
    </row>
    <row r="11580" spans="2:2" s="221" customFormat="1" ht="12.75" x14ac:dyDescent="0.2">
      <c r="B11580" s="1168"/>
    </row>
    <row r="11581" spans="2:2" s="221" customFormat="1" ht="12.75" x14ac:dyDescent="0.2">
      <c r="B11581" s="1168"/>
    </row>
    <row r="11582" spans="2:2" s="221" customFormat="1" ht="12.75" x14ac:dyDescent="0.2">
      <c r="B11582" s="1168"/>
    </row>
    <row r="11583" spans="2:2" s="221" customFormat="1" ht="12.75" x14ac:dyDescent="0.2">
      <c r="B11583" s="1168"/>
    </row>
    <row r="11584" spans="2:2" s="221" customFormat="1" ht="12.75" x14ac:dyDescent="0.2">
      <c r="B11584" s="1168"/>
    </row>
    <row r="11585" spans="2:2" s="221" customFormat="1" ht="12.75" x14ac:dyDescent="0.2">
      <c r="B11585" s="1168"/>
    </row>
    <row r="11586" spans="2:2" s="221" customFormat="1" ht="12.75" x14ac:dyDescent="0.2">
      <c r="B11586" s="1168"/>
    </row>
    <row r="11587" spans="2:2" s="221" customFormat="1" ht="12.75" x14ac:dyDescent="0.2">
      <c r="B11587" s="1168"/>
    </row>
    <row r="11588" spans="2:2" s="221" customFormat="1" ht="12.75" x14ac:dyDescent="0.2">
      <c r="B11588" s="1168"/>
    </row>
    <row r="11589" spans="2:2" s="221" customFormat="1" ht="12.75" x14ac:dyDescent="0.2">
      <c r="B11589" s="1168"/>
    </row>
    <row r="11590" spans="2:2" s="221" customFormat="1" ht="12.75" x14ac:dyDescent="0.2">
      <c r="B11590" s="1168"/>
    </row>
    <row r="11591" spans="2:2" s="221" customFormat="1" ht="12.75" x14ac:dyDescent="0.2">
      <c r="B11591" s="1168"/>
    </row>
    <row r="11592" spans="2:2" s="221" customFormat="1" ht="12.75" x14ac:dyDescent="0.2">
      <c r="B11592" s="1168"/>
    </row>
    <row r="11593" spans="2:2" s="221" customFormat="1" ht="12.75" x14ac:dyDescent="0.2">
      <c r="B11593" s="1168"/>
    </row>
    <row r="11594" spans="2:2" s="221" customFormat="1" ht="12.75" x14ac:dyDescent="0.2">
      <c r="B11594" s="1168"/>
    </row>
    <row r="11595" spans="2:2" s="221" customFormat="1" ht="12.75" x14ac:dyDescent="0.2">
      <c r="B11595" s="1168"/>
    </row>
    <row r="11596" spans="2:2" s="221" customFormat="1" ht="12.75" x14ac:dyDescent="0.2">
      <c r="B11596" s="1168"/>
    </row>
    <row r="11597" spans="2:2" s="221" customFormat="1" ht="12.75" x14ac:dyDescent="0.2">
      <c r="B11597" s="1168"/>
    </row>
    <row r="11598" spans="2:2" s="221" customFormat="1" ht="12.75" x14ac:dyDescent="0.2">
      <c r="B11598" s="1168"/>
    </row>
    <row r="11599" spans="2:2" s="221" customFormat="1" ht="12.75" x14ac:dyDescent="0.2">
      <c r="B11599" s="1168"/>
    </row>
    <row r="11600" spans="2:2" s="221" customFormat="1" ht="12.75" x14ac:dyDescent="0.2">
      <c r="B11600" s="1168"/>
    </row>
    <row r="11601" spans="2:2" s="221" customFormat="1" ht="12.75" x14ac:dyDescent="0.2">
      <c r="B11601" s="1168"/>
    </row>
    <row r="11602" spans="2:2" s="221" customFormat="1" ht="12.75" x14ac:dyDescent="0.2">
      <c r="B11602" s="1168"/>
    </row>
    <row r="11603" spans="2:2" s="221" customFormat="1" ht="12.75" x14ac:dyDescent="0.2">
      <c r="B11603" s="1168"/>
    </row>
    <row r="11604" spans="2:2" s="221" customFormat="1" ht="12.75" x14ac:dyDescent="0.2">
      <c r="B11604" s="1168"/>
    </row>
    <row r="11605" spans="2:2" s="221" customFormat="1" ht="12.75" x14ac:dyDescent="0.2">
      <c r="B11605" s="1168"/>
    </row>
    <row r="11606" spans="2:2" s="221" customFormat="1" ht="12.75" x14ac:dyDescent="0.2">
      <c r="B11606" s="1168"/>
    </row>
    <row r="11607" spans="2:2" s="221" customFormat="1" ht="12.75" x14ac:dyDescent="0.2">
      <c r="B11607" s="1168"/>
    </row>
    <row r="11608" spans="2:2" s="221" customFormat="1" ht="12.75" x14ac:dyDescent="0.2">
      <c r="B11608" s="1168"/>
    </row>
    <row r="11609" spans="2:2" s="221" customFormat="1" ht="12.75" x14ac:dyDescent="0.2">
      <c r="B11609" s="1168"/>
    </row>
    <row r="11610" spans="2:2" s="221" customFormat="1" ht="12.75" x14ac:dyDescent="0.2">
      <c r="B11610" s="1168"/>
    </row>
    <row r="11611" spans="2:2" s="221" customFormat="1" ht="12.75" x14ac:dyDescent="0.2">
      <c r="B11611" s="1168"/>
    </row>
    <row r="11612" spans="2:2" s="221" customFormat="1" ht="12.75" x14ac:dyDescent="0.2">
      <c r="B11612" s="1168"/>
    </row>
    <row r="11613" spans="2:2" s="221" customFormat="1" ht="12.75" x14ac:dyDescent="0.2">
      <c r="B11613" s="1168"/>
    </row>
    <row r="11614" spans="2:2" s="221" customFormat="1" ht="12.75" x14ac:dyDescent="0.2">
      <c r="B11614" s="1168"/>
    </row>
    <row r="11615" spans="2:2" s="221" customFormat="1" ht="12.75" x14ac:dyDescent="0.2">
      <c r="B11615" s="1168"/>
    </row>
    <row r="11616" spans="2:2" s="221" customFormat="1" ht="12.75" x14ac:dyDescent="0.2">
      <c r="B11616" s="1168"/>
    </row>
    <row r="11617" spans="2:2" s="221" customFormat="1" ht="12.75" x14ac:dyDescent="0.2">
      <c r="B11617" s="1168"/>
    </row>
    <row r="11618" spans="2:2" s="221" customFormat="1" ht="12.75" x14ac:dyDescent="0.2">
      <c r="B11618" s="1168"/>
    </row>
    <row r="11619" spans="2:2" s="221" customFormat="1" ht="12.75" x14ac:dyDescent="0.2">
      <c r="B11619" s="1168"/>
    </row>
    <row r="11620" spans="2:2" s="221" customFormat="1" ht="12.75" x14ac:dyDescent="0.2">
      <c r="B11620" s="1168"/>
    </row>
    <row r="11621" spans="2:2" s="221" customFormat="1" ht="12.75" x14ac:dyDescent="0.2">
      <c r="B11621" s="1168"/>
    </row>
    <row r="11622" spans="2:2" s="221" customFormat="1" ht="12.75" x14ac:dyDescent="0.2">
      <c r="B11622" s="1168"/>
    </row>
    <row r="11623" spans="2:2" s="221" customFormat="1" ht="12.75" x14ac:dyDescent="0.2">
      <c r="B11623" s="1168"/>
    </row>
    <row r="11624" spans="2:2" s="221" customFormat="1" ht="12.75" x14ac:dyDescent="0.2">
      <c r="B11624" s="1168"/>
    </row>
    <row r="11625" spans="2:2" s="221" customFormat="1" ht="12.75" x14ac:dyDescent="0.2">
      <c r="B11625" s="1168"/>
    </row>
    <row r="11626" spans="2:2" s="221" customFormat="1" ht="12.75" x14ac:dyDescent="0.2">
      <c r="B11626" s="1168"/>
    </row>
    <row r="11627" spans="2:2" s="221" customFormat="1" ht="12.75" x14ac:dyDescent="0.2">
      <c r="B11627" s="1168"/>
    </row>
    <row r="11628" spans="2:2" s="221" customFormat="1" ht="12.75" x14ac:dyDescent="0.2">
      <c r="B11628" s="1168"/>
    </row>
    <row r="11629" spans="2:2" s="221" customFormat="1" ht="12.75" x14ac:dyDescent="0.2">
      <c r="B11629" s="1168"/>
    </row>
    <row r="11630" spans="2:2" s="221" customFormat="1" ht="12.75" x14ac:dyDescent="0.2">
      <c r="B11630" s="1168"/>
    </row>
    <row r="11631" spans="2:2" s="221" customFormat="1" ht="12.75" x14ac:dyDescent="0.2">
      <c r="B11631" s="1168"/>
    </row>
    <row r="11632" spans="2:2" s="221" customFormat="1" ht="12.75" x14ac:dyDescent="0.2">
      <c r="B11632" s="1168"/>
    </row>
    <row r="11633" spans="2:2" s="221" customFormat="1" ht="12.75" x14ac:dyDescent="0.2">
      <c r="B11633" s="1168"/>
    </row>
    <row r="11634" spans="2:2" s="221" customFormat="1" ht="12.75" x14ac:dyDescent="0.2">
      <c r="B11634" s="1168"/>
    </row>
    <row r="11635" spans="2:2" s="221" customFormat="1" ht="12.75" x14ac:dyDescent="0.2">
      <c r="B11635" s="1168"/>
    </row>
    <row r="11636" spans="2:2" s="221" customFormat="1" ht="12.75" x14ac:dyDescent="0.2">
      <c r="B11636" s="1168"/>
    </row>
    <row r="11637" spans="2:2" s="221" customFormat="1" ht="12.75" x14ac:dyDescent="0.2">
      <c r="B11637" s="1168"/>
    </row>
    <row r="11638" spans="2:2" s="221" customFormat="1" ht="12.75" x14ac:dyDescent="0.2">
      <c r="B11638" s="1168"/>
    </row>
    <row r="11639" spans="2:2" s="221" customFormat="1" ht="12.75" x14ac:dyDescent="0.2">
      <c r="B11639" s="1168"/>
    </row>
    <row r="11640" spans="2:2" s="221" customFormat="1" ht="12.75" x14ac:dyDescent="0.2">
      <c r="B11640" s="1168"/>
    </row>
    <row r="11641" spans="2:2" s="221" customFormat="1" ht="12.75" x14ac:dyDescent="0.2">
      <c r="B11641" s="1168"/>
    </row>
    <row r="11642" spans="2:2" s="221" customFormat="1" ht="12.75" x14ac:dyDescent="0.2">
      <c r="B11642" s="1168"/>
    </row>
    <row r="11643" spans="2:2" s="221" customFormat="1" ht="12.75" x14ac:dyDescent="0.2">
      <c r="B11643" s="1168"/>
    </row>
    <row r="11644" spans="2:2" s="221" customFormat="1" ht="12.75" x14ac:dyDescent="0.2">
      <c r="B11644" s="1168"/>
    </row>
    <row r="11645" spans="2:2" s="221" customFormat="1" ht="12.75" x14ac:dyDescent="0.2">
      <c r="B11645" s="1168"/>
    </row>
    <row r="11646" spans="2:2" s="221" customFormat="1" ht="12.75" x14ac:dyDescent="0.2">
      <c r="B11646" s="1168"/>
    </row>
    <row r="11647" spans="2:2" s="221" customFormat="1" ht="12.75" x14ac:dyDescent="0.2">
      <c r="B11647" s="1168"/>
    </row>
    <row r="11648" spans="2:2" s="221" customFormat="1" ht="12.75" x14ac:dyDescent="0.2">
      <c r="B11648" s="1168"/>
    </row>
    <row r="11649" spans="2:2" s="221" customFormat="1" ht="12.75" x14ac:dyDescent="0.2">
      <c r="B11649" s="1168"/>
    </row>
    <row r="11650" spans="2:2" s="221" customFormat="1" ht="12.75" x14ac:dyDescent="0.2">
      <c r="B11650" s="1168"/>
    </row>
    <row r="11651" spans="2:2" s="221" customFormat="1" ht="12.75" x14ac:dyDescent="0.2">
      <c r="B11651" s="1168"/>
    </row>
    <row r="11652" spans="2:2" s="221" customFormat="1" ht="12.75" x14ac:dyDescent="0.2">
      <c r="B11652" s="1168"/>
    </row>
    <row r="11653" spans="2:2" s="221" customFormat="1" ht="12.75" x14ac:dyDescent="0.2">
      <c r="B11653" s="1168"/>
    </row>
    <row r="11654" spans="2:2" s="221" customFormat="1" ht="12.75" x14ac:dyDescent="0.2">
      <c r="B11654" s="1168"/>
    </row>
    <row r="11655" spans="2:2" s="221" customFormat="1" ht="12.75" x14ac:dyDescent="0.2">
      <c r="B11655" s="1168"/>
    </row>
    <row r="11656" spans="2:2" s="221" customFormat="1" ht="12.75" x14ac:dyDescent="0.2">
      <c r="B11656" s="1168"/>
    </row>
    <row r="11657" spans="2:2" s="221" customFormat="1" ht="12.75" x14ac:dyDescent="0.2">
      <c r="B11657" s="1168"/>
    </row>
    <row r="11658" spans="2:2" s="221" customFormat="1" ht="12.75" x14ac:dyDescent="0.2">
      <c r="B11658" s="1168"/>
    </row>
    <row r="11659" spans="2:2" s="221" customFormat="1" ht="12.75" x14ac:dyDescent="0.2">
      <c r="B11659" s="1168"/>
    </row>
    <row r="11660" spans="2:2" s="221" customFormat="1" ht="12.75" x14ac:dyDescent="0.2">
      <c r="B11660" s="1168"/>
    </row>
    <row r="11661" spans="2:2" s="221" customFormat="1" ht="12.75" x14ac:dyDescent="0.2">
      <c r="B11661" s="1168"/>
    </row>
    <row r="11662" spans="2:2" s="221" customFormat="1" ht="12.75" x14ac:dyDescent="0.2">
      <c r="B11662" s="1168"/>
    </row>
    <row r="11663" spans="2:2" s="221" customFormat="1" ht="12.75" x14ac:dyDescent="0.2">
      <c r="B11663" s="1168"/>
    </row>
    <row r="11664" spans="2:2" s="221" customFormat="1" ht="12.75" x14ac:dyDescent="0.2">
      <c r="B11664" s="1168"/>
    </row>
    <row r="11665" spans="2:2" s="221" customFormat="1" ht="12.75" x14ac:dyDescent="0.2">
      <c r="B11665" s="1168"/>
    </row>
    <row r="11666" spans="2:2" s="221" customFormat="1" ht="12.75" x14ac:dyDescent="0.2">
      <c r="B11666" s="1168"/>
    </row>
    <row r="11667" spans="2:2" s="221" customFormat="1" ht="12.75" x14ac:dyDescent="0.2">
      <c r="B11667" s="1168"/>
    </row>
    <row r="11668" spans="2:2" s="221" customFormat="1" ht="12.75" x14ac:dyDescent="0.2">
      <c r="B11668" s="1168"/>
    </row>
    <row r="11669" spans="2:2" s="221" customFormat="1" ht="12.75" x14ac:dyDescent="0.2">
      <c r="B11669" s="1168"/>
    </row>
    <row r="11670" spans="2:2" s="221" customFormat="1" ht="12.75" x14ac:dyDescent="0.2">
      <c r="B11670" s="1168"/>
    </row>
    <row r="11671" spans="2:2" s="221" customFormat="1" ht="12.75" x14ac:dyDescent="0.2">
      <c r="B11671" s="1168"/>
    </row>
    <row r="11672" spans="2:2" s="221" customFormat="1" ht="12.75" x14ac:dyDescent="0.2">
      <c r="B11672" s="1168"/>
    </row>
    <row r="11673" spans="2:2" s="221" customFormat="1" ht="12.75" x14ac:dyDescent="0.2">
      <c r="B11673" s="1168"/>
    </row>
    <row r="11674" spans="2:2" s="221" customFormat="1" ht="12.75" x14ac:dyDescent="0.2">
      <c r="B11674" s="1168"/>
    </row>
    <row r="11675" spans="2:2" s="221" customFormat="1" ht="12.75" x14ac:dyDescent="0.2">
      <c r="B11675" s="1168"/>
    </row>
    <row r="11676" spans="2:2" s="221" customFormat="1" ht="12.75" x14ac:dyDescent="0.2">
      <c r="B11676" s="1168"/>
    </row>
    <row r="11677" spans="2:2" s="221" customFormat="1" ht="12.75" x14ac:dyDescent="0.2">
      <c r="B11677" s="1168"/>
    </row>
    <row r="11678" spans="2:2" s="221" customFormat="1" ht="12.75" x14ac:dyDescent="0.2">
      <c r="B11678" s="1168"/>
    </row>
    <row r="11679" spans="2:2" s="221" customFormat="1" ht="12.75" x14ac:dyDescent="0.2">
      <c r="B11679" s="1168"/>
    </row>
    <row r="11680" spans="2:2" s="221" customFormat="1" ht="12.75" x14ac:dyDescent="0.2">
      <c r="B11680" s="1168"/>
    </row>
    <row r="11681" spans="2:2" s="221" customFormat="1" ht="12.75" x14ac:dyDescent="0.2">
      <c r="B11681" s="1168"/>
    </row>
    <row r="11682" spans="2:2" s="221" customFormat="1" ht="12.75" x14ac:dyDescent="0.2">
      <c r="B11682" s="1168"/>
    </row>
    <row r="11683" spans="2:2" s="221" customFormat="1" ht="12.75" x14ac:dyDescent="0.2">
      <c r="B11683" s="1168"/>
    </row>
    <row r="11684" spans="2:2" s="221" customFormat="1" ht="12.75" x14ac:dyDescent="0.2">
      <c r="B11684" s="1168"/>
    </row>
    <row r="11685" spans="2:2" s="221" customFormat="1" ht="12.75" x14ac:dyDescent="0.2">
      <c r="B11685" s="1168"/>
    </row>
    <row r="11686" spans="2:2" s="221" customFormat="1" ht="12.75" x14ac:dyDescent="0.2">
      <c r="B11686" s="1168"/>
    </row>
    <row r="11687" spans="2:2" s="221" customFormat="1" ht="12.75" x14ac:dyDescent="0.2">
      <c r="B11687" s="1168"/>
    </row>
    <row r="11688" spans="2:2" s="221" customFormat="1" ht="12.75" x14ac:dyDescent="0.2">
      <c r="B11688" s="1168"/>
    </row>
    <row r="11689" spans="2:2" s="221" customFormat="1" ht="12.75" x14ac:dyDescent="0.2">
      <c r="B11689" s="1168"/>
    </row>
    <row r="11690" spans="2:2" s="221" customFormat="1" ht="12.75" x14ac:dyDescent="0.2">
      <c r="B11690" s="1168"/>
    </row>
    <row r="11691" spans="2:2" s="221" customFormat="1" ht="12.75" x14ac:dyDescent="0.2">
      <c r="B11691" s="1168"/>
    </row>
    <row r="11692" spans="2:2" s="221" customFormat="1" ht="12.75" x14ac:dyDescent="0.2">
      <c r="B11692" s="1168"/>
    </row>
    <row r="11693" spans="2:2" s="221" customFormat="1" ht="12.75" x14ac:dyDescent="0.2">
      <c r="B11693" s="1168"/>
    </row>
    <row r="11694" spans="2:2" s="221" customFormat="1" ht="12.75" x14ac:dyDescent="0.2">
      <c r="B11694" s="1168"/>
    </row>
    <row r="11695" spans="2:2" s="221" customFormat="1" ht="12.75" x14ac:dyDescent="0.2">
      <c r="B11695" s="1168"/>
    </row>
    <row r="11696" spans="2:2" s="221" customFormat="1" ht="12.75" x14ac:dyDescent="0.2">
      <c r="B11696" s="1168"/>
    </row>
    <row r="11697" spans="2:2" s="221" customFormat="1" ht="12.75" x14ac:dyDescent="0.2">
      <c r="B11697" s="1168"/>
    </row>
    <row r="11698" spans="2:2" s="221" customFormat="1" ht="12.75" x14ac:dyDescent="0.2">
      <c r="B11698" s="1168"/>
    </row>
    <row r="11699" spans="2:2" s="221" customFormat="1" ht="12.75" x14ac:dyDescent="0.2">
      <c r="B11699" s="1168"/>
    </row>
    <row r="11700" spans="2:2" s="221" customFormat="1" ht="12.75" x14ac:dyDescent="0.2">
      <c r="B11700" s="1168"/>
    </row>
    <row r="11701" spans="2:2" s="221" customFormat="1" ht="12.75" x14ac:dyDescent="0.2">
      <c r="B11701" s="1168"/>
    </row>
    <row r="11702" spans="2:2" s="221" customFormat="1" ht="12.75" x14ac:dyDescent="0.2">
      <c r="B11702" s="1168"/>
    </row>
    <row r="11703" spans="2:2" s="221" customFormat="1" ht="12.75" x14ac:dyDescent="0.2">
      <c r="B11703" s="1168"/>
    </row>
    <row r="11704" spans="2:2" s="221" customFormat="1" ht="12.75" x14ac:dyDescent="0.2">
      <c r="B11704" s="1168"/>
    </row>
    <row r="11705" spans="2:2" s="221" customFormat="1" ht="12.75" x14ac:dyDescent="0.2">
      <c r="B11705" s="1168"/>
    </row>
    <row r="11706" spans="2:2" s="221" customFormat="1" ht="12.75" x14ac:dyDescent="0.2">
      <c r="B11706" s="1168"/>
    </row>
    <row r="11707" spans="2:2" s="221" customFormat="1" ht="12.75" x14ac:dyDescent="0.2">
      <c r="B11707" s="1168"/>
    </row>
    <row r="11708" spans="2:2" s="221" customFormat="1" ht="12.75" x14ac:dyDescent="0.2">
      <c r="B11708" s="1168"/>
    </row>
    <row r="11709" spans="2:2" s="221" customFormat="1" ht="12.75" x14ac:dyDescent="0.2">
      <c r="B11709" s="1168"/>
    </row>
    <row r="11710" spans="2:2" s="221" customFormat="1" ht="12.75" x14ac:dyDescent="0.2">
      <c r="B11710" s="1168"/>
    </row>
    <row r="11711" spans="2:2" s="221" customFormat="1" ht="12.75" x14ac:dyDescent="0.2">
      <c r="B11711" s="1168"/>
    </row>
    <row r="11712" spans="2:2" s="221" customFormat="1" ht="12.75" x14ac:dyDescent="0.2">
      <c r="B11712" s="1168"/>
    </row>
    <row r="11713" spans="2:2" s="221" customFormat="1" ht="12.75" x14ac:dyDescent="0.2">
      <c r="B11713" s="1168"/>
    </row>
    <row r="11714" spans="2:2" s="221" customFormat="1" ht="12.75" x14ac:dyDescent="0.2">
      <c r="B11714" s="1168"/>
    </row>
    <row r="11715" spans="2:2" s="221" customFormat="1" ht="12.75" x14ac:dyDescent="0.2">
      <c r="B11715" s="1168"/>
    </row>
    <row r="11716" spans="2:2" s="221" customFormat="1" ht="12.75" x14ac:dyDescent="0.2">
      <c r="B11716" s="1168"/>
    </row>
    <row r="11717" spans="2:2" s="221" customFormat="1" ht="12.75" x14ac:dyDescent="0.2">
      <c r="B11717" s="1168"/>
    </row>
    <row r="11718" spans="2:2" s="221" customFormat="1" ht="12.75" x14ac:dyDescent="0.2">
      <c r="B11718" s="1168"/>
    </row>
    <row r="11719" spans="2:2" s="221" customFormat="1" ht="12.75" x14ac:dyDescent="0.2">
      <c r="B11719" s="1168"/>
    </row>
    <row r="11720" spans="2:2" s="221" customFormat="1" ht="12.75" x14ac:dyDescent="0.2">
      <c r="B11720" s="1168"/>
    </row>
    <row r="11721" spans="2:2" s="221" customFormat="1" ht="12.75" x14ac:dyDescent="0.2">
      <c r="B11721" s="1168"/>
    </row>
    <row r="11722" spans="2:2" s="221" customFormat="1" ht="12.75" x14ac:dyDescent="0.2">
      <c r="B11722" s="1168"/>
    </row>
    <row r="11723" spans="2:2" s="221" customFormat="1" ht="12.75" x14ac:dyDescent="0.2">
      <c r="B11723" s="1168"/>
    </row>
    <row r="11724" spans="2:2" s="221" customFormat="1" ht="12.75" x14ac:dyDescent="0.2">
      <c r="B11724" s="1168"/>
    </row>
    <row r="11725" spans="2:2" s="221" customFormat="1" ht="12.75" x14ac:dyDescent="0.2">
      <c r="B11725" s="1168"/>
    </row>
    <row r="11726" spans="2:2" s="221" customFormat="1" ht="12.75" x14ac:dyDescent="0.2">
      <c r="B11726" s="1168"/>
    </row>
    <row r="11727" spans="2:2" s="221" customFormat="1" ht="12.75" x14ac:dyDescent="0.2">
      <c r="B11727" s="1168"/>
    </row>
    <row r="11728" spans="2:2" s="221" customFormat="1" ht="12.75" x14ac:dyDescent="0.2">
      <c r="B11728" s="1168"/>
    </row>
    <row r="11729" spans="2:2" s="221" customFormat="1" ht="12.75" x14ac:dyDescent="0.2">
      <c r="B11729" s="1168"/>
    </row>
    <row r="11730" spans="2:2" s="221" customFormat="1" ht="12.75" x14ac:dyDescent="0.2">
      <c r="B11730" s="1168"/>
    </row>
    <row r="11731" spans="2:2" s="221" customFormat="1" ht="12.75" x14ac:dyDescent="0.2">
      <c r="B11731" s="1168"/>
    </row>
    <row r="11732" spans="2:2" s="221" customFormat="1" ht="12.75" x14ac:dyDescent="0.2">
      <c r="B11732" s="1168"/>
    </row>
    <row r="11733" spans="2:2" s="221" customFormat="1" ht="12.75" x14ac:dyDescent="0.2">
      <c r="B11733" s="1168"/>
    </row>
    <row r="11734" spans="2:2" s="221" customFormat="1" ht="12.75" x14ac:dyDescent="0.2">
      <c r="B11734" s="1168"/>
    </row>
    <row r="11735" spans="2:2" s="221" customFormat="1" ht="12.75" x14ac:dyDescent="0.2">
      <c r="B11735" s="1168"/>
    </row>
    <row r="11736" spans="2:2" s="221" customFormat="1" ht="12.75" x14ac:dyDescent="0.2">
      <c r="B11736" s="1168"/>
    </row>
    <row r="11737" spans="2:2" s="221" customFormat="1" ht="12.75" x14ac:dyDescent="0.2">
      <c r="B11737" s="1168"/>
    </row>
    <row r="11738" spans="2:2" s="221" customFormat="1" ht="12.75" x14ac:dyDescent="0.2">
      <c r="B11738" s="1168"/>
    </row>
    <row r="11739" spans="2:2" s="221" customFormat="1" ht="12.75" x14ac:dyDescent="0.2">
      <c r="B11739" s="1168"/>
    </row>
    <row r="11740" spans="2:2" s="221" customFormat="1" ht="12.75" x14ac:dyDescent="0.2">
      <c r="B11740" s="1168"/>
    </row>
    <row r="11741" spans="2:2" s="221" customFormat="1" ht="12.75" x14ac:dyDescent="0.2">
      <c r="B11741" s="1168"/>
    </row>
    <row r="11742" spans="2:2" s="221" customFormat="1" ht="12.75" x14ac:dyDescent="0.2">
      <c r="B11742" s="1168"/>
    </row>
    <row r="11743" spans="2:2" s="221" customFormat="1" ht="12.75" x14ac:dyDescent="0.2">
      <c r="B11743" s="1168"/>
    </row>
    <row r="11744" spans="2:2" s="221" customFormat="1" ht="12.75" x14ac:dyDescent="0.2">
      <c r="B11744" s="1168"/>
    </row>
    <row r="11745" spans="2:2" s="221" customFormat="1" ht="12.75" x14ac:dyDescent="0.2">
      <c r="B11745" s="1168"/>
    </row>
    <row r="11746" spans="2:2" s="221" customFormat="1" ht="12.75" x14ac:dyDescent="0.2">
      <c r="B11746" s="1168"/>
    </row>
    <row r="11747" spans="2:2" s="221" customFormat="1" ht="12.75" x14ac:dyDescent="0.2">
      <c r="B11747" s="1168"/>
    </row>
    <row r="11748" spans="2:2" s="221" customFormat="1" ht="12.75" x14ac:dyDescent="0.2">
      <c r="B11748" s="1168"/>
    </row>
    <row r="11749" spans="2:2" s="221" customFormat="1" ht="12.75" x14ac:dyDescent="0.2">
      <c r="B11749" s="1168"/>
    </row>
    <row r="11750" spans="2:2" s="221" customFormat="1" ht="12.75" x14ac:dyDescent="0.2">
      <c r="B11750" s="1168"/>
    </row>
    <row r="11751" spans="2:2" s="221" customFormat="1" ht="12.75" x14ac:dyDescent="0.2">
      <c r="B11751" s="1168"/>
    </row>
    <row r="11752" spans="2:2" s="221" customFormat="1" ht="12.75" x14ac:dyDescent="0.2">
      <c r="B11752" s="1168"/>
    </row>
    <row r="11753" spans="2:2" s="221" customFormat="1" ht="12.75" x14ac:dyDescent="0.2">
      <c r="B11753" s="1168"/>
    </row>
    <row r="11754" spans="2:2" s="221" customFormat="1" ht="12.75" x14ac:dyDescent="0.2">
      <c r="B11754" s="1168"/>
    </row>
    <row r="11755" spans="2:2" s="221" customFormat="1" ht="12.75" x14ac:dyDescent="0.2">
      <c r="B11755" s="1168"/>
    </row>
    <row r="11756" spans="2:2" s="221" customFormat="1" ht="12.75" x14ac:dyDescent="0.2">
      <c r="B11756" s="1168"/>
    </row>
    <row r="11757" spans="2:2" s="221" customFormat="1" ht="12.75" x14ac:dyDescent="0.2">
      <c r="B11757" s="1168"/>
    </row>
    <row r="11758" spans="2:2" s="221" customFormat="1" ht="12.75" x14ac:dyDescent="0.2">
      <c r="B11758" s="1168"/>
    </row>
    <row r="11759" spans="2:2" s="221" customFormat="1" ht="12.75" x14ac:dyDescent="0.2">
      <c r="B11759" s="1168"/>
    </row>
    <row r="11760" spans="2:2" s="221" customFormat="1" ht="12.75" x14ac:dyDescent="0.2">
      <c r="B11760" s="1168"/>
    </row>
    <row r="11761" spans="2:2" s="221" customFormat="1" ht="12.75" x14ac:dyDescent="0.2">
      <c r="B11761" s="1168"/>
    </row>
    <row r="11762" spans="2:2" s="221" customFormat="1" ht="12.75" x14ac:dyDescent="0.2">
      <c r="B11762" s="1168"/>
    </row>
    <row r="11763" spans="2:2" s="221" customFormat="1" ht="12.75" x14ac:dyDescent="0.2">
      <c r="B11763" s="1168"/>
    </row>
    <row r="11764" spans="2:2" s="221" customFormat="1" ht="12.75" x14ac:dyDescent="0.2">
      <c r="B11764" s="1168"/>
    </row>
    <row r="11765" spans="2:2" s="221" customFormat="1" ht="12.75" x14ac:dyDescent="0.2">
      <c r="B11765" s="1168"/>
    </row>
    <row r="11766" spans="2:2" s="221" customFormat="1" ht="12.75" x14ac:dyDescent="0.2">
      <c r="B11766" s="1168"/>
    </row>
    <row r="11767" spans="2:2" s="221" customFormat="1" ht="12.75" x14ac:dyDescent="0.2">
      <c r="B11767" s="1168"/>
    </row>
    <row r="11768" spans="2:2" s="221" customFormat="1" ht="12.75" x14ac:dyDescent="0.2">
      <c r="B11768" s="1168"/>
    </row>
    <row r="11769" spans="2:2" s="221" customFormat="1" ht="12.75" x14ac:dyDescent="0.2">
      <c r="B11769" s="1168"/>
    </row>
    <row r="11770" spans="2:2" s="221" customFormat="1" ht="12.75" x14ac:dyDescent="0.2">
      <c r="B11770" s="1168"/>
    </row>
    <row r="11771" spans="2:2" s="221" customFormat="1" ht="12.75" x14ac:dyDescent="0.2">
      <c r="B11771" s="1168"/>
    </row>
    <row r="11772" spans="2:2" s="221" customFormat="1" ht="12.75" x14ac:dyDescent="0.2">
      <c r="B11772" s="1168"/>
    </row>
    <row r="11773" spans="2:2" s="221" customFormat="1" ht="12.75" x14ac:dyDescent="0.2">
      <c r="B11773" s="1168"/>
    </row>
    <row r="11774" spans="2:2" s="221" customFormat="1" ht="12.75" x14ac:dyDescent="0.2">
      <c r="B11774" s="1168"/>
    </row>
    <row r="11775" spans="2:2" s="221" customFormat="1" ht="12.75" x14ac:dyDescent="0.2">
      <c r="B11775" s="1168"/>
    </row>
    <row r="11776" spans="2:2" s="221" customFormat="1" ht="12.75" x14ac:dyDescent="0.2">
      <c r="B11776" s="1168"/>
    </row>
    <row r="11777" spans="2:2" s="221" customFormat="1" ht="12.75" x14ac:dyDescent="0.2">
      <c r="B11777" s="1168"/>
    </row>
    <row r="11778" spans="2:2" s="221" customFormat="1" ht="12.75" x14ac:dyDescent="0.2">
      <c r="B11778" s="1168"/>
    </row>
    <row r="11779" spans="2:2" s="221" customFormat="1" ht="12.75" x14ac:dyDescent="0.2">
      <c r="B11779" s="1168"/>
    </row>
    <row r="11780" spans="2:2" s="221" customFormat="1" ht="12.75" x14ac:dyDescent="0.2">
      <c r="B11780" s="1168"/>
    </row>
    <row r="11781" spans="2:2" s="221" customFormat="1" ht="12.75" x14ac:dyDescent="0.2">
      <c r="B11781" s="1168"/>
    </row>
    <row r="11782" spans="2:2" s="221" customFormat="1" ht="12.75" x14ac:dyDescent="0.2">
      <c r="B11782" s="1168"/>
    </row>
    <row r="11783" spans="2:2" s="221" customFormat="1" ht="12.75" x14ac:dyDescent="0.2">
      <c r="B11783" s="1168"/>
    </row>
    <row r="11784" spans="2:2" s="221" customFormat="1" ht="12.75" x14ac:dyDescent="0.2">
      <c r="B11784" s="1168"/>
    </row>
    <row r="11785" spans="2:2" s="221" customFormat="1" ht="12.75" x14ac:dyDescent="0.2">
      <c r="B11785" s="1168"/>
    </row>
    <row r="11786" spans="2:2" s="221" customFormat="1" ht="12.75" x14ac:dyDescent="0.2">
      <c r="B11786" s="1168"/>
    </row>
    <row r="11787" spans="2:2" s="221" customFormat="1" ht="12.75" x14ac:dyDescent="0.2">
      <c r="B11787" s="1168"/>
    </row>
    <row r="11788" spans="2:2" s="221" customFormat="1" ht="12.75" x14ac:dyDescent="0.2">
      <c r="B11788" s="1168"/>
    </row>
    <row r="11789" spans="2:2" s="221" customFormat="1" ht="12.75" x14ac:dyDescent="0.2">
      <c r="B11789" s="1168"/>
    </row>
    <row r="11790" spans="2:2" s="221" customFormat="1" ht="12.75" x14ac:dyDescent="0.2">
      <c r="B11790" s="1168"/>
    </row>
    <row r="11791" spans="2:2" s="221" customFormat="1" ht="12.75" x14ac:dyDescent="0.2">
      <c r="B11791" s="1168"/>
    </row>
    <row r="11792" spans="2:2" s="221" customFormat="1" ht="12.75" x14ac:dyDescent="0.2">
      <c r="B11792" s="1168"/>
    </row>
    <row r="11793" spans="2:2" s="221" customFormat="1" ht="12.75" x14ac:dyDescent="0.2">
      <c r="B11793" s="1168"/>
    </row>
    <row r="11794" spans="2:2" s="221" customFormat="1" ht="12.75" x14ac:dyDescent="0.2">
      <c r="B11794" s="1168"/>
    </row>
    <row r="11795" spans="2:2" s="221" customFormat="1" ht="12.75" x14ac:dyDescent="0.2">
      <c r="B11795" s="1168"/>
    </row>
    <row r="11796" spans="2:2" s="221" customFormat="1" ht="12.75" x14ac:dyDescent="0.2">
      <c r="B11796" s="1168"/>
    </row>
    <row r="11797" spans="2:2" s="221" customFormat="1" ht="12.75" x14ac:dyDescent="0.2">
      <c r="B11797" s="1168"/>
    </row>
    <row r="11798" spans="2:2" s="221" customFormat="1" ht="12.75" x14ac:dyDescent="0.2">
      <c r="B11798" s="1168"/>
    </row>
    <row r="11799" spans="2:2" s="221" customFormat="1" ht="12.75" x14ac:dyDescent="0.2">
      <c r="B11799" s="1168"/>
    </row>
    <row r="11800" spans="2:2" s="221" customFormat="1" ht="12.75" x14ac:dyDescent="0.2">
      <c r="B11800" s="1168"/>
    </row>
    <row r="11801" spans="2:2" s="221" customFormat="1" ht="12.75" x14ac:dyDescent="0.2">
      <c r="B11801" s="1168"/>
    </row>
    <row r="11802" spans="2:2" s="221" customFormat="1" ht="12.75" x14ac:dyDescent="0.2">
      <c r="B11802" s="1168"/>
    </row>
    <row r="11803" spans="2:2" s="221" customFormat="1" ht="12.75" x14ac:dyDescent="0.2">
      <c r="B11803" s="1168"/>
    </row>
    <row r="11804" spans="2:2" s="221" customFormat="1" ht="12.75" x14ac:dyDescent="0.2">
      <c r="B11804" s="1168"/>
    </row>
    <row r="11805" spans="2:2" s="221" customFormat="1" ht="12.75" x14ac:dyDescent="0.2">
      <c r="B11805" s="1168"/>
    </row>
    <row r="11806" spans="2:2" s="221" customFormat="1" ht="12.75" x14ac:dyDescent="0.2">
      <c r="B11806" s="1168"/>
    </row>
    <row r="11807" spans="2:2" s="221" customFormat="1" ht="12.75" x14ac:dyDescent="0.2">
      <c r="B11807" s="1168"/>
    </row>
    <row r="11808" spans="2:2" s="221" customFormat="1" ht="12.75" x14ac:dyDescent="0.2">
      <c r="B11808" s="1168"/>
    </row>
    <row r="11809" spans="2:2" s="221" customFormat="1" ht="12.75" x14ac:dyDescent="0.2">
      <c r="B11809" s="1168"/>
    </row>
    <row r="11810" spans="2:2" s="221" customFormat="1" ht="12.75" x14ac:dyDescent="0.2">
      <c r="B11810" s="1168"/>
    </row>
    <row r="11811" spans="2:2" s="221" customFormat="1" ht="12.75" x14ac:dyDescent="0.2">
      <c r="B11811" s="1168"/>
    </row>
    <row r="11812" spans="2:2" s="221" customFormat="1" ht="12.75" x14ac:dyDescent="0.2">
      <c r="B11812" s="1168"/>
    </row>
    <row r="11813" spans="2:2" s="221" customFormat="1" ht="12.75" x14ac:dyDescent="0.2">
      <c r="B11813" s="1168"/>
    </row>
    <row r="11814" spans="2:2" s="221" customFormat="1" ht="12.75" x14ac:dyDescent="0.2">
      <c r="B11814" s="1168"/>
    </row>
    <row r="11815" spans="2:2" s="221" customFormat="1" ht="12.75" x14ac:dyDescent="0.2">
      <c r="B11815" s="1168"/>
    </row>
    <row r="11816" spans="2:2" s="221" customFormat="1" ht="12.75" x14ac:dyDescent="0.2">
      <c r="B11816" s="1168"/>
    </row>
    <row r="11817" spans="2:2" s="221" customFormat="1" ht="12.75" x14ac:dyDescent="0.2">
      <c r="B11817" s="1168"/>
    </row>
    <row r="11818" spans="2:2" s="221" customFormat="1" ht="12.75" x14ac:dyDescent="0.2">
      <c r="B11818" s="1168"/>
    </row>
    <row r="11819" spans="2:2" s="221" customFormat="1" ht="12.75" x14ac:dyDescent="0.2">
      <c r="B11819" s="1168"/>
    </row>
    <row r="11820" spans="2:2" s="221" customFormat="1" ht="12.75" x14ac:dyDescent="0.2">
      <c r="B11820" s="1168"/>
    </row>
    <row r="11821" spans="2:2" s="221" customFormat="1" ht="12.75" x14ac:dyDescent="0.2">
      <c r="B11821" s="1168"/>
    </row>
    <row r="11822" spans="2:2" s="221" customFormat="1" ht="12.75" x14ac:dyDescent="0.2">
      <c r="B11822" s="1168"/>
    </row>
    <row r="11823" spans="2:2" s="221" customFormat="1" ht="12.75" x14ac:dyDescent="0.2">
      <c r="B11823" s="1168"/>
    </row>
    <row r="11824" spans="2:2" s="221" customFormat="1" ht="12.75" x14ac:dyDescent="0.2">
      <c r="B11824" s="1168"/>
    </row>
    <row r="11825" spans="2:2" s="221" customFormat="1" ht="12.75" x14ac:dyDescent="0.2">
      <c r="B11825" s="1168"/>
    </row>
    <row r="11826" spans="2:2" s="221" customFormat="1" ht="12.75" x14ac:dyDescent="0.2">
      <c r="B11826" s="1168"/>
    </row>
    <row r="11827" spans="2:2" s="221" customFormat="1" ht="12.75" x14ac:dyDescent="0.2">
      <c r="B11827" s="1168"/>
    </row>
    <row r="11828" spans="2:2" s="221" customFormat="1" ht="12.75" x14ac:dyDescent="0.2">
      <c r="B11828" s="1168"/>
    </row>
    <row r="11829" spans="2:2" s="221" customFormat="1" ht="12.75" x14ac:dyDescent="0.2">
      <c r="B11829" s="1168"/>
    </row>
    <row r="11830" spans="2:2" s="221" customFormat="1" ht="12.75" x14ac:dyDescent="0.2">
      <c r="B11830" s="1168"/>
    </row>
    <row r="11831" spans="2:2" s="221" customFormat="1" ht="12.75" x14ac:dyDescent="0.2">
      <c r="B11831" s="1168"/>
    </row>
    <row r="11832" spans="2:2" s="221" customFormat="1" ht="12.75" x14ac:dyDescent="0.2">
      <c r="B11832" s="1168"/>
    </row>
    <row r="11833" spans="2:2" s="221" customFormat="1" ht="12.75" x14ac:dyDescent="0.2">
      <c r="B11833" s="1168"/>
    </row>
    <row r="11834" spans="2:2" s="221" customFormat="1" ht="12.75" x14ac:dyDescent="0.2">
      <c r="B11834" s="1168"/>
    </row>
    <row r="11835" spans="2:2" s="221" customFormat="1" ht="12.75" x14ac:dyDescent="0.2">
      <c r="B11835" s="1168"/>
    </row>
    <row r="11836" spans="2:2" s="221" customFormat="1" ht="12.75" x14ac:dyDescent="0.2">
      <c r="B11836" s="1168"/>
    </row>
    <row r="11837" spans="2:2" s="221" customFormat="1" ht="12.75" x14ac:dyDescent="0.2">
      <c r="B11837" s="1168"/>
    </row>
    <row r="11838" spans="2:2" s="221" customFormat="1" ht="12.75" x14ac:dyDescent="0.2">
      <c r="B11838" s="1168"/>
    </row>
    <row r="11839" spans="2:2" s="221" customFormat="1" ht="12.75" x14ac:dyDescent="0.2">
      <c r="B11839" s="1168"/>
    </row>
    <row r="11840" spans="2:2" s="221" customFormat="1" ht="12.75" x14ac:dyDescent="0.2">
      <c r="B11840" s="1168"/>
    </row>
    <row r="11841" spans="2:2" s="221" customFormat="1" ht="12.75" x14ac:dyDescent="0.2">
      <c r="B11841" s="1168"/>
    </row>
    <row r="11842" spans="2:2" s="221" customFormat="1" ht="12.75" x14ac:dyDescent="0.2">
      <c r="B11842" s="1168"/>
    </row>
    <row r="11843" spans="2:2" s="221" customFormat="1" ht="12.75" x14ac:dyDescent="0.2">
      <c r="B11843" s="1168"/>
    </row>
    <row r="11844" spans="2:2" s="221" customFormat="1" ht="12.75" x14ac:dyDescent="0.2">
      <c r="B11844" s="1168"/>
    </row>
    <row r="11845" spans="2:2" s="221" customFormat="1" ht="12.75" x14ac:dyDescent="0.2">
      <c r="B11845" s="1168"/>
    </row>
    <row r="11846" spans="2:2" s="221" customFormat="1" ht="12.75" x14ac:dyDescent="0.2">
      <c r="B11846" s="1168"/>
    </row>
    <row r="11847" spans="2:2" s="221" customFormat="1" ht="12.75" x14ac:dyDescent="0.2">
      <c r="B11847" s="1168"/>
    </row>
    <row r="11848" spans="2:2" s="221" customFormat="1" ht="12.75" x14ac:dyDescent="0.2">
      <c r="B11848" s="1168"/>
    </row>
    <row r="11849" spans="2:2" s="221" customFormat="1" ht="12.75" x14ac:dyDescent="0.2">
      <c r="B11849" s="1168"/>
    </row>
    <row r="11850" spans="2:2" s="221" customFormat="1" ht="12.75" x14ac:dyDescent="0.2">
      <c r="B11850" s="1168"/>
    </row>
    <row r="11851" spans="2:2" s="221" customFormat="1" ht="12.75" x14ac:dyDescent="0.2">
      <c r="B11851" s="1168"/>
    </row>
    <row r="11852" spans="2:2" s="221" customFormat="1" ht="12.75" x14ac:dyDescent="0.2">
      <c r="B11852" s="1168"/>
    </row>
    <row r="11853" spans="2:2" s="221" customFormat="1" ht="12.75" x14ac:dyDescent="0.2">
      <c r="B11853" s="1168"/>
    </row>
    <row r="11854" spans="2:2" s="221" customFormat="1" ht="12.75" x14ac:dyDescent="0.2">
      <c r="B11854" s="1168"/>
    </row>
    <row r="11855" spans="2:2" s="221" customFormat="1" ht="12.75" x14ac:dyDescent="0.2">
      <c r="B11855" s="1168"/>
    </row>
    <row r="11856" spans="2:2" s="221" customFormat="1" ht="12.75" x14ac:dyDescent="0.2">
      <c r="B11856" s="1168"/>
    </row>
    <row r="11857" spans="2:2" s="221" customFormat="1" ht="12.75" x14ac:dyDescent="0.2">
      <c r="B11857" s="1168"/>
    </row>
    <row r="11858" spans="2:2" s="221" customFormat="1" ht="12.75" x14ac:dyDescent="0.2">
      <c r="B11858" s="1168"/>
    </row>
    <row r="11859" spans="2:2" s="221" customFormat="1" ht="12.75" x14ac:dyDescent="0.2">
      <c r="B11859" s="1168"/>
    </row>
    <row r="11860" spans="2:2" s="221" customFormat="1" ht="12.75" x14ac:dyDescent="0.2">
      <c r="B11860" s="1168"/>
    </row>
    <row r="11861" spans="2:2" s="221" customFormat="1" ht="12.75" x14ac:dyDescent="0.2">
      <c r="B11861" s="1168"/>
    </row>
    <row r="11862" spans="2:2" s="221" customFormat="1" ht="12.75" x14ac:dyDescent="0.2">
      <c r="B11862" s="1168"/>
    </row>
    <row r="11863" spans="2:2" s="221" customFormat="1" ht="12.75" x14ac:dyDescent="0.2">
      <c r="B11863" s="1168"/>
    </row>
    <row r="11864" spans="2:2" s="221" customFormat="1" ht="12.75" x14ac:dyDescent="0.2">
      <c r="B11864" s="1168"/>
    </row>
    <row r="11865" spans="2:2" s="221" customFormat="1" ht="12.75" x14ac:dyDescent="0.2">
      <c r="B11865" s="1168"/>
    </row>
    <row r="11866" spans="2:2" s="221" customFormat="1" ht="12.75" x14ac:dyDescent="0.2">
      <c r="B11866" s="1168"/>
    </row>
    <row r="11867" spans="2:2" s="221" customFormat="1" ht="12.75" x14ac:dyDescent="0.2">
      <c r="B11867" s="1168"/>
    </row>
    <row r="11868" spans="2:2" s="221" customFormat="1" ht="12.75" x14ac:dyDescent="0.2">
      <c r="B11868" s="1168"/>
    </row>
    <row r="11869" spans="2:2" s="221" customFormat="1" ht="12.75" x14ac:dyDescent="0.2">
      <c r="B11869" s="1168"/>
    </row>
    <row r="11870" spans="2:2" s="221" customFormat="1" ht="12.75" x14ac:dyDescent="0.2">
      <c r="B11870" s="1168"/>
    </row>
    <row r="11871" spans="2:2" s="221" customFormat="1" ht="12.75" x14ac:dyDescent="0.2">
      <c r="B11871" s="1168"/>
    </row>
    <row r="11872" spans="2:2" s="221" customFormat="1" ht="12.75" x14ac:dyDescent="0.2">
      <c r="B11872" s="1168"/>
    </row>
    <row r="11873" spans="2:2" s="221" customFormat="1" ht="12.75" x14ac:dyDescent="0.2">
      <c r="B11873" s="1168"/>
    </row>
    <row r="11874" spans="2:2" s="221" customFormat="1" ht="12.75" x14ac:dyDescent="0.2">
      <c r="B11874" s="1168"/>
    </row>
    <row r="11875" spans="2:2" s="221" customFormat="1" ht="12.75" x14ac:dyDescent="0.2">
      <c r="B11875" s="1168"/>
    </row>
    <row r="11876" spans="2:2" s="221" customFormat="1" ht="12.75" x14ac:dyDescent="0.2">
      <c r="B11876" s="1168"/>
    </row>
    <row r="11877" spans="2:2" s="221" customFormat="1" ht="12.75" x14ac:dyDescent="0.2">
      <c r="B11877" s="1168"/>
    </row>
    <row r="11878" spans="2:2" s="221" customFormat="1" ht="12.75" x14ac:dyDescent="0.2">
      <c r="B11878" s="1168"/>
    </row>
    <row r="11879" spans="2:2" s="221" customFormat="1" ht="12.75" x14ac:dyDescent="0.2">
      <c r="B11879" s="1168"/>
    </row>
    <row r="11880" spans="2:2" s="221" customFormat="1" ht="12.75" x14ac:dyDescent="0.2">
      <c r="B11880" s="1168"/>
    </row>
    <row r="11881" spans="2:2" s="221" customFormat="1" ht="12.75" x14ac:dyDescent="0.2">
      <c r="B11881" s="1168"/>
    </row>
    <row r="11882" spans="2:2" s="221" customFormat="1" ht="12.75" x14ac:dyDescent="0.2">
      <c r="B11882" s="1168"/>
    </row>
    <row r="11883" spans="2:2" s="221" customFormat="1" ht="12.75" x14ac:dyDescent="0.2">
      <c r="B11883" s="1168"/>
    </row>
    <row r="11884" spans="2:2" s="221" customFormat="1" ht="12.75" x14ac:dyDescent="0.2">
      <c r="B11884" s="1168"/>
    </row>
    <row r="11885" spans="2:2" s="221" customFormat="1" ht="12.75" x14ac:dyDescent="0.2">
      <c r="B11885" s="1168"/>
    </row>
    <row r="11886" spans="2:2" s="221" customFormat="1" ht="12.75" x14ac:dyDescent="0.2">
      <c r="B11886" s="1168"/>
    </row>
    <row r="11887" spans="2:2" s="221" customFormat="1" ht="12.75" x14ac:dyDescent="0.2">
      <c r="B11887" s="1168"/>
    </row>
    <row r="11888" spans="2:2" s="221" customFormat="1" ht="12.75" x14ac:dyDescent="0.2">
      <c r="B11888" s="1168"/>
    </row>
    <row r="11889" spans="2:2" s="221" customFormat="1" ht="12.75" x14ac:dyDescent="0.2">
      <c r="B11889" s="1168"/>
    </row>
    <row r="11890" spans="2:2" s="221" customFormat="1" ht="12.75" x14ac:dyDescent="0.2">
      <c r="B11890" s="1168"/>
    </row>
    <row r="11891" spans="2:2" s="221" customFormat="1" ht="12.75" x14ac:dyDescent="0.2">
      <c r="B11891" s="1168"/>
    </row>
    <row r="11892" spans="2:2" s="221" customFormat="1" ht="12.75" x14ac:dyDescent="0.2">
      <c r="B11892" s="1168"/>
    </row>
    <row r="11893" spans="2:2" s="221" customFormat="1" ht="12.75" x14ac:dyDescent="0.2">
      <c r="B11893" s="1168"/>
    </row>
    <row r="11894" spans="2:2" s="221" customFormat="1" ht="12.75" x14ac:dyDescent="0.2">
      <c r="B11894" s="1168"/>
    </row>
    <row r="11895" spans="2:2" s="221" customFormat="1" ht="12.75" x14ac:dyDescent="0.2">
      <c r="B11895" s="1168"/>
    </row>
    <row r="11896" spans="2:2" s="221" customFormat="1" ht="12.75" x14ac:dyDescent="0.2">
      <c r="B11896" s="1168"/>
    </row>
    <row r="11897" spans="2:2" s="221" customFormat="1" ht="12.75" x14ac:dyDescent="0.2">
      <c r="B11897" s="1168"/>
    </row>
    <row r="11898" spans="2:2" s="221" customFormat="1" ht="12.75" x14ac:dyDescent="0.2">
      <c r="B11898" s="1168"/>
    </row>
    <row r="11899" spans="2:2" s="221" customFormat="1" ht="12.75" x14ac:dyDescent="0.2">
      <c r="B11899" s="1168"/>
    </row>
    <row r="11900" spans="2:2" s="221" customFormat="1" ht="12.75" x14ac:dyDescent="0.2">
      <c r="B11900" s="1168"/>
    </row>
    <row r="11901" spans="2:2" s="221" customFormat="1" ht="12.75" x14ac:dyDescent="0.2">
      <c r="B11901" s="1168"/>
    </row>
    <row r="11902" spans="2:2" s="221" customFormat="1" ht="12.75" x14ac:dyDescent="0.2">
      <c r="B11902" s="1168"/>
    </row>
    <row r="11903" spans="2:2" s="221" customFormat="1" ht="12.75" x14ac:dyDescent="0.2">
      <c r="B11903" s="1168"/>
    </row>
    <row r="11904" spans="2:2" s="221" customFormat="1" ht="12.75" x14ac:dyDescent="0.2">
      <c r="B11904" s="1168"/>
    </row>
    <row r="11905" spans="2:2" s="221" customFormat="1" ht="12.75" x14ac:dyDescent="0.2">
      <c r="B11905" s="1168"/>
    </row>
    <row r="11906" spans="2:2" s="221" customFormat="1" ht="12.75" x14ac:dyDescent="0.2">
      <c r="B11906" s="1168"/>
    </row>
    <row r="11907" spans="2:2" s="221" customFormat="1" ht="12.75" x14ac:dyDescent="0.2">
      <c r="B11907" s="1168"/>
    </row>
    <row r="11908" spans="2:2" s="221" customFormat="1" ht="12.75" x14ac:dyDescent="0.2">
      <c r="B11908" s="1168"/>
    </row>
    <row r="11909" spans="2:2" s="221" customFormat="1" ht="12.75" x14ac:dyDescent="0.2">
      <c r="B11909" s="1168"/>
    </row>
    <row r="11910" spans="2:2" s="221" customFormat="1" ht="12.75" x14ac:dyDescent="0.2">
      <c r="B11910" s="1168"/>
    </row>
    <row r="11911" spans="2:2" s="221" customFormat="1" ht="12.75" x14ac:dyDescent="0.2">
      <c r="B11911" s="1168"/>
    </row>
    <row r="11912" spans="2:2" s="221" customFormat="1" ht="12.75" x14ac:dyDescent="0.2">
      <c r="B11912" s="1168"/>
    </row>
    <row r="11913" spans="2:2" s="221" customFormat="1" ht="12.75" x14ac:dyDescent="0.2">
      <c r="B11913" s="1168"/>
    </row>
    <row r="11914" spans="2:2" s="221" customFormat="1" ht="12.75" x14ac:dyDescent="0.2">
      <c r="B11914" s="1168"/>
    </row>
    <row r="11915" spans="2:2" s="221" customFormat="1" ht="12.75" x14ac:dyDescent="0.2">
      <c r="B11915" s="1168"/>
    </row>
    <row r="11916" spans="2:2" s="221" customFormat="1" ht="12.75" x14ac:dyDescent="0.2">
      <c r="B11916" s="1168"/>
    </row>
    <row r="11917" spans="2:2" s="221" customFormat="1" ht="12.75" x14ac:dyDescent="0.2">
      <c r="B11917" s="1168"/>
    </row>
    <row r="11918" spans="2:2" s="221" customFormat="1" ht="12.75" x14ac:dyDescent="0.2">
      <c r="B11918" s="1168"/>
    </row>
    <row r="11919" spans="2:2" s="221" customFormat="1" ht="12.75" x14ac:dyDescent="0.2">
      <c r="B11919" s="1168"/>
    </row>
    <row r="11920" spans="2:2" s="221" customFormat="1" ht="12.75" x14ac:dyDescent="0.2">
      <c r="B11920" s="1168"/>
    </row>
    <row r="11921" spans="2:2" s="221" customFormat="1" ht="12.75" x14ac:dyDescent="0.2">
      <c r="B11921" s="1168"/>
    </row>
    <row r="11922" spans="2:2" s="221" customFormat="1" ht="12.75" x14ac:dyDescent="0.2">
      <c r="B11922" s="1168"/>
    </row>
    <row r="11923" spans="2:2" s="221" customFormat="1" ht="12.75" x14ac:dyDescent="0.2">
      <c r="B11923" s="1168"/>
    </row>
    <row r="11924" spans="2:2" s="221" customFormat="1" ht="12.75" x14ac:dyDescent="0.2">
      <c r="B11924" s="1168"/>
    </row>
    <row r="11925" spans="2:2" s="221" customFormat="1" ht="12.75" x14ac:dyDescent="0.2">
      <c r="B11925" s="1168"/>
    </row>
    <row r="11926" spans="2:2" s="221" customFormat="1" ht="12.75" x14ac:dyDescent="0.2">
      <c r="B11926" s="1168"/>
    </row>
    <row r="11927" spans="2:2" s="221" customFormat="1" ht="12.75" x14ac:dyDescent="0.2">
      <c r="B11927" s="1168"/>
    </row>
    <row r="11928" spans="2:2" s="221" customFormat="1" ht="12.75" x14ac:dyDescent="0.2">
      <c r="B11928" s="1168"/>
    </row>
    <row r="11929" spans="2:2" s="221" customFormat="1" ht="12.75" x14ac:dyDescent="0.2">
      <c r="B11929" s="1168"/>
    </row>
    <row r="11930" spans="2:2" s="221" customFormat="1" ht="12.75" x14ac:dyDescent="0.2">
      <c r="B11930" s="1168"/>
    </row>
    <row r="11931" spans="2:2" s="221" customFormat="1" ht="12.75" x14ac:dyDescent="0.2">
      <c r="B11931" s="1168"/>
    </row>
    <row r="11932" spans="2:2" s="221" customFormat="1" ht="12.75" x14ac:dyDescent="0.2">
      <c r="B11932" s="1168"/>
    </row>
    <row r="11933" spans="2:2" s="221" customFormat="1" ht="12.75" x14ac:dyDescent="0.2">
      <c r="B11933" s="1168"/>
    </row>
    <row r="11934" spans="2:2" s="221" customFormat="1" ht="12.75" x14ac:dyDescent="0.2">
      <c r="B11934" s="1168"/>
    </row>
    <row r="11935" spans="2:2" s="221" customFormat="1" ht="12.75" x14ac:dyDescent="0.2">
      <c r="B11935" s="1168"/>
    </row>
    <row r="11936" spans="2:2" s="221" customFormat="1" ht="12.75" x14ac:dyDescent="0.2">
      <c r="B11936" s="1168"/>
    </row>
    <row r="11937" spans="2:2" s="221" customFormat="1" ht="12.75" x14ac:dyDescent="0.2">
      <c r="B11937" s="1168"/>
    </row>
    <row r="11938" spans="2:2" s="221" customFormat="1" ht="12.75" x14ac:dyDescent="0.2">
      <c r="B11938" s="1168"/>
    </row>
    <row r="11939" spans="2:2" s="221" customFormat="1" ht="12.75" x14ac:dyDescent="0.2">
      <c r="B11939" s="1168"/>
    </row>
    <row r="11940" spans="2:2" s="221" customFormat="1" ht="12.75" x14ac:dyDescent="0.2">
      <c r="B11940" s="1168"/>
    </row>
    <row r="11941" spans="2:2" s="221" customFormat="1" ht="12.75" x14ac:dyDescent="0.2">
      <c r="B11941" s="1168"/>
    </row>
    <row r="11942" spans="2:2" s="221" customFormat="1" ht="12.75" x14ac:dyDescent="0.2">
      <c r="B11942" s="1168"/>
    </row>
    <row r="11943" spans="2:2" s="221" customFormat="1" ht="12.75" x14ac:dyDescent="0.2">
      <c r="B11943" s="1168"/>
    </row>
    <row r="11944" spans="2:2" s="221" customFormat="1" ht="12.75" x14ac:dyDescent="0.2">
      <c r="B11944" s="1168"/>
    </row>
    <row r="11945" spans="2:2" s="221" customFormat="1" ht="12.75" x14ac:dyDescent="0.2">
      <c r="B11945" s="1168"/>
    </row>
    <row r="11946" spans="2:2" s="221" customFormat="1" ht="12.75" x14ac:dyDescent="0.2">
      <c r="B11946" s="1168"/>
    </row>
    <row r="11947" spans="2:2" s="221" customFormat="1" ht="12.75" x14ac:dyDescent="0.2">
      <c r="B11947" s="1168"/>
    </row>
    <row r="11948" spans="2:2" s="221" customFormat="1" ht="12.75" x14ac:dyDescent="0.2">
      <c r="B11948" s="1168"/>
    </row>
    <row r="11949" spans="2:2" s="221" customFormat="1" ht="12.75" x14ac:dyDescent="0.2">
      <c r="B11949" s="1168"/>
    </row>
    <row r="11950" spans="2:2" s="221" customFormat="1" ht="12.75" x14ac:dyDescent="0.2">
      <c r="B11950" s="1168"/>
    </row>
    <row r="11951" spans="2:2" s="221" customFormat="1" ht="12.75" x14ac:dyDescent="0.2">
      <c r="B11951" s="1168"/>
    </row>
    <row r="11952" spans="2:2" s="221" customFormat="1" ht="12.75" x14ac:dyDescent="0.2">
      <c r="B11952" s="1168"/>
    </row>
    <row r="11953" spans="2:2" s="221" customFormat="1" ht="12.75" x14ac:dyDescent="0.2">
      <c r="B11953" s="1168"/>
    </row>
    <row r="11954" spans="2:2" s="221" customFormat="1" ht="12.75" x14ac:dyDescent="0.2">
      <c r="B11954" s="1168"/>
    </row>
    <row r="11955" spans="2:2" s="221" customFormat="1" ht="12.75" x14ac:dyDescent="0.2">
      <c r="B11955" s="1168"/>
    </row>
    <row r="11956" spans="2:2" s="221" customFormat="1" ht="12.75" x14ac:dyDescent="0.2">
      <c r="B11956" s="1168"/>
    </row>
    <row r="11957" spans="2:2" s="221" customFormat="1" ht="12.75" x14ac:dyDescent="0.2">
      <c r="B11957" s="1168"/>
    </row>
    <row r="11958" spans="2:2" s="221" customFormat="1" ht="12.75" x14ac:dyDescent="0.2">
      <c r="B11958" s="1168"/>
    </row>
    <row r="11959" spans="2:2" s="221" customFormat="1" ht="12.75" x14ac:dyDescent="0.2">
      <c r="B11959" s="1168"/>
    </row>
    <row r="11960" spans="2:2" s="221" customFormat="1" ht="12.75" x14ac:dyDescent="0.2">
      <c r="B11960" s="1168"/>
    </row>
    <row r="11961" spans="2:2" s="221" customFormat="1" ht="12.75" x14ac:dyDescent="0.2">
      <c r="B11961" s="1168"/>
    </row>
    <row r="11962" spans="2:2" s="221" customFormat="1" ht="12.75" x14ac:dyDescent="0.2">
      <c r="B11962" s="1168"/>
    </row>
    <row r="11963" spans="2:2" s="221" customFormat="1" ht="12.75" x14ac:dyDescent="0.2">
      <c r="B11963" s="1168"/>
    </row>
    <row r="11964" spans="2:2" s="221" customFormat="1" ht="12.75" x14ac:dyDescent="0.2">
      <c r="B11964" s="1168"/>
    </row>
    <row r="11965" spans="2:2" s="221" customFormat="1" ht="12.75" x14ac:dyDescent="0.2">
      <c r="B11965" s="1168"/>
    </row>
    <row r="11966" spans="2:2" s="221" customFormat="1" ht="12.75" x14ac:dyDescent="0.2">
      <c r="B11966" s="1168"/>
    </row>
    <row r="11967" spans="2:2" s="221" customFormat="1" ht="12.75" x14ac:dyDescent="0.2">
      <c r="B11967" s="1168"/>
    </row>
    <row r="11968" spans="2:2" s="221" customFormat="1" ht="12.75" x14ac:dyDescent="0.2">
      <c r="B11968" s="1168"/>
    </row>
    <row r="11969" spans="2:2" s="221" customFormat="1" ht="12.75" x14ac:dyDescent="0.2">
      <c r="B11969" s="1168"/>
    </row>
    <row r="11970" spans="2:2" s="221" customFormat="1" ht="12.75" x14ac:dyDescent="0.2">
      <c r="B11970" s="1168"/>
    </row>
    <row r="11971" spans="2:2" s="221" customFormat="1" ht="12.75" x14ac:dyDescent="0.2">
      <c r="B11971" s="1168"/>
    </row>
    <row r="11972" spans="2:2" s="221" customFormat="1" ht="12.75" x14ac:dyDescent="0.2">
      <c r="B11972" s="1168"/>
    </row>
    <row r="11973" spans="2:2" s="221" customFormat="1" ht="12.75" x14ac:dyDescent="0.2">
      <c r="B11973" s="1168"/>
    </row>
    <row r="11974" spans="2:2" s="221" customFormat="1" ht="12.75" x14ac:dyDescent="0.2">
      <c r="B11974" s="1168"/>
    </row>
    <row r="11975" spans="2:2" s="221" customFormat="1" ht="12.75" x14ac:dyDescent="0.2">
      <c r="B11975" s="1168"/>
    </row>
    <row r="11976" spans="2:2" s="221" customFormat="1" ht="12.75" x14ac:dyDescent="0.2">
      <c r="B11976" s="1168"/>
    </row>
    <row r="11977" spans="2:2" s="221" customFormat="1" ht="12.75" x14ac:dyDescent="0.2">
      <c r="B11977" s="1168"/>
    </row>
    <row r="11978" spans="2:2" s="221" customFormat="1" ht="12.75" x14ac:dyDescent="0.2">
      <c r="B11978" s="1168"/>
    </row>
    <row r="11979" spans="2:2" s="221" customFormat="1" ht="12.75" x14ac:dyDescent="0.2">
      <c r="B11979" s="1168"/>
    </row>
    <row r="11980" spans="2:2" s="221" customFormat="1" ht="12.75" x14ac:dyDescent="0.2">
      <c r="B11980" s="1168"/>
    </row>
    <row r="11981" spans="2:2" s="221" customFormat="1" ht="12.75" x14ac:dyDescent="0.2">
      <c r="B11981" s="1168"/>
    </row>
    <row r="11982" spans="2:2" s="221" customFormat="1" ht="12.75" x14ac:dyDescent="0.2">
      <c r="B11982" s="1168"/>
    </row>
    <row r="11983" spans="2:2" s="221" customFormat="1" ht="12.75" x14ac:dyDescent="0.2">
      <c r="B11983" s="1168"/>
    </row>
    <row r="11984" spans="2:2" s="221" customFormat="1" ht="12.75" x14ac:dyDescent="0.2">
      <c r="B11984" s="1168"/>
    </row>
    <row r="11985" spans="2:2" s="221" customFormat="1" ht="12.75" x14ac:dyDescent="0.2">
      <c r="B11985" s="1168"/>
    </row>
    <row r="11986" spans="2:2" s="221" customFormat="1" ht="12.75" x14ac:dyDescent="0.2">
      <c r="B11986" s="1168"/>
    </row>
    <row r="11987" spans="2:2" s="221" customFormat="1" ht="12.75" x14ac:dyDescent="0.2">
      <c r="B11987" s="1168"/>
    </row>
    <row r="11988" spans="2:2" s="221" customFormat="1" ht="12.75" x14ac:dyDescent="0.2">
      <c r="B11988" s="1168"/>
    </row>
    <row r="11989" spans="2:2" s="221" customFormat="1" ht="12.75" x14ac:dyDescent="0.2">
      <c r="B11989" s="1168"/>
    </row>
    <row r="11990" spans="2:2" s="221" customFormat="1" ht="12.75" x14ac:dyDescent="0.2">
      <c r="B11990" s="1168"/>
    </row>
    <row r="11991" spans="2:2" s="221" customFormat="1" ht="12.75" x14ac:dyDescent="0.2">
      <c r="B11991" s="1168"/>
    </row>
    <row r="11992" spans="2:2" s="221" customFormat="1" ht="12.75" x14ac:dyDescent="0.2">
      <c r="B11992" s="1168"/>
    </row>
    <row r="11993" spans="2:2" s="221" customFormat="1" ht="12.75" x14ac:dyDescent="0.2">
      <c r="B11993" s="1168"/>
    </row>
    <row r="11994" spans="2:2" s="221" customFormat="1" ht="12.75" x14ac:dyDescent="0.2">
      <c r="B11994" s="1168"/>
    </row>
    <row r="11995" spans="2:2" s="221" customFormat="1" ht="12.75" x14ac:dyDescent="0.2">
      <c r="B11995" s="1168"/>
    </row>
    <row r="11996" spans="2:2" s="221" customFormat="1" ht="12.75" x14ac:dyDescent="0.2">
      <c r="B11996" s="1168"/>
    </row>
    <row r="11997" spans="2:2" s="221" customFormat="1" ht="12.75" x14ac:dyDescent="0.2">
      <c r="B11997" s="1168"/>
    </row>
    <row r="11998" spans="2:2" s="221" customFormat="1" ht="12.75" x14ac:dyDescent="0.2">
      <c r="B11998" s="1168"/>
    </row>
    <row r="11999" spans="2:2" s="221" customFormat="1" ht="12.75" x14ac:dyDescent="0.2">
      <c r="B11999" s="1168"/>
    </row>
    <row r="12000" spans="2:2" s="221" customFormat="1" ht="12.75" x14ac:dyDescent="0.2">
      <c r="B12000" s="1168"/>
    </row>
    <row r="12001" spans="2:2" s="221" customFormat="1" ht="12.75" x14ac:dyDescent="0.2">
      <c r="B12001" s="1168"/>
    </row>
    <row r="12002" spans="2:2" s="221" customFormat="1" ht="12.75" x14ac:dyDescent="0.2">
      <c r="B12002" s="1168"/>
    </row>
    <row r="12003" spans="2:2" s="221" customFormat="1" ht="12.75" x14ac:dyDescent="0.2">
      <c r="B12003" s="1168"/>
    </row>
    <row r="12004" spans="2:2" s="221" customFormat="1" ht="12.75" x14ac:dyDescent="0.2">
      <c r="B12004" s="1168"/>
    </row>
    <row r="12005" spans="2:2" s="221" customFormat="1" ht="12.75" x14ac:dyDescent="0.2">
      <c r="B12005" s="1168"/>
    </row>
    <row r="12006" spans="2:2" s="221" customFormat="1" ht="12.75" x14ac:dyDescent="0.2">
      <c r="B12006" s="1168"/>
    </row>
    <row r="12007" spans="2:2" s="221" customFormat="1" ht="12.75" x14ac:dyDescent="0.2">
      <c r="B12007" s="1168"/>
    </row>
    <row r="12008" spans="2:2" s="221" customFormat="1" ht="12.75" x14ac:dyDescent="0.2">
      <c r="B12008" s="1168"/>
    </row>
    <row r="12009" spans="2:2" s="221" customFormat="1" ht="12.75" x14ac:dyDescent="0.2">
      <c r="B12009" s="1168"/>
    </row>
    <row r="12010" spans="2:2" s="221" customFormat="1" ht="12.75" x14ac:dyDescent="0.2">
      <c r="B12010" s="1168"/>
    </row>
    <row r="12011" spans="2:2" s="221" customFormat="1" ht="12.75" x14ac:dyDescent="0.2">
      <c r="B12011" s="1168"/>
    </row>
    <row r="12012" spans="2:2" s="221" customFormat="1" ht="12.75" x14ac:dyDescent="0.2">
      <c r="B12012" s="1168"/>
    </row>
    <row r="12013" spans="2:2" s="221" customFormat="1" ht="12.75" x14ac:dyDescent="0.2">
      <c r="B12013" s="1168"/>
    </row>
    <row r="12014" spans="2:2" s="221" customFormat="1" ht="12.75" x14ac:dyDescent="0.2">
      <c r="B12014" s="1168"/>
    </row>
    <row r="12015" spans="2:2" s="221" customFormat="1" ht="12.75" x14ac:dyDescent="0.2">
      <c r="B12015" s="1168"/>
    </row>
    <row r="12016" spans="2:2" s="221" customFormat="1" ht="12.75" x14ac:dyDescent="0.2">
      <c r="B12016" s="1168"/>
    </row>
    <row r="12017" spans="2:2" s="221" customFormat="1" ht="12.75" x14ac:dyDescent="0.2">
      <c r="B12017" s="1168"/>
    </row>
    <row r="12018" spans="2:2" s="221" customFormat="1" ht="12.75" x14ac:dyDescent="0.2">
      <c r="B12018" s="1168"/>
    </row>
    <row r="12019" spans="2:2" s="221" customFormat="1" ht="12.75" x14ac:dyDescent="0.2">
      <c r="B12019" s="1168"/>
    </row>
    <row r="12020" spans="2:2" s="221" customFormat="1" ht="12.75" x14ac:dyDescent="0.2">
      <c r="B12020" s="1168"/>
    </row>
    <row r="12021" spans="2:2" s="221" customFormat="1" ht="12.75" x14ac:dyDescent="0.2">
      <c r="B12021" s="1168"/>
    </row>
    <row r="12022" spans="2:2" s="221" customFormat="1" ht="12.75" x14ac:dyDescent="0.2">
      <c r="B12022" s="1168"/>
    </row>
    <row r="12023" spans="2:2" s="221" customFormat="1" ht="12.75" x14ac:dyDescent="0.2">
      <c r="B12023" s="1168"/>
    </row>
    <row r="12024" spans="2:2" s="221" customFormat="1" ht="12.75" x14ac:dyDescent="0.2">
      <c r="B12024" s="1168"/>
    </row>
    <row r="12025" spans="2:2" s="221" customFormat="1" ht="12.75" x14ac:dyDescent="0.2">
      <c r="B12025" s="1168"/>
    </row>
    <row r="12026" spans="2:2" s="221" customFormat="1" ht="12.75" x14ac:dyDescent="0.2">
      <c r="B12026" s="1168"/>
    </row>
    <row r="12027" spans="2:2" s="221" customFormat="1" ht="12.75" x14ac:dyDescent="0.2">
      <c r="B12027" s="1168"/>
    </row>
    <row r="12028" spans="2:2" s="221" customFormat="1" ht="12.75" x14ac:dyDescent="0.2">
      <c r="B12028" s="1168"/>
    </row>
    <row r="12029" spans="2:2" s="221" customFormat="1" ht="12.75" x14ac:dyDescent="0.2">
      <c r="B12029" s="1168"/>
    </row>
    <row r="12030" spans="2:2" s="221" customFormat="1" ht="12.75" x14ac:dyDescent="0.2">
      <c r="B12030" s="1168"/>
    </row>
    <row r="12031" spans="2:2" s="221" customFormat="1" ht="12.75" x14ac:dyDescent="0.2">
      <c r="B12031" s="1168"/>
    </row>
    <row r="12032" spans="2:2" s="221" customFormat="1" ht="12.75" x14ac:dyDescent="0.2">
      <c r="B12032" s="1168"/>
    </row>
    <row r="12033" spans="2:2" s="221" customFormat="1" ht="12.75" x14ac:dyDescent="0.2">
      <c r="B12033" s="1168"/>
    </row>
    <row r="12034" spans="2:2" s="221" customFormat="1" ht="12.75" x14ac:dyDescent="0.2">
      <c r="B12034" s="1168"/>
    </row>
    <row r="12035" spans="2:2" s="221" customFormat="1" ht="12.75" x14ac:dyDescent="0.2">
      <c r="B12035" s="1168"/>
    </row>
    <row r="12036" spans="2:2" s="221" customFormat="1" ht="12.75" x14ac:dyDescent="0.2">
      <c r="B12036" s="1168"/>
    </row>
    <row r="12037" spans="2:2" s="221" customFormat="1" ht="12.75" x14ac:dyDescent="0.2">
      <c r="B12037" s="1168"/>
    </row>
    <row r="12038" spans="2:2" s="221" customFormat="1" ht="12.75" x14ac:dyDescent="0.2">
      <c r="B12038" s="1168"/>
    </row>
    <row r="12039" spans="2:2" s="221" customFormat="1" ht="12.75" x14ac:dyDescent="0.2">
      <c r="B12039" s="1168"/>
    </row>
    <row r="12040" spans="2:2" s="221" customFormat="1" ht="12.75" x14ac:dyDescent="0.2">
      <c r="B12040" s="1168"/>
    </row>
    <row r="12041" spans="2:2" s="221" customFormat="1" ht="12.75" x14ac:dyDescent="0.2">
      <c r="B12041" s="1168"/>
    </row>
    <row r="12042" spans="2:2" s="221" customFormat="1" ht="12.75" x14ac:dyDescent="0.2">
      <c r="B12042" s="1168"/>
    </row>
    <row r="12043" spans="2:2" s="221" customFormat="1" ht="12.75" x14ac:dyDescent="0.2">
      <c r="B12043" s="1168"/>
    </row>
    <row r="12044" spans="2:2" s="221" customFormat="1" ht="12.75" x14ac:dyDescent="0.2">
      <c r="B12044" s="1168"/>
    </row>
    <row r="12045" spans="2:2" s="221" customFormat="1" ht="12.75" x14ac:dyDescent="0.2">
      <c r="B12045" s="1168"/>
    </row>
    <row r="12046" spans="2:2" s="221" customFormat="1" ht="12.75" x14ac:dyDescent="0.2">
      <c r="B12046" s="1168"/>
    </row>
    <row r="12047" spans="2:2" s="221" customFormat="1" ht="12.75" x14ac:dyDescent="0.2">
      <c r="B12047" s="1168"/>
    </row>
    <row r="12048" spans="2:2" s="221" customFormat="1" ht="12.75" x14ac:dyDescent="0.2">
      <c r="B12048" s="1168"/>
    </row>
    <row r="12049" spans="2:2" s="221" customFormat="1" ht="12.75" x14ac:dyDescent="0.2">
      <c r="B12049" s="1168"/>
    </row>
    <row r="12050" spans="2:2" s="221" customFormat="1" ht="12.75" x14ac:dyDescent="0.2">
      <c r="B12050" s="1168"/>
    </row>
    <row r="12051" spans="2:2" s="221" customFormat="1" ht="12.75" x14ac:dyDescent="0.2">
      <c r="B12051" s="1168"/>
    </row>
    <row r="12052" spans="2:2" s="221" customFormat="1" ht="12.75" x14ac:dyDescent="0.2">
      <c r="B12052" s="1168"/>
    </row>
    <row r="12053" spans="2:2" s="221" customFormat="1" ht="12.75" x14ac:dyDescent="0.2">
      <c r="B12053" s="1168"/>
    </row>
    <row r="12054" spans="2:2" s="221" customFormat="1" ht="12.75" x14ac:dyDescent="0.2">
      <c r="B12054" s="1168"/>
    </row>
    <row r="12055" spans="2:2" s="221" customFormat="1" ht="12.75" x14ac:dyDescent="0.2">
      <c r="B12055" s="1168"/>
    </row>
    <row r="12056" spans="2:2" s="221" customFormat="1" ht="12.75" x14ac:dyDescent="0.2">
      <c r="B12056" s="1168"/>
    </row>
    <row r="12057" spans="2:2" s="221" customFormat="1" ht="12.75" x14ac:dyDescent="0.2">
      <c r="B12057" s="1168"/>
    </row>
    <row r="12058" spans="2:2" s="221" customFormat="1" ht="12.75" x14ac:dyDescent="0.2">
      <c r="B12058" s="1168"/>
    </row>
    <row r="12059" spans="2:2" s="221" customFormat="1" ht="12.75" x14ac:dyDescent="0.2">
      <c r="B12059" s="1168"/>
    </row>
    <row r="12060" spans="2:2" s="221" customFormat="1" ht="12.75" x14ac:dyDescent="0.2">
      <c r="B12060" s="1168"/>
    </row>
    <row r="12061" spans="2:2" s="221" customFormat="1" ht="12.75" x14ac:dyDescent="0.2">
      <c r="B12061" s="1168"/>
    </row>
    <row r="12062" spans="2:2" s="221" customFormat="1" ht="12.75" x14ac:dyDescent="0.2">
      <c r="B12062" s="1168"/>
    </row>
    <row r="12063" spans="2:2" s="221" customFormat="1" ht="12.75" x14ac:dyDescent="0.2">
      <c r="B12063" s="1168"/>
    </row>
    <row r="12064" spans="2:2" s="221" customFormat="1" ht="12.75" x14ac:dyDescent="0.2">
      <c r="B12064" s="1168"/>
    </row>
    <row r="12065" spans="2:2" s="221" customFormat="1" ht="12.75" x14ac:dyDescent="0.2">
      <c r="B12065" s="1168"/>
    </row>
    <row r="12066" spans="2:2" s="221" customFormat="1" ht="12.75" x14ac:dyDescent="0.2">
      <c r="B12066" s="1168"/>
    </row>
    <row r="12067" spans="2:2" s="221" customFormat="1" ht="12.75" x14ac:dyDescent="0.2">
      <c r="B12067" s="1168"/>
    </row>
    <row r="12068" spans="2:2" s="221" customFormat="1" ht="12.75" x14ac:dyDescent="0.2">
      <c r="B12068" s="1168"/>
    </row>
    <row r="12069" spans="2:2" s="221" customFormat="1" ht="12.75" x14ac:dyDescent="0.2">
      <c r="B12069" s="1168"/>
    </row>
    <row r="12070" spans="2:2" s="221" customFormat="1" ht="12.75" x14ac:dyDescent="0.2">
      <c r="B12070" s="1168"/>
    </row>
    <row r="12071" spans="2:2" s="221" customFormat="1" ht="12.75" x14ac:dyDescent="0.2">
      <c r="B12071" s="1168"/>
    </row>
    <row r="12072" spans="2:2" s="221" customFormat="1" ht="12.75" x14ac:dyDescent="0.2">
      <c r="B12072" s="1168"/>
    </row>
    <row r="12073" spans="2:2" s="221" customFormat="1" ht="12.75" x14ac:dyDescent="0.2">
      <c r="B12073" s="1168"/>
    </row>
    <row r="12074" spans="2:2" s="221" customFormat="1" ht="12.75" x14ac:dyDescent="0.2">
      <c r="B12074" s="1168"/>
    </row>
    <row r="12075" spans="2:2" s="221" customFormat="1" ht="12.75" x14ac:dyDescent="0.2">
      <c r="B12075" s="1168"/>
    </row>
    <row r="12076" spans="2:2" s="221" customFormat="1" ht="12.75" x14ac:dyDescent="0.2">
      <c r="B12076" s="1168"/>
    </row>
    <row r="12077" spans="2:2" s="221" customFormat="1" ht="12.75" x14ac:dyDescent="0.2">
      <c r="B12077" s="1168"/>
    </row>
    <row r="12078" spans="2:2" s="221" customFormat="1" ht="12.75" x14ac:dyDescent="0.2">
      <c r="B12078" s="1168"/>
    </row>
    <row r="12079" spans="2:2" s="221" customFormat="1" ht="12.75" x14ac:dyDescent="0.2">
      <c r="B12079" s="1168"/>
    </row>
    <row r="12080" spans="2:2" s="221" customFormat="1" ht="12.75" x14ac:dyDescent="0.2">
      <c r="B12080" s="1168"/>
    </row>
    <row r="12081" spans="2:2" s="221" customFormat="1" ht="12.75" x14ac:dyDescent="0.2">
      <c r="B12081" s="1168"/>
    </row>
    <row r="12082" spans="2:2" s="221" customFormat="1" ht="12.75" x14ac:dyDescent="0.2">
      <c r="B12082" s="1168"/>
    </row>
    <row r="12083" spans="2:2" s="221" customFormat="1" ht="12.75" x14ac:dyDescent="0.2">
      <c r="B12083" s="1168"/>
    </row>
    <row r="12084" spans="2:2" s="221" customFormat="1" ht="12.75" x14ac:dyDescent="0.2">
      <c r="B12084" s="1168"/>
    </row>
    <row r="12085" spans="2:2" s="221" customFormat="1" ht="12.75" x14ac:dyDescent="0.2">
      <c r="B12085" s="1168"/>
    </row>
    <row r="12086" spans="2:2" s="221" customFormat="1" ht="12.75" x14ac:dyDescent="0.2">
      <c r="B12086" s="1168"/>
    </row>
    <row r="12087" spans="2:2" s="221" customFormat="1" ht="12.75" x14ac:dyDescent="0.2">
      <c r="B12087" s="1168"/>
    </row>
    <row r="12088" spans="2:2" s="221" customFormat="1" ht="12.75" x14ac:dyDescent="0.2">
      <c r="B12088" s="1168"/>
    </row>
    <row r="12089" spans="2:2" s="221" customFormat="1" ht="12.75" x14ac:dyDescent="0.2">
      <c r="B12089" s="1168"/>
    </row>
    <row r="12090" spans="2:2" s="221" customFormat="1" ht="12.75" x14ac:dyDescent="0.2">
      <c r="B12090" s="1168"/>
    </row>
    <row r="12091" spans="2:2" s="221" customFormat="1" ht="12.75" x14ac:dyDescent="0.2">
      <c r="B12091" s="1168"/>
    </row>
    <row r="12092" spans="2:2" s="221" customFormat="1" ht="12.75" x14ac:dyDescent="0.2">
      <c r="B12092" s="1168"/>
    </row>
    <row r="12093" spans="2:2" s="221" customFormat="1" ht="12.75" x14ac:dyDescent="0.2">
      <c r="B12093" s="1168"/>
    </row>
    <row r="12094" spans="2:2" s="221" customFormat="1" ht="12.75" x14ac:dyDescent="0.2">
      <c r="B12094" s="1168"/>
    </row>
    <row r="12095" spans="2:2" s="221" customFormat="1" ht="12.75" x14ac:dyDescent="0.2">
      <c r="B12095" s="1168"/>
    </row>
    <row r="12096" spans="2:2" s="221" customFormat="1" ht="12.75" x14ac:dyDescent="0.2">
      <c r="B12096" s="1168"/>
    </row>
    <row r="12097" spans="2:2" s="221" customFormat="1" ht="12.75" x14ac:dyDescent="0.2">
      <c r="B12097" s="1168"/>
    </row>
    <row r="12098" spans="2:2" s="221" customFormat="1" ht="12.75" x14ac:dyDescent="0.2">
      <c r="B12098" s="1168"/>
    </row>
    <row r="12099" spans="2:2" s="221" customFormat="1" ht="12.75" x14ac:dyDescent="0.2">
      <c r="B12099" s="1168"/>
    </row>
    <row r="12100" spans="2:2" s="221" customFormat="1" ht="12.75" x14ac:dyDescent="0.2">
      <c r="B12100" s="1168"/>
    </row>
    <row r="12101" spans="2:2" s="221" customFormat="1" ht="12.75" x14ac:dyDescent="0.2">
      <c r="B12101" s="1168"/>
    </row>
    <row r="12102" spans="2:2" s="221" customFormat="1" ht="12.75" x14ac:dyDescent="0.2">
      <c r="B12102" s="1168"/>
    </row>
    <row r="12103" spans="2:2" s="221" customFormat="1" ht="12.75" x14ac:dyDescent="0.2">
      <c r="B12103" s="1168"/>
    </row>
    <row r="12104" spans="2:2" s="221" customFormat="1" ht="12.75" x14ac:dyDescent="0.2">
      <c r="B12104" s="1168"/>
    </row>
    <row r="12105" spans="2:2" s="221" customFormat="1" ht="12.75" x14ac:dyDescent="0.2">
      <c r="B12105" s="1168"/>
    </row>
    <row r="12106" spans="2:2" s="221" customFormat="1" ht="12.75" x14ac:dyDescent="0.2">
      <c r="B12106" s="1168"/>
    </row>
    <row r="12107" spans="2:2" s="221" customFormat="1" ht="12.75" x14ac:dyDescent="0.2">
      <c r="B12107" s="1168"/>
    </row>
    <row r="12108" spans="2:2" s="221" customFormat="1" ht="12.75" x14ac:dyDescent="0.2">
      <c r="B12108" s="1168"/>
    </row>
    <row r="12109" spans="2:2" s="221" customFormat="1" ht="12.75" x14ac:dyDescent="0.2">
      <c r="B12109" s="1168"/>
    </row>
    <row r="12110" spans="2:2" s="221" customFormat="1" ht="12.75" x14ac:dyDescent="0.2">
      <c r="B12110" s="1168"/>
    </row>
    <row r="12111" spans="2:2" s="221" customFormat="1" ht="12.75" x14ac:dyDescent="0.2">
      <c r="B12111" s="1168"/>
    </row>
    <row r="12112" spans="2:2" s="221" customFormat="1" ht="12.75" x14ac:dyDescent="0.2">
      <c r="B12112" s="1168"/>
    </row>
    <row r="12113" spans="2:2" s="221" customFormat="1" ht="12.75" x14ac:dyDescent="0.2">
      <c r="B12113" s="1168"/>
    </row>
    <row r="12114" spans="2:2" s="221" customFormat="1" ht="12.75" x14ac:dyDescent="0.2">
      <c r="B12114" s="1168"/>
    </row>
    <row r="12115" spans="2:2" s="221" customFormat="1" ht="12.75" x14ac:dyDescent="0.2">
      <c r="B12115" s="1168"/>
    </row>
    <row r="12116" spans="2:2" s="221" customFormat="1" ht="12.75" x14ac:dyDescent="0.2">
      <c r="B12116" s="1168"/>
    </row>
    <row r="12117" spans="2:2" s="221" customFormat="1" ht="12.75" x14ac:dyDescent="0.2">
      <c r="B12117" s="1168"/>
    </row>
    <row r="12118" spans="2:2" s="221" customFormat="1" ht="12.75" x14ac:dyDescent="0.2">
      <c r="B12118" s="1168"/>
    </row>
    <row r="12119" spans="2:2" s="221" customFormat="1" ht="12.75" x14ac:dyDescent="0.2">
      <c r="B12119" s="1168"/>
    </row>
    <row r="12120" spans="2:2" s="221" customFormat="1" ht="12.75" x14ac:dyDescent="0.2">
      <c r="B12120" s="1168"/>
    </row>
    <row r="12121" spans="2:2" s="221" customFormat="1" ht="12.75" x14ac:dyDescent="0.2">
      <c r="B12121" s="1168"/>
    </row>
    <row r="12122" spans="2:2" s="221" customFormat="1" ht="12.75" x14ac:dyDescent="0.2">
      <c r="B12122" s="1168"/>
    </row>
    <row r="12123" spans="2:2" s="221" customFormat="1" ht="12.75" x14ac:dyDescent="0.2">
      <c r="B12123" s="1168"/>
    </row>
    <row r="12124" spans="2:2" s="221" customFormat="1" ht="12.75" x14ac:dyDescent="0.2">
      <c r="B12124" s="1168"/>
    </row>
    <row r="12125" spans="2:2" s="221" customFormat="1" ht="12.75" x14ac:dyDescent="0.2">
      <c r="B12125" s="1168"/>
    </row>
    <row r="12126" spans="2:2" s="221" customFormat="1" ht="12.75" x14ac:dyDescent="0.2">
      <c r="B12126" s="1168"/>
    </row>
    <row r="12127" spans="2:2" s="221" customFormat="1" ht="12.75" x14ac:dyDescent="0.2">
      <c r="B12127" s="1168"/>
    </row>
    <row r="12128" spans="2:2" s="221" customFormat="1" ht="12.75" x14ac:dyDescent="0.2">
      <c r="B12128" s="1168"/>
    </row>
    <row r="12129" spans="2:2" s="221" customFormat="1" ht="12.75" x14ac:dyDescent="0.2">
      <c r="B12129" s="1168"/>
    </row>
    <row r="12130" spans="2:2" s="221" customFormat="1" ht="12.75" x14ac:dyDescent="0.2">
      <c r="B12130" s="1168"/>
    </row>
    <row r="12131" spans="2:2" s="221" customFormat="1" ht="12.75" x14ac:dyDescent="0.2">
      <c r="B12131" s="1168"/>
    </row>
    <row r="12132" spans="2:2" s="221" customFormat="1" ht="12.75" x14ac:dyDescent="0.2">
      <c r="B12132" s="1168"/>
    </row>
    <row r="12133" spans="2:2" s="221" customFormat="1" ht="12.75" x14ac:dyDescent="0.2">
      <c r="B12133" s="1168"/>
    </row>
    <row r="12134" spans="2:2" s="221" customFormat="1" ht="12.75" x14ac:dyDescent="0.2">
      <c r="B12134" s="1168"/>
    </row>
    <row r="12135" spans="2:2" s="221" customFormat="1" ht="12.75" x14ac:dyDescent="0.2">
      <c r="B12135" s="1168"/>
    </row>
    <row r="12136" spans="2:2" s="221" customFormat="1" ht="12.75" x14ac:dyDescent="0.2">
      <c r="B12136" s="1168"/>
    </row>
    <row r="12137" spans="2:2" s="221" customFormat="1" ht="12.75" x14ac:dyDescent="0.2">
      <c r="B12137" s="1168"/>
    </row>
    <row r="12138" spans="2:2" s="221" customFormat="1" ht="12.75" x14ac:dyDescent="0.2">
      <c r="B12138" s="1168"/>
    </row>
    <row r="12139" spans="2:2" s="221" customFormat="1" ht="12.75" x14ac:dyDescent="0.2">
      <c r="B12139" s="1168"/>
    </row>
    <row r="12140" spans="2:2" s="221" customFormat="1" ht="12.75" x14ac:dyDescent="0.2">
      <c r="B12140" s="1168"/>
    </row>
    <row r="12141" spans="2:2" s="221" customFormat="1" ht="12.75" x14ac:dyDescent="0.2">
      <c r="B12141" s="1168"/>
    </row>
    <row r="12142" spans="2:2" s="221" customFormat="1" ht="12.75" x14ac:dyDescent="0.2">
      <c r="B12142" s="1168"/>
    </row>
    <row r="12143" spans="2:2" s="221" customFormat="1" ht="12.75" x14ac:dyDescent="0.2">
      <c r="B12143" s="1168"/>
    </row>
    <row r="12144" spans="2:2" s="221" customFormat="1" ht="12.75" x14ac:dyDescent="0.2">
      <c r="B12144" s="1168"/>
    </row>
    <row r="12145" spans="2:2" s="221" customFormat="1" ht="12.75" x14ac:dyDescent="0.2">
      <c r="B12145" s="1168"/>
    </row>
    <row r="12146" spans="2:2" s="221" customFormat="1" ht="12.75" x14ac:dyDescent="0.2">
      <c r="B12146" s="1168"/>
    </row>
    <row r="12147" spans="2:2" s="221" customFormat="1" ht="12.75" x14ac:dyDescent="0.2">
      <c r="B12147" s="1168"/>
    </row>
    <row r="12148" spans="2:2" s="221" customFormat="1" ht="12.75" x14ac:dyDescent="0.2">
      <c r="B12148" s="1168"/>
    </row>
    <row r="12149" spans="2:2" s="221" customFormat="1" ht="12.75" x14ac:dyDescent="0.2">
      <c r="B12149" s="1168"/>
    </row>
    <row r="12150" spans="2:2" s="221" customFormat="1" ht="12.75" x14ac:dyDescent="0.2">
      <c r="B12150" s="1168"/>
    </row>
    <row r="12151" spans="2:2" s="221" customFormat="1" ht="12.75" x14ac:dyDescent="0.2">
      <c r="B12151" s="1168"/>
    </row>
    <row r="12152" spans="2:2" s="221" customFormat="1" ht="12.75" x14ac:dyDescent="0.2">
      <c r="B12152" s="1168"/>
    </row>
    <row r="12153" spans="2:2" s="221" customFormat="1" ht="12.75" x14ac:dyDescent="0.2">
      <c r="B12153" s="1168"/>
    </row>
    <row r="12154" spans="2:2" s="221" customFormat="1" ht="12.75" x14ac:dyDescent="0.2">
      <c r="B12154" s="1168"/>
    </row>
    <row r="12155" spans="2:2" s="221" customFormat="1" ht="12.75" x14ac:dyDescent="0.2">
      <c r="B12155" s="1168"/>
    </row>
    <row r="12156" spans="2:2" s="221" customFormat="1" ht="12.75" x14ac:dyDescent="0.2">
      <c r="B12156" s="1168"/>
    </row>
    <row r="12157" spans="2:2" s="221" customFormat="1" ht="12.75" x14ac:dyDescent="0.2">
      <c r="B12157" s="1168"/>
    </row>
    <row r="12158" spans="2:2" s="221" customFormat="1" ht="12.75" x14ac:dyDescent="0.2">
      <c r="B12158" s="1168"/>
    </row>
    <row r="12159" spans="2:2" s="221" customFormat="1" ht="12.75" x14ac:dyDescent="0.2">
      <c r="B12159" s="1168"/>
    </row>
    <row r="12160" spans="2:2" s="221" customFormat="1" ht="12.75" x14ac:dyDescent="0.2">
      <c r="B12160" s="1168"/>
    </row>
    <row r="12161" spans="2:2" s="221" customFormat="1" ht="12.75" x14ac:dyDescent="0.2">
      <c r="B12161" s="1168"/>
    </row>
    <row r="12162" spans="2:2" s="221" customFormat="1" ht="12.75" x14ac:dyDescent="0.2">
      <c r="B12162" s="1168"/>
    </row>
    <row r="12163" spans="2:2" s="221" customFormat="1" ht="12.75" x14ac:dyDescent="0.2">
      <c r="B12163" s="1168"/>
    </row>
    <row r="12164" spans="2:2" s="221" customFormat="1" ht="12.75" x14ac:dyDescent="0.2">
      <c r="B12164" s="1168"/>
    </row>
    <row r="12165" spans="2:2" s="221" customFormat="1" ht="12.75" x14ac:dyDescent="0.2">
      <c r="B12165" s="1168"/>
    </row>
    <row r="12166" spans="2:2" s="221" customFormat="1" ht="12.75" x14ac:dyDescent="0.2">
      <c r="B12166" s="1168"/>
    </row>
    <row r="12167" spans="2:2" s="221" customFormat="1" ht="12.75" x14ac:dyDescent="0.2">
      <c r="B12167" s="1168"/>
    </row>
    <row r="12168" spans="2:2" s="221" customFormat="1" ht="12.75" x14ac:dyDescent="0.2">
      <c r="B12168" s="1168"/>
    </row>
    <row r="12169" spans="2:2" s="221" customFormat="1" ht="12.75" x14ac:dyDescent="0.2">
      <c r="B12169" s="1168"/>
    </row>
    <row r="12170" spans="2:2" s="221" customFormat="1" ht="12.75" x14ac:dyDescent="0.2">
      <c r="B12170" s="1168"/>
    </row>
    <row r="12171" spans="2:2" s="221" customFormat="1" ht="12.75" x14ac:dyDescent="0.2">
      <c r="B12171" s="1168"/>
    </row>
    <row r="12172" spans="2:2" s="221" customFormat="1" ht="12.75" x14ac:dyDescent="0.2">
      <c r="B12172" s="1168"/>
    </row>
    <row r="12173" spans="2:2" s="221" customFormat="1" ht="12.75" x14ac:dyDescent="0.2">
      <c r="B12173" s="1168"/>
    </row>
    <row r="12174" spans="2:2" s="221" customFormat="1" ht="12.75" x14ac:dyDescent="0.2">
      <c r="B12174" s="1168"/>
    </row>
    <row r="12175" spans="2:2" s="221" customFormat="1" ht="12.75" x14ac:dyDescent="0.2">
      <c r="B12175" s="1168"/>
    </row>
    <row r="12176" spans="2:2" s="221" customFormat="1" ht="12.75" x14ac:dyDescent="0.2">
      <c r="B12176" s="1168"/>
    </row>
    <row r="12177" spans="2:2" s="221" customFormat="1" ht="12.75" x14ac:dyDescent="0.2">
      <c r="B12177" s="1168"/>
    </row>
    <row r="12178" spans="2:2" s="221" customFormat="1" ht="12.75" x14ac:dyDescent="0.2">
      <c r="B12178" s="1168"/>
    </row>
    <row r="12179" spans="2:2" s="221" customFormat="1" ht="12.75" x14ac:dyDescent="0.2">
      <c r="B12179" s="1168"/>
    </row>
    <row r="12180" spans="2:2" s="221" customFormat="1" ht="12.75" x14ac:dyDescent="0.2">
      <c r="B12180" s="1168"/>
    </row>
    <row r="12181" spans="2:2" s="221" customFormat="1" ht="12.75" x14ac:dyDescent="0.2">
      <c r="B12181" s="1168"/>
    </row>
    <row r="12182" spans="2:2" s="221" customFormat="1" ht="12.75" x14ac:dyDescent="0.2">
      <c r="B12182" s="1168"/>
    </row>
    <row r="12183" spans="2:2" s="221" customFormat="1" ht="12.75" x14ac:dyDescent="0.2">
      <c r="B12183" s="1168"/>
    </row>
    <row r="12184" spans="2:2" s="221" customFormat="1" ht="12.75" x14ac:dyDescent="0.2">
      <c r="B12184" s="1168"/>
    </row>
    <row r="12185" spans="2:2" s="221" customFormat="1" ht="12.75" x14ac:dyDescent="0.2">
      <c r="B12185" s="1168"/>
    </row>
    <row r="12186" spans="2:2" s="221" customFormat="1" ht="12.75" x14ac:dyDescent="0.2">
      <c r="B12186" s="1168"/>
    </row>
    <row r="12187" spans="2:2" s="221" customFormat="1" ht="12.75" x14ac:dyDescent="0.2">
      <c r="B12187" s="1168"/>
    </row>
    <row r="12188" spans="2:2" s="221" customFormat="1" ht="12.75" x14ac:dyDescent="0.2">
      <c r="B12188" s="1168"/>
    </row>
    <row r="12189" spans="2:2" s="221" customFormat="1" ht="12.75" x14ac:dyDescent="0.2">
      <c r="B12189" s="1168"/>
    </row>
    <row r="12190" spans="2:2" s="221" customFormat="1" ht="12.75" x14ac:dyDescent="0.2">
      <c r="B12190" s="1168"/>
    </row>
    <row r="12191" spans="2:2" s="221" customFormat="1" ht="12.75" x14ac:dyDescent="0.2">
      <c r="B12191" s="1168"/>
    </row>
    <row r="12192" spans="2:2" s="221" customFormat="1" ht="12.75" x14ac:dyDescent="0.2">
      <c r="B12192" s="1168"/>
    </row>
    <row r="12193" spans="2:2" s="221" customFormat="1" ht="12.75" x14ac:dyDescent="0.2">
      <c r="B12193" s="1168"/>
    </row>
    <row r="12194" spans="2:2" s="221" customFormat="1" ht="12.75" x14ac:dyDescent="0.2">
      <c r="B12194" s="1168"/>
    </row>
    <row r="12195" spans="2:2" s="221" customFormat="1" ht="12.75" x14ac:dyDescent="0.2">
      <c r="B12195" s="1168"/>
    </row>
    <row r="12196" spans="2:2" s="221" customFormat="1" ht="12.75" x14ac:dyDescent="0.2">
      <c r="B12196" s="1168"/>
    </row>
    <row r="12197" spans="2:2" s="221" customFormat="1" ht="12.75" x14ac:dyDescent="0.2">
      <c r="B12197" s="1168"/>
    </row>
    <row r="12198" spans="2:2" s="221" customFormat="1" ht="12.75" x14ac:dyDescent="0.2">
      <c r="B12198" s="1168"/>
    </row>
    <row r="12199" spans="2:2" s="221" customFormat="1" ht="12.75" x14ac:dyDescent="0.2">
      <c r="B12199" s="1168"/>
    </row>
    <row r="12200" spans="2:2" s="221" customFormat="1" ht="12.75" x14ac:dyDescent="0.2">
      <c r="B12200" s="1168"/>
    </row>
    <row r="12201" spans="2:2" s="221" customFormat="1" ht="12.75" x14ac:dyDescent="0.2">
      <c r="B12201" s="1168"/>
    </row>
    <row r="12202" spans="2:2" s="221" customFormat="1" ht="12.75" x14ac:dyDescent="0.2">
      <c r="B12202" s="1168"/>
    </row>
    <row r="12203" spans="2:2" s="221" customFormat="1" ht="12.75" x14ac:dyDescent="0.2">
      <c r="B12203" s="1168"/>
    </row>
    <row r="12204" spans="2:2" s="221" customFormat="1" ht="12.75" x14ac:dyDescent="0.2">
      <c r="B12204" s="1168"/>
    </row>
    <row r="12205" spans="2:2" s="221" customFormat="1" ht="12.75" x14ac:dyDescent="0.2">
      <c r="B12205" s="1168"/>
    </row>
    <row r="12206" spans="2:2" s="221" customFormat="1" ht="12.75" x14ac:dyDescent="0.2">
      <c r="B12206" s="1168"/>
    </row>
    <row r="12207" spans="2:2" s="221" customFormat="1" ht="12.75" x14ac:dyDescent="0.2">
      <c r="B12207" s="1168"/>
    </row>
    <row r="12208" spans="2:2" s="221" customFormat="1" ht="12.75" x14ac:dyDescent="0.2">
      <c r="B12208" s="1168"/>
    </row>
    <row r="12209" spans="2:2" s="221" customFormat="1" ht="12.75" x14ac:dyDescent="0.2">
      <c r="B12209" s="1168"/>
    </row>
    <row r="12210" spans="2:2" s="221" customFormat="1" ht="12.75" x14ac:dyDescent="0.2">
      <c r="B12210" s="1168"/>
    </row>
    <row r="12211" spans="2:2" s="221" customFormat="1" ht="12.75" x14ac:dyDescent="0.2">
      <c r="B12211" s="1168"/>
    </row>
    <row r="12212" spans="2:2" s="221" customFormat="1" ht="12.75" x14ac:dyDescent="0.2">
      <c r="B12212" s="1168"/>
    </row>
    <row r="12213" spans="2:2" s="221" customFormat="1" ht="12.75" x14ac:dyDescent="0.2">
      <c r="B12213" s="1168"/>
    </row>
    <row r="12214" spans="2:2" s="221" customFormat="1" ht="12.75" x14ac:dyDescent="0.2">
      <c r="B12214" s="1168"/>
    </row>
    <row r="12215" spans="2:2" s="221" customFormat="1" ht="12.75" x14ac:dyDescent="0.2">
      <c r="B12215" s="1168"/>
    </row>
    <row r="12216" spans="2:2" s="221" customFormat="1" ht="12.75" x14ac:dyDescent="0.2">
      <c r="B12216" s="1168"/>
    </row>
    <row r="12217" spans="2:2" s="221" customFormat="1" ht="12.75" x14ac:dyDescent="0.2">
      <c r="B12217" s="1168"/>
    </row>
    <row r="12218" spans="2:2" s="221" customFormat="1" ht="12.75" x14ac:dyDescent="0.2">
      <c r="B12218" s="1168"/>
    </row>
    <row r="12219" spans="2:2" s="221" customFormat="1" ht="12.75" x14ac:dyDescent="0.2">
      <c r="B12219" s="1168"/>
    </row>
    <row r="12220" spans="2:2" s="221" customFormat="1" ht="12.75" x14ac:dyDescent="0.2">
      <c r="B12220" s="1168"/>
    </row>
    <row r="12221" spans="2:2" s="221" customFormat="1" ht="12.75" x14ac:dyDescent="0.2">
      <c r="B12221" s="1168"/>
    </row>
    <row r="12222" spans="2:2" s="221" customFormat="1" ht="12.75" x14ac:dyDescent="0.2">
      <c r="B12222" s="1168"/>
    </row>
    <row r="12223" spans="2:2" s="221" customFormat="1" ht="12.75" x14ac:dyDescent="0.2">
      <c r="B12223" s="1168"/>
    </row>
    <row r="12224" spans="2:2" s="221" customFormat="1" ht="12.75" x14ac:dyDescent="0.2">
      <c r="B12224" s="1168"/>
    </row>
    <row r="12225" spans="2:2" s="221" customFormat="1" ht="12.75" x14ac:dyDescent="0.2">
      <c r="B12225" s="1168"/>
    </row>
    <row r="12226" spans="2:2" s="221" customFormat="1" ht="12.75" x14ac:dyDescent="0.2">
      <c r="B12226" s="1168"/>
    </row>
    <row r="12227" spans="2:2" s="221" customFormat="1" ht="12.75" x14ac:dyDescent="0.2">
      <c r="B12227" s="1168"/>
    </row>
    <row r="12228" spans="2:2" s="221" customFormat="1" ht="12.75" x14ac:dyDescent="0.2">
      <c r="B12228" s="1168"/>
    </row>
    <row r="12229" spans="2:2" s="221" customFormat="1" ht="12.75" x14ac:dyDescent="0.2">
      <c r="B12229" s="1168"/>
    </row>
    <row r="12230" spans="2:2" s="221" customFormat="1" ht="12.75" x14ac:dyDescent="0.2">
      <c r="B12230" s="1168"/>
    </row>
    <row r="12231" spans="2:2" s="221" customFormat="1" ht="12.75" x14ac:dyDescent="0.2">
      <c r="B12231" s="1168"/>
    </row>
    <row r="12232" spans="2:2" s="221" customFormat="1" ht="12.75" x14ac:dyDescent="0.2">
      <c r="B12232" s="1168"/>
    </row>
    <row r="12233" spans="2:2" s="221" customFormat="1" ht="12.75" x14ac:dyDescent="0.2">
      <c r="B12233" s="1168"/>
    </row>
    <row r="12234" spans="2:2" s="221" customFormat="1" ht="12.75" x14ac:dyDescent="0.2">
      <c r="B12234" s="1168"/>
    </row>
    <row r="12235" spans="2:2" s="221" customFormat="1" ht="12.75" x14ac:dyDescent="0.2">
      <c r="B12235" s="1168"/>
    </row>
    <row r="12236" spans="2:2" s="221" customFormat="1" ht="12.75" x14ac:dyDescent="0.2">
      <c r="B12236" s="1168"/>
    </row>
    <row r="12237" spans="2:2" s="221" customFormat="1" ht="12.75" x14ac:dyDescent="0.2">
      <c r="B12237" s="1168"/>
    </row>
    <row r="12238" spans="2:2" s="221" customFormat="1" ht="12.75" x14ac:dyDescent="0.2">
      <c r="B12238" s="1168"/>
    </row>
    <row r="12239" spans="2:2" s="221" customFormat="1" ht="12.75" x14ac:dyDescent="0.2">
      <c r="B12239" s="1168"/>
    </row>
    <row r="12240" spans="2:2" s="221" customFormat="1" ht="12.75" x14ac:dyDescent="0.2">
      <c r="B12240" s="1168"/>
    </row>
    <row r="12241" spans="2:2" s="221" customFormat="1" ht="12.75" x14ac:dyDescent="0.2">
      <c r="B12241" s="1168"/>
    </row>
    <row r="12242" spans="2:2" s="221" customFormat="1" ht="12.75" x14ac:dyDescent="0.2">
      <c r="B12242" s="1168"/>
    </row>
    <row r="12243" spans="2:2" s="221" customFormat="1" ht="12.75" x14ac:dyDescent="0.2">
      <c r="B12243" s="1168"/>
    </row>
    <row r="12244" spans="2:2" s="221" customFormat="1" ht="12.75" x14ac:dyDescent="0.2">
      <c r="B12244" s="1168"/>
    </row>
    <row r="12245" spans="2:2" s="221" customFormat="1" ht="12.75" x14ac:dyDescent="0.2">
      <c r="B12245" s="1168"/>
    </row>
    <row r="12246" spans="2:2" s="221" customFormat="1" ht="12.75" x14ac:dyDescent="0.2">
      <c r="B12246" s="1168"/>
    </row>
    <row r="12247" spans="2:2" s="221" customFormat="1" ht="12.75" x14ac:dyDescent="0.2">
      <c r="B12247" s="1168"/>
    </row>
    <row r="12248" spans="2:2" s="221" customFormat="1" ht="12.75" x14ac:dyDescent="0.2">
      <c r="B12248" s="1168"/>
    </row>
    <row r="12249" spans="2:2" s="221" customFormat="1" ht="12.75" x14ac:dyDescent="0.2">
      <c r="B12249" s="1168"/>
    </row>
    <row r="12250" spans="2:2" s="221" customFormat="1" ht="12.75" x14ac:dyDescent="0.2">
      <c r="B12250" s="1168"/>
    </row>
    <row r="12251" spans="2:2" s="221" customFormat="1" ht="12.75" x14ac:dyDescent="0.2">
      <c r="B12251" s="1168"/>
    </row>
    <row r="12252" spans="2:2" s="221" customFormat="1" ht="12.75" x14ac:dyDescent="0.2">
      <c r="B12252" s="1168"/>
    </row>
    <row r="12253" spans="2:2" s="221" customFormat="1" ht="12.75" x14ac:dyDescent="0.2">
      <c r="B12253" s="1168"/>
    </row>
    <row r="12254" spans="2:2" s="221" customFormat="1" ht="12.75" x14ac:dyDescent="0.2">
      <c r="B12254" s="1168"/>
    </row>
    <row r="12255" spans="2:2" s="221" customFormat="1" ht="12.75" x14ac:dyDescent="0.2">
      <c r="B12255" s="1168"/>
    </row>
    <row r="12256" spans="2:2" s="221" customFormat="1" ht="12.75" x14ac:dyDescent="0.2">
      <c r="B12256" s="1168"/>
    </row>
    <row r="12257" spans="2:2" s="221" customFormat="1" ht="12.75" x14ac:dyDescent="0.2">
      <c r="B12257" s="1168"/>
    </row>
    <row r="12258" spans="2:2" s="221" customFormat="1" ht="12.75" x14ac:dyDescent="0.2">
      <c r="B12258" s="1168"/>
    </row>
    <row r="12259" spans="2:2" s="221" customFormat="1" ht="12.75" x14ac:dyDescent="0.2">
      <c r="B12259" s="1168"/>
    </row>
    <row r="12260" spans="2:2" s="221" customFormat="1" ht="12.75" x14ac:dyDescent="0.2">
      <c r="B12260" s="1168"/>
    </row>
    <row r="12261" spans="2:2" s="221" customFormat="1" ht="12.75" x14ac:dyDescent="0.2">
      <c r="B12261" s="1168"/>
    </row>
    <row r="12262" spans="2:2" s="221" customFormat="1" ht="12.75" x14ac:dyDescent="0.2">
      <c r="B12262" s="1168"/>
    </row>
    <row r="12263" spans="2:2" s="221" customFormat="1" ht="12.75" x14ac:dyDescent="0.2">
      <c r="B12263" s="1168"/>
    </row>
    <row r="12264" spans="2:2" s="221" customFormat="1" ht="12.75" x14ac:dyDescent="0.2">
      <c r="B12264" s="1168"/>
    </row>
    <row r="12265" spans="2:2" s="221" customFormat="1" ht="12.75" x14ac:dyDescent="0.2">
      <c r="B12265" s="1168"/>
    </row>
    <row r="12266" spans="2:2" s="221" customFormat="1" ht="12.75" x14ac:dyDescent="0.2">
      <c r="B12266" s="1168"/>
    </row>
    <row r="12267" spans="2:2" s="221" customFormat="1" ht="12.75" x14ac:dyDescent="0.2">
      <c r="B12267" s="1168"/>
    </row>
    <row r="12268" spans="2:2" s="221" customFormat="1" ht="12.75" x14ac:dyDescent="0.2">
      <c r="B12268" s="1168"/>
    </row>
    <row r="12269" spans="2:2" s="221" customFormat="1" ht="12.75" x14ac:dyDescent="0.2">
      <c r="B12269" s="1168"/>
    </row>
    <row r="12270" spans="2:2" s="221" customFormat="1" ht="12.75" x14ac:dyDescent="0.2">
      <c r="B12270" s="1168"/>
    </row>
    <row r="12271" spans="2:2" s="221" customFormat="1" ht="12.75" x14ac:dyDescent="0.2">
      <c r="B12271" s="1168"/>
    </row>
    <row r="12272" spans="2:2" s="221" customFormat="1" ht="12.75" x14ac:dyDescent="0.2">
      <c r="B12272" s="1168"/>
    </row>
    <row r="12273" spans="2:2" s="221" customFormat="1" ht="12.75" x14ac:dyDescent="0.2">
      <c r="B12273" s="1168"/>
    </row>
    <row r="12274" spans="2:2" s="221" customFormat="1" ht="12.75" x14ac:dyDescent="0.2">
      <c r="B12274" s="1168"/>
    </row>
    <row r="12275" spans="2:2" s="221" customFormat="1" ht="12.75" x14ac:dyDescent="0.2">
      <c r="B12275" s="1168"/>
    </row>
    <row r="12276" spans="2:2" s="221" customFormat="1" ht="12.75" x14ac:dyDescent="0.2">
      <c r="B12276" s="1168"/>
    </row>
    <row r="12277" spans="2:2" s="221" customFormat="1" ht="12.75" x14ac:dyDescent="0.2">
      <c r="B12277" s="1168"/>
    </row>
    <row r="12278" spans="2:2" s="221" customFormat="1" ht="12.75" x14ac:dyDescent="0.2">
      <c r="B12278" s="1168"/>
    </row>
    <row r="12279" spans="2:2" s="221" customFormat="1" ht="12.75" x14ac:dyDescent="0.2">
      <c r="B12279" s="1168"/>
    </row>
    <row r="12280" spans="2:2" s="221" customFormat="1" ht="12.75" x14ac:dyDescent="0.2">
      <c r="B12280" s="1168"/>
    </row>
    <row r="12281" spans="2:2" s="221" customFormat="1" ht="12.75" x14ac:dyDescent="0.2">
      <c r="B12281" s="1168"/>
    </row>
    <row r="12282" spans="2:2" s="221" customFormat="1" ht="12.75" x14ac:dyDescent="0.2">
      <c r="B12282" s="1168"/>
    </row>
    <row r="12283" spans="2:2" s="221" customFormat="1" ht="12.75" x14ac:dyDescent="0.2">
      <c r="B12283" s="1168"/>
    </row>
    <row r="12284" spans="2:2" s="221" customFormat="1" ht="12.75" x14ac:dyDescent="0.2">
      <c r="B12284" s="1168"/>
    </row>
    <row r="12285" spans="2:2" s="221" customFormat="1" ht="12.75" x14ac:dyDescent="0.2">
      <c r="B12285" s="1168"/>
    </row>
    <row r="12286" spans="2:2" s="221" customFormat="1" ht="12.75" x14ac:dyDescent="0.2">
      <c r="B12286" s="1168"/>
    </row>
    <row r="12287" spans="2:2" s="221" customFormat="1" ht="12.75" x14ac:dyDescent="0.2">
      <c r="B12287" s="1168"/>
    </row>
    <row r="12288" spans="2:2" s="221" customFormat="1" ht="12.75" x14ac:dyDescent="0.2">
      <c r="B12288" s="1168"/>
    </row>
    <row r="12289" spans="2:2" s="221" customFormat="1" ht="12.75" x14ac:dyDescent="0.2">
      <c r="B12289" s="1168"/>
    </row>
    <row r="12290" spans="2:2" s="221" customFormat="1" ht="12.75" x14ac:dyDescent="0.2">
      <c r="B12290" s="1168"/>
    </row>
    <row r="12291" spans="2:2" s="221" customFormat="1" ht="12.75" x14ac:dyDescent="0.2">
      <c r="B12291" s="1168"/>
    </row>
    <row r="12292" spans="2:2" s="221" customFormat="1" ht="12.75" x14ac:dyDescent="0.2">
      <c r="B12292" s="1168"/>
    </row>
    <row r="12293" spans="2:2" s="221" customFormat="1" ht="12.75" x14ac:dyDescent="0.2">
      <c r="B12293" s="1168"/>
    </row>
    <row r="12294" spans="2:2" s="221" customFormat="1" ht="12.75" x14ac:dyDescent="0.2">
      <c r="B12294" s="1168"/>
    </row>
    <row r="12295" spans="2:2" s="221" customFormat="1" ht="12.75" x14ac:dyDescent="0.2">
      <c r="B12295" s="1168"/>
    </row>
    <row r="12296" spans="2:2" s="221" customFormat="1" ht="12.75" x14ac:dyDescent="0.2">
      <c r="B12296" s="1168"/>
    </row>
    <row r="12297" spans="2:2" s="221" customFormat="1" ht="12.75" x14ac:dyDescent="0.2">
      <c r="B12297" s="1168"/>
    </row>
    <row r="12298" spans="2:2" s="221" customFormat="1" ht="12.75" x14ac:dyDescent="0.2">
      <c r="B12298" s="1168"/>
    </row>
    <row r="12299" spans="2:2" s="221" customFormat="1" ht="12.75" x14ac:dyDescent="0.2">
      <c r="B12299" s="1168"/>
    </row>
    <row r="12300" spans="2:2" s="221" customFormat="1" ht="12.75" x14ac:dyDescent="0.2">
      <c r="B12300" s="1168"/>
    </row>
    <row r="12301" spans="2:2" s="221" customFormat="1" ht="12.75" x14ac:dyDescent="0.2">
      <c r="B12301" s="1168"/>
    </row>
    <row r="12302" spans="2:2" s="221" customFormat="1" ht="12.75" x14ac:dyDescent="0.2">
      <c r="B12302" s="1168"/>
    </row>
    <row r="12303" spans="2:2" s="221" customFormat="1" ht="12.75" x14ac:dyDescent="0.2">
      <c r="B12303" s="1168"/>
    </row>
    <row r="12304" spans="2:2" s="221" customFormat="1" ht="12.75" x14ac:dyDescent="0.2">
      <c r="B12304" s="1168"/>
    </row>
    <row r="12305" spans="2:2" s="221" customFormat="1" ht="12.75" x14ac:dyDescent="0.2">
      <c r="B12305" s="1168"/>
    </row>
    <row r="12306" spans="2:2" s="221" customFormat="1" ht="12.75" x14ac:dyDescent="0.2">
      <c r="B12306" s="1168"/>
    </row>
    <row r="12307" spans="2:2" s="221" customFormat="1" ht="12.75" x14ac:dyDescent="0.2">
      <c r="B12307" s="1168"/>
    </row>
    <row r="12308" spans="2:2" s="221" customFormat="1" ht="12.75" x14ac:dyDescent="0.2">
      <c r="B12308" s="1168"/>
    </row>
    <row r="12309" spans="2:2" s="221" customFormat="1" ht="12.75" x14ac:dyDescent="0.2">
      <c r="B12309" s="1168"/>
    </row>
    <row r="12310" spans="2:2" s="221" customFormat="1" ht="12.75" x14ac:dyDescent="0.2">
      <c r="B12310" s="1168"/>
    </row>
    <row r="12311" spans="2:2" s="221" customFormat="1" ht="12.75" x14ac:dyDescent="0.2">
      <c r="B12311" s="1168"/>
    </row>
    <row r="12312" spans="2:2" s="221" customFormat="1" ht="12.75" x14ac:dyDescent="0.2">
      <c r="B12312" s="1168"/>
    </row>
    <row r="12313" spans="2:2" s="221" customFormat="1" ht="12.75" x14ac:dyDescent="0.2">
      <c r="B12313" s="1168"/>
    </row>
    <row r="12314" spans="2:2" s="221" customFormat="1" ht="12.75" x14ac:dyDescent="0.2">
      <c r="B12314" s="1168"/>
    </row>
    <row r="12315" spans="2:2" s="221" customFormat="1" ht="12.75" x14ac:dyDescent="0.2">
      <c r="B12315" s="1168"/>
    </row>
    <row r="12316" spans="2:2" s="221" customFormat="1" ht="12.75" x14ac:dyDescent="0.2">
      <c r="B12316" s="1168"/>
    </row>
    <row r="12317" spans="2:2" s="221" customFormat="1" ht="12.75" x14ac:dyDescent="0.2">
      <c r="B12317" s="1168"/>
    </row>
    <row r="12318" spans="2:2" s="221" customFormat="1" ht="12.75" x14ac:dyDescent="0.2">
      <c r="B12318" s="1168"/>
    </row>
    <row r="12319" spans="2:2" s="221" customFormat="1" ht="12.75" x14ac:dyDescent="0.2">
      <c r="B12319" s="1168"/>
    </row>
    <row r="12320" spans="2:2" s="221" customFormat="1" ht="12.75" x14ac:dyDescent="0.2">
      <c r="B12320" s="1168"/>
    </row>
    <row r="12321" spans="2:2" s="221" customFormat="1" ht="12.75" x14ac:dyDescent="0.2">
      <c r="B12321" s="1168"/>
    </row>
    <row r="12322" spans="2:2" s="221" customFormat="1" ht="12.75" x14ac:dyDescent="0.2">
      <c r="B12322" s="1168"/>
    </row>
    <row r="12323" spans="2:2" s="221" customFormat="1" ht="12.75" x14ac:dyDescent="0.2">
      <c r="B12323" s="1168"/>
    </row>
    <row r="12324" spans="2:2" s="221" customFormat="1" ht="12.75" x14ac:dyDescent="0.2">
      <c r="B12324" s="1168"/>
    </row>
    <row r="12325" spans="2:2" s="221" customFormat="1" ht="12.75" x14ac:dyDescent="0.2">
      <c r="B12325" s="1168"/>
    </row>
    <row r="12326" spans="2:2" s="221" customFormat="1" ht="12.75" x14ac:dyDescent="0.2">
      <c r="B12326" s="1168"/>
    </row>
    <row r="12327" spans="2:2" s="221" customFormat="1" ht="12.75" x14ac:dyDescent="0.2">
      <c r="B12327" s="1168"/>
    </row>
    <row r="12328" spans="2:2" s="221" customFormat="1" ht="12.75" x14ac:dyDescent="0.2">
      <c r="B12328" s="1168"/>
    </row>
    <row r="12329" spans="2:2" s="221" customFormat="1" ht="12.75" x14ac:dyDescent="0.2">
      <c r="B12329" s="1168"/>
    </row>
    <row r="12330" spans="2:2" s="221" customFormat="1" ht="12.75" x14ac:dyDescent="0.2">
      <c r="B12330" s="1168"/>
    </row>
    <row r="12331" spans="2:2" s="221" customFormat="1" ht="12.75" x14ac:dyDescent="0.2">
      <c r="B12331" s="1168"/>
    </row>
    <row r="12332" spans="2:2" s="221" customFormat="1" ht="12.75" x14ac:dyDescent="0.2">
      <c r="B12332" s="1168"/>
    </row>
    <row r="12333" spans="2:2" s="221" customFormat="1" ht="12.75" x14ac:dyDescent="0.2">
      <c r="B12333" s="1168"/>
    </row>
    <row r="12334" spans="2:2" s="221" customFormat="1" ht="12.75" x14ac:dyDescent="0.2">
      <c r="B12334" s="1168"/>
    </row>
    <row r="12335" spans="2:2" s="221" customFormat="1" ht="12.75" x14ac:dyDescent="0.2">
      <c r="B12335" s="1168"/>
    </row>
    <row r="12336" spans="2:2" s="221" customFormat="1" ht="12.75" x14ac:dyDescent="0.2">
      <c r="B12336" s="1168"/>
    </row>
    <row r="12337" spans="2:2" s="221" customFormat="1" ht="12.75" x14ac:dyDescent="0.2">
      <c r="B12337" s="1168"/>
    </row>
    <row r="12338" spans="2:2" s="221" customFormat="1" ht="12.75" x14ac:dyDescent="0.2">
      <c r="B12338" s="1168"/>
    </row>
    <row r="12339" spans="2:2" s="221" customFormat="1" ht="12.75" x14ac:dyDescent="0.2">
      <c r="B12339" s="1168"/>
    </row>
    <row r="12340" spans="2:2" s="221" customFormat="1" ht="12.75" x14ac:dyDescent="0.2">
      <c r="B12340" s="1168"/>
    </row>
    <row r="12341" spans="2:2" s="221" customFormat="1" ht="12.75" x14ac:dyDescent="0.2">
      <c r="B12341" s="1168"/>
    </row>
    <row r="12342" spans="2:2" s="221" customFormat="1" ht="12.75" x14ac:dyDescent="0.2">
      <c r="B12342" s="1168"/>
    </row>
    <row r="12343" spans="2:2" s="221" customFormat="1" ht="12.75" x14ac:dyDescent="0.2">
      <c r="B12343" s="1168"/>
    </row>
    <row r="12344" spans="2:2" s="221" customFormat="1" ht="12.75" x14ac:dyDescent="0.2">
      <c r="B12344" s="1168"/>
    </row>
    <row r="12345" spans="2:2" s="221" customFormat="1" ht="12.75" x14ac:dyDescent="0.2">
      <c r="B12345" s="1168"/>
    </row>
    <row r="12346" spans="2:2" s="221" customFormat="1" ht="12.75" x14ac:dyDescent="0.2">
      <c r="B12346" s="1168"/>
    </row>
    <row r="12347" spans="2:2" s="221" customFormat="1" ht="12.75" x14ac:dyDescent="0.2">
      <c r="B12347" s="1168"/>
    </row>
    <row r="12348" spans="2:2" s="221" customFormat="1" ht="12.75" x14ac:dyDescent="0.2">
      <c r="B12348" s="1168"/>
    </row>
    <row r="12349" spans="2:2" s="221" customFormat="1" ht="12.75" x14ac:dyDescent="0.2">
      <c r="B12349" s="1168"/>
    </row>
    <row r="12350" spans="2:2" s="221" customFormat="1" ht="12.75" x14ac:dyDescent="0.2">
      <c r="B12350" s="1168"/>
    </row>
    <row r="12351" spans="2:2" s="221" customFormat="1" ht="12.75" x14ac:dyDescent="0.2">
      <c r="B12351" s="1168"/>
    </row>
    <row r="12352" spans="2:2" s="221" customFormat="1" ht="12.75" x14ac:dyDescent="0.2">
      <c r="B12352" s="1168"/>
    </row>
    <row r="12353" spans="2:2" s="221" customFormat="1" ht="12.75" x14ac:dyDescent="0.2">
      <c r="B12353" s="1168"/>
    </row>
    <row r="12354" spans="2:2" s="221" customFormat="1" ht="12.75" x14ac:dyDescent="0.2">
      <c r="B12354" s="1168"/>
    </row>
    <row r="12355" spans="2:2" s="221" customFormat="1" ht="12.75" x14ac:dyDescent="0.2">
      <c r="B12355" s="1168"/>
    </row>
    <row r="12356" spans="2:2" s="221" customFormat="1" ht="12.75" x14ac:dyDescent="0.2">
      <c r="B12356" s="1168"/>
    </row>
    <row r="12357" spans="2:2" s="221" customFormat="1" ht="12.75" x14ac:dyDescent="0.2">
      <c r="B12357" s="1168"/>
    </row>
    <row r="12358" spans="2:2" s="221" customFormat="1" ht="12.75" x14ac:dyDescent="0.2">
      <c r="B12358" s="1168"/>
    </row>
    <row r="12359" spans="2:2" s="221" customFormat="1" ht="12.75" x14ac:dyDescent="0.2">
      <c r="B12359" s="1168"/>
    </row>
    <row r="12360" spans="2:2" s="221" customFormat="1" ht="12.75" x14ac:dyDescent="0.2">
      <c r="B12360" s="1168"/>
    </row>
    <row r="12361" spans="2:2" s="221" customFormat="1" ht="12.75" x14ac:dyDescent="0.2">
      <c r="B12361" s="1168"/>
    </row>
    <row r="12362" spans="2:2" s="221" customFormat="1" ht="12.75" x14ac:dyDescent="0.2">
      <c r="B12362" s="1168"/>
    </row>
    <row r="12363" spans="2:2" s="221" customFormat="1" ht="12.75" x14ac:dyDescent="0.2">
      <c r="B12363" s="1168"/>
    </row>
    <row r="12364" spans="2:2" s="221" customFormat="1" ht="12.75" x14ac:dyDescent="0.2">
      <c r="B12364" s="1168"/>
    </row>
    <row r="12365" spans="2:2" s="221" customFormat="1" ht="12.75" x14ac:dyDescent="0.2">
      <c r="B12365" s="1168"/>
    </row>
    <row r="12366" spans="2:2" s="221" customFormat="1" ht="12.75" x14ac:dyDescent="0.2">
      <c r="B12366" s="1168"/>
    </row>
    <row r="12367" spans="2:2" s="221" customFormat="1" ht="12.75" x14ac:dyDescent="0.2">
      <c r="B12367" s="1168"/>
    </row>
    <row r="12368" spans="2:2" s="221" customFormat="1" ht="12.75" x14ac:dyDescent="0.2">
      <c r="B12368" s="1168"/>
    </row>
    <row r="12369" spans="2:2" s="221" customFormat="1" ht="12.75" x14ac:dyDescent="0.2">
      <c r="B12369" s="1168"/>
    </row>
    <row r="12370" spans="2:2" s="221" customFormat="1" ht="12.75" x14ac:dyDescent="0.2">
      <c r="B12370" s="1168"/>
    </row>
    <row r="12371" spans="2:2" s="221" customFormat="1" ht="12.75" x14ac:dyDescent="0.2">
      <c r="B12371" s="1168"/>
    </row>
    <row r="12372" spans="2:2" s="221" customFormat="1" ht="12.75" x14ac:dyDescent="0.2">
      <c r="B12372" s="1168"/>
    </row>
    <row r="12373" spans="2:2" s="221" customFormat="1" ht="12.75" x14ac:dyDescent="0.2">
      <c r="B12373" s="1168"/>
    </row>
    <row r="12374" spans="2:2" s="221" customFormat="1" ht="12.75" x14ac:dyDescent="0.2">
      <c r="B12374" s="1168"/>
    </row>
    <row r="12375" spans="2:2" s="221" customFormat="1" ht="12.75" x14ac:dyDescent="0.2">
      <c r="B12375" s="1168"/>
    </row>
    <row r="12376" spans="2:2" s="221" customFormat="1" ht="12.75" x14ac:dyDescent="0.2">
      <c r="B12376" s="1168"/>
    </row>
    <row r="12377" spans="2:2" s="221" customFormat="1" ht="12.75" x14ac:dyDescent="0.2">
      <c r="B12377" s="1168"/>
    </row>
    <row r="12378" spans="2:2" s="221" customFormat="1" ht="12.75" x14ac:dyDescent="0.2">
      <c r="B12378" s="1168"/>
    </row>
    <row r="12379" spans="2:2" s="221" customFormat="1" ht="12.75" x14ac:dyDescent="0.2">
      <c r="B12379" s="1168"/>
    </row>
    <row r="12380" spans="2:2" s="221" customFormat="1" ht="12.75" x14ac:dyDescent="0.2">
      <c r="B12380" s="1168"/>
    </row>
    <row r="12381" spans="2:2" s="221" customFormat="1" ht="12.75" x14ac:dyDescent="0.2">
      <c r="B12381" s="1168"/>
    </row>
    <row r="12382" spans="2:2" s="221" customFormat="1" ht="12.75" x14ac:dyDescent="0.2">
      <c r="B12382" s="1168"/>
    </row>
    <row r="12383" spans="2:2" s="221" customFormat="1" ht="12.75" x14ac:dyDescent="0.2">
      <c r="B12383" s="1168"/>
    </row>
    <row r="12384" spans="2:2" s="221" customFormat="1" ht="12.75" x14ac:dyDescent="0.2">
      <c r="B12384" s="1168"/>
    </row>
    <row r="12385" spans="2:2" s="221" customFormat="1" ht="12.75" x14ac:dyDescent="0.2">
      <c r="B12385" s="1168"/>
    </row>
    <row r="12386" spans="2:2" s="221" customFormat="1" ht="12.75" x14ac:dyDescent="0.2">
      <c r="B12386" s="1168"/>
    </row>
    <row r="12387" spans="2:2" s="221" customFormat="1" ht="12.75" x14ac:dyDescent="0.2">
      <c r="B12387" s="1168"/>
    </row>
    <row r="12388" spans="2:2" s="221" customFormat="1" ht="12.75" x14ac:dyDescent="0.2">
      <c r="B12388" s="1168"/>
    </row>
    <row r="12389" spans="2:2" s="221" customFormat="1" ht="12.75" x14ac:dyDescent="0.2">
      <c r="B12389" s="1168"/>
    </row>
    <row r="12390" spans="2:2" s="221" customFormat="1" ht="12.75" x14ac:dyDescent="0.2">
      <c r="B12390" s="1168"/>
    </row>
    <row r="12391" spans="2:2" s="221" customFormat="1" ht="12.75" x14ac:dyDescent="0.2">
      <c r="B12391" s="1168"/>
    </row>
    <row r="12392" spans="2:2" s="221" customFormat="1" ht="12.75" x14ac:dyDescent="0.2">
      <c r="B12392" s="1168"/>
    </row>
    <row r="12393" spans="2:2" s="221" customFormat="1" ht="12.75" x14ac:dyDescent="0.2">
      <c r="B12393" s="1168"/>
    </row>
    <row r="12394" spans="2:2" s="221" customFormat="1" ht="12.75" x14ac:dyDescent="0.2">
      <c r="B12394" s="1168"/>
    </row>
    <row r="12395" spans="2:2" s="221" customFormat="1" ht="12.75" x14ac:dyDescent="0.2">
      <c r="B12395" s="1168"/>
    </row>
    <row r="12396" spans="2:2" s="221" customFormat="1" ht="12.75" x14ac:dyDescent="0.2">
      <c r="B12396" s="1168"/>
    </row>
    <row r="12397" spans="2:2" s="221" customFormat="1" ht="12.75" x14ac:dyDescent="0.2">
      <c r="B12397" s="1168"/>
    </row>
    <row r="12398" spans="2:2" s="221" customFormat="1" ht="12.75" x14ac:dyDescent="0.2">
      <c r="B12398" s="1168"/>
    </row>
    <row r="12399" spans="2:2" s="221" customFormat="1" ht="12.75" x14ac:dyDescent="0.2">
      <c r="B12399" s="1168"/>
    </row>
    <row r="12400" spans="2:2" s="221" customFormat="1" ht="12.75" x14ac:dyDescent="0.2">
      <c r="B12400" s="1168"/>
    </row>
    <row r="12401" spans="2:2" s="221" customFormat="1" ht="12.75" x14ac:dyDescent="0.2">
      <c r="B12401" s="1168"/>
    </row>
    <row r="12402" spans="2:2" s="221" customFormat="1" ht="12.75" x14ac:dyDescent="0.2">
      <c r="B12402" s="1168"/>
    </row>
    <row r="12403" spans="2:2" s="221" customFormat="1" ht="12.75" x14ac:dyDescent="0.2">
      <c r="B12403" s="1168"/>
    </row>
    <row r="12404" spans="2:2" s="221" customFormat="1" ht="12.75" x14ac:dyDescent="0.2">
      <c r="B12404" s="1168"/>
    </row>
    <row r="12405" spans="2:2" s="221" customFormat="1" ht="12.75" x14ac:dyDescent="0.2">
      <c r="B12405" s="1168"/>
    </row>
    <row r="12406" spans="2:2" s="221" customFormat="1" ht="12.75" x14ac:dyDescent="0.2">
      <c r="B12406" s="1168"/>
    </row>
    <row r="12407" spans="2:2" s="221" customFormat="1" ht="12.75" x14ac:dyDescent="0.2">
      <c r="B12407" s="1168"/>
    </row>
    <row r="12408" spans="2:2" s="221" customFormat="1" ht="12.75" x14ac:dyDescent="0.2">
      <c r="B12408" s="1168"/>
    </row>
    <row r="12409" spans="2:2" s="221" customFormat="1" ht="12.75" x14ac:dyDescent="0.2">
      <c r="B12409" s="1168"/>
    </row>
    <row r="12410" spans="2:2" s="221" customFormat="1" ht="12.75" x14ac:dyDescent="0.2">
      <c r="B12410" s="1168"/>
    </row>
    <row r="12411" spans="2:2" s="221" customFormat="1" ht="12.75" x14ac:dyDescent="0.2">
      <c r="B12411" s="1168"/>
    </row>
    <row r="12412" spans="2:2" s="221" customFormat="1" ht="12.75" x14ac:dyDescent="0.2">
      <c r="B12412" s="1168"/>
    </row>
    <row r="12413" spans="2:2" s="221" customFormat="1" ht="12.75" x14ac:dyDescent="0.2">
      <c r="B12413" s="1168"/>
    </row>
    <row r="12414" spans="2:2" s="221" customFormat="1" ht="12.75" x14ac:dyDescent="0.2">
      <c r="B12414" s="1168"/>
    </row>
    <row r="12415" spans="2:2" s="221" customFormat="1" ht="12.75" x14ac:dyDescent="0.2">
      <c r="B12415" s="1168"/>
    </row>
    <row r="12416" spans="2:2" s="221" customFormat="1" ht="12.75" x14ac:dyDescent="0.2">
      <c r="B12416" s="1168"/>
    </row>
    <row r="12417" spans="2:2" s="221" customFormat="1" ht="12.75" x14ac:dyDescent="0.2">
      <c r="B12417" s="1168"/>
    </row>
    <row r="12418" spans="2:2" s="221" customFormat="1" ht="12.75" x14ac:dyDescent="0.2">
      <c r="B12418" s="1168"/>
    </row>
    <row r="12419" spans="2:2" s="221" customFormat="1" ht="12.75" x14ac:dyDescent="0.2">
      <c r="B12419" s="1168"/>
    </row>
    <row r="12420" spans="2:2" s="221" customFormat="1" ht="12.75" x14ac:dyDescent="0.2">
      <c r="B12420" s="1168"/>
    </row>
    <row r="12421" spans="2:2" s="221" customFormat="1" ht="12.75" x14ac:dyDescent="0.2">
      <c r="B12421" s="1168"/>
    </row>
    <row r="12422" spans="2:2" s="221" customFormat="1" ht="12.75" x14ac:dyDescent="0.2">
      <c r="B12422" s="1168"/>
    </row>
    <row r="12423" spans="2:2" s="221" customFormat="1" ht="12.75" x14ac:dyDescent="0.2">
      <c r="B12423" s="1168"/>
    </row>
    <row r="12424" spans="2:2" s="221" customFormat="1" ht="12.75" x14ac:dyDescent="0.2">
      <c r="B12424" s="1168"/>
    </row>
    <row r="12425" spans="2:2" s="221" customFormat="1" ht="12.75" x14ac:dyDescent="0.2">
      <c r="B12425" s="1168"/>
    </row>
    <row r="12426" spans="2:2" s="221" customFormat="1" ht="12.75" x14ac:dyDescent="0.2">
      <c r="B12426" s="1168"/>
    </row>
    <row r="12427" spans="2:2" s="221" customFormat="1" ht="12.75" x14ac:dyDescent="0.2">
      <c r="B12427" s="1168"/>
    </row>
    <row r="12428" spans="2:2" s="221" customFormat="1" ht="12.75" x14ac:dyDescent="0.2">
      <c r="B12428" s="1168"/>
    </row>
    <row r="12429" spans="2:2" s="221" customFormat="1" ht="12.75" x14ac:dyDescent="0.2">
      <c r="B12429" s="1168"/>
    </row>
    <row r="12430" spans="2:2" s="221" customFormat="1" ht="12.75" x14ac:dyDescent="0.2">
      <c r="B12430" s="1168"/>
    </row>
    <row r="12431" spans="2:2" s="221" customFormat="1" ht="12.75" x14ac:dyDescent="0.2">
      <c r="B12431" s="1168"/>
    </row>
    <row r="12432" spans="2:2" s="221" customFormat="1" ht="12.75" x14ac:dyDescent="0.2">
      <c r="B12432" s="1168"/>
    </row>
    <row r="12433" spans="2:2" s="221" customFormat="1" ht="12.75" x14ac:dyDescent="0.2">
      <c r="B12433" s="1168"/>
    </row>
    <row r="12434" spans="2:2" s="221" customFormat="1" ht="12.75" x14ac:dyDescent="0.2">
      <c r="B12434" s="1168"/>
    </row>
    <row r="12435" spans="2:2" s="221" customFormat="1" ht="12.75" x14ac:dyDescent="0.2">
      <c r="B12435" s="1168"/>
    </row>
    <row r="12436" spans="2:2" s="221" customFormat="1" ht="12.75" x14ac:dyDescent="0.2">
      <c r="B12436" s="1168"/>
    </row>
    <row r="12437" spans="2:2" s="221" customFormat="1" ht="12.75" x14ac:dyDescent="0.2">
      <c r="B12437" s="1168"/>
    </row>
    <row r="12438" spans="2:2" s="221" customFormat="1" ht="12.75" x14ac:dyDescent="0.2">
      <c r="B12438" s="1168"/>
    </row>
    <row r="12439" spans="2:2" s="221" customFormat="1" ht="12.75" x14ac:dyDescent="0.2">
      <c r="B12439" s="1168"/>
    </row>
    <row r="12440" spans="2:2" s="221" customFormat="1" ht="12.75" x14ac:dyDescent="0.2">
      <c r="B12440" s="1168"/>
    </row>
    <row r="12441" spans="2:2" s="221" customFormat="1" ht="12.75" x14ac:dyDescent="0.2">
      <c r="B12441" s="1168"/>
    </row>
    <row r="12442" spans="2:2" s="221" customFormat="1" ht="12.75" x14ac:dyDescent="0.2">
      <c r="B12442" s="1168"/>
    </row>
    <row r="12443" spans="2:2" s="221" customFormat="1" ht="12.75" x14ac:dyDescent="0.2">
      <c r="B12443" s="1168"/>
    </row>
    <row r="12444" spans="2:2" s="221" customFormat="1" ht="12.75" x14ac:dyDescent="0.2">
      <c r="B12444" s="1168"/>
    </row>
    <row r="12445" spans="2:2" s="221" customFormat="1" ht="12.75" x14ac:dyDescent="0.2">
      <c r="B12445" s="1168"/>
    </row>
    <row r="12446" spans="2:2" s="221" customFormat="1" ht="12.75" x14ac:dyDescent="0.2">
      <c r="B12446" s="1168"/>
    </row>
    <row r="12447" spans="2:2" s="221" customFormat="1" ht="12.75" x14ac:dyDescent="0.2">
      <c r="B12447" s="1168"/>
    </row>
    <row r="12448" spans="2:2" s="221" customFormat="1" ht="12.75" x14ac:dyDescent="0.2">
      <c r="B12448" s="1168"/>
    </row>
    <row r="12449" spans="2:2" s="221" customFormat="1" ht="12.75" x14ac:dyDescent="0.2">
      <c r="B12449" s="1168"/>
    </row>
    <row r="12450" spans="2:2" s="221" customFormat="1" ht="12.75" x14ac:dyDescent="0.2">
      <c r="B12450" s="1168"/>
    </row>
    <row r="12451" spans="2:2" s="221" customFormat="1" ht="12.75" x14ac:dyDescent="0.2">
      <c r="B12451" s="1168"/>
    </row>
    <row r="12452" spans="2:2" s="221" customFormat="1" ht="12.75" x14ac:dyDescent="0.2">
      <c r="B12452" s="1168"/>
    </row>
    <row r="12453" spans="2:2" s="221" customFormat="1" ht="12.75" x14ac:dyDescent="0.2">
      <c r="B12453" s="1168"/>
    </row>
    <row r="12454" spans="2:2" s="221" customFormat="1" ht="12.75" x14ac:dyDescent="0.2">
      <c r="B12454" s="1168"/>
    </row>
    <row r="12455" spans="2:2" s="221" customFormat="1" ht="12.75" x14ac:dyDescent="0.2">
      <c r="B12455" s="1168"/>
    </row>
    <row r="12456" spans="2:2" s="221" customFormat="1" ht="12.75" x14ac:dyDescent="0.2">
      <c r="B12456" s="1168"/>
    </row>
    <row r="12457" spans="2:2" s="221" customFormat="1" ht="12.75" x14ac:dyDescent="0.2">
      <c r="B12457" s="1168"/>
    </row>
    <row r="12458" spans="2:2" s="221" customFormat="1" ht="12.75" x14ac:dyDescent="0.2">
      <c r="B12458" s="1168"/>
    </row>
    <row r="12459" spans="2:2" s="221" customFormat="1" ht="12.75" x14ac:dyDescent="0.2">
      <c r="B12459" s="1168"/>
    </row>
    <row r="12460" spans="2:2" s="221" customFormat="1" ht="12.75" x14ac:dyDescent="0.2">
      <c r="B12460" s="1168"/>
    </row>
    <row r="12461" spans="2:2" s="221" customFormat="1" ht="12.75" x14ac:dyDescent="0.2">
      <c r="B12461" s="1168"/>
    </row>
    <row r="12462" spans="2:2" s="221" customFormat="1" ht="12.75" x14ac:dyDescent="0.2">
      <c r="B12462" s="1168"/>
    </row>
    <row r="12463" spans="2:2" s="221" customFormat="1" ht="12.75" x14ac:dyDescent="0.2">
      <c r="B12463" s="1168"/>
    </row>
    <row r="12464" spans="2:2" s="221" customFormat="1" ht="12.75" x14ac:dyDescent="0.2">
      <c r="B12464" s="1168"/>
    </row>
    <row r="12465" spans="2:2" s="221" customFormat="1" ht="12.75" x14ac:dyDescent="0.2">
      <c r="B12465" s="1168"/>
    </row>
    <row r="12466" spans="2:2" s="221" customFormat="1" ht="12.75" x14ac:dyDescent="0.2">
      <c r="B12466" s="1168"/>
    </row>
    <row r="12467" spans="2:2" s="221" customFormat="1" ht="12.75" x14ac:dyDescent="0.2">
      <c r="B12467" s="1168"/>
    </row>
    <row r="12468" spans="2:2" s="221" customFormat="1" ht="12.75" x14ac:dyDescent="0.2">
      <c r="B12468" s="1168"/>
    </row>
    <row r="12469" spans="2:2" s="221" customFormat="1" ht="12.75" x14ac:dyDescent="0.2">
      <c r="B12469" s="1168"/>
    </row>
    <row r="12470" spans="2:2" s="221" customFormat="1" ht="12.75" x14ac:dyDescent="0.2">
      <c r="B12470" s="1168"/>
    </row>
    <row r="12471" spans="2:2" s="221" customFormat="1" ht="12.75" x14ac:dyDescent="0.2">
      <c r="B12471" s="1168"/>
    </row>
    <row r="12472" spans="2:2" s="221" customFormat="1" ht="12.75" x14ac:dyDescent="0.2">
      <c r="B12472" s="1168"/>
    </row>
    <row r="12473" spans="2:2" s="221" customFormat="1" ht="12.75" x14ac:dyDescent="0.2">
      <c r="B12473" s="1168"/>
    </row>
    <row r="12474" spans="2:2" s="221" customFormat="1" ht="12.75" x14ac:dyDescent="0.2">
      <c r="B12474" s="1168"/>
    </row>
    <row r="12475" spans="2:2" s="221" customFormat="1" ht="12.75" x14ac:dyDescent="0.2">
      <c r="B12475" s="1168"/>
    </row>
    <row r="12476" spans="2:2" s="221" customFormat="1" ht="12.75" x14ac:dyDescent="0.2">
      <c r="B12476" s="1168"/>
    </row>
    <row r="12477" spans="2:2" s="221" customFormat="1" ht="12.75" x14ac:dyDescent="0.2">
      <c r="B12477" s="1168"/>
    </row>
    <row r="12478" spans="2:2" s="221" customFormat="1" ht="12.75" x14ac:dyDescent="0.2">
      <c r="B12478" s="1168"/>
    </row>
    <row r="12479" spans="2:2" s="221" customFormat="1" ht="12.75" x14ac:dyDescent="0.2">
      <c r="B12479" s="1168"/>
    </row>
    <row r="12480" spans="2:2" s="221" customFormat="1" ht="12.75" x14ac:dyDescent="0.2">
      <c r="B12480" s="1168"/>
    </row>
    <row r="12481" spans="2:2" s="221" customFormat="1" ht="12.75" x14ac:dyDescent="0.2">
      <c r="B12481" s="1168"/>
    </row>
    <row r="12482" spans="2:2" s="221" customFormat="1" ht="12.75" x14ac:dyDescent="0.2">
      <c r="B12482" s="1168"/>
    </row>
    <row r="12483" spans="2:2" s="221" customFormat="1" ht="12.75" x14ac:dyDescent="0.2">
      <c r="B12483" s="1168"/>
    </row>
    <row r="12484" spans="2:2" s="221" customFormat="1" ht="12.75" x14ac:dyDescent="0.2">
      <c r="B12484" s="1168"/>
    </row>
    <row r="12485" spans="2:2" s="221" customFormat="1" ht="12.75" x14ac:dyDescent="0.2">
      <c r="B12485" s="1168"/>
    </row>
    <row r="12486" spans="2:2" s="221" customFormat="1" ht="12.75" x14ac:dyDescent="0.2">
      <c r="B12486" s="1168"/>
    </row>
    <row r="12487" spans="2:2" s="221" customFormat="1" ht="12.75" x14ac:dyDescent="0.2">
      <c r="B12487" s="1168"/>
    </row>
    <row r="12488" spans="2:2" s="221" customFormat="1" ht="12.75" x14ac:dyDescent="0.2">
      <c r="B12488" s="1168"/>
    </row>
    <row r="12489" spans="2:2" s="221" customFormat="1" ht="12.75" x14ac:dyDescent="0.2">
      <c r="B12489" s="1168"/>
    </row>
    <row r="12490" spans="2:2" s="221" customFormat="1" ht="12.75" x14ac:dyDescent="0.2">
      <c r="B12490" s="1168"/>
    </row>
    <row r="12491" spans="2:2" s="221" customFormat="1" ht="12.75" x14ac:dyDescent="0.2">
      <c r="B12491" s="1168"/>
    </row>
    <row r="12492" spans="2:2" s="221" customFormat="1" ht="12.75" x14ac:dyDescent="0.2">
      <c r="B12492" s="1168"/>
    </row>
    <row r="12493" spans="2:2" s="221" customFormat="1" ht="12.75" x14ac:dyDescent="0.2">
      <c r="B12493" s="1168"/>
    </row>
    <row r="12494" spans="2:2" s="221" customFormat="1" ht="12.75" x14ac:dyDescent="0.2">
      <c r="B12494" s="1168"/>
    </row>
    <row r="12495" spans="2:2" s="221" customFormat="1" ht="12.75" x14ac:dyDescent="0.2">
      <c r="B12495" s="1168"/>
    </row>
    <row r="12496" spans="2:2" s="221" customFormat="1" ht="12.75" x14ac:dyDescent="0.2">
      <c r="B12496" s="1168"/>
    </row>
    <row r="12497" spans="2:2" s="221" customFormat="1" ht="12.75" x14ac:dyDescent="0.2">
      <c r="B12497" s="1168"/>
    </row>
    <row r="12498" spans="2:2" s="221" customFormat="1" ht="12.75" x14ac:dyDescent="0.2">
      <c r="B12498" s="1168"/>
    </row>
    <row r="12499" spans="2:2" s="221" customFormat="1" ht="12.75" x14ac:dyDescent="0.2">
      <c r="B12499" s="1168"/>
    </row>
    <row r="12500" spans="2:2" s="221" customFormat="1" ht="12.75" x14ac:dyDescent="0.2">
      <c r="B12500" s="1168"/>
    </row>
    <row r="12501" spans="2:2" s="221" customFormat="1" ht="12.75" x14ac:dyDescent="0.2">
      <c r="B12501" s="1168"/>
    </row>
    <row r="12502" spans="2:2" s="221" customFormat="1" ht="12.75" x14ac:dyDescent="0.2">
      <c r="B12502" s="1168"/>
    </row>
    <row r="12503" spans="2:2" s="221" customFormat="1" ht="12.75" x14ac:dyDescent="0.2">
      <c r="B12503" s="1168"/>
    </row>
    <row r="12504" spans="2:2" s="221" customFormat="1" ht="12.75" x14ac:dyDescent="0.2">
      <c r="B12504" s="1168"/>
    </row>
    <row r="12505" spans="2:2" s="221" customFormat="1" ht="12.75" x14ac:dyDescent="0.2">
      <c r="B12505" s="1168"/>
    </row>
    <row r="12506" spans="2:2" s="221" customFormat="1" ht="12.75" x14ac:dyDescent="0.2">
      <c r="B12506" s="1168"/>
    </row>
    <row r="12507" spans="2:2" s="221" customFormat="1" ht="12.75" x14ac:dyDescent="0.2">
      <c r="B12507" s="1168"/>
    </row>
    <row r="12508" spans="2:2" s="221" customFormat="1" ht="12.75" x14ac:dyDescent="0.2">
      <c r="B12508" s="1168"/>
    </row>
    <row r="12509" spans="2:2" s="221" customFormat="1" ht="12.75" x14ac:dyDescent="0.2">
      <c r="B12509" s="1168"/>
    </row>
    <row r="12510" spans="2:2" s="221" customFormat="1" ht="12.75" x14ac:dyDescent="0.2">
      <c r="B12510" s="1168"/>
    </row>
    <row r="12511" spans="2:2" s="221" customFormat="1" ht="12.75" x14ac:dyDescent="0.2">
      <c r="B12511" s="1168"/>
    </row>
    <row r="12512" spans="2:2" s="221" customFormat="1" ht="12.75" x14ac:dyDescent="0.2">
      <c r="B12512" s="1168"/>
    </row>
    <row r="12513" spans="2:2" s="221" customFormat="1" ht="12.75" x14ac:dyDescent="0.2">
      <c r="B12513" s="1168"/>
    </row>
    <row r="12514" spans="2:2" s="221" customFormat="1" ht="12.75" x14ac:dyDescent="0.2">
      <c r="B12514" s="1168"/>
    </row>
    <row r="12515" spans="2:2" s="221" customFormat="1" ht="12.75" x14ac:dyDescent="0.2">
      <c r="B12515" s="1168"/>
    </row>
    <row r="12516" spans="2:2" s="221" customFormat="1" ht="12.75" x14ac:dyDescent="0.2">
      <c r="B12516" s="1168"/>
    </row>
    <row r="12517" spans="2:2" s="221" customFormat="1" ht="12.75" x14ac:dyDescent="0.2">
      <c r="B12517" s="1168"/>
    </row>
    <row r="12518" spans="2:2" s="221" customFormat="1" ht="12.75" x14ac:dyDescent="0.2">
      <c r="B12518" s="1168"/>
    </row>
    <row r="12519" spans="2:2" s="221" customFormat="1" ht="12.75" x14ac:dyDescent="0.2">
      <c r="B12519" s="1168"/>
    </row>
    <row r="12520" spans="2:2" s="221" customFormat="1" ht="12.75" x14ac:dyDescent="0.2">
      <c r="B12520" s="1168"/>
    </row>
    <row r="12521" spans="2:2" s="221" customFormat="1" ht="12.75" x14ac:dyDescent="0.2">
      <c r="B12521" s="1168"/>
    </row>
    <row r="12522" spans="2:2" s="221" customFormat="1" ht="12.75" x14ac:dyDescent="0.2">
      <c r="B12522" s="1168"/>
    </row>
    <row r="12523" spans="2:2" s="221" customFormat="1" ht="12.75" x14ac:dyDescent="0.2">
      <c r="B12523" s="1168"/>
    </row>
    <row r="12524" spans="2:2" s="221" customFormat="1" ht="12.75" x14ac:dyDescent="0.2">
      <c r="B12524" s="1168"/>
    </row>
    <row r="12525" spans="2:2" s="221" customFormat="1" ht="12.75" x14ac:dyDescent="0.2">
      <c r="B12525" s="1168"/>
    </row>
    <row r="12526" spans="2:2" s="221" customFormat="1" ht="12.75" x14ac:dyDescent="0.2">
      <c r="B12526" s="1168"/>
    </row>
    <row r="12527" spans="2:2" s="221" customFormat="1" ht="12.75" x14ac:dyDescent="0.2">
      <c r="B12527" s="1168"/>
    </row>
    <row r="12528" spans="2:2" s="221" customFormat="1" ht="12.75" x14ac:dyDescent="0.2">
      <c r="B12528" s="1168"/>
    </row>
    <row r="12529" spans="2:2" s="221" customFormat="1" ht="12.75" x14ac:dyDescent="0.2">
      <c r="B12529" s="1168"/>
    </row>
    <row r="12530" spans="2:2" s="221" customFormat="1" ht="12.75" x14ac:dyDescent="0.2">
      <c r="B12530" s="1168"/>
    </row>
    <row r="12531" spans="2:2" s="221" customFormat="1" ht="12.75" x14ac:dyDescent="0.2">
      <c r="B12531" s="1168"/>
    </row>
    <row r="12532" spans="2:2" s="221" customFormat="1" ht="12.75" x14ac:dyDescent="0.2">
      <c r="B12532" s="1168"/>
    </row>
    <row r="12533" spans="2:2" s="221" customFormat="1" ht="12.75" x14ac:dyDescent="0.2">
      <c r="B12533" s="1168"/>
    </row>
    <row r="12534" spans="2:2" s="221" customFormat="1" ht="12.75" x14ac:dyDescent="0.2">
      <c r="B12534" s="1168"/>
    </row>
    <row r="12535" spans="2:2" s="221" customFormat="1" ht="12.75" x14ac:dyDescent="0.2">
      <c r="B12535" s="1168"/>
    </row>
    <row r="12536" spans="2:2" s="221" customFormat="1" ht="12.75" x14ac:dyDescent="0.2">
      <c r="B12536" s="1168"/>
    </row>
    <row r="12537" spans="2:2" s="221" customFormat="1" ht="12.75" x14ac:dyDescent="0.2">
      <c r="B12537" s="1168"/>
    </row>
    <row r="12538" spans="2:2" s="221" customFormat="1" ht="12.75" x14ac:dyDescent="0.2">
      <c r="B12538" s="1168"/>
    </row>
    <row r="12539" spans="2:2" s="221" customFormat="1" ht="12.75" x14ac:dyDescent="0.2">
      <c r="B12539" s="1168"/>
    </row>
    <row r="12540" spans="2:2" s="221" customFormat="1" ht="12.75" x14ac:dyDescent="0.2">
      <c r="B12540" s="1168"/>
    </row>
    <row r="12541" spans="2:2" s="221" customFormat="1" ht="12.75" x14ac:dyDescent="0.2">
      <c r="B12541" s="1168"/>
    </row>
    <row r="12542" spans="2:2" s="221" customFormat="1" ht="12.75" x14ac:dyDescent="0.2">
      <c r="B12542" s="1168"/>
    </row>
    <row r="12543" spans="2:2" s="221" customFormat="1" ht="12.75" x14ac:dyDescent="0.2">
      <c r="B12543" s="1168"/>
    </row>
    <row r="12544" spans="2:2" s="221" customFormat="1" ht="12.75" x14ac:dyDescent="0.2">
      <c r="B12544" s="1168"/>
    </row>
    <row r="12545" spans="2:2" s="221" customFormat="1" ht="12.75" x14ac:dyDescent="0.2">
      <c r="B12545" s="1168"/>
    </row>
    <row r="12546" spans="2:2" s="221" customFormat="1" ht="12.75" x14ac:dyDescent="0.2">
      <c r="B12546" s="1168"/>
    </row>
    <row r="12547" spans="2:2" s="221" customFormat="1" ht="12.75" x14ac:dyDescent="0.2">
      <c r="B12547" s="1168"/>
    </row>
    <row r="12548" spans="2:2" s="221" customFormat="1" ht="12.75" x14ac:dyDescent="0.2">
      <c r="B12548" s="1168"/>
    </row>
    <row r="12549" spans="2:2" s="221" customFormat="1" ht="12.75" x14ac:dyDescent="0.2">
      <c r="B12549" s="1168"/>
    </row>
    <row r="12550" spans="2:2" s="221" customFormat="1" ht="12.75" x14ac:dyDescent="0.2">
      <c r="B12550" s="1168"/>
    </row>
    <row r="12551" spans="2:2" s="221" customFormat="1" ht="12.75" x14ac:dyDescent="0.2">
      <c r="B12551" s="1168"/>
    </row>
    <row r="12552" spans="2:2" s="221" customFormat="1" ht="12.75" x14ac:dyDescent="0.2">
      <c r="B12552" s="1168"/>
    </row>
    <row r="12553" spans="2:2" s="221" customFormat="1" ht="12.75" x14ac:dyDescent="0.2">
      <c r="B12553" s="1168"/>
    </row>
    <row r="12554" spans="2:2" s="221" customFormat="1" ht="12.75" x14ac:dyDescent="0.2">
      <c r="B12554" s="1168"/>
    </row>
    <row r="12555" spans="2:2" s="221" customFormat="1" ht="12.75" x14ac:dyDescent="0.2">
      <c r="B12555" s="1168"/>
    </row>
    <row r="12556" spans="2:2" s="221" customFormat="1" ht="12.75" x14ac:dyDescent="0.2">
      <c r="B12556" s="1168"/>
    </row>
    <row r="12557" spans="2:2" s="221" customFormat="1" ht="12.75" x14ac:dyDescent="0.2">
      <c r="B12557" s="1168"/>
    </row>
    <row r="12558" spans="2:2" s="221" customFormat="1" ht="12.75" x14ac:dyDescent="0.2">
      <c r="B12558" s="1168"/>
    </row>
    <row r="12559" spans="2:2" s="221" customFormat="1" ht="12.75" x14ac:dyDescent="0.2">
      <c r="B12559" s="1168"/>
    </row>
    <row r="12560" spans="2:2" s="221" customFormat="1" ht="12.75" x14ac:dyDescent="0.2">
      <c r="B12560" s="1168"/>
    </row>
    <row r="12561" spans="2:2" s="221" customFormat="1" ht="12.75" x14ac:dyDescent="0.2">
      <c r="B12561" s="1168"/>
    </row>
    <row r="12562" spans="2:2" s="221" customFormat="1" ht="12.75" x14ac:dyDescent="0.2">
      <c r="B12562" s="1168"/>
    </row>
    <row r="12563" spans="2:2" s="221" customFormat="1" ht="12.75" x14ac:dyDescent="0.2">
      <c r="B12563" s="1168"/>
    </row>
    <row r="12564" spans="2:2" s="221" customFormat="1" ht="12.75" x14ac:dyDescent="0.2">
      <c r="B12564" s="1168"/>
    </row>
    <row r="12565" spans="2:2" s="221" customFormat="1" ht="12.75" x14ac:dyDescent="0.2">
      <c r="B12565" s="1168"/>
    </row>
    <row r="12566" spans="2:2" s="221" customFormat="1" ht="12.75" x14ac:dyDescent="0.2">
      <c r="B12566" s="1168"/>
    </row>
    <row r="12567" spans="2:2" s="221" customFormat="1" ht="12.75" x14ac:dyDescent="0.2">
      <c r="B12567" s="1168"/>
    </row>
    <row r="12568" spans="2:2" s="221" customFormat="1" ht="12.75" x14ac:dyDescent="0.2">
      <c r="B12568" s="1168"/>
    </row>
    <row r="12569" spans="2:2" s="221" customFormat="1" ht="12.75" x14ac:dyDescent="0.2">
      <c r="B12569" s="1168"/>
    </row>
    <row r="12570" spans="2:2" s="221" customFormat="1" ht="12.75" x14ac:dyDescent="0.2">
      <c r="B12570" s="1168"/>
    </row>
    <row r="12571" spans="2:2" s="221" customFormat="1" ht="12.75" x14ac:dyDescent="0.2">
      <c r="B12571" s="1168"/>
    </row>
    <row r="12572" spans="2:2" s="221" customFormat="1" ht="12.75" x14ac:dyDescent="0.2">
      <c r="B12572" s="1168"/>
    </row>
    <row r="12573" spans="2:2" s="221" customFormat="1" ht="12.75" x14ac:dyDescent="0.2">
      <c r="B12573" s="1168"/>
    </row>
    <row r="12574" spans="2:2" s="221" customFormat="1" ht="12.75" x14ac:dyDescent="0.2">
      <c r="B12574" s="1168"/>
    </row>
    <row r="12575" spans="2:2" s="221" customFormat="1" ht="12.75" x14ac:dyDescent="0.2">
      <c r="B12575" s="1168"/>
    </row>
    <row r="12576" spans="2:2" s="221" customFormat="1" ht="12.75" x14ac:dyDescent="0.2">
      <c r="B12576" s="1168"/>
    </row>
    <row r="12577" spans="2:2" s="221" customFormat="1" ht="12.75" x14ac:dyDescent="0.2">
      <c r="B12577" s="1168"/>
    </row>
    <row r="12578" spans="2:2" s="221" customFormat="1" ht="12.75" x14ac:dyDescent="0.2">
      <c r="B12578" s="1168"/>
    </row>
    <row r="12579" spans="2:2" s="221" customFormat="1" ht="12.75" x14ac:dyDescent="0.2">
      <c r="B12579" s="1168"/>
    </row>
    <row r="12580" spans="2:2" s="221" customFormat="1" ht="12.75" x14ac:dyDescent="0.2">
      <c r="B12580" s="1168"/>
    </row>
    <row r="12581" spans="2:2" s="221" customFormat="1" ht="12.75" x14ac:dyDescent="0.2">
      <c r="B12581" s="1168"/>
    </row>
    <row r="12582" spans="2:2" s="221" customFormat="1" ht="12.75" x14ac:dyDescent="0.2">
      <c r="B12582" s="1168"/>
    </row>
    <row r="12583" spans="2:2" s="221" customFormat="1" ht="12.75" x14ac:dyDescent="0.2">
      <c r="B12583" s="1168"/>
    </row>
    <row r="12584" spans="2:2" s="221" customFormat="1" ht="12.75" x14ac:dyDescent="0.2">
      <c r="B12584" s="1168"/>
    </row>
    <row r="12585" spans="2:2" s="221" customFormat="1" ht="12.75" x14ac:dyDescent="0.2">
      <c r="B12585" s="1168"/>
    </row>
    <row r="12586" spans="2:2" s="221" customFormat="1" ht="12.75" x14ac:dyDescent="0.2">
      <c r="B12586" s="1168"/>
    </row>
    <row r="12587" spans="2:2" s="221" customFormat="1" ht="12.75" x14ac:dyDescent="0.2">
      <c r="B12587" s="1168"/>
    </row>
    <row r="12588" spans="2:2" s="221" customFormat="1" ht="12.75" x14ac:dyDescent="0.2">
      <c r="B12588" s="1168"/>
    </row>
    <row r="12589" spans="2:2" s="221" customFormat="1" ht="12.75" x14ac:dyDescent="0.2">
      <c r="B12589" s="1168"/>
    </row>
    <row r="12590" spans="2:2" s="221" customFormat="1" ht="12.75" x14ac:dyDescent="0.2">
      <c r="B12590" s="1168"/>
    </row>
    <row r="12591" spans="2:2" s="221" customFormat="1" ht="12.75" x14ac:dyDescent="0.2">
      <c r="B12591" s="1168"/>
    </row>
    <row r="12592" spans="2:2" s="221" customFormat="1" ht="12.75" x14ac:dyDescent="0.2">
      <c r="B12592" s="1168"/>
    </row>
    <row r="12593" spans="2:2" s="221" customFormat="1" ht="12.75" x14ac:dyDescent="0.2">
      <c r="B12593" s="1168"/>
    </row>
    <row r="12594" spans="2:2" s="221" customFormat="1" ht="12.75" x14ac:dyDescent="0.2">
      <c r="B12594" s="1168"/>
    </row>
    <row r="12595" spans="2:2" s="221" customFormat="1" ht="12.75" x14ac:dyDescent="0.2">
      <c r="B12595" s="1168"/>
    </row>
    <row r="12596" spans="2:2" s="221" customFormat="1" ht="12.75" x14ac:dyDescent="0.2">
      <c r="B12596" s="1168"/>
    </row>
    <row r="12597" spans="2:2" s="221" customFormat="1" ht="12.75" x14ac:dyDescent="0.2">
      <c r="B12597" s="1168"/>
    </row>
    <row r="12598" spans="2:2" s="221" customFormat="1" ht="12.75" x14ac:dyDescent="0.2">
      <c r="B12598" s="1168"/>
    </row>
    <row r="12599" spans="2:2" s="221" customFormat="1" ht="12.75" x14ac:dyDescent="0.2">
      <c r="B12599" s="1168"/>
    </row>
    <row r="12600" spans="2:2" s="221" customFormat="1" ht="12.75" x14ac:dyDescent="0.2">
      <c r="B12600" s="1168"/>
    </row>
    <row r="12601" spans="2:2" s="221" customFormat="1" ht="12.75" x14ac:dyDescent="0.2">
      <c r="B12601" s="1168"/>
    </row>
    <row r="12602" spans="2:2" s="221" customFormat="1" ht="12.75" x14ac:dyDescent="0.2">
      <c r="B12602" s="1168"/>
    </row>
    <row r="12603" spans="2:2" s="221" customFormat="1" ht="12.75" x14ac:dyDescent="0.2">
      <c r="B12603" s="1168"/>
    </row>
    <row r="12604" spans="2:2" s="221" customFormat="1" ht="12.75" x14ac:dyDescent="0.2">
      <c r="B12604" s="1168"/>
    </row>
    <row r="12605" spans="2:2" s="221" customFormat="1" ht="12.75" x14ac:dyDescent="0.2">
      <c r="B12605" s="1168"/>
    </row>
    <row r="12606" spans="2:2" s="221" customFormat="1" ht="12.75" x14ac:dyDescent="0.2">
      <c r="B12606" s="1168"/>
    </row>
    <row r="12607" spans="2:2" s="221" customFormat="1" ht="12.75" x14ac:dyDescent="0.2">
      <c r="B12607" s="1168"/>
    </row>
    <row r="12608" spans="2:2" s="221" customFormat="1" ht="12.75" x14ac:dyDescent="0.2">
      <c r="B12608" s="1168"/>
    </row>
    <row r="12609" spans="2:2" s="221" customFormat="1" ht="12.75" x14ac:dyDescent="0.2">
      <c r="B12609" s="1168"/>
    </row>
    <row r="12610" spans="2:2" s="221" customFormat="1" ht="12.75" x14ac:dyDescent="0.2">
      <c r="B12610" s="1168"/>
    </row>
    <row r="12611" spans="2:2" s="221" customFormat="1" ht="12.75" x14ac:dyDescent="0.2">
      <c r="B12611" s="1168"/>
    </row>
    <row r="12612" spans="2:2" s="221" customFormat="1" ht="12.75" x14ac:dyDescent="0.2">
      <c r="B12612" s="1168"/>
    </row>
    <row r="12613" spans="2:2" s="221" customFormat="1" ht="12.75" x14ac:dyDescent="0.2">
      <c r="B12613" s="1168"/>
    </row>
    <row r="12614" spans="2:2" s="221" customFormat="1" ht="12.75" x14ac:dyDescent="0.2">
      <c r="B12614" s="1168"/>
    </row>
    <row r="12615" spans="2:2" s="221" customFormat="1" ht="12.75" x14ac:dyDescent="0.2">
      <c r="B12615" s="1168"/>
    </row>
    <row r="12616" spans="2:2" s="221" customFormat="1" ht="12.75" x14ac:dyDescent="0.2">
      <c r="B12616" s="1168"/>
    </row>
    <row r="12617" spans="2:2" s="221" customFormat="1" ht="12.75" x14ac:dyDescent="0.2">
      <c r="B12617" s="1168"/>
    </row>
    <row r="12618" spans="2:2" s="221" customFormat="1" ht="12.75" x14ac:dyDescent="0.2">
      <c r="B12618" s="1168"/>
    </row>
    <row r="12619" spans="2:2" s="221" customFormat="1" ht="12.75" x14ac:dyDescent="0.2">
      <c r="B12619" s="1168"/>
    </row>
    <row r="12620" spans="2:2" s="221" customFormat="1" ht="12.75" x14ac:dyDescent="0.2">
      <c r="B12620" s="1168"/>
    </row>
    <row r="12621" spans="2:2" s="221" customFormat="1" ht="12.75" x14ac:dyDescent="0.2">
      <c r="B12621" s="1168"/>
    </row>
    <row r="12622" spans="2:2" s="221" customFormat="1" ht="12.75" x14ac:dyDescent="0.2">
      <c r="B12622" s="1168"/>
    </row>
    <row r="12623" spans="2:2" s="221" customFormat="1" ht="12.75" x14ac:dyDescent="0.2">
      <c r="B12623" s="1168"/>
    </row>
    <row r="12624" spans="2:2" s="221" customFormat="1" ht="12.75" x14ac:dyDescent="0.2">
      <c r="B12624" s="1168"/>
    </row>
    <row r="12625" spans="2:2" s="221" customFormat="1" ht="12.75" x14ac:dyDescent="0.2">
      <c r="B12625" s="1168"/>
    </row>
    <row r="12626" spans="2:2" s="221" customFormat="1" ht="12.75" x14ac:dyDescent="0.2">
      <c r="B12626" s="1168"/>
    </row>
    <row r="12627" spans="2:2" s="221" customFormat="1" ht="12.75" x14ac:dyDescent="0.2">
      <c r="B12627" s="1168"/>
    </row>
    <row r="12628" spans="2:2" s="221" customFormat="1" ht="12.75" x14ac:dyDescent="0.2">
      <c r="B12628" s="1168"/>
    </row>
    <row r="12629" spans="2:2" s="221" customFormat="1" ht="12.75" x14ac:dyDescent="0.2">
      <c r="B12629" s="1168"/>
    </row>
    <row r="12630" spans="2:2" s="221" customFormat="1" ht="12.75" x14ac:dyDescent="0.2">
      <c r="B12630" s="1168"/>
    </row>
    <row r="12631" spans="2:2" s="221" customFormat="1" ht="12.75" x14ac:dyDescent="0.2">
      <c r="B12631" s="1168"/>
    </row>
    <row r="12632" spans="2:2" s="221" customFormat="1" ht="12.75" x14ac:dyDescent="0.2">
      <c r="B12632" s="1168"/>
    </row>
    <row r="12633" spans="2:2" s="221" customFormat="1" ht="12.75" x14ac:dyDescent="0.2">
      <c r="B12633" s="1168"/>
    </row>
    <row r="12634" spans="2:2" s="221" customFormat="1" ht="12.75" x14ac:dyDescent="0.2">
      <c r="B12634" s="1168"/>
    </row>
    <row r="12635" spans="2:2" s="221" customFormat="1" ht="12.75" x14ac:dyDescent="0.2">
      <c r="B12635" s="1168"/>
    </row>
    <row r="12636" spans="2:2" s="221" customFormat="1" ht="12.75" x14ac:dyDescent="0.2">
      <c r="B12636" s="1168"/>
    </row>
    <row r="12637" spans="2:2" s="221" customFormat="1" ht="12.75" x14ac:dyDescent="0.2">
      <c r="B12637" s="1168"/>
    </row>
    <row r="12638" spans="2:2" s="221" customFormat="1" ht="12.75" x14ac:dyDescent="0.2">
      <c r="B12638" s="1168"/>
    </row>
    <row r="12639" spans="2:2" s="221" customFormat="1" ht="12.75" x14ac:dyDescent="0.2">
      <c r="B12639" s="1168"/>
    </row>
    <row r="12640" spans="2:2" s="221" customFormat="1" ht="12.75" x14ac:dyDescent="0.2">
      <c r="B12640" s="1168"/>
    </row>
    <row r="12641" spans="2:2" s="221" customFormat="1" ht="12.75" x14ac:dyDescent="0.2">
      <c r="B12641" s="1168"/>
    </row>
    <row r="12642" spans="2:2" s="221" customFormat="1" ht="12.75" x14ac:dyDescent="0.2">
      <c r="B12642" s="1168"/>
    </row>
    <row r="12643" spans="2:2" s="221" customFormat="1" ht="12.75" x14ac:dyDescent="0.2">
      <c r="B12643" s="1168"/>
    </row>
    <row r="12644" spans="2:2" s="221" customFormat="1" ht="12.75" x14ac:dyDescent="0.2">
      <c r="B12644" s="1168"/>
    </row>
    <row r="12645" spans="2:2" s="221" customFormat="1" ht="12.75" x14ac:dyDescent="0.2">
      <c r="B12645" s="1168"/>
    </row>
    <row r="12646" spans="2:2" s="221" customFormat="1" ht="12.75" x14ac:dyDescent="0.2">
      <c r="B12646" s="1168"/>
    </row>
    <row r="12647" spans="2:2" s="221" customFormat="1" ht="12.75" x14ac:dyDescent="0.2">
      <c r="B12647" s="1168"/>
    </row>
    <row r="12648" spans="2:2" s="221" customFormat="1" ht="12.75" x14ac:dyDescent="0.2">
      <c r="B12648" s="1168"/>
    </row>
    <row r="12649" spans="2:2" s="221" customFormat="1" ht="12.75" x14ac:dyDescent="0.2">
      <c r="B12649" s="1168"/>
    </row>
    <row r="12650" spans="2:2" s="221" customFormat="1" ht="12.75" x14ac:dyDescent="0.2">
      <c r="B12650" s="1168"/>
    </row>
    <row r="12651" spans="2:2" s="221" customFormat="1" ht="12.75" x14ac:dyDescent="0.2">
      <c r="B12651" s="1168"/>
    </row>
    <row r="12652" spans="2:2" s="221" customFormat="1" ht="12.75" x14ac:dyDescent="0.2">
      <c r="B12652" s="1168"/>
    </row>
    <row r="12653" spans="2:2" s="221" customFormat="1" ht="12.75" x14ac:dyDescent="0.2">
      <c r="B12653" s="1168"/>
    </row>
    <row r="12654" spans="2:2" s="221" customFormat="1" ht="12.75" x14ac:dyDescent="0.2">
      <c r="B12654" s="1168"/>
    </row>
    <row r="12655" spans="2:2" s="221" customFormat="1" ht="12.75" x14ac:dyDescent="0.2">
      <c r="B12655" s="1168"/>
    </row>
    <row r="12656" spans="2:2" s="221" customFormat="1" ht="12.75" x14ac:dyDescent="0.2">
      <c r="B12656" s="1168"/>
    </row>
    <row r="12657" spans="2:2" s="221" customFormat="1" ht="12.75" x14ac:dyDescent="0.2">
      <c r="B12657" s="1168"/>
    </row>
    <row r="12658" spans="2:2" s="221" customFormat="1" ht="12.75" x14ac:dyDescent="0.2">
      <c r="B12658" s="1168"/>
    </row>
    <row r="12659" spans="2:2" s="221" customFormat="1" ht="12.75" x14ac:dyDescent="0.2">
      <c r="B12659" s="1168"/>
    </row>
    <row r="12660" spans="2:2" s="221" customFormat="1" ht="12.75" x14ac:dyDescent="0.2">
      <c r="B12660" s="1168"/>
    </row>
    <row r="12661" spans="2:2" s="221" customFormat="1" ht="12.75" x14ac:dyDescent="0.2">
      <c r="B12661" s="1168"/>
    </row>
    <row r="12662" spans="2:2" s="221" customFormat="1" ht="12.75" x14ac:dyDescent="0.2">
      <c r="B12662" s="1168"/>
    </row>
    <row r="12663" spans="2:2" s="221" customFormat="1" ht="12.75" x14ac:dyDescent="0.2">
      <c r="B12663" s="1168"/>
    </row>
    <row r="12664" spans="2:2" s="221" customFormat="1" ht="12.75" x14ac:dyDescent="0.2">
      <c r="B12664" s="1168"/>
    </row>
    <row r="12665" spans="2:2" s="221" customFormat="1" ht="12.75" x14ac:dyDescent="0.2">
      <c r="B12665" s="1168"/>
    </row>
    <row r="12666" spans="2:2" s="221" customFormat="1" ht="12.75" x14ac:dyDescent="0.2">
      <c r="B12666" s="1168"/>
    </row>
    <row r="12667" spans="2:2" s="221" customFormat="1" ht="12.75" x14ac:dyDescent="0.2">
      <c r="B12667" s="1168"/>
    </row>
    <row r="12668" spans="2:2" s="221" customFormat="1" ht="12.75" x14ac:dyDescent="0.2">
      <c r="B12668" s="1168"/>
    </row>
    <row r="12669" spans="2:2" s="221" customFormat="1" ht="12.75" x14ac:dyDescent="0.2">
      <c r="B12669" s="1168"/>
    </row>
    <row r="12670" spans="2:2" s="221" customFormat="1" ht="12.75" x14ac:dyDescent="0.2">
      <c r="B12670" s="1168"/>
    </row>
    <row r="12671" spans="2:2" s="221" customFormat="1" ht="12.75" x14ac:dyDescent="0.2">
      <c r="B12671" s="1168"/>
    </row>
    <row r="12672" spans="2:2" s="221" customFormat="1" ht="12.75" x14ac:dyDescent="0.2">
      <c r="B12672" s="1168"/>
    </row>
    <row r="12673" spans="2:2" s="221" customFormat="1" ht="12.75" x14ac:dyDescent="0.2">
      <c r="B12673" s="1168"/>
    </row>
    <row r="12674" spans="2:2" s="221" customFormat="1" ht="12.75" x14ac:dyDescent="0.2">
      <c r="B12674" s="1168"/>
    </row>
    <row r="12675" spans="2:2" s="221" customFormat="1" ht="12.75" x14ac:dyDescent="0.2">
      <c r="B12675" s="1168"/>
    </row>
    <row r="12676" spans="2:2" s="221" customFormat="1" ht="12.75" x14ac:dyDescent="0.2">
      <c r="B12676" s="1168"/>
    </row>
    <row r="12677" spans="2:2" s="221" customFormat="1" ht="12.75" x14ac:dyDescent="0.2">
      <c r="B12677" s="1168"/>
    </row>
    <row r="12678" spans="2:2" s="221" customFormat="1" ht="12.75" x14ac:dyDescent="0.2">
      <c r="B12678" s="1168"/>
    </row>
    <row r="12679" spans="2:2" s="221" customFormat="1" ht="12.75" x14ac:dyDescent="0.2">
      <c r="B12679" s="1168"/>
    </row>
    <row r="12680" spans="2:2" s="221" customFormat="1" ht="12.75" x14ac:dyDescent="0.2">
      <c r="B12680" s="1168"/>
    </row>
    <row r="12681" spans="2:2" s="221" customFormat="1" ht="12.75" x14ac:dyDescent="0.2">
      <c r="B12681" s="1168"/>
    </row>
    <row r="12682" spans="2:2" s="221" customFormat="1" ht="12.75" x14ac:dyDescent="0.2">
      <c r="B12682" s="1168"/>
    </row>
    <row r="12683" spans="2:2" s="221" customFormat="1" ht="12.75" x14ac:dyDescent="0.2">
      <c r="B12683" s="1168"/>
    </row>
    <row r="12684" spans="2:2" s="221" customFormat="1" ht="12.75" x14ac:dyDescent="0.2">
      <c r="B12684" s="1168"/>
    </row>
    <row r="12685" spans="2:2" s="221" customFormat="1" ht="12.75" x14ac:dyDescent="0.2">
      <c r="B12685" s="1168"/>
    </row>
    <row r="12686" spans="2:2" s="221" customFormat="1" ht="12.75" x14ac:dyDescent="0.2">
      <c r="B12686" s="1168"/>
    </row>
    <row r="12687" spans="2:2" s="221" customFormat="1" ht="12.75" x14ac:dyDescent="0.2">
      <c r="B12687" s="1168"/>
    </row>
    <row r="12688" spans="2:2" s="221" customFormat="1" ht="12.75" x14ac:dyDescent="0.2">
      <c r="B12688" s="1168"/>
    </row>
    <row r="12689" spans="2:2" s="221" customFormat="1" ht="12.75" x14ac:dyDescent="0.2">
      <c r="B12689" s="1168"/>
    </row>
    <row r="12690" spans="2:2" s="221" customFormat="1" ht="12.75" x14ac:dyDescent="0.2">
      <c r="B12690" s="1168"/>
    </row>
    <row r="12691" spans="2:2" s="221" customFormat="1" ht="12.75" x14ac:dyDescent="0.2">
      <c r="B12691" s="1168"/>
    </row>
    <row r="12692" spans="2:2" s="221" customFormat="1" ht="12.75" x14ac:dyDescent="0.2">
      <c r="B12692" s="1168"/>
    </row>
    <row r="12693" spans="2:2" s="221" customFormat="1" ht="12.75" x14ac:dyDescent="0.2">
      <c r="B12693" s="1168"/>
    </row>
    <row r="12694" spans="2:2" s="221" customFormat="1" ht="12.75" x14ac:dyDescent="0.2">
      <c r="B12694" s="1168"/>
    </row>
    <row r="12695" spans="2:2" s="221" customFormat="1" ht="12.75" x14ac:dyDescent="0.2">
      <c r="B12695" s="1168"/>
    </row>
    <row r="12696" spans="2:2" s="221" customFormat="1" ht="12.75" x14ac:dyDescent="0.2">
      <c r="B12696" s="1168"/>
    </row>
    <row r="12697" spans="2:2" s="221" customFormat="1" ht="12.75" x14ac:dyDescent="0.2">
      <c r="B12697" s="1168"/>
    </row>
    <row r="12698" spans="2:2" s="221" customFormat="1" ht="12.75" x14ac:dyDescent="0.2">
      <c r="B12698" s="1168"/>
    </row>
    <row r="12699" spans="2:2" s="221" customFormat="1" ht="12.75" x14ac:dyDescent="0.2">
      <c r="B12699" s="1168"/>
    </row>
    <row r="12700" spans="2:2" s="221" customFormat="1" ht="12.75" x14ac:dyDescent="0.2">
      <c r="B12700" s="1168"/>
    </row>
    <row r="12701" spans="2:2" s="221" customFormat="1" ht="12.75" x14ac:dyDescent="0.2">
      <c r="B12701" s="1168"/>
    </row>
    <row r="12702" spans="2:2" s="221" customFormat="1" ht="12.75" x14ac:dyDescent="0.2">
      <c r="B12702" s="1168"/>
    </row>
    <row r="12703" spans="2:2" s="221" customFormat="1" ht="12.75" x14ac:dyDescent="0.2">
      <c r="B12703" s="1168"/>
    </row>
    <row r="12704" spans="2:2" s="221" customFormat="1" ht="12.75" x14ac:dyDescent="0.2">
      <c r="B12704" s="1168"/>
    </row>
    <row r="12705" spans="2:2" s="221" customFormat="1" ht="12.75" x14ac:dyDescent="0.2">
      <c r="B12705" s="1168"/>
    </row>
    <row r="12706" spans="2:2" s="221" customFormat="1" ht="12.75" x14ac:dyDescent="0.2">
      <c r="B12706" s="1168"/>
    </row>
    <row r="12707" spans="2:2" s="221" customFormat="1" ht="12.75" x14ac:dyDescent="0.2">
      <c r="B12707" s="1168"/>
    </row>
    <row r="12708" spans="2:2" s="221" customFormat="1" ht="12.75" x14ac:dyDescent="0.2">
      <c r="B12708" s="1168"/>
    </row>
    <row r="12709" spans="2:2" s="221" customFormat="1" ht="12.75" x14ac:dyDescent="0.2">
      <c r="B12709" s="1168"/>
    </row>
    <row r="12710" spans="2:2" s="221" customFormat="1" ht="12.75" x14ac:dyDescent="0.2">
      <c r="B12710" s="1168"/>
    </row>
    <row r="12711" spans="2:2" s="221" customFormat="1" ht="12.75" x14ac:dyDescent="0.2">
      <c r="B12711" s="1168"/>
    </row>
    <row r="12712" spans="2:2" s="221" customFormat="1" ht="12.75" x14ac:dyDescent="0.2">
      <c r="B12712" s="1168"/>
    </row>
    <row r="12713" spans="2:2" s="221" customFormat="1" ht="12.75" x14ac:dyDescent="0.2">
      <c r="B12713" s="1168"/>
    </row>
    <row r="12714" spans="2:2" s="221" customFormat="1" ht="12.75" x14ac:dyDescent="0.2">
      <c r="B12714" s="1168"/>
    </row>
    <row r="12715" spans="2:2" s="221" customFormat="1" ht="12.75" x14ac:dyDescent="0.2">
      <c r="B12715" s="1168"/>
    </row>
    <row r="12716" spans="2:2" s="221" customFormat="1" ht="12.75" x14ac:dyDescent="0.2">
      <c r="B12716" s="1168"/>
    </row>
    <row r="12717" spans="2:2" s="221" customFormat="1" ht="12.75" x14ac:dyDescent="0.2">
      <c r="B12717" s="1168"/>
    </row>
    <row r="12718" spans="2:2" s="221" customFormat="1" ht="12.75" x14ac:dyDescent="0.2">
      <c r="B12718" s="1168"/>
    </row>
    <row r="12719" spans="2:2" s="221" customFormat="1" ht="12.75" x14ac:dyDescent="0.2">
      <c r="B12719" s="1168"/>
    </row>
    <row r="12720" spans="2:2" s="221" customFormat="1" ht="12.75" x14ac:dyDescent="0.2">
      <c r="B12720" s="1168"/>
    </row>
    <row r="12721" spans="2:2" s="221" customFormat="1" ht="12.75" x14ac:dyDescent="0.2">
      <c r="B12721" s="1168"/>
    </row>
    <row r="12722" spans="2:2" s="221" customFormat="1" ht="12.75" x14ac:dyDescent="0.2">
      <c r="B12722" s="1168"/>
    </row>
    <row r="12723" spans="2:2" s="221" customFormat="1" ht="12.75" x14ac:dyDescent="0.2">
      <c r="B12723" s="1168"/>
    </row>
    <row r="12724" spans="2:2" s="221" customFormat="1" ht="12.75" x14ac:dyDescent="0.2">
      <c r="B12724" s="1168"/>
    </row>
    <row r="12725" spans="2:2" s="221" customFormat="1" ht="12.75" x14ac:dyDescent="0.2">
      <c r="B12725" s="1168"/>
    </row>
    <row r="12726" spans="2:2" s="221" customFormat="1" ht="12.75" x14ac:dyDescent="0.2">
      <c r="B12726" s="1168"/>
    </row>
    <row r="12727" spans="2:2" s="221" customFormat="1" ht="12.75" x14ac:dyDescent="0.2">
      <c r="B12727" s="1168"/>
    </row>
    <row r="12728" spans="2:2" s="221" customFormat="1" ht="12.75" x14ac:dyDescent="0.2">
      <c r="B12728" s="1168"/>
    </row>
    <row r="12729" spans="2:2" s="221" customFormat="1" ht="12.75" x14ac:dyDescent="0.2">
      <c r="B12729" s="1168"/>
    </row>
    <row r="12730" spans="2:2" s="221" customFormat="1" ht="12.75" x14ac:dyDescent="0.2">
      <c r="B12730" s="1168"/>
    </row>
    <row r="12731" spans="2:2" s="221" customFormat="1" ht="12.75" x14ac:dyDescent="0.2">
      <c r="B12731" s="1168"/>
    </row>
    <row r="12732" spans="2:2" s="221" customFormat="1" ht="12.75" x14ac:dyDescent="0.2">
      <c r="B12732" s="1168"/>
    </row>
    <row r="12733" spans="2:2" s="221" customFormat="1" ht="12.75" x14ac:dyDescent="0.2">
      <c r="B12733" s="1168"/>
    </row>
    <row r="12734" spans="2:2" s="221" customFormat="1" ht="12.75" x14ac:dyDescent="0.2">
      <c r="B12734" s="1168"/>
    </row>
    <row r="12735" spans="2:2" s="221" customFormat="1" ht="12.75" x14ac:dyDescent="0.2">
      <c r="B12735" s="1168"/>
    </row>
    <row r="12736" spans="2:2" s="221" customFormat="1" ht="12.75" x14ac:dyDescent="0.2">
      <c r="B12736" s="1168"/>
    </row>
    <row r="12737" spans="2:2" s="221" customFormat="1" ht="12.75" x14ac:dyDescent="0.2">
      <c r="B12737" s="1168"/>
    </row>
    <row r="12738" spans="2:2" s="221" customFormat="1" ht="12.75" x14ac:dyDescent="0.2">
      <c r="B12738" s="1168"/>
    </row>
    <row r="12739" spans="2:2" s="221" customFormat="1" ht="12.75" x14ac:dyDescent="0.2">
      <c r="B12739" s="1168"/>
    </row>
    <row r="12740" spans="2:2" s="221" customFormat="1" ht="12.75" x14ac:dyDescent="0.2">
      <c r="B12740" s="1168"/>
    </row>
    <row r="12741" spans="2:2" s="221" customFormat="1" ht="12.75" x14ac:dyDescent="0.2">
      <c r="B12741" s="1168"/>
    </row>
    <row r="12742" spans="2:2" s="221" customFormat="1" ht="12.75" x14ac:dyDescent="0.2">
      <c r="B12742" s="1168"/>
    </row>
    <row r="12743" spans="2:2" s="221" customFormat="1" ht="12.75" x14ac:dyDescent="0.2">
      <c r="B12743" s="1168"/>
    </row>
    <row r="12744" spans="2:2" s="221" customFormat="1" ht="12.75" x14ac:dyDescent="0.2">
      <c r="B12744" s="1168"/>
    </row>
    <row r="12745" spans="2:2" s="221" customFormat="1" ht="12.75" x14ac:dyDescent="0.2">
      <c r="B12745" s="1168"/>
    </row>
    <row r="12746" spans="2:2" s="221" customFormat="1" ht="12.75" x14ac:dyDescent="0.2">
      <c r="B12746" s="1168"/>
    </row>
    <row r="12747" spans="2:2" s="221" customFormat="1" ht="12.75" x14ac:dyDescent="0.2">
      <c r="B12747" s="1168"/>
    </row>
    <row r="12748" spans="2:2" s="221" customFormat="1" ht="12.75" x14ac:dyDescent="0.2">
      <c r="B12748" s="1168"/>
    </row>
    <row r="12749" spans="2:2" s="221" customFormat="1" ht="12.75" x14ac:dyDescent="0.2">
      <c r="B12749" s="1168"/>
    </row>
    <row r="12750" spans="2:2" s="221" customFormat="1" ht="12.75" x14ac:dyDescent="0.2">
      <c r="B12750" s="1168"/>
    </row>
    <row r="12751" spans="2:2" s="221" customFormat="1" ht="12.75" x14ac:dyDescent="0.2">
      <c r="B12751" s="1168"/>
    </row>
    <row r="12752" spans="2:2" s="221" customFormat="1" ht="12.75" x14ac:dyDescent="0.2">
      <c r="B12752" s="1168"/>
    </row>
    <row r="12753" spans="2:2" s="221" customFormat="1" ht="12.75" x14ac:dyDescent="0.2">
      <c r="B12753" s="1168"/>
    </row>
    <row r="12754" spans="2:2" s="221" customFormat="1" ht="12.75" x14ac:dyDescent="0.2">
      <c r="B12754" s="1168"/>
    </row>
    <row r="12755" spans="2:2" s="221" customFormat="1" ht="12.75" x14ac:dyDescent="0.2">
      <c r="B12755" s="1168"/>
    </row>
    <row r="12756" spans="2:2" s="221" customFormat="1" ht="12.75" x14ac:dyDescent="0.2">
      <c r="B12756" s="1168"/>
    </row>
    <row r="12757" spans="2:2" s="221" customFormat="1" ht="12.75" x14ac:dyDescent="0.2">
      <c r="B12757" s="1168"/>
    </row>
    <row r="12758" spans="2:2" s="221" customFormat="1" ht="12.75" x14ac:dyDescent="0.2">
      <c r="B12758" s="1168"/>
    </row>
    <row r="12759" spans="2:2" s="221" customFormat="1" ht="12.75" x14ac:dyDescent="0.2">
      <c r="B12759" s="1168"/>
    </row>
    <row r="12760" spans="2:2" s="221" customFormat="1" ht="12.75" x14ac:dyDescent="0.2">
      <c r="B12760" s="1168"/>
    </row>
    <row r="12761" spans="2:2" s="221" customFormat="1" ht="12.75" x14ac:dyDescent="0.2">
      <c r="B12761" s="1168"/>
    </row>
    <row r="12762" spans="2:2" s="221" customFormat="1" ht="12.75" x14ac:dyDescent="0.2">
      <c r="B12762" s="1168"/>
    </row>
    <row r="12763" spans="2:2" s="221" customFormat="1" ht="12.75" x14ac:dyDescent="0.2">
      <c r="B12763" s="1168"/>
    </row>
    <row r="12764" spans="2:2" s="221" customFormat="1" ht="12.75" x14ac:dyDescent="0.2">
      <c r="B12764" s="1168"/>
    </row>
    <row r="12765" spans="2:2" s="221" customFormat="1" ht="12.75" x14ac:dyDescent="0.2">
      <c r="B12765" s="1168"/>
    </row>
    <row r="12766" spans="2:2" s="221" customFormat="1" ht="12.75" x14ac:dyDescent="0.2">
      <c r="B12766" s="1168"/>
    </row>
    <row r="12767" spans="2:2" s="221" customFormat="1" ht="12.75" x14ac:dyDescent="0.2">
      <c r="B12767" s="1168"/>
    </row>
    <row r="12768" spans="2:2" s="221" customFormat="1" ht="12.75" x14ac:dyDescent="0.2">
      <c r="B12768" s="1168"/>
    </row>
    <row r="12769" spans="2:2" s="221" customFormat="1" ht="12.75" x14ac:dyDescent="0.2">
      <c r="B12769" s="1168"/>
    </row>
    <row r="12770" spans="2:2" s="221" customFormat="1" ht="12.75" x14ac:dyDescent="0.2">
      <c r="B12770" s="1168"/>
    </row>
    <row r="12771" spans="2:2" s="221" customFormat="1" ht="12.75" x14ac:dyDescent="0.2">
      <c r="B12771" s="1168"/>
    </row>
    <row r="12772" spans="2:2" s="221" customFormat="1" ht="12.75" x14ac:dyDescent="0.2">
      <c r="B12772" s="1168"/>
    </row>
    <row r="12773" spans="2:2" s="221" customFormat="1" ht="12.75" x14ac:dyDescent="0.2">
      <c r="B12773" s="1168"/>
    </row>
    <row r="12774" spans="2:2" s="221" customFormat="1" ht="12.75" x14ac:dyDescent="0.2">
      <c r="B12774" s="1168"/>
    </row>
    <row r="12775" spans="2:2" s="221" customFormat="1" ht="12.75" x14ac:dyDescent="0.2">
      <c r="B12775" s="1168"/>
    </row>
    <row r="12776" spans="2:2" s="221" customFormat="1" ht="12.75" x14ac:dyDescent="0.2">
      <c r="B12776" s="1168"/>
    </row>
    <row r="12777" spans="2:2" s="221" customFormat="1" ht="12.75" x14ac:dyDescent="0.2">
      <c r="B12777" s="1168"/>
    </row>
    <row r="12778" spans="2:2" s="221" customFormat="1" ht="12.75" x14ac:dyDescent="0.2">
      <c r="B12778" s="1168"/>
    </row>
    <row r="12779" spans="2:2" s="221" customFormat="1" ht="12.75" x14ac:dyDescent="0.2">
      <c r="B12779" s="1168"/>
    </row>
    <row r="12780" spans="2:2" s="221" customFormat="1" ht="12.75" x14ac:dyDescent="0.2">
      <c r="B12780" s="1168"/>
    </row>
    <row r="12781" spans="2:2" s="221" customFormat="1" ht="12.75" x14ac:dyDescent="0.2">
      <c r="B12781" s="1168"/>
    </row>
    <row r="12782" spans="2:2" s="221" customFormat="1" ht="12.75" x14ac:dyDescent="0.2">
      <c r="B12782" s="1168"/>
    </row>
    <row r="12783" spans="2:2" s="221" customFormat="1" ht="12.75" x14ac:dyDescent="0.2">
      <c r="B12783" s="1168"/>
    </row>
    <row r="12784" spans="2:2" s="221" customFormat="1" ht="12.75" x14ac:dyDescent="0.2">
      <c r="B12784" s="1168"/>
    </row>
    <row r="12785" spans="2:2" s="221" customFormat="1" ht="12.75" x14ac:dyDescent="0.2">
      <c r="B12785" s="1168"/>
    </row>
    <row r="12786" spans="2:2" s="221" customFormat="1" ht="12.75" x14ac:dyDescent="0.2">
      <c r="B12786" s="1168"/>
    </row>
    <row r="12787" spans="2:2" s="221" customFormat="1" ht="12.75" x14ac:dyDescent="0.2">
      <c r="B12787" s="1168"/>
    </row>
    <row r="12788" spans="2:2" s="221" customFormat="1" ht="12.75" x14ac:dyDescent="0.2">
      <c r="B12788" s="1168"/>
    </row>
    <row r="12789" spans="2:2" s="221" customFormat="1" ht="12.75" x14ac:dyDescent="0.2">
      <c r="B12789" s="1168"/>
    </row>
    <row r="12790" spans="2:2" s="221" customFormat="1" ht="12.75" x14ac:dyDescent="0.2">
      <c r="B12790" s="1168"/>
    </row>
    <row r="12791" spans="2:2" s="221" customFormat="1" ht="12.75" x14ac:dyDescent="0.2">
      <c r="B12791" s="1168"/>
    </row>
    <row r="12792" spans="2:2" s="221" customFormat="1" ht="12.75" x14ac:dyDescent="0.2">
      <c r="B12792" s="1168"/>
    </row>
    <row r="12793" spans="2:2" s="221" customFormat="1" ht="12.75" x14ac:dyDescent="0.2">
      <c r="B12793" s="1168"/>
    </row>
    <row r="12794" spans="2:2" s="221" customFormat="1" ht="12.75" x14ac:dyDescent="0.2">
      <c r="B12794" s="1168"/>
    </row>
    <row r="12795" spans="2:2" s="221" customFormat="1" ht="12.75" x14ac:dyDescent="0.2">
      <c r="B12795" s="1168"/>
    </row>
    <row r="12796" spans="2:2" s="221" customFormat="1" ht="12.75" x14ac:dyDescent="0.2">
      <c r="B12796" s="1168"/>
    </row>
    <row r="12797" spans="2:2" s="221" customFormat="1" ht="12.75" x14ac:dyDescent="0.2">
      <c r="B12797" s="1168"/>
    </row>
    <row r="12798" spans="2:2" s="221" customFormat="1" ht="12.75" x14ac:dyDescent="0.2">
      <c r="B12798" s="1168"/>
    </row>
    <row r="12799" spans="2:2" s="221" customFormat="1" ht="12.75" x14ac:dyDescent="0.2">
      <c r="B12799" s="1168"/>
    </row>
    <row r="12800" spans="2:2" s="221" customFormat="1" ht="12.75" x14ac:dyDescent="0.2">
      <c r="B12800" s="1168"/>
    </row>
    <row r="12801" spans="2:2" s="221" customFormat="1" ht="12.75" x14ac:dyDescent="0.2">
      <c r="B12801" s="1168"/>
    </row>
    <row r="12802" spans="2:2" s="221" customFormat="1" ht="12.75" x14ac:dyDescent="0.2">
      <c r="B12802" s="1168"/>
    </row>
    <row r="12803" spans="2:2" s="221" customFormat="1" ht="12.75" x14ac:dyDescent="0.2">
      <c r="B12803" s="1168"/>
    </row>
    <row r="12804" spans="2:2" s="221" customFormat="1" ht="12.75" x14ac:dyDescent="0.2">
      <c r="B12804" s="1168"/>
    </row>
    <row r="12805" spans="2:2" s="221" customFormat="1" ht="12.75" x14ac:dyDescent="0.2">
      <c r="B12805" s="1168"/>
    </row>
    <row r="12806" spans="2:2" s="221" customFormat="1" ht="12.75" x14ac:dyDescent="0.2">
      <c r="B12806" s="1168"/>
    </row>
    <row r="12807" spans="2:2" s="221" customFormat="1" ht="12.75" x14ac:dyDescent="0.2">
      <c r="B12807" s="1168"/>
    </row>
    <row r="12808" spans="2:2" s="221" customFormat="1" ht="12.75" x14ac:dyDescent="0.2">
      <c r="B12808" s="1168"/>
    </row>
    <row r="12809" spans="2:2" s="221" customFormat="1" ht="12.75" x14ac:dyDescent="0.2">
      <c r="B12809" s="1168"/>
    </row>
    <row r="12810" spans="2:2" s="221" customFormat="1" ht="12.75" x14ac:dyDescent="0.2">
      <c r="B12810" s="1168"/>
    </row>
    <row r="12811" spans="2:2" s="221" customFormat="1" ht="12.75" x14ac:dyDescent="0.2">
      <c r="B12811" s="1168"/>
    </row>
    <row r="12812" spans="2:2" s="221" customFormat="1" ht="12.75" x14ac:dyDescent="0.2">
      <c r="B12812" s="1168"/>
    </row>
    <row r="12813" spans="2:2" s="221" customFormat="1" ht="12.75" x14ac:dyDescent="0.2">
      <c r="B12813" s="1168"/>
    </row>
    <row r="12814" spans="2:2" s="221" customFormat="1" ht="12.75" x14ac:dyDescent="0.2">
      <c r="B12814" s="1168"/>
    </row>
    <row r="12815" spans="2:2" s="221" customFormat="1" ht="12.75" x14ac:dyDescent="0.2">
      <c r="B12815" s="1168"/>
    </row>
    <row r="12816" spans="2:2" s="221" customFormat="1" ht="12.75" x14ac:dyDescent="0.2">
      <c r="B12816" s="1168"/>
    </row>
    <row r="12817" spans="2:2" s="221" customFormat="1" ht="12.75" x14ac:dyDescent="0.2">
      <c r="B12817" s="1168"/>
    </row>
    <row r="12818" spans="2:2" s="221" customFormat="1" ht="12.75" x14ac:dyDescent="0.2">
      <c r="B12818" s="1168"/>
    </row>
    <row r="12819" spans="2:2" s="221" customFormat="1" ht="12.75" x14ac:dyDescent="0.2">
      <c r="B12819" s="1168"/>
    </row>
    <row r="12820" spans="2:2" s="221" customFormat="1" ht="12.75" x14ac:dyDescent="0.2">
      <c r="B12820" s="1168"/>
    </row>
    <row r="12821" spans="2:2" s="221" customFormat="1" ht="12.75" x14ac:dyDescent="0.2">
      <c r="B12821" s="1168"/>
    </row>
    <row r="12822" spans="2:2" s="221" customFormat="1" ht="12.75" x14ac:dyDescent="0.2">
      <c r="B12822" s="1168"/>
    </row>
    <row r="12823" spans="2:2" s="221" customFormat="1" ht="12.75" x14ac:dyDescent="0.2">
      <c r="B12823" s="1168"/>
    </row>
    <row r="12824" spans="2:2" s="221" customFormat="1" ht="12.75" x14ac:dyDescent="0.2">
      <c r="B12824" s="1168"/>
    </row>
    <row r="12825" spans="2:2" s="221" customFormat="1" ht="12.75" x14ac:dyDescent="0.2">
      <c r="B12825" s="1168"/>
    </row>
    <row r="12826" spans="2:2" s="221" customFormat="1" ht="12.75" x14ac:dyDescent="0.2">
      <c r="B12826" s="1168"/>
    </row>
    <row r="12827" spans="2:2" s="221" customFormat="1" ht="12.75" x14ac:dyDescent="0.2">
      <c r="B12827" s="1168"/>
    </row>
    <row r="12828" spans="2:2" s="221" customFormat="1" ht="12.75" x14ac:dyDescent="0.2">
      <c r="B12828" s="1168"/>
    </row>
    <row r="12829" spans="2:2" s="221" customFormat="1" ht="12.75" x14ac:dyDescent="0.2">
      <c r="B12829" s="1168"/>
    </row>
    <row r="12830" spans="2:2" s="221" customFormat="1" ht="12.75" x14ac:dyDescent="0.2">
      <c r="B12830" s="1168"/>
    </row>
    <row r="12831" spans="2:2" s="221" customFormat="1" ht="12.75" x14ac:dyDescent="0.2">
      <c r="B12831" s="1168"/>
    </row>
    <row r="12832" spans="2:2" s="221" customFormat="1" ht="12.75" x14ac:dyDescent="0.2">
      <c r="B12832" s="1168"/>
    </row>
    <row r="12833" spans="2:2" s="221" customFormat="1" ht="12.75" x14ac:dyDescent="0.2">
      <c r="B12833" s="1168"/>
    </row>
    <row r="12834" spans="2:2" s="221" customFormat="1" ht="12.75" x14ac:dyDescent="0.2">
      <c r="B12834" s="1168"/>
    </row>
    <row r="12835" spans="2:2" s="221" customFormat="1" ht="12.75" x14ac:dyDescent="0.2">
      <c r="B12835" s="1168"/>
    </row>
    <row r="12836" spans="2:2" s="221" customFormat="1" ht="12.75" x14ac:dyDescent="0.2">
      <c r="B12836" s="1168"/>
    </row>
    <row r="12837" spans="2:2" s="221" customFormat="1" ht="12.75" x14ac:dyDescent="0.2">
      <c r="B12837" s="1168"/>
    </row>
    <row r="12838" spans="2:2" s="221" customFormat="1" ht="12.75" x14ac:dyDescent="0.2">
      <c r="B12838" s="1168"/>
    </row>
    <row r="12839" spans="2:2" s="221" customFormat="1" ht="12.75" x14ac:dyDescent="0.2">
      <c r="B12839" s="1168"/>
    </row>
    <row r="12840" spans="2:2" s="221" customFormat="1" ht="12.75" x14ac:dyDescent="0.2">
      <c r="B12840" s="1168"/>
    </row>
    <row r="12841" spans="2:2" s="221" customFormat="1" ht="12.75" x14ac:dyDescent="0.2">
      <c r="B12841" s="1168"/>
    </row>
    <row r="12842" spans="2:2" s="221" customFormat="1" ht="12.75" x14ac:dyDescent="0.2">
      <c r="B12842" s="1168"/>
    </row>
    <row r="12843" spans="2:2" s="221" customFormat="1" ht="12.75" x14ac:dyDescent="0.2">
      <c r="B12843" s="1168"/>
    </row>
    <row r="12844" spans="2:2" s="221" customFormat="1" ht="12.75" x14ac:dyDescent="0.2">
      <c r="B12844" s="1168"/>
    </row>
    <row r="12845" spans="2:2" s="221" customFormat="1" ht="12.75" x14ac:dyDescent="0.2">
      <c r="B12845" s="1168"/>
    </row>
    <row r="12846" spans="2:2" s="221" customFormat="1" ht="12.75" x14ac:dyDescent="0.2">
      <c r="B12846" s="1168"/>
    </row>
    <row r="12847" spans="2:2" s="221" customFormat="1" ht="12.75" x14ac:dyDescent="0.2">
      <c r="B12847" s="1168"/>
    </row>
    <row r="12848" spans="2:2" s="221" customFormat="1" ht="12.75" x14ac:dyDescent="0.2">
      <c r="B12848" s="1168"/>
    </row>
    <row r="12849" spans="2:2" s="221" customFormat="1" ht="12.75" x14ac:dyDescent="0.2">
      <c r="B12849" s="1168"/>
    </row>
    <row r="12850" spans="2:2" s="221" customFormat="1" ht="12.75" x14ac:dyDescent="0.2">
      <c r="B12850" s="1168"/>
    </row>
    <row r="12851" spans="2:2" s="221" customFormat="1" ht="12.75" x14ac:dyDescent="0.2">
      <c r="B12851" s="1168"/>
    </row>
    <row r="12852" spans="2:2" s="221" customFormat="1" ht="12.75" x14ac:dyDescent="0.2">
      <c r="B12852" s="1168"/>
    </row>
    <row r="12853" spans="2:2" s="221" customFormat="1" ht="12.75" x14ac:dyDescent="0.2">
      <c r="B12853" s="1168"/>
    </row>
    <row r="12854" spans="2:2" s="221" customFormat="1" ht="12.75" x14ac:dyDescent="0.2">
      <c r="B12854" s="1168"/>
    </row>
    <row r="12855" spans="2:2" s="221" customFormat="1" ht="12.75" x14ac:dyDescent="0.2">
      <c r="B12855" s="1168"/>
    </row>
    <row r="12856" spans="2:2" s="221" customFormat="1" ht="12.75" x14ac:dyDescent="0.2">
      <c r="B12856" s="1168"/>
    </row>
    <row r="12857" spans="2:2" s="221" customFormat="1" ht="12.75" x14ac:dyDescent="0.2">
      <c r="B12857" s="1168"/>
    </row>
    <row r="12858" spans="2:2" s="221" customFormat="1" ht="12.75" x14ac:dyDescent="0.2">
      <c r="B12858" s="1168"/>
    </row>
    <row r="12859" spans="2:2" s="221" customFormat="1" ht="12.75" x14ac:dyDescent="0.2">
      <c r="B12859" s="1168"/>
    </row>
    <row r="12860" spans="2:2" s="221" customFormat="1" ht="12.75" x14ac:dyDescent="0.2">
      <c r="B12860" s="1168"/>
    </row>
    <row r="12861" spans="2:2" s="221" customFormat="1" ht="12.75" x14ac:dyDescent="0.2">
      <c r="B12861" s="1168"/>
    </row>
    <row r="12862" spans="2:2" s="221" customFormat="1" ht="12.75" x14ac:dyDescent="0.2">
      <c r="B12862" s="1168"/>
    </row>
    <row r="12863" spans="2:2" s="221" customFormat="1" ht="12.75" x14ac:dyDescent="0.2">
      <c r="B12863" s="1168"/>
    </row>
    <row r="12864" spans="2:2" s="221" customFormat="1" ht="12.75" x14ac:dyDescent="0.2">
      <c r="B12864" s="1168"/>
    </row>
    <row r="12865" spans="2:2" s="221" customFormat="1" ht="12.75" x14ac:dyDescent="0.2">
      <c r="B12865" s="1168"/>
    </row>
    <row r="12866" spans="2:2" s="221" customFormat="1" ht="12.75" x14ac:dyDescent="0.2">
      <c r="B12866" s="1168"/>
    </row>
    <row r="12867" spans="2:2" s="221" customFormat="1" ht="12.75" x14ac:dyDescent="0.2">
      <c r="B12867" s="1168"/>
    </row>
    <row r="12868" spans="2:2" s="221" customFormat="1" ht="12.75" x14ac:dyDescent="0.2">
      <c r="B12868" s="1168"/>
    </row>
    <row r="12869" spans="2:2" s="221" customFormat="1" ht="12.75" x14ac:dyDescent="0.2">
      <c r="B12869" s="1168"/>
    </row>
    <row r="12870" spans="2:2" s="221" customFormat="1" ht="12.75" x14ac:dyDescent="0.2">
      <c r="B12870" s="1168"/>
    </row>
    <row r="12871" spans="2:2" s="221" customFormat="1" ht="12.75" x14ac:dyDescent="0.2">
      <c r="B12871" s="1168"/>
    </row>
    <row r="12872" spans="2:2" s="221" customFormat="1" ht="12.75" x14ac:dyDescent="0.2">
      <c r="B12872" s="1168"/>
    </row>
    <row r="12873" spans="2:2" s="221" customFormat="1" ht="12.75" x14ac:dyDescent="0.2">
      <c r="B12873" s="1168"/>
    </row>
    <row r="12874" spans="2:2" s="221" customFormat="1" ht="12.75" x14ac:dyDescent="0.2">
      <c r="B12874" s="1168"/>
    </row>
    <row r="12875" spans="2:2" s="221" customFormat="1" ht="12.75" x14ac:dyDescent="0.2">
      <c r="B12875" s="1168"/>
    </row>
    <row r="12876" spans="2:2" s="221" customFormat="1" ht="12.75" x14ac:dyDescent="0.2">
      <c r="B12876" s="1168"/>
    </row>
    <row r="12877" spans="2:2" s="221" customFormat="1" ht="12.75" x14ac:dyDescent="0.2">
      <c r="B12877" s="1168"/>
    </row>
    <row r="12878" spans="2:2" s="221" customFormat="1" ht="12.75" x14ac:dyDescent="0.2">
      <c r="B12878" s="1168"/>
    </row>
    <row r="12879" spans="2:2" s="221" customFormat="1" ht="12.75" x14ac:dyDescent="0.2">
      <c r="B12879" s="1168"/>
    </row>
    <row r="12880" spans="2:2" s="221" customFormat="1" ht="12.75" x14ac:dyDescent="0.2">
      <c r="B12880" s="1168"/>
    </row>
    <row r="12881" spans="2:2" s="221" customFormat="1" ht="12.75" x14ac:dyDescent="0.2">
      <c r="B12881" s="1168"/>
    </row>
    <row r="12882" spans="2:2" s="221" customFormat="1" ht="12.75" x14ac:dyDescent="0.2">
      <c r="B12882" s="1168"/>
    </row>
    <row r="12883" spans="2:2" s="221" customFormat="1" ht="12.75" x14ac:dyDescent="0.2">
      <c r="B12883" s="1168"/>
    </row>
    <row r="12884" spans="2:2" s="221" customFormat="1" ht="12.75" x14ac:dyDescent="0.2">
      <c r="B12884" s="1168"/>
    </row>
    <row r="12885" spans="2:2" s="221" customFormat="1" ht="12.75" x14ac:dyDescent="0.2">
      <c r="B12885" s="1168"/>
    </row>
    <row r="12886" spans="2:2" s="221" customFormat="1" ht="12.75" x14ac:dyDescent="0.2">
      <c r="B12886" s="1168"/>
    </row>
    <row r="12887" spans="2:2" s="221" customFormat="1" ht="12.75" x14ac:dyDescent="0.2">
      <c r="B12887" s="1168"/>
    </row>
    <row r="12888" spans="2:2" s="221" customFormat="1" ht="12.75" x14ac:dyDescent="0.2">
      <c r="B12888" s="1168"/>
    </row>
    <row r="12889" spans="2:2" s="221" customFormat="1" ht="12.75" x14ac:dyDescent="0.2">
      <c r="B12889" s="1168"/>
    </row>
    <row r="12890" spans="2:2" s="221" customFormat="1" ht="12.75" x14ac:dyDescent="0.2">
      <c r="B12890" s="1168"/>
    </row>
    <row r="12891" spans="2:2" s="221" customFormat="1" ht="12.75" x14ac:dyDescent="0.2">
      <c r="B12891" s="1168"/>
    </row>
    <row r="12892" spans="2:2" s="221" customFormat="1" ht="12.75" x14ac:dyDescent="0.2">
      <c r="B12892" s="1168"/>
    </row>
    <row r="12893" spans="2:2" s="221" customFormat="1" ht="12.75" x14ac:dyDescent="0.2">
      <c r="B12893" s="1168"/>
    </row>
    <row r="12894" spans="2:2" s="221" customFormat="1" ht="12.75" x14ac:dyDescent="0.2">
      <c r="B12894" s="1168"/>
    </row>
    <row r="12895" spans="2:2" s="221" customFormat="1" ht="12.75" x14ac:dyDescent="0.2">
      <c r="B12895" s="1168"/>
    </row>
    <row r="12896" spans="2:2" s="221" customFormat="1" ht="12.75" x14ac:dyDescent="0.2">
      <c r="B12896" s="1168"/>
    </row>
    <row r="12897" spans="2:2" s="221" customFormat="1" ht="12.75" x14ac:dyDescent="0.2">
      <c r="B12897" s="1168"/>
    </row>
    <row r="12898" spans="2:2" s="221" customFormat="1" ht="12.75" x14ac:dyDescent="0.2">
      <c r="B12898" s="1168"/>
    </row>
    <row r="12899" spans="2:2" s="221" customFormat="1" ht="12.75" x14ac:dyDescent="0.2">
      <c r="B12899" s="1168"/>
    </row>
    <row r="12900" spans="2:2" s="221" customFormat="1" ht="12.75" x14ac:dyDescent="0.2">
      <c r="B12900" s="1168"/>
    </row>
    <row r="12901" spans="2:2" s="221" customFormat="1" ht="12.75" x14ac:dyDescent="0.2">
      <c r="B12901" s="1168"/>
    </row>
    <row r="12902" spans="2:2" s="221" customFormat="1" ht="12.75" x14ac:dyDescent="0.2">
      <c r="B12902" s="1168"/>
    </row>
    <row r="12903" spans="2:2" s="221" customFormat="1" ht="12.75" x14ac:dyDescent="0.2">
      <c r="B12903" s="1168"/>
    </row>
    <row r="12904" spans="2:2" s="221" customFormat="1" ht="12.75" x14ac:dyDescent="0.2">
      <c r="B12904" s="1168"/>
    </row>
    <row r="12905" spans="2:2" s="221" customFormat="1" ht="12.75" x14ac:dyDescent="0.2">
      <c r="B12905" s="1168"/>
    </row>
    <row r="12906" spans="2:2" s="221" customFormat="1" ht="12.75" x14ac:dyDescent="0.2">
      <c r="B12906" s="1168"/>
    </row>
    <row r="12907" spans="2:2" s="221" customFormat="1" ht="12.75" x14ac:dyDescent="0.2">
      <c r="B12907" s="1168"/>
    </row>
    <row r="12908" spans="2:2" s="221" customFormat="1" ht="12.75" x14ac:dyDescent="0.2">
      <c r="B12908" s="1168"/>
    </row>
    <row r="12909" spans="2:2" s="221" customFormat="1" ht="12.75" x14ac:dyDescent="0.2">
      <c r="B12909" s="1168"/>
    </row>
    <row r="12910" spans="2:2" s="221" customFormat="1" ht="12.75" x14ac:dyDescent="0.2">
      <c r="B12910" s="1168"/>
    </row>
    <row r="12911" spans="2:2" s="221" customFormat="1" ht="12.75" x14ac:dyDescent="0.2">
      <c r="B12911" s="1168"/>
    </row>
    <row r="12912" spans="2:2" s="221" customFormat="1" ht="12.75" x14ac:dyDescent="0.2">
      <c r="B12912" s="1168"/>
    </row>
    <row r="12913" spans="2:2" s="221" customFormat="1" ht="12.75" x14ac:dyDescent="0.2">
      <c r="B12913" s="1168"/>
    </row>
    <row r="12914" spans="2:2" s="221" customFormat="1" ht="12.75" x14ac:dyDescent="0.2">
      <c r="B12914" s="1168"/>
    </row>
    <row r="12915" spans="2:2" s="221" customFormat="1" ht="12.75" x14ac:dyDescent="0.2">
      <c r="B12915" s="1168"/>
    </row>
    <row r="12916" spans="2:2" s="221" customFormat="1" ht="12.75" x14ac:dyDescent="0.2">
      <c r="B12916" s="1168"/>
    </row>
    <row r="12917" spans="2:2" s="221" customFormat="1" ht="12.75" x14ac:dyDescent="0.2">
      <c r="B12917" s="1168"/>
    </row>
    <row r="12918" spans="2:2" s="221" customFormat="1" ht="12.75" x14ac:dyDescent="0.2">
      <c r="B12918" s="1168"/>
    </row>
    <row r="12919" spans="2:2" s="221" customFormat="1" ht="12.75" x14ac:dyDescent="0.2">
      <c r="B12919" s="1168"/>
    </row>
    <row r="12920" spans="2:2" s="221" customFormat="1" ht="12.75" x14ac:dyDescent="0.2">
      <c r="B12920" s="1168"/>
    </row>
    <row r="12921" spans="2:2" s="221" customFormat="1" ht="12.75" x14ac:dyDescent="0.2">
      <c r="B12921" s="1168"/>
    </row>
    <row r="12922" spans="2:2" s="221" customFormat="1" ht="12.75" x14ac:dyDescent="0.2">
      <c r="B12922" s="1168"/>
    </row>
    <row r="12923" spans="2:2" s="221" customFormat="1" ht="12.75" x14ac:dyDescent="0.2">
      <c r="B12923" s="1168"/>
    </row>
    <row r="12924" spans="2:2" s="221" customFormat="1" ht="12.75" x14ac:dyDescent="0.2">
      <c r="B12924" s="1168"/>
    </row>
    <row r="12925" spans="2:2" s="221" customFormat="1" ht="12.75" x14ac:dyDescent="0.2">
      <c r="B12925" s="1168"/>
    </row>
    <row r="12926" spans="2:2" s="221" customFormat="1" ht="12.75" x14ac:dyDescent="0.2">
      <c r="B12926" s="1168"/>
    </row>
    <row r="12927" spans="2:2" s="221" customFormat="1" ht="12.75" x14ac:dyDescent="0.2">
      <c r="B12927" s="1168"/>
    </row>
    <row r="12928" spans="2:2" s="221" customFormat="1" ht="12.75" x14ac:dyDescent="0.2">
      <c r="B12928" s="1168"/>
    </row>
    <row r="12929" spans="2:2" s="221" customFormat="1" ht="12.75" x14ac:dyDescent="0.2">
      <c r="B12929" s="1168"/>
    </row>
    <row r="12930" spans="2:2" s="221" customFormat="1" ht="12.75" x14ac:dyDescent="0.2">
      <c r="B12930" s="1168"/>
    </row>
    <row r="12931" spans="2:2" s="221" customFormat="1" ht="12.75" x14ac:dyDescent="0.2">
      <c r="B12931" s="1168"/>
    </row>
    <row r="12932" spans="2:2" s="221" customFormat="1" ht="12.75" x14ac:dyDescent="0.2">
      <c r="B12932" s="1168"/>
    </row>
    <row r="12933" spans="2:2" s="221" customFormat="1" ht="12.75" x14ac:dyDescent="0.2">
      <c r="B12933" s="1168"/>
    </row>
    <row r="12934" spans="2:2" s="221" customFormat="1" ht="12.75" x14ac:dyDescent="0.2">
      <c r="B12934" s="1168"/>
    </row>
    <row r="12935" spans="2:2" s="221" customFormat="1" ht="12.75" x14ac:dyDescent="0.2">
      <c r="B12935" s="1168"/>
    </row>
    <row r="12936" spans="2:2" s="221" customFormat="1" ht="12.75" x14ac:dyDescent="0.2">
      <c r="B12936" s="1168"/>
    </row>
    <row r="12937" spans="2:2" s="221" customFormat="1" ht="12.75" x14ac:dyDescent="0.2">
      <c r="B12937" s="1168"/>
    </row>
    <row r="12938" spans="2:2" s="221" customFormat="1" ht="12.75" x14ac:dyDescent="0.2">
      <c r="B12938" s="1168"/>
    </row>
    <row r="12939" spans="2:2" s="221" customFormat="1" ht="12.75" x14ac:dyDescent="0.2">
      <c r="B12939" s="1168"/>
    </row>
    <row r="12940" spans="2:2" s="221" customFormat="1" ht="12.75" x14ac:dyDescent="0.2">
      <c r="B12940" s="1168"/>
    </row>
    <row r="12941" spans="2:2" s="221" customFormat="1" ht="12.75" x14ac:dyDescent="0.2">
      <c r="B12941" s="1168"/>
    </row>
    <row r="12942" spans="2:2" s="221" customFormat="1" ht="12.75" x14ac:dyDescent="0.2">
      <c r="B12942" s="1168"/>
    </row>
    <row r="12943" spans="2:2" s="221" customFormat="1" ht="12.75" x14ac:dyDescent="0.2">
      <c r="B12943" s="1168"/>
    </row>
    <row r="12944" spans="2:2" s="221" customFormat="1" ht="12.75" x14ac:dyDescent="0.2">
      <c r="B12944" s="1168"/>
    </row>
    <row r="12945" spans="2:2" s="221" customFormat="1" ht="12.75" x14ac:dyDescent="0.2">
      <c r="B12945" s="1168"/>
    </row>
    <row r="12946" spans="2:2" s="221" customFormat="1" ht="12.75" x14ac:dyDescent="0.2">
      <c r="B12946" s="1168"/>
    </row>
    <row r="12947" spans="2:2" s="221" customFormat="1" ht="12.75" x14ac:dyDescent="0.2">
      <c r="B12947" s="1168"/>
    </row>
    <row r="12948" spans="2:2" s="221" customFormat="1" ht="12.75" x14ac:dyDescent="0.2">
      <c r="B12948" s="1168"/>
    </row>
    <row r="12949" spans="2:2" s="221" customFormat="1" ht="12.75" x14ac:dyDescent="0.2">
      <c r="B12949" s="1168"/>
    </row>
    <row r="12950" spans="2:2" s="221" customFormat="1" ht="12.75" x14ac:dyDescent="0.2">
      <c r="B12950" s="1168"/>
    </row>
    <row r="12951" spans="2:2" s="221" customFormat="1" ht="12.75" x14ac:dyDescent="0.2">
      <c r="B12951" s="1168"/>
    </row>
    <row r="12952" spans="2:2" s="221" customFormat="1" ht="12.75" x14ac:dyDescent="0.2">
      <c r="B12952" s="1168"/>
    </row>
    <row r="12953" spans="2:2" s="221" customFormat="1" ht="12.75" x14ac:dyDescent="0.2">
      <c r="B12953" s="1168"/>
    </row>
    <row r="12954" spans="2:2" s="221" customFormat="1" ht="12.75" x14ac:dyDescent="0.2">
      <c r="B12954" s="1168"/>
    </row>
    <row r="12955" spans="2:2" s="221" customFormat="1" ht="12.75" x14ac:dyDescent="0.2">
      <c r="B12955" s="1168"/>
    </row>
    <row r="12956" spans="2:2" s="221" customFormat="1" ht="12.75" x14ac:dyDescent="0.2">
      <c r="B12956" s="1168"/>
    </row>
    <row r="12957" spans="2:2" s="221" customFormat="1" ht="12.75" x14ac:dyDescent="0.2">
      <c r="B12957" s="1168"/>
    </row>
    <row r="12958" spans="2:2" s="221" customFormat="1" ht="12.75" x14ac:dyDescent="0.2">
      <c r="B12958" s="1168"/>
    </row>
    <row r="12959" spans="2:2" s="221" customFormat="1" ht="12.75" x14ac:dyDescent="0.2">
      <c r="B12959" s="1168"/>
    </row>
    <row r="12960" spans="2:2" s="221" customFormat="1" ht="12.75" x14ac:dyDescent="0.2">
      <c r="B12960" s="1168"/>
    </row>
    <row r="12961" spans="2:2" s="221" customFormat="1" ht="12.75" x14ac:dyDescent="0.2">
      <c r="B12961" s="1168"/>
    </row>
    <row r="12962" spans="2:2" s="221" customFormat="1" ht="12.75" x14ac:dyDescent="0.2">
      <c r="B12962" s="1168"/>
    </row>
    <row r="12963" spans="2:2" s="221" customFormat="1" ht="12.75" x14ac:dyDescent="0.2">
      <c r="B12963" s="1168"/>
    </row>
    <row r="12964" spans="2:2" s="221" customFormat="1" ht="12.75" x14ac:dyDescent="0.2">
      <c r="B12964" s="1168"/>
    </row>
    <row r="12965" spans="2:2" s="221" customFormat="1" ht="12.75" x14ac:dyDescent="0.2">
      <c r="B12965" s="1168"/>
    </row>
    <row r="12966" spans="2:2" s="221" customFormat="1" ht="12.75" x14ac:dyDescent="0.2">
      <c r="B12966" s="1168"/>
    </row>
    <row r="12967" spans="2:2" s="221" customFormat="1" ht="12.75" x14ac:dyDescent="0.2">
      <c r="B12967" s="1168"/>
    </row>
    <row r="12968" spans="2:2" s="221" customFormat="1" ht="12.75" x14ac:dyDescent="0.2">
      <c r="B12968" s="1168"/>
    </row>
    <row r="12969" spans="2:2" s="221" customFormat="1" ht="12.75" x14ac:dyDescent="0.2">
      <c r="B12969" s="1168"/>
    </row>
    <row r="12970" spans="2:2" s="221" customFormat="1" ht="12.75" x14ac:dyDescent="0.2">
      <c r="B12970" s="1168"/>
    </row>
    <row r="12971" spans="2:2" s="221" customFormat="1" ht="12.75" x14ac:dyDescent="0.2">
      <c r="B12971" s="1168"/>
    </row>
    <row r="12972" spans="2:2" s="221" customFormat="1" ht="12.75" x14ac:dyDescent="0.2">
      <c r="B12972" s="1168"/>
    </row>
    <row r="12973" spans="2:2" s="221" customFormat="1" ht="12.75" x14ac:dyDescent="0.2">
      <c r="B12973" s="1168"/>
    </row>
    <row r="12974" spans="2:2" s="221" customFormat="1" ht="12.75" x14ac:dyDescent="0.2">
      <c r="B12974" s="1168"/>
    </row>
    <row r="12975" spans="2:2" s="221" customFormat="1" ht="12.75" x14ac:dyDescent="0.2">
      <c r="B12975" s="1168"/>
    </row>
    <row r="12976" spans="2:2" s="221" customFormat="1" ht="12.75" x14ac:dyDescent="0.2">
      <c r="B12976" s="1168"/>
    </row>
    <row r="12977" spans="2:2" s="221" customFormat="1" ht="12.75" x14ac:dyDescent="0.2">
      <c r="B12977" s="1168"/>
    </row>
    <row r="12978" spans="2:2" s="221" customFormat="1" ht="12.75" x14ac:dyDescent="0.2">
      <c r="B12978" s="1168"/>
    </row>
    <row r="12979" spans="2:2" s="221" customFormat="1" ht="12.75" x14ac:dyDescent="0.2">
      <c r="B12979" s="1168"/>
    </row>
    <row r="12980" spans="2:2" s="221" customFormat="1" ht="12.75" x14ac:dyDescent="0.2">
      <c r="B12980" s="1168"/>
    </row>
    <row r="12981" spans="2:2" s="221" customFormat="1" ht="12.75" x14ac:dyDescent="0.2">
      <c r="B12981" s="1168"/>
    </row>
    <row r="12982" spans="2:2" s="221" customFormat="1" ht="12.75" x14ac:dyDescent="0.2">
      <c r="B12982" s="1168"/>
    </row>
    <row r="12983" spans="2:2" s="221" customFormat="1" ht="12.75" x14ac:dyDescent="0.2">
      <c r="B12983" s="1168"/>
    </row>
    <row r="12984" spans="2:2" s="221" customFormat="1" ht="12.75" x14ac:dyDescent="0.2">
      <c r="B12984" s="1168"/>
    </row>
    <row r="12985" spans="2:2" s="221" customFormat="1" ht="12.75" x14ac:dyDescent="0.2">
      <c r="B12985" s="1168"/>
    </row>
    <row r="12986" spans="2:2" s="221" customFormat="1" ht="12.75" x14ac:dyDescent="0.2">
      <c r="B12986" s="1168"/>
    </row>
    <row r="12987" spans="2:2" s="221" customFormat="1" ht="12.75" x14ac:dyDescent="0.2">
      <c r="B12987" s="1168"/>
    </row>
    <row r="12988" spans="2:2" s="221" customFormat="1" ht="12.75" x14ac:dyDescent="0.2">
      <c r="B12988" s="1168"/>
    </row>
    <row r="12989" spans="2:2" s="221" customFormat="1" ht="12.75" x14ac:dyDescent="0.2">
      <c r="B12989" s="1168"/>
    </row>
    <row r="12990" spans="2:2" s="221" customFormat="1" ht="12.75" x14ac:dyDescent="0.2">
      <c r="B12990" s="1168"/>
    </row>
    <row r="12991" spans="2:2" s="221" customFormat="1" ht="12.75" x14ac:dyDescent="0.2">
      <c r="B12991" s="1168"/>
    </row>
    <row r="12992" spans="2:2" s="221" customFormat="1" ht="12.75" x14ac:dyDescent="0.2">
      <c r="B12992" s="1168"/>
    </row>
    <row r="12993" spans="2:2" s="221" customFormat="1" ht="12.75" x14ac:dyDescent="0.2">
      <c r="B12993" s="1168"/>
    </row>
    <row r="12994" spans="2:2" s="221" customFormat="1" ht="12.75" x14ac:dyDescent="0.2">
      <c r="B12994" s="1168"/>
    </row>
    <row r="12995" spans="2:2" s="221" customFormat="1" ht="12.75" x14ac:dyDescent="0.2">
      <c r="B12995" s="1168"/>
    </row>
    <row r="12996" spans="2:2" s="221" customFormat="1" ht="12.75" x14ac:dyDescent="0.2">
      <c r="B12996" s="1168"/>
    </row>
    <row r="12997" spans="2:2" s="221" customFormat="1" ht="12.75" x14ac:dyDescent="0.2">
      <c r="B12997" s="1168"/>
    </row>
    <row r="12998" spans="2:2" s="221" customFormat="1" ht="12.75" x14ac:dyDescent="0.2">
      <c r="B12998" s="1168"/>
    </row>
    <row r="12999" spans="2:2" s="221" customFormat="1" ht="12.75" x14ac:dyDescent="0.2">
      <c r="B12999" s="1168"/>
    </row>
    <row r="13000" spans="2:2" s="221" customFormat="1" ht="12.75" x14ac:dyDescent="0.2">
      <c r="B13000" s="1168"/>
    </row>
    <row r="13001" spans="2:2" s="221" customFormat="1" ht="12.75" x14ac:dyDescent="0.2">
      <c r="B13001" s="1168"/>
    </row>
    <row r="13002" spans="2:2" s="221" customFormat="1" ht="12.75" x14ac:dyDescent="0.2">
      <c r="B13002" s="1168"/>
    </row>
    <row r="13003" spans="2:2" s="221" customFormat="1" ht="12.75" x14ac:dyDescent="0.2">
      <c r="B13003" s="1168"/>
    </row>
    <row r="13004" spans="2:2" s="221" customFormat="1" ht="12.75" x14ac:dyDescent="0.2">
      <c r="B13004" s="1168"/>
    </row>
    <row r="13005" spans="2:2" s="221" customFormat="1" ht="12.75" x14ac:dyDescent="0.2">
      <c r="B13005" s="1168"/>
    </row>
    <row r="13006" spans="2:2" s="221" customFormat="1" ht="12.75" x14ac:dyDescent="0.2">
      <c r="B13006" s="1168"/>
    </row>
    <row r="13007" spans="2:2" s="221" customFormat="1" ht="12.75" x14ac:dyDescent="0.2">
      <c r="B13007" s="1168"/>
    </row>
    <row r="13008" spans="2:2" s="221" customFormat="1" ht="12.75" x14ac:dyDescent="0.2">
      <c r="B13008" s="1168"/>
    </row>
    <row r="13009" spans="2:2" s="221" customFormat="1" ht="12.75" x14ac:dyDescent="0.2">
      <c r="B13009" s="1168"/>
    </row>
    <row r="13010" spans="2:2" s="221" customFormat="1" ht="12.75" x14ac:dyDescent="0.2">
      <c r="B13010" s="1168"/>
    </row>
    <row r="13011" spans="2:2" s="221" customFormat="1" ht="12.75" x14ac:dyDescent="0.2">
      <c r="B13011" s="1168"/>
    </row>
    <row r="13012" spans="2:2" s="221" customFormat="1" ht="12.75" x14ac:dyDescent="0.2">
      <c r="B13012" s="1168"/>
    </row>
    <row r="13013" spans="2:2" s="221" customFormat="1" ht="12.75" x14ac:dyDescent="0.2">
      <c r="B13013" s="1168"/>
    </row>
    <row r="13014" spans="2:2" s="221" customFormat="1" ht="12.75" x14ac:dyDescent="0.2">
      <c r="B13014" s="1168"/>
    </row>
    <row r="13015" spans="2:2" s="221" customFormat="1" ht="12.75" x14ac:dyDescent="0.2">
      <c r="B13015" s="1168"/>
    </row>
    <row r="13016" spans="2:2" s="221" customFormat="1" ht="12.75" x14ac:dyDescent="0.2">
      <c r="B13016" s="1168"/>
    </row>
    <row r="13017" spans="2:2" s="221" customFormat="1" ht="12.75" x14ac:dyDescent="0.2">
      <c r="B13017" s="1168"/>
    </row>
    <row r="13018" spans="2:2" s="221" customFormat="1" ht="12.75" x14ac:dyDescent="0.2">
      <c r="B13018" s="1168"/>
    </row>
    <row r="13019" spans="2:2" s="221" customFormat="1" ht="12.75" x14ac:dyDescent="0.2">
      <c r="B13019" s="1168"/>
    </row>
    <row r="13020" spans="2:2" s="221" customFormat="1" ht="12.75" x14ac:dyDescent="0.2">
      <c r="B13020" s="1168"/>
    </row>
    <row r="13021" spans="2:2" s="221" customFormat="1" ht="12.75" x14ac:dyDescent="0.2">
      <c r="B13021" s="1168"/>
    </row>
    <row r="13022" spans="2:2" s="221" customFormat="1" ht="12.75" x14ac:dyDescent="0.2">
      <c r="B13022" s="1168"/>
    </row>
    <row r="13023" spans="2:2" s="221" customFormat="1" ht="12.75" x14ac:dyDescent="0.2">
      <c r="B13023" s="1168"/>
    </row>
    <row r="13024" spans="2:2" s="221" customFormat="1" ht="12.75" x14ac:dyDescent="0.2">
      <c r="B13024" s="1168"/>
    </row>
    <row r="13025" spans="2:2" s="221" customFormat="1" ht="12.75" x14ac:dyDescent="0.2">
      <c r="B13025" s="1168"/>
    </row>
    <row r="13026" spans="2:2" s="221" customFormat="1" ht="12.75" x14ac:dyDescent="0.2">
      <c r="B13026" s="1168"/>
    </row>
    <row r="13027" spans="2:2" s="221" customFormat="1" ht="12.75" x14ac:dyDescent="0.2">
      <c r="B13027" s="1168"/>
    </row>
    <row r="13028" spans="2:2" s="221" customFormat="1" ht="12.75" x14ac:dyDescent="0.2">
      <c r="B13028" s="1168"/>
    </row>
    <row r="13029" spans="2:2" s="221" customFormat="1" ht="12.75" x14ac:dyDescent="0.2">
      <c r="B13029" s="1168"/>
    </row>
    <row r="13030" spans="2:2" s="221" customFormat="1" ht="12.75" x14ac:dyDescent="0.2">
      <c r="B13030" s="1168"/>
    </row>
    <row r="13031" spans="2:2" s="221" customFormat="1" ht="12.75" x14ac:dyDescent="0.2">
      <c r="B13031" s="1168"/>
    </row>
    <row r="13032" spans="2:2" s="221" customFormat="1" ht="12.75" x14ac:dyDescent="0.2">
      <c r="B13032" s="1168"/>
    </row>
    <row r="13033" spans="2:2" s="221" customFormat="1" ht="12.75" x14ac:dyDescent="0.2">
      <c r="B13033" s="1168"/>
    </row>
    <row r="13034" spans="2:2" s="221" customFormat="1" ht="12.75" x14ac:dyDescent="0.2">
      <c r="B13034" s="1168"/>
    </row>
    <row r="13035" spans="2:2" s="221" customFormat="1" ht="12.75" x14ac:dyDescent="0.2">
      <c r="B13035" s="1168"/>
    </row>
    <row r="13036" spans="2:2" s="221" customFormat="1" ht="12.75" x14ac:dyDescent="0.2">
      <c r="B13036" s="1168"/>
    </row>
    <row r="13037" spans="2:2" s="221" customFormat="1" ht="12.75" x14ac:dyDescent="0.2">
      <c r="B13037" s="1168"/>
    </row>
    <row r="13038" spans="2:2" s="221" customFormat="1" ht="12.75" x14ac:dyDescent="0.2">
      <c r="B13038" s="1168"/>
    </row>
    <row r="13039" spans="2:2" s="221" customFormat="1" ht="12.75" x14ac:dyDescent="0.2">
      <c r="B13039" s="1168"/>
    </row>
    <row r="13040" spans="2:2" s="221" customFormat="1" ht="12.75" x14ac:dyDescent="0.2">
      <c r="B13040" s="1168"/>
    </row>
    <row r="13041" spans="2:2" s="221" customFormat="1" ht="12.75" x14ac:dyDescent="0.2">
      <c r="B13041" s="1168"/>
    </row>
    <row r="13042" spans="2:2" s="221" customFormat="1" ht="12.75" x14ac:dyDescent="0.2">
      <c r="B13042" s="1168"/>
    </row>
    <row r="13043" spans="2:2" s="221" customFormat="1" ht="12.75" x14ac:dyDescent="0.2">
      <c r="B13043" s="1168"/>
    </row>
    <row r="13044" spans="2:2" s="221" customFormat="1" ht="12.75" x14ac:dyDescent="0.2">
      <c r="B13044" s="1168"/>
    </row>
    <row r="13045" spans="2:2" s="221" customFormat="1" ht="12.75" x14ac:dyDescent="0.2">
      <c r="B13045" s="1168"/>
    </row>
    <row r="13046" spans="2:2" s="221" customFormat="1" ht="12.75" x14ac:dyDescent="0.2">
      <c r="B13046" s="1168"/>
    </row>
    <row r="13047" spans="2:2" s="221" customFormat="1" ht="12.75" x14ac:dyDescent="0.2">
      <c r="B13047" s="1168"/>
    </row>
    <row r="13048" spans="2:2" s="221" customFormat="1" ht="12.75" x14ac:dyDescent="0.2">
      <c r="B13048" s="1168"/>
    </row>
    <row r="13049" spans="2:2" s="221" customFormat="1" ht="12.75" x14ac:dyDescent="0.2">
      <c r="B13049" s="1168"/>
    </row>
    <row r="13050" spans="2:2" s="221" customFormat="1" ht="12.75" x14ac:dyDescent="0.2">
      <c r="B13050" s="1168"/>
    </row>
    <row r="13051" spans="2:2" s="221" customFormat="1" ht="12.75" x14ac:dyDescent="0.2">
      <c r="B13051" s="1168"/>
    </row>
    <row r="13052" spans="2:2" s="221" customFormat="1" ht="12.75" x14ac:dyDescent="0.2">
      <c r="B13052" s="1168"/>
    </row>
    <row r="13053" spans="2:2" s="221" customFormat="1" ht="12.75" x14ac:dyDescent="0.2">
      <c r="B13053" s="1168"/>
    </row>
    <row r="13054" spans="2:2" s="221" customFormat="1" ht="12.75" x14ac:dyDescent="0.2">
      <c r="B13054" s="1168"/>
    </row>
    <row r="13055" spans="2:2" s="221" customFormat="1" ht="12.75" x14ac:dyDescent="0.2">
      <c r="B13055" s="1168"/>
    </row>
    <row r="13056" spans="2:2" s="221" customFormat="1" ht="12.75" x14ac:dyDescent="0.2">
      <c r="B13056" s="1168"/>
    </row>
    <row r="13057" spans="2:2" s="221" customFormat="1" ht="12.75" x14ac:dyDescent="0.2">
      <c r="B13057" s="1168"/>
    </row>
    <row r="13058" spans="2:2" s="221" customFormat="1" ht="12.75" x14ac:dyDescent="0.2">
      <c r="B13058" s="1168"/>
    </row>
    <row r="13059" spans="2:2" s="221" customFormat="1" ht="12.75" x14ac:dyDescent="0.2">
      <c r="B13059" s="1168"/>
    </row>
    <row r="13060" spans="2:2" s="221" customFormat="1" ht="12.75" x14ac:dyDescent="0.2">
      <c r="B13060" s="1168"/>
    </row>
    <row r="13061" spans="2:2" s="221" customFormat="1" ht="12.75" x14ac:dyDescent="0.2">
      <c r="B13061" s="1168"/>
    </row>
    <row r="13062" spans="2:2" s="221" customFormat="1" ht="12.75" x14ac:dyDescent="0.2">
      <c r="B13062" s="1168"/>
    </row>
    <row r="13063" spans="2:2" s="221" customFormat="1" ht="12.75" x14ac:dyDescent="0.2">
      <c r="B13063" s="1168"/>
    </row>
    <row r="13064" spans="2:2" s="221" customFormat="1" ht="12.75" x14ac:dyDescent="0.2">
      <c r="B13064" s="1168"/>
    </row>
    <row r="13065" spans="2:2" s="221" customFormat="1" ht="12.75" x14ac:dyDescent="0.2">
      <c r="B13065" s="1168"/>
    </row>
    <row r="13066" spans="2:2" s="221" customFormat="1" ht="12.75" x14ac:dyDescent="0.2">
      <c r="B13066" s="1168"/>
    </row>
    <row r="13067" spans="2:2" s="221" customFormat="1" ht="12.75" x14ac:dyDescent="0.2">
      <c r="B13067" s="1168"/>
    </row>
    <row r="13068" spans="2:2" s="221" customFormat="1" ht="12.75" x14ac:dyDescent="0.2">
      <c r="B13068" s="1168"/>
    </row>
    <row r="13069" spans="2:2" s="221" customFormat="1" ht="12.75" x14ac:dyDescent="0.2">
      <c r="B13069" s="1168"/>
    </row>
    <row r="13070" spans="2:2" s="221" customFormat="1" ht="12.75" x14ac:dyDescent="0.2">
      <c r="B13070" s="1168"/>
    </row>
    <row r="13071" spans="2:2" s="221" customFormat="1" ht="12.75" x14ac:dyDescent="0.2">
      <c r="B13071" s="1168"/>
    </row>
    <row r="13072" spans="2:2" s="221" customFormat="1" ht="12.75" x14ac:dyDescent="0.2">
      <c r="B13072" s="1168"/>
    </row>
    <row r="13073" spans="2:2" s="221" customFormat="1" ht="12.75" x14ac:dyDescent="0.2">
      <c r="B13073" s="1168"/>
    </row>
    <row r="13074" spans="2:2" s="221" customFormat="1" ht="12.75" x14ac:dyDescent="0.2">
      <c r="B13074" s="1168"/>
    </row>
    <row r="13075" spans="2:2" s="221" customFormat="1" ht="12.75" x14ac:dyDescent="0.2">
      <c r="B13075" s="1168"/>
    </row>
    <row r="13076" spans="2:2" s="221" customFormat="1" ht="12.75" x14ac:dyDescent="0.2">
      <c r="B13076" s="1168"/>
    </row>
    <row r="13077" spans="2:2" s="221" customFormat="1" ht="12.75" x14ac:dyDescent="0.2">
      <c r="B13077" s="1168"/>
    </row>
    <row r="13078" spans="2:2" s="221" customFormat="1" ht="12.75" x14ac:dyDescent="0.2">
      <c r="B13078" s="1168"/>
    </row>
    <row r="13079" spans="2:2" s="221" customFormat="1" ht="12.75" x14ac:dyDescent="0.2">
      <c r="B13079" s="1168"/>
    </row>
    <row r="13080" spans="2:2" s="221" customFormat="1" ht="12.75" x14ac:dyDescent="0.2">
      <c r="B13080" s="1168"/>
    </row>
    <row r="13081" spans="2:2" s="221" customFormat="1" ht="12.75" x14ac:dyDescent="0.2">
      <c r="B13081" s="1168"/>
    </row>
    <row r="13082" spans="2:2" s="221" customFormat="1" ht="12.75" x14ac:dyDescent="0.2">
      <c r="B13082" s="1168"/>
    </row>
    <row r="13083" spans="2:2" s="221" customFormat="1" ht="12.75" x14ac:dyDescent="0.2">
      <c r="B13083" s="1168"/>
    </row>
    <row r="13084" spans="2:2" s="221" customFormat="1" ht="12.75" x14ac:dyDescent="0.2">
      <c r="B13084" s="1168"/>
    </row>
    <row r="13085" spans="2:2" s="221" customFormat="1" ht="12.75" x14ac:dyDescent="0.2">
      <c r="B13085" s="1168"/>
    </row>
    <row r="13086" spans="2:2" s="221" customFormat="1" ht="12.75" x14ac:dyDescent="0.2">
      <c r="B13086" s="1168"/>
    </row>
    <row r="13087" spans="2:2" s="221" customFormat="1" ht="12.75" x14ac:dyDescent="0.2">
      <c r="B13087" s="1168"/>
    </row>
    <row r="13088" spans="2:2" s="221" customFormat="1" ht="12.75" x14ac:dyDescent="0.2">
      <c r="B13088" s="1168"/>
    </row>
    <row r="13089" spans="2:2" s="221" customFormat="1" ht="12.75" x14ac:dyDescent="0.2">
      <c r="B13089" s="1168"/>
    </row>
    <row r="13090" spans="2:2" s="221" customFormat="1" ht="12.75" x14ac:dyDescent="0.2">
      <c r="B13090" s="1168"/>
    </row>
    <row r="13091" spans="2:2" s="221" customFormat="1" ht="12.75" x14ac:dyDescent="0.2">
      <c r="B13091" s="1168"/>
    </row>
    <row r="13092" spans="2:2" s="221" customFormat="1" ht="12.75" x14ac:dyDescent="0.2">
      <c r="B13092" s="1168"/>
    </row>
    <row r="13093" spans="2:2" s="221" customFormat="1" ht="12.75" x14ac:dyDescent="0.2">
      <c r="B13093" s="1168"/>
    </row>
    <row r="13094" spans="2:2" s="221" customFormat="1" ht="12.75" x14ac:dyDescent="0.2">
      <c r="B13094" s="1168"/>
    </row>
    <row r="13095" spans="2:2" s="221" customFormat="1" ht="12.75" x14ac:dyDescent="0.2">
      <c r="B13095" s="1168"/>
    </row>
    <row r="13096" spans="2:2" s="221" customFormat="1" ht="12.75" x14ac:dyDescent="0.2">
      <c r="B13096" s="1168"/>
    </row>
    <row r="13097" spans="2:2" s="221" customFormat="1" ht="12.75" x14ac:dyDescent="0.2">
      <c r="B13097" s="1168"/>
    </row>
    <row r="13098" spans="2:2" s="221" customFormat="1" ht="12.75" x14ac:dyDescent="0.2">
      <c r="B13098" s="1168"/>
    </row>
    <row r="13099" spans="2:2" s="221" customFormat="1" ht="12.75" x14ac:dyDescent="0.2">
      <c r="B13099" s="1168"/>
    </row>
    <row r="13100" spans="2:2" s="221" customFormat="1" ht="12.75" x14ac:dyDescent="0.2">
      <c r="B13100" s="1168"/>
    </row>
    <row r="13101" spans="2:2" s="221" customFormat="1" ht="12.75" x14ac:dyDescent="0.2">
      <c r="B13101" s="1168"/>
    </row>
    <row r="13102" spans="2:2" s="221" customFormat="1" ht="12.75" x14ac:dyDescent="0.2">
      <c r="B13102" s="1168"/>
    </row>
    <row r="13103" spans="2:2" s="221" customFormat="1" ht="12.75" x14ac:dyDescent="0.2">
      <c r="B13103" s="1168"/>
    </row>
    <row r="13104" spans="2:2" s="221" customFormat="1" ht="12.75" x14ac:dyDescent="0.2">
      <c r="B13104" s="1168"/>
    </row>
    <row r="13105" spans="2:2" s="221" customFormat="1" ht="12.75" x14ac:dyDescent="0.2">
      <c r="B13105" s="1168"/>
    </row>
    <row r="13106" spans="2:2" s="221" customFormat="1" ht="12.75" x14ac:dyDescent="0.2">
      <c r="B13106" s="1168"/>
    </row>
    <row r="13107" spans="2:2" s="221" customFormat="1" ht="12.75" x14ac:dyDescent="0.2">
      <c r="B13107" s="1168"/>
    </row>
    <row r="13108" spans="2:2" s="221" customFormat="1" ht="12.75" x14ac:dyDescent="0.2">
      <c r="B13108" s="1168"/>
    </row>
    <row r="13109" spans="2:2" s="221" customFormat="1" ht="12.75" x14ac:dyDescent="0.2">
      <c r="B13109" s="1168"/>
    </row>
    <row r="13110" spans="2:2" s="221" customFormat="1" ht="12.75" x14ac:dyDescent="0.2">
      <c r="B13110" s="1168"/>
    </row>
    <row r="13111" spans="2:2" s="221" customFormat="1" ht="12.75" x14ac:dyDescent="0.2">
      <c r="B13111" s="1168"/>
    </row>
    <row r="13112" spans="2:2" s="221" customFormat="1" ht="12.75" x14ac:dyDescent="0.2">
      <c r="B13112" s="1168"/>
    </row>
    <row r="13113" spans="2:2" s="221" customFormat="1" ht="12.75" x14ac:dyDescent="0.2">
      <c r="B13113" s="1168"/>
    </row>
    <row r="13114" spans="2:2" s="221" customFormat="1" ht="12.75" x14ac:dyDescent="0.2">
      <c r="B13114" s="1168"/>
    </row>
    <row r="13115" spans="2:2" s="221" customFormat="1" ht="12.75" x14ac:dyDescent="0.2">
      <c r="B13115" s="1168"/>
    </row>
    <row r="13116" spans="2:2" s="221" customFormat="1" ht="12.75" x14ac:dyDescent="0.2">
      <c r="B13116" s="1168"/>
    </row>
    <row r="13117" spans="2:2" s="221" customFormat="1" ht="12.75" x14ac:dyDescent="0.2">
      <c r="B13117" s="1168"/>
    </row>
    <row r="13118" spans="2:2" s="221" customFormat="1" ht="12.75" x14ac:dyDescent="0.2">
      <c r="B13118" s="1168"/>
    </row>
    <row r="13119" spans="2:2" s="221" customFormat="1" ht="12.75" x14ac:dyDescent="0.2">
      <c r="B13119" s="1168"/>
    </row>
    <row r="13120" spans="2:2" s="221" customFormat="1" ht="12.75" x14ac:dyDescent="0.2">
      <c r="B13120" s="1168"/>
    </row>
    <row r="13121" spans="2:2" s="221" customFormat="1" ht="12.75" x14ac:dyDescent="0.2">
      <c r="B13121" s="1168"/>
    </row>
    <row r="13122" spans="2:2" s="221" customFormat="1" ht="12.75" x14ac:dyDescent="0.2">
      <c r="B13122" s="1168"/>
    </row>
    <row r="13123" spans="2:2" s="221" customFormat="1" ht="12.75" x14ac:dyDescent="0.2">
      <c r="B13123" s="1168"/>
    </row>
    <row r="13124" spans="2:2" s="221" customFormat="1" ht="12.75" x14ac:dyDescent="0.2">
      <c r="B13124" s="1168"/>
    </row>
    <row r="13125" spans="2:2" s="221" customFormat="1" ht="12.75" x14ac:dyDescent="0.2">
      <c r="B13125" s="1168"/>
    </row>
    <row r="13126" spans="2:2" s="221" customFormat="1" ht="12.75" x14ac:dyDescent="0.2">
      <c r="B13126" s="1168"/>
    </row>
    <row r="13127" spans="2:2" s="221" customFormat="1" ht="12.75" x14ac:dyDescent="0.2">
      <c r="B13127" s="1168"/>
    </row>
    <row r="13128" spans="2:2" s="221" customFormat="1" ht="12.75" x14ac:dyDescent="0.2">
      <c r="B13128" s="1168"/>
    </row>
    <row r="13129" spans="2:2" s="221" customFormat="1" ht="12.75" x14ac:dyDescent="0.2">
      <c r="B13129" s="1168"/>
    </row>
    <row r="13130" spans="2:2" s="221" customFormat="1" ht="12.75" x14ac:dyDescent="0.2">
      <c r="B13130" s="1168"/>
    </row>
    <row r="13131" spans="2:2" s="221" customFormat="1" ht="12.75" x14ac:dyDescent="0.2">
      <c r="B13131" s="1168"/>
    </row>
    <row r="13132" spans="2:2" s="221" customFormat="1" ht="12.75" x14ac:dyDescent="0.2">
      <c r="B13132" s="1168"/>
    </row>
    <row r="13133" spans="2:2" s="221" customFormat="1" ht="12.75" x14ac:dyDescent="0.2">
      <c r="B13133" s="1168"/>
    </row>
    <row r="13134" spans="2:2" s="221" customFormat="1" ht="12.75" x14ac:dyDescent="0.2">
      <c r="B13134" s="1168"/>
    </row>
    <row r="13135" spans="2:2" s="221" customFormat="1" ht="12.75" x14ac:dyDescent="0.2">
      <c r="B13135" s="1168"/>
    </row>
    <row r="13136" spans="2:2" s="221" customFormat="1" ht="12.75" x14ac:dyDescent="0.2">
      <c r="B13136" s="1168"/>
    </row>
    <row r="13137" spans="2:2" s="221" customFormat="1" ht="12.75" x14ac:dyDescent="0.2">
      <c r="B13137" s="1168"/>
    </row>
    <row r="13138" spans="2:2" s="221" customFormat="1" ht="12.75" x14ac:dyDescent="0.2">
      <c r="B13138" s="1168"/>
    </row>
    <row r="13139" spans="2:2" s="221" customFormat="1" ht="12.75" x14ac:dyDescent="0.2">
      <c r="B13139" s="1168"/>
    </row>
    <row r="13140" spans="2:2" s="221" customFormat="1" ht="12.75" x14ac:dyDescent="0.2">
      <c r="B13140" s="1168"/>
    </row>
    <row r="13141" spans="2:2" s="221" customFormat="1" ht="12.75" x14ac:dyDescent="0.2">
      <c r="B13141" s="1168"/>
    </row>
    <row r="13142" spans="2:2" s="221" customFormat="1" ht="12.75" x14ac:dyDescent="0.2">
      <c r="B13142" s="1168"/>
    </row>
    <row r="13143" spans="2:2" s="221" customFormat="1" ht="12.75" x14ac:dyDescent="0.2">
      <c r="B13143" s="1168"/>
    </row>
    <row r="13144" spans="2:2" s="221" customFormat="1" ht="12.75" x14ac:dyDescent="0.2">
      <c r="B13144" s="1168"/>
    </row>
    <row r="13145" spans="2:2" s="221" customFormat="1" ht="12.75" x14ac:dyDescent="0.2">
      <c r="B13145" s="1168"/>
    </row>
    <row r="13146" spans="2:2" s="221" customFormat="1" ht="12.75" x14ac:dyDescent="0.2">
      <c r="B13146" s="1168"/>
    </row>
    <row r="13147" spans="2:2" s="221" customFormat="1" ht="12.75" x14ac:dyDescent="0.2">
      <c r="B13147" s="1168"/>
    </row>
    <row r="13148" spans="2:2" s="221" customFormat="1" ht="12.75" x14ac:dyDescent="0.2">
      <c r="B13148" s="1168"/>
    </row>
    <row r="13149" spans="2:2" s="221" customFormat="1" ht="12.75" x14ac:dyDescent="0.2">
      <c r="B13149" s="1168"/>
    </row>
    <row r="13150" spans="2:2" s="221" customFormat="1" ht="12.75" x14ac:dyDescent="0.2">
      <c r="B13150" s="1168"/>
    </row>
    <row r="13151" spans="2:2" s="221" customFormat="1" ht="12.75" x14ac:dyDescent="0.2">
      <c r="B13151" s="1168"/>
    </row>
    <row r="13152" spans="2:2" s="221" customFormat="1" ht="12.75" x14ac:dyDescent="0.2">
      <c r="B13152" s="1168"/>
    </row>
    <row r="13153" spans="2:2" s="221" customFormat="1" ht="12.75" x14ac:dyDescent="0.2">
      <c r="B13153" s="1168"/>
    </row>
    <row r="13154" spans="2:2" s="221" customFormat="1" ht="12.75" x14ac:dyDescent="0.2">
      <c r="B13154" s="1168"/>
    </row>
    <row r="13155" spans="2:2" s="221" customFormat="1" ht="12.75" x14ac:dyDescent="0.2">
      <c r="B13155" s="1168"/>
    </row>
    <row r="13156" spans="2:2" s="221" customFormat="1" ht="12.75" x14ac:dyDescent="0.2">
      <c r="B13156" s="1168"/>
    </row>
    <row r="13157" spans="2:2" s="221" customFormat="1" ht="12.75" x14ac:dyDescent="0.2">
      <c r="B13157" s="1168"/>
    </row>
    <row r="13158" spans="2:2" s="221" customFormat="1" ht="12.75" x14ac:dyDescent="0.2">
      <c r="B13158" s="1168"/>
    </row>
    <row r="13159" spans="2:2" s="221" customFormat="1" ht="12.75" x14ac:dyDescent="0.2">
      <c r="B13159" s="1168"/>
    </row>
    <row r="13160" spans="2:2" s="221" customFormat="1" ht="12.75" x14ac:dyDescent="0.2">
      <c r="B13160" s="1168"/>
    </row>
    <row r="13161" spans="2:2" s="221" customFormat="1" ht="12.75" x14ac:dyDescent="0.2">
      <c r="B13161" s="1168"/>
    </row>
    <row r="13162" spans="2:2" s="221" customFormat="1" ht="12.75" x14ac:dyDescent="0.2">
      <c r="B13162" s="1168"/>
    </row>
    <row r="13163" spans="2:2" s="221" customFormat="1" ht="12.75" x14ac:dyDescent="0.2">
      <c r="B13163" s="1168"/>
    </row>
    <row r="13164" spans="2:2" s="221" customFormat="1" ht="12.75" x14ac:dyDescent="0.2">
      <c r="B13164" s="1168"/>
    </row>
    <row r="13165" spans="2:2" s="221" customFormat="1" ht="12.75" x14ac:dyDescent="0.2">
      <c r="B13165" s="1168"/>
    </row>
    <row r="13166" spans="2:2" s="221" customFormat="1" ht="12.75" x14ac:dyDescent="0.2">
      <c r="B13166" s="1168"/>
    </row>
    <row r="13167" spans="2:2" s="221" customFormat="1" ht="12.75" x14ac:dyDescent="0.2">
      <c r="B13167" s="1168"/>
    </row>
    <row r="13168" spans="2:2" s="221" customFormat="1" ht="12.75" x14ac:dyDescent="0.2">
      <c r="B13168" s="1168"/>
    </row>
    <row r="13169" spans="2:2" s="221" customFormat="1" ht="12.75" x14ac:dyDescent="0.2">
      <c r="B13169" s="1168"/>
    </row>
    <row r="13170" spans="2:2" s="221" customFormat="1" ht="12.75" x14ac:dyDescent="0.2">
      <c r="B13170" s="1168"/>
    </row>
    <row r="13171" spans="2:2" s="221" customFormat="1" ht="12.75" x14ac:dyDescent="0.2">
      <c r="B13171" s="1168"/>
    </row>
    <row r="13172" spans="2:2" s="221" customFormat="1" ht="12.75" x14ac:dyDescent="0.2">
      <c r="B13172" s="1168"/>
    </row>
    <row r="13173" spans="2:2" s="221" customFormat="1" ht="12.75" x14ac:dyDescent="0.2">
      <c r="B13173" s="1168"/>
    </row>
    <row r="13174" spans="2:2" s="221" customFormat="1" ht="12.75" x14ac:dyDescent="0.2">
      <c r="B13174" s="1168"/>
    </row>
    <row r="13175" spans="2:2" s="221" customFormat="1" ht="12.75" x14ac:dyDescent="0.2">
      <c r="B13175" s="1168"/>
    </row>
    <row r="13176" spans="2:2" s="221" customFormat="1" ht="12.75" x14ac:dyDescent="0.2">
      <c r="B13176" s="1168"/>
    </row>
    <row r="13177" spans="2:2" s="221" customFormat="1" ht="12.75" x14ac:dyDescent="0.2">
      <c r="B13177" s="1168"/>
    </row>
    <row r="13178" spans="2:2" s="221" customFormat="1" ht="12.75" x14ac:dyDescent="0.2">
      <c r="B13178" s="1168"/>
    </row>
    <row r="13179" spans="2:2" s="221" customFormat="1" ht="12.75" x14ac:dyDescent="0.2">
      <c r="B13179" s="1168"/>
    </row>
    <row r="13180" spans="2:2" s="221" customFormat="1" ht="12.75" x14ac:dyDescent="0.2">
      <c r="B13180" s="1168"/>
    </row>
    <row r="13181" spans="2:2" s="221" customFormat="1" ht="12.75" x14ac:dyDescent="0.2">
      <c r="B13181" s="1168"/>
    </row>
    <row r="13182" spans="2:2" s="221" customFormat="1" ht="12.75" x14ac:dyDescent="0.2">
      <c r="B13182" s="1168"/>
    </row>
    <row r="13183" spans="2:2" s="221" customFormat="1" ht="12.75" x14ac:dyDescent="0.2">
      <c r="B13183" s="1168"/>
    </row>
    <row r="13184" spans="2:2" s="221" customFormat="1" ht="12.75" x14ac:dyDescent="0.2">
      <c r="B13184" s="1168"/>
    </row>
    <row r="13185" spans="2:2" s="221" customFormat="1" ht="12.75" x14ac:dyDescent="0.2">
      <c r="B13185" s="1168"/>
    </row>
    <row r="13186" spans="2:2" s="221" customFormat="1" ht="12.75" x14ac:dyDescent="0.2">
      <c r="B13186" s="1168"/>
    </row>
    <row r="13187" spans="2:2" s="221" customFormat="1" ht="12.75" x14ac:dyDescent="0.2">
      <c r="B13187" s="1168"/>
    </row>
    <row r="13188" spans="2:2" s="221" customFormat="1" ht="12.75" x14ac:dyDescent="0.2">
      <c r="B13188" s="1168"/>
    </row>
    <row r="13189" spans="2:2" s="221" customFormat="1" ht="12.75" x14ac:dyDescent="0.2">
      <c r="B13189" s="1168"/>
    </row>
    <row r="13190" spans="2:2" s="221" customFormat="1" ht="12.75" x14ac:dyDescent="0.2">
      <c r="B13190" s="1168"/>
    </row>
    <row r="13191" spans="2:2" s="221" customFormat="1" ht="12.75" x14ac:dyDescent="0.2">
      <c r="B13191" s="1168"/>
    </row>
    <row r="13192" spans="2:2" s="221" customFormat="1" ht="12.75" x14ac:dyDescent="0.2">
      <c r="B13192" s="1168"/>
    </row>
    <row r="13193" spans="2:2" s="221" customFormat="1" ht="12.75" x14ac:dyDescent="0.2">
      <c r="B13193" s="1168"/>
    </row>
    <row r="13194" spans="2:2" s="221" customFormat="1" ht="12.75" x14ac:dyDescent="0.2">
      <c r="B13194" s="1168"/>
    </row>
    <row r="13195" spans="2:2" s="221" customFormat="1" ht="12.75" x14ac:dyDescent="0.2">
      <c r="B13195" s="1168"/>
    </row>
    <row r="13196" spans="2:2" s="221" customFormat="1" ht="12.75" x14ac:dyDescent="0.2">
      <c r="B13196" s="1168"/>
    </row>
    <row r="13197" spans="2:2" s="221" customFormat="1" ht="12.75" x14ac:dyDescent="0.2">
      <c r="B13197" s="1168"/>
    </row>
    <row r="13198" spans="2:2" s="221" customFormat="1" ht="12.75" x14ac:dyDescent="0.2">
      <c r="B13198" s="1168"/>
    </row>
    <row r="13199" spans="2:2" s="221" customFormat="1" ht="12.75" x14ac:dyDescent="0.2">
      <c r="B13199" s="1168"/>
    </row>
    <row r="13200" spans="2:2" s="221" customFormat="1" ht="12.75" x14ac:dyDescent="0.2">
      <c r="B13200" s="1168"/>
    </row>
    <row r="13201" spans="2:2" s="221" customFormat="1" ht="12.75" x14ac:dyDescent="0.2">
      <c r="B13201" s="1168"/>
    </row>
    <row r="13202" spans="2:2" s="221" customFormat="1" ht="12.75" x14ac:dyDescent="0.2">
      <c r="B13202" s="1168"/>
    </row>
    <row r="13203" spans="2:2" s="221" customFormat="1" ht="12.75" x14ac:dyDescent="0.2">
      <c r="B13203" s="1168"/>
    </row>
    <row r="13204" spans="2:2" s="221" customFormat="1" ht="12.75" x14ac:dyDescent="0.2">
      <c r="B13204" s="1168"/>
    </row>
    <row r="13205" spans="2:2" s="221" customFormat="1" ht="12.75" x14ac:dyDescent="0.2">
      <c r="B13205" s="1168"/>
    </row>
    <row r="13206" spans="2:2" s="221" customFormat="1" ht="12.75" x14ac:dyDescent="0.2">
      <c r="B13206" s="1168"/>
    </row>
    <row r="13207" spans="2:2" s="221" customFormat="1" ht="12.75" x14ac:dyDescent="0.2">
      <c r="B13207" s="1168"/>
    </row>
    <row r="13208" spans="2:2" s="221" customFormat="1" ht="12.75" x14ac:dyDescent="0.2">
      <c r="B13208" s="1168"/>
    </row>
    <row r="13209" spans="2:2" s="221" customFormat="1" ht="12.75" x14ac:dyDescent="0.2">
      <c r="B13209" s="1168"/>
    </row>
    <row r="13210" spans="2:2" s="221" customFormat="1" ht="12.75" x14ac:dyDescent="0.2">
      <c r="B13210" s="1168"/>
    </row>
    <row r="13211" spans="2:2" s="221" customFormat="1" ht="12.75" x14ac:dyDescent="0.2">
      <c r="B13211" s="1168"/>
    </row>
    <row r="13212" spans="2:2" s="221" customFormat="1" ht="12.75" x14ac:dyDescent="0.2">
      <c r="B13212" s="1168"/>
    </row>
    <row r="13213" spans="2:2" s="221" customFormat="1" ht="12.75" x14ac:dyDescent="0.2">
      <c r="B13213" s="1168"/>
    </row>
    <row r="13214" spans="2:2" s="221" customFormat="1" ht="12.75" x14ac:dyDescent="0.2">
      <c r="B13214" s="1168"/>
    </row>
    <row r="13215" spans="2:2" s="221" customFormat="1" ht="12.75" x14ac:dyDescent="0.2">
      <c r="B13215" s="1168"/>
    </row>
    <row r="13216" spans="2:2" s="221" customFormat="1" ht="12.75" x14ac:dyDescent="0.2">
      <c r="B13216" s="1168"/>
    </row>
    <row r="13217" spans="2:2" s="221" customFormat="1" ht="12.75" x14ac:dyDescent="0.2">
      <c r="B13217" s="1168"/>
    </row>
    <row r="13218" spans="2:2" s="221" customFormat="1" ht="12.75" x14ac:dyDescent="0.2">
      <c r="B13218" s="1168"/>
    </row>
    <row r="13219" spans="2:2" s="221" customFormat="1" ht="12.75" x14ac:dyDescent="0.2">
      <c r="B13219" s="1168"/>
    </row>
    <row r="13220" spans="2:2" s="221" customFormat="1" ht="12.75" x14ac:dyDescent="0.2">
      <c r="B13220" s="1168"/>
    </row>
    <row r="13221" spans="2:2" s="221" customFormat="1" ht="12.75" x14ac:dyDescent="0.2">
      <c r="B13221" s="1168"/>
    </row>
    <row r="13222" spans="2:2" s="221" customFormat="1" ht="12.75" x14ac:dyDescent="0.2">
      <c r="B13222" s="1168"/>
    </row>
    <row r="13223" spans="2:2" s="221" customFormat="1" ht="12.75" x14ac:dyDescent="0.2">
      <c r="B13223" s="1168"/>
    </row>
    <row r="13224" spans="2:2" s="221" customFormat="1" ht="12.75" x14ac:dyDescent="0.2">
      <c r="B13224" s="1168"/>
    </row>
    <row r="13225" spans="2:2" s="221" customFormat="1" ht="12.75" x14ac:dyDescent="0.2">
      <c r="B13225" s="1168"/>
    </row>
    <row r="13226" spans="2:2" s="221" customFormat="1" ht="12.75" x14ac:dyDescent="0.2">
      <c r="B13226" s="1168"/>
    </row>
    <row r="13227" spans="2:2" s="221" customFormat="1" ht="12.75" x14ac:dyDescent="0.2">
      <c r="B13227" s="1168"/>
    </row>
    <row r="13228" spans="2:2" s="221" customFormat="1" ht="12.75" x14ac:dyDescent="0.2">
      <c r="B13228" s="1168"/>
    </row>
    <row r="13229" spans="2:2" s="221" customFormat="1" ht="12.75" x14ac:dyDescent="0.2">
      <c r="B13229" s="1168"/>
    </row>
    <row r="13230" spans="2:2" s="221" customFormat="1" ht="12.75" x14ac:dyDescent="0.2">
      <c r="B13230" s="1168"/>
    </row>
    <row r="13231" spans="2:2" s="221" customFormat="1" ht="12.75" x14ac:dyDescent="0.2">
      <c r="B13231" s="1168"/>
    </row>
    <row r="13232" spans="2:2" s="221" customFormat="1" ht="12.75" x14ac:dyDescent="0.2">
      <c r="B13232" s="1168"/>
    </row>
    <row r="13233" spans="2:2" s="221" customFormat="1" ht="12.75" x14ac:dyDescent="0.2">
      <c r="B13233" s="1168"/>
    </row>
    <row r="13234" spans="2:2" s="221" customFormat="1" ht="12.75" x14ac:dyDescent="0.2">
      <c r="B13234" s="1168"/>
    </row>
    <row r="13235" spans="2:2" s="221" customFormat="1" ht="12.75" x14ac:dyDescent="0.2">
      <c r="B13235" s="1168"/>
    </row>
    <row r="13236" spans="2:2" s="221" customFormat="1" ht="12.75" x14ac:dyDescent="0.2">
      <c r="B13236" s="1168"/>
    </row>
    <row r="13237" spans="2:2" s="221" customFormat="1" ht="12.75" x14ac:dyDescent="0.2">
      <c r="B13237" s="1168"/>
    </row>
    <row r="13238" spans="2:2" s="221" customFormat="1" ht="12.75" x14ac:dyDescent="0.2">
      <c r="B13238" s="1168"/>
    </row>
    <row r="13239" spans="2:2" s="221" customFormat="1" ht="12.75" x14ac:dyDescent="0.2">
      <c r="B13239" s="1168"/>
    </row>
    <row r="13240" spans="2:2" s="221" customFormat="1" ht="12.75" x14ac:dyDescent="0.2">
      <c r="B13240" s="1168"/>
    </row>
    <row r="13241" spans="2:2" s="221" customFormat="1" ht="12.75" x14ac:dyDescent="0.2">
      <c r="B13241" s="1168"/>
    </row>
    <row r="13242" spans="2:2" s="221" customFormat="1" ht="12.75" x14ac:dyDescent="0.2">
      <c r="B13242" s="1168"/>
    </row>
    <row r="13243" spans="2:2" s="221" customFormat="1" ht="12.75" x14ac:dyDescent="0.2">
      <c r="B13243" s="1168"/>
    </row>
    <row r="13244" spans="2:2" s="221" customFormat="1" ht="12.75" x14ac:dyDescent="0.2">
      <c r="B13244" s="1168"/>
    </row>
    <row r="13245" spans="2:2" s="221" customFormat="1" ht="12.75" x14ac:dyDescent="0.2">
      <c r="B13245" s="1168"/>
    </row>
    <row r="13246" spans="2:2" s="221" customFormat="1" ht="12.75" x14ac:dyDescent="0.2">
      <c r="B13246" s="1168"/>
    </row>
    <row r="13247" spans="2:2" s="221" customFormat="1" ht="12.75" x14ac:dyDescent="0.2">
      <c r="B13247" s="1168"/>
    </row>
    <row r="13248" spans="2:2" s="221" customFormat="1" ht="12.75" x14ac:dyDescent="0.2">
      <c r="B13248" s="1168"/>
    </row>
    <row r="13249" spans="2:2" s="221" customFormat="1" ht="12.75" x14ac:dyDescent="0.2">
      <c r="B13249" s="1168"/>
    </row>
    <row r="13250" spans="2:2" s="221" customFormat="1" ht="12.75" x14ac:dyDescent="0.2">
      <c r="B13250" s="1168"/>
    </row>
    <row r="13251" spans="2:2" s="221" customFormat="1" ht="12.75" x14ac:dyDescent="0.2">
      <c r="B13251" s="1168"/>
    </row>
    <row r="13252" spans="2:2" s="221" customFormat="1" ht="12.75" x14ac:dyDescent="0.2">
      <c r="B13252" s="1168"/>
    </row>
    <row r="13253" spans="2:2" s="221" customFormat="1" ht="12.75" x14ac:dyDescent="0.2">
      <c r="B13253" s="1168"/>
    </row>
    <row r="13254" spans="2:2" s="221" customFormat="1" ht="12.75" x14ac:dyDescent="0.2">
      <c r="B13254" s="1168"/>
    </row>
    <row r="13255" spans="2:2" s="221" customFormat="1" ht="12.75" x14ac:dyDescent="0.2">
      <c r="B13255" s="1168"/>
    </row>
    <row r="13256" spans="2:2" s="221" customFormat="1" ht="12.75" x14ac:dyDescent="0.2">
      <c r="B13256" s="1168"/>
    </row>
    <row r="13257" spans="2:2" s="221" customFormat="1" ht="12.75" x14ac:dyDescent="0.2">
      <c r="B13257" s="1168"/>
    </row>
    <row r="13258" spans="2:2" s="221" customFormat="1" ht="12.75" x14ac:dyDescent="0.2">
      <c r="B13258" s="1168"/>
    </row>
    <row r="13259" spans="2:2" s="221" customFormat="1" ht="12.75" x14ac:dyDescent="0.2">
      <c r="B13259" s="1168"/>
    </row>
    <row r="13260" spans="2:2" s="221" customFormat="1" ht="12.75" x14ac:dyDescent="0.2">
      <c r="B13260" s="1168"/>
    </row>
    <row r="13261" spans="2:2" s="221" customFormat="1" ht="12.75" x14ac:dyDescent="0.2">
      <c r="B13261" s="1168"/>
    </row>
    <row r="13262" spans="2:2" s="221" customFormat="1" ht="12.75" x14ac:dyDescent="0.2">
      <c r="B13262" s="1168"/>
    </row>
    <row r="13263" spans="2:2" s="221" customFormat="1" ht="12.75" x14ac:dyDescent="0.2">
      <c r="B13263" s="1168"/>
    </row>
    <row r="13264" spans="2:2" s="221" customFormat="1" ht="12.75" x14ac:dyDescent="0.2">
      <c r="B13264" s="1168"/>
    </row>
    <row r="13265" spans="2:2" s="221" customFormat="1" ht="12.75" x14ac:dyDescent="0.2">
      <c r="B13265" s="1168"/>
    </row>
    <row r="13266" spans="2:2" s="221" customFormat="1" ht="12.75" x14ac:dyDescent="0.2">
      <c r="B13266" s="1168"/>
    </row>
    <row r="13267" spans="2:2" s="221" customFormat="1" ht="12.75" x14ac:dyDescent="0.2">
      <c r="B13267" s="1168"/>
    </row>
    <row r="13268" spans="2:2" s="221" customFormat="1" ht="12.75" x14ac:dyDescent="0.2">
      <c r="B13268" s="1168"/>
    </row>
    <row r="13269" spans="2:2" s="221" customFormat="1" ht="12.75" x14ac:dyDescent="0.2">
      <c r="B13269" s="1168"/>
    </row>
    <row r="13270" spans="2:2" s="221" customFormat="1" ht="12.75" x14ac:dyDescent="0.2">
      <c r="B13270" s="1168"/>
    </row>
    <row r="13271" spans="2:2" s="221" customFormat="1" ht="12.75" x14ac:dyDescent="0.2">
      <c r="B13271" s="1168"/>
    </row>
    <row r="13272" spans="2:2" s="221" customFormat="1" ht="12.75" x14ac:dyDescent="0.2">
      <c r="B13272" s="1168"/>
    </row>
    <row r="13273" spans="2:2" s="221" customFormat="1" ht="12.75" x14ac:dyDescent="0.2">
      <c r="B13273" s="1168"/>
    </row>
    <row r="13274" spans="2:2" s="221" customFormat="1" ht="12.75" x14ac:dyDescent="0.2">
      <c r="B13274" s="1168"/>
    </row>
    <row r="13275" spans="2:2" s="221" customFormat="1" ht="12.75" x14ac:dyDescent="0.2">
      <c r="B13275" s="1168"/>
    </row>
    <row r="13276" spans="2:2" s="221" customFormat="1" ht="12.75" x14ac:dyDescent="0.2">
      <c r="B13276" s="1168"/>
    </row>
    <row r="13277" spans="2:2" s="221" customFormat="1" ht="12.75" x14ac:dyDescent="0.2">
      <c r="B13277" s="1168"/>
    </row>
    <row r="13278" spans="2:2" s="221" customFormat="1" ht="12.75" x14ac:dyDescent="0.2">
      <c r="B13278" s="1168"/>
    </row>
    <row r="13279" spans="2:2" s="221" customFormat="1" ht="12.75" x14ac:dyDescent="0.2">
      <c r="B13279" s="1168"/>
    </row>
    <row r="13280" spans="2:2" s="221" customFormat="1" ht="12.75" x14ac:dyDescent="0.2">
      <c r="B13280" s="1168"/>
    </row>
    <row r="13281" spans="2:2" s="221" customFormat="1" ht="12.75" x14ac:dyDescent="0.2">
      <c r="B13281" s="1168"/>
    </row>
    <row r="13282" spans="2:2" s="221" customFormat="1" ht="12.75" x14ac:dyDescent="0.2">
      <c r="B13282" s="1168"/>
    </row>
    <row r="13283" spans="2:2" s="221" customFormat="1" ht="12.75" x14ac:dyDescent="0.2">
      <c r="B13283" s="1168"/>
    </row>
    <row r="13284" spans="2:2" s="221" customFormat="1" ht="12.75" x14ac:dyDescent="0.2">
      <c r="B13284" s="1168"/>
    </row>
    <row r="13285" spans="2:2" s="221" customFormat="1" ht="12.75" x14ac:dyDescent="0.2">
      <c r="B13285" s="1168"/>
    </row>
    <row r="13286" spans="2:2" s="221" customFormat="1" ht="12.75" x14ac:dyDescent="0.2">
      <c r="B13286" s="1168"/>
    </row>
    <row r="13287" spans="2:2" s="221" customFormat="1" ht="12.75" x14ac:dyDescent="0.2">
      <c r="B13287" s="1168"/>
    </row>
    <row r="13288" spans="2:2" s="221" customFormat="1" ht="12.75" x14ac:dyDescent="0.2">
      <c r="B13288" s="1168"/>
    </row>
    <row r="13289" spans="2:2" s="221" customFormat="1" ht="12.75" x14ac:dyDescent="0.2">
      <c r="B13289" s="1168"/>
    </row>
    <row r="13290" spans="2:2" s="221" customFormat="1" ht="12.75" x14ac:dyDescent="0.2">
      <c r="B13290" s="1168"/>
    </row>
    <row r="13291" spans="2:2" s="221" customFormat="1" ht="12.75" x14ac:dyDescent="0.2">
      <c r="B13291" s="1168"/>
    </row>
    <row r="13292" spans="2:2" s="221" customFormat="1" ht="12.75" x14ac:dyDescent="0.2">
      <c r="B13292" s="1168"/>
    </row>
    <row r="13293" spans="2:2" s="221" customFormat="1" ht="12.75" x14ac:dyDescent="0.2">
      <c r="B13293" s="1168"/>
    </row>
    <row r="13294" spans="2:2" s="221" customFormat="1" ht="12.75" x14ac:dyDescent="0.2">
      <c r="B13294" s="1168"/>
    </row>
    <row r="13295" spans="2:2" s="221" customFormat="1" ht="12.75" x14ac:dyDescent="0.2">
      <c r="B13295" s="1168"/>
    </row>
    <row r="13296" spans="2:2" s="221" customFormat="1" ht="12.75" x14ac:dyDescent="0.2">
      <c r="B13296" s="1168"/>
    </row>
    <row r="13297" spans="2:2" s="221" customFormat="1" ht="12.75" x14ac:dyDescent="0.2">
      <c r="B13297" s="1168"/>
    </row>
    <row r="13298" spans="2:2" s="221" customFormat="1" ht="12.75" x14ac:dyDescent="0.2">
      <c r="B13298" s="1168"/>
    </row>
    <row r="13299" spans="2:2" s="221" customFormat="1" ht="12.75" x14ac:dyDescent="0.2">
      <c r="B13299" s="1168"/>
    </row>
    <row r="13300" spans="2:2" s="221" customFormat="1" ht="12.75" x14ac:dyDescent="0.2">
      <c r="B13300" s="1168"/>
    </row>
    <row r="13301" spans="2:2" s="221" customFormat="1" ht="12.75" x14ac:dyDescent="0.2">
      <c r="B13301" s="1168"/>
    </row>
    <row r="13302" spans="2:2" s="221" customFormat="1" ht="12.75" x14ac:dyDescent="0.2">
      <c r="B13302" s="1168"/>
    </row>
    <row r="13303" spans="2:2" s="221" customFormat="1" ht="12.75" x14ac:dyDescent="0.2">
      <c r="B13303" s="1168"/>
    </row>
    <row r="13304" spans="2:2" s="221" customFormat="1" ht="12.75" x14ac:dyDescent="0.2">
      <c r="B13304" s="1168"/>
    </row>
    <row r="13305" spans="2:2" s="221" customFormat="1" ht="12.75" x14ac:dyDescent="0.2">
      <c r="B13305" s="1168"/>
    </row>
    <row r="13306" spans="2:2" s="221" customFormat="1" ht="12.75" x14ac:dyDescent="0.2">
      <c r="B13306" s="1168"/>
    </row>
    <row r="13307" spans="2:2" s="221" customFormat="1" ht="12.75" x14ac:dyDescent="0.2">
      <c r="B13307" s="1168"/>
    </row>
    <row r="13308" spans="2:2" s="221" customFormat="1" ht="12.75" x14ac:dyDescent="0.2">
      <c r="B13308" s="1168"/>
    </row>
    <row r="13309" spans="2:2" s="221" customFormat="1" ht="12.75" x14ac:dyDescent="0.2">
      <c r="B13309" s="1168"/>
    </row>
    <row r="13310" spans="2:2" s="221" customFormat="1" ht="12.75" x14ac:dyDescent="0.2">
      <c r="B13310" s="1168"/>
    </row>
    <row r="13311" spans="2:2" s="221" customFormat="1" ht="12.75" x14ac:dyDescent="0.2">
      <c r="B13311" s="1168"/>
    </row>
    <row r="13312" spans="2:2" s="221" customFormat="1" ht="12.75" x14ac:dyDescent="0.2">
      <c r="B13312" s="1168"/>
    </row>
    <row r="13313" spans="2:2" s="221" customFormat="1" ht="12.75" x14ac:dyDescent="0.2">
      <c r="B13313" s="1168"/>
    </row>
    <row r="13314" spans="2:2" s="221" customFormat="1" ht="12.75" x14ac:dyDescent="0.2">
      <c r="B13314" s="1168"/>
    </row>
    <row r="13315" spans="2:2" s="221" customFormat="1" ht="12.75" x14ac:dyDescent="0.2">
      <c r="B13315" s="1168"/>
    </row>
    <row r="13316" spans="2:2" s="221" customFormat="1" ht="12.75" x14ac:dyDescent="0.2">
      <c r="B13316" s="1168"/>
    </row>
    <row r="13317" spans="2:2" s="221" customFormat="1" ht="12.75" x14ac:dyDescent="0.2">
      <c r="B13317" s="1168"/>
    </row>
    <row r="13318" spans="2:2" s="221" customFormat="1" ht="12.75" x14ac:dyDescent="0.2">
      <c r="B13318" s="1168"/>
    </row>
    <row r="13319" spans="2:2" s="221" customFormat="1" ht="12.75" x14ac:dyDescent="0.2">
      <c r="B13319" s="1168"/>
    </row>
    <row r="13320" spans="2:2" s="221" customFormat="1" ht="12.75" x14ac:dyDescent="0.2">
      <c r="B13320" s="1168"/>
    </row>
    <row r="13321" spans="2:2" s="221" customFormat="1" ht="12.75" x14ac:dyDescent="0.2">
      <c r="B13321" s="1168"/>
    </row>
    <row r="13322" spans="2:2" s="221" customFormat="1" ht="12.75" x14ac:dyDescent="0.2">
      <c r="B13322" s="1168"/>
    </row>
    <row r="13323" spans="2:2" s="221" customFormat="1" ht="12.75" x14ac:dyDescent="0.2">
      <c r="B13323" s="1168"/>
    </row>
    <row r="13324" spans="2:2" s="221" customFormat="1" ht="12.75" x14ac:dyDescent="0.2">
      <c r="B13324" s="1168"/>
    </row>
    <row r="13325" spans="2:2" s="221" customFormat="1" ht="12.75" x14ac:dyDescent="0.2">
      <c r="B13325" s="1168"/>
    </row>
    <row r="13326" spans="2:2" s="221" customFormat="1" ht="12.75" x14ac:dyDescent="0.2">
      <c r="B13326" s="1168"/>
    </row>
    <row r="13327" spans="2:2" s="221" customFormat="1" ht="12.75" x14ac:dyDescent="0.2">
      <c r="B13327" s="1168"/>
    </row>
    <row r="13328" spans="2:2" s="221" customFormat="1" ht="12.75" x14ac:dyDescent="0.2">
      <c r="B13328" s="1168"/>
    </row>
    <row r="13329" spans="2:2" s="221" customFormat="1" ht="12.75" x14ac:dyDescent="0.2">
      <c r="B13329" s="1168"/>
    </row>
    <row r="13330" spans="2:2" s="221" customFormat="1" ht="12.75" x14ac:dyDescent="0.2">
      <c r="B13330" s="1168"/>
    </row>
    <row r="13331" spans="2:2" s="221" customFormat="1" ht="12.75" x14ac:dyDescent="0.2">
      <c r="B13331" s="1168"/>
    </row>
    <row r="13332" spans="2:2" s="221" customFormat="1" ht="12.75" x14ac:dyDescent="0.2">
      <c r="B13332" s="1168"/>
    </row>
    <row r="13333" spans="2:2" s="221" customFormat="1" ht="12.75" x14ac:dyDescent="0.2">
      <c r="B13333" s="1168"/>
    </row>
    <row r="13334" spans="2:2" s="221" customFormat="1" ht="12.75" x14ac:dyDescent="0.2">
      <c r="B13334" s="1168"/>
    </row>
    <row r="13335" spans="2:2" s="221" customFormat="1" ht="12.75" x14ac:dyDescent="0.2">
      <c r="B13335" s="1168"/>
    </row>
    <row r="13336" spans="2:2" s="221" customFormat="1" ht="12.75" x14ac:dyDescent="0.2">
      <c r="B13336" s="1168"/>
    </row>
    <row r="13337" spans="2:2" s="221" customFormat="1" ht="12.75" x14ac:dyDescent="0.2">
      <c r="B13337" s="1168"/>
    </row>
    <row r="13338" spans="2:2" s="221" customFormat="1" ht="12.75" x14ac:dyDescent="0.2">
      <c r="B13338" s="1168"/>
    </row>
    <row r="13339" spans="2:2" s="221" customFormat="1" ht="12.75" x14ac:dyDescent="0.2">
      <c r="B13339" s="1168"/>
    </row>
    <row r="13340" spans="2:2" s="221" customFormat="1" ht="12.75" x14ac:dyDescent="0.2">
      <c r="B13340" s="1168"/>
    </row>
    <row r="13341" spans="2:2" s="221" customFormat="1" ht="12.75" x14ac:dyDescent="0.2">
      <c r="B13341" s="1168"/>
    </row>
    <row r="13342" spans="2:2" s="221" customFormat="1" ht="12.75" x14ac:dyDescent="0.2">
      <c r="B13342" s="1168"/>
    </row>
    <row r="13343" spans="2:2" s="221" customFormat="1" ht="12.75" x14ac:dyDescent="0.2">
      <c r="B13343" s="1168"/>
    </row>
    <row r="13344" spans="2:2" s="221" customFormat="1" ht="12.75" x14ac:dyDescent="0.2">
      <c r="B13344" s="1168"/>
    </row>
    <row r="13345" spans="2:2" s="221" customFormat="1" ht="12.75" x14ac:dyDescent="0.2">
      <c r="B13345" s="1168"/>
    </row>
    <row r="13346" spans="2:2" s="221" customFormat="1" ht="12.75" x14ac:dyDescent="0.2">
      <c r="B13346" s="1168"/>
    </row>
    <row r="13347" spans="2:2" s="221" customFormat="1" ht="12.75" x14ac:dyDescent="0.2">
      <c r="B13347" s="1168"/>
    </row>
    <row r="13348" spans="2:2" s="221" customFormat="1" ht="12.75" x14ac:dyDescent="0.2">
      <c r="B13348" s="1168"/>
    </row>
    <row r="13349" spans="2:2" s="221" customFormat="1" ht="12.75" x14ac:dyDescent="0.2">
      <c r="B13349" s="1168"/>
    </row>
    <row r="13350" spans="2:2" s="221" customFormat="1" ht="12.75" x14ac:dyDescent="0.2">
      <c r="B13350" s="1168"/>
    </row>
    <row r="13351" spans="2:2" s="221" customFormat="1" ht="12.75" x14ac:dyDescent="0.2">
      <c r="B13351" s="1168"/>
    </row>
    <row r="13352" spans="2:2" s="221" customFormat="1" ht="12.75" x14ac:dyDescent="0.2">
      <c r="B13352" s="1168"/>
    </row>
    <row r="13353" spans="2:2" s="221" customFormat="1" ht="12.75" x14ac:dyDescent="0.2">
      <c r="B13353" s="1168"/>
    </row>
    <row r="13354" spans="2:2" s="221" customFormat="1" ht="12.75" x14ac:dyDescent="0.2">
      <c r="B13354" s="1168"/>
    </row>
    <row r="13355" spans="2:2" s="221" customFormat="1" ht="12.75" x14ac:dyDescent="0.2">
      <c r="B13355" s="1168"/>
    </row>
    <row r="13356" spans="2:2" s="221" customFormat="1" ht="12.75" x14ac:dyDescent="0.2">
      <c r="B13356" s="1168"/>
    </row>
    <row r="13357" spans="2:2" s="221" customFormat="1" ht="12.75" x14ac:dyDescent="0.2">
      <c r="B13357" s="1168"/>
    </row>
    <row r="13358" spans="2:2" s="221" customFormat="1" ht="12.75" x14ac:dyDescent="0.2">
      <c r="B13358" s="1168"/>
    </row>
    <row r="13359" spans="2:2" s="221" customFormat="1" ht="12.75" x14ac:dyDescent="0.2">
      <c r="B13359" s="1168"/>
    </row>
    <row r="13360" spans="2:2" s="221" customFormat="1" ht="12.75" x14ac:dyDescent="0.2">
      <c r="B13360" s="1168"/>
    </row>
    <row r="13361" spans="2:2" s="221" customFormat="1" ht="12.75" x14ac:dyDescent="0.2">
      <c r="B13361" s="1168"/>
    </row>
    <row r="13362" spans="2:2" s="221" customFormat="1" ht="12.75" x14ac:dyDescent="0.2">
      <c r="B13362" s="1168"/>
    </row>
    <row r="13363" spans="2:2" s="221" customFormat="1" ht="12.75" x14ac:dyDescent="0.2">
      <c r="B13363" s="1168"/>
    </row>
    <row r="13364" spans="2:2" s="221" customFormat="1" ht="12.75" x14ac:dyDescent="0.2">
      <c r="B13364" s="1168"/>
    </row>
    <row r="13365" spans="2:2" s="221" customFormat="1" ht="12.75" x14ac:dyDescent="0.2">
      <c r="B13365" s="1168"/>
    </row>
    <row r="13366" spans="2:2" s="221" customFormat="1" ht="12.75" x14ac:dyDescent="0.2">
      <c r="B13366" s="1168"/>
    </row>
    <row r="13367" spans="2:2" s="221" customFormat="1" ht="12.75" x14ac:dyDescent="0.2">
      <c r="B13367" s="1168"/>
    </row>
    <row r="13368" spans="2:2" s="221" customFormat="1" ht="12.75" x14ac:dyDescent="0.2">
      <c r="B13368" s="1168"/>
    </row>
    <row r="13369" spans="2:2" s="221" customFormat="1" ht="12.75" x14ac:dyDescent="0.2">
      <c r="B13369" s="1168"/>
    </row>
    <row r="13370" spans="2:2" s="221" customFormat="1" ht="12.75" x14ac:dyDescent="0.2">
      <c r="B13370" s="1168"/>
    </row>
    <row r="13371" spans="2:2" s="221" customFormat="1" ht="12.75" x14ac:dyDescent="0.2">
      <c r="B13371" s="1168"/>
    </row>
    <row r="13372" spans="2:2" s="221" customFormat="1" ht="12.75" x14ac:dyDescent="0.2">
      <c r="B13372" s="1168"/>
    </row>
    <row r="13373" spans="2:2" s="221" customFormat="1" ht="12.75" x14ac:dyDescent="0.2">
      <c r="B13373" s="1168"/>
    </row>
    <row r="13374" spans="2:2" s="221" customFormat="1" ht="12.75" x14ac:dyDescent="0.2">
      <c r="B13374" s="1168"/>
    </row>
    <row r="13375" spans="2:2" s="221" customFormat="1" ht="12.75" x14ac:dyDescent="0.2">
      <c r="B13375" s="1168"/>
    </row>
    <row r="13376" spans="2:2" s="221" customFormat="1" ht="12.75" x14ac:dyDescent="0.2">
      <c r="B13376" s="1168"/>
    </row>
    <row r="13377" spans="2:2" s="221" customFormat="1" ht="12.75" x14ac:dyDescent="0.2">
      <c r="B13377" s="1168"/>
    </row>
    <row r="13378" spans="2:2" s="221" customFormat="1" ht="12.75" x14ac:dyDescent="0.2">
      <c r="B13378" s="1168"/>
    </row>
    <row r="13379" spans="2:2" s="221" customFormat="1" ht="12.75" x14ac:dyDescent="0.2">
      <c r="B13379" s="1168"/>
    </row>
    <row r="13380" spans="2:2" s="221" customFormat="1" ht="12.75" x14ac:dyDescent="0.2">
      <c r="B13380" s="1168"/>
    </row>
    <row r="13381" spans="2:2" s="221" customFormat="1" ht="12.75" x14ac:dyDescent="0.2">
      <c r="B13381" s="1168"/>
    </row>
    <row r="13382" spans="2:2" s="221" customFormat="1" ht="12.75" x14ac:dyDescent="0.2">
      <c r="B13382" s="1168"/>
    </row>
    <row r="13383" spans="2:2" s="221" customFormat="1" ht="12.75" x14ac:dyDescent="0.2">
      <c r="B13383" s="1168"/>
    </row>
    <row r="13384" spans="2:2" s="221" customFormat="1" ht="12.75" x14ac:dyDescent="0.2">
      <c r="B13384" s="1168"/>
    </row>
    <row r="13385" spans="2:2" s="221" customFormat="1" ht="12.75" x14ac:dyDescent="0.2">
      <c r="B13385" s="1168"/>
    </row>
    <row r="13386" spans="2:2" s="221" customFormat="1" ht="12.75" x14ac:dyDescent="0.2">
      <c r="B13386" s="1168"/>
    </row>
    <row r="13387" spans="2:2" s="221" customFormat="1" ht="12.75" x14ac:dyDescent="0.2">
      <c r="B13387" s="1168"/>
    </row>
    <row r="13388" spans="2:2" s="221" customFormat="1" ht="12.75" x14ac:dyDescent="0.2">
      <c r="B13388" s="1168"/>
    </row>
    <row r="13389" spans="2:2" s="221" customFormat="1" ht="12.75" x14ac:dyDescent="0.2">
      <c r="B13389" s="1168"/>
    </row>
    <row r="13390" spans="2:2" s="221" customFormat="1" ht="12.75" x14ac:dyDescent="0.2">
      <c r="B13390" s="1168"/>
    </row>
    <row r="13391" spans="2:2" s="221" customFormat="1" ht="12.75" x14ac:dyDescent="0.2">
      <c r="B13391" s="1168"/>
    </row>
    <row r="13392" spans="2:2" s="221" customFormat="1" ht="12.75" x14ac:dyDescent="0.2">
      <c r="B13392" s="1168"/>
    </row>
    <row r="13393" spans="2:2" s="221" customFormat="1" ht="12.75" x14ac:dyDescent="0.2">
      <c r="B13393" s="1168"/>
    </row>
    <row r="13394" spans="2:2" s="221" customFormat="1" ht="12.75" x14ac:dyDescent="0.2">
      <c r="B13394" s="1168"/>
    </row>
    <row r="13395" spans="2:2" s="221" customFormat="1" ht="12.75" x14ac:dyDescent="0.2">
      <c r="B13395" s="1168"/>
    </row>
    <row r="13396" spans="2:2" s="221" customFormat="1" ht="12.75" x14ac:dyDescent="0.2">
      <c r="B13396" s="1168"/>
    </row>
    <row r="13397" spans="2:2" s="221" customFormat="1" ht="12.75" x14ac:dyDescent="0.2">
      <c r="B13397" s="1168"/>
    </row>
    <row r="13398" spans="2:2" s="221" customFormat="1" ht="12.75" x14ac:dyDescent="0.2">
      <c r="B13398" s="1168"/>
    </row>
    <row r="13399" spans="2:2" s="221" customFormat="1" ht="12.75" x14ac:dyDescent="0.2">
      <c r="B13399" s="1168"/>
    </row>
    <row r="13400" spans="2:2" s="221" customFormat="1" ht="12.75" x14ac:dyDescent="0.2">
      <c r="B13400" s="1168"/>
    </row>
    <row r="13401" spans="2:2" s="221" customFormat="1" ht="12.75" x14ac:dyDescent="0.2">
      <c r="B13401" s="1168"/>
    </row>
    <row r="13402" spans="2:2" s="221" customFormat="1" ht="12.75" x14ac:dyDescent="0.2">
      <c r="B13402" s="1168"/>
    </row>
    <row r="13403" spans="2:2" s="221" customFormat="1" ht="12.75" x14ac:dyDescent="0.2">
      <c r="B13403" s="1168"/>
    </row>
    <row r="13404" spans="2:2" s="221" customFormat="1" ht="12.75" x14ac:dyDescent="0.2">
      <c r="B13404" s="1168"/>
    </row>
    <row r="13405" spans="2:2" s="221" customFormat="1" ht="12.75" x14ac:dyDescent="0.2">
      <c r="B13405" s="1168"/>
    </row>
    <row r="13406" spans="2:2" s="221" customFormat="1" ht="12.75" x14ac:dyDescent="0.2">
      <c r="B13406" s="1168"/>
    </row>
    <row r="13407" spans="2:2" s="221" customFormat="1" ht="12.75" x14ac:dyDescent="0.2">
      <c r="B13407" s="1168"/>
    </row>
    <row r="13408" spans="2:2" s="221" customFormat="1" ht="12.75" x14ac:dyDescent="0.2">
      <c r="B13408" s="1168"/>
    </row>
    <row r="13409" spans="2:2" s="221" customFormat="1" ht="12.75" x14ac:dyDescent="0.2">
      <c r="B13409" s="1168"/>
    </row>
    <row r="13410" spans="2:2" s="221" customFormat="1" ht="12.75" x14ac:dyDescent="0.2">
      <c r="B13410" s="1168"/>
    </row>
    <row r="13411" spans="2:2" s="221" customFormat="1" ht="12.75" x14ac:dyDescent="0.2">
      <c r="B13411" s="1168"/>
    </row>
    <row r="13412" spans="2:2" s="221" customFormat="1" ht="12.75" x14ac:dyDescent="0.2">
      <c r="B13412" s="1168"/>
    </row>
    <row r="13413" spans="2:2" s="221" customFormat="1" ht="12.75" x14ac:dyDescent="0.2">
      <c r="B13413" s="1168"/>
    </row>
    <row r="13414" spans="2:2" s="221" customFormat="1" ht="12.75" x14ac:dyDescent="0.2">
      <c r="B13414" s="1168"/>
    </row>
    <row r="13415" spans="2:2" s="221" customFormat="1" ht="12.75" x14ac:dyDescent="0.2">
      <c r="B13415" s="1168"/>
    </row>
    <row r="13416" spans="2:2" s="221" customFormat="1" ht="12.75" x14ac:dyDescent="0.2">
      <c r="B13416" s="1168"/>
    </row>
    <row r="13417" spans="2:2" s="221" customFormat="1" ht="12.75" x14ac:dyDescent="0.2">
      <c r="B13417" s="1168"/>
    </row>
    <row r="13418" spans="2:2" s="221" customFormat="1" ht="12.75" x14ac:dyDescent="0.2">
      <c r="B13418" s="1168"/>
    </row>
    <row r="13419" spans="2:2" s="221" customFormat="1" ht="12.75" x14ac:dyDescent="0.2">
      <c r="B13419" s="1168"/>
    </row>
    <row r="13420" spans="2:2" s="221" customFormat="1" ht="12.75" x14ac:dyDescent="0.2">
      <c r="B13420" s="1168"/>
    </row>
    <row r="13421" spans="2:2" s="221" customFormat="1" ht="12.75" x14ac:dyDescent="0.2">
      <c r="B13421" s="1168"/>
    </row>
    <row r="13422" spans="2:2" s="221" customFormat="1" ht="12.75" x14ac:dyDescent="0.2">
      <c r="B13422" s="1168"/>
    </row>
    <row r="13423" spans="2:2" s="221" customFormat="1" ht="12.75" x14ac:dyDescent="0.2">
      <c r="B13423" s="1168"/>
    </row>
    <row r="13424" spans="2:2" s="221" customFormat="1" ht="12.75" x14ac:dyDescent="0.2">
      <c r="B13424" s="1168"/>
    </row>
    <row r="13425" spans="2:2" s="221" customFormat="1" ht="12.75" x14ac:dyDescent="0.2">
      <c r="B13425" s="1168"/>
    </row>
    <row r="13426" spans="2:2" s="221" customFormat="1" ht="12.75" x14ac:dyDescent="0.2">
      <c r="B13426" s="1168"/>
    </row>
    <row r="13427" spans="2:2" s="221" customFormat="1" ht="12.75" x14ac:dyDescent="0.2">
      <c r="B13427" s="1168"/>
    </row>
    <row r="13428" spans="2:2" s="221" customFormat="1" ht="12.75" x14ac:dyDescent="0.2">
      <c r="B13428" s="1168"/>
    </row>
    <row r="13429" spans="2:2" s="221" customFormat="1" ht="12.75" x14ac:dyDescent="0.2">
      <c r="B13429" s="1168"/>
    </row>
    <row r="13430" spans="2:2" s="221" customFormat="1" ht="12.75" x14ac:dyDescent="0.2">
      <c r="B13430" s="1168"/>
    </row>
    <row r="13431" spans="2:2" s="221" customFormat="1" ht="12.75" x14ac:dyDescent="0.2">
      <c r="B13431" s="1168"/>
    </row>
    <row r="13432" spans="2:2" s="221" customFormat="1" ht="12.75" x14ac:dyDescent="0.2">
      <c r="B13432" s="1168"/>
    </row>
    <row r="13433" spans="2:2" s="221" customFormat="1" ht="12.75" x14ac:dyDescent="0.2">
      <c r="B13433" s="1168"/>
    </row>
    <row r="13434" spans="2:2" s="221" customFormat="1" ht="12.75" x14ac:dyDescent="0.2">
      <c r="B13434" s="1168"/>
    </row>
    <row r="13435" spans="2:2" s="221" customFormat="1" ht="12.75" x14ac:dyDescent="0.2">
      <c r="B13435" s="1168"/>
    </row>
    <row r="13436" spans="2:2" s="221" customFormat="1" ht="12.75" x14ac:dyDescent="0.2">
      <c r="B13436" s="1168"/>
    </row>
    <row r="13437" spans="2:2" s="221" customFormat="1" ht="12.75" x14ac:dyDescent="0.2">
      <c r="B13437" s="1168"/>
    </row>
    <row r="13438" spans="2:2" s="221" customFormat="1" ht="12.75" x14ac:dyDescent="0.2">
      <c r="B13438" s="1168"/>
    </row>
    <row r="13439" spans="2:2" s="221" customFormat="1" ht="12.75" x14ac:dyDescent="0.2">
      <c r="B13439" s="1168"/>
    </row>
    <row r="13440" spans="2:2" s="221" customFormat="1" ht="12.75" x14ac:dyDescent="0.2">
      <c r="B13440" s="1168"/>
    </row>
    <row r="13441" spans="2:2" s="221" customFormat="1" ht="12.75" x14ac:dyDescent="0.2">
      <c r="B13441" s="1168"/>
    </row>
    <row r="13442" spans="2:2" s="221" customFormat="1" ht="12.75" x14ac:dyDescent="0.2">
      <c r="B13442" s="1168"/>
    </row>
    <row r="13443" spans="2:2" s="221" customFormat="1" ht="12.75" x14ac:dyDescent="0.2">
      <c r="B13443" s="1168"/>
    </row>
    <row r="13444" spans="2:2" s="221" customFormat="1" ht="12.75" x14ac:dyDescent="0.2">
      <c r="B13444" s="1168"/>
    </row>
    <row r="13445" spans="2:2" s="221" customFormat="1" ht="12.75" x14ac:dyDescent="0.2">
      <c r="B13445" s="1168"/>
    </row>
    <row r="13446" spans="2:2" s="221" customFormat="1" ht="12.75" x14ac:dyDescent="0.2">
      <c r="B13446" s="1168"/>
    </row>
    <row r="13447" spans="2:2" s="221" customFormat="1" ht="12.75" x14ac:dyDescent="0.2">
      <c r="B13447" s="1168"/>
    </row>
    <row r="13448" spans="2:2" s="221" customFormat="1" ht="12.75" x14ac:dyDescent="0.2">
      <c r="B13448" s="1168"/>
    </row>
    <row r="13449" spans="2:2" s="221" customFormat="1" ht="12.75" x14ac:dyDescent="0.2">
      <c r="B13449" s="1168"/>
    </row>
    <row r="13450" spans="2:2" s="221" customFormat="1" ht="12.75" x14ac:dyDescent="0.2">
      <c r="B13450" s="1168"/>
    </row>
    <row r="13451" spans="2:2" s="221" customFormat="1" ht="12.75" x14ac:dyDescent="0.2">
      <c r="B13451" s="1168"/>
    </row>
    <row r="13452" spans="2:2" s="221" customFormat="1" ht="12.75" x14ac:dyDescent="0.2">
      <c r="B13452" s="1168"/>
    </row>
    <row r="13453" spans="2:2" s="221" customFormat="1" ht="12.75" x14ac:dyDescent="0.2">
      <c r="B13453" s="1168"/>
    </row>
    <row r="13454" spans="2:2" s="221" customFormat="1" ht="12.75" x14ac:dyDescent="0.2">
      <c r="B13454" s="1168"/>
    </row>
    <row r="13455" spans="2:2" s="221" customFormat="1" ht="12.75" x14ac:dyDescent="0.2">
      <c r="B13455" s="1168"/>
    </row>
    <row r="13456" spans="2:2" s="221" customFormat="1" ht="12.75" x14ac:dyDescent="0.2">
      <c r="B13456" s="1168"/>
    </row>
    <row r="13457" spans="2:2" s="221" customFormat="1" ht="12.75" x14ac:dyDescent="0.2">
      <c r="B13457" s="1168"/>
    </row>
    <row r="13458" spans="2:2" s="221" customFormat="1" ht="12.75" x14ac:dyDescent="0.2">
      <c r="B13458" s="1168"/>
    </row>
    <row r="13459" spans="2:2" s="221" customFormat="1" ht="12.75" x14ac:dyDescent="0.2">
      <c r="B13459" s="1168"/>
    </row>
    <row r="13460" spans="2:2" s="221" customFormat="1" ht="12.75" x14ac:dyDescent="0.2">
      <c r="B13460" s="1168"/>
    </row>
    <row r="13461" spans="2:2" s="221" customFormat="1" ht="12.75" x14ac:dyDescent="0.2">
      <c r="B13461" s="1168"/>
    </row>
    <row r="13462" spans="2:2" s="221" customFormat="1" ht="12.75" x14ac:dyDescent="0.2">
      <c r="B13462" s="1168"/>
    </row>
    <row r="13463" spans="2:2" s="221" customFormat="1" ht="12.75" x14ac:dyDescent="0.2">
      <c r="B13463" s="1168"/>
    </row>
    <row r="13464" spans="2:2" s="221" customFormat="1" ht="12.75" x14ac:dyDescent="0.2">
      <c r="B13464" s="1168"/>
    </row>
    <row r="13465" spans="2:2" s="221" customFormat="1" ht="12.75" x14ac:dyDescent="0.2">
      <c r="B13465" s="1168"/>
    </row>
    <row r="13466" spans="2:2" s="221" customFormat="1" ht="12.75" x14ac:dyDescent="0.2">
      <c r="B13466" s="1168"/>
    </row>
    <row r="13467" spans="2:2" s="221" customFormat="1" ht="12.75" x14ac:dyDescent="0.2">
      <c r="B13467" s="1168"/>
    </row>
    <row r="13468" spans="2:2" s="221" customFormat="1" ht="12.75" x14ac:dyDescent="0.2">
      <c r="B13468" s="1168"/>
    </row>
    <row r="13469" spans="2:2" s="221" customFormat="1" ht="12.75" x14ac:dyDescent="0.2">
      <c r="B13469" s="1168"/>
    </row>
    <row r="13470" spans="2:2" s="221" customFormat="1" ht="12.75" x14ac:dyDescent="0.2">
      <c r="B13470" s="1168"/>
    </row>
    <row r="13471" spans="2:2" s="221" customFormat="1" ht="12.75" x14ac:dyDescent="0.2">
      <c r="B13471" s="1168"/>
    </row>
    <row r="13472" spans="2:2" s="221" customFormat="1" ht="12.75" x14ac:dyDescent="0.2">
      <c r="B13472" s="1168"/>
    </row>
    <row r="13473" spans="2:2" s="221" customFormat="1" ht="12.75" x14ac:dyDescent="0.2">
      <c r="B13473" s="1168"/>
    </row>
    <row r="13474" spans="2:2" s="221" customFormat="1" ht="12.75" x14ac:dyDescent="0.2">
      <c r="B13474" s="1168"/>
    </row>
    <row r="13475" spans="2:2" s="221" customFormat="1" ht="12.75" x14ac:dyDescent="0.2">
      <c r="B13475" s="1168"/>
    </row>
    <row r="13476" spans="2:2" s="221" customFormat="1" ht="12.75" x14ac:dyDescent="0.2">
      <c r="B13476" s="1168"/>
    </row>
    <row r="13477" spans="2:2" s="221" customFormat="1" ht="12.75" x14ac:dyDescent="0.2">
      <c r="B13477" s="1168"/>
    </row>
    <row r="13478" spans="2:2" s="221" customFormat="1" ht="12.75" x14ac:dyDescent="0.2">
      <c r="B13478" s="1168"/>
    </row>
    <row r="13479" spans="2:2" s="221" customFormat="1" ht="12.75" x14ac:dyDescent="0.2">
      <c r="B13479" s="1168"/>
    </row>
    <row r="13480" spans="2:2" s="221" customFormat="1" ht="12.75" x14ac:dyDescent="0.2">
      <c r="B13480" s="1168"/>
    </row>
    <row r="13481" spans="2:2" s="221" customFormat="1" ht="12.75" x14ac:dyDescent="0.2">
      <c r="B13481" s="1168"/>
    </row>
    <row r="13482" spans="2:2" s="221" customFormat="1" ht="12.75" x14ac:dyDescent="0.2">
      <c r="B13482" s="1168"/>
    </row>
    <row r="13483" spans="2:2" s="221" customFormat="1" ht="12.75" x14ac:dyDescent="0.2">
      <c r="B13483" s="1168"/>
    </row>
    <row r="13484" spans="2:2" s="221" customFormat="1" ht="12.75" x14ac:dyDescent="0.2">
      <c r="B13484" s="1168"/>
    </row>
    <row r="13485" spans="2:2" s="221" customFormat="1" ht="12.75" x14ac:dyDescent="0.2">
      <c r="B13485" s="1168"/>
    </row>
    <row r="13486" spans="2:2" s="221" customFormat="1" ht="12.75" x14ac:dyDescent="0.2">
      <c r="B13486" s="1168"/>
    </row>
    <row r="13487" spans="2:2" s="221" customFormat="1" ht="12.75" x14ac:dyDescent="0.2">
      <c r="B13487" s="1168"/>
    </row>
    <row r="13488" spans="2:2" s="221" customFormat="1" ht="12.75" x14ac:dyDescent="0.2">
      <c r="B13488" s="1168"/>
    </row>
    <row r="13489" spans="2:2" s="221" customFormat="1" ht="12.75" x14ac:dyDescent="0.2">
      <c r="B13489" s="1168"/>
    </row>
    <row r="13490" spans="2:2" s="221" customFormat="1" ht="12.75" x14ac:dyDescent="0.2">
      <c r="B13490" s="1168"/>
    </row>
    <row r="13491" spans="2:2" s="221" customFormat="1" ht="12.75" x14ac:dyDescent="0.2">
      <c r="B13491" s="1168"/>
    </row>
    <row r="13492" spans="2:2" s="221" customFormat="1" ht="12.75" x14ac:dyDescent="0.2">
      <c r="B13492" s="1168"/>
    </row>
    <row r="13493" spans="2:2" s="221" customFormat="1" ht="12.75" x14ac:dyDescent="0.2">
      <c r="B13493" s="1168"/>
    </row>
    <row r="13494" spans="2:2" s="221" customFormat="1" ht="12.75" x14ac:dyDescent="0.2">
      <c r="B13494" s="1168"/>
    </row>
    <row r="13495" spans="2:2" s="221" customFormat="1" ht="12.75" x14ac:dyDescent="0.2">
      <c r="B13495" s="1168"/>
    </row>
    <row r="13496" spans="2:2" s="221" customFormat="1" ht="12.75" x14ac:dyDescent="0.2">
      <c r="B13496" s="1168"/>
    </row>
    <row r="13497" spans="2:2" s="221" customFormat="1" ht="12.75" x14ac:dyDescent="0.2">
      <c r="B13497" s="1168"/>
    </row>
    <row r="13498" spans="2:2" s="221" customFormat="1" ht="12.75" x14ac:dyDescent="0.2">
      <c r="B13498" s="1168"/>
    </row>
    <row r="13499" spans="2:2" s="221" customFormat="1" ht="12.75" x14ac:dyDescent="0.2">
      <c r="B13499" s="1168"/>
    </row>
    <row r="13500" spans="2:2" s="221" customFormat="1" ht="12.75" x14ac:dyDescent="0.2">
      <c r="B13500" s="1168"/>
    </row>
    <row r="13501" spans="2:2" s="221" customFormat="1" ht="12.75" x14ac:dyDescent="0.2">
      <c r="B13501" s="1168"/>
    </row>
    <row r="13502" spans="2:2" s="221" customFormat="1" ht="12.75" x14ac:dyDescent="0.2">
      <c r="B13502" s="1168"/>
    </row>
    <row r="13503" spans="2:2" s="221" customFormat="1" ht="12.75" x14ac:dyDescent="0.2">
      <c r="B13503" s="1168"/>
    </row>
    <row r="13504" spans="2:2" s="221" customFormat="1" ht="12.75" x14ac:dyDescent="0.2">
      <c r="B13504" s="1168"/>
    </row>
    <row r="13505" spans="2:2" s="221" customFormat="1" ht="12.75" x14ac:dyDescent="0.2">
      <c r="B13505" s="1168"/>
    </row>
    <row r="13506" spans="2:2" s="221" customFormat="1" ht="12.75" x14ac:dyDescent="0.2">
      <c r="B13506" s="1168"/>
    </row>
    <row r="13507" spans="2:2" s="221" customFormat="1" ht="12.75" x14ac:dyDescent="0.2">
      <c r="B13507" s="1168"/>
    </row>
    <row r="13508" spans="2:2" s="221" customFormat="1" ht="12.75" x14ac:dyDescent="0.2">
      <c r="B13508" s="1168"/>
    </row>
    <row r="13509" spans="2:2" s="221" customFormat="1" ht="12.75" x14ac:dyDescent="0.2">
      <c r="B13509" s="1168"/>
    </row>
    <row r="13510" spans="2:2" s="221" customFormat="1" ht="12.75" x14ac:dyDescent="0.2">
      <c r="B13510" s="1168"/>
    </row>
    <row r="13511" spans="2:2" s="221" customFormat="1" ht="12.75" x14ac:dyDescent="0.2">
      <c r="B13511" s="1168"/>
    </row>
    <row r="13512" spans="2:2" s="221" customFormat="1" ht="12.75" x14ac:dyDescent="0.2">
      <c r="B13512" s="1168"/>
    </row>
    <row r="13513" spans="2:2" s="221" customFormat="1" ht="12.75" x14ac:dyDescent="0.2">
      <c r="B13513" s="1168"/>
    </row>
    <row r="13514" spans="2:2" s="221" customFormat="1" ht="12.75" x14ac:dyDescent="0.2">
      <c r="B13514" s="1168"/>
    </row>
    <row r="13515" spans="2:2" s="221" customFormat="1" ht="12.75" x14ac:dyDescent="0.2">
      <c r="B13515" s="1168"/>
    </row>
    <row r="13516" spans="2:2" s="221" customFormat="1" ht="12.75" x14ac:dyDescent="0.2">
      <c r="B13516" s="1168"/>
    </row>
    <row r="13517" spans="2:2" s="221" customFormat="1" ht="12.75" x14ac:dyDescent="0.2">
      <c r="B13517" s="1168"/>
    </row>
    <row r="13518" spans="2:2" s="221" customFormat="1" ht="12.75" x14ac:dyDescent="0.2">
      <c r="B13518" s="1168"/>
    </row>
    <row r="13519" spans="2:2" s="221" customFormat="1" ht="12.75" x14ac:dyDescent="0.2">
      <c r="B13519" s="1168"/>
    </row>
    <row r="13520" spans="2:2" s="221" customFormat="1" ht="12.75" x14ac:dyDescent="0.2">
      <c r="B13520" s="1168"/>
    </row>
    <row r="13521" spans="2:2" s="221" customFormat="1" ht="12.75" x14ac:dyDescent="0.2">
      <c r="B13521" s="1168"/>
    </row>
    <row r="13522" spans="2:2" s="221" customFormat="1" ht="12.75" x14ac:dyDescent="0.2">
      <c r="B13522" s="1168"/>
    </row>
    <row r="13523" spans="2:2" s="221" customFormat="1" ht="12.75" x14ac:dyDescent="0.2">
      <c r="B13523" s="1168"/>
    </row>
    <row r="13524" spans="2:2" s="221" customFormat="1" ht="12.75" x14ac:dyDescent="0.2">
      <c r="B13524" s="1168"/>
    </row>
    <row r="13525" spans="2:2" s="221" customFormat="1" ht="12.75" x14ac:dyDescent="0.2">
      <c r="B13525" s="1168"/>
    </row>
    <row r="13526" spans="2:2" s="221" customFormat="1" ht="12.75" x14ac:dyDescent="0.2">
      <c r="B13526" s="1168"/>
    </row>
    <row r="13527" spans="2:2" s="221" customFormat="1" ht="12.75" x14ac:dyDescent="0.2">
      <c r="B13527" s="1168"/>
    </row>
    <row r="13528" spans="2:2" s="221" customFormat="1" ht="12.75" x14ac:dyDescent="0.2">
      <c r="B13528" s="1168"/>
    </row>
    <row r="13529" spans="2:2" s="221" customFormat="1" ht="12.75" x14ac:dyDescent="0.2">
      <c r="B13529" s="1168"/>
    </row>
    <row r="13530" spans="2:2" s="221" customFormat="1" ht="12.75" x14ac:dyDescent="0.2">
      <c r="B13530" s="1168"/>
    </row>
    <row r="13531" spans="2:2" s="221" customFormat="1" ht="12.75" x14ac:dyDescent="0.2">
      <c r="B13531" s="1168"/>
    </row>
    <row r="13532" spans="2:2" s="221" customFormat="1" ht="12.75" x14ac:dyDescent="0.2">
      <c r="B13532" s="1168"/>
    </row>
    <row r="13533" spans="2:2" s="221" customFormat="1" ht="12.75" x14ac:dyDescent="0.2">
      <c r="B13533" s="1168"/>
    </row>
    <row r="13534" spans="2:2" s="221" customFormat="1" ht="12.75" x14ac:dyDescent="0.2">
      <c r="B13534" s="1168"/>
    </row>
    <row r="13535" spans="2:2" s="221" customFormat="1" ht="12.75" x14ac:dyDescent="0.2">
      <c r="B13535" s="1168"/>
    </row>
    <row r="13536" spans="2:2" s="221" customFormat="1" ht="12.75" x14ac:dyDescent="0.2">
      <c r="B13536" s="1168"/>
    </row>
    <row r="13537" spans="2:2" s="221" customFormat="1" ht="12.75" x14ac:dyDescent="0.2">
      <c r="B13537" s="1168"/>
    </row>
    <row r="13538" spans="2:2" s="221" customFormat="1" ht="12.75" x14ac:dyDescent="0.2">
      <c r="B13538" s="1168"/>
    </row>
    <row r="13539" spans="2:2" s="221" customFormat="1" ht="12.75" x14ac:dyDescent="0.2">
      <c r="B13539" s="1168"/>
    </row>
    <row r="13540" spans="2:2" s="221" customFormat="1" ht="12.75" x14ac:dyDescent="0.2">
      <c r="B13540" s="1168"/>
    </row>
    <row r="13541" spans="2:2" s="221" customFormat="1" ht="12.75" x14ac:dyDescent="0.2">
      <c r="B13541" s="1168"/>
    </row>
    <row r="13542" spans="2:2" s="221" customFormat="1" ht="12.75" x14ac:dyDescent="0.2">
      <c r="B13542" s="1168"/>
    </row>
    <row r="13543" spans="2:2" s="221" customFormat="1" ht="12.75" x14ac:dyDescent="0.2">
      <c r="B13543" s="1168"/>
    </row>
    <row r="13544" spans="2:2" s="221" customFormat="1" ht="12.75" x14ac:dyDescent="0.2">
      <c r="B13544" s="1168"/>
    </row>
    <row r="13545" spans="2:2" s="221" customFormat="1" ht="12.75" x14ac:dyDescent="0.2">
      <c r="B13545" s="1168"/>
    </row>
    <row r="13546" spans="2:2" s="221" customFormat="1" ht="12.75" x14ac:dyDescent="0.2">
      <c r="B13546" s="1168"/>
    </row>
    <row r="13547" spans="2:2" s="221" customFormat="1" ht="12.75" x14ac:dyDescent="0.2">
      <c r="B13547" s="1168"/>
    </row>
    <row r="13548" spans="2:2" s="221" customFormat="1" ht="12.75" x14ac:dyDescent="0.2">
      <c r="B13548" s="1168"/>
    </row>
    <row r="13549" spans="2:2" s="221" customFormat="1" ht="12.75" x14ac:dyDescent="0.2">
      <c r="B13549" s="1168"/>
    </row>
    <row r="13550" spans="2:2" s="221" customFormat="1" ht="12.75" x14ac:dyDescent="0.2">
      <c r="B13550" s="1168"/>
    </row>
    <row r="13551" spans="2:2" s="221" customFormat="1" ht="12.75" x14ac:dyDescent="0.2">
      <c r="B13551" s="1168"/>
    </row>
    <row r="13552" spans="2:2" s="221" customFormat="1" ht="12.75" x14ac:dyDescent="0.2">
      <c r="B13552" s="1168"/>
    </row>
    <row r="13553" spans="2:2" s="221" customFormat="1" ht="12.75" x14ac:dyDescent="0.2">
      <c r="B13553" s="1168"/>
    </row>
    <row r="13554" spans="2:2" s="221" customFormat="1" ht="12.75" x14ac:dyDescent="0.2">
      <c r="B13554" s="1168"/>
    </row>
    <row r="13555" spans="2:2" s="221" customFormat="1" ht="12.75" x14ac:dyDescent="0.2">
      <c r="B13555" s="1168"/>
    </row>
    <row r="13556" spans="2:2" s="221" customFormat="1" ht="12.75" x14ac:dyDescent="0.2">
      <c r="B13556" s="1168"/>
    </row>
    <row r="13557" spans="2:2" s="221" customFormat="1" ht="12.75" x14ac:dyDescent="0.2">
      <c r="B13557" s="1168"/>
    </row>
    <row r="13558" spans="2:2" s="221" customFormat="1" ht="12.75" x14ac:dyDescent="0.2">
      <c r="B13558" s="1168"/>
    </row>
    <row r="13559" spans="2:2" s="221" customFormat="1" ht="12.75" x14ac:dyDescent="0.2">
      <c r="B13559" s="1168"/>
    </row>
    <row r="13560" spans="2:2" s="221" customFormat="1" ht="12.75" x14ac:dyDescent="0.2">
      <c r="B13560" s="1168"/>
    </row>
    <row r="13561" spans="2:2" s="221" customFormat="1" ht="12.75" x14ac:dyDescent="0.2">
      <c r="B13561" s="1168"/>
    </row>
    <row r="13562" spans="2:2" s="221" customFormat="1" ht="12.75" x14ac:dyDescent="0.2">
      <c r="B13562" s="1168"/>
    </row>
    <row r="13563" spans="2:2" s="221" customFormat="1" ht="12.75" x14ac:dyDescent="0.2">
      <c r="B13563" s="1168"/>
    </row>
    <row r="13564" spans="2:2" s="221" customFormat="1" ht="12.75" x14ac:dyDescent="0.2">
      <c r="B13564" s="1168"/>
    </row>
    <row r="13565" spans="2:2" s="221" customFormat="1" ht="12.75" x14ac:dyDescent="0.2">
      <c r="B13565" s="1168"/>
    </row>
    <row r="13566" spans="2:2" s="221" customFormat="1" ht="12.75" x14ac:dyDescent="0.2">
      <c r="B13566" s="1168"/>
    </row>
    <row r="13567" spans="2:2" s="221" customFormat="1" ht="12.75" x14ac:dyDescent="0.2">
      <c r="B13567" s="1168"/>
    </row>
    <row r="13568" spans="2:2" s="221" customFormat="1" ht="12.75" x14ac:dyDescent="0.2">
      <c r="B13568" s="1168"/>
    </row>
    <row r="13569" spans="2:2" s="221" customFormat="1" ht="12.75" x14ac:dyDescent="0.2">
      <c r="B13569" s="1168"/>
    </row>
    <row r="13570" spans="2:2" s="221" customFormat="1" ht="12.75" x14ac:dyDescent="0.2">
      <c r="B13570" s="1168"/>
    </row>
    <row r="13571" spans="2:2" s="221" customFormat="1" ht="12.75" x14ac:dyDescent="0.2">
      <c r="B13571" s="1168"/>
    </row>
    <row r="13572" spans="2:2" s="221" customFormat="1" ht="12.75" x14ac:dyDescent="0.2">
      <c r="B13572" s="1168"/>
    </row>
    <row r="13573" spans="2:2" s="221" customFormat="1" ht="12.75" x14ac:dyDescent="0.2">
      <c r="B13573" s="1168"/>
    </row>
    <row r="13574" spans="2:2" s="221" customFormat="1" ht="12.75" x14ac:dyDescent="0.2">
      <c r="B13574" s="1168"/>
    </row>
    <row r="13575" spans="2:2" s="221" customFormat="1" ht="12.75" x14ac:dyDescent="0.2">
      <c r="B13575" s="1168"/>
    </row>
    <row r="13576" spans="2:2" s="221" customFormat="1" ht="12.75" x14ac:dyDescent="0.2">
      <c r="B13576" s="1168"/>
    </row>
    <row r="13577" spans="2:2" s="221" customFormat="1" ht="12.75" x14ac:dyDescent="0.2">
      <c r="B13577" s="1168"/>
    </row>
    <row r="13578" spans="2:2" s="221" customFormat="1" ht="12.75" x14ac:dyDescent="0.2">
      <c r="B13578" s="1168"/>
    </row>
    <row r="13579" spans="2:2" s="221" customFormat="1" ht="12.75" x14ac:dyDescent="0.2">
      <c r="B13579" s="1168"/>
    </row>
    <row r="13580" spans="2:2" s="221" customFormat="1" ht="12.75" x14ac:dyDescent="0.2">
      <c r="B13580" s="1168"/>
    </row>
    <row r="13581" spans="2:2" s="221" customFormat="1" ht="12.75" x14ac:dyDescent="0.2">
      <c r="B13581" s="1168"/>
    </row>
    <row r="13582" spans="2:2" s="221" customFormat="1" ht="12.75" x14ac:dyDescent="0.2">
      <c r="B13582" s="1168"/>
    </row>
    <row r="13583" spans="2:2" s="221" customFormat="1" ht="12.75" x14ac:dyDescent="0.2">
      <c r="B13583" s="1168"/>
    </row>
    <row r="13584" spans="2:2" s="221" customFormat="1" ht="12.75" x14ac:dyDescent="0.2">
      <c r="B13584" s="1168"/>
    </row>
    <row r="13585" spans="2:2" s="221" customFormat="1" ht="12.75" x14ac:dyDescent="0.2">
      <c r="B13585" s="1168"/>
    </row>
    <row r="13586" spans="2:2" s="221" customFormat="1" ht="12.75" x14ac:dyDescent="0.2">
      <c r="B13586" s="1168"/>
    </row>
    <row r="13587" spans="2:2" s="221" customFormat="1" ht="12.75" x14ac:dyDescent="0.2">
      <c r="B13587" s="1168"/>
    </row>
    <row r="13588" spans="2:2" s="221" customFormat="1" ht="12.75" x14ac:dyDescent="0.2">
      <c r="B13588" s="1168"/>
    </row>
    <row r="13589" spans="2:2" s="221" customFormat="1" ht="12.75" x14ac:dyDescent="0.2">
      <c r="B13589" s="1168"/>
    </row>
    <row r="13590" spans="2:2" s="221" customFormat="1" ht="12.75" x14ac:dyDescent="0.2">
      <c r="B13590" s="1168"/>
    </row>
    <row r="13591" spans="2:2" s="221" customFormat="1" ht="12.75" x14ac:dyDescent="0.2">
      <c r="B13591" s="1168"/>
    </row>
    <row r="13592" spans="2:2" s="221" customFormat="1" ht="12.75" x14ac:dyDescent="0.2">
      <c r="B13592" s="1168"/>
    </row>
    <row r="13593" spans="2:2" s="221" customFormat="1" ht="12.75" x14ac:dyDescent="0.2">
      <c r="B13593" s="1168"/>
    </row>
    <row r="13594" spans="2:2" s="221" customFormat="1" ht="12.75" x14ac:dyDescent="0.2">
      <c r="B13594" s="1168"/>
    </row>
    <row r="13595" spans="2:2" s="221" customFormat="1" ht="12.75" x14ac:dyDescent="0.2">
      <c r="B13595" s="1168"/>
    </row>
    <row r="13596" spans="2:2" s="221" customFormat="1" ht="12.75" x14ac:dyDescent="0.2">
      <c r="B13596" s="1168"/>
    </row>
    <row r="13597" spans="2:2" s="221" customFormat="1" ht="12.75" x14ac:dyDescent="0.2">
      <c r="B13597" s="1168"/>
    </row>
    <row r="13598" spans="2:2" s="221" customFormat="1" ht="12.75" x14ac:dyDescent="0.2">
      <c r="B13598" s="1168"/>
    </row>
    <row r="13599" spans="2:2" s="221" customFormat="1" ht="12.75" x14ac:dyDescent="0.2">
      <c r="B13599" s="1168"/>
    </row>
    <row r="13600" spans="2:2" s="221" customFormat="1" ht="12.75" x14ac:dyDescent="0.2">
      <c r="B13600" s="1168"/>
    </row>
    <row r="13601" spans="2:2" s="221" customFormat="1" ht="12.75" x14ac:dyDescent="0.2">
      <c r="B13601" s="1168"/>
    </row>
    <row r="13602" spans="2:2" s="221" customFormat="1" ht="12.75" x14ac:dyDescent="0.2">
      <c r="B13602" s="1168"/>
    </row>
    <row r="13603" spans="2:2" s="221" customFormat="1" ht="12.75" x14ac:dyDescent="0.2">
      <c r="B13603" s="1168"/>
    </row>
    <row r="13604" spans="2:2" s="221" customFormat="1" ht="12.75" x14ac:dyDescent="0.2">
      <c r="B13604" s="1168"/>
    </row>
    <row r="13605" spans="2:2" s="221" customFormat="1" ht="12.75" x14ac:dyDescent="0.2">
      <c r="B13605" s="1168"/>
    </row>
    <row r="13606" spans="2:2" s="221" customFormat="1" ht="12.75" x14ac:dyDescent="0.2">
      <c r="B13606" s="1168"/>
    </row>
    <row r="13607" spans="2:2" s="221" customFormat="1" ht="12.75" x14ac:dyDescent="0.2">
      <c r="B13607" s="1168"/>
    </row>
    <row r="13608" spans="2:2" s="221" customFormat="1" ht="12.75" x14ac:dyDescent="0.2">
      <c r="B13608" s="1168"/>
    </row>
    <row r="13609" spans="2:2" s="221" customFormat="1" ht="12.75" x14ac:dyDescent="0.2">
      <c r="B13609" s="1168"/>
    </row>
    <row r="13610" spans="2:2" s="221" customFormat="1" ht="12.75" x14ac:dyDescent="0.2">
      <c r="B13610" s="1168"/>
    </row>
    <row r="13611" spans="2:2" s="221" customFormat="1" ht="12.75" x14ac:dyDescent="0.2">
      <c r="B13611" s="1168"/>
    </row>
    <row r="13612" spans="2:2" s="221" customFormat="1" ht="12.75" x14ac:dyDescent="0.2">
      <c r="B13612" s="1168"/>
    </row>
    <row r="13613" spans="2:2" s="221" customFormat="1" ht="12.75" x14ac:dyDescent="0.2">
      <c r="B13613" s="1168"/>
    </row>
    <row r="13614" spans="2:2" s="221" customFormat="1" ht="12.75" x14ac:dyDescent="0.2">
      <c r="B13614" s="1168"/>
    </row>
    <row r="13615" spans="2:2" s="221" customFormat="1" ht="12.75" x14ac:dyDescent="0.2">
      <c r="B13615" s="1168"/>
    </row>
    <row r="13616" spans="2:2" s="221" customFormat="1" ht="12.75" x14ac:dyDescent="0.2">
      <c r="B13616" s="1168"/>
    </row>
    <row r="13617" spans="2:2" s="221" customFormat="1" ht="12.75" x14ac:dyDescent="0.2">
      <c r="B13617" s="1168"/>
    </row>
    <row r="13618" spans="2:2" s="221" customFormat="1" ht="12.75" x14ac:dyDescent="0.2">
      <c r="B13618" s="1168"/>
    </row>
    <row r="13619" spans="2:2" s="221" customFormat="1" ht="12.75" x14ac:dyDescent="0.2">
      <c r="B13619" s="1168"/>
    </row>
    <row r="13620" spans="2:2" s="221" customFormat="1" ht="12.75" x14ac:dyDescent="0.2">
      <c r="B13620" s="1168"/>
    </row>
    <row r="13621" spans="2:2" s="221" customFormat="1" ht="12.75" x14ac:dyDescent="0.2">
      <c r="B13621" s="1168"/>
    </row>
    <row r="13622" spans="2:2" s="221" customFormat="1" ht="12.75" x14ac:dyDescent="0.2">
      <c r="B13622" s="1168"/>
    </row>
    <row r="13623" spans="2:2" s="221" customFormat="1" ht="12.75" x14ac:dyDescent="0.2">
      <c r="B13623" s="1168"/>
    </row>
    <row r="13624" spans="2:2" s="221" customFormat="1" ht="12.75" x14ac:dyDescent="0.2">
      <c r="B13624" s="1168"/>
    </row>
    <row r="13625" spans="2:2" s="221" customFormat="1" ht="12.75" x14ac:dyDescent="0.2">
      <c r="B13625" s="1168"/>
    </row>
    <row r="13626" spans="2:2" s="221" customFormat="1" ht="12.75" x14ac:dyDescent="0.2">
      <c r="B13626" s="1168"/>
    </row>
    <row r="13627" spans="2:2" s="221" customFormat="1" ht="12.75" x14ac:dyDescent="0.2">
      <c r="B13627" s="1168"/>
    </row>
    <row r="13628" spans="2:2" s="221" customFormat="1" ht="12.75" x14ac:dyDescent="0.2">
      <c r="B13628" s="1168"/>
    </row>
    <row r="13629" spans="2:2" s="221" customFormat="1" ht="12.75" x14ac:dyDescent="0.2">
      <c r="B13629" s="1168"/>
    </row>
    <row r="13630" spans="2:2" s="221" customFormat="1" ht="12.75" x14ac:dyDescent="0.2">
      <c r="B13630" s="1168"/>
    </row>
    <row r="13631" spans="2:2" s="221" customFormat="1" ht="12.75" x14ac:dyDescent="0.2">
      <c r="B13631" s="1168"/>
    </row>
    <row r="13632" spans="2:2" s="221" customFormat="1" ht="12.75" x14ac:dyDescent="0.2">
      <c r="B13632" s="1168"/>
    </row>
    <row r="13633" spans="2:2" s="221" customFormat="1" ht="12.75" x14ac:dyDescent="0.2">
      <c r="B13633" s="1168"/>
    </row>
    <row r="13634" spans="2:2" s="221" customFormat="1" ht="12.75" x14ac:dyDescent="0.2">
      <c r="B13634" s="1168"/>
    </row>
    <row r="13635" spans="2:2" s="221" customFormat="1" ht="12.75" x14ac:dyDescent="0.2">
      <c r="B13635" s="1168"/>
    </row>
    <row r="13636" spans="2:2" s="221" customFormat="1" ht="12.75" x14ac:dyDescent="0.2">
      <c r="B13636" s="1168"/>
    </row>
    <row r="13637" spans="2:2" s="221" customFormat="1" ht="12.75" x14ac:dyDescent="0.2">
      <c r="B13637" s="1168"/>
    </row>
    <row r="13638" spans="2:2" s="221" customFormat="1" ht="12.75" x14ac:dyDescent="0.2">
      <c r="B13638" s="1168"/>
    </row>
    <row r="13639" spans="2:2" s="221" customFormat="1" ht="12.75" x14ac:dyDescent="0.2">
      <c r="B13639" s="1168"/>
    </row>
    <row r="13640" spans="2:2" s="221" customFormat="1" ht="12.75" x14ac:dyDescent="0.2">
      <c r="B13640" s="1168"/>
    </row>
    <row r="13641" spans="2:2" s="221" customFormat="1" ht="12.75" x14ac:dyDescent="0.2">
      <c r="B13641" s="1168"/>
    </row>
    <row r="13642" spans="2:2" s="221" customFormat="1" ht="12.75" x14ac:dyDescent="0.2">
      <c r="B13642" s="1168"/>
    </row>
    <row r="13643" spans="2:2" s="221" customFormat="1" ht="12.75" x14ac:dyDescent="0.2">
      <c r="B13643" s="1168"/>
    </row>
    <row r="13644" spans="2:2" s="221" customFormat="1" ht="12.75" x14ac:dyDescent="0.2">
      <c r="B13644" s="1168"/>
    </row>
    <row r="13645" spans="2:2" s="221" customFormat="1" ht="12.75" x14ac:dyDescent="0.2">
      <c r="B13645" s="1168"/>
    </row>
    <row r="13646" spans="2:2" s="221" customFormat="1" ht="12.75" x14ac:dyDescent="0.2">
      <c r="B13646" s="1168"/>
    </row>
    <row r="13647" spans="2:2" s="221" customFormat="1" ht="12.75" x14ac:dyDescent="0.2">
      <c r="B13647" s="1168"/>
    </row>
    <row r="13648" spans="2:2" s="221" customFormat="1" ht="12.75" x14ac:dyDescent="0.2">
      <c r="B13648" s="1168"/>
    </row>
    <row r="13649" spans="2:2" s="221" customFormat="1" ht="12.75" x14ac:dyDescent="0.2">
      <c r="B13649" s="1168"/>
    </row>
    <row r="13650" spans="2:2" s="221" customFormat="1" ht="12.75" x14ac:dyDescent="0.2">
      <c r="B13650" s="1168"/>
    </row>
    <row r="13651" spans="2:2" s="221" customFormat="1" ht="12.75" x14ac:dyDescent="0.2">
      <c r="B13651" s="1168"/>
    </row>
    <row r="13652" spans="2:2" s="221" customFormat="1" ht="12.75" x14ac:dyDescent="0.2">
      <c r="B13652" s="1168"/>
    </row>
    <row r="13653" spans="2:2" s="221" customFormat="1" ht="12.75" x14ac:dyDescent="0.2">
      <c r="B13653" s="1168"/>
    </row>
    <row r="13654" spans="2:2" s="221" customFormat="1" ht="12.75" x14ac:dyDescent="0.2">
      <c r="B13654" s="1168"/>
    </row>
    <row r="13655" spans="2:2" s="221" customFormat="1" ht="12.75" x14ac:dyDescent="0.2">
      <c r="B13655" s="1168"/>
    </row>
    <row r="13656" spans="2:2" s="221" customFormat="1" ht="12.75" x14ac:dyDescent="0.2">
      <c r="B13656" s="1168"/>
    </row>
    <row r="13657" spans="2:2" s="221" customFormat="1" ht="12.75" x14ac:dyDescent="0.2">
      <c r="B13657" s="1168"/>
    </row>
    <row r="13658" spans="2:2" s="221" customFormat="1" ht="12.75" x14ac:dyDescent="0.2">
      <c r="B13658" s="1168"/>
    </row>
    <row r="13659" spans="2:2" s="221" customFormat="1" ht="12.75" x14ac:dyDescent="0.2">
      <c r="B13659" s="1168"/>
    </row>
    <row r="13660" spans="2:2" s="221" customFormat="1" ht="12.75" x14ac:dyDescent="0.2">
      <c r="B13660" s="1168"/>
    </row>
    <row r="13661" spans="2:2" s="221" customFormat="1" ht="12.75" x14ac:dyDescent="0.2">
      <c r="B13661" s="1168"/>
    </row>
    <row r="13662" spans="2:2" s="221" customFormat="1" ht="12.75" x14ac:dyDescent="0.2">
      <c r="B13662" s="1168"/>
    </row>
    <row r="13663" spans="2:2" s="221" customFormat="1" ht="12.75" x14ac:dyDescent="0.2">
      <c r="B13663" s="1168"/>
    </row>
    <row r="13664" spans="2:2" s="221" customFormat="1" ht="12.75" x14ac:dyDescent="0.2">
      <c r="B13664" s="1168"/>
    </row>
    <row r="13665" spans="2:2" s="221" customFormat="1" ht="12.75" x14ac:dyDescent="0.2">
      <c r="B13665" s="1168"/>
    </row>
    <row r="13666" spans="2:2" s="221" customFormat="1" ht="12.75" x14ac:dyDescent="0.2">
      <c r="B13666" s="1168"/>
    </row>
    <row r="13667" spans="2:2" s="221" customFormat="1" ht="12.75" x14ac:dyDescent="0.2">
      <c r="B13667" s="1168"/>
    </row>
    <row r="13668" spans="2:2" s="221" customFormat="1" ht="12.75" x14ac:dyDescent="0.2">
      <c r="B13668" s="1168"/>
    </row>
    <row r="13669" spans="2:2" s="221" customFormat="1" ht="12.75" x14ac:dyDescent="0.2">
      <c r="B13669" s="1168"/>
    </row>
    <row r="13670" spans="2:2" s="221" customFormat="1" ht="12.75" x14ac:dyDescent="0.2">
      <c r="B13670" s="1168"/>
    </row>
    <row r="13671" spans="2:2" s="221" customFormat="1" ht="12.75" x14ac:dyDescent="0.2">
      <c r="B13671" s="1168"/>
    </row>
    <row r="13672" spans="2:2" s="221" customFormat="1" ht="12.75" x14ac:dyDescent="0.2">
      <c r="B13672" s="1168"/>
    </row>
    <row r="13673" spans="2:2" s="221" customFormat="1" ht="12.75" x14ac:dyDescent="0.2">
      <c r="B13673" s="1168"/>
    </row>
    <row r="13674" spans="2:2" s="221" customFormat="1" ht="12.75" x14ac:dyDescent="0.2">
      <c r="B13674" s="1168"/>
    </row>
    <row r="13675" spans="2:2" s="221" customFormat="1" ht="12.75" x14ac:dyDescent="0.2">
      <c r="B13675" s="1168"/>
    </row>
    <row r="13676" spans="2:2" s="221" customFormat="1" ht="12.75" x14ac:dyDescent="0.2">
      <c r="B13676" s="1168"/>
    </row>
    <row r="13677" spans="2:2" s="221" customFormat="1" ht="12.75" x14ac:dyDescent="0.2">
      <c r="B13677" s="1168"/>
    </row>
    <row r="13678" spans="2:2" s="221" customFormat="1" ht="12.75" x14ac:dyDescent="0.2">
      <c r="B13678" s="1168"/>
    </row>
    <row r="13679" spans="2:2" s="221" customFormat="1" ht="12.75" x14ac:dyDescent="0.2">
      <c r="B13679" s="1168"/>
    </row>
    <row r="13680" spans="2:2" s="221" customFormat="1" ht="12.75" x14ac:dyDescent="0.2">
      <c r="B13680" s="1168"/>
    </row>
    <row r="13681" spans="2:2" s="221" customFormat="1" ht="12.75" x14ac:dyDescent="0.2">
      <c r="B13681" s="1168"/>
    </row>
    <row r="13682" spans="2:2" s="221" customFormat="1" ht="12.75" x14ac:dyDescent="0.2">
      <c r="B13682" s="1168"/>
    </row>
    <row r="13683" spans="2:2" s="221" customFormat="1" ht="12.75" x14ac:dyDescent="0.2">
      <c r="B13683" s="1168"/>
    </row>
    <row r="13684" spans="2:2" s="221" customFormat="1" ht="12.75" x14ac:dyDescent="0.2">
      <c r="B13684" s="1168"/>
    </row>
    <row r="13685" spans="2:2" s="221" customFormat="1" ht="12.75" x14ac:dyDescent="0.2">
      <c r="B13685" s="1168"/>
    </row>
    <row r="13686" spans="2:2" s="221" customFormat="1" ht="12.75" x14ac:dyDescent="0.2">
      <c r="B13686" s="1168"/>
    </row>
    <row r="13687" spans="2:2" s="221" customFormat="1" ht="12.75" x14ac:dyDescent="0.2">
      <c r="B13687" s="1168"/>
    </row>
    <row r="13688" spans="2:2" s="221" customFormat="1" ht="12.75" x14ac:dyDescent="0.2">
      <c r="B13688" s="1168"/>
    </row>
    <row r="13689" spans="2:2" s="221" customFormat="1" ht="12.75" x14ac:dyDescent="0.2">
      <c r="B13689" s="1168"/>
    </row>
    <row r="13690" spans="2:2" s="221" customFormat="1" ht="12.75" x14ac:dyDescent="0.2">
      <c r="B13690" s="1168"/>
    </row>
    <row r="13691" spans="2:2" s="221" customFormat="1" ht="12.75" x14ac:dyDescent="0.2">
      <c r="B13691" s="1168"/>
    </row>
    <row r="13692" spans="2:2" s="221" customFormat="1" ht="12.75" x14ac:dyDescent="0.2">
      <c r="B13692" s="1168"/>
    </row>
    <row r="13693" spans="2:2" s="221" customFormat="1" ht="12.75" x14ac:dyDescent="0.2">
      <c r="B13693" s="1168"/>
    </row>
    <row r="13694" spans="2:2" s="221" customFormat="1" ht="12.75" x14ac:dyDescent="0.2">
      <c r="B13694" s="1168"/>
    </row>
    <row r="13695" spans="2:2" s="221" customFormat="1" ht="12.75" x14ac:dyDescent="0.2">
      <c r="B13695" s="1168"/>
    </row>
    <row r="13696" spans="2:2" s="221" customFormat="1" ht="12.75" x14ac:dyDescent="0.2">
      <c r="B13696" s="1168"/>
    </row>
    <row r="13697" spans="2:2" s="221" customFormat="1" ht="12.75" x14ac:dyDescent="0.2">
      <c r="B13697" s="1168"/>
    </row>
    <row r="13698" spans="2:2" s="221" customFormat="1" ht="12.75" x14ac:dyDescent="0.2">
      <c r="B13698" s="1168"/>
    </row>
    <row r="13699" spans="2:2" s="221" customFormat="1" ht="12.75" x14ac:dyDescent="0.2">
      <c r="B13699" s="1168"/>
    </row>
    <row r="13700" spans="2:2" s="221" customFormat="1" ht="12.75" x14ac:dyDescent="0.2">
      <c r="B13700" s="1168"/>
    </row>
    <row r="13701" spans="2:2" s="221" customFormat="1" ht="12.75" x14ac:dyDescent="0.2">
      <c r="B13701" s="1168"/>
    </row>
    <row r="13702" spans="2:2" s="221" customFormat="1" ht="12.75" x14ac:dyDescent="0.2">
      <c r="B13702" s="1168"/>
    </row>
    <row r="13703" spans="2:2" s="221" customFormat="1" ht="12.75" x14ac:dyDescent="0.2">
      <c r="B13703" s="1168"/>
    </row>
    <row r="13704" spans="2:2" s="221" customFormat="1" ht="12.75" x14ac:dyDescent="0.2">
      <c r="B13704" s="1168"/>
    </row>
    <row r="13705" spans="2:2" s="221" customFormat="1" ht="12.75" x14ac:dyDescent="0.2">
      <c r="B13705" s="1168"/>
    </row>
    <row r="13706" spans="2:2" s="221" customFormat="1" ht="12.75" x14ac:dyDescent="0.2">
      <c r="B13706" s="1168"/>
    </row>
    <row r="13707" spans="2:2" s="221" customFormat="1" ht="12.75" x14ac:dyDescent="0.2">
      <c r="B13707" s="1168"/>
    </row>
    <row r="13708" spans="2:2" s="221" customFormat="1" ht="12.75" x14ac:dyDescent="0.2">
      <c r="B13708" s="1168"/>
    </row>
    <row r="13709" spans="2:2" s="221" customFormat="1" ht="12.75" x14ac:dyDescent="0.2">
      <c r="B13709" s="1168"/>
    </row>
    <row r="13710" spans="2:2" s="221" customFormat="1" ht="12.75" x14ac:dyDescent="0.2">
      <c r="B13710" s="1168"/>
    </row>
    <row r="13711" spans="2:2" s="221" customFormat="1" ht="12.75" x14ac:dyDescent="0.2">
      <c r="B13711" s="1168"/>
    </row>
    <row r="13712" spans="2:2" s="221" customFormat="1" ht="12.75" x14ac:dyDescent="0.2">
      <c r="B13712" s="1168"/>
    </row>
    <row r="13713" spans="2:2" s="221" customFormat="1" ht="12.75" x14ac:dyDescent="0.2">
      <c r="B13713" s="1168"/>
    </row>
    <row r="13714" spans="2:2" s="221" customFormat="1" ht="12.75" x14ac:dyDescent="0.2">
      <c r="B13714" s="1168"/>
    </row>
    <row r="13715" spans="2:2" s="221" customFormat="1" ht="12.75" x14ac:dyDescent="0.2">
      <c r="B13715" s="1168"/>
    </row>
    <row r="13716" spans="2:2" s="221" customFormat="1" ht="12.75" x14ac:dyDescent="0.2">
      <c r="B13716" s="1168"/>
    </row>
    <row r="13717" spans="2:2" s="221" customFormat="1" ht="12.75" x14ac:dyDescent="0.2">
      <c r="B13717" s="1168"/>
    </row>
    <row r="13718" spans="2:2" s="221" customFormat="1" ht="12.75" x14ac:dyDescent="0.2">
      <c r="B13718" s="1168"/>
    </row>
    <row r="13719" spans="2:2" s="221" customFormat="1" ht="12.75" x14ac:dyDescent="0.2">
      <c r="B13719" s="1168"/>
    </row>
    <row r="13720" spans="2:2" s="221" customFormat="1" ht="12.75" x14ac:dyDescent="0.2">
      <c r="B13720" s="1168"/>
    </row>
    <row r="13721" spans="2:2" s="221" customFormat="1" ht="12.75" x14ac:dyDescent="0.2">
      <c r="B13721" s="1168"/>
    </row>
    <row r="13722" spans="2:2" s="221" customFormat="1" ht="12.75" x14ac:dyDescent="0.2">
      <c r="B13722" s="1168"/>
    </row>
    <row r="13723" spans="2:2" s="221" customFormat="1" ht="12.75" x14ac:dyDescent="0.2">
      <c r="B13723" s="1168"/>
    </row>
    <row r="13724" spans="2:2" s="221" customFormat="1" ht="12.75" x14ac:dyDescent="0.2">
      <c r="B13724" s="1168"/>
    </row>
    <row r="13725" spans="2:2" s="221" customFormat="1" ht="12.75" x14ac:dyDescent="0.2">
      <c r="B13725" s="1168"/>
    </row>
    <row r="13726" spans="2:2" s="221" customFormat="1" ht="12.75" x14ac:dyDescent="0.2">
      <c r="B13726" s="1168"/>
    </row>
    <row r="13727" spans="2:2" s="221" customFormat="1" ht="12.75" x14ac:dyDescent="0.2">
      <c r="B13727" s="1168"/>
    </row>
    <row r="13728" spans="2:2" s="221" customFormat="1" ht="12.75" x14ac:dyDescent="0.2">
      <c r="B13728" s="1168"/>
    </row>
    <row r="13729" spans="2:2" s="221" customFormat="1" ht="12.75" x14ac:dyDescent="0.2">
      <c r="B13729" s="1168"/>
    </row>
    <row r="13730" spans="2:2" s="221" customFormat="1" ht="12.75" x14ac:dyDescent="0.2">
      <c r="B13730" s="1168"/>
    </row>
    <row r="13731" spans="2:2" s="221" customFormat="1" ht="12.75" x14ac:dyDescent="0.2">
      <c r="B13731" s="1168"/>
    </row>
    <row r="13732" spans="2:2" s="221" customFormat="1" ht="12.75" x14ac:dyDescent="0.2">
      <c r="B13732" s="1168"/>
    </row>
    <row r="13733" spans="2:2" s="221" customFormat="1" ht="12.75" x14ac:dyDescent="0.2">
      <c r="B13733" s="1168"/>
    </row>
    <row r="13734" spans="2:2" s="221" customFormat="1" ht="12.75" x14ac:dyDescent="0.2">
      <c r="B13734" s="1168"/>
    </row>
    <row r="13735" spans="2:2" s="221" customFormat="1" ht="12.75" x14ac:dyDescent="0.2">
      <c r="B13735" s="1168"/>
    </row>
    <row r="13736" spans="2:2" s="221" customFormat="1" ht="12.75" x14ac:dyDescent="0.2">
      <c r="B13736" s="1168"/>
    </row>
    <row r="13737" spans="2:2" s="221" customFormat="1" ht="12.75" x14ac:dyDescent="0.2">
      <c r="B13737" s="1168"/>
    </row>
    <row r="13738" spans="2:2" s="221" customFormat="1" ht="12.75" x14ac:dyDescent="0.2">
      <c r="B13738" s="1168"/>
    </row>
    <row r="13739" spans="2:2" s="221" customFormat="1" ht="12.75" x14ac:dyDescent="0.2">
      <c r="B13739" s="1168"/>
    </row>
    <row r="13740" spans="2:2" s="221" customFormat="1" ht="12.75" x14ac:dyDescent="0.2">
      <c r="B13740" s="1168"/>
    </row>
    <row r="13741" spans="2:2" s="221" customFormat="1" ht="12.75" x14ac:dyDescent="0.2">
      <c r="B13741" s="1168"/>
    </row>
    <row r="13742" spans="2:2" s="221" customFormat="1" ht="12.75" x14ac:dyDescent="0.2">
      <c r="B13742" s="1168"/>
    </row>
    <row r="13743" spans="2:2" s="221" customFormat="1" ht="12.75" x14ac:dyDescent="0.2">
      <c r="B13743" s="1168"/>
    </row>
    <row r="13744" spans="2:2" s="221" customFormat="1" ht="12.75" x14ac:dyDescent="0.2">
      <c r="B13744" s="1168"/>
    </row>
    <row r="13745" spans="2:2" s="221" customFormat="1" ht="12.75" x14ac:dyDescent="0.2">
      <c r="B13745" s="1168"/>
    </row>
    <row r="13746" spans="2:2" s="221" customFormat="1" ht="12.75" x14ac:dyDescent="0.2">
      <c r="B13746" s="1168"/>
    </row>
    <row r="13747" spans="2:2" s="221" customFormat="1" ht="12.75" x14ac:dyDescent="0.2">
      <c r="B13747" s="1168"/>
    </row>
    <row r="13748" spans="2:2" s="221" customFormat="1" ht="12.75" x14ac:dyDescent="0.2">
      <c r="B13748" s="1168"/>
    </row>
    <row r="13749" spans="2:2" s="221" customFormat="1" ht="12.75" x14ac:dyDescent="0.2">
      <c r="B13749" s="1168"/>
    </row>
    <row r="13750" spans="2:2" s="221" customFormat="1" ht="12.75" x14ac:dyDescent="0.2">
      <c r="B13750" s="1168"/>
    </row>
    <row r="13751" spans="2:2" s="221" customFormat="1" ht="12.75" x14ac:dyDescent="0.2">
      <c r="B13751" s="1168"/>
    </row>
    <row r="13752" spans="2:2" s="221" customFormat="1" ht="12.75" x14ac:dyDescent="0.2">
      <c r="B13752" s="1168"/>
    </row>
    <row r="13753" spans="2:2" s="221" customFormat="1" ht="12.75" x14ac:dyDescent="0.2">
      <c r="B13753" s="1168"/>
    </row>
    <row r="13754" spans="2:2" s="221" customFormat="1" ht="12.75" x14ac:dyDescent="0.2">
      <c r="B13754" s="1168"/>
    </row>
    <row r="13755" spans="2:2" s="221" customFormat="1" ht="12.75" x14ac:dyDescent="0.2">
      <c r="B13755" s="1168"/>
    </row>
    <row r="13756" spans="2:2" s="221" customFormat="1" ht="12.75" x14ac:dyDescent="0.2">
      <c r="B13756" s="1168"/>
    </row>
    <row r="13757" spans="2:2" s="221" customFormat="1" ht="12.75" x14ac:dyDescent="0.2">
      <c r="B13757" s="1168"/>
    </row>
    <row r="13758" spans="2:2" s="221" customFormat="1" ht="12.75" x14ac:dyDescent="0.2">
      <c r="B13758" s="1168"/>
    </row>
    <row r="13759" spans="2:2" s="221" customFormat="1" ht="12.75" x14ac:dyDescent="0.2">
      <c r="B13759" s="1168"/>
    </row>
    <row r="13760" spans="2:2" s="221" customFormat="1" ht="12.75" x14ac:dyDescent="0.2">
      <c r="B13760" s="1168"/>
    </row>
    <row r="13761" spans="2:2" s="221" customFormat="1" ht="12.75" x14ac:dyDescent="0.2">
      <c r="B13761" s="1168"/>
    </row>
    <row r="13762" spans="2:2" s="221" customFormat="1" ht="12.75" x14ac:dyDescent="0.2">
      <c r="B13762" s="1168"/>
    </row>
    <row r="13763" spans="2:2" s="221" customFormat="1" ht="12.75" x14ac:dyDescent="0.2">
      <c r="B13763" s="1168"/>
    </row>
    <row r="13764" spans="2:2" s="221" customFormat="1" ht="12.75" x14ac:dyDescent="0.2">
      <c r="B13764" s="1168"/>
    </row>
    <row r="13765" spans="2:2" s="221" customFormat="1" ht="12.75" x14ac:dyDescent="0.2">
      <c r="B13765" s="1168"/>
    </row>
    <row r="13766" spans="2:2" s="221" customFormat="1" ht="12.75" x14ac:dyDescent="0.2">
      <c r="B13766" s="1168"/>
    </row>
    <row r="13767" spans="2:2" s="221" customFormat="1" ht="12.75" x14ac:dyDescent="0.2">
      <c r="B13767" s="1168"/>
    </row>
    <row r="13768" spans="2:2" s="221" customFormat="1" ht="12.75" x14ac:dyDescent="0.2">
      <c r="B13768" s="1168"/>
    </row>
    <row r="13769" spans="2:2" s="221" customFormat="1" ht="12.75" x14ac:dyDescent="0.2">
      <c r="B13769" s="1168"/>
    </row>
    <row r="13770" spans="2:2" s="221" customFormat="1" ht="12.75" x14ac:dyDescent="0.2">
      <c r="B13770" s="1168"/>
    </row>
    <row r="13771" spans="2:2" s="221" customFormat="1" ht="12.75" x14ac:dyDescent="0.2">
      <c r="B13771" s="1168"/>
    </row>
    <row r="13772" spans="2:2" s="221" customFormat="1" ht="12.75" x14ac:dyDescent="0.2">
      <c r="B13772" s="1168"/>
    </row>
    <row r="13773" spans="2:2" s="221" customFormat="1" ht="12.75" x14ac:dyDescent="0.2">
      <c r="B13773" s="1168"/>
    </row>
    <row r="13774" spans="2:2" s="221" customFormat="1" ht="12.75" x14ac:dyDescent="0.2">
      <c r="B13774" s="1168"/>
    </row>
    <row r="13775" spans="2:2" s="221" customFormat="1" ht="12.75" x14ac:dyDescent="0.2">
      <c r="B13775" s="1168"/>
    </row>
    <row r="13776" spans="2:2" s="221" customFormat="1" ht="12.75" x14ac:dyDescent="0.2">
      <c r="B13776" s="1168"/>
    </row>
    <row r="13777" spans="2:2" s="221" customFormat="1" ht="12.75" x14ac:dyDescent="0.2">
      <c r="B13777" s="1168"/>
    </row>
    <row r="13778" spans="2:2" s="221" customFormat="1" ht="12.75" x14ac:dyDescent="0.2">
      <c r="B13778" s="1168"/>
    </row>
    <row r="13779" spans="2:2" s="221" customFormat="1" ht="12.75" x14ac:dyDescent="0.2">
      <c r="B13779" s="1168"/>
    </row>
    <row r="13780" spans="2:2" s="221" customFormat="1" ht="12.75" x14ac:dyDescent="0.2">
      <c r="B13780" s="1168"/>
    </row>
    <row r="13781" spans="2:2" s="221" customFormat="1" ht="12.75" x14ac:dyDescent="0.2">
      <c r="B13781" s="1168"/>
    </row>
    <row r="13782" spans="2:2" s="221" customFormat="1" ht="12.75" x14ac:dyDescent="0.2">
      <c r="B13782" s="1168"/>
    </row>
    <row r="13783" spans="2:2" s="221" customFormat="1" ht="12.75" x14ac:dyDescent="0.2">
      <c r="B13783" s="1168"/>
    </row>
    <row r="13784" spans="2:2" s="221" customFormat="1" ht="12.75" x14ac:dyDescent="0.2">
      <c r="B13784" s="1168"/>
    </row>
    <row r="13785" spans="2:2" s="221" customFormat="1" ht="12.75" x14ac:dyDescent="0.2">
      <c r="B13785" s="1168"/>
    </row>
    <row r="13786" spans="2:2" s="221" customFormat="1" ht="12.75" x14ac:dyDescent="0.2">
      <c r="B13786" s="1168"/>
    </row>
    <row r="13787" spans="2:2" s="221" customFormat="1" ht="12.75" x14ac:dyDescent="0.2">
      <c r="B13787" s="1168"/>
    </row>
    <row r="13788" spans="2:2" s="221" customFormat="1" ht="12.75" x14ac:dyDescent="0.2">
      <c r="B13788" s="1168"/>
    </row>
    <row r="13789" spans="2:2" s="221" customFormat="1" ht="12.75" x14ac:dyDescent="0.2">
      <c r="B13789" s="1168"/>
    </row>
    <row r="13790" spans="2:2" s="221" customFormat="1" ht="12.75" x14ac:dyDescent="0.2">
      <c r="B13790" s="1168"/>
    </row>
    <row r="13791" spans="2:2" s="221" customFormat="1" ht="12.75" x14ac:dyDescent="0.2">
      <c r="B13791" s="1168"/>
    </row>
    <row r="13792" spans="2:2" s="221" customFormat="1" ht="12.75" x14ac:dyDescent="0.2">
      <c r="B13792" s="1168"/>
    </row>
    <row r="13793" spans="2:2" s="221" customFormat="1" ht="12.75" x14ac:dyDescent="0.2">
      <c r="B13793" s="1168"/>
    </row>
    <row r="13794" spans="2:2" s="221" customFormat="1" ht="12.75" x14ac:dyDescent="0.2">
      <c r="B13794" s="1168"/>
    </row>
    <row r="13795" spans="2:2" s="221" customFormat="1" ht="12.75" x14ac:dyDescent="0.2">
      <c r="B13795" s="1168"/>
    </row>
    <row r="13796" spans="2:2" s="221" customFormat="1" ht="12.75" x14ac:dyDescent="0.2">
      <c r="B13796" s="1168"/>
    </row>
    <row r="13797" spans="2:2" s="221" customFormat="1" ht="12.75" x14ac:dyDescent="0.2">
      <c r="B13797" s="1168"/>
    </row>
    <row r="13798" spans="2:2" s="221" customFormat="1" ht="12.75" x14ac:dyDescent="0.2">
      <c r="B13798" s="1168"/>
    </row>
    <row r="13799" spans="2:2" s="221" customFormat="1" ht="12.75" x14ac:dyDescent="0.2">
      <c r="B13799" s="1168"/>
    </row>
    <row r="13800" spans="2:2" s="221" customFormat="1" ht="12.75" x14ac:dyDescent="0.2">
      <c r="B13800" s="1168"/>
    </row>
    <row r="13801" spans="2:2" s="221" customFormat="1" ht="12.75" x14ac:dyDescent="0.2">
      <c r="B13801" s="1168"/>
    </row>
    <row r="13802" spans="2:2" s="221" customFormat="1" ht="12.75" x14ac:dyDescent="0.2">
      <c r="B13802" s="1168"/>
    </row>
    <row r="13803" spans="2:2" s="221" customFormat="1" ht="12.75" x14ac:dyDescent="0.2">
      <c r="B13803" s="1168"/>
    </row>
    <row r="13804" spans="2:2" s="221" customFormat="1" ht="12.75" x14ac:dyDescent="0.2">
      <c r="B13804" s="1168"/>
    </row>
    <row r="13805" spans="2:2" s="221" customFormat="1" ht="12.75" x14ac:dyDescent="0.2">
      <c r="B13805" s="1168"/>
    </row>
    <row r="13806" spans="2:2" s="221" customFormat="1" ht="12.75" x14ac:dyDescent="0.2">
      <c r="B13806" s="1168"/>
    </row>
    <row r="13807" spans="2:2" s="221" customFormat="1" ht="12.75" x14ac:dyDescent="0.2">
      <c r="B13807" s="1168"/>
    </row>
    <row r="13808" spans="2:2" s="221" customFormat="1" ht="12.75" x14ac:dyDescent="0.2">
      <c r="B13808" s="1168"/>
    </row>
    <row r="13809" spans="2:2" s="221" customFormat="1" ht="12.75" x14ac:dyDescent="0.2">
      <c r="B13809" s="1168"/>
    </row>
    <row r="13810" spans="2:2" s="221" customFormat="1" ht="12.75" x14ac:dyDescent="0.2">
      <c r="B13810" s="1168"/>
    </row>
    <row r="13811" spans="2:2" s="221" customFormat="1" ht="12.75" x14ac:dyDescent="0.2">
      <c r="B13811" s="1168"/>
    </row>
    <row r="13812" spans="2:2" s="221" customFormat="1" ht="12.75" x14ac:dyDescent="0.2">
      <c r="B13812" s="1168"/>
    </row>
    <row r="13813" spans="2:2" s="221" customFormat="1" ht="12.75" x14ac:dyDescent="0.2">
      <c r="B13813" s="1168"/>
    </row>
    <row r="13814" spans="2:2" s="221" customFormat="1" ht="12.75" x14ac:dyDescent="0.2">
      <c r="B13814" s="1168"/>
    </row>
    <row r="13815" spans="2:2" s="221" customFormat="1" ht="12.75" x14ac:dyDescent="0.2">
      <c r="B13815" s="1168"/>
    </row>
    <row r="13816" spans="2:2" s="221" customFormat="1" ht="12.75" x14ac:dyDescent="0.2">
      <c r="B13816" s="1168"/>
    </row>
    <row r="13817" spans="2:2" s="221" customFormat="1" ht="12.75" x14ac:dyDescent="0.2">
      <c r="B13817" s="1168"/>
    </row>
    <row r="13818" spans="2:2" s="221" customFormat="1" ht="12.75" x14ac:dyDescent="0.2">
      <c r="B13818" s="1168"/>
    </row>
    <row r="13819" spans="2:2" s="221" customFormat="1" ht="12.75" x14ac:dyDescent="0.2">
      <c r="B13819" s="1168"/>
    </row>
    <row r="13820" spans="2:2" s="221" customFormat="1" ht="12.75" x14ac:dyDescent="0.2">
      <c r="B13820" s="1168"/>
    </row>
    <row r="13821" spans="2:2" s="221" customFormat="1" ht="12.75" x14ac:dyDescent="0.2">
      <c r="B13821" s="1168"/>
    </row>
    <row r="13822" spans="2:2" s="221" customFormat="1" ht="12.75" x14ac:dyDescent="0.2">
      <c r="B13822" s="1168"/>
    </row>
    <row r="13823" spans="2:2" s="221" customFormat="1" ht="12.75" x14ac:dyDescent="0.2">
      <c r="B13823" s="1168"/>
    </row>
    <row r="13824" spans="2:2" s="221" customFormat="1" ht="12.75" x14ac:dyDescent="0.2">
      <c r="B13824" s="1168"/>
    </row>
    <row r="13825" spans="2:2" s="221" customFormat="1" ht="12.75" x14ac:dyDescent="0.2">
      <c r="B13825" s="1168"/>
    </row>
    <row r="13826" spans="2:2" s="221" customFormat="1" ht="12.75" x14ac:dyDescent="0.2">
      <c r="B13826" s="1168"/>
    </row>
    <row r="13827" spans="2:2" s="221" customFormat="1" ht="12.75" x14ac:dyDescent="0.2">
      <c r="B13827" s="1168"/>
    </row>
    <row r="13828" spans="2:2" s="221" customFormat="1" ht="12.75" x14ac:dyDescent="0.2">
      <c r="B13828" s="1168"/>
    </row>
    <row r="13829" spans="2:2" s="221" customFormat="1" ht="12.75" x14ac:dyDescent="0.2">
      <c r="B13829" s="1168"/>
    </row>
    <row r="13830" spans="2:2" s="221" customFormat="1" ht="12.75" x14ac:dyDescent="0.2">
      <c r="B13830" s="1168"/>
    </row>
    <row r="13831" spans="2:2" s="221" customFormat="1" ht="12.75" x14ac:dyDescent="0.2">
      <c r="B13831" s="1168"/>
    </row>
    <row r="13832" spans="2:2" s="221" customFormat="1" ht="12.75" x14ac:dyDescent="0.2">
      <c r="B13832" s="1168"/>
    </row>
    <row r="13833" spans="2:2" s="221" customFormat="1" ht="12.75" x14ac:dyDescent="0.2">
      <c r="B13833" s="1168"/>
    </row>
    <row r="13834" spans="2:2" s="221" customFormat="1" ht="12.75" x14ac:dyDescent="0.2">
      <c r="B13834" s="1168"/>
    </row>
    <row r="13835" spans="2:2" s="221" customFormat="1" ht="12.75" x14ac:dyDescent="0.2">
      <c r="B13835" s="1168"/>
    </row>
    <row r="13836" spans="2:2" s="221" customFormat="1" ht="12.75" x14ac:dyDescent="0.2">
      <c r="B13836" s="1168"/>
    </row>
    <row r="13837" spans="2:2" s="221" customFormat="1" ht="12.75" x14ac:dyDescent="0.2">
      <c r="B13837" s="1168"/>
    </row>
    <row r="13838" spans="2:2" s="221" customFormat="1" ht="12.75" x14ac:dyDescent="0.2">
      <c r="B13838" s="1168"/>
    </row>
    <row r="13839" spans="2:2" s="221" customFormat="1" ht="12.75" x14ac:dyDescent="0.2">
      <c r="B13839" s="1168"/>
    </row>
    <row r="13840" spans="2:2" s="221" customFormat="1" ht="12.75" x14ac:dyDescent="0.2">
      <c r="B13840" s="1168"/>
    </row>
    <row r="13841" spans="2:2" s="221" customFormat="1" ht="12.75" x14ac:dyDescent="0.2">
      <c r="B13841" s="1168"/>
    </row>
    <row r="13842" spans="2:2" s="221" customFormat="1" ht="12.75" x14ac:dyDescent="0.2">
      <c r="B13842" s="1168"/>
    </row>
    <row r="13843" spans="2:2" s="221" customFormat="1" ht="12.75" x14ac:dyDescent="0.2">
      <c r="B13843" s="1168"/>
    </row>
    <row r="13844" spans="2:2" s="221" customFormat="1" ht="12.75" x14ac:dyDescent="0.2">
      <c r="B13844" s="1168"/>
    </row>
    <row r="13845" spans="2:2" s="221" customFormat="1" ht="12.75" x14ac:dyDescent="0.2">
      <c r="B13845" s="1168"/>
    </row>
    <row r="13846" spans="2:2" s="221" customFormat="1" ht="12.75" x14ac:dyDescent="0.2">
      <c r="B13846" s="1168"/>
    </row>
    <row r="13847" spans="2:2" s="221" customFormat="1" ht="12.75" x14ac:dyDescent="0.2">
      <c r="B13847" s="1168"/>
    </row>
    <row r="13848" spans="2:2" s="221" customFormat="1" ht="12.75" x14ac:dyDescent="0.2">
      <c r="B13848" s="1168"/>
    </row>
    <row r="13849" spans="2:2" s="221" customFormat="1" ht="12.75" x14ac:dyDescent="0.2">
      <c r="B13849" s="1168"/>
    </row>
    <row r="13850" spans="2:2" s="221" customFormat="1" ht="12.75" x14ac:dyDescent="0.2">
      <c r="B13850" s="1168"/>
    </row>
    <row r="13851" spans="2:2" s="221" customFormat="1" ht="12.75" x14ac:dyDescent="0.2">
      <c r="B13851" s="1168"/>
    </row>
    <row r="13852" spans="2:2" s="221" customFormat="1" ht="12.75" x14ac:dyDescent="0.2">
      <c r="B13852" s="1168"/>
    </row>
    <row r="13853" spans="2:2" s="221" customFormat="1" ht="12.75" x14ac:dyDescent="0.2">
      <c r="B13853" s="1168"/>
    </row>
    <row r="13854" spans="2:2" s="221" customFormat="1" ht="12.75" x14ac:dyDescent="0.2">
      <c r="B13854" s="1168"/>
    </row>
    <row r="13855" spans="2:2" s="221" customFormat="1" ht="12.75" x14ac:dyDescent="0.2">
      <c r="B13855" s="1168"/>
    </row>
    <row r="13856" spans="2:2" s="221" customFormat="1" ht="12.75" x14ac:dyDescent="0.2">
      <c r="B13856" s="1168"/>
    </row>
    <row r="13857" spans="2:2" s="221" customFormat="1" ht="12.75" x14ac:dyDescent="0.2">
      <c r="B13857" s="1168"/>
    </row>
    <row r="13858" spans="2:2" s="221" customFormat="1" ht="12.75" x14ac:dyDescent="0.2">
      <c r="B13858" s="1168"/>
    </row>
    <row r="13859" spans="2:2" s="221" customFormat="1" ht="12.75" x14ac:dyDescent="0.2">
      <c r="B13859" s="1168"/>
    </row>
    <row r="13860" spans="2:2" s="221" customFormat="1" ht="12.75" x14ac:dyDescent="0.2">
      <c r="B13860" s="1168"/>
    </row>
    <row r="13861" spans="2:2" s="221" customFormat="1" ht="12.75" x14ac:dyDescent="0.2">
      <c r="B13861" s="1168"/>
    </row>
    <row r="13862" spans="2:2" s="221" customFormat="1" ht="12.75" x14ac:dyDescent="0.2">
      <c r="B13862" s="1168"/>
    </row>
    <row r="13863" spans="2:2" s="221" customFormat="1" ht="12.75" x14ac:dyDescent="0.2">
      <c r="B13863" s="1168"/>
    </row>
    <row r="13864" spans="2:2" s="221" customFormat="1" ht="12.75" x14ac:dyDescent="0.2">
      <c r="B13864" s="1168"/>
    </row>
    <row r="13865" spans="2:2" s="221" customFormat="1" ht="12.75" x14ac:dyDescent="0.2">
      <c r="B13865" s="1168"/>
    </row>
    <row r="13866" spans="2:2" s="221" customFormat="1" ht="12.75" x14ac:dyDescent="0.2">
      <c r="B13866" s="1168"/>
    </row>
    <row r="13867" spans="2:2" s="221" customFormat="1" ht="12.75" x14ac:dyDescent="0.2">
      <c r="B13867" s="1168"/>
    </row>
    <row r="13868" spans="2:2" s="221" customFormat="1" ht="12.75" x14ac:dyDescent="0.2">
      <c r="B13868" s="1168"/>
    </row>
    <row r="13869" spans="2:2" s="221" customFormat="1" ht="12.75" x14ac:dyDescent="0.2">
      <c r="B13869" s="1168"/>
    </row>
    <row r="13870" spans="2:2" s="221" customFormat="1" ht="12.75" x14ac:dyDescent="0.2">
      <c r="B13870" s="1168"/>
    </row>
    <row r="13871" spans="2:2" s="221" customFormat="1" ht="12.75" x14ac:dyDescent="0.2">
      <c r="B13871" s="1168"/>
    </row>
    <row r="13872" spans="2:2" s="221" customFormat="1" ht="12.75" x14ac:dyDescent="0.2">
      <c r="B13872" s="1168"/>
    </row>
    <row r="13873" spans="2:2" s="221" customFormat="1" ht="12.75" x14ac:dyDescent="0.2">
      <c r="B13873" s="1168"/>
    </row>
    <row r="13874" spans="2:2" s="221" customFormat="1" ht="12.75" x14ac:dyDescent="0.2">
      <c r="B13874" s="1168"/>
    </row>
    <row r="13875" spans="2:2" s="221" customFormat="1" ht="12.75" x14ac:dyDescent="0.2">
      <c r="B13875" s="1168"/>
    </row>
    <row r="13876" spans="2:2" s="221" customFormat="1" ht="12.75" x14ac:dyDescent="0.2">
      <c r="B13876" s="1168"/>
    </row>
    <row r="13877" spans="2:2" s="221" customFormat="1" ht="12.75" x14ac:dyDescent="0.2">
      <c r="B13877" s="1168"/>
    </row>
    <row r="13878" spans="2:2" s="221" customFormat="1" ht="12.75" x14ac:dyDescent="0.2">
      <c r="B13878" s="1168"/>
    </row>
    <row r="13879" spans="2:2" s="221" customFormat="1" ht="12.75" x14ac:dyDescent="0.2">
      <c r="B13879" s="1168"/>
    </row>
    <row r="13880" spans="2:2" s="221" customFormat="1" ht="12.75" x14ac:dyDescent="0.2">
      <c r="B13880" s="1168"/>
    </row>
    <row r="13881" spans="2:2" s="221" customFormat="1" ht="12.75" x14ac:dyDescent="0.2">
      <c r="B13881" s="1168"/>
    </row>
    <row r="13882" spans="2:2" s="221" customFormat="1" ht="12.75" x14ac:dyDescent="0.2">
      <c r="B13882" s="1168"/>
    </row>
    <row r="13883" spans="2:2" s="221" customFormat="1" ht="12.75" x14ac:dyDescent="0.2">
      <c r="B13883" s="1168"/>
    </row>
    <row r="13884" spans="2:2" s="221" customFormat="1" ht="12.75" x14ac:dyDescent="0.2">
      <c r="B13884" s="1168"/>
    </row>
    <row r="13885" spans="2:2" s="221" customFormat="1" ht="12.75" x14ac:dyDescent="0.2">
      <c r="B13885" s="1168"/>
    </row>
    <row r="13886" spans="2:2" s="221" customFormat="1" ht="12.75" x14ac:dyDescent="0.2">
      <c r="B13886" s="1168"/>
    </row>
    <row r="13887" spans="2:2" s="221" customFormat="1" ht="12.75" x14ac:dyDescent="0.2">
      <c r="B13887" s="1168"/>
    </row>
    <row r="13888" spans="2:2" s="221" customFormat="1" ht="12.75" x14ac:dyDescent="0.2">
      <c r="B13888" s="1168"/>
    </row>
    <row r="13889" spans="2:2" s="221" customFormat="1" ht="12.75" x14ac:dyDescent="0.2">
      <c r="B13889" s="1168"/>
    </row>
    <row r="13890" spans="2:2" s="221" customFormat="1" ht="12.75" x14ac:dyDescent="0.2">
      <c r="B13890" s="1168"/>
    </row>
    <row r="13891" spans="2:2" s="221" customFormat="1" ht="12.75" x14ac:dyDescent="0.2">
      <c r="B13891" s="1168"/>
    </row>
    <row r="13892" spans="2:2" s="221" customFormat="1" ht="12.75" x14ac:dyDescent="0.2">
      <c r="B13892" s="1168"/>
    </row>
    <row r="13893" spans="2:2" s="221" customFormat="1" ht="12.75" x14ac:dyDescent="0.2">
      <c r="B13893" s="1168"/>
    </row>
    <row r="13894" spans="2:2" s="221" customFormat="1" ht="12.75" x14ac:dyDescent="0.2">
      <c r="B13894" s="1168"/>
    </row>
    <row r="13895" spans="2:2" s="221" customFormat="1" ht="12.75" x14ac:dyDescent="0.2">
      <c r="B13895" s="1168"/>
    </row>
    <row r="13896" spans="2:2" s="221" customFormat="1" ht="12.75" x14ac:dyDescent="0.2">
      <c r="B13896" s="1168"/>
    </row>
    <row r="13897" spans="2:2" s="221" customFormat="1" ht="12.75" x14ac:dyDescent="0.2">
      <c r="B13897" s="1168"/>
    </row>
    <row r="13898" spans="2:2" s="221" customFormat="1" ht="12.75" x14ac:dyDescent="0.2">
      <c r="B13898" s="1168"/>
    </row>
    <row r="13899" spans="2:2" s="221" customFormat="1" ht="12.75" x14ac:dyDescent="0.2">
      <c r="B13899" s="1168"/>
    </row>
    <row r="13900" spans="2:2" s="221" customFormat="1" ht="12.75" x14ac:dyDescent="0.2">
      <c r="B13900" s="1168"/>
    </row>
    <row r="13901" spans="2:2" s="221" customFormat="1" ht="12.75" x14ac:dyDescent="0.2">
      <c r="B13901" s="1168"/>
    </row>
    <row r="13902" spans="2:2" s="221" customFormat="1" ht="12.75" x14ac:dyDescent="0.2">
      <c r="B13902" s="1168"/>
    </row>
    <row r="13903" spans="2:2" s="221" customFormat="1" ht="12.75" x14ac:dyDescent="0.2">
      <c r="B13903" s="1168"/>
    </row>
    <row r="13904" spans="2:2" s="221" customFormat="1" ht="12.75" x14ac:dyDescent="0.2">
      <c r="B13904" s="1168"/>
    </row>
    <row r="13905" spans="2:2" s="221" customFormat="1" ht="12.75" x14ac:dyDescent="0.2">
      <c r="B13905" s="1168"/>
    </row>
    <row r="13906" spans="2:2" s="221" customFormat="1" ht="12.75" x14ac:dyDescent="0.2">
      <c r="B13906" s="1168"/>
    </row>
    <row r="13907" spans="2:2" s="221" customFormat="1" ht="12.75" x14ac:dyDescent="0.2">
      <c r="B13907" s="1168"/>
    </row>
    <row r="13908" spans="2:2" s="221" customFormat="1" ht="12.75" x14ac:dyDescent="0.2">
      <c r="B13908" s="1168"/>
    </row>
    <row r="13909" spans="2:2" s="221" customFormat="1" ht="12.75" x14ac:dyDescent="0.2">
      <c r="B13909" s="1168"/>
    </row>
    <row r="13910" spans="2:2" s="221" customFormat="1" ht="12.75" x14ac:dyDescent="0.2">
      <c r="B13910" s="1168"/>
    </row>
    <row r="13911" spans="2:2" s="221" customFormat="1" ht="12.75" x14ac:dyDescent="0.2">
      <c r="B13911" s="1168"/>
    </row>
    <row r="13912" spans="2:2" s="221" customFormat="1" ht="12.75" x14ac:dyDescent="0.2">
      <c r="B13912" s="1168"/>
    </row>
    <row r="13913" spans="2:2" s="221" customFormat="1" ht="12.75" x14ac:dyDescent="0.2">
      <c r="B13913" s="1168"/>
    </row>
    <row r="13914" spans="2:2" s="221" customFormat="1" ht="12.75" x14ac:dyDescent="0.2">
      <c r="B13914" s="1168"/>
    </row>
    <row r="13915" spans="2:2" s="221" customFormat="1" ht="12.75" x14ac:dyDescent="0.2">
      <c r="B13915" s="1168"/>
    </row>
    <row r="13916" spans="2:2" s="221" customFormat="1" ht="12.75" x14ac:dyDescent="0.2">
      <c r="B13916" s="1168"/>
    </row>
    <row r="13917" spans="2:2" s="221" customFormat="1" ht="12.75" x14ac:dyDescent="0.2">
      <c r="B13917" s="1168"/>
    </row>
    <row r="13918" spans="2:2" s="221" customFormat="1" ht="12.75" x14ac:dyDescent="0.2">
      <c r="B13918" s="1168"/>
    </row>
    <row r="13919" spans="2:2" s="221" customFormat="1" ht="12.75" x14ac:dyDescent="0.2">
      <c r="B13919" s="1168"/>
    </row>
    <row r="13920" spans="2:2" s="221" customFormat="1" ht="12.75" x14ac:dyDescent="0.2">
      <c r="B13920" s="1168"/>
    </row>
    <row r="13921" spans="2:2" s="221" customFormat="1" ht="12.75" x14ac:dyDescent="0.2">
      <c r="B13921" s="1168"/>
    </row>
    <row r="13922" spans="2:2" s="221" customFormat="1" ht="12.75" x14ac:dyDescent="0.2">
      <c r="B13922" s="1168"/>
    </row>
    <row r="13923" spans="2:2" s="221" customFormat="1" ht="12.75" x14ac:dyDescent="0.2">
      <c r="B13923" s="1168"/>
    </row>
    <row r="13924" spans="2:2" s="221" customFormat="1" ht="12.75" x14ac:dyDescent="0.2">
      <c r="B13924" s="1168"/>
    </row>
    <row r="13925" spans="2:2" s="221" customFormat="1" ht="12.75" x14ac:dyDescent="0.2">
      <c r="B13925" s="1168"/>
    </row>
    <row r="13926" spans="2:2" s="221" customFormat="1" ht="12.75" x14ac:dyDescent="0.2">
      <c r="B13926" s="1168"/>
    </row>
    <row r="13927" spans="2:2" s="221" customFormat="1" ht="12.75" x14ac:dyDescent="0.2">
      <c r="B13927" s="1168"/>
    </row>
    <row r="13928" spans="2:2" s="221" customFormat="1" ht="12.75" x14ac:dyDescent="0.2">
      <c r="B13928" s="1168"/>
    </row>
    <row r="13929" spans="2:2" s="221" customFormat="1" ht="12.75" x14ac:dyDescent="0.2">
      <c r="B13929" s="1168"/>
    </row>
    <row r="13930" spans="2:2" s="221" customFormat="1" ht="12.75" x14ac:dyDescent="0.2">
      <c r="B13930" s="1168"/>
    </row>
    <row r="13931" spans="2:2" s="221" customFormat="1" ht="12.75" x14ac:dyDescent="0.2">
      <c r="B13931" s="1168"/>
    </row>
    <row r="13932" spans="2:2" s="221" customFormat="1" ht="12.75" x14ac:dyDescent="0.2">
      <c r="B13932" s="1168"/>
    </row>
    <row r="13933" spans="2:2" s="221" customFormat="1" ht="12.75" x14ac:dyDescent="0.2">
      <c r="B13933" s="1168"/>
    </row>
    <row r="13934" spans="2:2" s="221" customFormat="1" ht="12.75" x14ac:dyDescent="0.2">
      <c r="B13934" s="1168"/>
    </row>
    <row r="13935" spans="2:2" s="221" customFormat="1" ht="12.75" x14ac:dyDescent="0.2">
      <c r="B13935" s="1168"/>
    </row>
    <row r="13936" spans="2:2" s="221" customFormat="1" ht="12.75" x14ac:dyDescent="0.2">
      <c r="B13936" s="1168"/>
    </row>
    <row r="13937" spans="2:2" s="221" customFormat="1" ht="12.75" x14ac:dyDescent="0.2">
      <c r="B13937" s="1168"/>
    </row>
    <row r="13938" spans="2:2" s="221" customFormat="1" ht="12.75" x14ac:dyDescent="0.2">
      <c r="B13938" s="1168"/>
    </row>
    <row r="13939" spans="2:2" s="221" customFormat="1" ht="12.75" x14ac:dyDescent="0.2">
      <c r="B13939" s="1168"/>
    </row>
    <row r="13940" spans="2:2" s="221" customFormat="1" ht="12.75" x14ac:dyDescent="0.2">
      <c r="B13940" s="1168"/>
    </row>
    <row r="13941" spans="2:2" s="221" customFormat="1" ht="12.75" x14ac:dyDescent="0.2">
      <c r="B13941" s="1168"/>
    </row>
    <row r="13942" spans="2:2" s="221" customFormat="1" ht="12.75" x14ac:dyDescent="0.2">
      <c r="B13942" s="1168"/>
    </row>
    <row r="13943" spans="2:2" s="221" customFormat="1" ht="12.75" x14ac:dyDescent="0.2">
      <c r="B13943" s="1168"/>
    </row>
    <row r="13944" spans="2:2" s="221" customFormat="1" ht="12.75" x14ac:dyDescent="0.2">
      <c r="B13944" s="1168"/>
    </row>
    <row r="13945" spans="2:2" s="221" customFormat="1" ht="12.75" x14ac:dyDescent="0.2">
      <c r="B13945" s="1168"/>
    </row>
    <row r="13946" spans="2:2" s="221" customFormat="1" ht="12.75" x14ac:dyDescent="0.2">
      <c r="B13946" s="1168"/>
    </row>
    <row r="13947" spans="2:2" s="221" customFormat="1" ht="12.75" x14ac:dyDescent="0.2">
      <c r="B13947" s="1168"/>
    </row>
    <row r="13948" spans="2:2" s="221" customFormat="1" ht="12.75" x14ac:dyDescent="0.2">
      <c r="B13948" s="1168"/>
    </row>
    <row r="13949" spans="2:2" s="221" customFormat="1" ht="12.75" x14ac:dyDescent="0.2">
      <c r="B13949" s="1168"/>
    </row>
    <row r="13950" spans="2:2" s="221" customFormat="1" ht="12.75" x14ac:dyDescent="0.2">
      <c r="B13950" s="1168"/>
    </row>
    <row r="13951" spans="2:2" s="221" customFormat="1" ht="12.75" x14ac:dyDescent="0.2">
      <c r="B13951" s="1168"/>
    </row>
    <row r="13952" spans="2:2" s="221" customFormat="1" ht="12.75" x14ac:dyDescent="0.2">
      <c r="B13952" s="1168"/>
    </row>
    <row r="13953" spans="2:2" s="221" customFormat="1" ht="12.75" x14ac:dyDescent="0.2">
      <c r="B13953" s="1168"/>
    </row>
    <row r="13954" spans="2:2" s="221" customFormat="1" ht="12.75" x14ac:dyDescent="0.2">
      <c r="B13954" s="1168"/>
    </row>
    <row r="13955" spans="2:2" s="221" customFormat="1" ht="12.75" x14ac:dyDescent="0.2">
      <c r="B13955" s="1168"/>
    </row>
    <row r="13956" spans="2:2" s="221" customFormat="1" ht="12.75" x14ac:dyDescent="0.2">
      <c r="B13956" s="1168"/>
    </row>
    <row r="13957" spans="2:2" s="221" customFormat="1" ht="12.75" x14ac:dyDescent="0.2">
      <c r="B13957" s="1168"/>
    </row>
    <row r="13958" spans="2:2" s="221" customFormat="1" ht="12.75" x14ac:dyDescent="0.2">
      <c r="B13958" s="1168"/>
    </row>
    <row r="13959" spans="2:2" s="221" customFormat="1" ht="12.75" x14ac:dyDescent="0.2">
      <c r="B13959" s="1168"/>
    </row>
    <row r="13960" spans="2:2" s="221" customFormat="1" ht="12.75" x14ac:dyDescent="0.2">
      <c r="B13960" s="1168"/>
    </row>
    <row r="13961" spans="2:2" s="221" customFormat="1" ht="12.75" x14ac:dyDescent="0.2">
      <c r="B13961" s="1168"/>
    </row>
    <row r="13962" spans="2:2" s="221" customFormat="1" ht="12.75" x14ac:dyDescent="0.2">
      <c r="B13962" s="1168"/>
    </row>
    <row r="13963" spans="2:2" s="221" customFormat="1" ht="12.75" x14ac:dyDescent="0.2">
      <c r="B13963" s="1168"/>
    </row>
    <row r="13964" spans="2:2" s="221" customFormat="1" ht="12.75" x14ac:dyDescent="0.2">
      <c r="B13964" s="1168"/>
    </row>
    <row r="13965" spans="2:2" s="221" customFormat="1" ht="12.75" x14ac:dyDescent="0.2">
      <c r="B13965" s="1168"/>
    </row>
    <row r="13966" spans="2:2" s="221" customFormat="1" ht="12.75" x14ac:dyDescent="0.2">
      <c r="B13966" s="1168"/>
    </row>
    <row r="13967" spans="2:2" s="221" customFormat="1" ht="12.75" x14ac:dyDescent="0.2">
      <c r="B13967" s="1168"/>
    </row>
    <row r="13968" spans="2:2" s="221" customFormat="1" ht="12.75" x14ac:dyDescent="0.2">
      <c r="B13968" s="1168"/>
    </row>
    <row r="13969" spans="2:2" s="221" customFormat="1" ht="12.75" x14ac:dyDescent="0.2">
      <c r="B13969" s="1168"/>
    </row>
    <row r="13970" spans="2:2" s="221" customFormat="1" ht="12.75" x14ac:dyDescent="0.2">
      <c r="B13970" s="1168"/>
    </row>
    <row r="13971" spans="2:2" s="221" customFormat="1" ht="12.75" x14ac:dyDescent="0.2">
      <c r="B13971" s="1168"/>
    </row>
    <row r="13972" spans="2:2" s="221" customFormat="1" ht="12.75" x14ac:dyDescent="0.2">
      <c r="B13972" s="1168"/>
    </row>
    <row r="13973" spans="2:2" s="221" customFormat="1" ht="12.75" x14ac:dyDescent="0.2">
      <c r="B13973" s="1168"/>
    </row>
    <row r="13974" spans="2:2" s="221" customFormat="1" ht="12.75" x14ac:dyDescent="0.2">
      <c r="B13974" s="1168"/>
    </row>
    <row r="13975" spans="2:2" s="221" customFormat="1" ht="12.75" x14ac:dyDescent="0.2">
      <c r="B13975" s="1168"/>
    </row>
    <row r="13976" spans="2:2" s="221" customFormat="1" ht="12.75" x14ac:dyDescent="0.2">
      <c r="B13976" s="1168"/>
    </row>
    <row r="13977" spans="2:2" s="221" customFormat="1" ht="12.75" x14ac:dyDescent="0.2">
      <c r="B13977" s="1168"/>
    </row>
    <row r="13978" spans="2:2" s="221" customFormat="1" ht="12.75" x14ac:dyDescent="0.2">
      <c r="B13978" s="1168"/>
    </row>
    <row r="13979" spans="2:2" s="221" customFormat="1" ht="12.75" x14ac:dyDescent="0.2">
      <c r="B13979" s="1168"/>
    </row>
    <row r="13980" spans="2:2" s="221" customFormat="1" ht="12.75" x14ac:dyDescent="0.2">
      <c r="B13980" s="1168"/>
    </row>
    <row r="13981" spans="2:2" s="221" customFormat="1" ht="12.75" x14ac:dyDescent="0.2">
      <c r="B13981" s="1168"/>
    </row>
    <row r="13982" spans="2:2" s="221" customFormat="1" ht="12.75" x14ac:dyDescent="0.2">
      <c r="B13982" s="1168"/>
    </row>
    <row r="13983" spans="2:2" s="221" customFormat="1" ht="12.75" x14ac:dyDescent="0.2">
      <c r="B13983" s="1168"/>
    </row>
    <row r="13984" spans="2:2" s="221" customFormat="1" ht="12.75" x14ac:dyDescent="0.2">
      <c r="B13984" s="1168"/>
    </row>
    <row r="13985" spans="2:2" s="221" customFormat="1" ht="12.75" x14ac:dyDescent="0.2">
      <c r="B13985" s="1168"/>
    </row>
    <row r="13986" spans="2:2" s="221" customFormat="1" ht="12.75" x14ac:dyDescent="0.2">
      <c r="B13986" s="1168"/>
    </row>
    <row r="13987" spans="2:2" s="221" customFormat="1" ht="12.75" x14ac:dyDescent="0.2">
      <c r="B13987" s="1168"/>
    </row>
    <row r="13988" spans="2:2" s="221" customFormat="1" ht="12.75" x14ac:dyDescent="0.2">
      <c r="B13988" s="1168"/>
    </row>
    <row r="13989" spans="2:2" s="221" customFormat="1" ht="12.75" x14ac:dyDescent="0.2">
      <c r="B13989" s="1168"/>
    </row>
    <row r="13990" spans="2:2" s="221" customFormat="1" ht="12.75" x14ac:dyDescent="0.2">
      <c r="B13990" s="1168"/>
    </row>
    <row r="13991" spans="2:2" s="221" customFormat="1" ht="12.75" x14ac:dyDescent="0.2">
      <c r="B13991" s="1168"/>
    </row>
    <row r="13992" spans="2:2" s="221" customFormat="1" ht="12.75" x14ac:dyDescent="0.2">
      <c r="B13992" s="1168"/>
    </row>
    <row r="13993" spans="2:2" s="221" customFormat="1" ht="12.75" x14ac:dyDescent="0.2">
      <c r="B13993" s="1168"/>
    </row>
    <row r="13994" spans="2:2" s="221" customFormat="1" ht="12.75" x14ac:dyDescent="0.2">
      <c r="B13994" s="1168"/>
    </row>
    <row r="13995" spans="2:2" s="221" customFormat="1" ht="12.75" x14ac:dyDescent="0.2">
      <c r="B13995" s="1168"/>
    </row>
    <row r="13996" spans="2:2" s="221" customFormat="1" ht="12.75" x14ac:dyDescent="0.2">
      <c r="B13996" s="1168"/>
    </row>
    <row r="13997" spans="2:2" s="221" customFormat="1" ht="12.75" x14ac:dyDescent="0.2">
      <c r="B13997" s="1168"/>
    </row>
    <row r="13998" spans="2:2" s="221" customFormat="1" ht="12.75" x14ac:dyDescent="0.2">
      <c r="B13998" s="1168"/>
    </row>
    <row r="13999" spans="2:2" s="221" customFormat="1" ht="12.75" x14ac:dyDescent="0.2">
      <c r="B13999" s="1168"/>
    </row>
    <row r="14000" spans="2:2" s="221" customFormat="1" ht="12.75" x14ac:dyDescent="0.2">
      <c r="B14000" s="1168"/>
    </row>
    <row r="14001" spans="2:2" s="221" customFormat="1" ht="12.75" x14ac:dyDescent="0.2">
      <c r="B14001" s="1168"/>
    </row>
    <row r="14002" spans="2:2" s="221" customFormat="1" ht="12.75" x14ac:dyDescent="0.2">
      <c r="B14002" s="1168"/>
    </row>
    <row r="14003" spans="2:2" s="221" customFormat="1" ht="12.75" x14ac:dyDescent="0.2">
      <c r="B14003" s="1168"/>
    </row>
    <row r="14004" spans="2:2" s="221" customFormat="1" ht="12.75" x14ac:dyDescent="0.2">
      <c r="B14004" s="1168"/>
    </row>
    <row r="14005" spans="2:2" s="221" customFormat="1" ht="12.75" x14ac:dyDescent="0.2">
      <c r="B14005" s="1168"/>
    </row>
    <row r="14006" spans="2:2" s="221" customFormat="1" ht="12.75" x14ac:dyDescent="0.2">
      <c r="B14006" s="1168"/>
    </row>
    <row r="14007" spans="2:2" s="221" customFormat="1" ht="12.75" x14ac:dyDescent="0.2">
      <c r="B14007" s="1168"/>
    </row>
    <row r="14008" spans="2:2" s="221" customFormat="1" ht="12.75" x14ac:dyDescent="0.2">
      <c r="B14008" s="1168"/>
    </row>
    <row r="14009" spans="2:2" s="221" customFormat="1" ht="12.75" x14ac:dyDescent="0.2">
      <c r="B14009" s="1168"/>
    </row>
    <row r="14010" spans="2:2" s="221" customFormat="1" ht="12.75" x14ac:dyDescent="0.2">
      <c r="B14010" s="1168"/>
    </row>
    <row r="14011" spans="2:2" s="221" customFormat="1" ht="12.75" x14ac:dyDescent="0.2">
      <c r="B14011" s="1168"/>
    </row>
    <row r="14012" spans="2:2" s="221" customFormat="1" ht="12.75" x14ac:dyDescent="0.2">
      <c r="B14012" s="1168"/>
    </row>
    <row r="14013" spans="2:2" s="221" customFormat="1" ht="12.75" x14ac:dyDescent="0.2">
      <c r="B14013" s="1168"/>
    </row>
    <row r="14014" spans="2:2" s="221" customFormat="1" ht="12.75" x14ac:dyDescent="0.2">
      <c r="B14014" s="1168"/>
    </row>
    <row r="14015" spans="2:2" s="221" customFormat="1" ht="12.75" x14ac:dyDescent="0.2">
      <c r="B14015" s="1168"/>
    </row>
    <row r="14016" spans="2:2" s="221" customFormat="1" ht="12.75" x14ac:dyDescent="0.2">
      <c r="B14016" s="1168"/>
    </row>
    <row r="14017" spans="2:2" s="221" customFormat="1" ht="12.75" x14ac:dyDescent="0.2">
      <c r="B14017" s="1168"/>
    </row>
    <row r="14018" spans="2:2" s="221" customFormat="1" ht="12.75" x14ac:dyDescent="0.2">
      <c r="B14018" s="1168"/>
    </row>
    <row r="14019" spans="2:2" s="221" customFormat="1" ht="12.75" x14ac:dyDescent="0.2">
      <c r="B14019" s="1168"/>
    </row>
    <row r="14020" spans="2:2" s="221" customFormat="1" ht="12.75" x14ac:dyDescent="0.2">
      <c r="B14020" s="1168"/>
    </row>
    <row r="14021" spans="2:2" s="221" customFormat="1" ht="12.75" x14ac:dyDescent="0.2">
      <c r="B14021" s="1168"/>
    </row>
    <row r="14022" spans="2:2" s="221" customFormat="1" ht="12.75" x14ac:dyDescent="0.2">
      <c r="B14022" s="1168"/>
    </row>
    <row r="14023" spans="2:2" s="221" customFormat="1" ht="12.75" x14ac:dyDescent="0.2">
      <c r="B14023" s="1168"/>
    </row>
    <row r="14024" spans="2:2" s="221" customFormat="1" ht="12.75" x14ac:dyDescent="0.2">
      <c r="B14024" s="1168"/>
    </row>
    <row r="14025" spans="2:2" s="221" customFormat="1" ht="12.75" x14ac:dyDescent="0.2">
      <c r="B14025" s="1168"/>
    </row>
    <row r="14026" spans="2:2" s="221" customFormat="1" ht="12.75" x14ac:dyDescent="0.2">
      <c r="B14026" s="1168"/>
    </row>
    <row r="14027" spans="2:2" s="221" customFormat="1" ht="12.75" x14ac:dyDescent="0.2">
      <c r="B14027" s="1168"/>
    </row>
    <row r="14028" spans="2:2" s="221" customFormat="1" ht="12.75" x14ac:dyDescent="0.2">
      <c r="B14028" s="1168"/>
    </row>
    <row r="14029" spans="2:2" s="221" customFormat="1" ht="12.75" x14ac:dyDescent="0.2">
      <c r="B14029" s="1168"/>
    </row>
    <row r="14030" spans="2:2" s="221" customFormat="1" ht="12.75" x14ac:dyDescent="0.2">
      <c r="B14030" s="1168"/>
    </row>
    <row r="14031" spans="2:2" s="221" customFormat="1" ht="12.75" x14ac:dyDescent="0.2">
      <c r="B14031" s="1168"/>
    </row>
    <row r="14032" spans="2:2" s="221" customFormat="1" ht="12.75" x14ac:dyDescent="0.2">
      <c r="B14032" s="1168"/>
    </row>
    <row r="14033" spans="2:2" s="221" customFormat="1" ht="12.75" x14ac:dyDescent="0.2">
      <c r="B14033" s="1168"/>
    </row>
    <row r="14034" spans="2:2" s="221" customFormat="1" ht="12.75" x14ac:dyDescent="0.2">
      <c r="B14034" s="1168"/>
    </row>
    <row r="14035" spans="2:2" s="221" customFormat="1" ht="12.75" x14ac:dyDescent="0.2">
      <c r="B14035" s="1168"/>
    </row>
    <row r="14036" spans="2:2" s="221" customFormat="1" ht="12.75" x14ac:dyDescent="0.2">
      <c r="B14036" s="1168"/>
    </row>
    <row r="14037" spans="2:2" s="221" customFormat="1" ht="12.75" x14ac:dyDescent="0.2">
      <c r="B14037" s="1168"/>
    </row>
    <row r="14038" spans="2:2" s="221" customFormat="1" ht="12.75" x14ac:dyDescent="0.2">
      <c r="B14038" s="1168"/>
    </row>
    <row r="14039" spans="2:2" s="221" customFormat="1" ht="12.75" x14ac:dyDescent="0.2">
      <c r="B14039" s="1168"/>
    </row>
    <row r="14040" spans="2:2" s="221" customFormat="1" ht="12.75" x14ac:dyDescent="0.2">
      <c r="B14040" s="1168"/>
    </row>
    <row r="14041" spans="2:2" s="221" customFormat="1" ht="12.75" x14ac:dyDescent="0.2">
      <c r="B14041" s="1168"/>
    </row>
    <row r="14042" spans="2:2" s="221" customFormat="1" ht="12.75" x14ac:dyDescent="0.2">
      <c r="B14042" s="1168"/>
    </row>
    <row r="14043" spans="2:2" s="221" customFormat="1" ht="12.75" x14ac:dyDescent="0.2">
      <c r="B14043" s="1168"/>
    </row>
    <row r="14044" spans="2:2" s="221" customFormat="1" ht="12.75" x14ac:dyDescent="0.2">
      <c r="B14044" s="1168"/>
    </row>
    <row r="14045" spans="2:2" s="221" customFormat="1" ht="12.75" x14ac:dyDescent="0.2">
      <c r="B14045" s="1168"/>
    </row>
    <row r="14046" spans="2:2" s="221" customFormat="1" ht="12.75" x14ac:dyDescent="0.2">
      <c r="B14046" s="1168"/>
    </row>
    <row r="14047" spans="2:2" s="221" customFormat="1" ht="12.75" x14ac:dyDescent="0.2">
      <c r="B14047" s="1168"/>
    </row>
    <row r="14048" spans="2:2" s="221" customFormat="1" ht="12.75" x14ac:dyDescent="0.2">
      <c r="B14048" s="1168"/>
    </row>
    <row r="14049" spans="2:2" s="221" customFormat="1" ht="12.75" x14ac:dyDescent="0.2">
      <c r="B14049" s="1168"/>
    </row>
    <row r="14050" spans="2:2" s="221" customFormat="1" ht="12.75" x14ac:dyDescent="0.2">
      <c r="B14050" s="1168"/>
    </row>
    <row r="14051" spans="2:2" s="221" customFormat="1" ht="12.75" x14ac:dyDescent="0.2">
      <c r="B14051" s="1168"/>
    </row>
    <row r="14052" spans="2:2" s="221" customFormat="1" ht="12.75" x14ac:dyDescent="0.2">
      <c r="B14052" s="1168"/>
    </row>
    <row r="14053" spans="2:2" s="221" customFormat="1" ht="12.75" x14ac:dyDescent="0.2">
      <c r="B14053" s="1168"/>
    </row>
    <row r="14054" spans="2:2" s="221" customFormat="1" ht="12.75" x14ac:dyDescent="0.2">
      <c r="B14054" s="1168"/>
    </row>
    <row r="14055" spans="2:2" s="221" customFormat="1" ht="12.75" x14ac:dyDescent="0.2">
      <c r="B14055" s="1168"/>
    </row>
    <row r="14056" spans="2:2" s="221" customFormat="1" ht="12.75" x14ac:dyDescent="0.2">
      <c r="B14056" s="1168"/>
    </row>
    <row r="14057" spans="2:2" s="221" customFormat="1" ht="12.75" x14ac:dyDescent="0.2">
      <c r="B14057" s="1168"/>
    </row>
    <row r="14058" spans="2:2" s="221" customFormat="1" ht="12.75" x14ac:dyDescent="0.2">
      <c r="B14058" s="1168"/>
    </row>
    <row r="14059" spans="2:2" s="221" customFormat="1" ht="12.75" x14ac:dyDescent="0.2">
      <c r="B14059" s="1168"/>
    </row>
    <row r="14060" spans="2:2" s="221" customFormat="1" ht="12.75" x14ac:dyDescent="0.2">
      <c r="B14060" s="1168"/>
    </row>
    <row r="14061" spans="2:2" s="221" customFormat="1" ht="12.75" x14ac:dyDescent="0.2">
      <c r="B14061" s="1168"/>
    </row>
    <row r="14062" spans="2:2" s="221" customFormat="1" ht="12.75" x14ac:dyDescent="0.2">
      <c r="B14062" s="1168"/>
    </row>
    <row r="14063" spans="2:2" s="221" customFormat="1" ht="12.75" x14ac:dyDescent="0.2">
      <c r="B14063" s="1168"/>
    </row>
    <row r="14064" spans="2:2" s="221" customFormat="1" ht="12.75" x14ac:dyDescent="0.2">
      <c r="B14064" s="1168"/>
    </row>
    <row r="14065" spans="2:2" s="221" customFormat="1" ht="12.75" x14ac:dyDescent="0.2">
      <c r="B14065" s="1168"/>
    </row>
    <row r="14066" spans="2:2" s="221" customFormat="1" ht="12.75" x14ac:dyDescent="0.2">
      <c r="B14066" s="1168"/>
    </row>
    <row r="14067" spans="2:2" s="221" customFormat="1" ht="12.75" x14ac:dyDescent="0.2">
      <c r="B14067" s="1168"/>
    </row>
    <row r="14068" spans="2:2" s="221" customFormat="1" ht="12.75" x14ac:dyDescent="0.2">
      <c r="B14068" s="1168"/>
    </row>
    <row r="14069" spans="2:2" s="221" customFormat="1" ht="12.75" x14ac:dyDescent="0.2">
      <c r="B14069" s="1168"/>
    </row>
    <row r="14070" spans="2:2" s="221" customFormat="1" ht="12.75" x14ac:dyDescent="0.2">
      <c r="B14070" s="1168"/>
    </row>
    <row r="14071" spans="2:2" s="221" customFormat="1" ht="12.75" x14ac:dyDescent="0.2">
      <c r="B14071" s="1168"/>
    </row>
    <row r="14072" spans="2:2" s="221" customFormat="1" ht="12.75" x14ac:dyDescent="0.2">
      <c r="B14072" s="1168"/>
    </row>
    <row r="14073" spans="2:2" s="221" customFormat="1" ht="12.75" x14ac:dyDescent="0.2">
      <c r="B14073" s="1168"/>
    </row>
    <row r="14074" spans="2:2" s="221" customFormat="1" ht="12.75" x14ac:dyDescent="0.2">
      <c r="B14074" s="1168"/>
    </row>
    <row r="14075" spans="2:2" s="221" customFormat="1" ht="12.75" x14ac:dyDescent="0.2">
      <c r="B14075" s="1168"/>
    </row>
    <row r="14076" spans="2:2" s="221" customFormat="1" ht="12.75" x14ac:dyDescent="0.2">
      <c r="B14076" s="1168"/>
    </row>
    <row r="14077" spans="2:2" s="221" customFormat="1" ht="12.75" x14ac:dyDescent="0.2">
      <c r="B14077" s="1168"/>
    </row>
    <row r="14078" spans="2:2" s="221" customFormat="1" ht="12.75" x14ac:dyDescent="0.2">
      <c r="B14078" s="1168"/>
    </row>
    <row r="14079" spans="2:2" s="221" customFormat="1" ht="12.75" x14ac:dyDescent="0.2">
      <c r="B14079" s="1168"/>
    </row>
    <row r="14080" spans="2:2" s="221" customFormat="1" ht="12.75" x14ac:dyDescent="0.2">
      <c r="B14080" s="1168"/>
    </row>
    <row r="14081" spans="2:2" s="221" customFormat="1" ht="12.75" x14ac:dyDescent="0.2">
      <c r="B14081" s="1168"/>
    </row>
    <row r="14082" spans="2:2" s="221" customFormat="1" ht="12.75" x14ac:dyDescent="0.2">
      <c r="B14082" s="1168"/>
    </row>
    <row r="14083" spans="2:2" s="221" customFormat="1" ht="12.75" x14ac:dyDescent="0.2">
      <c r="B14083" s="1168"/>
    </row>
    <row r="14084" spans="2:2" s="221" customFormat="1" ht="12.75" x14ac:dyDescent="0.2">
      <c r="B14084" s="1168"/>
    </row>
    <row r="14085" spans="2:2" s="221" customFormat="1" ht="12.75" x14ac:dyDescent="0.2">
      <c r="B14085" s="1168"/>
    </row>
    <row r="14086" spans="2:2" s="221" customFormat="1" ht="12.75" x14ac:dyDescent="0.2">
      <c r="B14086" s="1168"/>
    </row>
    <row r="14087" spans="2:2" s="221" customFormat="1" ht="12.75" x14ac:dyDescent="0.2">
      <c r="B14087" s="1168"/>
    </row>
    <row r="14088" spans="2:2" s="221" customFormat="1" ht="12.75" x14ac:dyDescent="0.2">
      <c r="B14088" s="1168"/>
    </row>
    <row r="14089" spans="2:2" s="221" customFormat="1" ht="12.75" x14ac:dyDescent="0.2">
      <c r="B14089" s="1168"/>
    </row>
    <row r="14090" spans="2:2" s="221" customFormat="1" ht="12.75" x14ac:dyDescent="0.2">
      <c r="B14090" s="1168"/>
    </row>
    <row r="14091" spans="2:2" s="221" customFormat="1" ht="12.75" x14ac:dyDescent="0.2">
      <c r="B14091" s="1168"/>
    </row>
    <row r="14092" spans="2:2" s="221" customFormat="1" ht="12.75" x14ac:dyDescent="0.2">
      <c r="B14092" s="1168"/>
    </row>
    <row r="14093" spans="2:2" s="221" customFormat="1" ht="12.75" x14ac:dyDescent="0.2">
      <c r="B14093" s="1168"/>
    </row>
    <row r="14094" spans="2:2" s="221" customFormat="1" ht="12.75" x14ac:dyDescent="0.2">
      <c r="B14094" s="1168"/>
    </row>
    <row r="14095" spans="2:2" s="221" customFormat="1" ht="12.75" x14ac:dyDescent="0.2">
      <c r="B14095" s="1168"/>
    </row>
    <row r="14096" spans="2:2" s="221" customFormat="1" ht="12.75" x14ac:dyDescent="0.2">
      <c r="B14096" s="1168"/>
    </row>
    <row r="14097" spans="2:2" s="221" customFormat="1" ht="12.75" x14ac:dyDescent="0.2">
      <c r="B14097" s="1168"/>
    </row>
    <row r="14098" spans="2:2" s="221" customFormat="1" ht="12.75" x14ac:dyDescent="0.2">
      <c r="B14098" s="1168"/>
    </row>
    <row r="14099" spans="2:2" s="221" customFormat="1" ht="12.75" x14ac:dyDescent="0.2">
      <c r="B14099" s="1168"/>
    </row>
    <row r="14100" spans="2:2" s="221" customFormat="1" ht="12.75" x14ac:dyDescent="0.2">
      <c r="B14100" s="1168"/>
    </row>
    <row r="14101" spans="2:2" s="221" customFormat="1" ht="12.75" x14ac:dyDescent="0.2">
      <c r="B14101" s="1168"/>
    </row>
    <row r="14102" spans="2:2" s="221" customFormat="1" ht="12.75" x14ac:dyDescent="0.2">
      <c r="B14102" s="1168"/>
    </row>
    <row r="14103" spans="2:2" s="221" customFormat="1" ht="12.75" x14ac:dyDescent="0.2">
      <c r="B14103" s="1168"/>
    </row>
    <row r="14104" spans="2:2" s="221" customFormat="1" ht="12.75" x14ac:dyDescent="0.2">
      <c r="B14104" s="1168"/>
    </row>
    <row r="14105" spans="2:2" s="221" customFormat="1" ht="12.75" x14ac:dyDescent="0.2">
      <c r="B14105" s="1168"/>
    </row>
    <row r="14106" spans="2:2" s="221" customFormat="1" ht="12.75" x14ac:dyDescent="0.2">
      <c r="B14106" s="1168"/>
    </row>
    <row r="14107" spans="2:2" s="221" customFormat="1" ht="12.75" x14ac:dyDescent="0.2">
      <c r="B14107" s="1168"/>
    </row>
    <row r="14108" spans="2:2" s="221" customFormat="1" ht="12.75" x14ac:dyDescent="0.2">
      <c r="B14108" s="1168"/>
    </row>
    <row r="14109" spans="2:2" s="221" customFormat="1" ht="12.75" x14ac:dyDescent="0.2">
      <c r="B14109" s="1168"/>
    </row>
    <row r="14110" spans="2:2" s="221" customFormat="1" ht="12.75" x14ac:dyDescent="0.2">
      <c r="B14110" s="1168"/>
    </row>
    <row r="14111" spans="2:2" s="221" customFormat="1" ht="12.75" x14ac:dyDescent="0.2">
      <c r="B14111" s="1168"/>
    </row>
    <row r="14112" spans="2:2" s="221" customFormat="1" ht="12.75" x14ac:dyDescent="0.2">
      <c r="B14112" s="1168"/>
    </row>
    <row r="14113" spans="2:2" s="221" customFormat="1" ht="12.75" x14ac:dyDescent="0.2">
      <c r="B14113" s="1168"/>
    </row>
    <row r="14114" spans="2:2" s="221" customFormat="1" ht="12.75" x14ac:dyDescent="0.2">
      <c r="B14114" s="1168"/>
    </row>
    <row r="14115" spans="2:2" s="221" customFormat="1" ht="12.75" x14ac:dyDescent="0.2">
      <c r="B14115" s="1168"/>
    </row>
    <row r="14116" spans="2:2" s="221" customFormat="1" ht="12.75" x14ac:dyDescent="0.2">
      <c r="B14116" s="1168"/>
    </row>
    <row r="14117" spans="2:2" s="221" customFormat="1" ht="12.75" x14ac:dyDescent="0.2">
      <c r="B14117" s="1168"/>
    </row>
    <row r="14118" spans="2:2" s="221" customFormat="1" ht="12.75" x14ac:dyDescent="0.2">
      <c r="B14118" s="1168"/>
    </row>
    <row r="14119" spans="2:2" s="221" customFormat="1" ht="12.75" x14ac:dyDescent="0.2">
      <c r="B14119" s="1168"/>
    </row>
    <row r="14120" spans="2:2" s="221" customFormat="1" ht="12.75" x14ac:dyDescent="0.2">
      <c r="B14120" s="1168"/>
    </row>
    <row r="14121" spans="2:2" s="221" customFormat="1" ht="12.75" x14ac:dyDescent="0.2">
      <c r="B14121" s="1168"/>
    </row>
    <row r="14122" spans="2:2" s="221" customFormat="1" ht="12.75" x14ac:dyDescent="0.2">
      <c r="B14122" s="1168"/>
    </row>
    <row r="14123" spans="2:2" s="221" customFormat="1" ht="12.75" x14ac:dyDescent="0.2">
      <c r="B14123" s="1168"/>
    </row>
    <row r="14124" spans="2:2" s="221" customFormat="1" ht="12.75" x14ac:dyDescent="0.2">
      <c r="B14124" s="1168"/>
    </row>
    <row r="14125" spans="2:2" s="221" customFormat="1" ht="12.75" x14ac:dyDescent="0.2">
      <c r="B14125" s="1168"/>
    </row>
    <row r="14126" spans="2:2" s="221" customFormat="1" ht="12.75" x14ac:dyDescent="0.2">
      <c r="B14126" s="1168"/>
    </row>
    <row r="14127" spans="2:2" s="221" customFormat="1" ht="12.75" x14ac:dyDescent="0.2">
      <c r="B14127" s="1168"/>
    </row>
    <row r="14128" spans="2:2" s="221" customFormat="1" ht="12.75" x14ac:dyDescent="0.2">
      <c r="B14128" s="1168"/>
    </row>
    <row r="14129" spans="2:2" s="221" customFormat="1" ht="12.75" x14ac:dyDescent="0.2">
      <c r="B14129" s="1168"/>
    </row>
    <row r="14130" spans="2:2" s="221" customFormat="1" ht="12.75" x14ac:dyDescent="0.2">
      <c r="B14130" s="1168"/>
    </row>
    <row r="14131" spans="2:2" s="221" customFormat="1" ht="12.75" x14ac:dyDescent="0.2">
      <c r="B14131" s="1168"/>
    </row>
    <row r="14132" spans="2:2" s="221" customFormat="1" ht="12.75" x14ac:dyDescent="0.2">
      <c r="B14132" s="1168"/>
    </row>
    <row r="14133" spans="2:2" s="221" customFormat="1" ht="12.75" x14ac:dyDescent="0.2">
      <c r="B14133" s="1168"/>
    </row>
    <row r="14134" spans="2:2" s="221" customFormat="1" ht="12.75" x14ac:dyDescent="0.2">
      <c r="B14134" s="1168"/>
    </row>
    <row r="14135" spans="2:2" s="221" customFormat="1" ht="12.75" x14ac:dyDescent="0.2">
      <c r="B14135" s="1168"/>
    </row>
    <row r="14136" spans="2:2" s="221" customFormat="1" ht="12.75" x14ac:dyDescent="0.2">
      <c r="B14136" s="1168"/>
    </row>
    <row r="14137" spans="2:2" s="221" customFormat="1" ht="12.75" x14ac:dyDescent="0.2">
      <c r="B14137" s="1168"/>
    </row>
    <row r="14138" spans="2:2" s="221" customFormat="1" ht="12.75" x14ac:dyDescent="0.2">
      <c r="B14138" s="1168"/>
    </row>
    <row r="14139" spans="2:2" s="221" customFormat="1" ht="12.75" x14ac:dyDescent="0.2">
      <c r="B14139" s="1168"/>
    </row>
    <row r="14140" spans="2:2" s="221" customFormat="1" ht="12.75" x14ac:dyDescent="0.2">
      <c r="B14140" s="1168"/>
    </row>
    <row r="14141" spans="2:2" s="221" customFormat="1" ht="12.75" x14ac:dyDescent="0.2">
      <c r="B14141" s="1168"/>
    </row>
    <row r="14142" spans="2:2" s="221" customFormat="1" ht="12.75" x14ac:dyDescent="0.2">
      <c r="B14142" s="1168"/>
    </row>
    <row r="14143" spans="2:2" s="221" customFormat="1" ht="12.75" x14ac:dyDescent="0.2">
      <c r="B14143" s="1168"/>
    </row>
    <row r="14144" spans="2:2" s="221" customFormat="1" ht="12.75" x14ac:dyDescent="0.2">
      <c r="B14144" s="1168"/>
    </row>
    <row r="14145" spans="2:2" s="221" customFormat="1" ht="12.75" x14ac:dyDescent="0.2">
      <c r="B14145" s="1168"/>
    </row>
    <row r="14146" spans="2:2" s="221" customFormat="1" ht="12.75" x14ac:dyDescent="0.2">
      <c r="B14146" s="1168"/>
    </row>
    <row r="14147" spans="2:2" s="221" customFormat="1" ht="12.75" x14ac:dyDescent="0.2">
      <c r="B14147" s="1168"/>
    </row>
    <row r="14148" spans="2:2" s="221" customFormat="1" ht="12.75" x14ac:dyDescent="0.2">
      <c r="B14148" s="1168"/>
    </row>
    <row r="14149" spans="2:2" s="221" customFormat="1" ht="12.75" x14ac:dyDescent="0.2">
      <c r="B14149" s="1168"/>
    </row>
    <row r="14150" spans="2:2" s="221" customFormat="1" ht="12.75" x14ac:dyDescent="0.2">
      <c r="B14150" s="1168"/>
    </row>
    <row r="14151" spans="2:2" s="221" customFormat="1" ht="12.75" x14ac:dyDescent="0.2">
      <c r="B14151" s="1168"/>
    </row>
    <row r="14152" spans="2:2" s="221" customFormat="1" ht="12.75" x14ac:dyDescent="0.2">
      <c r="B14152" s="1168"/>
    </row>
    <row r="14153" spans="2:2" s="221" customFormat="1" ht="12.75" x14ac:dyDescent="0.2">
      <c r="B14153" s="1168"/>
    </row>
    <row r="14154" spans="2:2" s="221" customFormat="1" ht="12.75" x14ac:dyDescent="0.2">
      <c r="B14154" s="1168"/>
    </row>
    <row r="14155" spans="2:2" s="221" customFormat="1" ht="12.75" x14ac:dyDescent="0.2">
      <c r="B14155" s="1168"/>
    </row>
    <row r="14156" spans="2:2" s="221" customFormat="1" ht="12.75" x14ac:dyDescent="0.2">
      <c r="B14156" s="1168"/>
    </row>
    <row r="14157" spans="2:2" s="221" customFormat="1" ht="12.75" x14ac:dyDescent="0.2">
      <c r="B14157" s="1168"/>
    </row>
    <row r="14158" spans="2:2" s="221" customFormat="1" ht="12.75" x14ac:dyDescent="0.2">
      <c r="B14158" s="1168"/>
    </row>
    <row r="14159" spans="2:2" s="221" customFormat="1" ht="12.75" x14ac:dyDescent="0.2">
      <c r="B14159" s="1168"/>
    </row>
    <row r="14160" spans="2:2" s="221" customFormat="1" ht="12.75" x14ac:dyDescent="0.2">
      <c r="B14160" s="1168"/>
    </row>
    <row r="14161" spans="2:2" s="221" customFormat="1" ht="12.75" x14ac:dyDescent="0.2">
      <c r="B14161" s="1168"/>
    </row>
    <row r="14162" spans="2:2" s="221" customFormat="1" ht="12.75" x14ac:dyDescent="0.2">
      <c r="B14162" s="1168"/>
    </row>
    <row r="14163" spans="2:2" s="221" customFormat="1" ht="12.75" x14ac:dyDescent="0.2">
      <c r="B14163" s="1168"/>
    </row>
    <row r="14164" spans="2:2" s="221" customFormat="1" ht="12.75" x14ac:dyDescent="0.2">
      <c r="B14164" s="1168"/>
    </row>
    <row r="14165" spans="2:2" s="221" customFormat="1" ht="12.75" x14ac:dyDescent="0.2">
      <c r="B14165" s="1168"/>
    </row>
    <row r="14166" spans="2:2" s="221" customFormat="1" ht="12.75" x14ac:dyDescent="0.2">
      <c r="B14166" s="1168"/>
    </row>
    <row r="14167" spans="2:2" s="221" customFormat="1" ht="12.75" x14ac:dyDescent="0.2">
      <c r="B14167" s="1168"/>
    </row>
    <row r="14168" spans="2:2" s="221" customFormat="1" ht="12.75" x14ac:dyDescent="0.2">
      <c r="B14168" s="1168"/>
    </row>
    <row r="14169" spans="2:2" s="221" customFormat="1" ht="12.75" x14ac:dyDescent="0.2">
      <c r="B14169" s="1168"/>
    </row>
    <row r="14170" spans="2:2" s="221" customFormat="1" ht="12.75" x14ac:dyDescent="0.2">
      <c r="B14170" s="1168"/>
    </row>
    <row r="14171" spans="2:2" s="221" customFormat="1" ht="12.75" x14ac:dyDescent="0.2">
      <c r="B14171" s="1168"/>
    </row>
    <row r="14172" spans="2:2" s="221" customFormat="1" ht="12.75" x14ac:dyDescent="0.2">
      <c r="B14172" s="1168"/>
    </row>
    <row r="14173" spans="2:2" s="221" customFormat="1" ht="12.75" x14ac:dyDescent="0.2">
      <c r="B14173" s="1168"/>
    </row>
    <row r="14174" spans="2:2" s="221" customFormat="1" ht="12.75" x14ac:dyDescent="0.2">
      <c r="B14174" s="1168"/>
    </row>
    <row r="14175" spans="2:2" s="221" customFormat="1" ht="12.75" x14ac:dyDescent="0.2">
      <c r="B14175" s="1168"/>
    </row>
    <row r="14176" spans="2:2" s="221" customFormat="1" ht="12.75" x14ac:dyDescent="0.2">
      <c r="B14176" s="1168"/>
    </row>
    <row r="14177" spans="2:2" s="221" customFormat="1" ht="12.75" x14ac:dyDescent="0.2">
      <c r="B14177" s="1168"/>
    </row>
    <row r="14178" spans="2:2" s="221" customFormat="1" ht="12.75" x14ac:dyDescent="0.2">
      <c r="B14178" s="1168"/>
    </row>
    <row r="14179" spans="2:2" s="221" customFormat="1" ht="12.75" x14ac:dyDescent="0.2">
      <c r="B14179" s="1168"/>
    </row>
    <row r="14180" spans="2:2" s="221" customFormat="1" ht="12.75" x14ac:dyDescent="0.2">
      <c r="B14180" s="1168"/>
    </row>
    <row r="14181" spans="2:2" s="221" customFormat="1" ht="12.75" x14ac:dyDescent="0.2">
      <c r="B14181" s="1168"/>
    </row>
    <row r="14182" spans="2:2" s="221" customFormat="1" ht="12.75" x14ac:dyDescent="0.2">
      <c r="B14182" s="1168"/>
    </row>
    <row r="14183" spans="2:2" s="221" customFormat="1" ht="12.75" x14ac:dyDescent="0.2">
      <c r="B14183" s="1168"/>
    </row>
    <row r="14184" spans="2:2" s="221" customFormat="1" ht="12.75" x14ac:dyDescent="0.2">
      <c r="B14184" s="1168"/>
    </row>
    <row r="14185" spans="2:2" s="221" customFormat="1" ht="12.75" x14ac:dyDescent="0.2">
      <c r="B14185" s="1168"/>
    </row>
    <row r="14186" spans="2:2" s="221" customFormat="1" ht="12.75" x14ac:dyDescent="0.2">
      <c r="B14186" s="1168"/>
    </row>
    <row r="14187" spans="2:2" s="221" customFormat="1" ht="12.75" x14ac:dyDescent="0.2">
      <c r="B14187" s="1168"/>
    </row>
    <row r="14188" spans="2:2" s="221" customFormat="1" ht="12.75" x14ac:dyDescent="0.2">
      <c r="B14188" s="1168"/>
    </row>
    <row r="14189" spans="2:2" s="221" customFormat="1" ht="12.75" x14ac:dyDescent="0.2">
      <c r="B14189" s="1168"/>
    </row>
    <row r="14190" spans="2:2" s="221" customFormat="1" ht="12.75" x14ac:dyDescent="0.2">
      <c r="B14190" s="1168"/>
    </row>
    <row r="14191" spans="2:2" s="221" customFormat="1" ht="12.75" x14ac:dyDescent="0.2">
      <c r="B14191" s="1168"/>
    </row>
    <row r="14192" spans="2:2" s="221" customFormat="1" ht="12.75" x14ac:dyDescent="0.2">
      <c r="B14192" s="1168"/>
    </row>
    <row r="14193" spans="2:2" s="221" customFormat="1" ht="12.75" x14ac:dyDescent="0.2">
      <c r="B14193" s="1168"/>
    </row>
    <row r="14194" spans="2:2" s="221" customFormat="1" ht="12.75" x14ac:dyDescent="0.2">
      <c r="B14194" s="1168"/>
    </row>
    <row r="14195" spans="2:2" s="221" customFormat="1" ht="12.75" x14ac:dyDescent="0.2">
      <c r="B14195" s="1168"/>
    </row>
    <row r="14196" spans="2:2" s="221" customFormat="1" ht="12.75" x14ac:dyDescent="0.2">
      <c r="B14196" s="1168"/>
    </row>
    <row r="14197" spans="2:2" s="221" customFormat="1" ht="12.75" x14ac:dyDescent="0.2">
      <c r="B14197" s="1168"/>
    </row>
    <row r="14198" spans="2:2" s="221" customFormat="1" ht="12.75" x14ac:dyDescent="0.2">
      <c r="B14198" s="1168"/>
    </row>
    <row r="14199" spans="2:2" s="221" customFormat="1" ht="12.75" x14ac:dyDescent="0.2">
      <c r="B14199" s="1168"/>
    </row>
    <row r="14200" spans="2:2" s="221" customFormat="1" ht="12.75" x14ac:dyDescent="0.2">
      <c r="B14200" s="1168"/>
    </row>
    <row r="14201" spans="2:2" s="221" customFormat="1" ht="12.75" x14ac:dyDescent="0.2">
      <c r="B14201" s="1168"/>
    </row>
    <row r="14202" spans="2:2" s="221" customFormat="1" ht="12.75" x14ac:dyDescent="0.2">
      <c r="B14202" s="1168"/>
    </row>
    <row r="14203" spans="2:2" s="221" customFormat="1" ht="12.75" x14ac:dyDescent="0.2">
      <c r="B14203" s="1168"/>
    </row>
    <row r="14204" spans="2:2" s="221" customFormat="1" ht="12.75" x14ac:dyDescent="0.2">
      <c r="B14204" s="1168"/>
    </row>
    <row r="14205" spans="2:2" s="221" customFormat="1" ht="12.75" x14ac:dyDescent="0.2">
      <c r="B14205" s="1168"/>
    </row>
    <row r="14206" spans="2:2" s="221" customFormat="1" ht="12.75" x14ac:dyDescent="0.2">
      <c r="B14206" s="1168"/>
    </row>
    <row r="14207" spans="2:2" s="221" customFormat="1" ht="12.75" x14ac:dyDescent="0.2">
      <c r="B14207" s="1168"/>
    </row>
    <row r="14208" spans="2:2" s="221" customFormat="1" ht="12.75" x14ac:dyDescent="0.2">
      <c r="B14208" s="1168"/>
    </row>
    <row r="14209" spans="2:2" s="221" customFormat="1" ht="12.75" x14ac:dyDescent="0.2">
      <c r="B14209" s="1168"/>
    </row>
    <row r="14210" spans="2:2" s="221" customFormat="1" ht="12.75" x14ac:dyDescent="0.2">
      <c r="B14210" s="1168"/>
    </row>
    <row r="14211" spans="2:2" s="221" customFormat="1" ht="12.75" x14ac:dyDescent="0.2">
      <c r="B14211" s="1168"/>
    </row>
    <row r="14212" spans="2:2" s="221" customFormat="1" ht="12.75" x14ac:dyDescent="0.2">
      <c r="B14212" s="1168"/>
    </row>
    <row r="14213" spans="2:2" s="221" customFormat="1" ht="12.75" x14ac:dyDescent="0.2">
      <c r="B14213" s="1168"/>
    </row>
    <row r="14214" spans="2:2" s="221" customFormat="1" ht="12.75" x14ac:dyDescent="0.2">
      <c r="B14214" s="1168"/>
    </row>
    <row r="14215" spans="2:2" s="221" customFormat="1" ht="12.75" x14ac:dyDescent="0.2">
      <c r="B14215" s="1168"/>
    </row>
    <row r="14216" spans="2:2" s="221" customFormat="1" ht="12.75" x14ac:dyDescent="0.2">
      <c r="B14216" s="1168"/>
    </row>
    <row r="14217" spans="2:2" s="221" customFormat="1" ht="12.75" x14ac:dyDescent="0.2">
      <c r="B14217" s="1168"/>
    </row>
    <row r="14218" spans="2:2" s="221" customFormat="1" ht="12.75" x14ac:dyDescent="0.2">
      <c r="B14218" s="1168"/>
    </row>
    <row r="14219" spans="2:2" s="221" customFormat="1" ht="12.75" x14ac:dyDescent="0.2">
      <c r="B14219" s="1168"/>
    </row>
    <row r="14220" spans="2:2" s="221" customFormat="1" ht="12.75" x14ac:dyDescent="0.2">
      <c r="B14220" s="1168"/>
    </row>
    <row r="14221" spans="2:2" s="221" customFormat="1" ht="12.75" x14ac:dyDescent="0.2">
      <c r="B14221" s="1168"/>
    </row>
    <row r="14222" spans="2:2" s="221" customFormat="1" ht="12.75" x14ac:dyDescent="0.2">
      <c r="B14222" s="1168"/>
    </row>
    <row r="14223" spans="2:2" s="221" customFormat="1" ht="12.75" x14ac:dyDescent="0.2">
      <c r="B14223" s="1168"/>
    </row>
    <row r="14224" spans="2:2" s="221" customFormat="1" ht="12.75" x14ac:dyDescent="0.2">
      <c r="B14224" s="1168"/>
    </row>
    <row r="14225" spans="2:2" s="221" customFormat="1" ht="12.75" x14ac:dyDescent="0.2">
      <c r="B14225" s="1168"/>
    </row>
    <row r="14226" spans="2:2" s="221" customFormat="1" ht="12.75" x14ac:dyDescent="0.2">
      <c r="B14226" s="1168"/>
    </row>
    <row r="14227" spans="2:2" s="221" customFormat="1" ht="12.75" x14ac:dyDescent="0.2">
      <c r="B14227" s="1168"/>
    </row>
    <row r="14228" spans="2:2" s="221" customFormat="1" ht="12.75" x14ac:dyDescent="0.2">
      <c r="B14228" s="1168"/>
    </row>
    <row r="14229" spans="2:2" s="221" customFormat="1" ht="12.75" x14ac:dyDescent="0.2">
      <c r="B14229" s="1168"/>
    </row>
    <row r="14230" spans="2:2" s="221" customFormat="1" ht="12.75" x14ac:dyDescent="0.2">
      <c r="B14230" s="1168"/>
    </row>
    <row r="14231" spans="2:2" s="221" customFormat="1" ht="12.75" x14ac:dyDescent="0.2">
      <c r="B14231" s="1168"/>
    </row>
    <row r="14232" spans="2:2" s="221" customFormat="1" ht="12.75" x14ac:dyDescent="0.2">
      <c r="B14232" s="1168"/>
    </row>
    <row r="14233" spans="2:2" s="221" customFormat="1" ht="12.75" x14ac:dyDescent="0.2">
      <c r="B14233" s="1168"/>
    </row>
    <row r="14234" spans="2:2" s="221" customFormat="1" ht="12.75" x14ac:dyDescent="0.2">
      <c r="B14234" s="1168"/>
    </row>
    <row r="14235" spans="2:2" s="221" customFormat="1" ht="12.75" x14ac:dyDescent="0.2">
      <c r="B14235" s="1168"/>
    </row>
    <row r="14236" spans="2:2" s="221" customFormat="1" ht="12.75" x14ac:dyDescent="0.2">
      <c r="B14236" s="1168"/>
    </row>
    <row r="14237" spans="2:2" s="221" customFormat="1" ht="12.75" x14ac:dyDescent="0.2">
      <c r="B14237" s="1168"/>
    </row>
    <row r="14238" spans="2:2" s="221" customFormat="1" ht="12.75" x14ac:dyDescent="0.2">
      <c r="B14238" s="1168"/>
    </row>
    <row r="14239" spans="2:2" s="221" customFormat="1" ht="12.75" x14ac:dyDescent="0.2">
      <c r="B14239" s="1168"/>
    </row>
    <row r="14240" spans="2:2" s="221" customFormat="1" ht="12.75" x14ac:dyDescent="0.2">
      <c r="B14240" s="1168"/>
    </row>
    <row r="14241" spans="2:2" s="221" customFormat="1" ht="12.75" x14ac:dyDescent="0.2">
      <c r="B14241" s="1168"/>
    </row>
    <row r="14242" spans="2:2" s="221" customFormat="1" ht="12.75" x14ac:dyDescent="0.2">
      <c r="B14242" s="1168"/>
    </row>
    <row r="14243" spans="2:2" s="221" customFormat="1" ht="12.75" x14ac:dyDescent="0.2">
      <c r="B14243" s="1168"/>
    </row>
    <row r="14244" spans="2:2" s="221" customFormat="1" ht="12.75" x14ac:dyDescent="0.2">
      <c r="B14244" s="1168"/>
    </row>
    <row r="14245" spans="2:2" s="221" customFormat="1" ht="12.75" x14ac:dyDescent="0.2">
      <c r="B14245" s="1168"/>
    </row>
    <row r="14246" spans="2:2" s="221" customFormat="1" ht="12.75" x14ac:dyDescent="0.2">
      <c r="B14246" s="1168"/>
    </row>
    <row r="14247" spans="2:2" s="221" customFormat="1" ht="12.75" x14ac:dyDescent="0.2">
      <c r="B14247" s="1168"/>
    </row>
    <row r="14248" spans="2:2" s="221" customFormat="1" ht="12.75" x14ac:dyDescent="0.2">
      <c r="B14248" s="1168"/>
    </row>
    <row r="14249" spans="2:2" s="221" customFormat="1" ht="12.75" x14ac:dyDescent="0.2">
      <c r="B14249" s="1168"/>
    </row>
    <row r="14250" spans="2:2" s="221" customFormat="1" ht="12.75" x14ac:dyDescent="0.2">
      <c r="B14250" s="1168"/>
    </row>
    <row r="14251" spans="2:2" s="221" customFormat="1" ht="12.75" x14ac:dyDescent="0.2">
      <c r="B14251" s="1168"/>
    </row>
    <row r="14252" spans="2:2" s="221" customFormat="1" ht="12.75" x14ac:dyDescent="0.2">
      <c r="B14252" s="1168"/>
    </row>
    <row r="14253" spans="2:2" s="221" customFormat="1" ht="12.75" x14ac:dyDescent="0.2">
      <c r="B14253" s="1168"/>
    </row>
    <row r="14254" spans="2:2" s="221" customFormat="1" ht="12.75" x14ac:dyDescent="0.2">
      <c r="B14254" s="1168"/>
    </row>
    <row r="14255" spans="2:2" s="221" customFormat="1" ht="12.75" x14ac:dyDescent="0.2">
      <c r="B14255" s="1168"/>
    </row>
    <row r="14256" spans="2:2" s="221" customFormat="1" ht="12.75" x14ac:dyDescent="0.2">
      <c r="B14256" s="1168"/>
    </row>
    <row r="14257" spans="2:2" s="221" customFormat="1" ht="12.75" x14ac:dyDescent="0.2">
      <c r="B14257" s="1168"/>
    </row>
    <row r="14258" spans="2:2" s="221" customFormat="1" ht="12.75" x14ac:dyDescent="0.2">
      <c r="B14258" s="1168"/>
    </row>
    <row r="14259" spans="2:2" s="221" customFormat="1" ht="12.75" x14ac:dyDescent="0.2">
      <c r="B14259" s="1168"/>
    </row>
    <row r="14260" spans="2:2" s="221" customFormat="1" ht="12.75" x14ac:dyDescent="0.2">
      <c r="B14260" s="1168"/>
    </row>
    <row r="14261" spans="2:2" s="221" customFormat="1" ht="12.75" x14ac:dyDescent="0.2">
      <c r="B14261" s="1168"/>
    </row>
    <row r="14262" spans="2:2" s="221" customFormat="1" ht="12.75" x14ac:dyDescent="0.2">
      <c r="B14262" s="1168"/>
    </row>
    <row r="14263" spans="2:2" s="221" customFormat="1" ht="12.75" x14ac:dyDescent="0.2">
      <c r="B14263" s="1168"/>
    </row>
    <row r="14264" spans="2:2" s="221" customFormat="1" ht="12.75" x14ac:dyDescent="0.2">
      <c r="B14264" s="1168"/>
    </row>
    <row r="14265" spans="2:2" s="221" customFormat="1" ht="12.75" x14ac:dyDescent="0.2">
      <c r="B14265" s="1168"/>
    </row>
    <row r="14266" spans="2:2" s="221" customFormat="1" ht="12.75" x14ac:dyDescent="0.2">
      <c r="B14266" s="1168"/>
    </row>
    <row r="14267" spans="2:2" s="221" customFormat="1" ht="12.75" x14ac:dyDescent="0.2">
      <c r="B14267" s="1168"/>
    </row>
    <row r="14268" spans="2:2" s="221" customFormat="1" ht="12.75" x14ac:dyDescent="0.2">
      <c r="B14268" s="1168"/>
    </row>
    <row r="14269" spans="2:2" s="221" customFormat="1" ht="12.75" x14ac:dyDescent="0.2">
      <c r="B14269" s="1168"/>
    </row>
    <row r="14270" spans="2:2" s="221" customFormat="1" ht="12.75" x14ac:dyDescent="0.2">
      <c r="B14270" s="1168"/>
    </row>
    <row r="14271" spans="2:2" s="221" customFormat="1" ht="12.75" x14ac:dyDescent="0.2">
      <c r="B14271" s="1168"/>
    </row>
    <row r="14272" spans="2:2" s="221" customFormat="1" ht="12.75" x14ac:dyDescent="0.2">
      <c r="B14272" s="1168"/>
    </row>
    <row r="14273" spans="2:2" s="221" customFormat="1" ht="12.75" x14ac:dyDescent="0.2">
      <c r="B14273" s="1168"/>
    </row>
    <row r="14274" spans="2:2" s="221" customFormat="1" ht="12.75" x14ac:dyDescent="0.2">
      <c r="B14274" s="1168"/>
    </row>
    <row r="14275" spans="2:2" s="221" customFormat="1" ht="12.75" x14ac:dyDescent="0.2">
      <c r="B14275" s="1168"/>
    </row>
    <row r="14276" spans="2:2" s="221" customFormat="1" ht="12.75" x14ac:dyDescent="0.2">
      <c r="B14276" s="1168"/>
    </row>
    <row r="14277" spans="2:2" s="221" customFormat="1" ht="12.75" x14ac:dyDescent="0.2">
      <c r="B14277" s="1168"/>
    </row>
    <row r="14278" spans="2:2" s="221" customFormat="1" ht="12.75" x14ac:dyDescent="0.2">
      <c r="B14278" s="1168"/>
    </row>
    <row r="14279" spans="2:2" s="221" customFormat="1" ht="12.75" x14ac:dyDescent="0.2">
      <c r="B14279" s="1168"/>
    </row>
    <row r="14280" spans="2:2" s="221" customFormat="1" ht="12.75" x14ac:dyDescent="0.2">
      <c r="B14280" s="1168"/>
    </row>
    <row r="14281" spans="2:2" s="221" customFormat="1" ht="12.75" x14ac:dyDescent="0.2">
      <c r="B14281" s="1168"/>
    </row>
    <row r="14282" spans="2:2" s="221" customFormat="1" ht="12.75" x14ac:dyDescent="0.2">
      <c r="B14282" s="1168"/>
    </row>
    <row r="14283" spans="2:2" s="221" customFormat="1" ht="12.75" x14ac:dyDescent="0.2">
      <c r="B14283" s="1168"/>
    </row>
    <row r="14284" spans="2:2" s="221" customFormat="1" ht="12.75" x14ac:dyDescent="0.2">
      <c r="B14284" s="1168"/>
    </row>
    <row r="14285" spans="2:2" s="221" customFormat="1" ht="12.75" x14ac:dyDescent="0.2">
      <c r="B14285" s="1168"/>
    </row>
    <row r="14286" spans="2:2" s="221" customFormat="1" ht="12.75" x14ac:dyDescent="0.2">
      <c r="B14286" s="1168"/>
    </row>
    <row r="14287" spans="2:2" s="221" customFormat="1" ht="12.75" x14ac:dyDescent="0.2">
      <c r="B14287" s="1168"/>
    </row>
    <row r="14288" spans="2:2" s="221" customFormat="1" ht="12.75" x14ac:dyDescent="0.2">
      <c r="B14288" s="1168"/>
    </row>
    <row r="14289" spans="2:2" s="221" customFormat="1" ht="12.75" x14ac:dyDescent="0.2">
      <c r="B14289" s="1168"/>
    </row>
    <row r="14290" spans="2:2" s="221" customFormat="1" ht="12.75" x14ac:dyDescent="0.2">
      <c r="B14290" s="1168"/>
    </row>
    <row r="14291" spans="2:2" s="221" customFormat="1" ht="12.75" x14ac:dyDescent="0.2">
      <c r="B14291" s="1168"/>
    </row>
    <row r="14292" spans="2:2" s="221" customFormat="1" ht="12.75" x14ac:dyDescent="0.2">
      <c r="B14292" s="1168"/>
    </row>
    <row r="14293" spans="2:2" s="221" customFormat="1" ht="12.75" x14ac:dyDescent="0.2">
      <c r="B14293" s="1168"/>
    </row>
    <row r="14294" spans="2:2" s="221" customFormat="1" ht="12.75" x14ac:dyDescent="0.2">
      <c r="B14294" s="1168"/>
    </row>
    <row r="14295" spans="2:2" s="221" customFormat="1" ht="12.75" x14ac:dyDescent="0.2">
      <c r="B14295" s="1168"/>
    </row>
    <row r="14296" spans="2:2" s="221" customFormat="1" ht="12.75" x14ac:dyDescent="0.2">
      <c r="B14296" s="1168"/>
    </row>
    <row r="14297" spans="2:2" s="221" customFormat="1" ht="12.75" x14ac:dyDescent="0.2">
      <c r="B14297" s="1168"/>
    </row>
    <row r="14298" spans="2:2" s="221" customFormat="1" ht="12.75" x14ac:dyDescent="0.2">
      <c r="B14298" s="1168"/>
    </row>
    <row r="14299" spans="2:2" s="221" customFormat="1" ht="12.75" x14ac:dyDescent="0.2">
      <c r="B14299" s="1168"/>
    </row>
    <row r="14300" spans="2:2" s="221" customFormat="1" ht="12.75" x14ac:dyDescent="0.2">
      <c r="B14300" s="1168"/>
    </row>
    <row r="14301" spans="2:2" s="221" customFormat="1" ht="12.75" x14ac:dyDescent="0.2">
      <c r="B14301" s="1168"/>
    </row>
    <row r="14302" spans="2:2" s="221" customFormat="1" ht="12.75" x14ac:dyDescent="0.2">
      <c r="B14302" s="1168"/>
    </row>
    <row r="14303" spans="2:2" s="221" customFormat="1" ht="12.75" x14ac:dyDescent="0.2">
      <c r="B14303" s="1168"/>
    </row>
    <row r="14304" spans="2:2" s="221" customFormat="1" ht="12.75" x14ac:dyDescent="0.2">
      <c r="B14304" s="1168"/>
    </row>
    <row r="14305" spans="2:2" s="221" customFormat="1" ht="12.75" x14ac:dyDescent="0.2">
      <c r="B14305" s="1168"/>
    </row>
    <row r="14306" spans="2:2" s="221" customFormat="1" ht="12.75" x14ac:dyDescent="0.2">
      <c r="B14306" s="1168"/>
    </row>
    <row r="14307" spans="2:2" s="221" customFormat="1" ht="12.75" x14ac:dyDescent="0.2">
      <c r="B14307" s="1168"/>
    </row>
    <row r="14308" spans="2:2" s="221" customFormat="1" ht="12.75" x14ac:dyDescent="0.2">
      <c r="B14308" s="1168"/>
    </row>
    <row r="14309" spans="2:2" s="221" customFormat="1" ht="12.75" x14ac:dyDescent="0.2">
      <c r="B14309" s="1168"/>
    </row>
    <row r="14310" spans="2:2" s="221" customFormat="1" ht="12.75" x14ac:dyDescent="0.2">
      <c r="B14310" s="1168"/>
    </row>
    <row r="14311" spans="2:2" s="221" customFormat="1" ht="12.75" x14ac:dyDescent="0.2">
      <c r="B14311" s="1168"/>
    </row>
    <row r="14312" spans="2:2" s="221" customFormat="1" ht="12.75" x14ac:dyDescent="0.2">
      <c r="B14312" s="1168"/>
    </row>
    <row r="14313" spans="2:2" s="221" customFormat="1" ht="12.75" x14ac:dyDescent="0.2">
      <c r="B14313" s="1168"/>
    </row>
    <row r="14314" spans="2:2" s="221" customFormat="1" ht="12.75" x14ac:dyDescent="0.2">
      <c r="B14314" s="1168"/>
    </row>
    <row r="14315" spans="2:2" s="221" customFormat="1" ht="12.75" x14ac:dyDescent="0.2">
      <c r="B14315" s="1168"/>
    </row>
    <row r="14316" spans="2:2" s="221" customFormat="1" ht="12.75" x14ac:dyDescent="0.2">
      <c r="B14316" s="1168"/>
    </row>
    <row r="14317" spans="2:2" s="221" customFormat="1" ht="12.75" x14ac:dyDescent="0.2">
      <c r="B14317" s="1168"/>
    </row>
    <row r="14318" spans="2:2" s="221" customFormat="1" ht="12.75" x14ac:dyDescent="0.2">
      <c r="B14318" s="1168"/>
    </row>
    <row r="14319" spans="2:2" s="221" customFormat="1" ht="12.75" x14ac:dyDescent="0.2">
      <c r="B14319" s="1168"/>
    </row>
    <row r="14320" spans="2:2" s="221" customFormat="1" ht="12.75" x14ac:dyDescent="0.2">
      <c r="B14320" s="1168"/>
    </row>
    <row r="14321" spans="2:2" s="221" customFormat="1" ht="12.75" x14ac:dyDescent="0.2">
      <c r="B14321" s="1168"/>
    </row>
    <row r="14322" spans="2:2" s="221" customFormat="1" ht="12.75" x14ac:dyDescent="0.2">
      <c r="B14322" s="1168"/>
    </row>
    <row r="14323" spans="2:2" s="221" customFormat="1" ht="12.75" x14ac:dyDescent="0.2">
      <c r="B14323" s="1168"/>
    </row>
    <row r="14324" spans="2:2" s="221" customFormat="1" ht="12.75" x14ac:dyDescent="0.2">
      <c r="B14324" s="1168"/>
    </row>
    <row r="14325" spans="2:2" s="221" customFormat="1" ht="12.75" x14ac:dyDescent="0.2">
      <c r="B14325" s="1168"/>
    </row>
    <row r="14326" spans="2:2" s="221" customFormat="1" ht="12.75" x14ac:dyDescent="0.2">
      <c r="B14326" s="1168"/>
    </row>
    <row r="14327" spans="2:2" s="221" customFormat="1" ht="12.75" x14ac:dyDescent="0.2">
      <c r="B14327" s="1168"/>
    </row>
    <row r="14328" spans="2:2" s="221" customFormat="1" ht="12.75" x14ac:dyDescent="0.2">
      <c r="B14328" s="1168"/>
    </row>
    <row r="14329" spans="2:2" s="221" customFormat="1" ht="12.75" x14ac:dyDescent="0.2">
      <c r="B14329" s="1168"/>
    </row>
    <row r="14330" spans="2:2" s="221" customFormat="1" ht="12.75" x14ac:dyDescent="0.2">
      <c r="B14330" s="1168"/>
    </row>
    <row r="14331" spans="2:2" s="221" customFormat="1" ht="12.75" x14ac:dyDescent="0.2">
      <c r="B14331" s="1168"/>
    </row>
    <row r="14332" spans="2:2" s="221" customFormat="1" ht="12.75" x14ac:dyDescent="0.2">
      <c r="B14332" s="1168"/>
    </row>
    <row r="14333" spans="2:2" s="221" customFormat="1" ht="12.75" x14ac:dyDescent="0.2">
      <c r="B14333" s="1168"/>
    </row>
    <row r="14334" spans="2:2" s="221" customFormat="1" ht="12.75" x14ac:dyDescent="0.2">
      <c r="B14334" s="1168"/>
    </row>
    <row r="14335" spans="2:2" s="221" customFormat="1" ht="12.75" x14ac:dyDescent="0.2">
      <c r="B14335" s="1168"/>
    </row>
    <row r="14336" spans="2:2" s="221" customFormat="1" ht="12.75" x14ac:dyDescent="0.2">
      <c r="B14336" s="1168"/>
    </row>
    <row r="14337" spans="2:2" s="221" customFormat="1" ht="12.75" x14ac:dyDescent="0.2">
      <c r="B14337" s="1168"/>
    </row>
    <row r="14338" spans="2:2" s="221" customFormat="1" ht="12.75" x14ac:dyDescent="0.2">
      <c r="B14338" s="1168"/>
    </row>
    <row r="14339" spans="2:2" s="221" customFormat="1" ht="12.75" x14ac:dyDescent="0.2">
      <c r="B14339" s="1168"/>
    </row>
    <row r="14340" spans="2:2" s="221" customFormat="1" ht="12.75" x14ac:dyDescent="0.2">
      <c r="B14340" s="1168"/>
    </row>
    <row r="14341" spans="2:2" s="221" customFormat="1" ht="12.75" x14ac:dyDescent="0.2">
      <c r="B14341" s="1168"/>
    </row>
    <row r="14342" spans="2:2" s="221" customFormat="1" ht="12.75" x14ac:dyDescent="0.2">
      <c r="B14342" s="1168"/>
    </row>
    <row r="14343" spans="2:2" s="221" customFormat="1" ht="12.75" x14ac:dyDescent="0.2">
      <c r="B14343" s="1168"/>
    </row>
    <row r="14344" spans="2:2" s="221" customFormat="1" ht="12.75" x14ac:dyDescent="0.2">
      <c r="B14344" s="1168"/>
    </row>
    <row r="14345" spans="2:2" s="221" customFormat="1" ht="12.75" x14ac:dyDescent="0.2">
      <c r="B14345" s="1168"/>
    </row>
    <row r="14346" spans="2:2" s="221" customFormat="1" ht="12.75" x14ac:dyDescent="0.2">
      <c r="B14346" s="1168"/>
    </row>
    <row r="14347" spans="2:2" s="221" customFormat="1" ht="12.75" x14ac:dyDescent="0.2">
      <c r="B14347" s="1168"/>
    </row>
    <row r="14348" spans="2:2" s="221" customFormat="1" ht="12.75" x14ac:dyDescent="0.2">
      <c r="B14348" s="1168"/>
    </row>
    <row r="14349" spans="2:2" s="221" customFormat="1" ht="12.75" x14ac:dyDescent="0.2">
      <c r="B14349" s="1168"/>
    </row>
    <row r="14350" spans="2:2" s="221" customFormat="1" ht="12.75" x14ac:dyDescent="0.2">
      <c r="B14350" s="1168"/>
    </row>
    <row r="14351" spans="2:2" s="221" customFormat="1" ht="12.75" x14ac:dyDescent="0.2">
      <c r="B14351" s="1168"/>
    </row>
    <row r="14352" spans="2:2" s="221" customFormat="1" ht="12.75" x14ac:dyDescent="0.2">
      <c r="B14352" s="1168"/>
    </row>
    <row r="14353" spans="2:2" s="221" customFormat="1" ht="12.75" x14ac:dyDescent="0.2">
      <c r="B14353" s="1168"/>
    </row>
    <row r="14354" spans="2:2" s="221" customFormat="1" ht="12.75" x14ac:dyDescent="0.2">
      <c r="B14354" s="1168"/>
    </row>
    <row r="14355" spans="2:2" s="221" customFormat="1" ht="12.75" x14ac:dyDescent="0.2">
      <c r="B14355" s="1168"/>
    </row>
    <row r="14356" spans="2:2" s="221" customFormat="1" ht="12.75" x14ac:dyDescent="0.2">
      <c r="B14356" s="1168"/>
    </row>
    <row r="14357" spans="2:2" s="221" customFormat="1" ht="12.75" x14ac:dyDescent="0.2">
      <c r="B14357" s="1168"/>
    </row>
    <row r="14358" spans="2:2" s="221" customFormat="1" ht="12.75" x14ac:dyDescent="0.2">
      <c r="B14358" s="1168"/>
    </row>
    <row r="14359" spans="2:2" s="221" customFormat="1" ht="12.75" x14ac:dyDescent="0.2">
      <c r="B14359" s="1168"/>
    </row>
    <row r="14360" spans="2:2" s="221" customFormat="1" ht="12.75" x14ac:dyDescent="0.2">
      <c r="B14360" s="1168"/>
    </row>
    <row r="14361" spans="2:2" s="221" customFormat="1" ht="12.75" x14ac:dyDescent="0.2">
      <c r="B14361" s="1168"/>
    </row>
    <row r="14362" spans="2:2" s="221" customFormat="1" ht="12.75" x14ac:dyDescent="0.2">
      <c r="B14362" s="1168"/>
    </row>
    <row r="14363" spans="2:2" s="221" customFormat="1" ht="12.75" x14ac:dyDescent="0.2">
      <c r="B14363" s="1168"/>
    </row>
    <row r="14364" spans="2:2" s="221" customFormat="1" ht="12.75" x14ac:dyDescent="0.2">
      <c r="B14364" s="1168"/>
    </row>
    <row r="14365" spans="2:2" s="221" customFormat="1" ht="12.75" x14ac:dyDescent="0.2">
      <c r="B14365" s="1168"/>
    </row>
    <row r="14366" spans="2:2" s="221" customFormat="1" ht="12.75" x14ac:dyDescent="0.2">
      <c r="B14366" s="1168"/>
    </row>
    <row r="14367" spans="2:2" s="221" customFormat="1" ht="12.75" x14ac:dyDescent="0.2">
      <c r="B14367" s="1168"/>
    </row>
    <row r="14368" spans="2:2" s="221" customFormat="1" ht="12.75" x14ac:dyDescent="0.2">
      <c r="B14368" s="1168"/>
    </row>
    <row r="14369" spans="2:2" s="221" customFormat="1" ht="12.75" x14ac:dyDescent="0.2">
      <c r="B14369" s="1168"/>
    </row>
    <row r="14370" spans="2:2" s="221" customFormat="1" ht="12.75" x14ac:dyDescent="0.2">
      <c r="B14370" s="1168"/>
    </row>
    <row r="14371" spans="2:2" s="221" customFormat="1" ht="12.75" x14ac:dyDescent="0.2">
      <c r="B14371" s="1168"/>
    </row>
    <row r="14372" spans="2:2" s="221" customFormat="1" ht="12.75" x14ac:dyDescent="0.2">
      <c r="B14372" s="1168"/>
    </row>
    <row r="14373" spans="2:2" s="221" customFormat="1" ht="12.75" x14ac:dyDescent="0.2">
      <c r="B14373" s="1168"/>
    </row>
    <row r="14374" spans="2:2" s="221" customFormat="1" ht="12.75" x14ac:dyDescent="0.2">
      <c r="B14374" s="1168"/>
    </row>
    <row r="14375" spans="2:2" s="221" customFormat="1" ht="12.75" x14ac:dyDescent="0.2">
      <c r="B14375" s="1168"/>
    </row>
    <row r="14376" spans="2:2" s="221" customFormat="1" ht="12.75" x14ac:dyDescent="0.2">
      <c r="B14376" s="1168"/>
    </row>
    <row r="14377" spans="2:2" s="221" customFormat="1" ht="12.75" x14ac:dyDescent="0.2">
      <c r="B14377" s="1168"/>
    </row>
    <row r="14378" spans="2:2" s="221" customFormat="1" ht="12.75" x14ac:dyDescent="0.2">
      <c r="B14378" s="1168"/>
    </row>
    <row r="14379" spans="2:2" s="221" customFormat="1" ht="12.75" x14ac:dyDescent="0.2">
      <c r="B14379" s="1168"/>
    </row>
    <row r="14380" spans="2:2" s="221" customFormat="1" ht="12.75" x14ac:dyDescent="0.2">
      <c r="B14380" s="1168"/>
    </row>
    <row r="14381" spans="2:2" s="221" customFormat="1" ht="12.75" x14ac:dyDescent="0.2">
      <c r="B14381" s="1168"/>
    </row>
    <row r="14382" spans="2:2" s="221" customFormat="1" ht="12.75" x14ac:dyDescent="0.2">
      <c r="B14382" s="1168"/>
    </row>
    <row r="14383" spans="2:2" s="221" customFormat="1" ht="12.75" x14ac:dyDescent="0.2">
      <c r="B14383" s="1168"/>
    </row>
    <row r="14384" spans="2:2" s="221" customFormat="1" ht="12.75" x14ac:dyDescent="0.2">
      <c r="B14384" s="1168"/>
    </row>
    <row r="14385" spans="2:2" s="221" customFormat="1" ht="12.75" x14ac:dyDescent="0.2">
      <c r="B14385" s="1168"/>
    </row>
    <row r="14386" spans="2:2" s="221" customFormat="1" ht="12.75" x14ac:dyDescent="0.2">
      <c r="B14386" s="1168"/>
    </row>
    <row r="14387" spans="2:2" s="221" customFormat="1" ht="12.75" x14ac:dyDescent="0.2">
      <c r="B14387" s="1168"/>
    </row>
    <row r="14388" spans="2:2" s="221" customFormat="1" ht="12.75" x14ac:dyDescent="0.2">
      <c r="B14388" s="1168"/>
    </row>
    <row r="14389" spans="2:2" s="221" customFormat="1" ht="12.75" x14ac:dyDescent="0.2">
      <c r="B14389" s="1168"/>
    </row>
    <row r="14390" spans="2:2" s="221" customFormat="1" ht="12.75" x14ac:dyDescent="0.2">
      <c r="B14390" s="1168"/>
    </row>
    <row r="14391" spans="2:2" s="221" customFormat="1" ht="12.75" x14ac:dyDescent="0.2">
      <c r="B14391" s="1168"/>
    </row>
    <row r="14392" spans="2:2" s="221" customFormat="1" ht="12.75" x14ac:dyDescent="0.2">
      <c r="B14392" s="1168"/>
    </row>
    <row r="14393" spans="2:2" s="221" customFormat="1" ht="12.75" x14ac:dyDescent="0.2">
      <c r="B14393" s="1168"/>
    </row>
    <row r="14394" spans="2:2" s="221" customFormat="1" ht="12.75" x14ac:dyDescent="0.2">
      <c r="B14394" s="1168"/>
    </row>
    <row r="14395" spans="2:2" s="221" customFormat="1" ht="12.75" x14ac:dyDescent="0.2">
      <c r="B14395" s="1168"/>
    </row>
    <row r="14396" spans="2:2" s="221" customFormat="1" ht="12.75" x14ac:dyDescent="0.2">
      <c r="B14396" s="1168"/>
    </row>
    <row r="14397" spans="2:2" s="221" customFormat="1" ht="12.75" x14ac:dyDescent="0.2">
      <c r="B14397" s="1168"/>
    </row>
    <row r="14398" spans="2:2" s="221" customFormat="1" ht="12.75" x14ac:dyDescent="0.2">
      <c r="B14398" s="1168"/>
    </row>
    <row r="14399" spans="2:2" s="221" customFormat="1" ht="12.75" x14ac:dyDescent="0.2">
      <c r="B14399" s="1168"/>
    </row>
    <row r="14400" spans="2:2" s="221" customFormat="1" ht="12.75" x14ac:dyDescent="0.2">
      <c r="B14400" s="1168"/>
    </row>
    <row r="14401" spans="2:2" s="221" customFormat="1" ht="12.75" x14ac:dyDescent="0.2">
      <c r="B14401" s="1168"/>
    </row>
    <row r="14402" spans="2:2" s="221" customFormat="1" ht="12.75" x14ac:dyDescent="0.2">
      <c r="B14402" s="1168"/>
    </row>
    <row r="14403" spans="2:2" s="221" customFormat="1" ht="12.75" x14ac:dyDescent="0.2">
      <c r="B14403" s="1168"/>
    </row>
    <row r="14404" spans="2:2" s="221" customFormat="1" ht="12.75" x14ac:dyDescent="0.2">
      <c r="B14404" s="1168"/>
    </row>
    <row r="14405" spans="2:2" s="221" customFormat="1" ht="12.75" x14ac:dyDescent="0.2">
      <c r="B14405" s="1168"/>
    </row>
    <row r="14406" spans="2:2" s="221" customFormat="1" ht="12.75" x14ac:dyDescent="0.2">
      <c r="B14406" s="1168"/>
    </row>
    <row r="14407" spans="2:2" s="221" customFormat="1" ht="12.75" x14ac:dyDescent="0.2">
      <c r="B14407" s="1168"/>
    </row>
    <row r="14408" spans="2:2" s="221" customFormat="1" ht="12.75" x14ac:dyDescent="0.2">
      <c r="B14408" s="1168"/>
    </row>
    <row r="14409" spans="2:2" s="221" customFormat="1" ht="12.75" x14ac:dyDescent="0.2">
      <c r="B14409" s="1168"/>
    </row>
    <row r="14410" spans="2:2" s="221" customFormat="1" ht="12.75" x14ac:dyDescent="0.2">
      <c r="B14410" s="1168"/>
    </row>
    <row r="14411" spans="2:2" s="221" customFormat="1" ht="12.75" x14ac:dyDescent="0.2">
      <c r="B14411" s="1168"/>
    </row>
    <row r="14412" spans="2:2" s="221" customFormat="1" ht="12.75" x14ac:dyDescent="0.2">
      <c r="B14412" s="1168"/>
    </row>
    <row r="14413" spans="2:2" s="221" customFormat="1" ht="12.75" x14ac:dyDescent="0.2">
      <c r="B14413" s="1168"/>
    </row>
    <row r="14414" spans="2:2" s="221" customFormat="1" ht="12.75" x14ac:dyDescent="0.2">
      <c r="B14414" s="1168"/>
    </row>
    <row r="14415" spans="2:2" s="221" customFormat="1" ht="12.75" x14ac:dyDescent="0.2">
      <c r="B14415" s="1168"/>
    </row>
    <row r="14416" spans="2:2" s="221" customFormat="1" ht="12.75" x14ac:dyDescent="0.2">
      <c r="B14416" s="1168"/>
    </row>
    <row r="14417" spans="2:2" s="221" customFormat="1" ht="12.75" x14ac:dyDescent="0.2">
      <c r="B14417" s="1168"/>
    </row>
    <row r="14418" spans="2:2" s="221" customFormat="1" ht="12.75" x14ac:dyDescent="0.2">
      <c r="B14418" s="1168"/>
    </row>
    <row r="14419" spans="2:2" s="221" customFormat="1" ht="12.75" x14ac:dyDescent="0.2">
      <c r="B14419" s="1168"/>
    </row>
    <row r="14420" spans="2:2" s="221" customFormat="1" ht="12.75" x14ac:dyDescent="0.2">
      <c r="B14420" s="1168"/>
    </row>
    <row r="14421" spans="2:2" s="221" customFormat="1" ht="12.75" x14ac:dyDescent="0.2">
      <c r="B14421" s="1168"/>
    </row>
    <row r="14422" spans="2:2" s="221" customFormat="1" ht="12.75" x14ac:dyDescent="0.2">
      <c r="B14422" s="1168"/>
    </row>
    <row r="14423" spans="2:2" s="221" customFormat="1" ht="12.75" x14ac:dyDescent="0.2">
      <c r="B14423" s="1168"/>
    </row>
    <row r="14424" spans="2:2" s="221" customFormat="1" ht="12.75" x14ac:dyDescent="0.2">
      <c r="B14424" s="1168"/>
    </row>
    <row r="14425" spans="2:2" s="221" customFormat="1" ht="12.75" x14ac:dyDescent="0.2">
      <c r="B14425" s="1168"/>
    </row>
    <row r="14426" spans="2:2" s="221" customFormat="1" ht="12.75" x14ac:dyDescent="0.2">
      <c r="B14426" s="1168"/>
    </row>
    <row r="14427" spans="2:2" s="221" customFormat="1" ht="12.75" x14ac:dyDescent="0.2">
      <c r="B14427" s="1168"/>
    </row>
    <row r="14428" spans="2:2" s="221" customFormat="1" ht="12.75" x14ac:dyDescent="0.2">
      <c r="B14428" s="1168"/>
    </row>
    <row r="14429" spans="2:2" s="221" customFormat="1" ht="12.75" x14ac:dyDescent="0.2">
      <c r="B14429" s="1168"/>
    </row>
    <row r="14430" spans="2:2" s="221" customFormat="1" ht="12.75" x14ac:dyDescent="0.2">
      <c r="B14430" s="1168"/>
    </row>
    <row r="14431" spans="2:2" s="221" customFormat="1" ht="12.75" x14ac:dyDescent="0.2">
      <c r="B14431" s="1168"/>
    </row>
    <row r="14432" spans="2:2" s="221" customFormat="1" ht="12.75" x14ac:dyDescent="0.2">
      <c r="B14432" s="1168"/>
    </row>
    <row r="14433" spans="2:2" s="221" customFormat="1" ht="12.75" x14ac:dyDescent="0.2">
      <c r="B14433" s="1168"/>
    </row>
    <row r="14434" spans="2:2" s="221" customFormat="1" ht="12.75" x14ac:dyDescent="0.2">
      <c r="B14434" s="1168"/>
    </row>
    <row r="14435" spans="2:2" s="221" customFormat="1" ht="12.75" x14ac:dyDescent="0.2">
      <c r="B14435" s="1168"/>
    </row>
    <row r="14436" spans="2:2" s="221" customFormat="1" ht="12.75" x14ac:dyDescent="0.2">
      <c r="B14436" s="1168"/>
    </row>
    <row r="14437" spans="2:2" s="221" customFormat="1" ht="12.75" x14ac:dyDescent="0.2">
      <c r="B14437" s="1168"/>
    </row>
    <row r="14438" spans="2:2" s="221" customFormat="1" ht="12.75" x14ac:dyDescent="0.2">
      <c r="B14438" s="1168"/>
    </row>
    <row r="14439" spans="2:2" s="221" customFormat="1" ht="12.75" x14ac:dyDescent="0.2">
      <c r="B14439" s="1168"/>
    </row>
    <row r="14440" spans="2:2" s="221" customFormat="1" ht="12.75" x14ac:dyDescent="0.2">
      <c r="B14440" s="1168"/>
    </row>
    <row r="14441" spans="2:2" s="221" customFormat="1" ht="12.75" x14ac:dyDescent="0.2">
      <c r="B14441" s="1168"/>
    </row>
    <row r="14442" spans="2:2" s="221" customFormat="1" ht="12.75" x14ac:dyDescent="0.2">
      <c r="B14442" s="1168"/>
    </row>
    <row r="14443" spans="2:2" s="221" customFormat="1" ht="12.75" x14ac:dyDescent="0.2">
      <c r="B14443" s="1168"/>
    </row>
    <row r="14444" spans="2:2" s="221" customFormat="1" ht="12.75" x14ac:dyDescent="0.2">
      <c r="B14444" s="1168"/>
    </row>
    <row r="14445" spans="2:2" s="221" customFormat="1" ht="12.75" x14ac:dyDescent="0.2">
      <c r="B14445" s="1168"/>
    </row>
    <row r="14446" spans="2:2" s="221" customFormat="1" ht="12.75" x14ac:dyDescent="0.2">
      <c r="B14446" s="1168"/>
    </row>
    <row r="14447" spans="2:2" s="221" customFormat="1" ht="12.75" x14ac:dyDescent="0.2">
      <c r="B14447" s="1168"/>
    </row>
    <row r="14448" spans="2:2" s="221" customFormat="1" ht="12.75" x14ac:dyDescent="0.2">
      <c r="B14448" s="1168"/>
    </row>
    <row r="14449" spans="2:2" s="221" customFormat="1" ht="12.75" x14ac:dyDescent="0.2">
      <c r="B14449" s="1168"/>
    </row>
    <row r="14450" spans="2:2" s="221" customFormat="1" ht="12.75" x14ac:dyDescent="0.2">
      <c r="B14450" s="1168"/>
    </row>
    <row r="14451" spans="2:2" s="221" customFormat="1" ht="12.75" x14ac:dyDescent="0.2">
      <c r="B14451" s="1168"/>
    </row>
    <row r="14452" spans="2:2" s="221" customFormat="1" ht="12.75" x14ac:dyDescent="0.2">
      <c r="B14452" s="1168"/>
    </row>
    <row r="14453" spans="2:2" s="221" customFormat="1" ht="12.75" x14ac:dyDescent="0.2">
      <c r="B14453" s="1168"/>
    </row>
    <row r="14454" spans="2:2" s="221" customFormat="1" ht="12.75" x14ac:dyDescent="0.2">
      <c r="B14454" s="1168"/>
    </row>
    <row r="14455" spans="2:2" s="221" customFormat="1" ht="12.75" x14ac:dyDescent="0.2">
      <c r="B14455" s="1168"/>
    </row>
    <row r="14456" spans="2:2" s="221" customFormat="1" ht="12.75" x14ac:dyDescent="0.2">
      <c r="B14456" s="1168"/>
    </row>
    <row r="14457" spans="2:2" s="221" customFormat="1" ht="12.75" x14ac:dyDescent="0.2">
      <c r="B14457" s="1168"/>
    </row>
    <row r="14458" spans="2:2" s="221" customFormat="1" ht="12.75" x14ac:dyDescent="0.2">
      <c r="B14458" s="1168"/>
    </row>
    <row r="14459" spans="2:2" s="221" customFormat="1" ht="12.75" x14ac:dyDescent="0.2">
      <c r="B14459" s="1168"/>
    </row>
    <row r="14460" spans="2:2" s="221" customFormat="1" ht="12.75" x14ac:dyDescent="0.2">
      <c r="B14460" s="1168"/>
    </row>
    <row r="14461" spans="2:2" s="221" customFormat="1" ht="12.75" x14ac:dyDescent="0.2">
      <c r="B14461" s="1168"/>
    </row>
    <row r="14462" spans="2:2" s="221" customFormat="1" ht="12.75" x14ac:dyDescent="0.2">
      <c r="B14462" s="1168"/>
    </row>
    <row r="14463" spans="2:2" s="221" customFormat="1" ht="12.75" x14ac:dyDescent="0.2">
      <c r="B14463" s="1168"/>
    </row>
    <row r="14464" spans="2:2" s="221" customFormat="1" ht="12.75" x14ac:dyDescent="0.2">
      <c r="B14464" s="1168"/>
    </row>
    <row r="14465" spans="2:2" s="221" customFormat="1" ht="12.75" x14ac:dyDescent="0.2">
      <c r="B14465" s="1168"/>
    </row>
    <row r="14466" spans="2:2" s="221" customFormat="1" ht="12.75" x14ac:dyDescent="0.2">
      <c r="B14466" s="1168"/>
    </row>
    <row r="14467" spans="2:2" s="221" customFormat="1" ht="12.75" x14ac:dyDescent="0.2">
      <c r="B14467" s="1168"/>
    </row>
    <row r="14468" spans="2:2" s="221" customFormat="1" ht="12.75" x14ac:dyDescent="0.2">
      <c r="B14468" s="1168"/>
    </row>
    <row r="14469" spans="2:2" s="221" customFormat="1" ht="12.75" x14ac:dyDescent="0.2">
      <c r="B14469" s="1168"/>
    </row>
    <row r="14470" spans="2:2" s="221" customFormat="1" ht="12.75" x14ac:dyDescent="0.2">
      <c r="B14470" s="1168"/>
    </row>
    <row r="14471" spans="2:2" s="221" customFormat="1" ht="12.75" x14ac:dyDescent="0.2">
      <c r="B14471" s="1168"/>
    </row>
    <row r="14472" spans="2:2" s="221" customFormat="1" ht="12.75" x14ac:dyDescent="0.2">
      <c r="B14472" s="1168"/>
    </row>
    <row r="14473" spans="2:2" s="221" customFormat="1" ht="12.75" x14ac:dyDescent="0.2">
      <c r="B14473" s="1168"/>
    </row>
    <row r="14474" spans="2:2" s="221" customFormat="1" ht="12.75" x14ac:dyDescent="0.2">
      <c r="B14474" s="1168"/>
    </row>
    <row r="14475" spans="2:2" s="221" customFormat="1" ht="12.75" x14ac:dyDescent="0.2">
      <c r="B14475" s="1168"/>
    </row>
    <row r="14476" spans="2:2" s="221" customFormat="1" ht="12.75" x14ac:dyDescent="0.2">
      <c r="B14476" s="1168"/>
    </row>
    <row r="14477" spans="2:2" s="221" customFormat="1" ht="12.75" x14ac:dyDescent="0.2">
      <c r="B14477" s="1168"/>
    </row>
    <row r="14478" spans="2:2" s="221" customFormat="1" ht="12.75" x14ac:dyDescent="0.2">
      <c r="B14478" s="1168"/>
    </row>
    <row r="14479" spans="2:2" s="221" customFormat="1" ht="12.75" x14ac:dyDescent="0.2">
      <c r="B14479" s="1168"/>
    </row>
    <row r="14480" spans="2:2" s="221" customFormat="1" ht="12.75" x14ac:dyDescent="0.2">
      <c r="B14480" s="1168"/>
    </row>
    <row r="14481" spans="2:2" s="221" customFormat="1" ht="12.75" x14ac:dyDescent="0.2">
      <c r="B14481" s="1168"/>
    </row>
    <row r="14482" spans="2:2" s="221" customFormat="1" ht="12.75" x14ac:dyDescent="0.2">
      <c r="B14482" s="1168"/>
    </row>
    <row r="14483" spans="2:2" s="221" customFormat="1" ht="12.75" x14ac:dyDescent="0.2">
      <c r="B14483" s="1168"/>
    </row>
    <row r="14484" spans="2:2" s="221" customFormat="1" ht="12.75" x14ac:dyDescent="0.2">
      <c r="B14484" s="1168"/>
    </row>
    <row r="14485" spans="2:2" s="221" customFormat="1" ht="12.75" x14ac:dyDescent="0.2">
      <c r="B14485" s="1168"/>
    </row>
    <row r="14486" spans="2:2" s="221" customFormat="1" ht="12.75" x14ac:dyDescent="0.2">
      <c r="B14486" s="1168"/>
    </row>
    <row r="14487" spans="2:2" s="221" customFormat="1" ht="12.75" x14ac:dyDescent="0.2">
      <c r="B14487" s="1168"/>
    </row>
    <row r="14488" spans="2:2" s="221" customFormat="1" ht="12.75" x14ac:dyDescent="0.2">
      <c r="B14488" s="1168"/>
    </row>
    <row r="14489" spans="2:2" s="221" customFormat="1" ht="12.75" x14ac:dyDescent="0.2">
      <c r="B14489" s="1168"/>
    </row>
    <row r="14490" spans="2:2" s="221" customFormat="1" ht="12.75" x14ac:dyDescent="0.2">
      <c r="B14490" s="1168"/>
    </row>
    <row r="14491" spans="2:2" s="221" customFormat="1" ht="12.75" x14ac:dyDescent="0.2">
      <c r="B14491" s="1168"/>
    </row>
    <row r="14492" spans="2:2" s="221" customFormat="1" ht="12.75" x14ac:dyDescent="0.2">
      <c r="B14492" s="1168"/>
    </row>
    <row r="14493" spans="2:2" s="221" customFormat="1" ht="12.75" x14ac:dyDescent="0.2">
      <c r="B14493" s="1168"/>
    </row>
    <row r="14494" spans="2:2" s="221" customFormat="1" ht="12.75" x14ac:dyDescent="0.2">
      <c r="B14494" s="1168"/>
    </row>
    <row r="14495" spans="2:2" s="221" customFormat="1" ht="12.75" x14ac:dyDescent="0.2">
      <c r="B14495" s="1168"/>
    </row>
    <row r="14496" spans="2:2" s="221" customFormat="1" ht="12.75" x14ac:dyDescent="0.2">
      <c r="B14496" s="1168"/>
    </row>
    <row r="14497" spans="2:2" s="221" customFormat="1" ht="12.75" x14ac:dyDescent="0.2">
      <c r="B14497" s="1168"/>
    </row>
    <row r="14498" spans="2:2" s="221" customFormat="1" ht="12.75" x14ac:dyDescent="0.2">
      <c r="B14498" s="1168"/>
    </row>
    <row r="14499" spans="2:2" s="221" customFormat="1" ht="12.75" x14ac:dyDescent="0.2">
      <c r="B14499" s="1168"/>
    </row>
    <row r="14500" spans="2:2" s="221" customFormat="1" ht="12.75" x14ac:dyDescent="0.2">
      <c r="B14500" s="1168"/>
    </row>
    <row r="14501" spans="2:2" s="221" customFormat="1" ht="12.75" x14ac:dyDescent="0.2">
      <c r="B14501" s="1168"/>
    </row>
    <row r="14502" spans="2:2" s="221" customFormat="1" ht="12.75" x14ac:dyDescent="0.2">
      <c r="B14502" s="1168"/>
    </row>
    <row r="14503" spans="2:2" s="221" customFormat="1" ht="12.75" x14ac:dyDescent="0.2">
      <c r="B14503" s="1168"/>
    </row>
    <row r="14504" spans="2:2" s="221" customFormat="1" ht="12.75" x14ac:dyDescent="0.2">
      <c r="B14504" s="1168"/>
    </row>
    <row r="14505" spans="2:2" s="221" customFormat="1" ht="12.75" x14ac:dyDescent="0.2">
      <c r="B14505" s="1168"/>
    </row>
    <row r="14506" spans="2:2" s="221" customFormat="1" ht="12.75" x14ac:dyDescent="0.2">
      <c r="B14506" s="1168"/>
    </row>
    <row r="14507" spans="2:2" s="221" customFormat="1" ht="12.75" x14ac:dyDescent="0.2">
      <c r="B14507" s="1168"/>
    </row>
    <row r="14508" spans="2:2" s="221" customFormat="1" ht="12.75" x14ac:dyDescent="0.2">
      <c r="B14508" s="1168"/>
    </row>
    <row r="14509" spans="2:2" s="221" customFormat="1" ht="12.75" x14ac:dyDescent="0.2">
      <c r="B14509" s="1168"/>
    </row>
    <row r="14510" spans="2:2" s="221" customFormat="1" ht="12.75" x14ac:dyDescent="0.2">
      <c r="B14510" s="1168"/>
    </row>
    <row r="14511" spans="2:2" s="221" customFormat="1" ht="12.75" x14ac:dyDescent="0.2">
      <c r="B14511" s="1168"/>
    </row>
    <row r="14512" spans="2:2" s="221" customFormat="1" ht="12.75" x14ac:dyDescent="0.2">
      <c r="B14512" s="1168"/>
    </row>
    <row r="14513" spans="2:2" s="221" customFormat="1" ht="12.75" x14ac:dyDescent="0.2">
      <c r="B14513" s="1168"/>
    </row>
    <row r="14514" spans="2:2" s="221" customFormat="1" ht="12.75" x14ac:dyDescent="0.2">
      <c r="B14514" s="1168"/>
    </row>
    <row r="14515" spans="2:2" s="221" customFormat="1" ht="12.75" x14ac:dyDescent="0.2">
      <c r="B14515" s="1168"/>
    </row>
    <row r="14516" spans="2:2" s="221" customFormat="1" ht="12.75" x14ac:dyDescent="0.2">
      <c r="B14516" s="1168"/>
    </row>
    <row r="14517" spans="2:2" s="221" customFormat="1" ht="12.75" x14ac:dyDescent="0.2">
      <c r="B14517" s="1168"/>
    </row>
    <row r="14518" spans="2:2" s="221" customFormat="1" ht="12.75" x14ac:dyDescent="0.2">
      <c r="B14518" s="1168"/>
    </row>
    <row r="14519" spans="2:2" s="221" customFormat="1" ht="12.75" x14ac:dyDescent="0.2">
      <c r="B14519" s="1168"/>
    </row>
    <row r="14520" spans="2:2" s="221" customFormat="1" ht="12.75" x14ac:dyDescent="0.2">
      <c r="B14520" s="1168"/>
    </row>
    <row r="14521" spans="2:2" s="221" customFormat="1" ht="12.75" x14ac:dyDescent="0.2">
      <c r="B14521" s="1168"/>
    </row>
    <row r="14522" spans="2:2" s="221" customFormat="1" ht="12.75" x14ac:dyDescent="0.2">
      <c r="B14522" s="1168"/>
    </row>
    <row r="14523" spans="2:2" s="221" customFormat="1" ht="12.75" x14ac:dyDescent="0.2">
      <c r="B14523" s="1168"/>
    </row>
    <row r="14524" spans="2:2" s="221" customFormat="1" ht="12.75" x14ac:dyDescent="0.2">
      <c r="B14524" s="1168"/>
    </row>
    <row r="14525" spans="2:2" s="221" customFormat="1" ht="12.75" x14ac:dyDescent="0.2">
      <c r="B14525" s="1168"/>
    </row>
    <row r="14526" spans="2:2" s="221" customFormat="1" ht="12.75" x14ac:dyDescent="0.2">
      <c r="B14526" s="1168"/>
    </row>
    <row r="14527" spans="2:2" s="221" customFormat="1" ht="12.75" x14ac:dyDescent="0.2">
      <c r="B14527" s="1168"/>
    </row>
    <row r="14528" spans="2:2" s="221" customFormat="1" ht="12.75" x14ac:dyDescent="0.2">
      <c r="B14528" s="1168"/>
    </row>
    <row r="14529" spans="2:2" s="221" customFormat="1" ht="12.75" x14ac:dyDescent="0.2">
      <c r="B14529" s="1168"/>
    </row>
    <row r="14530" spans="2:2" s="221" customFormat="1" ht="12.75" x14ac:dyDescent="0.2">
      <c r="B14530" s="1168"/>
    </row>
    <row r="14531" spans="2:2" s="221" customFormat="1" ht="12.75" x14ac:dyDescent="0.2">
      <c r="B14531" s="1168"/>
    </row>
    <row r="14532" spans="2:2" s="221" customFormat="1" ht="12.75" x14ac:dyDescent="0.2">
      <c r="B14532" s="1168"/>
    </row>
    <row r="14533" spans="2:2" s="221" customFormat="1" ht="12.75" x14ac:dyDescent="0.2">
      <c r="B14533" s="1168"/>
    </row>
    <row r="14534" spans="2:2" s="221" customFormat="1" ht="12.75" x14ac:dyDescent="0.2">
      <c r="B14534" s="1168"/>
    </row>
    <row r="14535" spans="2:2" s="221" customFormat="1" ht="12.75" x14ac:dyDescent="0.2">
      <c r="B14535" s="1168"/>
    </row>
    <row r="14536" spans="2:2" s="221" customFormat="1" ht="12.75" x14ac:dyDescent="0.2">
      <c r="B14536" s="1168"/>
    </row>
    <row r="14537" spans="2:2" s="221" customFormat="1" ht="12.75" x14ac:dyDescent="0.2">
      <c r="B14537" s="1168"/>
    </row>
    <row r="14538" spans="2:2" s="221" customFormat="1" ht="12.75" x14ac:dyDescent="0.2">
      <c r="B14538" s="1168"/>
    </row>
    <row r="14539" spans="2:2" s="221" customFormat="1" ht="12.75" x14ac:dyDescent="0.2">
      <c r="B14539" s="1168"/>
    </row>
    <row r="14540" spans="2:2" s="221" customFormat="1" ht="12.75" x14ac:dyDescent="0.2">
      <c r="B14540" s="1168"/>
    </row>
    <row r="14541" spans="2:2" s="221" customFormat="1" ht="12.75" x14ac:dyDescent="0.2">
      <c r="B14541" s="1168"/>
    </row>
    <row r="14542" spans="2:2" s="221" customFormat="1" ht="12.75" x14ac:dyDescent="0.2">
      <c r="B14542" s="1168"/>
    </row>
    <row r="14543" spans="2:2" s="221" customFormat="1" ht="12.75" x14ac:dyDescent="0.2">
      <c r="B14543" s="1168"/>
    </row>
    <row r="14544" spans="2:2" s="221" customFormat="1" ht="12.75" x14ac:dyDescent="0.2">
      <c r="B14544" s="1168"/>
    </row>
    <row r="14545" spans="2:2" s="221" customFormat="1" ht="12.75" x14ac:dyDescent="0.2">
      <c r="B14545" s="1168"/>
    </row>
    <row r="14546" spans="2:2" s="221" customFormat="1" ht="12.75" x14ac:dyDescent="0.2">
      <c r="B14546" s="1168"/>
    </row>
    <row r="14547" spans="2:2" s="221" customFormat="1" ht="12.75" x14ac:dyDescent="0.2">
      <c r="B14547" s="1168"/>
    </row>
    <row r="14548" spans="2:2" s="221" customFormat="1" ht="12.75" x14ac:dyDescent="0.2">
      <c r="B14548" s="1168"/>
    </row>
    <row r="14549" spans="2:2" s="221" customFormat="1" ht="12.75" x14ac:dyDescent="0.2">
      <c r="B14549" s="1168"/>
    </row>
    <row r="14550" spans="2:2" s="221" customFormat="1" ht="12.75" x14ac:dyDescent="0.2">
      <c r="B14550" s="1168"/>
    </row>
    <row r="14551" spans="2:2" s="221" customFormat="1" ht="12.75" x14ac:dyDescent="0.2">
      <c r="B14551" s="1168"/>
    </row>
    <row r="14552" spans="2:2" s="221" customFormat="1" ht="12.75" x14ac:dyDescent="0.2">
      <c r="B14552" s="1168"/>
    </row>
    <row r="14553" spans="2:2" s="221" customFormat="1" ht="12.75" x14ac:dyDescent="0.2">
      <c r="B14553" s="1168"/>
    </row>
    <row r="14554" spans="2:2" s="221" customFormat="1" ht="12.75" x14ac:dyDescent="0.2">
      <c r="B14554" s="1168"/>
    </row>
    <row r="14555" spans="2:2" s="221" customFormat="1" ht="12.75" x14ac:dyDescent="0.2">
      <c r="B14555" s="1168"/>
    </row>
    <row r="14556" spans="2:2" s="221" customFormat="1" ht="12.75" x14ac:dyDescent="0.2">
      <c r="B14556" s="1168"/>
    </row>
    <row r="14557" spans="2:2" s="221" customFormat="1" ht="12.75" x14ac:dyDescent="0.2">
      <c r="B14557" s="1168"/>
    </row>
    <row r="14558" spans="2:2" s="221" customFormat="1" ht="12.75" x14ac:dyDescent="0.2">
      <c r="B14558" s="1168"/>
    </row>
    <row r="14559" spans="2:2" s="221" customFormat="1" ht="12.75" x14ac:dyDescent="0.2">
      <c r="B14559" s="1168"/>
    </row>
    <row r="14560" spans="2:2" s="221" customFormat="1" ht="12.75" x14ac:dyDescent="0.2">
      <c r="B14560" s="1168"/>
    </row>
    <row r="14561" spans="2:2" s="221" customFormat="1" ht="12.75" x14ac:dyDescent="0.2">
      <c r="B14561" s="1168"/>
    </row>
    <row r="14562" spans="2:2" s="221" customFormat="1" ht="12.75" x14ac:dyDescent="0.2">
      <c r="B14562" s="1168"/>
    </row>
    <row r="14563" spans="2:2" s="221" customFormat="1" ht="12.75" x14ac:dyDescent="0.2">
      <c r="B14563" s="1168"/>
    </row>
    <row r="14564" spans="2:2" s="221" customFormat="1" ht="12.75" x14ac:dyDescent="0.2">
      <c r="B14564" s="1168"/>
    </row>
    <row r="14565" spans="2:2" s="221" customFormat="1" ht="12.75" x14ac:dyDescent="0.2">
      <c r="B14565" s="1168"/>
    </row>
    <row r="14566" spans="2:2" s="221" customFormat="1" ht="12.75" x14ac:dyDescent="0.2">
      <c r="B14566" s="1168"/>
    </row>
    <row r="14567" spans="2:2" s="221" customFormat="1" ht="12.75" x14ac:dyDescent="0.2">
      <c r="B14567" s="1168"/>
    </row>
    <row r="14568" spans="2:2" s="221" customFormat="1" ht="12.75" x14ac:dyDescent="0.2">
      <c r="B14568" s="1168"/>
    </row>
    <row r="14569" spans="2:2" s="221" customFormat="1" ht="12.75" x14ac:dyDescent="0.2">
      <c r="B14569" s="1168"/>
    </row>
    <row r="14570" spans="2:2" s="221" customFormat="1" ht="12.75" x14ac:dyDescent="0.2">
      <c r="B14570" s="1168"/>
    </row>
    <row r="14571" spans="2:2" s="221" customFormat="1" ht="12.75" x14ac:dyDescent="0.2">
      <c r="B14571" s="1168"/>
    </row>
    <row r="14572" spans="2:2" s="221" customFormat="1" ht="12.75" x14ac:dyDescent="0.2">
      <c r="B14572" s="1168"/>
    </row>
    <row r="14573" spans="2:2" s="221" customFormat="1" ht="12.75" x14ac:dyDescent="0.2">
      <c r="B14573" s="1168"/>
    </row>
    <row r="14574" spans="2:2" s="221" customFormat="1" ht="12.75" x14ac:dyDescent="0.2">
      <c r="B14574" s="1168"/>
    </row>
    <row r="14575" spans="2:2" s="221" customFormat="1" ht="12.75" x14ac:dyDescent="0.2">
      <c r="B14575" s="1168"/>
    </row>
    <row r="14576" spans="2:2" s="221" customFormat="1" ht="12.75" x14ac:dyDescent="0.2">
      <c r="B14576" s="1168"/>
    </row>
    <row r="14577" spans="2:2" s="221" customFormat="1" ht="12.75" x14ac:dyDescent="0.2">
      <c r="B14577" s="1168"/>
    </row>
    <row r="14578" spans="2:2" s="221" customFormat="1" ht="12.75" x14ac:dyDescent="0.2">
      <c r="B14578" s="1168"/>
    </row>
    <row r="14579" spans="2:2" s="221" customFormat="1" ht="12.75" x14ac:dyDescent="0.2">
      <c r="B14579" s="1168"/>
    </row>
    <row r="14580" spans="2:2" s="221" customFormat="1" ht="12.75" x14ac:dyDescent="0.2">
      <c r="B14580" s="1168"/>
    </row>
    <row r="14581" spans="2:2" s="221" customFormat="1" ht="12.75" x14ac:dyDescent="0.2">
      <c r="B14581" s="1168"/>
    </row>
    <row r="14582" spans="2:2" s="221" customFormat="1" ht="12.75" x14ac:dyDescent="0.2">
      <c r="B14582" s="1168"/>
    </row>
    <row r="14583" spans="2:2" s="221" customFormat="1" ht="12.75" x14ac:dyDescent="0.2">
      <c r="B14583" s="1168"/>
    </row>
    <row r="14584" spans="2:2" s="221" customFormat="1" ht="12.75" x14ac:dyDescent="0.2">
      <c r="B14584" s="1168"/>
    </row>
    <row r="14585" spans="2:2" s="221" customFormat="1" ht="12.75" x14ac:dyDescent="0.2">
      <c r="B14585" s="1168"/>
    </row>
    <row r="14586" spans="2:2" s="221" customFormat="1" ht="12.75" x14ac:dyDescent="0.2">
      <c r="B14586" s="1168"/>
    </row>
    <row r="14587" spans="2:2" s="221" customFormat="1" ht="12.75" x14ac:dyDescent="0.2">
      <c r="B14587" s="1168"/>
    </row>
    <row r="14588" spans="2:2" s="221" customFormat="1" ht="12.75" x14ac:dyDescent="0.2">
      <c r="B14588" s="1168"/>
    </row>
    <row r="14589" spans="2:2" s="221" customFormat="1" ht="12.75" x14ac:dyDescent="0.2">
      <c r="B14589" s="1168"/>
    </row>
    <row r="14590" spans="2:2" s="221" customFormat="1" ht="12.75" x14ac:dyDescent="0.2">
      <c r="B14590" s="1168"/>
    </row>
    <row r="14591" spans="2:2" s="221" customFormat="1" ht="12.75" x14ac:dyDescent="0.2">
      <c r="B14591" s="1168"/>
    </row>
    <row r="14592" spans="2:2" s="221" customFormat="1" ht="12.75" x14ac:dyDescent="0.2">
      <c r="B14592" s="1168"/>
    </row>
    <row r="14593" spans="2:2" s="221" customFormat="1" ht="12.75" x14ac:dyDescent="0.2">
      <c r="B14593" s="1168"/>
    </row>
    <row r="14594" spans="2:2" s="221" customFormat="1" ht="12.75" x14ac:dyDescent="0.2">
      <c r="B14594" s="1168"/>
    </row>
    <row r="14595" spans="2:2" s="221" customFormat="1" ht="12.75" x14ac:dyDescent="0.2">
      <c r="B14595" s="1168"/>
    </row>
    <row r="14596" spans="2:2" s="221" customFormat="1" ht="12.75" x14ac:dyDescent="0.2">
      <c r="B14596" s="1168"/>
    </row>
    <row r="14597" spans="2:2" s="221" customFormat="1" ht="12.75" x14ac:dyDescent="0.2">
      <c r="B14597" s="1168"/>
    </row>
    <row r="14598" spans="2:2" s="221" customFormat="1" ht="12.75" x14ac:dyDescent="0.2">
      <c r="B14598" s="1168"/>
    </row>
    <row r="14599" spans="2:2" s="221" customFormat="1" ht="12.75" x14ac:dyDescent="0.2">
      <c r="B14599" s="1168"/>
    </row>
    <row r="14600" spans="2:2" s="221" customFormat="1" ht="12.75" x14ac:dyDescent="0.2">
      <c r="B14600" s="1168"/>
    </row>
    <row r="14601" spans="2:2" s="221" customFormat="1" ht="12.75" x14ac:dyDescent="0.2">
      <c r="B14601" s="1168"/>
    </row>
    <row r="14602" spans="2:2" s="221" customFormat="1" ht="12.75" x14ac:dyDescent="0.2">
      <c r="B14602" s="1168"/>
    </row>
    <row r="14603" spans="2:2" s="221" customFormat="1" ht="12.75" x14ac:dyDescent="0.2">
      <c r="B14603" s="1168"/>
    </row>
    <row r="14604" spans="2:2" s="221" customFormat="1" ht="12.75" x14ac:dyDescent="0.2">
      <c r="B14604" s="1168"/>
    </row>
    <row r="14605" spans="2:2" s="221" customFormat="1" ht="12.75" x14ac:dyDescent="0.2">
      <c r="B14605" s="1168"/>
    </row>
    <row r="14606" spans="2:2" s="221" customFormat="1" ht="12.75" x14ac:dyDescent="0.2">
      <c r="B14606" s="1168"/>
    </row>
    <row r="14607" spans="2:2" s="221" customFormat="1" ht="12.75" x14ac:dyDescent="0.2">
      <c r="B14607" s="1168"/>
    </row>
    <row r="14608" spans="2:2" s="221" customFormat="1" ht="12.75" x14ac:dyDescent="0.2">
      <c r="B14608" s="1168"/>
    </row>
    <row r="14609" spans="2:2" s="221" customFormat="1" ht="12.75" x14ac:dyDescent="0.2">
      <c r="B14609" s="1168"/>
    </row>
    <row r="14610" spans="2:2" s="221" customFormat="1" ht="12.75" x14ac:dyDescent="0.2">
      <c r="B14610" s="1168"/>
    </row>
    <row r="14611" spans="2:2" s="221" customFormat="1" ht="12.75" x14ac:dyDescent="0.2">
      <c r="B14611" s="1168"/>
    </row>
    <row r="14612" spans="2:2" s="221" customFormat="1" ht="12.75" x14ac:dyDescent="0.2">
      <c r="B14612" s="1168"/>
    </row>
    <row r="14613" spans="2:2" s="221" customFormat="1" ht="12.75" x14ac:dyDescent="0.2">
      <c r="B14613" s="1168"/>
    </row>
    <row r="14614" spans="2:2" s="221" customFormat="1" ht="12.75" x14ac:dyDescent="0.2">
      <c r="B14614" s="1168"/>
    </row>
    <row r="14615" spans="2:2" s="221" customFormat="1" ht="12.75" x14ac:dyDescent="0.2">
      <c r="B14615" s="1168"/>
    </row>
    <row r="14616" spans="2:2" s="221" customFormat="1" ht="12.75" x14ac:dyDescent="0.2">
      <c r="B14616" s="1168"/>
    </row>
    <row r="14617" spans="2:2" s="221" customFormat="1" ht="12.75" x14ac:dyDescent="0.2">
      <c r="B14617" s="1168"/>
    </row>
    <row r="14618" spans="2:2" s="221" customFormat="1" ht="12.75" x14ac:dyDescent="0.2">
      <c r="B14618" s="1168"/>
    </row>
    <row r="14619" spans="2:2" s="221" customFormat="1" ht="12.75" x14ac:dyDescent="0.2">
      <c r="B14619" s="1168"/>
    </row>
    <row r="14620" spans="2:2" s="221" customFormat="1" ht="12.75" x14ac:dyDescent="0.2">
      <c r="B14620" s="1168"/>
    </row>
    <row r="14621" spans="2:2" s="221" customFormat="1" ht="12.75" x14ac:dyDescent="0.2">
      <c r="B14621" s="1168"/>
    </row>
    <row r="14622" spans="2:2" s="221" customFormat="1" ht="12.75" x14ac:dyDescent="0.2">
      <c r="B14622" s="1168"/>
    </row>
    <row r="14623" spans="2:2" s="221" customFormat="1" ht="12.75" x14ac:dyDescent="0.2">
      <c r="B14623" s="1168"/>
    </row>
    <row r="14624" spans="2:2" s="221" customFormat="1" ht="12.75" x14ac:dyDescent="0.2">
      <c r="B14624" s="1168"/>
    </row>
    <row r="14625" spans="2:2" s="221" customFormat="1" ht="12.75" x14ac:dyDescent="0.2">
      <c r="B14625" s="1168"/>
    </row>
    <row r="14626" spans="2:2" s="221" customFormat="1" ht="12.75" x14ac:dyDescent="0.2">
      <c r="B14626" s="1168"/>
    </row>
    <row r="14627" spans="2:2" s="221" customFormat="1" ht="12.75" x14ac:dyDescent="0.2">
      <c r="B14627" s="1168"/>
    </row>
    <row r="14628" spans="2:2" s="221" customFormat="1" ht="12.75" x14ac:dyDescent="0.2">
      <c r="B14628" s="1168"/>
    </row>
    <row r="14629" spans="2:2" s="221" customFormat="1" ht="12.75" x14ac:dyDescent="0.2">
      <c r="B14629" s="1168"/>
    </row>
    <row r="14630" spans="2:2" s="221" customFormat="1" ht="12.75" x14ac:dyDescent="0.2">
      <c r="B14630" s="1168"/>
    </row>
    <row r="14631" spans="2:2" s="221" customFormat="1" ht="12.75" x14ac:dyDescent="0.2">
      <c r="B14631" s="1168"/>
    </row>
    <row r="14632" spans="2:2" s="221" customFormat="1" ht="12.75" x14ac:dyDescent="0.2">
      <c r="B14632" s="1168"/>
    </row>
    <row r="14633" spans="2:2" s="221" customFormat="1" ht="12.75" x14ac:dyDescent="0.2">
      <c r="B14633" s="1168"/>
    </row>
    <row r="14634" spans="2:2" s="221" customFormat="1" ht="12.75" x14ac:dyDescent="0.2">
      <c r="B14634" s="1168"/>
    </row>
    <row r="14635" spans="2:2" s="221" customFormat="1" ht="12.75" x14ac:dyDescent="0.2">
      <c r="B14635" s="1168"/>
    </row>
    <row r="14636" spans="2:2" s="221" customFormat="1" ht="12.75" x14ac:dyDescent="0.2">
      <c r="B14636" s="1168"/>
    </row>
    <row r="14637" spans="2:2" s="221" customFormat="1" ht="12.75" x14ac:dyDescent="0.2">
      <c r="B14637" s="1168"/>
    </row>
    <row r="14638" spans="2:2" s="221" customFormat="1" ht="12.75" x14ac:dyDescent="0.2">
      <c r="B14638" s="1168"/>
    </row>
    <row r="14639" spans="2:2" s="221" customFormat="1" ht="12.75" x14ac:dyDescent="0.2">
      <c r="B14639" s="1168"/>
    </row>
    <row r="14640" spans="2:2" s="221" customFormat="1" ht="12.75" x14ac:dyDescent="0.2">
      <c r="B14640" s="1168"/>
    </row>
    <row r="14641" spans="2:2" s="221" customFormat="1" ht="12.75" x14ac:dyDescent="0.2">
      <c r="B14641" s="1168"/>
    </row>
    <row r="14642" spans="2:2" s="221" customFormat="1" ht="12.75" x14ac:dyDescent="0.2">
      <c r="B14642" s="1168"/>
    </row>
    <row r="14643" spans="2:2" s="221" customFormat="1" ht="12.75" x14ac:dyDescent="0.2">
      <c r="B14643" s="1168"/>
    </row>
    <row r="14644" spans="2:2" s="221" customFormat="1" ht="12.75" x14ac:dyDescent="0.2">
      <c r="B14644" s="1168"/>
    </row>
    <row r="14645" spans="2:2" s="221" customFormat="1" ht="12.75" x14ac:dyDescent="0.2">
      <c r="B14645" s="1168"/>
    </row>
    <row r="14646" spans="2:2" s="221" customFormat="1" ht="12.75" x14ac:dyDescent="0.2">
      <c r="B14646" s="1168"/>
    </row>
    <row r="14647" spans="2:2" s="221" customFormat="1" ht="12.75" x14ac:dyDescent="0.2">
      <c r="B14647" s="1168"/>
    </row>
    <row r="14648" spans="2:2" s="221" customFormat="1" ht="12.75" x14ac:dyDescent="0.2">
      <c r="B14648" s="1168"/>
    </row>
    <row r="14649" spans="2:2" s="221" customFormat="1" ht="12.75" x14ac:dyDescent="0.2">
      <c r="B14649" s="1168"/>
    </row>
    <row r="14650" spans="2:2" s="221" customFormat="1" ht="12.75" x14ac:dyDescent="0.2">
      <c r="B14650" s="1168"/>
    </row>
    <row r="14651" spans="2:2" s="221" customFormat="1" ht="12.75" x14ac:dyDescent="0.2">
      <c r="B14651" s="1168"/>
    </row>
    <row r="14652" spans="2:2" s="221" customFormat="1" ht="12.75" x14ac:dyDescent="0.2">
      <c r="B14652" s="1168"/>
    </row>
    <row r="14653" spans="2:2" s="221" customFormat="1" ht="12.75" x14ac:dyDescent="0.2">
      <c r="B14653" s="1168"/>
    </row>
    <row r="14654" spans="2:2" s="221" customFormat="1" ht="12.75" x14ac:dyDescent="0.2">
      <c r="B14654" s="1168"/>
    </row>
    <row r="14655" spans="2:2" s="221" customFormat="1" ht="12.75" x14ac:dyDescent="0.2">
      <c r="B14655" s="1168"/>
    </row>
    <row r="14656" spans="2:2" s="221" customFormat="1" ht="12.75" x14ac:dyDescent="0.2">
      <c r="B14656" s="1168"/>
    </row>
    <row r="14657" spans="2:2" s="221" customFormat="1" ht="12.75" x14ac:dyDescent="0.2">
      <c r="B14657" s="1168"/>
    </row>
    <row r="14658" spans="2:2" s="221" customFormat="1" ht="12.75" x14ac:dyDescent="0.2">
      <c r="B14658" s="1168"/>
    </row>
    <row r="14659" spans="2:2" s="221" customFormat="1" ht="12.75" x14ac:dyDescent="0.2">
      <c r="B14659" s="1168"/>
    </row>
    <row r="14660" spans="2:2" s="221" customFormat="1" ht="12.75" x14ac:dyDescent="0.2">
      <c r="B14660" s="1168"/>
    </row>
    <row r="14661" spans="2:2" s="221" customFormat="1" ht="12.75" x14ac:dyDescent="0.2">
      <c r="B14661" s="1168"/>
    </row>
    <row r="14662" spans="2:2" s="221" customFormat="1" ht="12.75" x14ac:dyDescent="0.2">
      <c r="B14662" s="1168"/>
    </row>
    <row r="14663" spans="2:2" s="221" customFormat="1" ht="12.75" x14ac:dyDescent="0.2">
      <c r="B14663" s="1168"/>
    </row>
    <row r="14664" spans="2:2" s="221" customFormat="1" ht="12.75" x14ac:dyDescent="0.2">
      <c r="B14664" s="1168"/>
    </row>
    <row r="14665" spans="2:2" s="221" customFormat="1" ht="12.75" x14ac:dyDescent="0.2">
      <c r="B14665" s="1168"/>
    </row>
    <row r="14666" spans="2:2" s="221" customFormat="1" ht="12.75" x14ac:dyDescent="0.2">
      <c r="B14666" s="1168"/>
    </row>
    <row r="14667" spans="2:2" s="221" customFormat="1" ht="12.75" x14ac:dyDescent="0.2">
      <c r="B14667" s="1168"/>
    </row>
    <row r="14668" spans="2:2" s="221" customFormat="1" ht="12.75" x14ac:dyDescent="0.2">
      <c r="B14668" s="1168"/>
    </row>
    <row r="14669" spans="2:2" s="221" customFormat="1" ht="12.75" x14ac:dyDescent="0.2">
      <c r="B14669" s="1168"/>
    </row>
    <row r="14670" spans="2:2" s="221" customFormat="1" ht="12.75" x14ac:dyDescent="0.2">
      <c r="B14670" s="1168"/>
    </row>
    <row r="14671" spans="2:2" s="221" customFormat="1" ht="12.75" x14ac:dyDescent="0.2">
      <c r="B14671" s="1168"/>
    </row>
    <row r="14672" spans="2:2" s="221" customFormat="1" ht="12.75" x14ac:dyDescent="0.2">
      <c r="B14672" s="1168"/>
    </row>
    <row r="14673" spans="2:2" s="221" customFormat="1" ht="12.75" x14ac:dyDescent="0.2">
      <c r="B14673" s="1168"/>
    </row>
    <row r="14674" spans="2:2" s="221" customFormat="1" ht="12.75" x14ac:dyDescent="0.2">
      <c r="B14674" s="1168"/>
    </row>
    <row r="14675" spans="2:2" s="221" customFormat="1" ht="12.75" x14ac:dyDescent="0.2">
      <c r="B14675" s="1168"/>
    </row>
    <row r="14676" spans="2:2" s="221" customFormat="1" ht="12.75" x14ac:dyDescent="0.2">
      <c r="B14676" s="1168"/>
    </row>
    <row r="14677" spans="2:2" s="221" customFormat="1" ht="12.75" x14ac:dyDescent="0.2">
      <c r="B14677" s="1168"/>
    </row>
    <row r="14678" spans="2:2" s="221" customFormat="1" ht="12.75" x14ac:dyDescent="0.2">
      <c r="B14678" s="1168"/>
    </row>
    <row r="14679" spans="2:2" s="221" customFormat="1" ht="12.75" x14ac:dyDescent="0.2">
      <c r="B14679" s="1168"/>
    </row>
    <row r="14680" spans="2:2" s="221" customFormat="1" ht="12.75" x14ac:dyDescent="0.2">
      <c r="B14680" s="1168"/>
    </row>
    <row r="14681" spans="2:2" s="221" customFormat="1" ht="12.75" x14ac:dyDescent="0.2">
      <c r="B14681" s="1168"/>
    </row>
    <row r="14682" spans="2:2" s="221" customFormat="1" ht="12.75" x14ac:dyDescent="0.2">
      <c r="B14682" s="1168"/>
    </row>
    <row r="14683" spans="2:2" s="221" customFormat="1" ht="12.75" x14ac:dyDescent="0.2">
      <c r="B14683" s="1168"/>
    </row>
    <row r="14684" spans="2:2" s="221" customFormat="1" ht="12.75" x14ac:dyDescent="0.2">
      <c r="B14684" s="1168"/>
    </row>
    <row r="14685" spans="2:2" s="221" customFormat="1" ht="12.75" x14ac:dyDescent="0.2">
      <c r="B14685" s="1168"/>
    </row>
    <row r="14686" spans="2:2" s="221" customFormat="1" ht="12.75" x14ac:dyDescent="0.2">
      <c r="B14686" s="1168"/>
    </row>
    <row r="14687" spans="2:2" s="221" customFormat="1" ht="12.75" x14ac:dyDescent="0.2">
      <c r="B14687" s="1168"/>
    </row>
    <row r="14688" spans="2:2" s="221" customFormat="1" ht="12.75" x14ac:dyDescent="0.2">
      <c r="B14688" s="1168"/>
    </row>
    <row r="14689" spans="2:2" s="221" customFormat="1" ht="12.75" x14ac:dyDescent="0.2">
      <c r="B14689" s="1168"/>
    </row>
    <row r="14690" spans="2:2" s="221" customFormat="1" ht="12.75" x14ac:dyDescent="0.2">
      <c r="B14690" s="1168"/>
    </row>
    <row r="14691" spans="2:2" s="221" customFormat="1" ht="12.75" x14ac:dyDescent="0.2">
      <c r="B14691" s="1168"/>
    </row>
    <row r="14692" spans="2:2" s="221" customFormat="1" ht="12.75" x14ac:dyDescent="0.2">
      <c r="B14692" s="1168"/>
    </row>
    <row r="14693" spans="2:2" s="221" customFormat="1" ht="12.75" x14ac:dyDescent="0.2">
      <c r="B14693" s="1168"/>
    </row>
    <row r="14694" spans="2:2" s="221" customFormat="1" ht="12.75" x14ac:dyDescent="0.2">
      <c r="B14694" s="1168"/>
    </row>
    <row r="14695" spans="2:2" s="221" customFormat="1" ht="12.75" x14ac:dyDescent="0.2">
      <c r="B14695" s="1168"/>
    </row>
    <row r="14696" spans="2:2" s="221" customFormat="1" ht="12.75" x14ac:dyDescent="0.2">
      <c r="B14696" s="1168"/>
    </row>
    <row r="14697" spans="2:2" s="221" customFormat="1" ht="12.75" x14ac:dyDescent="0.2">
      <c r="B14697" s="1168"/>
    </row>
    <row r="14698" spans="2:2" s="221" customFormat="1" ht="12.75" x14ac:dyDescent="0.2">
      <c r="B14698" s="1168"/>
    </row>
    <row r="14699" spans="2:2" s="221" customFormat="1" ht="12.75" x14ac:dyDescent="0.2">
      <c r="B14699" s="1168"/>
    </row>
    <row r="14700" spans="2:2" s="221" customFormat="1" ht="12.75" x14ac:dyDescent="0.2">
      <c r="B14700" s="1168"/>
    </row>
    <row r="14701" spans="2:2" s="221" customFormat="1" ht="12.75" x14ac:dyDescent="0.2">
      <c r="B14701" s="1168"/>
    </row>
    <row r="14702" spans="2:2" s="221" customFormat="1" ht="12.75" x14ac:dyDescent="0.2">
      <c r="B14702" s="1168"/>
    </row>
    <row r="14703" spans="2:2" s="221" customFormat="1" ht="12.75" x14ac:dyDescent="0.2">
      <c r="B14703" s="1168"/>
    </row>
    <row r="14704" spans="2:2" s="221" customFormat="1" ht="12.75" x14ac:dyDescent="0.2">
      <c r="B14704" s="1168"/>
    </row>
    <row r="14705" spans="2:2" s="221" customFormat="1" ht="12.75" x14ac:dyDescent="0.2">
      <c r="B14705" s="1168"/>
    </row>
    <row r="14706" spans="2:2" s="221" customFormat="1" ht="12.75" x14ac:dyDescent="0.2">
      <c r="B14706" s="1168"/>
    </row>
    <row r="14707" spans="2:2" s="221" customFormat="1" ht="12.75" x14ac:dyDescent="0.2">
      <c r="B14707" s="1168"/>
    </row>
    <row r="14708" spans="2:2" s="221" customFormat="1" ht="12.75" x14ac:dyDescent="0.2">
      <c r="B14708" s="1168"/>
    </row>
    <row r="14709" spans="2:2" s="221" customFormat="1" ht="12.75" x14ac:dyDescent="0.2">
      <c r="B14709" s="1168"/>
    </row>
    <row r="14710" spans="2:2" s="221" customFormat="1" ht="12.75" x14ac:dyDescent="0.2">
      <c r="B14710" s="1168"/>
    </row>
    <row r="14711" spans="2:2" s="221" customFormat="1" ht="12.75" x14ac:dyDescent="0.2">
      <c r="B14711" s="1168"/>
    </row>
    <row r="14712" spans="2:2" s="221" customFormat="1" ht="12.75" x14ac:dyDescent="0.2">
      <c r="B14712" s="1168"/>
    </row>
    <row r="14713" spans="2:2" s="221" customFormat="1" ht="12.75" x14ac:dyDescent="0.2">
      <c r="B14713" s="1168"/>
    </row>
    <row r="14714" spans="2:2" s="221" customFormat="1" ht="12.75" x14ac:dyDescent="0.2">
      <c r="B14714" s="1168"/>
    </row>
    <row r="14715" spans="2:2" s="221" customFormat="1" ht="12.75" x14ac:dyDescent="0.2">
      <c r="B14715" s="1168"/>
    </row>
    <row r="14716" spans="2:2" s="221" customFormat="1" ht="12.75" x14ac:dyDescent="0.2">
      <c r="B14716" s="1168"/>
    </row>
    <row r="14717" spans="2:2" s="221" customFormat="1" ht="12.75" x14ac:dyDescent="0.2">
      <c r="B14717" s="1168"/>
    </row>
    <row r="14718" spans="2:2" s="221" customFormat="1" ht="12.75" x14ac:dyDescent="0.2">
      <c r="B14718" s="1168"/>
    </row>
    <row r="14719" spans="2:2" s="221" customFormat="1" ht="12.75" x14ac:dyDescent="0.2">
      <c r="B14719" s="1168"/>
    </row>
    <row r="14720" spans="2:2" s="221" customFormat="1" ht="12.75" x14ac:dyDescent="0.2">
      <c r="B14720" s="1168"/>
    </row>
    <row r="14721" spans="2:2" s="221" customFormat="1" ht="12.75" x14ac:dyDescent="0.2">
      <c r="B14721" s="1168"/>
    </row>
    <row r="14722" spans="2:2" s="221" customFormat="1" ht="12.75" x14ac:dyDescent="0.2">
      <c r="B14722" s="1168"/>
    </row>
    <row r="14723" spans="2:2" s="221" customFormat="1" ht="12.75" x14ac:dyDescent="0.2">
      <c r="B14723" s="1168"/>
    </row>
    <row r="14724" spans="2:2" s="221" customFormat="1" ht="12.75" x14ac:dyDescent="0.2">
      <c r="B14724" s="1168"/>
    </row>
    <row r="14725" spans="2:2" s="221" customFormat="1" ht="12.75" x14ac:dyDescent="0.2">
      <c r="B14725" s="1168"/>
    </row>
    <row r="14726" spans="2:2" s="221" customFormat="1" ht="12.75" x14ac:dyDescent="0.2">
      <c r="B14726" s="1168"/>
    </row>
    <row r="14727" spans="2:2" s="221" customFormat="1" ht="12.75" x14ac:dyDescent="0.2">
      <c r="B14727" s="1168"/>
    </row>
    <row r="14728" spans="2:2" s="221" customFormat="1" ht="12.75" x14ac:dyDescent="0.2">
      <c r="B14728" s="1168"/>
    </row>
    <row r="14729" spans="2:2" s="221" customFormat="1" ht="12.75" x14ac:dyDescent="0.2">
      <c r="B14729" s="1168"/>
    </row>
    <row r="14730" spans="2:2" s="221" customFormat="1" ht="12.75" x14ac:dyDescent="0.2">
      <c r="B14730" s="1168"/>
    </row>
    <row r="14731" spans="2:2" s="221" customFormat="1" ht="12.75" x14ac:dyDescent="0.2">
      <c r="B14731" s="1168"/>
    </row>
    <row r="14732" spans="2:2" s="221" customFormat="1" ht="12.75" x14ac:dyDescent="0.2">
      <c r="B14732" s="1168"/>
    </row>
    <row r="14733" spans="2:2" s="221" customFormat="1" ht="12.75" x14ac:dyDescent="0.2">
      <c r="B14733" s="1168"/>
    </row>
    <row r="14734" spans="2:2" s="221" customFormat="1" ht="12.75" x14ac:dyDescent="0.2">
      <c r="B14734" s="1168"/>
    </row>
    <row r="14735" spans="2:2" s="221" customFormat="1" ht="12.75" x14ac:dyDescent="0.2">
      <c r="B14735" s="1168"/>
    </row>
    <row r="14736" spans="2:2" s="221" customFormat="1" ht="12.75" x14ac:dyDescent="0.2">
      <c r="B14736" s="1168"/>
    </row>
    <row r="14737" spans="2:2" s="221" customFormat="1" ht="12.75" x14ac:dyDescent="0.2">
      <c r="B14737" s="1168"/>
    </row>
    <row r="14738" spans="2:2" s="221" customFormat="1" ht="12.75" x14ac:dyDescent="0.2">
      <c r="B14738" s="1168"/>
    </row>
    <row r="14739" spans="2:2" s="221" customFormat="1" ht="12.75" x14ac:dyDescent="0.2">
      <c r="B14739" s="1168"/>
    </row>
    <row r="14740" spans="2:2" s="221" customFormat="1" ht="12.75" x14ac:dyDescent="0.2">
      <c r="B14740" s="1168"/>
    </row>
    <row r="14741" spans="2:2" s="221" customFormat="1" ht="12.75" x14ac:dyDescent="0.2">
      <c r="B14741" s="1168"/>
    </row>
    <row r="14742" spans="2:2" s="221" customFormat="1" ht="12.75" x14ac:dyDescent="0.2">
      <c r="B14742" s="1168"/>
    </row>
    <row r="14743" spans="2:2" s="221" customFormat="1" ht="12.75" x14ac:dyDescent="0.2">
      <c r="B14743" s="1168"/>
    </row>
    <row r="14744" spans="2:2" s="221" customFormat="1" ht="12.75" x14ac:dyDescent="0.2">
      <c r="B14744" s="1168"/>
    </row>
    <row r="14745" spans="2:2" s="221" customFormat="1" ht="12.75" x14ac:dyDescent="0.2">
      <c r="B14745" s="1168"/>
    </row>
    <row r="14746" spans="2:2" s="221" customFormat="1" ht="12.75" x14ac:dyDescent="0.2">
      <c r="B14746" s="1168"/>
    </row>
    <row r="14747" spans="2:2" s="221" customFormat="1" ht="12.75" x14ac:dyDescent="0.2">
      <c r="B14747" s="1168"/>
    </row>
    <row r="14748" spans="2:2" s="221" customFormat="1" ht="12.75" x14ac:dyDescent="0.2">
      <c r="B14748" s="1168"/>
    </row>
    <row r="14749" spans="2:2" s="221" customFormat="1" ht="12.75" x14ac:dyDescent="0.2">
      <c r="B14749" s="1168"/>
    </row>
    <row r="14750" spans="2:2" s="221" customFormat="1" ht="12.75" x14ac:dyDescent="0.2">
      <c r="B14750" s="1168"/>
    </row>
    <row r="14751" spans="2:2" s="221" customFormat="1" ht="12.75" x14ac:dyDescent="0.2">
      <c r="B14751" s="1168"/>
    </row>
    <row r="14752" spans="2:2" s="221" customFormat="1" ht="12.75" x14ac:dyDescent="0.2">
      <c r="B14752" s="1168"/>
    </row>
    <row r="14753" spans="2:2" s="221" customFormat="1" ht="12.75" x14ac:dyDescent="0.2">
      <c r="B14753" s="1168"/>
    </row>
    <row r="14754" spans="2:2" s="221" customFormat="1" ht="12.75" x14ac:dyDescent="0.2">
      <c r="B14754" s="1168"/>
    </row>
    <row r="14755" spans="2:2" s="221" customFormat="1" ht="12.75" x14ac:dyDescent="0.2">
      <c r="B14755" s="1168"/>
    </row>
    <row r="14756" spans="2:2" s="221" customFormat="1" ht="12.75" x14ac:dyDescent="0.2">
      <c r="B14756" s="1168"/>
    </row>
    <row r="14757" spans="2:2" s="221" customFormat="1" ht="12.75" x14ac:dyDescent="0.2">
      <c r="B14757" s="1168"/>
    </row>
    <row r="14758" spans="2:2" s="221" customFormat="1" ht="12.75" x14ac:dyDescent="0.2">
      <c r="B14758" s="1168"/>
    </row>
    <row r="14759" spans="2:2" s="221" customFormat="1" ht="12.75" x14ac:dyDescent="0.2">
      <c r="B14759" s="1168"/>
    </row>
    <row r="14760" spans="2:2" s="221" customFormat="1" ht="12.75" x14ac:dyDescent="0.2">
      <c r="B14760" s="1168"/>
    </row>
    <row r="14761" spans="2:2" s="221" customFormat="1" ht="12.75" x14ac:dyDescent="0.2">
      <c r="B14761" s="1168"/>
    </row>
    <row r="14762" spans="2:2" s="221" customFormat="1" ht="12.75" x14ac:dyDescent="0.2">
      <c r="B14762" s="1168"/>
    </row>
    <row r="14763" spans="2:2" s="221" customFormat="1" ht="12.75" x14ac:dyDescent="0.2">
      <c r="B14763" s="1168"/>
    </row>
    <row r="14764" spans="2:2" s="221" customFormat="1" ht="12.75" x14ac:dyDescent="0.2">
      <c r="B14764" s="1168"/>
    </row>
    <row r="14765" spans="2:2" s="221" customFormat="1" ht="12.75" x14ac:dyDescent="0.2">
      <c r="B14765" s="1168"/>
    </row>
    <row r="14766" spans="2:2" s="221" customFormat="1" ht="12.75" x14ac:dyDescent="0.2">
      <c r="B14766" s="1168"/>
    </row>
    <row r="14767" spans="2:2" s="221" customFormat="1" ht="12.75" x14ac:dyDescent="0.2">
      <c r="B14767" s="1168"/>
    </row>
    <row r="14768" spans="2:2" s="221" customFormat="1" ht="12.75" x14ac:dyDescent="0.2">
      <c r="B14768" s="1168"/>
    </row>
    <row r="14769" spans="2:2" s="221" customFormat="1" ht="12.75" x14ac:dyDescent="0.2">
      <c r="B14769" s="1168"/>
    </row>
    <row r="14770" spans="2:2" s="221" customFormat="1" ht="12.75" x14ac:dyDescent="0.2">
      <c r="B14770" s="1168"/>
    </row>
    <row r="14771" spans="2:2" s="221" customFormat="1" ht="12.75" x14ac:dyDescent="0.2">
      <c r="B14771" s="1168"/>
    </row>
    <row r="14772" spans="2:2" s="221" customFormat="1" ht="12.75" x14ac:dyDescent="0.2">
      <c r="B14772" s="1168"/>
    </row>
    <row r="14773" spans="2:2" s="221" customFormat="1" ht="12.75" x14ac:dyDescent="0.2">
      <c r="B14773" s="1168"/>
    </row>
    <row r="14774" spans="2:2" s="221" customFormat="1" ht="12.75" x14ac:dyDescent="0.2">
      <c r="B14774" s="1168"/>
    </row>
    <row r="14775" spans="2:2" s="221" customFormat="1" ht="12.75" x14ac:dyDescent="0.2">
      <c r="B14775" s="1168"/>
    </row>
    <row r="14776" spans="2:2" s="221" customFormat="1" ht="12.75" x14ac:dyDescent="0.2">
      <c r="B14776" s="1168"/>
    </row>
    <row r="14777" spans="2:2" s="221" customFormat="1" ht="12.75" x14ac:dyDescent="0.2">
      <c r="B14777" s="1168"/>
    </row>
    <row r="14778" spans="2:2" s="221" customFormat="1" ht="12.75" x14ac:dyDescent="0.2">
      <c r="B14778" s="1168"/>
    </row>
    <row r="14779" spans="2:2" s="221" customFormat="1" ht="12.75" x14ac:dyDescent="0.2">
      <c r="B14779" s="1168"/>
    </row>
    <row r="14780" spans="2:2" s="221" customFormat="1" ht="12.75" x14ac:dyDescent="0.2">
      <c r="B14780" s="1168"/>
    </row>
    <row r="14781" spans="2:2" s="221" customFormat="1" ht="12.75" x14ac:dyDescent="0.2">
      <c r="B14781" s="1168"/>
    </row>
    <row r="14782" spans="2:2" s="221" customFormat="1" ht="12.75" x14ac:dyDescent="0.2">
      <c r="B14782" s="1168"/>
    </row>
    <row r="14783" spans="2:2" s="221" customFormat="1" ht="12.75" x14ac:dyDescent="0.2">
      <c r="B14783" s="1168"/>
    </row>
    <row r="14784" spans="2:2" s="221" customFormat="1" ht="12.75" x14ac:dyDescent="0.2">
      <c r="B14784" s="1168"/>
    </row>
    <row r="14785" spans="2:2" s="221" customFormat="1" ht="12.75" x14ac:dyDescent="0.2">
      <c r="B14785" s="1168"/>
    </row>
    <row r="14786" spans="2:2" s="221" customFormat="1" ht="12.75" x14ac:dyDescent="0.2">
      <c r="B14786" s="1168"/>
    </row>
    <row r="14787" spans="2:2" s="221" customFormat="1" ht="12.75" x14ac:dyDescent="0.2">
      <c r="B14787" s="1168"/>
    </row>
    <row r="14788" spans="2:2" s="221" customFormat="1" ht="12.75" x14ac:dyDescent="0.2">
      <c r="B14788" s="1168"/>
    </row>
    <row r="14789" spans="2:2" s="221" customFormat="1" ht="12.75" x14ac:dyDescent="0.2">
      <c r="B14789" s="1168"/>
    </row>
    <row r="14790" spans="2:2" s="221" customFormat="1" ht="12.75" x14ac:dyDescent="0.2">
      <c r="B14790" s="1168"/>
    </row>
    <row r="14791" spans="2:2" s="221" customFormat="1" ht="12.75" x14ac:dyDescent="0.2">
      <c r="B14791" s="1168"/>
    </row>
    <row r="14792" spans="2:2" s="221" customFormat="1" ht="12.75" x14ac:dyDescent="0.2">
      <c r="B14792" s="1168"/>
    </row>
    <row r="14793" spans="2:2" s="221" customFormat="1" ht="12.75" x14ac:dyDescent="0.2">
      <c r="B14793" s="1168"/>
    </row>
    <row r="14794" spans="2:2" s="221" customFormat="1" ht="12.75" x14ac:dyDescent="0.2">
      <c r="B14794" s="1168"/>
    </row>
    <row r="14795" spans="2:2" s="221" customFormat="1" ht="12.75" x14ac:dyDescent="0.2">
      <c r="B14795" s="1168"/>
    </row>
    <row r="14796" spans="2:2" s="221" customFormat="1" ht="12.75" x14ac:dyDescent="0.2">
      <c r="B14796" s="1168"/>
    </row>
    <row r="14797" spans="2:2" s="221" customFormat="1" ht="12.75" x14ac:dyDescent="0.2">
      <c r="B14797" s="1168"/>
    </row>
    <row r="14798" spans="2:2" s="221" customFormat="1" ht="12.75" x14ac:dyDescent="0.2">
      <c r="B14798" s="1168"/>
    </row>
    <row r="14799" spans="2:2" s="221" customFormat="1" ht="12.75" x14ac:dyDescent="0.2">
      <c r="B14799" s="1168"/>
    </row>
    <row r="14800" spans="2:2" s="221" customFormat="1" ht="12.75" x14ac:dyDescent="0.2">
      <c r="B14800" s="1168"/>
    </row>
    <row r="14801" spans="2:2" s="221" customFormat="1" ht="12.75" x14ac:dyDescent="0.2">
      <c r="B14801" s="1168"/>
    </row>
    <row r="14802" spans="2:2" s="221" customFormat="1" ht="12.75" x14ac:dyDescent="0.2">
      <c r="B14802" s="1168"/>
    </row>
    <row r="14803" spans="2:2" s="221" customFormat="1" ht="12.75" x14ac:dyDescent="0.2">
      <c r="B14803" s="1168"/>
    </row>
    <row r="14804" spans="2:2" s="221" customFormat="1" ht="12.75" x14ac:dyDescent="0.2">
      <c r="B14804" s="1168"/>
    </row>
    <row r="14805" spans="2:2" s="221" customFormat="1" ht="12.75" x14ac:dyDescent="0.2">
      <c r="B14805" s="1168"/>
    </row>
    <row r="14806" spans="2:2" s="221" customFormat="1" ht="12.75" x14ac:dyDescent="0.2">
      <c r="B14806" s="1168"/>
    </row>
    <row r="14807" spans="2:2" s="221" customFormat="1" ht="12.75" x14ac:dyDescent="0.2">
      <c r="B14807" s="1168"/>
    </row>
    <row r="14808" spans="2:2" s="221" customFormat="1" ht="12.75" x14ac:dyDescent="0.2">
      <c r="B14808" s="1168"/>
    </row>
    <row r="14809" spans="2:2" s="221" customFormat="1" ht="12.75" x14ac:dyDescent="0.2">
      <c r="B14809" s="1168"/>
    </row>
    <row r="14810" spans="2:2" s="221" customFormat="1" ht="12.75" x14ac:dyDescent="0.2">
      <c r="B14810" s="1168"/>
    </row>
    <row r="14811" spans="2:2" s="221" customFormat="1" ht="12.75" x14ac:dyDescent="0.2">
      <c r="B14811" s="1168"/>
    </row>
    <row r="14812" spans="2:2" s="221" customFormat="1" ht="12.75" x14ac:dyDescent="0.2">
      <c r="B14812" s="1168"/>
    </row>
    <row r="14813" spans="2:2" s="221" customFormat="1" ht="12.75" x14ac:dyDescent="0.2">
      <c r="B14813" s="1168"/>
    </row>
    <row r="14814" spans="2:2" s="221" customFormat="1" ht="12.75" x14ac:dyDescent="0.2">
      <c r="B14814" s="1168"/>
    </row>
    <row r="14815" spans="2:2" s="221" customFormat="1" ht="12.75" x14ac:dyDescent="0.2">
      <c r="B14815" s="1168"/>
    </row>
    <row r="14816" spans="2:2" s="221" customFormat="1" ht="12.75" x14ac:dyDescent="0.2">
      <c r="B14816" s="1168"/>
    </row>
    <row r="14817" spans="2:2" s="221" customFormat="1" ht="12.75" x14ac:dyDescent="0.2">
      <c r="B14817" s="1168"/>
    </row>
    <row r="14818" spans="2:2" s="221" customFormat="1" ht="12.75" x14ac:dyDescent="0.2">
      <c r="B14818" s="1168"/>
    </row>
    <row r="14819" spans="2:2" s="221" customFormat="1" ht="12.75" x14ac:dyDescent="0.2">
      <c r="B14819" s="1168"/>
    </row>
    <row r="14820" spans="2:2" s="221" customFormat="1" ht="12.75" x14ac:dyDescent="0.2">
      <c r="B14820" s="1168"/>
    </row>
    <row r="14821" spans="2:2" s="221" customFormat="1" ht="12.75" x14ac:dyDescent="0.2">
      <c r="B14821" s="1168"/>
    </row>
    <row r="14822" spans="2:2" s="221" customFormat="1" ht="12.75" x14ac:dyDescent="0.2">
      <c r="B14822" s="1168"/>
    </row>
    <row r="14823" spans="2:2" s="221" customFormat="1" ht="12.75" x14ac:dyDescent="0.2">
      <c r="B14823" s="1168"/>
    </row>
    <row r="14824" spans="2:2" s="221" customFormat="1" ht="12.75" x14ac:dyDescent="0.2">
      <c r="B14824" s="1168"/>
    </row>
    <row r="14825" spans="2:2" s="221" customFormat="1" ht="12.75" x14ac:dyDescent="0.2">
      <c r="B14825" s="1168"/>
    </row>
    <row r="14826" spans="2:2" s="221" customFormat="1" ht="12.75" x14ac:dyDescent="0.2">
      <c r="B14826" s="1168"/>
    </row>
    <row r="14827" spans="2:2" s="221" customFormat="1" ht="12.75" x14ac:dyDescent="0.2">
      <c r="B14827" s="1168"/>
    </row>
    <row r="14828" spans="2:2" s="221" customFormat="1" ht="12.75" x14ac:dyDescent="0.2">
      <c r="B14828" s="1168"/>
    </row>
    <row r="14829" spans="2:2" s="221" customFormat="1" ht="12.75" x14ac:dyDescent="0.2">
      <c r="B14829" s="1168"/>
    </row>
    <row r="14830" spans="2:2" s="221" customFormat="1" ht="12.75" x14ac:dyDescent="0.2">
      <c r="B14830" s="1168"/>
    </row>
    <row r="14831" spans="2:2" s="221" customFormat="1" ht="12.75" x14ac:dyDescent="0.2">
      <c r="B14831" s="1168"/>
    </row>
    <row r="14832" spans="2:2" s="221" customFormat="1" ht="12.75" x14ac:dyDescent="0.2">
      <c r="B14832" s="1168"/>
    </row>
    <row r="14833" spans="2:2" s="221" customFormat="1" ht="12.75" x14ac:dyDescent="0.2">
      <c r="B14833" s="1168"/>
    </row>
    <row r="14834" spans="2:2" s="221" customFormat="1" ht="12.75" x14ac:dyDescent="0.2">
      <c r="B14834" s="1168"/>
    </row>
    <row r="14835" spans="2:2" s="221" customFormat="1" ht="12.75" x14ac:dyDescent="0.2">
      <c r="B14835" s="1168"/>
    </row>
    <row r="14836" spans="2:2" s="221" customFormat="1" ht="12.75" x14ac:dyDescent="0.2">
      <c r="B14836" s="1168"/>
    </row>
    <row r="14837" spans="2:2" s="221" customFormat="1" ht="12.75" x14ac:dyDescent="0.2">
      <c r="B14837" s="1168"/>
    </row>
    <row r="14838" spans="2:2" s="221" customFormat="1" ht="12.75" x14ac:dyDescent="0.2">
      <c r="B14838" s="1168"/>
    </row>
    <row r="14839" spans="2:2" s="221" customFormat="1" ht="12.75" x14ac:dyDescent="0.2">
      <c r="B14839" s="1168"/>
    </row>
    <row r="14840" spans="2:2" s="221" customFormat="1" ht="12.75" x14ac:dyDescent="0.2">
      <c r="B14840" s="1168"/>
    </row>
    <row r="14841" spans="2:2" s="221" customFormat="1" ht="12.75" x14ac:dyDescent="0.2">
      <c r="B14841" s="1168"/>
    </row>
    <row r="14842" spans="2:2" s="221" customFormat="1" ht="12.75" x14ac:dyDescent="0.2">
      <c r="B14842" s="1168"/>
    </row>
    <row r="14843" spans="2:2" s="221" customFormat="1" ht="12.75" x14ac:dyDescent="0.2">
      <c r="B14843" s="1168"/>
    </row>
    <row r="14844" spans="2:2" s="221" customFormat="1" ht="12.75" x14ac:dyDescent="0.2">
      <c r="B14844" s="1168"/>
    </row>
    <row r="14845" spans="2:2" s="221" customFormat="1" ht="12.75" x14ac:dyDescent="0.2">
      <c r="B14845" s="1168"/>
    </row>
    <row r="14846" spans="2:2" s="221" customFormat="1" ht="12.75" x14ac:dyDescent="0.2">
      <c r="B14846" s="1168"/>
    </row>
    <row r="14847" spans="2:2" s="221" customFormat="1" ht="12.75" x14ac:dyDescent="0.2">
      <c r="B14847" s="1168"/>
    </row>
    <row r="14848" spans="2:2" s="221" customFormat="1" ht="12.75" x14ac:dyDescent="0.2">
      <c r="B14848" s="1168"/>
    </row>
    <row r="14849" spans="2:2" s="221" customFormat="1" ht="12.75" x14ac:dyDescent="0.2">
      <c r="B14849" s="1168"/>
    </row>
    <row r="14850" spans="2:2" s="221" customFormat="1" ht="12.75" x14ac:dyDescent="0.2">
      <c r="B14850" s="1168"/>
    </row>
    <row r="14851" spans="2:2" s="221" customFormat="1" ht="12.75" x14ac:dyDescent="0.2">
      <c r="B14851" s="1168"/>
    </row>
    <row r="14852" spans="2:2" s="221" customFormat="1" ht="12.75" x14ac:dyDescent="0.2">
      <c r="B14852" s="1168"/>
    </row>
    <row r="14853" spans="2:2" s="221" customFormat="1" ht="12.75" x14ac:dyDescent="0.2">
      <c r="B14853" s="1168"/>
    </row>
    <row r="14854" spans="2:2" s="221" customFormat="1" ht="12.75" x14ac:dyDescent="0.2">
      <c r="B14854" s="1168"/>
    </row>
    <row r="14855" spans="2:2" s="221" customFormat="1" ht="12.75" x14ac:dyDescent="0.2">
      <c r="B14855" s="1168"/>
    </row>
    <row r="14856" spans="2:2" s="221" customFormat="1" ht="12.75" x14ac:dyDescent="0.2">
      <c r="B14856" s="1168"/>
    </row>
    <row r="14857" spans="2:2" s="221" customFormat="1" ht="12.75" x14ac:dyDescent="0.2">
      <c r="B14857" s="1168"/>
    </row>
    <row r="14858" spans="2:2" s="221" customFormat="1" ht="12.75" x14ac:dyDescent="0.2">
      <c r="B14858" s="1168"/>
    </row>
    <row r="14859" spans="2:2" s="221" customFormat="1" ht="12.75" x14ac:dyDescent="0.2">
      <c r="B14859" s="1168"/>
    </row>
    <row r="14860" spans="2:2" s="221" customFormat="1" ht="12.75" x14ac:dyDescent="0.2">
      <c r="B14860" s="1168"/>
    </row>
    <row r="14861" spans="2:2" s="221" customFormat="1" ht="12.75" x14ac:dyDescent="0.2">
      <c r="B14861" s="1168"/>
    </row>
    <row r="14862" spans="2:2" s="221" customFormat="1" ht="12.75" x14ac:dyDescent="0.2">
      <c r="B14862" s="1168"/>
    </row>
    <row r="14863" spans="2:2" s="221" customFormat="1" ht="12.75" x14ac:dyDescent="0.2">
      <c r="B14863" s="1168"/>
    </row>
    <row r="14864" spans="2:2" s="221" customFormat="1" ht="12.75" x14ac:dyDescent="0.2">
      <c r="B14864" s="1168"/>
    </row>
    <row r="14865" spans="2:2" s="221" customFormat="1" ht="12.75" x14ac:dyDescent="0.2">
      <c r="B14865" s="1168"/>
    </row>
    <row r="14866" spans="2:2" s="221" customFormat="1" ht="12.75" x14ac:dyDescent="0.2">
      <c r="B14866" s="1168"/>
    </row>
    <row r="14867" spans="2:2" s="221" customFormat="1" ht="12.75" x14ac:dyDescent="0.2">
      <c r="B14867" s="1168"/>
    </row>
    <row r="14868" spans="2:2" s="221" customFormat="1" ht="12.75" x14ac:dyDescent="0.2">
      <c r="B14868" s="1168"/>
    </row>
    <row r="14869" spans="2:2" s="221" customFormat="1" ht="12.75" x14ac:dyDescent="0.2">
      <c r="B14869" s="1168"/>
    </row>
    <row r="14870" spans="2:2" s="221" customFormat="1" ht="12.75" x14ac:dyDescent="0.2">
      <c r="B14870" s="1168"/>
    </row>
    <row r="14871" spans="2:2" s="221" customFormat="1" ht="12.75" x14ac:dyDescent="0.2">
      <c r="B14871" s="1168"/>
    </row>
    <row r="14872" spans="2:2" s="221" customFormat="1" ht="12.75" x14ac:dyDescent="0.2">
      <c r="B14872" s="1168"/>
    </row>
    <row r="14873" spans="2:2" s="221" customFormat="1" ht="12.75" x14ac:dyDescent="0.2">
      <c r="B14873" s="1168"/>
    </row>
    <row r="14874" spans="2:2" s="221" customFormat="1" ht="12.75" x14ac:dyDescent="0.2">
      <c r="B14874" s="1168"/>
    </row>
    <row r="14875" spans="2:2" s="221" customFormat="1" ht="12.75" x14ac:dyDescent="0.2">
      <c r="B14875" s="1168"/>
    </row>
    <row r="14876" spans="2:2" s="221" customFormat="1" ht="12.75" x14ac:dyDescent="0.2">
      <c r="B14876" s="1168"/>
    </row>
    <row r="14877" spans="2:2" s="221" customFormat="1" ht="12.75" x14ac:dyDescent="0.2">
      <c r="B14877" s="1168"/>
    </row>
    <row r="14878" spans="2:2" s="221" customFormat="1" ht="12.75" x14ac:dyDescent="0.2">
      <c r="B14878" s="1168"/>
    </row>
    <row r="14879" spans="2:2" s="221" customFormat="1" ht="12.75" x14ac:dyDescent="0.2">
      <c r="B14879" s="1168"/>
    </row>
    <row r="14880" spans="2:2" s="221" customFormat="1" ht="12.75" x14ac:dyDescent="0.2">
      <c r="B14880" s="1168"/>
    </row>
    <row r="14881" spans="2:2" s="221" customFormat="1" ht="12.75" x14ac:dyDescent="0.2">
      <c r="B14881" s="1168"/>
    </row>
    <row r="14882" spans="2:2" s="221" customFormat="1" ht="12.75" x14ac:dyDescent="0.2">
      <c r="B14882" s="1168"/>
    </row>
    <row r="14883" spans="2:2" s="221" customFormat="1" ht="12.75" x14ac:dyDescent="0.2">
      <c r="B14883" s="1168"/>
    </row>
    <row r="14884" spans="2:2" s="221" customFormat="1" ht="12.75" x14ac:dyDescent="0.2">
      <c r="B14884" s="1168"/>
    </row>
    <row r="14885" spans="2:2" s="221" customFormat="1" ht="12.75" x14ac:dyDescent="0.2">
      <c r="B14885" s="1168"/>
    </row>
    <row r="14886" spans="2:2" s="221" customFormat="1" ht="12.75" x14ac:dyDescent="0.2">
      <c r="B14886" s="1168"/>
    </row>
    <row r="14887" spans="2:2" s="221" customFormat="1" ht="12.75" x14ac:dyDescent="0.2">
      <c r="B14887" s="1168"/>
    </row>
    <row r="14888" spans="2:2" s="221" customFormat="1" ht="12.75" x14ac:dyDescent="0.2">
      <c r="B14888" s="1168"/>
    </row>
    <row r="14889" spans="2:2" s="221" customFormat="1" ht="12.75" x14ac:dyDescent="0.2">
      <c r="B14889" s="1168"/>
    </row>
    <row r="14890" spans="2:2" s="221" customFormat="1" ht="12.75" x14ac:dyDescent="0.2">
      <c r="B14890" s="1168"/>
    </row>
    <row r="14891" spans="2:2" s="221" customFormat="1" ht="12.75" x14ac:dyDescent="0.2">
      <c r="B14891" s="1168"/>
    </row>
    <row r="14892" spans="2:2" s="221" customFormat="1" ht="12.75" x14ac:dyDescent="0.2">
      <c r="B14892" s="1168"/>
    </row>
    <row r="14893" spans="2:2" s="221" customFormat="1" ht="12.75" x14ac:dyDescent="0.2">
      <c r="B14893" s="1168"/>
    </row>
    <row r="14894" spans="2:2" s="221" customFormat="1" ht="12.75" x14ac:dyDescent="0.2">
      <c r="B14894" s="1168"/>
    </row>
    <row r="14895" spans="2:2" s="221" customFormat="1" ht="12.75" x14ac:dyDescent="0.2">
      <c r="B14895" s="1168"/>
    </row>
    <row r="14896" spans="2:2" s="221" customFormat="1" ht="12.75" x14ac:dyDescent="0.2">
      <c r="B14896" s="1168"/>
    </row>
    <row r="14897" spans="2:2" s="221" customFormat="1" ht="12.75" x14ac:dyDescent="0.2">
      <c r="B14897" s="1168"/>
    </row>
    <row r="14898" spans="2:2" s="221" customFormat="1" ht="12.75" x14ac:dyDescent="0.2">
      <c r="B14898" s="1168"/>
    </row>
    <row r="14899" spans="2:2" s="221" customFormat="1" ht="12.75" x14ac:dyDescent="0.2">
      <c r="B14899" s="1168"/>
    </row>
    <row r="14900" spans="2:2" s="221" customFormat="1" ht="12.75" x14ac:dyDescent="0.2">
      <c r="B14900" s="1168"/>
    </row>
    <row r="14901" spans="2:2" s="221" customFormat="1" ht="12.75" x14ac:dyDescent="0.2">
      <c r="B14901" s="1168"/>
    </row>
    <row r="14902" spans="2:2" s="221" customFormat="1" ht="12.75" x14ac:dyDescent="0.2">
      <c r="B14902" s="1168"/>
    </row>
    <row r="14903" spans="2:2" s="221" customFormat="1" ht="12.75" x14ac:dyDescent="0.2">
      <c r="B14903" s="1168"/>
    </row>
    <row r="14904" spans="2:2" s="221" customFormat="1" ht="12.75" x14ac:dyDescent="0.2">
      <c r="B14904" s="1168"/>
    </row>
    <row r="14905" spans="2:2" s="221" customFormat="1" ht="12.75" x14ac:dyDescent="0.2">
      <c r="B14905" s="1168"/>
    </row>
    <row r="14906" spans="2:2" s="221" customFormat="1" ht="12.75" x14ac:dyDescent="0.2">
      <c r="B14906" s="1168"/>
    </row>
    <row r="14907" spans="2:2" s="221" customFormat="1" ht="12.75" x14ac:dyDescent="0.2">
      <c r="B14907" s="1168"/>
    </row>
    <row r="14908" spans="2:2" s="221" customFormat="1" ht="12.75" x14ac:dyDescent="0.2">
      <c r="B14908" s="1168"/>
    </row>
    <row r="14909" spans="2:2" s="221" customFormat="1" ht="12.75" x14ac:dyDescent="0.2">
      <c r="B14909" s="1168"/>
    </row>
    <row r="14910" spans="2:2" s="221" customFormat="1" ht="12.75" x14ac:dyDescent="0.2">
      <c r="B14910" s="1168"/>
    </row>
    <row r="14911" spans="2:2" s="221" customFormat="1" ht="12.75" x14ac:dyDescent="0.2">
      <c r="B14911" s="1168"/>
    </row>
    <row r="14912" spans="2:2" s="221" customFormat="1" ht="12.75" x14ac:dyDescent="0.2">
      <c r="B14912" s="1168"/>
    </row>
    <row r="14913" spans="2:2" s="221" customFormat="1" ht="12.75" x14ac:dyDescent="0.2">
      <c r="B14913" s="1168"/>
    </row>
    <row r="14914" spans="2:2" s="221" customFormat="1" ht="12.75" x14ac:dyDescent="0.2">
      <c r="B14914" s="1168"/>
    </row>
    <row r="14915" spans="2:2" s="221" customFormat="1" ht="12.75" x14ac:dyDescent="0.2">
      <c r="B14915" s="1168"/>
    </row>
    <row r="14916" spans="2:2" s="221" customFormat="1" ht="12.75" x14ac:dyDescent="0.2">
      <c r="B14916" s="1168"/>
    </row>
    <row r="14917" spans="2:2" s="221" customFormat="1" ht="12.75" x14ac:dyDescent="0.2">
      <c r="B14917" s="1168"/>
    </row>
    <row r="14918" spans="2:2" s="221" customFormat="1" ht="12.75" x14ac:dyDescent="0.2">
      <c r="B14918" s="1168"/>
    </row>
    <row r="14919" spans="2:2" s="221" customFormat="1" ht="12.75" x14ac:dyDescent="0.2">
      <c r="B14919" s="1168"/>
    </row>
    <row r="14920" spans="2:2" s="221" customFormat="1" ht="12.75" x14ac:dyDescent="0.2">
      <c r="B14920" s="1168"/>
    </row>
    <row r="14921" spans="2:2" s="221" customFormat="1" ht="12.75" x14ac:dyDescent="0.2">
      <c r="B14921" s="1168"/>
    </row>
    <row r="14922" spans="2:2" s="221" customFormat="1" ht="12.75" x14ac:dyDescent="0.2">
      <c r="B14922" s="1168"/>
    </row>
    <row r="14923" spans="2:2" s="221" customFormat="1" ht="12.75" x14ac:dyDescent="0.2">
      <c r="B14923" s="1168"/>
    </row>
    <row r="14924" spans="2:2" s="221" customFormat="1" ht="12.75" x14ac:dyDescent="0.2">
      <c r="B14924" s="1168"/>
    </row>
    <row r="14925" spans="2:2" s="221" customFormat="1" ht="12.75" x14ac:dyDescent="0.2">
      <c r="B14925" s="1168"/>
    </row>
    <row r="14926" spans="2:2" s="221" customFormat="1" ht="12.75" x14ac:dyDescent="0.2">
      <c r="B14926" s="1168"/>
    </row>
    <row r="14927" spans="2:2" s="221" customFormat="1" ht="12.75" x14ac:dyDescent="0.2">
      <c r="B14927" s="1168"/>
    </row>
    <row r="14928" spans="2:2" s="221" customFormat="1" ht="12.75" x14ac:dyDescent="0.2">
      <c r="B14928" s="1168"/>
    </row>
    <row r="14929" spans="2:2" s="221" customFormat="1" ht="12.75" x14ac:dyDescent="0.2">
      <c r="B14929" s="1168"/>
    </row>
    <row r="14930" spans="2:2" s="221" customFormat="1" ht="12.75" x14ac:dyDescent="0.2">
      <c r="B14930" s="1168"/>
    </row>
    <row r="14931" spans="2:2" s="221" customFormat="1" ht="12.75" x14ac:dyDescent="0.2">
      <c r="B14931" s="1168"/>
    </row>
    <row r="14932" spans="2:2" s="221" customFormat="1" ht="12.75" x14ac:dyDescent="0.2">
      <c r="B14932" s="1168"/>
    </row>
    <row r="14933" spans="2:2" s="221" customFormat="1" ht="12.75" x14ac:dyDescent="0.2">
      <c r="B14933" s="1168"/>
    </row>
    <row r="14934" spans="2:2" s="221" customFormat="1" ht="12.75" x14ac:dyDescent="0.2">
      <c r="B14934" s="1168"/>
    </row>
    <row r="14935" spans="2:2" s="221" customFormat="1" ht="12.75" x14ac:dyDescent="0.2">
      <c r="B14935" s="1168"/>
    </row>
    <row r="14936" spans="2:2" s="221" customFormat="1" ht="12.75" x14ac:dyDescent="0.2">
      <c r="B14936" s="1168"/>
    </row>
    <row r="14937" spans="2:2" s="221" customFormat="1" ht="12.75" x14ac:dyDescent="0.2">
      <c r="B14937" s="1168"/>
    </row>
    <row r="14938" spans="2:2" s="221" customFormat="1" ht="12.75" x14ac:dyDescent="0.2">
      <c r="B14938" s="1168"/>
    </row>
    <row r="14939" spans="2:2" s="221" customFormat="1" ht="12.75" x14ac:dyDescent="0.2">
      <c r="B14939" s="1168"/>
    </row>
    <row r="14940" spans="2:2" s="221" customFormat="1" ht="12.75" x14ac:dyDescent="0.2">
      <c r="B14940" s="1168"/>
    </row>
    <row r="14941" spans="2:2" s="221" customFormat="1" ht="12.75" x14ac:dyDescent="0.2">
      <c r="B14941" s="1168"/>
    </row>
    <row r="14942" spans="2:2" s="221" customFormat="1" ht="12.75" x14ac:dyDescent="0.2">
      <c r="B14942" s="1168"/>
    </row>
    <row r="14943" spans="2:2" s="221" customFormat="1" ht="12.75" x14ac:dyDescent="0.2">
      <c r="B14943" s="1168"/>
    </row>
    <row r="14944" spans="2:2" s="221" customFormat="1" ht="12.75" x14ac:dyDescent="0.2">
      <c r="B14944" s="1168"/>
    </row>
    <row r="14945" spans="2:2" s="221" customFormat="1" ht="12.75" x14ac:dyDescent="0.2">
      <c r="B14945" s="1168"/>
    </row>
    <row r="14946" spans="2:2" s="221" customFormat="1" ht="12.75" x14ac:dyDescent="0.2">
      <c r="B14946" s="1168"/>
    </row>
    <row r="14947" spans="2:2" s="221" customFormat="1" ht="12.75" x14ac:dyDescent="0.2">
      <c r="B14947" s="1168"/>
    </row>
    <row r="14948" spans="2:2" s="221" customFormat="1" ht="12.75" x14ac:dyDescent="0.2">
      <c r="B14948" s="1168"/>
    </row>
    <row r="14949" spans="2:2" s="221" customFormat="1" ht="12.75" x14ac:dyDescent="0.2">
      <c r="B14949" s="1168"/>
    </row>
    <row r="14950" spans="2:2" s="221" customFormat="1" ht="12.75" x14ac:dyDescent="0.2">
      <c r="B14950" s="1168"/>
    </row>
    <row r="14951" spans="2:2" s="221" customFormat="1" ht="12.75" x14ac:dyDescent="0.2">
      <c r="B14951" s="1168"/>
    </row>
    <row r="14952" spans="2:2" s="221" customFormat="1" ht="12.75" x14ac:dyDescent="0.2">
      <c r="B14952" s="1168"/>
    </row>
    <row r="14953" spans="2:2" s="221" customFormat="1" ht="12.75" x14ac:dyDescent="0.2">
      <c r="B14953" s="1168"/>
    </row>
    <row r="14954" spans="2:2" s="221" customFormat="1" ht="12.75" x14ac:dyDescent="0.2">
      <c r="B14954" s="1168"/>
    </row>
    <row r="14955" spans="2:2" s="221" customFormat="1" ht="12.75" x14ac:dyDescent="0.2">
      <c r="B14955" s="1168"/>
    </row>
    <row r="14956" spans="2:2" s="221" customFormat="1" ht="12.75" x14ac:dyDescent="0.2">
      <c r="B14956" s="1168"/>
    </row>
    <row r="14957" spans="2:2" s="221" customFormat="1" ht="12.75" x14ac:dyDescent="0.2">
      <c r="B14957" s="1168"/>
    </row>
    <row r="14958" spans="2:2" s="221" customFormat="1" ht="12.75" x14ac:dyDescent="0.2">
      <c r="B14958" s="1168"/>
    </row>
    <row r="14959" spans="2:2" s="221" customFormat="1" ht="12.75" x14ac:dyDescent="0.2">
      <c r="B14959" s="1168"/>
    </row>
    <row r="14960" spans="2:2" s="221" customFormat="1" ht="12.75" x14ac:dyDescent="0.2">
      <c r="B14960" s="1168"/>
    </row>
    <row r="14961" spans="2:2" s="221" customFormat="1" ht="12.75" x14ac:dyDescent="0.2">
      <c r="B14961" s="1168"/>
    </row>
    <row r="14962" spans="2:2" s="221" customFormat="1" ht="12.75" x14ac:dyDescent="0.2">
      <c r="B14962" s="1168"/>
    </row>
    <row r="14963" spans="2:2" s="221" customFormat="1" ht="12.75" x14ac:dyDescent="0.2">
      <c r="B14963" s="1168"/>
    </row>
    <row r="14964" spans="2:2" s="221" customFormat="1" ht="12.75" x14ac:dyDescent="0.2">
      <c r="B14964" s="1168"/>
    </row>
    <row r="14965" spans="2:2" s="221" customFormat="1" ht="12.75" x14ac:dyDescent="0.2">
      <c r="B14965" s="1168"/>
    </row>
    <row r="14966" spans="2:2" s="221" customFormat="1" ht="12.75" x14ac:dyDescent="0.2">
      <c r="B14966" s="1168"/>
    </row>
    <row r="14967" spans="2:2" s="221" customFormat="1" ht="12.75" x14ac:dyDescent="0.2">
      <c r="B14967" s="1168"/>
    </row>
    <row r="14968" spans="2:2" s="221" customFormat="1" ht="12.75" x14ac:dyDescent="0.2">
      <c r="B14968" s="1168"/>
    </row>
    <row r="14969" spans="2:2" s="221" customFormat="1" ht="12.75" x14ac:dyDescent="0.2">
      <c r="B14969" s="1168"/>
    </row>
    <row r="14970" spans="2:2" s="221" customFormat="1" ht="12.75" x14ac:dyDescent="0.2">
      <c r="B14970" s="1168"/>
    </row>
    <row r="14971" spans="2:2" s="221" customFormat="1" ht="12.75" x14ac:dyDescent="0.2">
      <c r="B14971" s="1168"/>
    </row>
    <row r="14972" spans="2:2" s="221" customFormat="1" ht="12.75" x14ac:dyDescent="0.2">
      <c r="B14972" s="1168"/>
    </row>
    <row r="14973" spans="2:2" s="221" customFormat="1" ht="12.75" x14ac:dyDescent="0.2">
      <c r="B14973" s="1168"/>
    </row>
    <row r="14974" spans="2:2" s="221" customFormat="1" ht="12.75" x14ac:dyDescent="0.2">
      <c r="B14974" s="1168"/>
    </row>
    <row r="14975" spans="2:2" s="221" customFormat="1" ht="12.75" x14ac:dyDescent="0.2">
      <c r="B14975" s="1168"/>
    </row>
    <row r="14976" spans="2:2" s="221" customFormat="1" ht="12.75" x14ac:dyDescent="0.2">
      <c r="B14976" s="1168"/>
    </row>
    <row r="14977" spans="2:2" s="221" customFormat="1" ht="12.75" x14ac:dyDescent="0.2">
      <c r="B14977" s="1168"/>
    </row>
    <row r="14978" spans="2:2" s="221" customFormat="1" ht="12.75" x14ac:dyDescent="0.2">
      <c r="B14978" s="1168"/>
    </row>
    <row r="14979" spans="2:2" s="221" customFormat="1" ht="12.75" x14ac:dyDescent="0.2">
      <c r="B14979" s="1168"/>
    </row>
    <row r="14980" spans="2:2" s="221" customFormat="1" ht="12.75" x14ac:dyDescent="0.2">
      <c r="B14980" s="1168"/>
    </row>
    <row r="14981" spans="2:2" s="221" customFormat="1" ht="12.75" x14ac:dyDescent="0.2">
      <c r="B14981" s="1168"/>
    </row>
    <row r="14982" spans="2:2" s="221" customFormat="1" ht="12.75" x14ac:dyDescent="0.2">
      <c r="B14982" s="1168"/>
    </row>
    <row r="14983" spans="2:2" s="221" customFormat="1" ht="12.75" x14ac:dyDescent="0.2">
      <c r="B14983" s="1168"/>
    </row>
    <row r="14984" spans="2:2" s="221" customFormat="1" ht="12.75" x14ac:dyDescent="0.2">
      <c r="B14984" s="1168"/>
    </row>
    <row r="14985" spans="2:2" s="221" customFormat="1" ht="12.75" x14ac:dyDescent="0.2">
      <c r="B14985" s="1168"/>
    </row>
    <row r="14986" spans="2:2" s="221" customFormat="1" ht="12.75" x14ac:dyDescent="0.2">
      <c r="B14986" s="1168"/>
    </row>
    <row r="14987" spans="2:2" s="221" customFormat="1" ht="12.75" x14ac:dyDescent="0.2">
      <c r="B14987" s="1168"/>
    </row>
    <row r="14988" spans="2:2" s="221" customFormat="1" ht="12.75" x14ac:dyDescent="0.2">
      <c r="B14988" s="1168"/>
    </row>
    <row r="14989" spans="2:2" s="221" customFormat="1" ht="12.75" x14ac:dyDescent="0.2">
      <c r="B14989" s="1168"/>
    </row>
    <row r="14990" spans="2:2" s="221" customFormat="1" ht="12.75" x14ac:dyDescent="0.2">
      <c r="B14990" s="1168"/>
    </row>
    <row r="14991" spans="2:2" s="221" customFormat="1" ht="12.75" x14ac:dyDescent="0.2">
      <c r="B14991" s="1168"/>
    </row>
    <row r="14992" spans="2:2" s="221" customFormat="1" ht="12.75" x14ac:dyDescent="0.2">
      <c r="B14992" s="1168"/>
    </row>
    <row r="14993" spans="2:2" s="221" customFormat="1" ht="12.75" x14ac:dyDescent="0.2">
      <c r="B14993" s="1168"/>
    </row>
    <row r="14994" spans="2:2" s="221" customFormat="1" ht="12.75" x14ac:dyDescent="0.2">
      <c r="B14994" s="1168"/>
    </row>
    <row r="14995" spans="2:2" s="221" customFormat="1" ht="12.75" x14ac:dyDescent="0.2">
      <c r="B14995" s="1168"/>
    </row>
    <row r="14996" spans="2:2" s="221" customFormat="1" ht="12.75" x14ac:dyDescent="0.2">
      <c r="B14996" s="1168"/>
    </row>
    <row r="14997" spans="2:2" s="221" customFormat="1" ht="12.75" x14ac:dyDescent="0.2">
      <c r="B14997" s="1168"/>
    </row>
    <row r="14998" spans="2:2" s="221" customFormat="1" ht="12.75" x14ac:dyDescent="0.2">
      <c r="B14998" s="1168"/>
    </row>
    <row r="14999" spans="2:2" s="221" customFormat="1" ht="12.75" x14ac:dyDescent="0.2">
      <c r="B14999" s="1168"/>
    </row>
    <row r="15000" spans="2:2" s="221" customFormat="1" ht="12.75" x14ac:dyDescent="0.2">
      <c r="B15000" s="1168"/>
    </row>
    <row r="15001" spans="2:2" s="221" customFormat="1" ht="12.75" x14ac:dyDescent="0.2">
      <c r="B15001" s="1168"/>
    </row>
    <row r="15002" spans="2:2" s="221" customFormat="1" ht="12.75" x14ac:dyDescent="0.2">
      <c r="B15002" s="1168"/>
    </row>
    <row r="15003" spans="2:2" s="221" customFormat="1" ht="12.75" x14ac:dyDescent="0.2">
      <c r="B15003" s="1168"/>
    </row>
    <row r="15004" spans="2:2" s="221" customFormat="1" ht="12.75" x14ac:dyDescent="0.2">
      <c r="B15004" s="1168"/>
    </row>
    <row r="15005" spans="2:2" s="221" customFormat="1" ht="12.75" x14ac:dyDescent="0.2">
      <c r="B15005" s="1168"/>
    </row>
    <row r="15006" spans="2:2" s="221" customFormat="1" ht="12.75" x14ac:dyDescent="0.2">
      <c r="B15006" s="1168"/>
    </row>
    <row r="15007" spans="2:2" s="221" customFormat="1" ht="12.75" x14ac:dyDescent="0.2">
      <c r="B15007" s="1168"/>
    </row>
    <row r="15008" spans="2:2" s="221" customFormat="1" ht="12.75" x14ac:dyDescent="0.2">
      <c r="B15008" s="1168"/>
    </row>
    <row r="15009" spans="2:2" s="221" customFormat="1" ht="12.75" x14ac:dyDescent="0.2">
      <c r="B15009" s="1168"/>
    </row>
    <row r="15010" spans="2:2" s="221" customFormat="1" ht="12.75" x14ac:dyDescent="0.2">
      <c r="B15010" s="1168"/>
    </row>
    <row r="15011" spans="2:2" s="221" customFormat="1" ht="12.75" x14ac:dyDescent="0.2">
      <c r="B15011" s="1168"/>
    </row>
    <row r="15012" spans="2:2" s="221" customFormat="1" ht="12.75" x14ac:dyDescent="0.2">
      <c r="B15012" s="1168"/>
    </row>
    <row r="15013" spans="2:2" s="221" customFormat="1" ht="12.75" x14ac:dyDescent="0.2">
      <c r="B15013" s="1168"/>
    </row>
    <row r="15014" spans="2:2" s="221" customFormat="1" ht="12.75" x14ac:dyDescent="0.2">
      <c r="B15014" s="1168"/>
    </row>
    <row r="15015" spans="2:2" s="221" customFormat="1" ht="12.75" x14ac:dyDescent="0.2">
      <c r="B15015" s="1168"/>
    </row>
    <row r="15016" spans="2:2" s="221" customFormat="1" ht="12.75" x14ac:dyDescent="0.2">
      <c r="B15016" s="1168"/>
    </row>
    <row r="15017" spans="2:2" s="221" customFormat="1" ht="12.75" x14ac:dyDescent="0.2">
      <c r="B15017" s="1168"/>
    </row>
    <row r="15018" spans="2:2" s="221" customFormat="1" ht="12.75" x14ac:dyDescent="0.2">
      <c r="B15018" s="1168"/>
    </row>
    <row r="15019" spans="2:2" s="221" customFormat="1" ht="12.75" x14ac:dyDescent="0.2">
      <c r="B15019" s="1168"/>
    </row>
    <row r="15020" spans="2:2" s="221" customFormat="1" ht="12.75" x14ac:dyDescent="0.2">
      <c r="B15020" s="1168"/>
    </row>
    <row r="15021" spans="2:2" s="221" customFormat="1" ht="12.75" x14ac:dyDescent="0.2">
      <c r="B15021" s="1168"/>
    </row>
    <row r="15022" spans="2:2" s="221" customFormat="1" ht="12.75" x14ac:dyDescent="0.2">
      <c r="B15022" s="1168"/>
    </row>
    <row r="15023" spans="2:2" s="221" customFormat="1" ht="12.75" x14ac:dyDescent="0.2">
      <c r="B15023" s="1168"/>
    </row>
    <row r="15024" spans="2:2" s="221" customFormat="1" ht="12.75" x14ac:dyDescent="0.2">
      <c r="B15024" s="1168"/>
    </row>
    <row r="15025" spans="2:2" s="221" customFormat="1" ht="12.75" x14ac:dyDescent="0.2">
      <c r="B15025" s="1168"/>
    </row>
    <row r="15026" spans="2:2" s="221" customFormat="1" ht="12.75" x14ac:dyDescent="0.2">
      <c r="B15026" s="1168"/>
    </row>
    <row r="15027" spans="2:2" s="221" customFormat="1" ht="12.75" x14ac:dyDescent="0.2">
      <c r="B15027" s="1168"/>
    </row>
    <row r="15028" spans="2:2" s="221" customFormat="1" ht="12.75" x14ac:dyDescent="0.2">
      <c r="B15028" s="1168"/>
    </row>
    <row r="15029" spans="2:2" s="221" customFormat="1" ht="12.75" x14ac:dyDescent="0.2">
      <c r="B15029" s="1168"/>
    </row>
    <row r="15030" spans="2:2" s="221" customFormat="1" ht="12.75" x14ac:dyDescent="0.2">
      <c r="B15030" s="1168"/>
    </row>
    <row r="15031" spans="2:2" s="221" customFormat="1" ht="12.75" x14ac:dyDescent="0.2">
      <c r="B15031" s="1168"/>
    </row>
    <row r="15032" spans="2:2" s="221" customFormat="1" ht="12.75" x14ac:dyDescent="0.2">
      <c r="B15032" s="1168"/>
    </row>
    <row r="15033" spans="2:2" s="221" customFormat="1" ht="12.75" x14ac:dyDescent="0.2">
      <c r="B15033" s="1168"/>
    </row>
    <row r="15034" spans="2:2" s="221" customFormat="1" ht="12.75" x14ac:dyDescent="0.2">
      <c r="B15034" s="1168"/>
    </row>
    <row r="15035" spans="2:2" s="221" customFormat="1" ht="12.75" x14ac:dyDescent="0.2">
      <c r="B15035" s="1168"/>
    </row>
    <row r="15036" spans="2:2" s="221" customFormat="1" ht="12.75" x14ac:dyDescent="0.2">
      <c r="B15036" s="1168"/>
    </row>
    <row r="15037" spans="2:2" s="221" customFormat="1" ht="12.75" x14ac:dyDescent="0.2">
      <c r="B15037" s="1168"/>
    </row>
    <row r="15038" spans="2:2" s="221" customFormat="1" ht="12.75" x14ac:dyDescent="0.2">
      <c r="B15038" s="1168"/>
    </row>
    <row r="15039" spans="2:2" s="221" customFormat="1" ht="12.75" x14ac:dyDescent="0.2">
      <c r="B15039" s="1168"/>
    </row>
    <row r="15040" spans="2:2" s="221" customFormat="1" ht="12.75" x14ac:dyDescent="0.2">
      <c r="B15040" s="1168"/>
    </row>
    <row r="15041" spans="2:2" s="221" customFormat="1" ht="12.75" x14ac:dyDescent="0.2">
      <c r="B15041" s="1168"/>
    </row>
    <row r="15042" spans="2:2" s="221" customFormat="1" ht="12.75" x14ac:dyDescent="0.2">
      <c r="B15042" s="1168"/>
    </row>
    <row r="15043" spans="2:2" s="221" customFormat="1" ht="12.75" x14ac:dyDescent="0.2">
      <c r="B15043" s="1168"/>
    </row>
    <row r="15044" spans="2:2" s="221" customFormat="1" ht="12.75" x14ac:dyDescent="0.2">
      <c r="B15044" s="1168"/>
    </row>
    <row r="15045" spans="2:2" s="221" customFormat="1" ht="12.75" x14ac:dyDescent="0.2">
      <c r="B15045" s="1168"/>
    </row>
    <row r="15046" spans="2:2" s="221" customFormat="1" ht="12.75" x14ac:dyDescent="0.2">
      <c r="B15046" s="1168"/>
    </row>
    <row r="15047" spans="2:2" s="221" customFormat="1" ht="12.75" x14ac:dyDescent="0.2">
      <c r="B15047" s="1168"/>
    </row>
    <row r="15048" spans="2:2" s="221" customFormat="1" ht="12.75" x14ac:dyDescent="0.2">
      <c r="B15048" s="1168"/>
    </row>
    <row r="15049" spans="2:2" s="221" customFormat="1" ht="12.75" x14ac:dyDescent="0.2">
      <c r="B15049" s="1168"/>
    </row>
    <row r="15050" spans="2:2" s="221" customFormat="1" ht="12.75" x14ac:dyDescent="0.2">
      <c r="B15050" s="1168"/>
    </row>
    <row r="15051" spans="2:2" s="221" customFormat="1" ht="12.75" x14ac:dyDescent="0.2">
      <c r="B15051" s="1168"/>
    </row>
    <row r="15052" spans="2:2" s="221" customFormat="1" ht="12.75" x14ac:dyDescent="0.2">
      <c r="B15052" s="1168"/>
    </row>
    <row r="15053" spans="2:2" s="221" customFormat="1" ht="12.75" x14ac:dyDescent="0.2">
      <c r="B15053" s="1168"/>
    </row>
    <row r="15054" spans="2:2" s="221" customFormat="1" ht="12.75" x14ac:dyDescent="0.2">
      <c r="B15054" s="1168"/>
    </row>
    <row r="15055" spans="2:2" s="221" customFormat="1" ht="12.75" x14ac:dyDescent="0.2">
      <c r="B15055" s="1168"/>
    </row>
    <row r="15056" spans="2:2" s="221" customFormat="1" ht="12.75" x14ac:dyDescent="0.2">
      <c r="B15056" s="1168"/>
    </row>
    <row r="15057" spans="2:2" s="221" customFormat="1" ht="12.75" x14ac:dyDescent="0.2">
      <c r="B15057" s="1168"/>
    </row>
    <row r="15058" spans="2:2" s="221" customFormat="1" ht="12.75" x14ac:dyDescent="0.2">
      <c r="B15058" s="1168"/>
    </row>
    <row r="15059" spans="2:2" s="221" customFormat="1" ht="12.75" x14ac:dyDescent="0.2">
      <c r="B15059" s="1168"/>
    </row>
    <row r="15060" spans="2:2" s="221" customFormat="1" ht="12.75" x14ac:dyDescent="0.2">
      <c r="B15060" s="1168"/>
    </row>
    <row r="15061" spans="2:2" s="221" customFormat="1" ht="12.75" x14ac:dyDescent="0.2">
      <c r="B15061" s="1168"/>
    </row>
    <row r="15062" spans="2:2" s="221" customFormat="1" ht="12.75" x14ac:dyDescent="0.2">
      <c r="B15062" s="1168"/>
    </row>
    <row r="15063" spans="2:2" s="221" customFormat="1" ht="12.75" x14ac:dyDescent="0.2">
      <c r="B15063" s="1168"/>
    </row>
    <row r="15064" spans="2:2" s="221" customFormat="1" ht="12.75" x14ac:dyDescent="0.2">
      <c r="B15064" s="1168"/>
    </row>
    <row r="15065" spans="2:2" s="221" customFormat="1" ht="12.75" x14ac:dyDescent="0.2">
      <c r="B15065" s="1168"/>
    </row>
    <row r="15066" spans="2:2" s="221" customFormat="1" ht="12.75" x14ac:dyDescent="0.2">
      <c r="B15066" s="1168"/>
    </row>
    <row r="15067" spans="2:2" s="221" customFormat="1" ht="12.75" x14ac:dyDescent="0.2">
      <c r="B15067" s="1168"/>
    </row>
    <row r="15068" spans="2:2" s="221" customFormat="1" ht="12.75" x14ac:dyDescent="0.2">
      <c r="B15068" s="1168"/>
    </row>
    <row r="15069" spans="2:2" s="221" customFormat="1" ht="12.75" x14ac:dyDescent="0.2">
      <c r="B15069" s="1168"/>
    </row>
    <row r="15070" spans="2:2" s="221" customFormat="1" ht="12.75" x14ac:dyDescent="0.2">
      <c r="B15070" s="1168"/>
    </row>
    <row r="15071" spans="2:2" s="221" customFormat="1" ht="12.75" x14ac:dyDescent="0.2">
      <c r="B15071" s="1168"/>
    </row>
    <row r="15072" spans="2:2" s="221" customFormat="1" ht="12.75" x14ac:dyDescent="0.2">
      <c r="B15072" s="1168"/>
    </row>
    <row r="15073" spans="2:2" s="221" customFormat="1" ht="12.75" x14ac:dyDescent="0.2">
      <c r="B15073" s="1168"/>
    </row>
    <row r="15074" spans="2:2" s="221" customFormat="1" ht="12.75" x14ac:dyDescent="0.2">
      <c r="B15074" s="1168"/>
    </row>
    <row r="15075" spans="2:2" s="221" customFormat="1" ht="12.75" x14ac:dyDescent="0.2">
      <c r="B15075" s="1168"/>
    </row>
    <row r="15076" spans="2:2" s="221" customFormat="1" ht="12.75" x14ac:dyDescent="0.2">
      <c r="B15076" s="1168"/>
    </row>
    <row r="15077" spans="2:2" s="221" customFormat="1" ht="12.75" x14ac:dyDescent="0.2">
      <c r="B15077" s="1168"/>
    </row>
    <row r="15078" spans="2:2" s="221" customFormat="1" ht="12.75" x14ac:dyDescent="0.2">
      <c r="B15078" s="1168"/>
    </row>
    <row r="15079" spans="2:2" s="221" customFormat="1" ht="12.75" x14ac:dyDescent="0.2">
      <c r="B15079" s="1168"/>
    </row>
    <row r="15080" spans="2:2" s="221" customFormat="1" ht="12.75" x14ac:dyDescent="0.2">
      <c r="B15080" s="1168"/>
    </row>
    <row r="15081" spans="2:2" s="221" customFormat="1" ht="12.75" x14ac:dyDescent="0.2">
      <c r="B15081" s="1168"/>
    </row>
    <row r="15082" spans="2:2" s="221" customFormat="1" ht="12.75" x14ac:dyDescent="0.2">
      <c r="B15082" s="1168"/>
    </row>
    <row r="15083" spans="2:2" s="221" customFormat="1" ht="12.75" x14ac:dyDescent="0.2">
      <c r="B15083" s="1168"/>
    </row>
    <row r="15084" spans="2:2" s="221" customFormat="1" ht="12.75" x14ac:dyDescent="0.2">
      <c r="B15084" s="1168"/>
    </row>
    <row r="15085" spans="2:2" s="221" customFormat="1" ht="12.75" x14ac:dyDescent="0.2">
      <c r="B15085" s="1168"/>
    </row>
    <row r="15086" spans="2:2" s="221" customFormat="1" ht="12.75" x14ac:dyDescent="0.2">
      <c r="B15086" s="1168"/>
    </row>
    <row r="15087" spans="2:2" s="221" customFormat="1" ht="12.75" x14ac:dyDescent="0.2">
      <c r="B15087" s="1168"/>
    </row>
    <row r="15088" spans="2:2" s="221" customFormat="1" ht="12.75" x14ac:dyDescent="0.2">
      <c r="B15088" s="1168"/>
    </row>
    <row r="15089" spans="2:2" s="221" customFormat="1" ht="12.75" x14ac:dyDescent="0.2">
      <c r="B15089" s="1168"/>
    </row>
    <row r="15090" spans="2:2" s="221" customFormat="1" ht="12.75" x14ac:dyDescent="0.2">
      <c r="B15090" s="1168"/>
    </row>
    <row r="15091" spans="2:2" s="221" customFormat="1" ht="12.75" x14ac:dyDescent="0.2">
      <c r="B15091" s="1168"/>
    </row>
    <row r="15092" spans="2:2" s="221" customFormat="1" ht="12.75" x14ac:dyDescent="0.2">
      <c r="B15092" s="1168"/>
    </row>
    <row r="15093" spans="2:2" s="221" customFormat="1" ht="12.75" x14ac:dyDescent="0.2">
      <c r="B15093" s="1168"/>
    </row>
    <row r="15094" spans="2:2" s="221" customFormat="1" ht="12.75" x14ac:dyDescent="0.2">
      <c r="B15094" s="1168"/>
    </row>
    <row r="15095" spans="2:2" s="221" customFormat="1" ht="12.75" x14ac:dyDescent="0.2">
      <c r="B15095" s="1168"/>
    </row>
    <row r="15096" spans="2:2" s="221" customFormat="1" ht="12.75" x14ac:dyDescent="0.2">
      <c r="B15096" s="1168"/>
    </row>
    <row r="15097" spans="2:2" s="221" customFormat="1" ht="12.75" x14ac:dyDescent="0.2">
      <c r="B15097" s="1168"/>
    </row>
    <row r="15098" spans="2:2" s="221" customFormat="1" ht="12.75" x14ac:dyDescent="0.2">
      <c r="B15098" s="1168"/>
    </row>
    <row r="15099" spans="2:2" s="221" customFormat="1" ht="12.75" x14ac:dyDescent="0.2">
      <c r="B15099" s="1168"/>
    </row>
    <row r="15100" spans="2:2" s="221" customFormat="1" ht="12.75" x14ac:dyDescent="0.2">
      <c r="B15100" s="1168"/>
    </row>
    <row r="15101" spans="2:2" s="221" customFormat="1" ht="12.75" x14ac:dyDescent="0.2">
      <c r="B15101" s="1168"/>
    </row>
    <row r="15102" spans="2:2" s="221" customFormat="1" ht="12.75" x14ac:dyDescent="0.2">
      <c r="B15102" s="1168"/>
    </row>
    <row r="15103" spans="2:2" s="221" customFormat="1" ht="12.75" x14ac:dyDescent="0.2">
      <c r="B15103" s="1168"/>
    </row>
    <row r="15104" spans="2:2" s="221" customFormat="1" ht="12.75" x14ac:dyDescent="0.2">
      <c r="B15104" s="1168"/>
    </row>
    <row r="15105" spans="2:2" s="221" customFormat="1" ht="12.75" x14ac:dyDescent="0.2">
      <c r="B15105" s="1168"/>
    </row>
    <row r="15106" spans="2:2" s="221" customFormat="1" ht="12.75" x14ac:dyDescent="0.2">
      <c r="B15106" s="1168"/>
    </row>
    <row r="15107" spans="2:2" s="221" customFormat="1" ht="12.75" x14ac:dyDescent="0.2">
      <c r="B15107" s="1168"/>
    </row>
    <row r="15108" spans="2:2" s="221" customFormat="1" ht="12.75" x14ac:dyDescent="0.2">
      <c r="B15108" s="1168"/>
    </row>
    <row r="15109" spans="2:2" s="221" customFormat="1" ht="12.75" x14ac:dyDescent="0.2">
      <c r="B15109" s="1168"/>
    </row>
    <row r="15110" spans="2:2" s="221" customFormat="1" ht="12.75" x14ac:dyDescent="0.2">
      <c r="B15110" s="1168"/>
    </row>
    <row r="15111" spans="2:2" s="221" customFormat="1" ht="12.75" x14ac:dyDescent="0.2">
      <c r="B15111" s="1168"/>
    </row>
    <row r="15112" spans="2:2" s="221" customFormat="1" ht="12.75" x14ac:dyDescent="0.2">
      <c r="B15112" s="1168"/>
    </row>
    <row r="15113" spans="2:2" s="221" customFormat="1" ht="12.75" x14ac:dyDescent="0.2">
      <c r="B15113" s="1168"/>
    </row>
    <row r="15114" spans="2:2" s="221" customFormat="1" ht="12.75" x14ac:dyDescent="0.2">
      <c r="B15114" s="1168"/>
    </row>
    <row r="15115" spans="2:2" s="221" customFormat="1" ht="12.75" x14ac:dyDescent="0.2">
      <c r="B15115" s="1168"/>
    </row>
    <row r="15116" spans="2:2" s="221" customFormat="1" ht="12.75" x14ac:dyDescent="0.2">
      <c r="B15116" s="1168"/>
    </row>
    <row r="15117" spans="2:2" s="221" customFormat="1" ht="12.75" x14ac:dyDescent="0.2">
      <c r="B15117" s="1168"/>
    </row>
    <row r="15118" spans="2:2" s="221" customFormat="1" ht="12.75" x14ac:dyDescent="0.2">
      <c r="B15118" s="1168"/>
    </row>
    <row r="15119" spans="2:2" s="221" customFormat="1" ht="12.75" x14ac:dyDescent="0.2">
      <c r="B15119" s="1168"/>
    </row>
    <row r="15120" spans="2:2" s="221" customFormat="1" ht="12.75" x14ac:dyDescent="0.2">
      <c r="B15120" s="1168"/>
    </row>
    <row r="15121" spans="2:2" s="221" customFormat="1" ht="12.75" x14ac:dyDescent="0.2">
      <c r="B15121" s="1168"/>
    </row>
    <row r="15122" spans="2:2" s="221" customFormat="1" ht="12.75" x14ac:dyDescent="0.2">
      <c r="B15122" s="1168"/>
    </row>
    <row r="15123" spans="2:2" s="221" customFormat="1" ht="12.75" x14ac:dyDescent="0.2">
      <c r="B15123" s="1168"/>
    </row>
    <row r="15124" spans="2:2" s="221" customFormat="1" ht="12.75" x14ac:dyDescent="0.2">
      <c r="B15124" s="1168"/>
    </row>
    <row r="15125" spans="2:2" s="221" customFormat="1" ht="12.75" x14ac:dyDescent="0.2">
      <c r="B15125" s="1168"/>
    </row>
    <row r="15126" spans="2:2" s="221" customFormat="1" ht="12.75" x14ac:dyDescent="0.2">
      <c r="B15126" s="1168"/>
    </row>
    <row r="15127" spans="2:2" s="221" customFormat="1" ht="12.75" x14ac:dyDescent="0.2">
      <c r="B15127" s="1168"/>
    </row>
    <row r="15128" spans="2:2" s="221" customFormat="1" ht="12.75" x14ac:dyDescent="0.2">
      <c r="B15128" s="1168"/>
    </row>
    <row r="15129" spans="2:2" s="221" customFormat="1" ht="12.75" x14ac:dyDescent="0.2">
      <c r="B15129" s="1168"/>
    </row>
    <row r="15130" spans="2:2" s="221" customFormat="1" ht="12.75" x14ac:dyDescent="0.2">
      <c r="B15130" s="1168"/>
    </row>
    <row r="15131" spans="2:2" s="221" customFormat="1" ht="12.75" x14ac:dyDescent="0.2">
      <c r="B15131" s="1168"/>
    </row>
    <row r="15132" spans="2:2" s="221" customFormat="1" ht="12.75" x14ac:dyDescent="0.2">
      <c r="B15132" s="1168"/>
    </row>
    <row r="15133" spans="2:2" s="221" customFormat="1" ht="12.75" x14ac:dyDescent="0.2">
      <c r="B15133" s="1168"/>
    </row>
    <row r="15134" spans="2:2" s="221" customFormat="1" ht="12.75" x14ac:dyDescent="0.2">
      <c r="B15134" s="1168"/>
    </row>
    <row r="15135" spans="2:2" s="221" customFormat="1" ht="12.75" x14ac:dyDescent="0.2">
      <c r="B15135" s="1168"/>
    </row>
    <row r="15136" spans="2:2" s="221" customFormat="1" ht="12.75" x14ac:dyDescent="0.2">
      <c r="B15136" s="1168"/>
    </row>
    <row r="15137" spans="2:2" s="221" customFormat="1" ht="12.75" x14ac:dyDescent="0.2">
      <c r="B15137" s="1168"/>
    </row>
    <row r="15138" spans="2:2" s="221" customFormat="1" ht="12.75" x14ac:dyDescent="0.2">
      <c r="B15138" s="1168"/>
    </row>
    <row r="15139" spans="2:2" s="221" customFormat="1" ht="12.75" x14ac:dyDescent="0.2">
      <c r="B15139" s="1168"/>
    </row>
    <row r="15140" spans="2:2" s="221" customFormat="1" ht="12.75" x14ac:dyDescent="0.2">
      <c r="B15140" s="1168"/>
    </row>
    <row r="15141" spans="2:2" s="221" customFormat="1" ht="12.75" x14ac:dyDescent="0.2">
      <c r="B15141" s="1168"/>
    </row>
    <row r="15142" spans="2:2" s="221" customFormat="1" ht="12.75" x14ac:dyDescent="0.2">
      <c r="B15142" s="1168"/>
    </row>
    <row r="15143" spans="2:2" s="221" customFormat="1" ht="12.75" x14ac:dyDescent="0.2">
      <c r="B15143" s="1168"/>
    </row>
    <row r="15144" spans="2:2" s="221" customFormat="1" ht="12.75" x14ac:dyDescent="0.2">
      <c r="B15144" s="1168"/>
    </row>
    <row r="15145" spans="2:2" s="221" customFormat="1" ht="12.75" x14ac:dyDescent="0.2">
      <c r="B15145" s="1168"/>
    </row>
    <row r="15146" spans="2:2" s="221" customFormat="1" ht="12.75" x14ac:dyDescent="0.2">
      <c r="B15146" s="1168"/>
    </row>
    <row r="15147" spans="2:2" s="221" customFormat="1" ht="12.75" x14ac:dyDescent="0.2">
      <c r="B15147" s="1168"/>
    </row>
    <row r="15148" spans="2:2" s="221" customFormat="1" ht="12.75" x14ac:dyDescent="0.2">
      <c r="B15148" s="1168"/>
    </row>
    <row r="15149" spans="2:2" s="221" customFormat="1" ht="12.75" x14ac:dyDescent="0.2">
      <c r="B15149" s="1168"/>
    </row>
    <row r="15150" spans="2:2" s="221" customFormat="1" ht="12.75" x14ac:dyDescent="0.2">
      <c r="B15150" s="1168"/>
    </row>
    <row r="15151" spans="2:2" s="221" customFormat="1" ht="12.75" x14ac:dyDescent="0.2">
      <c r="B15151" s="1168"/>
    </row>
    <row r="15152" spans="2:2" s="221" customFormat="1" ht="12.75" x14ac:dyDescent="0.2">
      <c r="B15152" s="1168"/>
    </row>
    <row r="15153" spans="2:2" s="221" customFormat="1" ht="12.75" x14ac:dyDescent="0.2">
      <c r="B15153" s="1168"/>
    </row>
    <row r="15154" spans="2:2" s="221" customFormat="1" ht="12.75" x14ac:dyDescent="0.2">
      <c r="B15154" s="1168"/>
    </row>
    <row r="15155" spans="2:2" s="221" customFormat="1" ht="12.75" x14ac:dyDescent="0.2">
      <c r="B15155" s="1168"/>
    </row>
    <row r="15156" spans="2:2" s="221" customFormat="1" ht="12.75" x14ac:dyDescent="0.2">
      <c r="B15156" s="1168"/>
    </row>
    <row r="15157" spans="2:2" s="221" customFormat="1" ht="12.75" x14ac:dyDescent="0.2">
      <c r="B15157" s="1168"/>
    </row>
    <row r="15158" spans="2:2" s="221" customFormat="1" ht="12.75" x14ac:dyDescent="0.2">
      <c r="B15158" s="1168"/>
    </row>
    <row r="15159" spans="2:2" s="221" customFormat="1" ht="12.75" x14ac:dyDescent="0.2">
      <c r="B15159" s="1168"/>
    </row>
    <row r="15160" spans="2:2" s="221" customFormat="1" ht="12.75" x14ac:dyDescent="0.2">
      <c r="B15160" s="1168"/>
    </row>
    <row r="15161" spans="2:2" s="221" customFormat="1" ht="12.75" x14ac:dyDescent="0.2">
      <c r="B15161" s="1168"/>
    </row>
    <row r="15162" spans="2:2" s="221" customFormat="1" ht="12.75" x14ac:dyDescent="0.2">
      <c r="B15162" s="1168"/>
    </row>
    <row r="15163" spans="2:2" s="221" customFormat="1" ht="12.75" x14ac:dyDescent="0.2">
      <c r="B15163" s="1168"/>
    </row>
    <row r="15164" spans="2:2" s="221" customFormat="1" ht="12.75" x14ac:dyDescent="0.2">
      <c r="B15164" s="1168"/>
    </row>
    <row r="15165" spans="2:2" s="221" customFormat="1" ht="12.75" x14ac:dyDescent="0.2">
      <c r="B15165" s="1168"/>
    </row>
    <row r="15166" spans="2:2" s="221" customFormat="1" ht="12.75" x14ac:dyDescent="0.2">
      <c r="B15166" s="1168"/>
    </row>
    <row r="15167" spans="2:2" s="221" customFormat="1" ht="12.75" x14ac:dyDescent="0.2">
      <c r="B15167" s="1168"/>
    </row>
    <row r="15168" spans="2:2" s="221" customFormat="1" ht="12.75" x14ac:dyDescent="0.2">
      <c r="B15168" s="1168"/>
    </row>
    <row r="15169" spans="2:2" s="221" customFormat="1" ht="12.75" x14ac:dyDescent="0.2">
      <c r="B15169" s="1168"/>
    </row>
    <row r="15170" spans="2:2" s="221" customFormat="1" ht="12.75" x14ac:dyDescent="0.2">
      <c r="B15170" s="1168"/>
    </row>
    <row r="15171" spans="2:2" s="221" customFormat="1" ht="12.75" x14ac:dyDescent="0.2">
      <c r="B15171" s="1168"/>
    </row>
    <row r="15172" spans="2:2" s="221" customFormat="1" ht="12.75" x14ac:dyDescent="0.2">
      <c r="B15172" s="1168"/>
    </row>
    <row r="15173" spans="2:2" s="221" customFormat="1" ht="12.75" x14ac:dyDescent="0.2">
      <c r="B15173" s="1168"/>
    </row>
    <row r="15174" spans="2:2" s="221" customFormat="1" ht="12.75" x14ac:dyDescent="0.2">
      <c r="B15174" s="1168"/>
    </row>
    <row r="15175" spans="2:2" s="221" customFormat="1" ht="12.75" x14ac:dyDescent="0.2">
      <c r="B15175" s="1168"/>
    </row>
    <row r="15176" spans="2:2" s="221" customFormat="1" ht="12.75" x14ac:dyDescent="0.2">
      <c r="B15176" s="1168"/>
    </row>
    <row r="15177" spans="2:2" s="221" customFormat="1" ht="12.75" x14ac:dyDescent="0.2">
      <c r="B15177" s="1168"/>
    </row>
    <row r="15178" spans="2:2" s="221" customFormat="1" ht="12.75" x14ac:dyDescent="0.2">
      <c r="B15178" s="1168"/>
    </row>
    <row r="15179" spans="2:2" s="221" customFormat="1" ht="12.75" x14ac:dyDescent="0.2">
      <c r="B15179" s="1168"/>
    </row>
    <row r="15180" spans="2:2" s="221" customFormat="1" ht="12.75" x14ac:dyDescent="0.2">
      <c r="B15180" s="1168"/>
    </row>
    <row r="15181" spans="2:2" s="221" customFormat="1" ht="12.75" x14ac:dyDescent="0.2">
      <c r="B15181" s="1168"/>
    </row>
    <row r="15182" spans="2:2" s="221" customFormat="1" ht="12.75" x14ac:dyDescent="0.2">
      <c r="B15182" s="1168"/>
    </row>
    <row r="15183" spans="2:2" s="221" customFormat="1" ht="12.75" x14ac:dyDescent="0.2">
      <c r="B15183" s="1168"/>
    </row>
    <row r="15184" spans="2:2" s="221" customFormat="1" ht="12.75" x14ac:dyDescent="0.2">
      <c r="B15184" s="1168"/>
    </row>
    <row r="15185" spans="2:2" s="221" customFormat="1" ht="12.75" x14ac:dyDescent="0.2">
      <c r="B15185" s="1168"/>
    </row>
    <row r="15186" spans="2:2" s="221" customFormat="1" ht="12.75" x14ac:dyDescent="0.2">
      <c r="B15186" s="1168"/>
    </row>
    <row r="15187" spans="2:2" s="221" customFormat="1" ht="12.75" x14ac:dyDescent="0.2">
      <c r="B15187" s="1168"/>
    </row>
    <row r="15188" spans="2:2" s="221" customFormat="1" ht="12.75" x14ac:dyDescent="0.2">
      <c r="B15188" s="1168"/>
    </row>
    <row r="15189" spans="2:2" s="221" customFormat="1" ht="12.75" x14ac:dyDescent="0.2">
      <c r="B15189" s="1168"/>
    </row>
    <row r="15190" spans="2:2" s="221" customFormat="1" ht="12.75" x14ac:dyDescent="0.2">
      <c r="B15190" s="1168"/>
    </row>
    <row r="15191" spans="2:2" s="221" customFormat="1" ht="12.75" x14ac:dyDescent="0.2">
      <c r="B15191" s="1168"/>
    </row>
    <row r="15192" spans="2:2" s="221" customFormat="1" ht="12.75" x14ac:dyDescent="0.2">
      <c r="B15192" s="1168"/>
    </row>
    <row r="15193" spans="2:2" s="221" customFormat="1" ht="12.75" x14ac:dyDescent="0.2">
      <c r="B15193" s="1168"/>
    </row>
    <row r="15194" spans="2:2" s="221" customFormat="1" ht="12.75" x14ac:dyDescent="0.2">
      <c r="B15194" s="1168"/>
    </row>
    <row r="15195" spans="2:2" s="221" customFormat="1" ht="12.75" x14ac:dyDescent="0.2">
      <c r="B15195" s="1168"/>
    </row>
    <row r="15196" spans="2:2" s="221" customFormat="1" ht="12.75" x14ac:dyDescent="0.2">
      <c r="B15196" s="1168"/>
    </row>
    <row r="15197" spans="2:2" s="221" customFormat="1" ht="12.75" x14ac:dyDescent="0.2">
      <c r="B15197" s="1168"/>
    </row>
    <row r="15198" spans="2:2" s="221" customFormat="1" ht="12.75" x14ac:dyDescent="0.2">
      <c r="B15198" s="1168"/>
    </row>
    <row r="15199" spans="2:2" s="221" customFormat="1" ht="12.75" x14ac:dyDescent="0.2">
      <c r="B15199" s="1168"/>
    </row>
    <row r="15200" spans="2:2" s="221" customFormat="1" ht="12.75" x14ac:dyDescent="0.2">
      <c r="B15200" s="1168"/>
    </row>
    <row r="15201" spans="2:2" s="221" customFormat="1" ht="12.75" x14ac:dyDescent="0.2">
      <c r="B15201" s="1168"/>
    </row>
    <row r="15202" spans="2:2" s="221" customFormat="1" ht="12.75" x14ac:dyDescent="0.2">
      <c r="B15202" s="1168"/>
    </row>
    <row r="15203" spans="2:2" s="221" customFormat="1" ht="12.75" x14ac:dyDescent="0.2">
      <c r="B15203" s="1168"/>
    </row>
    <row r="15204" spans="2:2" s="221" customFormat="1" ht="12.75" x14ac:dyDescent="0.2">
      <c r="B15204" s="1168"/>
    </row>
    <row r="15205" spans="2:2" s="221" customFormat="1" ht="12.75" x14ac:dyDescent="0.2">
      <c r="B15205" s="1168"/>
    </row>
    <row r="15206" spans="2:2" s="221" customFormat="1" ht="12.75" x14ac:dyDescent="0.2">
      <c r="B15206" s="1168"/>
    </row>
    <row r="15207" spans="2:2" s="221" customFormat="1" ht="12.75" x14ac:dyDescent="0.2">
      <c r="B15207" s="1168"/>
    </row>
    <row r="15208" spans="2:2" s="221" customFormat="1" ht="12.75" x14ac:dyDescent="0.2">
      <c r="B15208" s="1168"/>
    </row>
    <row r="15209" spans="2:2" s="221" customFormat="1" ht="12.75" x14ac:dyDescent="0.2">
      <c r="B15209" s="1168"/>
    </row>
    <row r="15210" spans="2:2" s="221" customFormat="1" ht="12.75" x14ac:dyDescent="0.2">
      <c r="B15210" s="1168"/>
    </row>
    <row r="15211" spans="2:2" s="221" customFormat="1" ht="12.75" x14ac:dyDescent="0.2">
      <c r="B15211" s="1168"/>
    </row>
    <row r="15212" spans="2:2" s="221" customFormat="1" ht="12.75" x14ac:dyDescent="0.2">
      <c r="B15212" s="1168"/>
    </row>
    <row r="15213" spans="2:2" s="221" customFormat="1" ht="12.75" x14ac:dyDescent="0.2">
      <c r="B15213" s="1168"/>
    </row>
    <row r="15214" spans="2:2" s="221" customFormat="1" ht="12.75" x14ac:dyDescent="0.2">
      <c r="B15214" s="1168"/>
    </row>
    <row r="15215" spans="2:2" s="221" customFormat="1" ht="12.75" x14ac:dyDescent="0.2">
      <c r="B15215" s="1168"/>
    </row>
    <row r="15216" spans="2:2" s="221" customFormat="1" ht="12.75" x14ac:dyDescent="0.2">
      <c r="B15216" s="1168"/>
    </row>
    <row r="15217" spans="2:2" s="221" customFormat="1" ht="12.75" x14ac:dyDescent="0.2">
      <c r="B15217" s="1168"/>
    </row>
    <row r="15218" spans="2:2" s="221" customFormat="1" ht="12.75" x14ac:dyDescent="0.2">
      <c r="B15218" s="1168"/>
    </row>
    <row r="15219" spans="2:2" s="221" customFormat="1" ht="12.75" x14ac:dyDescent="0.2">
      <c r="B15219" s="1168"/>
    </row>
    <row r="15220" spans="2:2" s="221" customFormat="1" ht="12.75" x14ac:dyDescent="0.2">
      <c r="B15220" s="1168"/>
    </row>
    <row r="15221" spans="2:2" s="221" customFormat="1" ht="12.75" x14ac:dyDescent="0.2">
      <c r="B15221" s="1168"/>
    </row>
    <row r="15222" spans="2:2" s="221" customFormat="1" ht="12.75" x14ac:dyDescent="0.2">
      <c r="B15222" s="1168"/>
    </row>
    <row r="15223" spans="2:2" s="221" customFormat="1" ht="12.75" x14ac:dyDescent="0.2">
      <c r="B15223" s="1168"/>
    </row>
    <row r="15224" spans="2:2" s="221" customFormat="1" ht="12.75" x14ac:dyDescent="0.2">
      <c r="B15224" s="1168"/>
    </row>
    <row r="15225" spans="2:2" s="221" customFormat="1" ht="12.75" x14ac:dyDescent="0.2">
      <c r="B15225" s="1168"/>
    </row>
    <row r="15226" spans="2:2" s="221" customFormat="1" ht="12.75" x14ac:dyDescent="0.2">
      <c r="B15226" s="1168"/>
    </row>
    <row r="15227" spans="2:2" s="221" customFormat="1" ht="12.75" x14ac:dyDescent="0.2">
      <c r="B15227" s="1168"/>
    </row>
    <row r="15228" spans="2:2" s="221" customFormat="1" ht="12.75" x14ac:dyDescent="0.2">
      <c r="B15228" s="1168"/>
    </row>
    <row r="15229" spans="2:2" s="221" customFormat="1" ht="12.75" x14ac:dyDescent="0.2">
      <c r="B15229" s="1168"/>
    </row>
    <row r="15230" spans="2:2" s="221" customFormat="1" ht="12.75" x14ac:dyDescent="0.2">
      <c r="B15230" s="1168"/>
    </row>
    <row r="15231" spans="2:2" s="221" customFormat="1" ht="12.75" x14ac:dyDescent="0.2">
      <c r="B15231" s="1168"/>
    </row>
    <row r="15232" spans="2:2" s="221" customFormat="1" ht="12.75" x14ac:dyDescent="0.2">
      <c r="B15232" s="1168"/>
    </row>
    <row r="15233" spans="2:2" s="221" customFormat="1" ht="12.75" x14ac:dyDescent="0.2">
      <c r="B15233" s="1168"/>
    </row>
    <row r="15234" spans="2:2" s="221" customFormat="1" ht="12.75" x14ac:dyDescent="0.2">
      <c r="B15234" s="1168"/>
    </row>
    <row r="15235" spans="2:2" s="221" customFormat="1" ht="12.75" x14ac:dyDescent="0.2">
      <c r="B15235" s="1168"/>
    </row>
    <row r="15236" spans="2:2" s="221" customFormat="1" ht="12.75" x14ac:dyDescent="0.2">
      <c r="B15236" s="1168"/>
    </row>
    <row r="15237" spans="2:2" s="221" customFormat="1" ht="12.75" x14ac:dyDescent="0.2">
      <c r="B15237" s="1168"/>
    </row>
    <row r="15238" spans="2:2" s="221" customFormat="1" ht="12.75" x14ac:dyDescent="0.2">
      <c r="B15238" s="1168"/>
    </row>
    <row r="15239" spans="2:2" s="221" customFormat="1" ht="12.75" x14ac:dyDescent="0.2">
      <c r="B15239" s="1168"/>
    </row>
    <row r="15240" spans="2:2" s="221" customFormat="1" ht="12.75" x14ac:dyDescent="0.2">
      <c r="B15240" s="1168"/>
    </row>
    <row r="15241" spans="2:2" s="221" customFormat="1" ht="12.75" x14ac:dyDescent="0.2">
      <c r="B15241" s="1168"/>
    </row>
    <row r="15242" spans="2:2" s="221" customFormat="1" ht="12.75" x14ac:dyDescent="0.2">
      <c r="B15242" s="1168"/>
    </row>
    <row r="15243" spans="2:2" s="221" customFormat="1" ht="12.75" x14ac:dyDescent="0.2">
      <c r="B15243" s="1168"/>
    </row>
    <row r="15244" spans="2:2" s="221" customFormat="1" ht="12.75" x14ac:dyDescent="0.2">
      <c r="B15244" s="1168"/>
    </row>
    <row r="15245" spans="2:2" s="221" customFormat="1" ht="12.75" x14ac:dyDescent="0.2">
      <c r="B15245" s="1168"/>
    </row>
    <row r="15246" spans="2:2" s="221" customFormat="1" ht="12.75" x14ac:dyDescent="0.2">
      <c r="B15246" s="1168"/>
    </row>
    <row r="15247" spans="2:2" s="221" customFormat="1" ht="12.75" x14ac:dyDescent="0.2">
      <c r="B15247" s="1168"/>
    </row>
    <row r="15248" spans="2:2" s="221" customFormat="1" ht="12.75" x14ac:dyDescent="0.2">
      <c r="B15248" s="1168"/>
    </row>
    <row r="15249" spans="2:2" s="221" customFormat="1" ht="12.75" x14ac:dyDescent="0.2">
      <c r="B15249" s="1168"/>
    </row>
    <row r="15250" spans="2:2" s="221" customFormat="1" ht="12.75" x14ac:dyDescent="0.2">
      <c r="B15250" s="1168"/>
    </row>
    <row r="15251" spans="2:2" s="221" customFormat="1" ht="12.75" x14ac:dyDescent="0.2">
      <c r="B15251" s="1168"/>
    </row>
    <row r="15252" spans="2:2" s="221" customFormat="1" ht="12.75" x14ac:dyDescent="0.2">
      <c r="B15252" s="1168"/>
    </row>
    <row r="15253" spans="2:2" s="221" customFormat="1" ht="12.75" x14ac:dyDescent="0.2">
      <c r="B15253" s="1168"/>
    </row>
    <row r="15254" spans="2:2" s="221" customFormat="1" ht="12.75" x14ac:dyDescent="0.2">
      <c r="B15254" s="1168"/>
    </row>
    <row r="15255" spans="2:2" s="221" customFormat="1" ht="12.75" x14ac:dyDescent="0.2">
      <c r="B15255" s="1168"/>
    </row>
    <row r="15256" spans="2:2" s="221" customFormat="1" ht="12.75" x14ac:dyDescent="0.2">
      <c r="B15256" s="1168"/>
    </row>
    <row r="15257" spans="2:2" s="221" customFormat="1" ht="12.75" x14ac:dyDescent="0.2">
      <c r="B15257" s="1168"/>
    </row>
    <row r="15258" spans="2:2" s="221" customFormat="1" ht="12.75" x14ac:dyDescent="0.2">
      <c r="B15258" s="1168"/>
    </row>
    <row r="15259" spans="2:2" s="221" customFormat="1" ht="12.75" x14ac:dyDescent="0.2">
      <c r="B15259" s="1168"/>
    </row>
    <row r="15260" spans="2:2" s="221" customFormat="1" ht="12.75" x14ac:dyDescent="0.2">
      <c r="B15260" s="1168"/>
    </row>
    <row r="15261" spans="2:2" s="221" customFormat="1" ht="12.75" x14ac:dyDescent="0.2">
      <c r="B15261" s="1168"/>
    </row>
    <row r="15262" spans="2:2" s="221" customFormat="1" ht="12.75" x14ac:dyDescent="0.2">
      <c r="B15262" s="1168"/>
    </row>
    <row r="15263" spans="2:2" s="221" customFormat="1" ht="12.75" x14ac:dyDescent="0.2">
      <c r="B15263" s="1168"/>
    </row>
    <row r="15264" spans="2:2" s="221" customFormat="1" ht="12.75" x14ac:dyDescent="0.2">
      <c r="B15264" s="1168"/>
    </row>
    <row r="15265" spans="2:2" s="221" customFormat="1" ht="12.75" x14ac:dyDescent="0.2">
      <c r="B15265" s="1168"/>
    </row>
    <row r="15266" spans="2:2" s="221" customFormat="1" ht="12.75" x14ac:dyDescent="0.2">
      <c r="B15266" s="1168"/>
    </row>
    <row r="15267" spans="2:2" s="221" customFormat="1" ht="12.75" x14ac:dyDescent="0.2">
      <c r="B15267" s="1168"/>
    </row>
    <row r="15268" spans="2:2" s="221" customFormat="1" ht="12.75" x14ac:dyDescent="0.2">
      <c r="B15268" s="1168"/>
    </row>
    <row r="15269" spans="2:2" s="221" customFormat="1" ht="12.75" x14ac:dyDescent="0.2">
      <c r="B15269" s="1168"/>
    </row>
    <row r="15270" spans="2:2" s="221" customFormat="1" ht="12.75" x14ac:dyDescent="0.2">
      <c r="B15270" s="1168"/>
    </row>
    <row r="15271" spans="2:2" s="221" customFormat="1" ht="12.75" x14ac:dyDescent="0.2">
      <c r="B15271" s="1168"/>
    </row>
    <row r="15272" spans="2:2" s="221" customFormat="1" ht="12.75" x14ac:dyDescent="0.2">
      <c r="B15272" s="1168"/>
    </row>
    <row r="15273" spans="2:2" s="221" customFormat="1" ht="12.75" x14ac:dyDescent="0.2">
      <c r="B15273" s="1168"/>
    </row>
    <row r="15274" spans="2:2" s="221" customFormat="1" ht="12.75" x14ac:dyDescent="0.2">
      <c r="B15274" s="1168"/>
    </row>
    <row r="15275" spans="2:2" s="221" customFormat="1" ht="12.75" x14ac:dyDescent="0.2">
      <c r="B15275" s="1168"/>
    </row>
    <row r="15276" spans="2:2" s="221" customFormat="1" ht="12.75" x14ac:dyDescent="0.2">
      <c r="B15276" s="1168"/>
    </row>
    <row r="15277" spans="2:2" s="221" customFormat="1" ht="12.75" x14ac:dyDescent="0.2">
      <c r="B15277" s="1168"/>
    </row>
    <row r="15278" spans="2:2" s="221" customFormat="1" ht="12.75" x14ac:dyDescent="0.2">
      <c r="B15278" s="1168"/>
    </row>
    <row r="15279" spans="2:2" s="221" customFormat="1" ht="12.75" x14ac:dyDescent="0.2">
      <c r="B15279" s="1168"/>
    </row>
    <row r="15280" spans="2:2" s="221" customFormat="1" ht="12.75" x14ac:dyDescent="0.2">
      <c r="B15280" s="1168"/>
    </row>
    <row r="15281" spans="2:2" s="221" customFormat="1" ht="12.75" x14ac:dyDescent="0.2">
      <c r="B15281" s="1168"/>
    </row>
    <row r="15282" spans="2:2" s="221" customFormat="1" ht="12.75" x14ac:dyDescent="0.2">
      <c r="B15282" s="1168"/>
    </row>
    <row r="15283" spans="2:2" s="221" customFormat="1" ht="12.75" x14ac:dyDescent="0.2">
      <c r="B15283" s="1168"/>
    </row>
    <row r="15284" spans="2:2" s="221" customFormat="1" ht="12.75" x14ac:dyDescent="0.2">
      <c r="B15284" s="1168"/>
    </row>
    <row r="15285" spans="2:2" s="221" customFormat="1" ht="12.75" x14ac:dyDescent="0.2">
      <c r="B15285" s="1168"/>
    </row>
    <row r="15286" spans="2:2" s="221" customFormat="1" ht="12.75" x14ac:dyDescent="0.2">
      <c r="B15286" s="1168"/>
    </row>
    <row r="15287" spans="2:2" s="221" customFormat="1" ht="12.75" x14ac:dyDescent="0.2">
      <c r="B15287" s="1168"/>
    </row>
    <row r="15288" spans="2:2" s="221" customFormat="1" ht="12.75" x14ac:dyDescent="0.2">
      <c r="B15288" s="1168"/>
    </row>
    <row r="15289" spans="2:2" s="221" customFormat="1" ht="12.75" x14ac:dyDescent="0.2">
      <c r="B15289" s="1168"/>
    </row>
    <row r="15290" spans="2:2" s="221" customFormat="1" ht="12.75" x14ac:dyDescent="0.2">
      <c r="B15290" s="1168"/>
    </row>
    <row r="15291" spans="2:2" s="221" customFormat="1" ht="12.75" x14ac:dyDescent="0.2">
      <c r="B15291" s="1168"/>
    </row>
    <row r="15292" spans="2:2" s="221" customFormat="1" ht="12.75" x14ac:dyDescent="0.2">
      <c r="B15292" s="1168"/>
    </row>
    <row r="15293" spans="2:2" s="221" customFormat="1" ht="12.75" x14ac:dyDescent="0.2">
      <c r="B15293" s="1168"/>
    </row>
    <row r="15294" spans="2:2" s="221" customFormat="1" ht="12.75" x14ac:dyDescent="0.2">
      <c r="B15294" s="1168"/>
    </row>
    <row r="15295" spans="2:2" s="221" customFormat="1" ht="12.75" x14ac:dyDescent="0.2">
      <c r="B15295" s="1168"/>
    </row>
    <row r="15296" spans="2:2" s="221" customFormat="1" ht="12.75" x14ac:dyDescent="0.2">
      <c r="B15296" s="1168"/>
    </row>
    <row r="15297" spans="2:2" s="221" customFormat="1" ht="12.75" x14ac:dyDescent="0.2">
      <c r="B15297" s="1168"/>
    </row>
    <row r="15298" spans="2:2" s="221" customFormat="1" ht="12.75" x14ac:dyDescent="0.2">
      <c r="B15298" s="1168"/>
    </row>
    <row r="15299" spans="2:2" s="221" customFormat="1" ht="12.75" x14ac:dyDescent="0.2">
      <c r="B15299" s="1168"/>
    </row>
    <row r="15300" spans="2:2" s="221" customFormat="1" ht="12.75" x14ac:dyDescent="0.2">
      <c r="B15300" s="1168"/>
    </row>
    <row r="15301" spans="2:2" s="221" customFormat="1" ht="12.75" x14ac:dyDescent="0.2">
      <c r="B15301" s="1168"/>
    </row>
    <row r="15302" spans="2:2" s="221" customFormat="1" ht="12.75" x14ac:dyDescent="0.2">
      <c r="B15302" s="1168"/>
    </row>
    <row r="15303" spans="2:2" s="221" customFormat="1" ht="12.75" x14ac:dyDescent="0.2">
      <c r="B15303" s="1168"/>
    </row>
    <row r="15304" spans="2:2" s="221" customFormat="1" ht="12.75" x14ac:dyDescent="0.2">
      <c r="B15304" s="1168"/>
    </row>
    <row r="15305" spans="2:2" s="221" customFormat="1" ht="12.75" x14ac:dyDescent="0.2">
      <c r="B15305" s="1168"/>
    </row>
    <row r="15306" spans="2:2" s="221" customFormat="1" ht="12.75" x14ac:dyDescent="0.2">
      <c r="B15306" s="1168"/>
    </row>
    <row r="15307" spans="2:2" s="221" customFormat="1" ht="12.75" x14ac:dyDescent="0.2">
      <c r="B15307" s="1168"/>
    </row>
    <row r="15308" spans="2:2" s="221" customFormat="1" ht="12.75" x14ac:dyDescent="0.2">
      <c r="B15308" s="1168"/>
    </row>
    <row r="15309" spans="2:2" s="221" customFormat="1" ht="12.75" x14ac:dyDescent="0.2">
      <c r="B15309" s="1168"/>
    </row>
    <row r="15310" spans="2:2" s="221" customFormat="1" ht="12.75" x14ac:dyDescent="0.2">
      <c r="B15310" s="1168"/>
    </row>
    <row r="15311" spans="2:2" s="221" customFormat="1" ht="12.75" x14ac:dyDescent="0.2">
      <c r="B15311" s="1168"/>
    </row>
    <row r="15312" spans="2:2" s="221" customFormat="1" ht="12.75" x14ac:dyDescent="0.2">
      <c r="B15312" s="1168"/>
    </row>
    <row r="15313" spans="2:2" s="221" customFormat="1" ht="12.75" x14ac:dyDescent="0.2">
      <c r="B15313" s="1168"/>
    </row>
    <row r="15314" spans="2:2" s="221" customFormat="1" ht="12.75" x14ac:dyDescent="0.2">
      <c r="B15314" s="1168"/>
    </row>
    <row r="15315" spans="2:2" s="221" customFormat="1" ht="12.75" x14ac:dyDescent="0.2">
      <c r="B15315" s="1168"/>
    </row>
    <row r="15316" spans="2:2" s="221" customFormat="1" ht="12.75" x14ac:dyDescent="0.2">
      <c r="B15316" s="1168"/>
    </row>
    <row r="15317" spans="2:2" s="221" customFormat="1" ht="12.75" x14ac:dyDescent="0.2">
      <c r="B15317" s="1168"/>
    </row>
    <row r="15318" spans="2:2" s="221" customFormat="1" ht="12.75" x14ac:dyDescent="0.2">
      <c r="B15318" s="1168"/>
    </row>
    <row r="15319" spans="2:2" s="221" customFormat="1" ht="12.75" x14ac:dyDescent="0.2">
      <c r="B15319" s="1168"/>
    </row>
    <row r="15320" spans="2:2" s="221" customFormat="1" ht="12.75" x14ac:dyDescent="0.2">
      <c r="B15320" s="1168"/>
    </row>
    <row r="15321" spans="2:2" s="221" customFormat="1" ht="12.75" x14ac:dyDescent="0.2">
      <c r="B15321" s="1168"/>
    </row>
    <row r="15322" spans="2:2" s="221" customFormat="1" ht="12.75" x14ac:dyDescent="0.2">
      <c r="B15322" s="1168"/>
    </row>
    <row r="15323" spans="2:2" s="221" customFormat="1" ht="12.75" x14ac:dyDescent="0.2">
      <c r="B15323" s="1168"/>
    </row>
    <row r="15324" spans="2:2" s="221" customFormat="1" ht="12.75" x14ac:dyDescent="0.2">
      <c r="B15324" s="1168"/>
    </row>
    <row r="15325" spans="2:2" s="221" customFormat="1" ht="12.75" x14ac:dyDescent="0.2">
      <c r="B15325" s="1168"/>
    </row>
    <row r="15326" spans="2:2" s="221" customFormat="1" ht="12.75" x14ac:dyDescent="0.2">
      <c r="B15326" s="1168"/>
    </row>
    <row r="15327" spans="2:2" s="221" customFormat="1" ht="12.75" x14ac:dyDescent="0.2">
      <c r="B15327" s="1168"/>
    </row>
    <row r="15328" spans="2:2" s="221" customFormat="1" ht="12.75" x14ac:dyDescent="0.2">
      <c r="B15328" s="1168"/>
    </row>
    <row r="15329" spans="2:2" s="221" customFormat="1" ht="12.75" x14ac:dyDescent="0.2">
      <c r="B15329" s="1168"/>
    </row>
    <row r="15330" spans="2:2" s="221" customFormat="1" ht="12.75" x14ac:dyDescent="0.2">
      <c r="B15330" s="1168"/>
    </row>
    <row r="15331" spans="2:2" s="221" customFormat="1" ht="12.75" x14ac:dyDescent="0.2">
      <c r="B15331" s="1168"/>
    </row>
    <row r="15332" spans="2:2" s="221" customFormat="1" ht="12.75" x14ac:dyDescent="0.2">
      <c r="B15332" s="1168"/>
    </row>
    <row r="15333" spans="2:2" s="221" customFormat="1" ht="12.75" x14ac:dyDescent="0.2">
      <c r="B15333" s="1168"/>
    </row>
    <row r="15334" spans="2:2" s="221" customFormat="1" ht="12.75" x14ac:dyDescent="0.2">
      <c r="B15334" s="1168"/>
    </row>
    <row r="15335" spans="2:2" s="221" customFormat="1" ht="12.75" x14ac:dyDescent="0.2">
      <c r="B15335" s="1168"/>
    </row>
    <row r="15336" spans="2:2" s="221" customFormat="1" ht="12.75" x14ac:dyDescent="0.2">
      <c r="B15336" s="1168"/>
    </row>
    <row r="15337" spans="2:2" s="221" customFormat="1" ht="12.75" x14ac:dyDescent="0.2">
      <c r="B15337" s="1168"/>
    </row>
    <row r="15338" spans="2:2" s="221" customFormat="1" ht="12.75" x14ac:dyDescent="0.2">
      <c r="B15338" s="1168"/>
    </row>
    <row r="15339" spans="2:2" s="221" customFormat="1" ht="12.75" x14ac:dyDescent="0.2">
      <c r="B15339" s="1168"/>
    </row>
    <row r="15340" spans="2:2" s="221" customFormat="1" ht="12.75" x14ac:dyDescent="0.2">
      <c r="B15340" s="1168"/>
    </row>
    <row r="15341" spans="2:2" s="221" customFormat="1" ht="12.75" x14ac:dyDescent="0.2">
      <c r="B15341" s="1168"/>
    </row>
    <row r="15342" spans="2:2" s="221" customFormat="1" ht="12.75" x14ac:dyDescent="0.2">
      <c r="B15342" s="1168"/>
    </row>
    <row r="15343" spans="2:2" s="221" customFormat="1" ht="12.75" x14ac:dyDescent="0.2">
      <c r="B15343" s="1168"/>
    </row>
    <row r="15344" spans="2:2" s="221" customFormat="1" ht="12.75" x14ac:dyDescent="0.2">
      <c r="B15344" s="1168"/>
    </row>
    <row r="15345" spans="2:2" s="221" customFormat="1" ht="12.75" x14ac:dyDescent="0.2">
      <c r="B15345" s="1168"/>
    </row>
    <row r="15346" spans="2:2" s="221" customFormat="1" ht="12.75" x14ac:dyDescent="0.2">
      <c r="B15346" s="1168"/>
    </row>
    <row r="15347" spans="2:2" s="221" customFormat="1" ht="12.75" x14ac:dyDescent="0.2">
      <c r="B15347" s="1168"/>
    </row>
    <row r="15348" spans="2:2" s="221" customFormat="1" ht="12.75" x14ac:dyDescent="0.2">
      <c r="B15348" s="1168"/>
    </row>
    <row r="15349" spans="2:2" s="221" customFormat="1" ht="12.75" x14ac:dyDescent="0.2">
      <c r="B15349" s="1168"/>
    </row>
    <row r="15350" spans="2:2" s="221" customFormat="1" ht="12.75" x14ac:dyDescent="0.2">
      <c r="B15350" s="1168"/>
    </row>
    <row r="15351" spans="2:2" s="221" customFormat="1" ht="12.75" x14ac:dyDescent="0.2">
      <c r="B15351" s="1168"/>
    </row>
    <row r="15352" spans="2:2" s="221" customFormat="1" ht="12.75" x14ac:dyDescent="0.2">
      <c r="B15352" s="1168"/>
    </row>
    <row r="15353" spans="2:2" s="221" customFormat="1" ht="12.75" x14ac:dyDescent="0.2">
      <c r="B15353" s="1168"/>
    </row>
    <row r="15354" spans="2:2" s="221" customFormat="1" ht="12.75" x14ac:dyDescent="0.2">
      <c r="B15354" s="1168"/>
    </row>
    <row r="15355" spans="2:2" s="221" customFormat="1" ht="12.75" x14ac:dyDescent="0.2">
      <c r="B15355" s="1168"/>
    </row>
    <row r="15356" spans="2:2" s="221" customFormat="1" ht="12.75" x14ac:dyDescent="0.2">
      <c r="B15356" s="1168"/>
    </row>
    <row r="15357" spans="2:2" s="221" customFormat="1" ht="12.75" x14ac:dyDescent="0.2">
      <c r="B15357" s="1168"/>
    </row>
    <row r="15358" spans="2:2" s="221" customFormat="1" ht="12.75" x14ac:dyDescent="0.2">
      <c r="B15358" s="1168"/>
    </row>
    <row r="15359" spans="2:2" s="221" customFormat="1" ht="12.75" x14ac:dyDescent="0.2">
      <c r="B15359" s="1168"/>
    </row>
    <row r="15360" spans="2:2" s="221" customFormat="1" ht="12.75" x14ac:dyDescent="0.2">
      <c r="B15360" s="1168"/>
    </row>
    <row r="15361" spans="2:2" s="221" customFormat="1" ht="12.75" x14ac:dyDescent="0.2">
      <c r="B15361" s="1168"/>
    </row>
    <row r="15362" spans="2:2" s="221" customFormat="1" ht="12.75" x14ac:dyDescent="0.2">
      <c r="B15362" s="1168"/>
    </row>
    <row r="15363" spans="2:2" s="221" customFormat="1" ht="12.75" x14ac:dyDescent="0.2">
      <c r="B15363" s="1168"/>
    </row>
    <row r="15364" spans="2:2" s="221" customFormat="1" ht="12.75" x14ac:dyDescent="0.2">
      <c r="B15364" s="1168"/>
    </row>
    <row r="15365" spans="2:2" s="221" customFormat="1" ht="12.75" x14ac:dyDescent="0.2">
      <c r="B15365" s="1168"/>
    </row>
    <row r="15366" spans="2:2" s="221" customFormat="1" ht="12.75" x14ac:dyDescent="0.2">
      <c r="B15366" s="1168"/>
    </row>
    <row r="15367" spans="2:2" s="221" customFormat="1" ht="12.75" x14ac:dyDescent="0.2">
      <c r="B15367" s="1168"/>
    </row>
    <row r="15368" spans="2:2" s="221" customFormat="1" ht="12.75" x14ac:dyDescent="0.2">
      <c r="B15368" s="1168"/>
    </row>
    <row r="15369" spans="2:2" s="221" customFormat="1" ht="12.75" x14ac:dyDescent="0.2">
      <c r="B15369" s="1168"/>
    </row>
    <row r="15370" spans="2:2" s="221" customFormat="1" ht="12.75" x14ac:dyDescent="0.2">
      <c r="B15370" s="1168"/>
    </row>
    <row r="15371" spans="2:2" s="221" customFormat="1" ht="12.75" x14ac:dyDescent="0.2">
      <c r="B15371" s="1168"/>
    </row>
    <row r="15372" spans="2:2" s="221" customFormat="1" ht="12.75" x14ac:dyDescent="0.2">
      <c r="B15372" s="1168"/>
    </row>
    <row r="15373" spans="2:2" s="221" customFormat="1" ht="12.75" x14ac:dyDescent="0.2">
      <c r="B15373" s="1168"/>
    </row>
    <row r="15374" spans="2:2" s="221" customFormat="1" ht="12.75" x14ac:dyDescent="0.2">
      <c r="B15374" s="1168"/>
    </row>
    <row r="15375" spans="2:2" s="221" customFormat="1" ht="12.75" x14ac:dyDescent="0.2">
      <c r="B15375" s="1168"/>
    </row>
    <row r="15376" spans="2:2" s="221" customFormat="1" ht="12.75" x14ac:dyDescent="0.2">
      <c r="B15376" s="1168"/>
    </row>
    <row r="15377" spans="2:2" s="221" customFormat="1" ht="12.75" x14ac:dyDescent="0.2">
      <c r="B15377" s="1168"/>
    </row>
    <row r="15378" spans="2:2" s="221" customFormat="1" ht="12.75" x14ac:dyDescent="0.2">
      <c r="B15378" s="1168"/>
    </row>
    <row r="15379" spans="2:2" s="221" customFormat="1" ht="12.75" x14ac:dyDescent="0.2">
      <c r="B15379" s="1168"/>
    </row>
    <row r="15380" spans="2:2" s="221" customFormat="1" ht="12.75" x14ac:dyDescent="0.2">
      <c r="B15380" s="1168"/>
    </row>
    <row r="15381" spans="2:2" s="221" customFormat="1" ht="12.75" x14ac:dyDescent="0.2">
      <c r="B15381" s="1168"/>
    </row>
    <row r="15382" spans="2:2" s="221" customFormat="1" ht="12.75" x14ac:dyDescent="0.2">
      <c r="B15382" s="1168"/>
    </row>
    <row r="15383" spans="2:2" s="221" customFormat="1" ht="12.75" x14ac:dyDescent="0.2">
      <c r="B15383" s="1168"/>
    </row>
    <row r="15384" spans="2:2" s="221" customFormat="1" ht="12.75" x14ac:dyDescent="0.2">
      <c r="B15384" s="1168"/>
    </row>
    <row r="15385" spans="2:2" s="221" customFormat="1" ht="12.75" x14ac:dyDescent="0.2">
      <c r="B15385" s="1168"/>
    </row>
    <row r="15386" spans="2:2" s="221" customFormat="1" ht="12.75" x14ac:dyDescent="0.2">
      <c r="B15386" s="1168"/>
    </row>
    <row r="15387" spans="2:2" s="221" customFormat="1" ht="12.75" x14ac:dyDescent="0.2">
      <c r="B15387" s="1168"/>
    </row>
    <row r="15388" spans="2:2" s="221" customFormat="1" ht="12.75" x14ac:dyDescent="0.2">
      <c r="B15388" s="1168"/>
    </row>
    <row r="15389" spans="2:2" s="221" customFormat="1" ht="12.75" x14ac:dyDescent="0.2">
      <c r="B15389" s="1168"/>
    </row>
    <row r="15390" spans="2:2" s="221" customFormat="1" ht="12.75" x14ac:dyDescent="0.2">
      <c r="B15390" s="1168"/>
    </row>
    <row r="15391" spans="2:2" s="221" customFormat="1" ht="12.75" x14ac:dyDescent="0.2">
      <c r="B15391" s="1168"/>
    </row>
    <row r="15392" spans="2:2" s="221" customFormat="1" ht="12.75" x14ac:dyDescent="0.2">
      <c r="B15392" s="1168"/>
    </row>
    <row r="15393" spans="2:2" s="221" customFormat="1" ht="12.75" x14ac:dyDescent="0.2">
      <c r="B15393" s="1168"/>
    </row>
    <row r="15394" spans="2:2" s="221" customFormat="1" ht="12.75" x14ac:dyDescent="0.2">
      <c r="B15394" s="1168"/>
    </row>
    <row r="15395" spans="2:2" s="221" customFormat="1" ht="12.75" x14ac:dyDescent="0.2">
      <c r="B15395" s="1168"/>
    </row>
    <row r="15396" spans="2:2" s="221" customFormat="1" ht="12.75" x14ac:dyDescent="0.2">
      <c r="B15396" s="1168"/>
    </row>
    <row r="15397" spans="2:2" s="221" customFormat="1" ht="12.75" x14ac:dyDescent="0.2">
      <c r="B15397" s="1168"/>
    </row>
    <row r="15398" spans="2:2" s="221" customFormat="1" ht="12.75" x14ac:dyDescent="0.2">
      <c r="B15398" s="1168"/>
    </row>
    <row r="15399" spans="2:2" s="221" customFormat="1" ht="12.75" x14ac:dyDescent="0.2">
      <c r="B15399" s="1168"/>
    </row>
    <row r="15400" spans="2:2" s="221" customFormat="1" ht="12.75" x14ac:dyDescent="0.2">
      <c r="B15400" s="1168"/>
    </row>
    <row r="15401" spans="2:2" s="221" customFormat="1" ht="12.75" x14ac:dyDescent="0.2">
      <c r="B15401" s="1168"/>
    </row>
    <row r="15402" spans="2:2" s="221" customFormat="1" ht="12.75" x14ac:dyDescent="0.2">
      <c r="B15402" s="1168"/>
    </row>
    <row r="15403" spans="2:2" s="221" customFormat="1" ht="12.75" x14ac:dyDescent="0.2">
      <c r="B15403" s="1168"/>
    </row>
    <row r="15404" spans="2:2" s="221" customFormat="1" ht="12.75" x14ac:dyDescent="0.2">
      <c r="B15404" s="1168"/>
    </row>
    <row r="15405" spans="2:2" s="221" customFormat="1" ht="12.75" x14ac:dyDescent="0.2">
      <c r="B15405" s="1168"/>
    </row>
    <row r="15406" spans="2:2" s="221" customFormat="1" ht="12.75" x14ac:dyDescent="0.2">
      <c r="B15406" s="1168"/>
    </row>
    <row r="15407" spans="2:2" s="221" customFormat="1" ht="12.75" x14ac:dyDescent="0.2">
      <c r="B15407" s="1168"/>
    </row>
    <row r="15408" spans="2:2" s="221" customFormat="1" ht="12.75" x14ac:dyDescent="0.2">
      <c r="B15408" s="1168"/>
    </row>
    <row r="15409" spans="2:2" s="221" customFormat="1" ht="12.75" x14ac:dyDescent="0.2">
      <c r="B15409" s="1168"/>
    </row>
    <row r="15410" spans="2:2" s="221" customFormat="1" ht="12.75" x14ac:dyDescent="0.2">
      <c r="B15410" s="1168"/>
    </row>
    <row r="15411" spans="2:2" s="221" customFormat="1" ht="12.75" x14ac:dyDescent="0.2">
      <c r="B15411" s="1168"/>
    </row>
    <row r="15412" spans="2:2" s="221" customFormat="1" ht="12.75" x14ac:dyDescent="0.2">
      <c r="B15412" s="1168"/>
    </row>
    <row r="15413" spans="2:2" s="221" customFormat="1" ht="12.75" x14ac:dyDescent="0.2">
      <c r="B15413" s="1168"/>
    </row>
    <row r="15414" spans="2:2" s="221" customFormat="1" ht="12.75" x14ac:dyDescent="0.2">
      <c r="B15414" s="1168"/>
    </row>
    <row r="15415" spans="2:2" s="221" customFormat="1" ht="12.75" x14ac:dyDescent="0.2">
      <c r="B15415" s="1168"/>
    </row>
    <row r="15416" spans="2:2" s="221" customFormat="1" ht="12.75" x14ac:dyDescent="0.2">
      <c r="B15416" s="1168"/>
    </row>
    <row r="15417" spans="2:2" s="221" customFormat="1" ht="12.75" x14ac:dyDescent="0.2">
      <c r="B15417" s="1168"/>
    </row>
    <row r="15418" spans="2:2" s="221" customFormat="1" ht="12.75" x14ac:dyDescent="0.2">
      <c r="B15418" s="1168"/>
    </row>
    <row r="15419" spans="2:2" s="221" customFormat="1" ht="12.75" x14ac:dyDescent="0.2">
      <c r="B15419" s="1168"/>
    </row>
    <row r="15420" spans="2:2" s="221" customFormat="1" ht="12.75" x14ac:dyDescent="0.2">
      <c r="B15420" s="1168"/>
    </row>
    <row r="15421" spans="2:2" s="221" customFormat="1" ht="12.75" x14ac:dyDescent="0.2">
      <c r="B15421" s="1168"/>
    </row>
    <row r="15422" spans="2:2" s="221" customFormat="1" ht="12.75" x14ac:dyDescent="0.2">
      <c r="B15422" s="1168"/>
    </row>
    <row r="15423" spans="2:2" s="221" customFormat="1" ht="12.75" x14ac:dyDescent="0.2">
      <c r="B15423" s="1168"/>
    </row>
    <row r="15424" spans="2:2" s="221" customFormat="1" ht="12.75" x14ac:dyDescent="0.2">
      <c r="B15424" s="1168"/>
    </row>
    <row r="15425" spans="2:2" s="221" customFormat="1" ht="12.75" x14ac:dyDescent="0.2">
      <c r="B15425" s="1168"/>
    </row>
    <row r="15426" spans="2:2" s="221" customFormat="1" ht="12.75" x14ac:dyDescent="0.2">
      <c r="B15426" s="1168"/>
    </row>
    <row r="15427" spans="2:2" s="221" customFormat="1" ht="12.75" x14ac:dyDescent="0.2">
      <c r="B15427" s="1168"/>
    </row>
    <row r="15428" spans="2:2" s="221" customFormat="1" ht="12.75" x14ac:dyDescent="0.2">
      <c r="B15428" s="1168"/>
    </row>
    <row r="15429" spans="2:2" s="221" customFormat="1" ht="12.75" x14ac:dyDescent="0.2">
      <c r="B15429" s="1168"/>
    </row>
    <row r="15430" spans="2:2" s="221" customFormat="1" ht="12.75" x14ac:dyDescent="0.2">
      <c r="B15430" s="1168"/>
    </row>
    <row r="15431" spans="2:2" s="221" customFormat="1" ht="12.75" x14ac:dyDescent="0.2">
      <c r="B15431" s="1168"/>
    </row>
    <row r="15432" spans="2:2" s="221" customFormat="1" ht="12.75" x14ac:dyDescent="0.2">
      <c r="B15432" s="1168"/>
    </row>
    <row r="15433" spans="2:2" s="221" customFormat="1" ht="12.75" x14ac:dyDescent="0.2">
      <c r="B15433" s="1168"/>
    </row>
    <row r="15434" spans="2:2" s="221" customFormat="1" ht="12.75" x14ac:dyDescent="0.2">
      <c r="B15434" s="1168"/>
    </row>
    <row r="15435" spans="2:2" s="221" customFormat="1" ht="12.75" x14ac:dyDescent="0.2">
      <c r="B15435" s="1168"/>
    </row>
    <row r="15436" spans="2:2" s="221" customFormat="1" ht="12.75" x14ac:dyDescent="0.2">
      <c r="B15436" s="1168"/>
    </row>
    <row r="15437" spans="2:2" s="221" customFormat="1" ht="12.75" x14ac:dyDescent="0.2">
      <c r="B15437" s="1168"/>
    </row>
    <row r="15438" spans="2:2" s="221" customFormat="1" ht="12.75" x14ac:dyDescent="0.2">
      <c r="B15438" s="1168"/>
    </row>
    <row r="15439" spans="2:2" s="221" customFormat="1" ht="12.75" x14ac:dyDescent="0.2">
      <c r="B15439" s="1168"/>
    </row>
    <row r="15440" spans="2:2" s="221" customFormat="1" ht="12.75" x14ac:dyDescent="0.2">
      <c r="B15440" s="1168"/>
    </row>
    <row r="15441" spans="2:2" s="221" customFormat="1" ht="12.75" x14ac:dyDescent="0.2">
      <c r="B15441" s="1168"/>
    </row>
    <row r="15442" spans="2:2" s="221" customFormat="1" ht="12.75" x14ac:dyDescent="0.2">
      <c r="B15442" s="1168"/>
    </row>
    <row r="15443" spans="2:2" s="221" customFormat="1" ht="12.75" x14ac:dyDescent="0.2">
      <c r="B15443" s="1168"/>
    </row>
    <row r="15444" spans="2:2" s="221" customFormat="1" ht="12.75" x14ac:dyDescent="0.2">
      <c r="B15444" s="1168"/>
    </row>
    <row r="15445" spans="2:2" s="221" customFormat="1" ht="12.75" x14ac:dyDescent="0.2">
      <c r="B15445" s="1168"/>
    </row>
    <row r="15446" spans="2:2" s="221" customFormat="1" ht="12.75" x14ac:dyDescent="0.2">
      <c r="B15446" s="1168"/>
    </row>
    <row r="15447" spans="2:2" s="221" customFormat="1" ht="12.75" x14ac:dyDescent="0.2">
      <c r="B15447" s="1168"/>
    </row>
    <row r="15448" spans="2:2" s="221" customFormat="1" ht="12.75" x14ac:dyDescent="0.2">
      <c r="B15448" s="1168"/>
    </row>
    <row r="15449" spans="2:2" s="221" customFormat="1" ht="12.75" x14ac:dyDescent="0.2">
      <c r="B15449" s="1168"/>
    </row>
    <row r="15450" spans="2:2" s="221" customFormat="1" ht="12.75" x14ac:dyDescent="0.2">
      <c r="B15450" s="1168"/>
    </row>
    <row r="15451" spans="2:2" s="221" customFormat="1" ht="12.75" x14ac:dyDescent="0.2">
      <c r="B15451" s="1168"/>
    </row>
    <row r="15452" spans="2:2" s="221" customFormat="1" ht="12.75" x14ac:dyDescent="0.2">
      <c r="B15452" s="1168"/>
    </row>
    <row r="15453" spans="2:2" s="221" customFormat="1" ht="12.75" x14ac:dyDescent="0.2">
      <c r="B15453" s="1168"/>
    </row>
    <row r="15454" spans="2:2" s="221" customFormat="1" ht="12.75" x14ac:dyDescent="0.2">
      <c r="B15454" s="1168"/>
    </row>
    <row r="15455" spans="2:2" s="221" customFormat="1" ht="12.75" x14ac:dyDescent="0.2">
      <c r="B15455" s="1168"/>
    </row>
    <row r="15456" spans="2:2" s="221" customFormat="1" ht="12.75" x14ac:dyDescent="0.2">
      <c r="B15456" s="1168"/>
    </row>
    <row r="15457" spans="2:2" s="221" customFormat="1" ht="12.75" x14ac:dyDescent="0.2">
      <c r="B15457" s="1168"/>
    </row>
    <row r="15458" spans="2:2" s="221" customFormat="1" ht="12.75" x14ac:dyDescent="0.2">
      <c r="B15458" s="1168"/>
    </row>
    <row r="15459" spans="2:2" s="221" customFormat="1" ht="12.75" x14ac:dyDescent="0.2">
      <c r="B15459" s="1168"/>
    </row>
    <row r="15460" spans="2:2" s="221" customFormat="1" ht="12.75" x14ac:dyDescent="0.2">
      <c r="B15460" s="1168"/>
    </row>
    <row r="15461" spans="2:2" s="221" customFormat="1" ht="12.75" x14ac:dyDescent="0.2">
      <c r="B15461" s="1168"/>
    </row>
    <row r="15462" spans="2:2" s="221" customFormat="1" ht="12.75" x14ac:dyDescent="0.2">
      <c r="B15462" s="1168"/>
    </row>
    <row r="15463" spans="2:2" s="221" customFormat="1" ht="12.75" x14ac:dyDescent="0.2">
      <c r="B15463" s="1168"/>
    </row>
    <row r="15464" spans="2:2" s="221" customFormat="1" ht="12.75" x14ac:dyDescent="0.2">
      <c r="B15464" s="1168"/>
    </row>
    <row r="15465" spans="2:2" s="221" customFormat="1" ht="12.75" x14ac:dyDescent="0.2">
      <c r="B15465" s="1168"/>
    </row>
    <row r="15466" spans="2:2" s="221" customFormat="1" ht="12.75" x14ac:dyDescent="0.2">
      <c r="B15466" s="1168"/>
    </row>
    <row r="15467" spans="2:2" s="221" customFormat="1" ht="12.75" x14ac:dyDescent="0.2">
      <c r="B15467" s="1168"/>
    </row>
    <row r="15468" spans="2:2" s="221" customFormat="1" ht="12.75" x14ac:dyDescent="0.2">
      <c r="B15468" s="1168"/>
    </row>
    <row r="15469" spans="2:2" s="221" customFormat="1" ht="12.75" x14ac:dyDescent="0.2">
      <c r="B15469" s="1168"/>
    </row>
    <row r="15470" spans="2:2" s="221" customFormat="1" ht="12.75" x14ac:dyDescent="0.2">
      <c r="B15470" s="1168"/>
    </row>
    <row r="15471" spans="2:2" s="221" customFormat="1" ht="12.75" x14ac:dyDescent="0.2">
      <c r="B15471" s="1168"/>
    </row>
    <row r="15472" spans="2:2" s="221" customFormat="1" ht="12.75" x14ac:dyDescent="0.2">
      <c r="B15472" s="1168"/>
    </row>
    <row r="15473" spans="2:2" s="221" customFormat="1" ht="12.75" x14ac:dyDescent="0.2">
      <c r="B15473" s="1168"/>
    </row>
    <row r="15474" spans="2:2" s="221" customFormat="1" ht="12.75" x14ac:dyDescent="0.2">
      <c r="B15474" s="1168"/>
    </row>
    <row r="15475" spans="2:2" s="221" customFormat="1" ht="12.75" x14ac:dyDescent="0.2">
      <c r="B15475" s="1168"/>
    </row>
    <row r="15476" spans="2:2" s="221" customFormat="1" ht="12.75" x14ac:dyDescent="0.2">
      <c r="B15476" s="1168"/>
    </row>
    <row r="15477" spans="2:2" s="221" customFormat="1" ht="12.75" x14ac:dyDescent="0.2">
      <c r="B15477" s="1168"/>
    </row>
    <row r="15478" spans="2:2" s="221" customFormat="1" ht="12.75" x14ac:dyDescent="0.2">
      <c r="B15478" s="1168"/>
    </row>
    <row r="15479" spans="2:2" s="221" customFormat="1" ht="12.75" x14ac:dyDescent="0.2">
      <c r="B15479" s="1168"/>
    </row>
    <row r="15480" spans="2:2" s="221" customFormat="1" ht="12.75" x14ac:dyDescent="0.2">
      <c r="B15480" s="1168"/>
    </row>
    <row r="15481" spans="2:2" s="221" customFormat="1" ht="12.75" x14ac:dyDescent="0.2">
      <c r="B15481" s="1168"/>
    </row>
    <row r="15482" spans="2:2" s="221" customFormat="1" ht="12.75" x14ac:dyDescent="0.2">
      <c r="B15482" s="1168"/>
    </row>
    <row r="15483" spans="2:2" s="221" customFormat="1" ht="12.75" x14ac:dyDescent="0.2">
      <c r="B15483" s="1168"/>
    </row>
    <row r="15484" spans="2:2" s="221" customFormat="1" ht="12.75" x14ac:dyDescent="0.2">
      <c r="B15484" s="1168"/>
    </row>
    <row r="15485" spans="2:2" s="221" customFormat="1" ht="12.75" x14ac:dyDescent="0.2">
      <c r="B15485" s="1168"/>
    </row>
    <row r="15486" spans="2:2" s="221" customFormat="1" ht="12.75" x14ac:dyDescent="0.2">
      <c r="B15486" s="1168"/>
    </row>
    <row r="15487" spans="2:2" s="221" customFormat="1" ht="12.75" x14ac:dyDescent="0.2">
      <c r="B15487" s="1168"/>
    </row>
    <row r="15488" spans="2:2" s="221" customFormat="1" ht="12.75" x14ac:dyDescent="0.2">
      <c r="B15488" s="1168"/>
    </row>
    <row r="15489" spans="2:2" s="221" customFormat="1" ht="12.75" x14ac:dyDescent="0.2">
      <c r="B15489" s="1168"/>
    </row>
    <row r="15490" spans="2:2" s="221" customFormat="1" ht="12.75" x14ac:dyDescent="0.2">
      <c r="B15490" s="1168"/>
    </row>
    <row r="15491" spans="2:2" s="221" customFormat="1" ht="12.75" x14ac:dyDescent="0.2">
      <c r="B15491" s="1168"/>
    </row>
    <row r="15492" spans="2:2" s="221" customFormat="1" ht="12.75" x14ac:dyDescent="0.2">
      <c r="B15492" s="1168"/>
    </row>
    <row r="15493" spans="2:2" s="221" customFormat="1" ht="12.75" x14ac:dyDescent="0.2">
      <c r="B15493" s="1168"/>
    </row>
    <row r="15494" spans="2:2" s="221" customFormat="1" ht="12.75" x14ac:dyDescent="0.2">
      <c r="B15494" s="1168"/>
    </row>
    <row r="15495" spans="2:2" s="221" customFormat="1" ht="12.75" x14ac:dyDescent="0.2">
      <c r="B15495" s="1168"/>
    </row>
    <row r="15496" spans="2:2" s="221" customFormat="1" ht="12.75" x14ac:dyDescent="0.2">
      <c r="B15496" s="1168"/>
    </row>
    <row r="15497" spans="2:2" s="221" customFormat="1" ht="12.75" x14ac:dyDescent="0.2">
      <c r="B15497" s="1168"/>
    </row>
    <row r="15498" spans="2:2" s="221" customFormat="1" ht="12.75" x14ac:dyDescent="0.2">
      <c r="B15498" s="1168"/>
    </row>
    <row r="15499" spans="2:2" s="221" customFormat="1" ht="12.75" x14ac:dyDescent="0.2">
      <c r="B15499" s="1168"/>
    </row>
    <row r="15500" spans="2:2" s="221" customFormat="1" ht="12.75" x14ac:dyDescent="0.2">
      <c r="B15500" s="1168"/>
    </row>
    <row r="15501" spans="2:2" s="221" customFormat="1" ht="12.75" x14ac:dyDescent="0.2">
      <c r="B15501" s="1168"/>
    </row>
    <row r="15502" spans="2:2" s="221" customFormat="1" ht="12.75" x14ac:dyDescent="0.2">
      <c r="B15502" s="1168"/>
    </row>
    <row r="15503" spans="2:2" s="221" customFormat="1" ht="12.75" x14ac:dyDescent="0.2">
      <c r="B15503" s="1168"/>
    </row>
    <row r="15504" spans="2:2" s="221" customFormat="1" ht="12.75" x14ac:dyDescent="0.2">
      <c r="B15504" s="1168"/>
    </row>
    <row r="15505" spans="2:2" s="221" customFormat="1" ht="12.75" x14ac:dyDescent="0.2">
      <c r="B15505" s="1168"/>
    </row>
    <row r="15506" spans="2:2" s="221" customFormat="1" ht="12.75" x14ac:dyDescent="0.2">
      <c r="B15506" s="1168"/>
    </row>
    <row r="15507" spans="2:2" s="221" customFormat="1" ht="12.75" x14ac:dyDescent="0.2">
      <c r="B15507" s="1168"/>
    </row>
    <row r="15508" spans="2:2" s="221" customFormat="1" ht="12.75" x14ac:dyDescent="0.2">
      <c r="B15508" s="1168"/>
    </row>
    <row r="15509" spans="2:2" s="221" customFormat="1" ht="12.75" x14ac:dyDescent="0.2">
      <c r="B15509" s="1168"/>
    </row>
    <row r="15510" spans="2:2" s="221" customFormat="1" ht="12.75" x14ac:dyDescent="0.2">
      <c r="B15510" s="1168"/>
    </row>
    <row r="15511" spans="2:2" s="221" customFormat="1" ht="12.75" x14ac:dyDescent="0.2">
      <c r="B15511" s="1168"/>
    </row>
    <row r="15512" spans="2:2" s="221" customFormat="1" ht="12.75" x14ac:dyDescent="0.2">
      <c r="B15512" s="1168"/>
    </row>
    <row r="15513" spans="2:2" s="221" customFormat="1" ht="12.75" x14ac:dyDescent="0.2">
      <c r="B15513" s="1168"/>
    </row>
    <row r="15514" spans="2:2" s="221" customFormat="1" ht="12.75" x14ac:dyDescent="0.2">
      <c r="B15514" s="1168"/>
    </row>
    <row r="15515" spans="2:2" s="221" customFormat="1" ht="12.75" x14ac:dyDescent="0.2">
      <c r="B15515" s="1168"/>
    </row>
    <row r="15516" spans="2:2" s="221" customFormat="1" ht="12.75" x14ac:dyDescent="0.2">
      <c r="B15516" s="1168"/>
    </row>
    <row r="15517" spans="2:2" s="221" customFormat="1" ht="12.75" x14ac:dyDescent="0.2">
      <c r="B15517" s="1168"/>
    </row>
    <row r="15518" spans="2:2" s="221" customFormat="1" ht="12.75" x14ac:dyDescent="0.2">
      <c r="B15518" s="1168"/>
    </row>
    <row r="15519" spans="2:2" s="221" customFormat="1" ht="12.75" x14ac:dyDescent="0.2">
      <c r="B15519" s="1168"/>
    </row>
    <row r="15520" spans="2:2" s="221" customFormat="1" ht="12.75" x14ac:dyDescent="0.2">
      <c r="B15520" s="1168"/>
    </row>
    <row r="15521" spans="2:2" s="221" customFormat="1" ht="12.75" x14ac:dyDescent="0.2">
      <c r="B15521" s="1168"/>
    </row>
    <row r="15522" spans="2:2" s="221" customFormat="1" ht="12.75" x14ac:dyDescent="0.2">
      <c r="B15522" s="1168"/>
    </row>
    <row r="15523" spans="2:2" s="221" customFormat="1" ht="12.75" x14ac:dyDescent="0.2">
      <c r="B15523" s="1168"/>
    </row>
    <row r="15524" spans="2:2" s="221" customFormat="1" ht="12.75" x14ac:dyDescent="0.2">
      <c r="B15524" s="1168"/>
    </row>
    <row r="15525" spans="2:2" s="221" customFormat="1" ht="12.75" x14ac:dyDescent="0.2">
      <c r="B15525" s="1168"/>
    </row>
    <row r="15526" spans="2:2" s="221" customFormat="1" ht="12.75" x14ac:dyDescent="0.2">
      <c r="B15526" s="1168"/>
    </row>
    <row r="15527" spans="2:2" s="221" customFormat="1" ht="12.75" x14ac:dyDescent="0.2">
      <c r="B15527" s="1168"/>
    </row>
    <row r="15528" spans="2:2" s="221" customFormat="1" ht="12.75" x14ac:dyDescent="0.2">
      <c r="B15528" s="1168"/>
    </row>
    <row r="15529" spans="2:2" s="221" customFormat="1" ht="12.75" x14ac:dyDescent="0.2">
      <c r="B15529" s="1168"/>
    </row>
    <row r="15530" spans="2:2" s="221" customFormat="1" ht="12.75" x14ac:dyDescent="0.2">
      <c r="B15530" s="1168"/>
    </row>
    <row r="15531" spans="2:2" s="221" customFormat="1" ht="12.75" x14ac:dyDescent="0.2">
      <c r="B15531" s="1168"/>
    </row>
    <row r="15532" spans="2:2" s="221" customFormat="1" ht="12.75" x14ac:dyDescent="0.2">
      <c r="B15532" s="1168"/>
    </row>
    <row r="15533" spans="2:2" s="221" customFormat="1" ht="12.75" x14ac:dyDescent="0.2">
      <c r="B15533" s="1168"/>
    </row>
    <row r="15534" spans="2:2" s="221" customFormat="1" ht="12.75" x14ac:dyDescent="0.2">
      <c r="B15534" s="1168"/>
    </row>
    <row r="15535" spans="2:2" s="221" customFormat="1" ht="12.75" x14ac:dyDescent="0.2">
      <c r="B15535" s="1168"/>
    </row>
    <row r="15536" spans="2:2" s="221" customFormat="1" ht="12.75" x14ac:dyDescent="0.2">
      <c r="B15536" s="1168"/>
    </row>
    <row r="15537" spans="2:2" s="221" customFormat="1" ht="12.75" x14ac:dyDescent="0.2">
      <c r="B15537" s="1168"/>
    </row>
    <row r="15538" spans="2:2" s="221" customFormat="1" ht="12.75" x14ac:dyDescent="0.2">
      <c r="B15538" s="1168"/>
    </row>
    <row r="15539" spans="2:2" s="221" customFormat="1" ht="12.75" x14ac:dyDescent="0.2">
      <c r="B15539" s="1168"/>
    </row>
    <row r="15540" spans="2:2" s="221" customFormat="1" ht="12.75" x14ac:dyDescent="0.2">
      <c r="B15540" s="1168"/>
    </row>
    <row r="15541" spans="2:2" s="221" customFormat="1" ht="12.75" x14ac:dyDescent="0.2">
      <c r="B15541" s="1168"/>
    </row>
    <row r="15542" spans="2:2" s="221" customFormat="1" ht="12.75" x14ac:dyDescent="0.2">
      <c r="B15542" s="1168"/>
    </row>
    <row r="15543" spans="2:2" s="221" customFormat="1" ht="12.75" x14ac:dyDescent="0.2">
      <c r="B15543" s="1168"/>
    </row>
    <row r="15544" spans="2:2" s="221" customFormat="1" ht="12.75" x14ac:dyDescent="0.2">
      <c r="B15544" s="1168"/>
    </row>
    <row r="15545" spans="2:2" s="221" customFormat="1" ht="12.75" x14ac:dyDescent="0.2">
      <c r="B15545" s="1168"/>
    </row>
    <row r="15546" spans="2:2" s="221" customFormat="1" ht="12.75" x14ac:dyDescent="0.2">
      <c r="B15546" s="1168"/>
    </row>
    <row r="15547" spans="2:2" s="221" customFormat="1" ht="12.75" x14ac:dyDescent="0.2">
      <c r="B15547" s="1168"/>
    </row>
    <row r="15548" spans="2:2" s="221" customFormat="1" ht="12.75" x14ac:dyDescent="0.2">
      <c r="B15548" s="1168"/>
    </row>
    <row r="15549" spans="2:2" s="221" customFormat="1" ht="12.75" x14ac:dyDescent="0.2">
      <c r="B15549" s="1168"/>
    </row>
    <row r="15550" spans="2:2" s="221" customFormat="1" ht="12.75" x14ac:dyDescent="0.2">
      <c r="B15550" s="1168"/>
    </row>
    <row r="15551" spans="2:2" s="221" customFormat="1" ht="12.75" x14ac:dyDescent="0.2">
      <c r="B15551" s="1168"/>
    </row>
    <row r="15552" spans="2:2" s="221" customFormat="1" ht="12.75" x14ac:dyDescent="0.2">
      <c r="B15552" s="1168"/>
    </row>
    <row r="15553" spans="2:2" s="221" customFormat="1" ht="12.75" x14ac:dyDescent="0.2">
      <c r="B15553" s="1168"/>
    </row>
    <row r="15554" spans="2:2" s="221" customFormat="1" ht="12.75" x14ac:dyDescent="0.2">
      <c r="B15554" s="1168"/>
    </row>
    <row r="15555" spans="2:2" s="221" customFormat="1" ht="12.75" x14ac:dyDescent="0.2">
      <c r="B15555" s="1168"/>
    </row>
    <row r="15556" spans="2:2" s="221" customFormat="1" ht="12.75" x14ac:dyDescent="0.2">
      <c r="B15556" s="1168"/>
    </row>
    <row r="15557" spans="2:2" s="221" customFormat="1" ht="12.75" x14ac:dyDescent="0.2">
      <c r="B15557" s="1168"/>
    </row>
    <row r="15558" spans="2:2" s="221" customFormat="1" ht="12.75" x14ac:dyDescent="0.2">
      <c r="B15558" s="1168"/>
    </row>
    <row r="15559" spans="2:2" s="221" customFormat="1" ht="12.75" x14ac:dyDescent="0.2">
      <c r="B15559" s="1168"/>
    </row>
    <row r="15560" spans="2:2" s="221" customFormat="1" ht="12.75" x14ac:dyDescent="0.2">
      <c r="B15560" s="1168"/>
    </row>
    <row r="15561" spans="2:2" s="221" customFormat="1" ht="12.75" x14ac:dyDescent="0.2">
      <c r="B15561" s="1168"/>
    </row>
    <row r="15562" spans="2:2" s="221" customFormat="1" ht="12.75" x14ac:dyDescent="0.2">
      <c r="B15562" s="1168"/>
    </row>
    <row r="15563" spans="2:2" s="221" customFormat="1" ht="12.75" x14ac:dyDescent="0.2">
      <c r="B15563" s="1168"/>
    </row>
    <row r="15564" spans="2:2" s="221" customFormat="1" ht="12.75" x14ac:dyDescent="0.2">
      <c r="B15564" s="1168"/>
    </row>
    <row r="15565" spans="2:2" s="221" customFormat="1" ht="12.75" x14ac:dyDescent="0.2">
      <c r="B15565" s="1168"/>
    </row>
    <row r="15566" spans="2:2" s="221" customFormat="1" ht="12.75" x14ac:dyDescent="0.2">
      <c r="B15566" s="1168"/>
    </row>
    <row r="15567" spans="2:2" s="221" customFormat="1" ht="12.75" x14ac:dyDescent="0.2">
      <c r="B15567" s="1168"/>
    </row>
    <row r="15568" spans="2:2" s="221" customFormat="1" ht="12.75" x14ac:dyDescent="0.2">
      <c r="B15568" s="1168"/>
    </row>
    <row r="15569" spans="2:2" s="221" customFormat="1" ht="12.75" x14ac:dyDescent="0.2">
      <c r="B15569" s="1168"/>
    </row>
    <row r="15570" spans="2:2" s="221" customFormat="1" ht="12.75" x14ac:dyDescent="0.2">
      <c r="B15570" s="1168"/>
    </row>
    <row r="15571" spans="2:2" s="221" customFormat="1" ht="12.75" x14ac:dyDescent="0.2">
      <c r="B15571" s="1168"/>
    </row>
    <row r="15572" spans="2:2" s="221" customFormat="1" ht="12.75" x14ac:dyDescent="0.2">
      <c r="B15572" s="1168"/>
    </row>
    <row r="15573" spans="2:2" s="221" customFormat="1" ht="12.75" x14ac:dyDescent="0.2">
      <c r="B15573" s="1168"/>
    </row>
    <row r="15574" spans="2:2" s="221" customFormat="1" ht="12.75" x14ac:dyDescent="0.2">
      <c r="B15574" s="1168"/>
    </row>
    <row r="15575" spans="2:2" s="221" customFormat="1" ht="12.75" x14ac:dyDescent="0.2">
      <c r="B15575" s="1168"/>
    </row>
    <row r="15576" spans="2:2" s="221" customFormat="1" ht="12.75" x14ac:dyDescent="0.2">
      <c r="B15576" s="1168"/>
    </row>
    <row r="15577" spans="2:2" s="221" customFormat="1" ht="12.75" x14ac:dyDescent="0.2">
      <c r="B15577" s="1168"/>
    </row>
    <row r="15578" spans="2:2" s="221" customFormat="1" ht="12.75" x14ac:dyDescent="0.2">
      <c r="B15578" s="1168"/>
    </row>
    <row r="15579" spans="2:2" s="221" customFormat="1" ht="12.75" x14ac:dyDescent="0.2">
      <c r="B15579" s="1168"/>
    </row>
    <row r="15580" spans="2:2" s="221" customFormat="1" ht="12.75" x14ac:dyDescent="0.2">
      <c r="B15580" s="1168"/>
    </row>
    <row r="15581" spans="2:2" s="221" customFormat="1" ht="12.75" x14ac:dyDescent="0.2">
      <c r="B15581" s="1168"/>
    </row>
    <row r="15582" spans="2:2" s="221" customFormat="1" ht="12.75" x14ac:dyDescent="0.2">
      <c r="B15582" s="1168"/>
    </row>
    <row r="15583" spans="2:2" s="221" customFormat="1" ht="12.75" x14ac:dyDescent="0.2">
      <c r="B15583" s="1168"/>
    </row>
    <row r="15584" spans="2:2" s="221" customFormat="1" ht="12.75" x14ac:dyDescent="0.2">
      <c r="B15584" s="1168"/>
    </row>
    <row r="15585" spans="2:2" s="221" customFormat="1" ht="12.75" x14ac:dyDescent="0.2">
      <c r="B15585" s="1168"/>
    </row>
    <row r="15586" spans="2:2" s="221" customFormat="1" ht="12.75" x14ac:dyDescent="0.2">
      <c r="B15586" s="1168"/>
    </row>
    <row r="15587" spans="2:2" s="221" customFormat="1" ht="12.75" x14ac:dyDescent="0.2">
      <c r="B15587" s="1168"/>
    </row>
    <row r="15588" spans="2:2" s="221" customFormat="1" ht="12.75" x14ac:dyDescent="0.2">
      <c r="B15588" s="1168"/>
    </row>
    <row r="15589" spans="2:2" s="221" customFormat="1" ht="12.75" x14ac:dyDescent="0.2">
      <c r="B15589" s="1168"/>
    </row>
    <row r="15590" spans="2:2" s="221" customFormat="1" ht="12.75" x14ac:dyDescent="0.2">
      <c r="B15590" s="1168"/>
    </row>
    <row r="15591" spans="2:2" s="221" customFormat="1" ht="12.75" x14ac:dyDescent="0.2">
      <c r="B15591" s="1168"/>
    </row>
    <row r="15592" spans="2:2" s="221" customFormat="1" ht="12.75" x14ac:dyDescent="0.2">
      <c r="B15592" s="1168"/>
    </row>
    <row r="15593" spans="2:2" s="221" customFormat="1" ht="12.75" x14ac:dyDescent="0.2">
      <c r="B15593" s="1168"/>
    </row>
    <row r="15594" spans="2:2" s="221" customFormat="1" ht="12.75" x14ac:dyDescent="0.2">
      <c r="B15594" s="1168"/>
    </row>
    <row r="15595" spans="2:2" s="221" customFormat="1" ht="12.75" x14ac:dyDescent="0.2">
      <c r="B15595" s="1168"/>
    </row>
    <row r="15596" spans="2:2" s="221" customFormat="1" ht="12.75" x14ac:dyDescent="0.2">
      <c r="B15596" s="1168"/>
    </row>
    <row r="15597" spans="2:2" s="221" customFormat="1" ht="12.75" x14ac:dyDescent="0.2">
      <c r="B15597" s="1168"/>
    </row>
    <row r="15598" spans="2:2" s="221" customFormat="1" ht="12.75" x14ac:dyDescent="0.2">
      <c r="B15598" s="1168"/>
    </row>
    <row r="15599" spans="2:2" s="221" customFormat="1" ht="12.75" x14ac:dyDescent="0.2">
      <c r="B15599" s="1168"/>
    </row>
    <row r="15600" spans="2:2" s="221" customFormat="1" ht="12.75" x14ac:dyDescent="0.2">
      <c r="B15600" s="1168"/>
    </row>
    <row r="15601" spans="2:2" s="221" customFormat="1" ht="12.75" x14ac:dyDescent="0.2">
      <c r="B15601" s="1168"/>
    </row>
    <row r="15602" spans="2:2" s="221" customFormat="1" ht="12.75" x14ac:dyDescent="0.2">
      <c r="B15602" s="1168"/>
    </row>
    <row r="15603" spans="2:2" s="221" customFormat="1" ht="12.75" x14ac:dyDescent="0.2">
      <c r="B15603" s="1168"/>
    </row>
    <row r="15604" spans="2:2" s="221" customFormat="1" ht="12.75" x14ac:dyDescent="0.2">
      <c r="B15604" s="1168"/>
    </row>
    <row r="15605" spans="2:2" s="221" customFormat="1" ht="12.75" x14ac:dyDescent="0.2">
      <c r="B15605" s="1168"/>
    </row>
    <row r="15606" spans="2:2" s="221" customFormat="1" ht="12.75" x14ac:dyDescent="0.2">
      <c r="B15606" s="1168"/>
    </row>
    <row r="15607" spans="2:2" s="221" customFormat="1" ht="12.75" x14ac:dyDescent="0.2">
      <c r="B15607" s="1168"/>
    </row>
    <row r="15608" spans="2:2" s="221" customFormat="1" ht="12.75" x14ac:dyDescent="0.2">
      <c r="B15608" s="1168"/>
    </row>
    <row r="15609" spans="2:2" s="221" customFormat="1" ht="12.75" x14ac:dyDescent="0.2">
      <c r="B15609" s="1168"/>
    </row>
    <row r="15610" spans="2:2" s="221" customFormat="1" ht="12.75" x14ac:dyDescent="0.2">
      <c r="B15610" s="1168"/>
    </row>
    <row r="15611" spans="2:2" s="221" customFormat="1" ht="12.75" x14ac:dyDescent="0.2">
      <c r="B15611" s="1168"/>
    </row>
    <row r="15612" spans="2:2" s="221" customFormat="1" ht="12.75" x14ac:dyDescent="0.2">
      <c r="B15612" s="1168"/>
    </row>
    <row r="15613" spans="2:2" s="221" customFormat="1" ht="12.75" x14ac:dyDescent="0.2">
      <c r="B15613" s="1168"/>
    </row>
    <row r="15614" spans="2:2" s="221" customFormat="1" ht="12.75" x14ac:dyDescent="0.2">
      <c r="B15614" s="1168"/>
    </row>
    <row r="15615" spans="2:2" s="221" customFormat="1" ht="12.75" x14ac:dyDescent="0.2">
      <c r="B15615" s="1168"/>
    </row>
    <row r="15616" spans="2:2" s="221" customFormat="1" ht="12.75" x14ac:dyDescent="0.2">
      <c r="B15616" s="1168"/>
    </row>
    <row r="15617" spans="2:2" s="221" customFormat="1" ht="12.75" x14ac:dyDescent="0.2">
      <c r="B15617" s="1168"/>
    </row>
    <row r="15618" spans="2:2" s="221" customFormat="1" ht="12.75" x14ac:dyDescent="0.2">
      <c r="B15618" s="1168"/>
    </row>
    <row r="15619" spans="2:2" s="221" customFormat="1" ht="12.75" x14ac:dyDescent="0.2">
      <c r="B15619" s="1168"/>
    </row>
    <row r="15620" spans="2:2" s="221" customFormat="1" ht="12.75" x14ac:dyDescent="0.2">
      <c r="B15620" s="1168"/>
    </row>
    <row r="15621" spans="2:2" s="221" customFormat="1" ht="12.75" x14ac:dyDescent="0.2">
      <c r="B15621" s="1168"/>
    </row>
    <row r="15622" spans="2:2" s="221" customFormat="1" ht="12.75" x14ac:dyDescent="0.2">
      <c r="B15622" s="1168"/>
    </row>
    <row r="15623" spans="2:2" s="221" customFormat="1" ht="12.75" x14ac:dyDescent="0.2">
      <c r="B15623" s="1168"/>
    </row>
    <row r="15624" spans="2:2" s="221" customFormat="1" ht="12.75" x14ac:dyDescent="0.2">
      <c r="B15624" s="1168"/>
    </row>
    <row r="15625" spans="2:2" s="221" customFormat="1" ht="12.75" x14ac:dyDescent="0.2">
      <c r="B15625" s="1168"/>
    </row>
    <row r="15626" spans="2:2" s="221" customFormat="1" ht="12.75" x14ac:dyDescent="0.2">
      <c r="B15626" s="1168"/>
    </row>
    <row r="15627" spans="2:2" s="221" customFormat="1" ht="12.75" x14ac:dyDescent="0.2">
      <c r="B15627" s="1168"/>
    </row>
    <row r="15628" spans="2:2" s="221" customFormat="1" ht="12.75" x14ac:dyDescent="0.2">
      <c r="B15628" s="1168"/>
    </row>
    <row r="15629" spans="2:2" s="221" customFormat="1" ht="12.75" x14ac:dyDescent="0.2">
      <c r="B15629" s="1168"/>
    </row>
    <row r="15630" spans="2:2" s="221" customFormat="1" ht="12.75" x14ac:dyDescent="0.2">
      <c r="B15630" s="1168"/>
    </row>
    <row r="15631" spans="2:2" s="221" customFormat="1" ht="12.75" x14ac:dyDescent="0.2">
      <c r="B15631" s="1168"/>
    </row>
    <row r="15632" spans="2:2" s="221" customFormat="1" ht="12.75" x14ac:dyDescent="0.2">
      <c r="B15632" s="1168"/>
    </row>
    <row r="15633" spans="2:2" s="221" customFormat="1" ht="12.75" x14ac:dyDescent="0.2">
      <c r="B15633" s="1168"/>
    </row>
    <row r="15634" spans="2:2" s="221" customFormat="1" ht="12.75" x14ac:dyDescent="0.2">
      <c r="B15634" s="1168"/>
    </row>
    <row r="15635" spans="2:2" s="221" customFormat="1" ht="12.75" x14ac:dyDescent="0.2">
      <c r="B15635" s="1168"/>
    </row>
    <row r="15636" spans="2:2" s="221" customFormat="1" ht="12.75" x14ac:dyDescent="0.2">
      <c r="B15636" s="1168"/>
    </row>
    <row r="15637" spans="2:2" s="221" customFormat="1" ht="12.75" x14ac:dyDescent="0.2">
      <c r="B15637" s="1168"/>
    </row>
    <row r="15638" spans="2:2" s="221" customFormat="1" ht="12.75" x14ac:dyDescent="0.2">
      <c r="B15638" s="1168"/>
    </row>
    <row r="15639" spans="2:2" s="221" customFormat="1" ht="12.75" x14ac:dyDescent="0.2">
      <c r="B15639" s="1168"/>
    </row>
    <row r="15640" spans="2:2" s="221" customFormat="1" ht="12.75" x14ac:dyDescent="0.2">
      <c r="B15640" s="1168"/>
    </row>
    <row r="15641" spans="2:2" s="221" customFormat="1" ht="12.75" x14ac:dyDescent="0.2">
      <c r="B15641" s="1168"/>
    </row>
    <row r="15642" spans="2:2" s="221" customFormat="1" ht="12.75" x14ac:dyDescent="0.2">
      <c r="B15642" s="1168"/>
    </row>
    <row r="15643" spans="2:2" s="221" customFormat="1" ht="12.75" x14ac:dyDescent="0.2">
      <c r="B15643" s="1168"/>
    </row>
    <row r="15644" spans="2:2" s="221" customFormat="1" ht="12.75" x14ac:dyDescent="0.2">
      <c r="B15644" s="1168"/>
    </row>
    <row r="15645" spans="2:2" s="221" customFormat="1" ht="12.75" x14ac:dyDescent="0.2">
      <c r="B15645" s="1168"/>
    </row>
    <row r="15646" spans="2:2" s="221" customFormat="1" ht="12.75" x14ac:dyDescent="0.2">
      <c r="B15646" s="1168"/>
    </row>
    <row r="15647" spans="2:2" s="221" customFormat="1" ht="12.75" x14ac:dyDescent="0.2">
      <c r="B15647" s="1168"/>
    </row>
    <row r="15648" spans="2:2" s="221" customFormat="1" ht="12.75" x14ac:dyDescent="0.2">
      <c r="B15648" s="1168"/>
    </row>
    <row r="15649" spans="2:2" s="221" customFormat="1" ht="12.75" x14ac:dyDescent="0.2">
      <c r="B15649" s="1168"/>
    </row>
    <row r="15650" spans="2:2" s="221" customFormat="1" ht="12.75" x14ac:dyDescent="0.2">
      <c r="B15650" s="1168"/>
    </row>
    <row r="15651" spans="2:2" s="221" customFormat="1" ht="12.75" x14ac:dyDescent="0.2">
      <c r="B15651" s="1168"/>
    </row>
    <row r="15652" spans="2:2" s="221" customFormat="1" ht="12.75" x14ac:dyDescent="0.2">
      <c r="B15652" s="1168"/>
    </row>
    <row r="15653" spans="2:2" s="221" customFormat="1" ht="12.75" x14ac:dyDescent="0.2">
      <c r="B15653" s="1168"/>
    </row>
    <row r="15654" spans="2:2" s="221" customFormat="1" ht="12.75" x14ac:dyDescent="0.2">
      <c r="B15654" s="1168"/>
    </row>
    <row r="15655" spans="2:2" s="221" customFormat="1" ht="12.75" x14ac:dyDescent="0.2">
      <c r="B15655" s="1168"/>
    </row>
    <row r="15656" spans="2:2" s="221" customFormat="1" ht="12.75" x14ac:dyDescent="0.2">
      <c r="B15656" s="1168"/>
    </row>
    <row r="15657" spans="2:2" s="221" customFormat="1" ht="12.75" x14ac:dyDescent="0.2">
      <c r="B15657" s="1168"/>
    </row>
    <row r="15658" spans="2:2" s="221" customFormat="1" ht="12.75" x14ac:dyDescent="0.2">
      <c r="B15658" s="1168"/>
    </row>
    <row r="15659" spans="2:2" s="221" customFormat="1" ht="12.75" x14ac:dyDescent="0.2">
      <c r="B15659" s="1168"/>
    </row>
    <row r="15660" spans="2:2" s="221" customFormat="1" ht="12.75" x14ac:dyDescent="0.2">
      <c r="B15660" s="1168"/>
    </row>
    <row r="15661" spans="2:2" s="221" customFormat="1" ht="12.75" x14ac:dyDescent="0.2">
      <c r="B15661" s="1168"/>
    </row>
    <row r="15662" spans="2:2" s="221" customFormat="1" ht="12.75" x14ac:dyDescent="0.2">
      <c r="B15662" s="1168"/>
    </row>
    <row r="15663" spans="2:2" s="221" customFormat="1" ht="12.75" x14ac:dyDescent="0.2">
      <c r="B15663" s="1168"/>
    </row>
    <row r="15664" spans="2:2" s="221" customFormat="1" ht="12.75" x14ac:dyDescent="0.2">
      <c r="B15664" s="1168"/>
    </row>
    <row r="15665" spans="2:2" s="221" customFormat="1" ht="12.75" x14ac:dyDescent="0.2">
      <c r="B15665" s="1168"/>
    </row>
    <row r="15666" spans="2:2" s="221" customFormat="1" ht="12.75" x14ac:dyDescent="0.2">
      <c r="B15666" s="1168"/>
    </row>
    <row r="15667" spans="2:2" s="221" customFormat="1" ht="12.75" x14ac:dyDescent="0.2">
      <c r="B15667" s="1168"/>
    </row>
    <row r="15668" spans="2:2" s="221" customFormat="1" ht="12.75" x14ac:dyDescent="0.2">
      <c r="B15668" s="1168"/>
    </row>
    <row r="15669" spans="2:2" s="221" customFormat="1" ht="12.75" x14ac:dyDescent="0.2">
      <c r="B15669" s="1168"/>
    </row>
    <row r="15670" spans="2:2" s="221" customFormat="1" ht="12.75" x14ac:dyDescent="0.2">
      <c r="B15670" s="1168"/>
    </row>
    <row r="15671" spans="2:2" s="221" customFormat="1" ht="12.75" x14ac:dyDescent="0.2">
      <c r="B15671" s="1168"/>
    </row>
    <row r="15672" spans="2:2" s="221" customFormat="1" ht="12.75" x14ac:dyDescent="0.2">
      <c r="B15672" s="1168"/>
    </row>
    <row r="15673" spans="2:2" s="221" customFormat="1" ht="12.75" x14ac:dyDescent="0.2">
      <c r="B15673" s="1168"/>
    </row>
    <row r="15674" spans="2:2" s="221" customFormat="1" ht="12.75" x14ac:dyDescent="0.2">
      <c r="B15674" s="1168"/>
    </row>
    <row r="15675" spans="2:2" s="221" customFormat="1" ht="12.75" x14ac:dyDescent="0.2">
      <c r="B15675" s="1168"/>
    </row>
    <row r="15676" spans="2:2" s="221" customFormat="1" ht="12.75" x14ac:dyDescent="0.2">
      <c r="B15676" s="1168"/>
    </row>
    <row r="15677" spans="2:2" s="221" customFormat="1" ht="12.75" x14ac:dyDescent="0.2">
      <c r="B15677" s="1168"/>
    </row>
    <row r="15678" spans="2:2" s="221" customFormat="1" ht="12.75" x14ac:dyDescent="0.2">
      <c r="B15678" s="1168"/>
    </row>
    <row r="15679" spans="2:2" s="221" customFormat="1" ht="12.75" x14ac:dyDescent="0.2">
      <c r="B15679" s="1168"/>
    </row>
    <row r="15680" spans="2:2" s="221" customFormat="1" ht="12.75" x14ac:dyDescent="0.2">
      <c r="B15680" s="1168"/>
    </row>
    <row r="15681" spans="2:2" s="221" customFormat="1" ht="12.75" x14ac:dyDescent="0.2">
      <c r="B15681" s="1168"/>
    </row>
    <row r="15682" spans="2:2" s="221" customFormat="1" ht="12.75" x14ac:dyDescent="0.2">
      <c r="B15682" s="1168"/>
    </row>
    <row r="15683" spans="2:2" s="221" customFormat="1" ht="12.75" x14ac:dyDescent="0.2">
      <c r="B15683" s="1168"/>
    </row>
    <row r="15684" spans="2:2" s="221" customFormat="1" ht="12.75" x14ac:dyDescent="0.2">
      <c r="B15684" s="1168"/>
    </row>
    <row r="15685" spans="2:2" s="221" customFormat="1" ht="12.75" x14ac:dyDescent="0.2">
      <c r="B15685" s="1168"/>
    </row>
    <row r="15686" spans="2:2" s="221" customFormat="1" ht="12.75" x14ac:dyDescent="0.2">
      <c r="B15686" s="1168"/>
    </row>
    <row r="15687" spans="2:2" s="221" customFormat="1" ht="12.75" x14ac:dyDescent="0.2">
      <c r="B15687" s="1168"/>
    </row>
    <row r="15688" spans="2:2" s="221" customFormat="1" ht="12.75" x14ac:dyDescent="0.2">
      <c r="B15688" s="1168"/>
    </row>
    <row r="15689" spans="2:2" s="221" customFormat="1" ht="12.75" x14ac:dyDescent="0.2">
      <c r="B15689" s="1168"/>
    </row>
    <row r="15690" spans="2:2" s="221" customFormat="1" ht="12.75" x14ac:dyDescent="0.2">
      <c r="B15690" s="1168"/>
    </row>
    <row r="15691" spans="2:2" s="221" customFormat="1" ht="12.75" x14ac:dyDescent="0.2">
      <c r="B15691" s="1168"/>
    </row>
    <row r="15692" spans="2:2" s="221" customFormat="1" ht="12.75" x14ac:dyDescent="0.2">
      <c r="B15692" s="1168"/>
    </row>
    <row r="15693" spans="2:2" s="221" customFormat="1" ht="12.75" x14ac:dyDescent="0.2">
      <c r="B15693" s="1168"/>
    </row>
    <row r="15694" spans="2:2" s="221" customFormat="1" ht="12.75" x14ac:dyDescent="0.2">
      <c r="B15694" s="1168"/>
    </row>
    <row r="15695" spans="2:2" s="221" customFormat="1" ht="12.75" x14ac:dyDescent="0.2">
      <c r="B15695" s="1168"/>
    </row>
    <row r="15696" spans="2:2" s="221" customFormat="1" ht="12.75" x14ac:dyDescent="0.2">
      <c r="B15696" s="1168"/>
    </row>
    <row r="15697" spans="2:2" s="221" customFormat="1" ht="12.75" x14ac:dyDescent="0.2">
      <c r="B15697" s="1168"/>
    </row>
    <row r="15698" spans="2:2" s="221" customFormat="1" ht="12.75" x14ac:dyDescent="0.2">
      <c r="B15698" s="1168"/>
    </row>
    <row r="15699" spans="2:2" s="221" customFormat="1" ht="12.75" x14ac:dyDescent="0.2">
      <c r="B15699" s="1168"/>
    </row>
    <row r="15700" spans="2:2" s="221" customFormat="1" ht="12.75" x14ac:dyDescent="0.2">
      <c r="B15700" s="1168"/>
    </row>
    <row r="15701" spans="2:2" s="221" customFormat="1" ht="12.75" x14ac:dyDescent="0.2">
      <c r="B15701" s="1168"/>
    </row>
    <row r="15702" spans="2:2" s="221" customFormat="1" ht="12.75" x14ac:dyDescent="0.2">
      <c r="B15702" s="1168"/>
    </row>
    <row r="15703" spans="2:2" s="221" customFormat="1" ht="12.75" x14ac:dyDescent="0.2">
      <c r="B15703" s="1168"/>
    </row>
    <row r="15704" spans="2:2" s="221" customFormat="1" ht="12.75" x14ac:dyDescent="0.2">
      <c r="B15704" s="1168"/>
    </row>
    <row r="15705" spans="2:2" s="221" customFormat="1" ht="12.75" x14ac:dyDescent="0.2">
      <c r="B15705" s="1168"/>
    </row>
    <row r="15706" spans="2:2" s="221" customFormat="1" ht="12.75" x14ac:dyDescent="0.2">
      <c r="B15706" s="1168"/>
    </row>
    <row r="15707" spans="2:2" s="221" customFormat="1" ht="12.75" x14ac:dyDescent="0.2">
      <c r="B15707" s="1168"/>
    </row>
    <row r="15708" spans="2:2" s="221" customFormat="1" ht="12.75" x14ac:dyDescent="0.2">
      <c r="B15708" s="1168"/>
    </row>
    <row r="15709" spans="2:2" s="221" customFormat="1" ht="12.75" x14ac:dyDescent="0.2">
      <c r="B15709" s="1168"/>
    </row>
    <row r="15710" spans="2:2" s="221" customFormat="1" ht="12.75" x14ac:dyDescent="0.2">
      <c r="B15710" s="1168"/>
    </row>
    <row r="15711" spans="2:2" s="221" customFormat="1" ht="12.75" x14ac:dyDescent="0.2">
      <c r="B15711" s="1168"/>
    </row>
    <row r="15712" spans="2:2" s="221" customFormat="1" ht="12.75" x14ac:dyDescent="0.2">
      <c r="B15712" s="1168"/>
    </row>
    <row r="15713" spans="2:2" s="221" customFormat="1" ht="12.75" x14ac:dyDescent="0.2">
      <c r="B15713" s="1168"/>
    </row>
    <row r="15714" spans="2:2" s="221" customFormat="1" ht="12.75" x14ac:dyDescent="0.2">
      <c r="B15714" s="1168"/>
    </row>
    <row r="15715" spans="2:2" s="221" customFormat="1" ht="12.75" x14ac:dyDescent="0.2">
      <c r="B15715" s="1168"/>
    </row>
    <row r="15716" spans="2:2" s="221" customFormat="1" ht="12.75" x14ac:dyDescent="0.2">
      <c r="B15716" s="1168"/>
    </row>
    <row r="15717" spans="2:2" s="221" customFormat="1" ht="12.75" x14ac:dyDescent="0.2">
      <c r="B15717" s="1168"/>
    </row>
    <row r="15718" spans="2:2" s="221" customFormat="1" ht="12.75" x14ac:dyDescent="0.2">
      <c r="B15718" s="1168"/>
    </row>
    <row r="15719" spans="2:2" s="221" customFormat="1" ht="12.75" x14ac:dyDescent="0.2">
      <c r="B15719" s="1168"/>
    </row>
    <row r="15720" spans="2:2" s="221" customFormat="1" ht="12.75" x14ac:dyDescent="0.2">
      <c r="B15720" s="1168"/>
    </row>
    <row r="15721" spans="2:2" s="221" customFormat="1" ht="12.75" x14ac:dyDescent="0.2">
      <c r="B15721" s="1168"/>
    </row>
    <row r="15722" spans="2:2" s="221" customFormat="1" ht="12.75" x14ac:dyDescent="0.2">
      <c r="B15722" s="1168"/>
    </row>
    <row r="15723" spans="2:2" s="221" customFormat="1" ht="12.75" x14ac:dyDescent="0.2">
      <c r="B15723" s="1168"/>
    </row>
    <row r="15724" spans="2:2" s="221" customFormat="1" ht="12.75" x14ac:dyDescent="0.2">
      <c r="B15724" s="1168"/>
    </row>
    <row r="15725" spans="2:2" s="221" customFormat="1" ht="12.75" x14ac:dyDescent="0.2">
      <c r="B15725" s="1168"/>
    </row>
    <row r="15726" spans="2:2" s="221" customFormat="1" ht="12.75" x14ac:dyDescent="0.2">
      <c r="B15726" s="1168"/>
    </row>
    <row r="15727" spans="2:2" s="221" customFormat="1" ht="12.75" x14ac:dyDescent="0.2">
      <c r="B15727" s="1168"/>
    </row>
    <row r="15728" spans="2:2" s="221" customFormat="1" ht="12.75" x14ac:dyDescent="0.2">
      <c r="B15728" s="1168"/>
    </row>
    <row r="15729" spans="2:2" s="221" customFormat="1" ht="12.75" x14ac:dyDescent="0.2">
      <c r="B15729" s="1168"/>
    </row>
    <row r="15730" spans="2:2" s="221" customFormat="1" ht="12.75" x14ac:dyDescent="0.2">
      <c r="B15730" s="1168"/>
    </row>
    <row r="15731" spans="2:2" s="221" customFormat="1" ht="12.75" x14ac:dyDescent="0.2">
      <c r="B15731" s="1168"/>
    </row>
    <row r="15732" spans="2:2" s="221" customFormat="1" ht="12.75" x14ac:dyDescent="0.2">
      <c r="B15732" s="1168"/>
    </row>
    <row r="15733" spans="2:2" s="221" customFormat="1" ht="12.75" x14ac:dyDescent="0.2">
      <c r="B15733" s="1168"/>
    </row>
    <row r="15734" spans="2:2" s="221" customFormat="1" ht="12.75" x14ac:dyDescent="0.2">
      <c r="B15734" s="1168"/>
    </row>
    <row r="15735" spans="2:2" s="221" customFormat="1" ht="12.75" x14ac:dyDescent="0.2">
      <c r="B15735" s="1168"/>
    </row>
    <row r="15736" spans="2:2" s="221" customFormat="1" ht="12.75" x14ac:dyDescent="0.2">
      <c r="B15736" s="1168"/>
    </row>
    <row r="15737" spans="2:2" s="221" customFormat="1" ht="12.75" x14ac:dyDescent="0.2">
      <c r="B15737" s="1168"/>
    </row>
    <row r="15738" spans="2:2" s="221" customFormat="1" ht="12.75" x14ac:dyDescent="0.2">
      <c r="B15738" s="1168"/>
    </row>
    <row r="15739" spans="2:2" s="221" customFormat="1" ht="12.75" x14ac:dyDescent="0.2">
      <c r="B15739" s="1168"/>
    </row>
    <row r="15740" spans="2:2" s="221" customFormat="1" ht="12.75" x14ac:dyDescent="0.2">
      <c r="B15740" s="1168"/>
    </row>
    <row r="15741" spans="2:2" s="221" customFormat="1" ht="12.75" x14ac:dyDescent="0.2">
      <c r="B15741" s="1168"/>
    </row>
    <row r="15742" spans="2:2" s="221" customFormat="1" ht="12.75" x14ac:dyDescent="0.2">
      <c r="B15742" s="1168"/>
    </row>
    <row r="15743" spans="2:2" s="221" customFormat="1" ht="12.75" x14ac:dyDescent="0.2">
      <c r="B15743" s="1168"/>
    </row>
    <row r="15744" spans="2:2" s="221" customFormat="1" ht="12.75" x14ac:dyDescent="0.2">
      <c r="B15744" s="1168"/>
    </row>
    <row r="15745" spans="2:2" s="221" customFormat="1" ht="12.75" x14ac:dyDescent="0.2">
      <c r="B15745" s="1168"/>
    </row>
    <row r="15746" spans="2:2" s="221" customFormat="1" ht="12.75" x14ac:dyDescent="0.2">
      <c r="B15746" s="1168"/>
    </row>
    <row r="15747" spans="2:2" s="221" customFormat="1" ht="12.75" x14ac:dyDescent="0.2">
      <c r="B15747" s="1168"/>
    </row>
    <row r="15748" spans="2:2" s="221" customFormat="1" ht="12.75" x14ac:dyDescent="0.2">
      <c r="B15748" s="1168"/>
    </row>
    <row r="15749" spans="2:2" s="221" customFormat="1" ht="12.75" x14ac:dyDescent="0.2">
      <c r="B15749" s="1168"/>
    </row>
    <row r="15750" spans="2:2" s="221" customFormat="1" ht="12.75" x14ac:dyDescent="0.2">
      <c r="B15750" s="1168"/>
    </row>
    <row r="15751" spans="2:2" s="221" customFormat="1" ht="12.75" x14ac:dyDescent="0.2">
      <c r="B15751" s="1168"/>
    </row>
    <row r="15752" spans="2:2" s="221" customFormat="1" ht="12.75" x14ac:dyDescent="0.2">
      <c r="B15752" s="1168"/>
    </row>
    <row r="15753" spans="2:2" s="221" customFormat="1" ht="12.75" x14ac:dyDescent="0.2">
      <c r="B15753" s="1168"/>
    </row>
    <row r="15754" spans="2:2" s="221" customFormat="1" ht="12.75" x14ac:dyDescent="0.2">
      <c r="B15754" s="1168"/>
    </row>
    <row r="15755" spans="2:2" s="221" customFormat="1" ht="12.75" x14ac:dyDescent="0.2">
      <c r="B15755" s="1168"/>
    </row>
    <row r="15756" spans="2:2" s="221" customFormat="1" ht="12.75" x14ac:dyDescent="0.2">
      <c r="B15756" s="1168"/>
    </row>
    <row r="15757" spans="2:2" s="221" customFormat="1" ht="12.75" x14ac:dyDescent="0.2">
      <c r="B15757" s="1168"/>
    </row>
    <row r="15758" spans="2:2" s="221" customFormat="1" ht="12.75" x14ac:dyDescent="0.2">
      <c r="B15758" s="1168"/>
    </row>
    <row r="15759" spans="2:2" s="221" customFormat="1" ht="12.75" x14ac:dyDescent="0.2">
      <c r="B15759" s="1168"/>
    </row>
    <row r="15760" spans="2:2" s="221" customFormat="1" ht="12.75" x14ac:dyDescent="0.2">
      <c r="B15760" s="1168"/>
    </row>
    <row r="15761" spans="2:2" s="221" customFormat="1" ht="12.75" x14ac:dyDescent="0.2">
      <c r="B15761" s="1168"/>
    </row>
    <row r="15762" spans="2:2" s="221" customFormat="1" ht="12.75" x14ac:dyDescent="0.2">
      <c r="B15762" s="1168"/>
    </row>
    <row r="15763" spans="2:2" s="221" customFormat="1" ht="12.75" x14ac:dyDescent="0.2">
      <c r="B15763" s="1168"/>
    </row>
    <row r="15764" spans="2:2" s="221" customFormat="1" ht="12.75" x14ac:dyDescent="0.2">
      <c r="B15764" s="1168"/>
    </row>
    <row r="15765" spans="2:2" s="221" customFormat="1" ht="12.75" x14ac:dyDescent="0.2">
      <c r="B15765" s="1168"/>
    </row>
    <row r="15766" spans="2:2" s="221" customFormat="1" ht="12.75" x14ac:dyDescent="0.2">
      <c r="B15766" s="1168"/>
    </row>
    <row r="15767" spans="2:2" s="221" customFormat="1" ht="12.75" x14ac:dyDescent="0.2">
      <c r="B15767" s="1168"/>
    </row>
    <row r="15768" spans="2:2" s="221" customFormat="1" ht="12.75" x14ac:dyDescent="0.2">
      <c r="B15768" s="1168"/>
    </row>
    <row r="15769" spans="2:2" s="221" customFormat="1" ht="12.75" x14ac:dyDescent="0.2">
      <c r="B15769" s="1168"/>
    </row>
    <row r="15770" spans="2:2" s="221" customFormat="1" ht="12.75" x14ac:dyDescent="0.2">
      <c r="B15770" s="1168"/>
    </row>
    <row r="15771" spans="2:2" s="221" customFormat="1" ht="12.75" x14ac:dyDescent="0.2">
      <c r="B15771" s="1168"/>
    </row>
    <row r="15772" spans="2:2" s="221" customFormat="1" ht="12.75" x14ac:dyDescent="0.2">
      <c r="B15772" s="1168"/>
    </row>
    <row r="15773" spans="2:2" s="221" customFormat="1" ht="12.75" x14ac:dyDescent="0.2">
      <c r="B15773" s="1168"/>
    </row>
    <row r="15774" spans="2:2" s="221" customFormat="1" ht="12.75" x14ac:dyDescent="0.2">
      <c r="B15774" s="1168"/>
    </row>
    <row r="15775" spans="2:2" s="221" customFormat="1" ht="12.75" x14ac:dyDescent="0.2">
      <c r="B15775" s="1168"/>
    </row>
    <row r="15776" spans="2:2" s="221" customFormat="1" ht="12.75" x14ac:dyDescent="0.2">
      <c r="B15776" s="1168"/>
    </row>
    <row r="15777" spans="2:2" s="221" customFormat="1" ht="12.75" x14ac:dyDescent="0.2">
      <c r="B15777" s="1168"/>
    </row>
    <row r="15778" spans="2:2" s="221" customFormat="1" ht="12.75" x14ac:dyDescent="0.2">
      <c r="B15778" s="1168"/>
    </row>
    <row r="15779" spans="2:2" s="221" customFormat="1" ht="12.75" x14ac:dyDescent="0.2">
      <c r="B15779" s="1168"/>
    </row>
    <row r="15780" spans="2:2" s="221" customFormat="1" ht="12.75" x14ac:dyDescent="0.2">
      <c r="B15780" s="1168"/>
    </row>
    <row r="15781" spans="2:2" s="221" customFormat="1" ht="12.75" x14ac:dyDescent="0.2">
      <c r="B15781" s="1168"/>
    </row>
    <row r="15782" spans="2:2" s="221" customFormat="1" ht="12.75" x14ac:dyDescent="0.2">
      <c r="B15782" s="1168"/>
    </row>
    <row r="15783" spans="2:2" s="221" customFormat="1" ht="12.75" x14ac:dyDescent="0.2">
      <c r="B15783" s="1168"/>
    </row>
    <row r="15784" spans="2:2" s="221" customFormat="1" ht="12.75" x14ac:dyDescent="0.2">
      <c r="B15784" s="1168"/>
    </row>
    <row r="15785" spans="2:2" s="221" customFormat="1" ht="12.75" x14ac:dyDescent="0.2">
      <c r="B15785" s="1168"/>
    </row>
    <row r="15786" spans="2:2" s="221" customFormat="1" ht="12.75" x14ac:dyDescent="0.2">
      <c r="B15786" s="1168"/>
    </row>
    <row r="15787" spans="2:2" s="221" customFormat="1" ht="12.75" x14ac:dyDescent="0.2">
      <c r="B15787" s="1168"/>
    </row>
    <row r="15788" spans="2:2" s="221" customFormat="1" ht="12.75" x14ac:dyDescent="0.2">
      <c r="B15788" s="1168"/>
    </row>
    <row r="15789" spans="2:2" s="221" customFormat="1" ht="12.75" x14ac:dyDescent="0.2">
      <c r="B15789" s="1168"/>
    </row>
    <row r="15790" spans="2:2" s="221" customFormat="1" ht="12.75" x14ac:dyDescent="0.2">
      <c r="B15790" s="1168"/>
    </row>
    <row r="15791" spans="2:2" s="221" customFormat="1" ht="12.75" x14ac:dyDescent="0.2">
      <c r="B15791" s="1168"/>
    </row>
    <row r="15792" spans="2:2" s="221" customFormat="1" ht="12.75" x14ac:dyDescent="0.2">
      <c r="B15792" s="1168"/>
    </row>
    <row r="15793" spans="2:2" s="221" customFormat="1" ht="12.75" x14ac:dyDescent="0.2">
      <c r="B15793" s="1168"/>
    </row>
    <row r="15794" spans="2:2" s="221" customFormat="1" ht="12.75" x14ac:dyDescent="0.2">
      <c r="B15794" s="1168"/>
    </row>
    <row r="15795" spans="2:2" s="221" customFormat="1" ht="12.75" x14ac:dyDescent="0.2">
      <c r="B15795" s="1168"/>
    </row>
    <row r="15796" spans="2:2" s="221" customFormat="1" ht="12.75" x14ac:dyDescent="0.2">
      <c r="B15796" s="1168"/>
    </row>
    <row r="15797" spans="2:2" s="221" customFormat="1" ht="12.75" x14ac:dyDescent="0.2">
      <c r="B15797" s="1168"/>
    </row>
    <row r="15798" spans="2:2" s="221" customFormat="1" ht="12.75" x14ac:dyDescent="0.2">
      <c r="B15798" s="1168"/>
    </row>
    <row r="15799" spans="2:2" s="221" customFormat="1" ht="12.75" x14ac:dyDescent="0.2">
      <c r="B15799" s="1168"/>
    </row>
    <row r="15800" spans="2:2" s="221" customFormat="1" ht="12.75" x14ac:dyDescent="0.2">
      <c r="B15800" s="1168"/>
    </row>
    <row r="15801" spans="2:2" s="221" customFormat="1" ht="12.75" x14ac:dyDescent="0.2">
      <c r="B15801" s="1168"/>
    </row>
    <row r="15802" spans="2:2" s="221" customFormat="1" ht="12.75" x14ac:dyDescent="0.2">
      <c r="B15802" s="1168"/>
    </row>
    <row r="15803" spans="2:2" s="221" customFormat="1" ht="12.75" x14ac:dyDescent="0.2">
      <c r="B15803" s="1168"/>
    </row>
    <row r="15804" spans="2:2" s="221" customFormat="1" ht="12.75" x14ac:dyDescent="0.2">
      <c r="B15804" s="1168"/>
    </row>
    <row r="15805" spans="2:2" s="221" customFormat="1" ht="12.75" x14ac:dyDescent="0.2">
      <c r="B15805" s="1168"/>
    </row>
    <row r="15806" spans="2:2" s="221" customFormat="1" ht="12.75" x14ac:dyDescent="0.2">
      <c r="B15806" s="1168"/>
    </row>
    <row r="15807" spans="2:2" s="221" customFormat="1" ht="12.75" x14ac:dyDescent="0.2">
      <c r="B15807" s="1168"/>
    </row>
    <row r="15808" spans="2:2" s="221" customFormat="1" ht="12.75" x14ac:dyDescent="0.2">
      <c r="B15808" s="1168"/>
    </row>
    <row r="15809" spans="2:2" s="221" customFormat="1" ht="12.75" x14ac:dyDescent="0.2">
      <c r="B15809" s="1168"/>
    </row>
    <row r="15810" spans="2:2" s="221" customFormat="1" ht="12.75" x14ac:dyDescent="0.2">
      <c r="B15810" s="1168"/>
    </row>
    <row r="15811" spans="2:2" s="221" customFormat="1" ht="12.75" x14ac:dyDescent="0.2">
      <c r="B15811" s="1168"/>
    </row>
    <row r="15812" spans="2:2" s="221" customFormat="1" ht="12.75" x14ac:dyDescent="0.2">
      <c r="B15812" s="1168"/>
    </row>
    <row r="15813" spans="2:2" s="221" customFormat="1" ht="12.75" x14ac:dyDescent="0.2">
      <c r="B15813" s="1168"/>
    </row>
    <row r="15814" spans="2:2" s="221" customFormat="1" ht="12.75" x14ac:dyDescent="0.2">
      <c r="B15814" s="1168"/>
    </row>
    <row r="15815" spans="2:2" s="221" customFormat="1" ht="12.75" x14ac:dyDescent="0.2">
      <c r="B15815" s="1168"/>
    </row>
    <row r="15816" spans="2:2" s="221" customFormat="1" ht="12.75" x14ac:dyDescent="0.2">
      <c r="B15816" s="1168"/>
    </row>
    <row r="15817" spans="2:2" s="221" customFormat="1" ht="12.75" x14ac:dyDescent="0.2">
      <c r="B15817" s="1168"/>
    </row>
    <row r="15818" spans="2:2" s="221" customFormat="1" ht="12.75" x14ac:dyDescent="0.2">
      <c r="B15818" s="1168"/>
    </row>
    <row r="15819" spans="2:2" s="221" customFormat="1" ht="12.75" x14ac:dyDescent="0.2">
      <c r="B15819" s="1168"/>
    </row>
    <row r="15820" spans="2:2" s="221" customFormat="1" ht="12.75" x14ac:dyDescent="0.2">
      <c r="B15820" s="1168"/>
    </row>
    <row r="15821" spans="2:2" s="221" customFormat="1" ht="12.75" x14ac:dyDescent="0.2">
      <c r="B15821" s="1168"/>
    </row>
    <row r="15822" spans="2:2" s="221" customFormat="1" ht="12.75" x14ac:dyDescent="0.2">
      <c r="B15822" s="1168"/>
    </row>
    <row r="15823" spans="2:2" s="221" customFormat="1" ht="12.75" x14ac:dyDescent="0.2">
      <c r="B15823" s="1168"/>
    </row>
    <row r="15824" spans="2:2" s="221" customFormat="1" ht="12.75" x14ac:dyDescent="0.2">
      <c r="B15824" s="1168"/>
    </row>
    <row r="15825" spans="2:2" s="221" customFormat="1" ht="12.75" x14ac:dyDescent="0.2">
      <c r="B15825" s="1168"/>
    </row>
    <row r="15826" spans="2:2" s="221" customFormat="1" ht="12.75" x14ac:dyDescent="0.2">
      <c r="B15826" s="1168"/>
    </row>
    <row r="15827" spans="2:2" s="221" customFormat="1" ht="12.75" x14ac:dyDescent="0.2">
      <c r="B15827" s="1168"/>
    </row>
    <row r="15828" spans="2:2" s="221" customFormat="1" ht="12.75" x14ac:dyDescent="0.2">
      <c r="B15828" s="1168"/>
    </row>
    <row r="15829" spans="2:2" s="221" customFormat="1" ht="12.75" x14ac:dyDescent="0.2">
      <c r="B15829" s="1168"/>
    </row>
    <row r="15830" spans="2:2" s="221" customFormat="1" ht="12.75" x14ac:dyDescent="0.2">
      <c r="B15830" s="1168"/>
    </row>
    <row r="15831" spans="2:2" s="221" customFormat="1" ht="12.75" x14ac:dyDescent="0.2">
      <c r="B15831" s="1168"/>
    </row>
    <row r="15832" spans="2:2" s="221" customFormat="1" ht="12.75" x14ac:dyDescent="0.2">
      <c r="B15832" s="1168"/>
    </row>
    <row r="15833" spans="2:2" s="221" customFormat="1" ht="12.75" x14ac:dyDescent="0.2">
      <c r="B15833" s="1168"/>
    </row>
    <row r="15834" spans="2:2" s="221" customFormat="1" ht="12.75" x14ac:dyDescent="0.2">
      <c r="B15834" s="1168"/>
    </row>
    <row r="15835" spans="2:2" s="221" customFormat="1" ht="12.75" x14ac:dyDescent="0.2">
      <c r="B15835" s="1168"/>
    </row>
    <row r="15836" spans="2:2" s="221" customFormat="1" ht="12.75" x14ac:dyDescent="0.2">
      <c r="B15836" s="1168"/>
    </row>
    <row r="15837" spans="2:2" s="221" customFormat="1" ht="12.75" x14ac:dyDescent="0.2">
      <c r="B15837" s="1168"/>
    </row>
    <row r="15838" spans="2:2" s="221" customFormat="1" ht="12.75" x14ac:dyDescent="0.2">
      <c r="B15838" s="1168"/>
    </row>
    <row r="15839" spans="2:2" s="221" customFormat="1" ht="12.75" x14ac:dyDescent="0.2">
      <c r="B15839" s="1168"/>
    </row>
    <row r="15840" spans="2:2" s="221" customFormat="1" ht="12.75" x14ac:dyDescent="0.2">
      <c r="B15840" s="1168"/>
    </row>
    <row r="15841" spans="2:2" s="221" customFormat="1" ht="12.75" x14ac:dyDescent="0.2">
      <c r="B15841" s="1168"/>
    </row>
    <row r="15842" spans="2:2" s="221" customFormat="1" ht="12.75" x14ac:dyDescent="0.2">
      <c r="B15842" s="1168"/>
    </row>
    <row r="15843" spans="2:2" s="221" customFormat="1" ht="12.75" x14ac:dyDescent="0.2">
      <c r="B15843" s="1168"/>
    </row>
    <row r="15844" spans="2:2" s="221" customFormat="1" ht="12.75" x14ac:dyDescent="0.2">
      <c r="B15844" s="1168"/>
    </row>
    <row r="15845" spans="2:2" s="221" customFormat="1" ht="12.75" x14ac:dyDescent="0.2">
      <c r="B15845" s="1168"/>
    </row>
    <row r="15846" spans="2:2" s="221" customFormat="1" ht="12.75" x14ac:dyDescent="0.2">
      <c r="B15846" s="1168"/>
    </row>
    <row r="15847" spans="2:2" s="221" customFormat="1" ht="12.75" x14ac:dyDescent="0.2">
      <c r="B15847" s="1168"/>
    </row>
    <row r="15848" spans="2:2" s="221" customFormat="1" ht="12.75" x14ac:dyDescent="0.2">
      <c r="B15848" s="1168"/>
    </row>
    <row r="15849" spans="2:2" s="221" customFormat="1" ht="12.75" x14ac:dyDescent="0.2">
      <c r="B15849" s="1168"/>
    </row>
    <row r="15850" spans="2:2" s="221" customFormat="1" ht="12.75" x14ac:dyDescent="0.2">
      <c r="B15850" s="1168"/>
    </row>
    <row r="15851" spans="2:2" s="221" customFormat="1" ht="12.75" x14ac:dyDescent="0.2">
      <c r="B15851" s="1168"/>
    </row>
    <row r="15852" spans="2:2" s="221" customFormat="1" ht="12.75" x14ac:dyDescent="0.2">
      <c r="B15852" s="1168"/>
    </row>
    <row r="15853" spans="2:2" s="221" customFormat="1" ht="12.75" x14ac:dyDescent="0.2">
      <c r="B15853" s="1168"/>
    </row>
    <row r="15854" spans="2:2" s="221" customFormat="1" ht="12.75" x14ac:dyDescent="0.2">
      <c r="B15854" s="1168"/>
    </row>
    <row r="15855" spans="2:2" s="221" customFormat="1" ht="12.75" x14ac:dyDescent="0.2">
      <c r="B15855" s="1168"/>
    </row>
    <row r="15856" spans="2:2" s="221" customFormat="1" ht="12.75" x14ac:dyDescent="0.2">
      <c r="B15856" s="1168"/>
    </row>
    <row r="15857" spans="2:2" s="221" customFormat="1" ht="12.75" x14ac:dyDescent="0.2">
      <c r="B15857" s="1168"/>
    </row>
    <row r="15858" spans="2:2" s="221" customFormat="1" ht="12.75" x14ac:dyDescent="0.2">
      <c r="B15858" s="1168"/>
    </row>
    <row r="15859" spans="2:2" s="221" customFormat="1" ht="12.75" x14ac:dyDescent="0.2">
      <c r="B15859" s="1168"/>
    </row>
    <row r="15860" spans="2:2" s="221" customFormat="1" ht="12.75" x14ac:dyDescent="0.2">
      <c r="B15860" s="1168"/>
    </row>
    <row r="15861" spans="2:2" s="221" customFormat="1" ht="12.75" x14ac:dyDescent="0.2">
      <c r="B15861" s="1168"/>
    </row>
    <row r="15862" spans="2:2" s="221" customFormat="1" ht="12.75" x14ac:dyDescent="0.2">
      <c r="B15862" s="1168"/>
    </row>
    <row r="15863" spans="2:2" s="221" customFormat="1" ht="12.75" x14ac:dyDescent="0.2">
      <c r="B15863" s="1168"/>
    </row>
    <row r="15864" spans="2:2" s="221" customFormat="1" ht="12.75" x14ac:dyDescent="0.2">
      <c r="B15864" s="1168"/>
    </row>
    <row r="15865" spans="2:2" s="221" customFormat="1" ht="12.75" x14ac:dyDescent="0.2">
      <c r="B15865" s="1168"/>
    </row>
    <row r="15866" spans="2:2" s="221" customFormat="1" ht="12.75" x14ac:dyDescent="0.2">
      <c r="B15866" s="1168"/>
    </row>
    <row r="15867" spans="2:2" s="221" customFormat="1" ht="12.75" x14ac:dyDescent="0.2">
      <c r="B15867" s="1168"/>
    </row>
    <row r="15868" spans="2:2" s="221" customFormat="1" ht="12.75" x14ac:dyDescent="0.2">
      <c r="B15868" s="1168"/>
    </row>
    <row r="15869" spans="2:2" s="221" customFormat="1" ht="12.75" x14ac:dyDescent="0.2">
      <c r="B15869" s="1168"/>
    </row>
    <row r="15870" spans="2:2" s="221" customFormat="1" ht="12.75" x14ac:dyDescent="0.2">
      <c r="B15870" s="1168"/>
    </row>
    <row r="15871" spans="2:2" s="221" customFormat="1" ht="12.75" x14ac:dyDescent="0.2">
      <c r="B15871" s="1168"/>
    </row>
    <row r="15872" spans="2:2" s="221" customFormat="1" ht="12.75" x14ac:dyDescent="0.2">
      <c r="B15872" s="1168"/>
    </row>
    <row r="15873" spans="2:2" s="221" customFormat="1" ht="12.75" x14ac:dyDescent="0.2">
      <c r="B15873" s="1168"/>
    </row>
    <row r="15874" spans="2:2" s="221" customFormat="1" ht="12.75" x14ac:dyDescent="0.2">
      <c r="B15874" s="1168"/>
    </row>
    <row r="15875" spans="2:2" s="221" customFormat="1" ht="12.75" x14ac:dyDescent="0.2">
      <c r="B15875" s="1168"/>
    </row>
    <row r="15876" spans="2:2" s="221" customFormat="1" ht="12.75" x14ac:dyDescent="0.2">
      <c r="B15876" s="1168"/>
    </row>
    <row r="15877" spans="2:2" s="221" customFormat="1" ht="12.75" x14ac:dyDescent="0.2">
      <c r="B15877" s="1168"/>
    </row>
    <row r="15878" spans="2:2" s="221" customFormat="1" ht="12.75" x14ac:dyDescent="0.2">
      <c r="B15878" s="1168"/>
    </row>
    <row r="15879" spans="2:2" s="221" customFormat="1" ht="12.75" x14ac:dyDescent="0.2">
      <c r="B15879" s="1168"/>
    </row>
    <row r="15880" spans="2:2" s="221" customFormat="1" ht="12.75" x14ac:dyDescent="0.2">
      <c r="B15880" s="1168"/>
    </row>
    <row r="15881" spans="2:2" s="221" customFormat="1" ht="12.75" x14ac:dyDescent="0.2">
      <c r="B15881" s="1168"/>
    </row>
    <row r="15882" spans="2:2" s="221" customFormat="1" ht="12.75" x14ac:dyDescent="0.2">
      <c r="B15882" s="1168"/>
    </row>
    <row r="15883" spans="2:2" s="221" customFormat="1" ht="12.75" x14ac:dyDescent="0.2">
      <c r="B15883" s="1168"/>
    </row>
    <row r="15884" spans="2:2" s="221" customFormat="1" ht="12.75" x14ac:dyDescent="0.2">
      <c r="B15884" s="1168"/>
    </row>
    <row r="15885" spans="2:2" s="221" customFormat="1" ht="12.75" x14ac:dyDescent="0.2">
      <c r="B15885" s="1168"/>
    </row>
    <row r="15886" spans="2:2" s="221" customFormat="1" ht="12.75" x14ac:dyDescent="0.2">
      <c r="B15886" s="1168"/>
    </row>
    <row r="15887" spans="2:2" s="221" customFormat="1" ht="12.75" x14ac:dyDescent="0.2">
      <c r="B15887" s="1168"/>
    </row>
    <row r="15888" spans="2:2" s="221" customFormat="1" ht="12.75" x14ac:dyDescent="0.2">
      <c r="B15888" s="1168"/>
    </row>
    <row r="15889" spans="2:2" s="221" customFormat="1" ht="12.75" x14ac:dyDescent="0.2">
      <c r="B15889" s="1168"/>
    </row>
    <row r="15890" spans="2:2" s="221" customFormat="1" ht="12.75" x14ac:dyDescent="0.2">
      <c r="B15890" s="1168"/>
    </row>
    <row r="15891" spans="2:2" s="221" customFormat="1" ht="12.75" x14ac:dyDescent="0.2">
      <c r="B15891" s="1168"/>
    </row>
    <row r="15892" spans="2:2" s="221" customFormat="1" ht="12.75" x14ac:dyDescent="0.2">
      <c r="B15892" s="1168"/>
    </row>
    <row r="15893" spans="2:2" s="221" customFormat="1" ht="12.75" x14ac:dyDescent="0.2">
      <c r="B15893" s="1168"/>
    </row>
    <row r="15894" spans="2:2" s="221" customFormat="1" ht="12.75" x14ac:dyDescent="0.2">
      <c r="B15894" s="1168"/>
    </row>
    <row r="15895" spans="2:2" s="221" customFormat="1" ht="12.75" x14ac:dyDescent="0.2">
      <c r="B15895" s="1168"/>
    </row>
    <row r="15896" spans="2:2" s="221" customFormat="1" ht="12.75" x14ac:dyDescent="0.2">
      <c r="B15896" s="1168"/>
    </row>
    <row r="15897" spans="2:2" s="221" customFormat="1" ht="12.75" x14ac:dyDescent="0.2">
      <c r="B15897" s="1168"/>
    </row>
    <row r="15898" spans="2:2" s="221" customFormat="1" ht="12.75" x14ac:dyDescent="0.2">
      <c r="B15898" s="1168"/>
    </row>
    <row r="15899" spans="2:2" s="221" customFormat="1" ht="12.75" x14ac:dyDescent="0.2">
      <c r="B15899" s="1168"/>
    </row>
    <row r="15900" spans="2:2" s="221" customFormat="1" ht="12.75" x14ac:dyDescent="0.2">
      <c r="B15900" s="1168"/>
    </row>
    <row r="15901" spans="2:2" s="221" customFormat="1" ht="12.75" x14ac:dyDescent="0.2">
      <c r="B15901" s="1168"/>
    </row>
    <row r="15902" spans="2:2" s="221" customFormat="1" ht="12.75" x14ac:dyDescent="0.2">
      <c r="B15902" s="1168"/>
    </row>
    <row r="15903" spans="2:2" s="221" customFormat="1" ht="12.75" x14ac:dyDescent="0.2">
      <c r="B15903" s="1168"/>
    </row>
    <row r="15904" spans="2:2" s="221" customFormat="1" ht="12.75" x14ac:dyDescent="0.2">
      <c r="B15904" s="1168"/>
    </row>
    <row r="15905" spans="2:2" s="221" customFormat="1" ht="12.75" x14ac:dyDescent="0.2">
      <c r="B15905" s="1168"/>
    </row>
    <row r="15906" spans="2:2" s="221" customFormat="1" ht="12.75" x14ac:dyDescent="0.2">
      <c r="B15906" s="1168"/>
    </row>
    <row r="15907" spans="2:2" s="221" customFormat="1" ht="12.75" x14ac:dyDescent="0.2">
      <c r="B15907" s="1168"/>
    </row>
    <row r="15908" spans="2:2" s="221" customFormat="1" ht="12.75" x14ac:dyDescent="0.2">
      <c r="B15908" s="1168"/>
    </row>
    <row r="15909" spans="2:2" s="221" customFormat="1" ht="12.75" x14ac:dyDescent="0.2">
      <c r="B15909" s="1168"/>
    </row>
    <row r="15910" spans="2:2" s="221" customFormat="1" ht="12.75" x14ac:dyDescent="0.2">
      <c r="B15910" s="1168"/>
    </row>
    <row r="15911" spans="2:2" s="221" customFormat="1" ht="12.75" x14ac:dyDescent="0.2">
      <c r="B15911" s="1168"/>
    </row>
    <row r="15912" spans="2:2" s="221" customFormat="1" ht="12.75" x14ac:dyDescent="0.2">
      <c r="B15912" s="1168"/>
    </row>
    <row r="15913" spans="2:2" s="221" customFormat="1" ht="12.75" x14ac:dyDescent="0.2">
      <c r="B15913" s="1168"/>
    </row>
    <row r="15914" spans="2:2" s="221" customFormat="1" ht="12.75" x14ac:dyDescent="0.2">
      <c r="B15914" s="1168"/>
    </row>
    <row r="15915" spans="2:2" s="221" customFormat="1" ht="12.75" x14ac:dyDescent="0.2">
      <c r="B15915" s="1168"/>
    </row>
    <row r="15916" spans="2:2" s="221" customFormat="1" ht="12.75" x14ac:dyDescent="0.2">
      <c r="B15916" s="1168"/>
    </row>
    <row r="15917" spans="2:2" s="221" customFormat="1" ht="12.75" x14ac:dyDescent="0.2">
      <c r="B15917" s="1168"/>
    </row>
    <row r="15918" spans="2:2" s="221" customFormat="1" ht="12.75" x14ac:dyDescent="0.2">
      <c r="B15918" s="1168"/>
    </row>
    <row r="15919" spans="2:2" s="221" customFormat="1" ht="12.75" x14ac:dyDescent="0.2">
      <c r="B15919" s="1168"/>
    </row>
    <row r="15920" spans="2:2" s="221" customFormat="1" ht="12.75" x14ac:dyDescent="0.2">
      <c r="B15920" s="1168"/>
    </row>
    <row r="15921" spans="2:2" s="221" customFormat="1" ht="12.75" x14ac:dyDescent="0.2">
      <c r="B15921" s="1168"/>
    </row>
    <row r="15922" spans="2:2" s="221" customFormat="1" ht="12.75" x14ac:dyDescent="0.2">
      <c r="B15922" s="1168"/>
    </row>
    <row r="15923" spans="2:2" s="221" customFormat="1" ht="12.75" x14ac:dyDescent="0.2">
      <c r="B15923" s="1168"/>
    </row>
    <row r="15924" spans="2:2" s="221" customFormat="1" ht="12.75" x14ac:dyDescent="0.2">
      <c r="B15924" s="1168"/>
    </row>
    <row r="15925" spans="2:2" s="221" customFormat="1" ht="12.75" x14ac:dyDescent="0.2">
      <c r="B15925" s="1168"/>
    </row>
    <row r="15926" spans="2:2" s="221" customFormat="1" ht="12.75" x14ac:dyDescent="0.2">
      <c r="B15926" s="1168"/>
    </row>
    <row r="15927" spans="2:2" s="221" customFormat="1" ht="12.75" x14ac:dyDescent="0.2">
      <c r="B15927" s="1168"/>
    </row>
    <row r="15928" spans="2:2" s="221" customFormat="1" ht="12.75" x14ac:dyDescent="0.2">
      <c r="B15928" s="1168"/>
    </row>
    <row r="15929" spans="2:2" s="221" customFormat="1" ht="12.75" x14ac:dyDescent="0.2">
      <c r="B15929" s="1168"/>
    </row>
    <row r="15930" spans="2:2" s="221" customFormat="1" ht="12.75" x14ac:dyDescent="0.2">
      <c r="B15930" s="1168"/>
    </row>
    <row r="15931" spans="2:2" s="221" customFormat="1" ht="12.75" x14ac:dyDescent="0.2">
      <c r="B15931" s="1168"/>
    </row>
    <row r="15932" spans="2:2" s="221" customFormat="1" ht="12.75" x14ac:dyDescent="0.2">
      <c r="B15932" s="1168"/>
    </row>
    <row r="15933" spans="2:2" s="221" customFormat="1" ht="12.75" x14ac:dyDescent="0.2">
      <c r="B15933" s="1168"/>
    </row>
    <row r="15934" spans="2:2" s="221" customFormat="1" ht="12.75" x14ac:dyDescent="0.2">
      <c r="B15934" s="1168"/>
    </row>
    <row r="15935" spans="2:2" s="221" customFormat="1" ht="12.75" x14ac:dyDescent="0.2">
      <c r="B15935" s="1168"/>
    </row>
    <row r="15936" spans="2:2" s="221" customFormat="1" ht="12.75" x14ac:dyDescent="0.2">
      <c r="B15936" s="1168"/>
    </row>
    <row r="15937" spans="2:2" s="221" customFormat="1" ht="12.75" x14ac:dyDescent="0.2">
      <c r="B15937" s="1168"/>
    </row>
    <row r="15938" spans="2:2" s="221" customFormat="1" ht="12.75" x14ac:dyDescent="0.2">
      <c r="B15938" s="1168"/>
    </row>
    <row r="15939" spans="2:2" s="221" customFormat="1" ht="12.75" x14ac:dyDescent="0.2">
      <c r="B15939" s="1168"/>
    </row>
    <row r="15940" spans="2:2" s="221" customFormat="1" ht="12.75" x14ac:dyDescent="0.2">
      <c r="B15940" s="1168"/>
    </row>
    <row r="15941" spans="2:2" s="221" customFormat="1" ht="12.75" x14ac:dyDescent="0.2">
      <c r="B15941" s="1168"/>
    </row>
    <row r="15942" spans="2:2" s="221" customFormat="1" ht="12.75" x14ac:dyDescent="0.2">
      <c r="B15942" s="1168"/>
    </row>
    <row r="15943" spans="2:2" s="221" customFormat="1" ht="12.75" x14ac:dyDescent="0.2">
      <c r="B15943" s="1168"/>
    </row>
    <row r="15944" spans="2:2" s="221" customFormat="1" ht="12.75" x14ac:dyDescent="0.2">
      <c r="B15944" s="1168"/>
    </row>
    <row r="15945" spans="2:2" s="221" customFormat="1" ht="12.75" x14ac:dyDescent="0.2">
      <c r="B15945" s="1168"/>
    </row>
    <row r="15946" spans="2:2" s="221" customFormat="1" ht="12.75" x14ac:dyDescent="0.2">
      <c r="B15946" s="1168"/>
    </row>
    <row r="15947" spans="2:2" s="221" customFormat="1" ht="12.75" x14ac:dyDescent="0.2">
      <c r="B15947" s="1168"/>
    </row>
    <row r="15948" spans="2:2" s="221" customFormat="1" ht="12.75" x14ac:dyDescent="0.2">
      <c r="B15948" s="1168"/>
    </row>
    <row r="15949" spans="2:2" s="221" customFormat="1" ht="12.75" x14ac:dyDescent="0.2">
      <c r="B15949" s="1168"/>
    </row>
    <row r="15950" spans="2:2" s="221" customFormat="1" ht="12.75" x14ac:dyDescent="0.2">
      <c r="B15950" s="1168"/>
    </row>
    <row r="15951" spans="2:2" s="221" customFormat="1" ht="12.75" x14ac:dyDescent="0.2">
      <c r="B15951" s="1168"/>
    </row>
    <row r="15952" spans="2:2" s="221" customFormat="1" ht="12.75" x14ac:dyDescent="0.2">
      <c r="B15952" s="1168"/>
    </row>
    <row r="15953" spans="2:2" s="221" customFormat="1" ht="12.75" x14ac:dyDescent="0.2">
      <c r="B15953" s="1168"/>
    </row>
    <row r="15954" spans="2:2" s="221" customFormat="1" ht="12.75" x14ac:dyDescent="0.2">
      <c r="B15954" s="1168"/>
    </row>
    <row r="15955" spans="2:2" s="221" customFormat="1" ht="12.75" x14ac:dyDescent="0.2">
      <c r="B15955" s="1168"/>
    </row>
    <row r="15956" spans="2:2" s="221" customFormat="1" ht="12.75" x14ac:dyDescent="0.2">
      <c r="B15956" s="1168"/>
    </row>
    <row r="15957" spans="2:2" s="221" customFormat="1" ht="12.75" x14ac:dyDescent="0.2">
      <c r="B15957" s="1168"/>
    </row>
    <row r="15958" spans="2:2" s="221" customFormat="1" ht="12.75" x14ac:dyDescent="0.2">
      <c r="B15958" s="1168"/>
    </row>
    <row r="15959" spans="2:2" s="221" customFormat="1" ht="12.75" x14ac:dyDescent="0.2">
      <c r="B15959" s="1168"/>
    </row>
    <row r="15960" spans="2:2" s="221" customFormat="1" ht="12.75" x14ac:dyDescent="0.2">
      <c r="B15960" s="1168"/>
    </row>
    <row r="15961" spans="2:2" s="221" customFormat="1" ht="12.75" x14ac:dyDescent="0.2">
      <c r="B15961" s="1168"/>
    </row>
    <row r="15962" spans="2:2" s="221" customFormat="1" ht="12.75" x14ac:dyDescent="0.2">
      <c r="B15962" s="1168"/>
    </row>
    <row r="15963" spans="2:2" s="221" customFormat="1" ht="12.75" x14ac:dyDescent="0.2">
      <c r="B15963" s="1168"/>
    </row>
    <row r="15964" spans="2:2" s="221" customFormat="1" ht="12.75" x14ac:dyDescent="0.2">
      <c r="B15964" s="1168"/>
    </row>
    <row r="15965" spans="2:2" s="221" customFormat="1" ht="12.75" x14ac:dyDescent="0.2">
      <c r="B15965" s="1168"/>
    </row>
    <row r="15966" spans="2:2" s="221" customFormat="1" ht="12.75" x14ac:dyDescent="0.2">
      <c r="B15966" s="1168"/>
    </row>
    <row r="15967" spans="2:2" s="221" customFormat="1" ht="12.75" x14ac:dyDescent="0.2">
      <c r="B15967" s="1168"/>
    </row>
    <row r="15968" spans="2:2" s="221" customFormat="1" ht="12.75" x14ac:dyDescent="0.2">
      <c r="B15968" s="1168"/>
    </row>
    <row r="15969" spans="2:2" s="221" customFormat="1" ht="12.75" x14ac:dyDescent="0.2">
      <c r="B15969" s="1168"/>
    </row>
    <row r="15970" spans="2:2" s="221" customFormat="1" ht="12.75" x14ac:dyDescent="0.2">
      <c r="B15970" s="1168"/>
    </row>
    <row r="15971" spans="2:2" s="221" customFormat="1" ht="12.75" x14ac:dyDescent="0.2">
      <c r="B15971" s="1168"/>
    </row>
    <row r="15972" spans="2:2" s="221" customFormat="1" ht="12.75" x14ac:dyDescent="0.2">
      <c r="B15972" s="1168"/>
    </row>
    <row r="15973" spans="2:2" s="221" customFormat="1" ht="12.75" x14ac:dyDescent="0.2">
      <c r="B15973" s="1168"/>
    </row>
    <row r="15974" spans="2:2" s="221" customFormat="1" ht="12.75" x14ac:dyDescent="0.2">
      <c r="B15974" s="1168"/>
    </row>
    <row r="15975" spans="2:2" s="221" customFormat="1" ht="12.75" x14ac:dyDescent="0.2">
      <c r="B15975" s="1168"/>
    </row>
    <row r="15976" spans="2:2" s="221" customFormat="1" ht="12.75" x14ac:dyDescent="0.2">
      <c r="B15976" s="1168"/>
    </row>
    <row r="15977" spans="2:2" s="221" customFormat="1" ht="12.75" x14ac:dyDescent="0.2">
      <c r="B15977" s="1168"/>
    </row>
    <row r="15978" spans="2:2" s="221" customFormat="1" ht="12.75" x14ac:dyDescent="0.2">
      <c r="B15978" s="1168"/>
    </row>
    <row r="15979" spans="2:2" s="221" customFormat="1" ht="12.75" x14ac:dyDescent="0.2">
      <c r="B15979" s="1168"/>
    </row>
    <row r="15980" spans="2:2" s="221" customFormat="1" ht="12.75" x14ac:dyDescent="0.2">
      <c r="B15980" s="1168"/>
    </row>
    <row r="15981" spans="2:2" s="221" customFormat="1" ht="12.75" x14ac:dyDescent="0.2">
      <c r="B15981" s="1168"/>
    </row>
    <row r="15982" spans="2:2" s="221" customFormat="1" ht="12.75" x14ac:dyDescent="0.2">
      <c r="B15982" s="1168"/>
    </row>
    <row r="15983" spans="2:2" s="221" customFormat="1" ht="12.75" x14ac:dyDescent="0.2">
      <c r="B15983" s="1168"/>
    </row>
    <row r="15984" spans="2:2" s="221" customFormat="1" ht="12.75" x14ac:dyDescent="0.2">
      <c r="B15984" s="1168"/>
    </row>
    <row r="15985" spans="2:2" s="221" customFormat="1" ht="12.75" x14ac:dyDescent="0.2">
      <c r="B15985" s="1168"/>
    </row>
    <row r="15986" spans="2:2" s="221" customFormat="1" ht="12.75" x14ac:dyDescent="0.2">
      <c r="B15986" s="1168"/>
    </row>
    <row r="15987" spans="2:2" s="221" customFormat="1" ht="12.75" x14ac:dyDescent="0.2">
      <c r="B15987" s="1168"/>
    </row>
    <row r="15988" spans="2:2" s="221" customFormat="1" ht="12.75" x14ac:dyDescent="0.2">
      <c r="B15988" s="1168"/>
    </row>
    <row r="15989" spans="2:2" s="221" customFormat="1" ht="12.75" x14ac:dyDescent="0.2">
      <c r="B15989" s="1168"/>
    </row>
    <row r="15990" spans="2:2" s="221" customFormat="1" ht="12.75" x14ac:dyDescent="0.2">
      <c r="B15990" s="1168"/>
    </row>
    <row r="15991" spans="2:2" s="221" customFormat="1" ht="12.75" x14ac:dyDescent="0.2">
      <c r="B15991" s="1168"/>
    </row>
    <row r="15992" spans="2:2" s="221" customFormat="1" ht="12.75" x14ac:dyDescent="0.2">
      <c r="B15992" s="1168"/>
    </row>
    <row r="15993" spans="2:2" s="221" customFormat="1" ht="12.75" x14ac:dyDescent="0.2">
      <c r="B15993" s="1168"/>
    </row>
    <row r="15994" spans="2:2" s="221" customFormat="1" ht="12.75" x14ac:dyDescent="0.2">
      <c r="B15994" s="1168"/>
    </row>
    <row r="15995" spans="2:2" s="221" customFormat="1" ht="12.75" x14ac:dyDescent="0.2">
      <c r="B15995" s="1168"/>
    </row>
    <row r="15996" spans="2:2" s="221" customFormat="1" ht="12.75" x14ac:dyDescent="0.2">
      <c r="B15996" s="1168"/>
    </row>
    <row r="15997" spans="2:2" s="221" customFormat="1" ht="12.75" x14ac:dyDescent="0.2">
      <c r="B15997" s="1168"/>
    </row>
    <row r="15998" spans="2:2" s="221" customFormat="1" ht="12.75" x14ac:dyDescent="0.2">
      <c r="B15998" s="1168"/>
    </row>
    <row r="15999" spans="2:2" s="221" customFormat="1" ht="12.75" x14ac:dyDescent="0.2">
      <c r="B15999" s="1168"/>
    </row>
    <row r="16000" spans="2:2" s="221" customFormat="1" ht="12.75" x14ac:dyDescent="0.2">
      <c r="B16000" s="1168"/>
    </row>
    <row r="16001" spans="2:2" s="221" customFormat="1" ht="12.75" x14ac:dyDescent="0.2">
      <c r="B16001" s="1168"/>
    </row>
    <row r="16002" spans="2:2" s="221" customFormat="1" ht="12.75" x14ac:dyDescent="0.2">
      <c r="B16002" s="1168"/>
    </row>
    <row r="16003" spans="2:2" s="221" customFormat="1" ht="12.75" x14ac:dyDescent="0.2">
      <c r="B16003" s="1168"/>
    </row>
    <row r="16004" spans="2:2" s="221" customFormat="1" ht="12.75" x14ac:dyDescent="0.2">
      <c r="B16004" s="1168"/>
    </row>
    <row r="16005" spans="2:2" s="221" customFormat="1" ht="12.75" x14ac:dyDescent="0.2">
      <c r="B16005" s="1168"/>
    </row>
    <row r="16006" spans="2:2" s="221" customFormat="1" ht="12.75" x14ac:dyDescent="0.2">
      <c r="B16006" s="1168"/>
    </row>
    <row r="16007" spans="2:2" s="221" customFormat="1" ht="12.75" x14ac:dyDescent="0.2">
      <c r="B16007" s="1168"/>
    </row>
    <row r="16008" spans="2:2" s="221" customFormat="1" ht="12.75" x14ac:dyDescent="0.2">
      <c r="B16008" s="1168"/>
    </row>
    <row r="16009" spans="2:2" s="221" customFormat="1" ht="12.75" x14ac:dyDescent="0.2">
      <c r="B16009" s="1168"/>
    </row>
    <row r="16010" spans="2:2" s="221" customFormat="1" ht="12.75" x14ac:dyDescent="0.2">
      <c r="B16010" s="1168"/>
    </row>
    <row r="16011" spans="2:2" s="221" customFormat="1" ht="12.75" x14ac:dyDescent="0.2">
      <c r="B16011" s="1168"/>
    </row>
    <row r="16012" spans="2:2" s="221" customFormat="1" ht="12.75" x14ac:dyDescent="0.2">
      <c r="B16012" s="1168"/>
    </row>
    <row r="16013" spans="2:2" s="221" customFormat="1" ht="12.75" x14ac:dyDescent="0.2">
      <c r="B16013" s="1168"/>
    </row>
    <row r="16014" spans="2:2" s="221" customFormat="1" ht="12.75" x14ac:dyDescent="0.2">
      <c r="B16014" s="1168"/>
    </row>
    <row r="16015" spans="2:2" s="221" customFormat="1" ht="12.75" x14ac:dyDescent="0.2">
      <c r="B16015" s="1168"/>
    </row>
    <row r="16016" spans="2:2" s="221" customFormat="1" ht="12.75" x14ac:dyDescent="0.2">
      <c r="B16016" s="1168"/>
    </row>
    <row r="16017" spans="2:2" s="221" customFormat="1" ht="12.75" x14ac:dyDescent="0.2">
      <c r="B16017" s="1168"/>
    </row>
    <row r="16018" spans="2:2" s="221" customFormat="1" ht="12.75" x14ac:dyDescent="0.2">
      <c r="B16018" s="1168"/>
    </row>
    <row r="16019" spans="2:2" s="221" customFormat="1" ht="12.75" x14ac:dyDescent="0.2">
      <c r="B16019" s="1168"/>
    </row>
    <row r="16020" spans="2:2" s="221" customFormat="1" ht="12.75" x14ac:dyDescent="0.2">
      <c r="B16020" s="1168"/>
    </row>
    <row r="16021" spans="2:2" s="221" customFormat="1" ht="12.75" x14ac:dyDescent="0.2">
      <c r="B16021" s="1168"/>
    </row>
    <row r="16022" spans="2:2" s="221" customFormat="1" ht="12.75" x14ac:dyDescent="0.2">
      <c r="B16022" s="1168"/>
    </row>
    <row r="16023" spans="2:2" s="221" customFormat="1" ht="12.75" x14ac:dyDescent="0.2">
      <c r="B16023" s="1168"/>
    </row>
    <row r="16024" spans="2:2" s="221" customFormat="1" ht="12.75" x14ac:dyDescent="0.2">
      <c r="B16024" s="1168"/>
    </row>
    <row r="16025" spans="2:2" s="221" customFormat="1" ht="12.75" x14ac:dyDescent="0.2">
      <c r="B16025" s="1168"/>
    </row>
    <row r="16026" spans="2:2" s="221" customFormat="1" ht="12.75" x14ac:dyDescent="0.2">
      <c r="B16026" s="1168"/>
    </row>
    <row r="16027" spans="2:2" s="221" customFormat="1" ht="12.75" x14ac:dyDescent="0.2">
      <c r="B16027" s="1168"/>
    </row>
    <row r="16028" spans="2:2" s="221" customFormat="1" ht="12.75" x14ac:dyDescent="0.2">
      <c r="B16028" s="1168"/>
    </row>
    <row r="16029" spans="2:2" s="221" customFormat="1" ht="12.75" x14ac:dyDescent="0.2">
      <c r="B16029" s="1168"/>
    </row>
    <row r="16030" spans="2:2" s="221" customFormat="1" ht="12.75" x14ac:dyDescent="0.2">
      <c r="B16030" s="1168"/>
    </row>
    <row r="16031" spans="2:2" s="221" customFormat="1" ht="12.75" x14ac:dyDescent="0.2">
      <c r="B16031" s="1168"/>
    </row>
    <row r="16032" spans="2:2" s="221" customFormat="1" ht="12.75" x14ac:dyDescent="0.2">
      <c r="B16032" s="1168"/>
    </row>
    <row r="16033" spans="2:2" s="221" customFormat="1" ht="12.75" x14ac:dyDescent="0.2">
      <c r="B16033" s="1168"/>
    </row>
    <row r="16034" spans="2:2" s="221" customFormat="1" ht="12.75" x14ac:dyDescent="0.2">
      <c r="B16034" s="1168"/>
    </row>
    <row r="16035" spans="2:2" s="221" customFormat="1" ht="12.75" x14ac:dyDescent="0.2">
      <c r="B16035" s="1168"/>
    </row>
    <row r="16036" spans="2:2" s="221" customFormat="1" ht="12.75" x14ac:dyDescent="0.2">
      <c r="B16036" s="1168"/>
    </row>
    <row r="16037" spans="2:2" s="221" customFormat="1" ht="12.75" x14ac:dyDescent="0.2">
      <c r="B16037" s="1168"/>
    </row>
    <row r="16038" spans="2:2" s="221" customFormat="1" ht="12.75" x14ac:dyDescent="0.2">
      <c r="B16038" s="1168"/>
    </row>
    <row r="16039" spans="2:2" s="221" customFormat="1" ht="12.75" x14ac:dyDescent="0.2">
      <c r="B16039" s="1168"/>
    </row>
    <row r="16040" spans="2:2" s="221" customFormat="1" ht="12.75" x14ac:dyDescent="0.2">
      <c r="B16040" s="1168"/>
    </row>
    <row r="16041" spans="2:2" s="221" customFormat="1" ht="12.75" x14ac:dyDescent="0.2">
      <c r="B16041" s="1168"/>
    </row>
    <row r="16042" spans="2:2" s="221" customFormat="1" ht="12.75" x14ac:dyDescent="0.2">
      <c r="B16042" s="1168"/>
    </row>
    <row r="16043" spans="2:2" s="221" customFormat="1" ht="12.75" x14ac:dyDescent="0.2">
      <c r="B16043" s="1168"/>
    </row>
    <row r="16044" spans="2:2" s="221" customFormat="1" ht="12.75" x14ac:dyDescent="0.2">
      <c r="B16044" s="1168"/>
    </row>
    <row r="16045" spans="2:2" s="221" customFormat="1" ht="12.75" x14ac:dyDescent="0.2">
      <c r="B16045" s="1168"/>
    </row>
    <row r="16046" spans="2:2" s="221" customFormat="1" ht="12.75" x14ac:dyDescent="0.2">
      <c r="B16046" s="1168"/>
    </row>
    <row r="16047" spans="2:2" s="221" customFormat="1" ht="12.75" x14ac:dyDescent="0.2">
      <c r="B16047" s="1168"/>
    </row>
    <row r="16048" spans="2:2" s="221" customFormat="1" ht="12.75" x14ac:dyDescent="0.2">
      <c r="B16048" s="1168"/>
    </row>
    <row r="16049" spans="2:2" s="221" customFormat="1" ht="12.75" x14ac:dyDescent="0.2">
      <c r="B16049" s="1168"/>
    </row>
    <row r="16050" spans="2:2" s="221" customFormat="1" ht="12.75" x14ac:dyDescent="0.2">
      <c r="B16050" s="1168"/>
    </row>
    <row r="16051" spans="2:2" s="221" customFormat="1" ht="12.75" x14ac:dyDescent="0.2">
      <c r="B16051" s="1168"/>
    </row>
    <row r="16052" spans="2:2" s="221" customFormat="1" ht="12.75" x14ac:dyDescent="0.2">
      <c r="B16052" s="1168"/>
    </row>
    <row r="16053" spans="2:2" s="221" customFormat="1" ht="12.75" x14ac:dyDescent="0.2">
      <c r="B16053" s="1168"/>
    </row>
    <row r="16054" spans="2:2" s="221" customFormat="1" ht="12.75" x14ac:dyDescent="0.2">
      <c r="B16054" s="1168"/>
    </row>
    <row r="16055" spans="2:2" s="221" customFormat="1" ht="12.75" x14ac:dyDescent="0.2">
      <c r="B16055" s="1168"/>
    </row>
    <row r="16056" spans="2:2" s="221" customFormat="1" ht="12.75" x14ac:dyDescent="0.2">
      <c r="B16056" s="1168"/>
    </row>
    <row r="16057" spans="2:2" s="221" customFormat="1" ht="12.75" x14ac:dyDescent="0.2">
      <c r="B16057" s="1168"/>
    </row>
    <row r="16058" spans="2:2" s="221" customFormat="1" ht="12.75" x14ac:dyDescent="0.2">
      <c r="B16058" s="1168"/>
    </row>
    <row r="16059" spans="2:2" s="221" customFormat="1" ht="12.75" x14ac:dyDescent="0.2">
      <c r="B16059" s="1168"/>
    </row>
    <row r="16060" spans="2:2" s="221" customFormat="1" ht="12.75" x14ac:dyDescent="0.2">
      <c r="B16060" s="1168"/>
    </row>
    <row r="16061" spans="2:2" s="221" customFormat="1" ht="12.75" x14ac:dyDescent="0.2">
      <c r="B16061" s="1168"/>
    </row>
    <row r="16062" spans="2:2" s="221" customFormat="1" ht="12.75" x14ac:dyDescent="0.2">
      <c r="B16062" s="1168"/>
    </row>
    <row r="16063" spans="2:2" s="221" customFormat="1" ht="12.75" x14ac:dyDescent="0.2">
      <c r="B16063" s="1168"/>
    </row>
    <row r="16064" spans="2:2" s="221" customFormat="1" ht="12.75" x14ac:dyDescent="0.2">
      <c r="B16064" s="1168"/>
    </row>
    <row r="16065" spans="2:2" s="221" customFormat="1" ht="12.75" x14ac:dyDescent="0.2">
      <c r="B16065" s="1168"/>
    </row>
    <row r="16066" spans="2:2" s="221" customFormat="1" ht="12.75" x14ac:dyDescent="0.2">
      <c r="B16066" s="1168"/>
    </row>
    <row r="16067" spans="2:2" s="221" customFormat="1" ht="12.75" x14ac:dyDescent="0.2">
      <c r="B16067" s="1168"/>
    </row>
    <row r="16068" spans="2:2" s="221" customFormat="1" ht="12.75" x14ac:dyDescent="0.2">
      <c r="B16068" s="1168"/>
    </row>
    <row r="16069" spans="2:2" s="221" customFormat="1" ht="12.75" x14ac:dyDescent="0.2">
      <c r="B16069" s="1168"/>
    </row>
    <row r="16070" spans="2:2" s="221" customFormat="1" ht="12.75" x14ac:dyDescent="0.2">
      <c r="B16070" s="1168"/>
    </row>
    <row r="16071" spans="2:2" s="221" customFormat="1" ht="12.75" x14ac:dyDescent="0.2">
      <c r="B16071" s="1168"/>
    </row>
    <row r="16072" spans="2:2" s="221" customFormat="1" ht="12.75" x14ac:dyDescent="0.2">
      <c r="B16072" s="1168"/>
    </row>
    <row r="16073" spans="2:2" s="221" customFormat="1" ht="12.75" x14ac:dyDescent="0.2">
      <c r="B16073" s="1168"/>
    </row>
    <row r="16074" spans="2:2" s="221" customFormat="1" ht="12.75" x14ac:dyDescent="0.2">
      <c r="B16074" s="1168"/>
    </row>
    <row r="16075" spans="2:2" s="221" customFormat="1" ht="12.75" x14ac:dyDescent="0.2">
      <c r="B16075" s="1168"/>
    </row>
    <row r="16076" spans="2:2" s="221" customFormat="1" ht="12.75" x14ac:dyDescent="0.2">
      <c r="B16076" s="1168"/>
    </row>
    <row r="16077" spans="2:2" s="221" customFormat="1" ht="12.75" x14ac:dyDescent="0.2">
      <c r="B16077" s="1168"/>
    </row>
    <row r="16078" spans="2:2" s="221" customFormat="1" ht="12.75" x14ac:dyDescent="0.2">
      <c r="B16078" s="1168"/>
    </row>
    <row r="16079" spans="2:2" s="221" customFormat="1" ht="12.75" x14ac:dyDescent="0.2">
      <c r="B16079" s="1168"/>
    </row>
    <row r="16080" spans="2:2" s="221" customFormat="1" ht="12.75" x14ac:dyDescent="0.2">
      <c r="B16080" s="1168"/>
    </row>
    <row r="16081" spans="2:2" s="221" customFormat="1" ht="12.75" x14ac:dyDescent="0.2">
      <c r="B16081" s="1168"/>
    </row>
    <row r="16082" spans="2:2" s="221" customFormat="1" ht="12.75" x14ac:dyDescent="0.2">
      <c r="B16082" s="1168"/>
    </row>
    <row r="16083" spans="2:2" s="221" customFormat="1" ht="12.75" x14ac:dyDescent="0.2">
      <c r="B16083" s="1168"/>
    </row>
    <row r="16084" spans="2:2" s="221" customFormat="1" ht="12.75" x14ac:dyDescent="0.2">
      <c r="B16084" s="1168"/>
    </row>
    <row r="16085" spans="2:2" s="221" customFormat="1" ht="12.75" x14ac:dyDescent="0.2">
      <c r="B16085" s="1168"/>
    </row>
    <row r="16086" spans="2:2" s="221" customFormat="1" ht="12.75" x14ac:dyDescent="0.2">
      <c r="B16086" s="1168"/>
    </row>
    <row r="16087" spans="2:2" s="221" customFormat="1" ht="12.75" x14ac:dyDescent="0.2">
      <c r="B16087" s="1168"/>
    </row>
    <row r="16088" spans="2:2" s="221" customFormat="1" ht="12.75" x14ac:dyDescent="0.2">
      <c r="B16088" s="1168"/>
    </row>
    <row r="16089" spans="2:2" s="221" customFormat="1" ht="12.75" x14ac:dyDescent="0.2">
      <c r="B16089" s="1168"/>
    </row>
    <row r="16090" spans="2:2" s="221" customFormat="1" ht="12.75" x14ac:dyDescent="0.2">
      <c r="B16090" s="1168"/>
    </row>
    <row r="16091" spans="2:2" s="221" customFormat="1" ht="12.75" x14ac:dyDescent="0.2">
      <c r="B16091" s="1168"/>
    </row>
    <row r="16092" spans="2:2" s="221" customFormat="1" ht="12.75" x14ac:dyDescent="0.2">
      <c r="B16092" s="1168"/>
    </row>
    <row r="16093" spans="2:2" s="221" customFormat="1" ht="12.75" x14ac:dyDescent="0.2">
      <c r="B16093" s="1168"/>
    </row>
    <row r="16094" spans="2:2" s="221" customFormat="1" ht="12.75" x14ac:dyDescent="0.2">
      <c r="B16094" s="1168"/>
    </row>
    <row r="16095" spans="2:2" s="221" customFormat="1" ht="12.75" x14ac:dyDescent="0.2">
      <c r="B16095" s="1168"/>
    </row>
    <row r="16096" spans="2:2" s="221" customFormat="1" ht="12.75" x14ac:dyDescent="0.2">
      <c r="B16096" s="1168"/>
    </row>
    <row r="16097" spans="2:2" s="221" customFormat="1" ht="12.75" x14ac:dyDescent="0.2">
      <c r="B16097" s="1168"/>
    </row>
    <row r="16098" spans="2:2" s="221" customFormat="1" ht="12.75" x14ac:dyDescent="0.2">
      <c r="B16098" s="1168"/>
    </row>
    <row r="16099" spans="2:2" s="221" customFormat="1" ht="12.75" x14ac:dyDescent="0.2">
      <c r="B16099" s="1168"/>
    </row>
    <row r="16100" spans="2:2" s="221" customFormat="1" ht="12.75" x14ac:dyDescent="0.2">
      <c r="B16100" s="1168"/>
    </row>
    <row r="16101" spans="2:2" s="221" customFormat="1" ht="12.75" x14ac:dyDescent="0.2">
      <c r="B16101" s="1168"/>
    </row>
    <row r="16102" spans="2:2" s="221" customFormat="1" ht="12.75" x14ac:dyDescent="0.2">
      <c r="B16102" s="1168"/>
    </row>
    <row r="16103" spans="2:2" s="221" customFormat="1" ht="12.75" x14ac:dyDescent="0.2">
      <c r="B16103" s="1168"/>
    </row>
    <row r="16104" spans="2:2" s="221" customFormat="1" ht="12.75" x14ac:dyDescent="0.2">
      <c r="B16104" s="1168"/>
    </row>
    <row r="16105" spans="2:2" s="221" customFormat="1" ht="12.75" x14ac:dyDescent="0.2">
      <c r="B16105" s="1168"/>
    </row>
    <row r="16106" spans="2:2" s="221" customFormat="1" ht="12.75" x14ac:dyDescent="0.2">
      <c r="B16106" s="1168"/>
    </row>
    <row r="16107" spans="2:2" s="221" customFormat="1" ht="12.75" x14ac:dyDescent="0.2">
      <c r="B16107" s="1168"/>
    </row>
    <row r="16108" spans="2:2" s="221" customFormat="1" ht="12.75" x14ac:dyDescent="0.2">
      <c r="B16108" s="1168"/>
    </row>
    <row r="16109" spans="2:2" s="221" customFormat="1" ht="12.75" x14ac:dyDescent="0.2">
      <c r="B16109" s="1168"/>
    </row>
    <row r="16110" spans="2:2" s="221" customFormat="1" ht="12.75" x14ac:dyDescent="0.2">
      <c r="B16110" s="1168"/>
    </row>
    <row r="16111" spans="2:2" s="221" customFormat="1" ht="12.75" x14ac:dyDescent="0.2">
      <c r="B16111" s="1168"/>
    </row>
    <row r="16112" spans="2:2" s="221" customFormat="1" ht="12.75" x14ac:dyDescent="0.2">
      <c r="B16112" s="1168"/>
    </row>
    <row r="16113" spans="2:2" s="221" customFormat="1" ht="12.75" x14ac:dyDescent="0.2">
      <c r="B16113" s="1168"/>
    </row>
    <row r="16114" spans="2:2" s="221" customFormat="1" ht="12.75" x14ac:dyDescent="0.2">
      <c r="B16114" s="1168"/>
    </row>
    <row r="16115" spans="2:2" s="221" customFormat="1" ht="12.75" x14ac:dyDescent="0.2">
      <c r="B16115" s="1168"/>
    </row>
    <row r="16116" spans="2:2" s="221" customFormat="1" ht="12.75" x14ac:dyDescent="0.2">
      <c r="B16116" s="1168"/>
    </row>
    <row r="16117" spans="2:2" s="221" customFormat="1" ht="12.75" x14ac:dyDescent="0.2">
      <c r="B16117" s="1168"/>
    </row>
    <row r="16118" spans="2:2" s="221" customFormat="1" ht="12.75" x14ac:dyDescent="0.2">
      <c r="B16118" s="1168"/>
    </row>
    <row r="16119" spans="2:2" s="221" customFormat="1" ht="12.75" x14ac:dyDescent="0.2">
      <c r="B16119" s="1168"/>
    </row>
    <row r="16120" spans="2:2" s="221" customFormat="1" ht="12.75" x14ac:dyDescent="0.2">
      <c r="B16120" s="1168"/>
    </row>
    <row r="16121" spans="2:2" s="221" customFormat="1" ht="12.75" x14ac:dyDescent="0.2">
      <c r="B16121" s="1168"/>
    </row>
    <row r="16122" spans="2:2" s="221" customFormat="1" ht="12.75" x14ac:dyDescent="0.2">
      <c r="B16122" s="1168"/>
    </row>
    <row r="16123" spans="2:2" s="221" customFormat="1" ht="12.75" x14ac:dyDescent="0.2">
      <c r="B16123" s="1168"/>
    </row>
    <row r="16124" spans="2:2" s="221" customFormat="1" ht="12.75" x14ac:dyDescent="0.2">
      <c r="B16124" s="1168"/>
    </row>
    <row r="16125" spans="2:2" s="221" customFormat="1" ht="12.75" x14ac:dyDescent="0.2">
      <c r="B16125" s="1168"/>
    </row>
    <row r="16126" spans="2:2" s="221" customFormat="1" ht="12.75" x14ac:dyDescent="0.2">
      <c r="B16126" s="1168"/>
    </row>
    <row r="16127" spans="2:2" s="221" customFormat="1" ht="12.75" x14ac:dyDescent="0.2">
      <c r="B16127" s="1168"/>
    </row>
    <row r="16128" spans="2:2" s="221" customFormat="1" ht="12.75" x14ac:dyDescent="0.2">
      <c r="B16128" s="1168"/>
    </row>
    <row r="16129" spans="2:2" s="221" customFormat="1" ht="12.75" x14ac:dyDescent="0.2">
      <c r="B16129" s="1168"/>
    </row>
    <row r="16130" spans="2:2" s="221" customFormat="1" ht="12.75" x14ac:dyDescent="0.2">
      <c r="B16130" s="1168"/>
    </row>
    <row r="16131" spans="2:2" s="221" customFormat="1" ht="12.75" x14ac:dyDescent="0.2">
      <c r="B16131" s="1168"/>
    </row>
    <row r="16132" spans="2:2" s="221" customFormat="1" ht="12.75" x14ac:dyDescent="0.2">
      <c r="B16132" s="1168"/>
    </row>
    <row r="16133" spans="2:2" s="221" customFormat="1" ht="12.75" x14ac:dyDescent="0.2">
      <c r="B16133" s="1168"/>
    </row>
    <row r="16134" spans="2:2" s="221" customFormat="1" ht="12.75" x14ac:dyDescent="0.2">
      <c r="B16134" s="1168"/>
    </row>
    <row r="16135" spans="2:2" s="221" customFormat="1" ht="12.75" x14ac:dyDescent="0.2">
      <c r="B16135" s="1168"/>
    </row>
    <row r="16136" spans="2:2" s="221" customFormat="1" ht="12.75" x14ac:dyDescent="0.2">
      <c r="B16136" s="1168"/>
    </row>
    <row r="16137" spans="2:2" s="221" customFormat="1" ht="12.75" x14ac:dyDescent="0.2">
      <c r="B16137" s="1168"/>
    </row>
    <row r="16138" spans="2:2" s="221" customFormat="1" ht="12.75" x14ac:dyDescent="0.2">
      <c r="B16138" s="1168"/>
    </row>
    <row r="16139" spans="2:2" s="221" customFormat="1" ht="12.75" x14ac:dyDescent="0.2">
      <c r="B16139" s="1168"/>
    </row>
    <row r="16140" spans="2:2" s="221" customFormat="1" ht="12.75" x14ac:dyDescent="0.2">
      <c r="B16140" s="1168"/>
    </row>
    <row r="16141" spans="2:2" s="221" customFormat="1" ht="12.75" x14ac:dyDescent="0.2">
      <c r="B16141" s="1168"/>
    </row>
    <row r="16142" spans="2:2" s="221" customFormat="1" ht="12.75" x14ac:dyDescent="0.2">
      <c r="B16142" s="1168"/>
    </row>
    <row r="16143" spans="2:2" s="221" customFormat="1" ht="12.75" x14ac:dyDescent="0.2">
      <c r="B16143" s="1168"/>
    </row>
    <row r="16144" spans="2:2" s="221" customFormat="1" ht="12.75" x14ac:dyDescent="0.2">
      <c r="B16144" s="1168"/>
    </row>
    <row r="16145" spans="2:2" s="221" customFormat="1" ht="12.75" x14ac:dyDescent="0.2">
      <c r="B16145" s="1168"/>
    </row>
    <row r="16146" spans="2:2" s="221" customFormat="1" ht="12.75" x14ac:dyDescent="0.2">
      <c r="B16146" s="1168"/>
    </row>
    <row r="16147" spans="2:2" s="221" customFormat="1" ht="12.75" x14ac:dyDescent="0.2">
      <c r="B16147" s="1168"/>
    </row>
    <row r="16148" spans="2:2" s="221" customFormat="1" ht="12.75" x14ac:dyDescent="0.2">
      <c r="B16148" s="1168"/>
    </row>
    <row r="16149" spans="2:2" s="221" customFormat="1" ht="12.75" x14ac:dyDescent="0.2">
      <c r="B16149" s="1168"/>
    </row>
    <row r="16150" spans="2:2" s="221" customFormat="1" ht="12.75" x14ac:dyDescent="0.2">
      <c r="B16150" s="1168"/>
    </row>
    <row r="16151" spans="2:2" s="221" customFormat="1" ht="12.75" x14ac:dyDescent="0.2">
      <c r="B16151" s="1168"/>
    </row>
    <row r="16152" spans="2:2" s="221" customFormat="1" ht="12.75" x14ac:dyDescent="0.2">
      <c r="B16152" s="1168"/>
    </row>
    <row r="16153" spans="2:2" s="221" customFormat="1" ht="12.75" x14ac:dyDescent="0.2">
      <c r="B16153" s="1168"/>
    </row>
    <row r="16154" spans="2:2" s="221" customFormat="1" ht="12.75" x14ac:dyDescent="0.2">
      <c r="B16154" s="1168"/>
    </row>
    <row r="16155" spans="2:2" s="221" customFormat="1" ht="12.75" x14ac:dyDescent="0.2">
      <c r="B16155" s="1168"/>
    </row>
    <row r="16156" spans="2:2" s="221" customFormat="1" ht="12.75" x14ac:dyDescent="0.2">
      <c r="B16156" s="1168"/>
    </row>
    <row r="16157" spans="2:2" s="221" customFormat="1" ht="12.75" x14ac:dyDescent="0.2">
      <c r="B16157" s="1168"/>
    </row>
    <row r="16158" spans="2:2" s="221" customFormat="1" ht="12.75" x14ac:dyDescent="0.2">
      <c r="B16158" s="1168"/>
    </row>
    <row r="16159" spans="2:2" s="221" customFormat="1" ht="12.75" x14ac:dyDescent="0.2">
      <c r="B16159" s="1168"/>
    </row>
    <row r="16160" spans="2:2" s="221" customFormat="1" ht="12.75" x14ac:dyDescent="0.2">
      <c r="B16160" s="1168"/>
    </row>
    <row r="16161" spans="2:2" s="221" customFormat="1" ht="12.75" x14ac:dyDescent="0.2">
      <c r="B16161" s="1168"/>
    </row>
    <row r="16162" spans="2:2" s="221" customFormat="1" ht="12.75" x14ac:dyDescent="0.2">
      <c r="B16162" s="1168"/>
    </row>
    <row r="16163" spans="2:2" s="221" customFormat="1" ht="12.75" x14ac:dyDescent="0.2">
      <c r="B16163" s="1168"/>
    </row>
    <row r="16164" spans="2:2" s="221" customFormat="1" ht="12.75" x14ac:dyDescent="0.2">
      <c r="B16164" s="1168"/>
    </row>
    <row r="16165" spans="2:2" s="221" customFormat="1" ht="12.75" x14ac:dyDescent="0.2">
      <c r="B16165" s="1168"/>
    </row>
    <row r="16166" spans="2:2" s="221" customFormat="1" ht="12.75" x14ac:dyDescent="0.2">
      <c r="B16166" s="1168"/>
    </row>
    <row r="16167" spans="2:2" s="221" customFormat="1" ht="12.75" x14ac:dyDescent="0.2">
      <c r="B16167" s="1168"/>
    </row>
    <row r="16168" spans="2:2" s="221" customFormat="1" ht="12.75" x14ac:dyDescent="0.2">
      <c r="B16168" s="1168"/>
    </row>
    <row r="16169" spans="2:2" s="221" customFormat="1" ht="12.75" x14ac:dyDescent="0.2">
      <c r="B16169" s="1168"/>
    </row>
    <row r="16170" spans="2:2" s="221" customFormat="1" ht="12.75" x14ac:dyDescent="0.2">
      <c r="B16170" s="1168"/>
    </row>
    <row r="16171" spans="2:2" s="221" customFormat="1" ht="12.75" x14ac:dyDescent="0.2">
      <c r="B16171" s="1168"/>
    </row>
    <row r="16172" spans="2:2" s="221" customFormat="1" ht="12.75" x14ac:dyDescent="0.2">
      <c r="B16172" s="1168"/>
    </row>
    <row r="16173" spans="2:2" s="221" customFormat="1" ht="12.75" x14ac:dyDescent="0.2">
      <c r="B16173" s="1168"/>
    </row>
    <row r="16174" spans="2:2" s="221" customFormat="1" ht="12.75" x14ac:dyDescent="0.2">
      <c r="B16174" s="1168"/>
    </row>
    <row r="16175" spans="2:2" s="221" customFormat="1" ht="12.75" x14ac:dyDescent="0.2">
      <c r="B16175" s="1168"/>
    </row>
    <row r="16176" spans="2:2" s="221" customFormat="1" ht="12.75" x14ac:dyDescent="0.2">
      <c r="B16176" s="1168"/>
    </row>
    <row r="16177" spans="2:2" s="221" customFormat="1" ht="12.75" x14ac:dyDescent="0.2">
      <c r="B16177" s="1168"/>
    </row>
    <row r="16178" spans="2:2" s="221" customFormat="1" ht="12.75" x14ac:dyDescent="0.2">
      <c r="B16178" s="1168"/>
    </row>
    <row r="16179" spans="2:2" s="221" customFormat="1" ht="12.75" x14ac:dyDescent="0.2">
      <c r="B16179" s="1168"/>
    </row>
    <row r="16180" spans="2:2" s="221" customFormat="1" ht="12.75" x14ac:dyDescent="0.2">
      <c r="B16180" s="1168"/>
    </row>
    <row r="16181" spans="2:2" s="221" customFormat="1" ht="12.75" x14ac:dyDescent="0.2">
      <c r="B16181" s="1168"/>
    </row>
    <row r="16182" spans="2:2" s="221" customFormat="1" ht="12.75" x14ac:dyDescent="0.2">
      <c r="B16182" s="1168"/>
    </row>
    <row r="16183" spans="2:2" s="221" customFormat="1" ht="12.75" x14ac:dyDescent="0.2">
      <c r="B16183" s="1168"/>
    </row>
    <row r="16184" spans="2:2" s="221" customFormat="1" ht="12.75" x14ac:dyDescent="0.2">
      <c r="B16184" s="1168"/>
    </row>
    <row r="16185" spans="2:2" s="221" customFormat="1" ht="12.75" x14ac:dyDescent="0.2">
      <c r="B16185" s="1168"/>
    </row>
    <row r="16186" spans="2:2" s="221" customFormat="1" ht="12.75" x14ac:dyDescent="0.2">
      <c r="B16186" s="1168"/>
    </row>
    <row r="16187" spans="2:2" s="221" customFormat="1" ht="12.75" x14ac:dyDescent="0.2">
      <c r="B16187" s="1168"/>
    </row>
    <row r="16188" spans="2:2" s="221" customFormat="1" ht="12.75" x14ac:dyDescent="0.2">
      <c r="B16188" s="1168"/>
    </row>
    <row r="16189" spans="2:2" s="221" customFormat="1" ht="12.75" x14ac:dyDescent="0.2">
      <c r="B16189" s="1168"/>
    </row>
    <row r="16190" spans="2:2" s="221" customFormat="1" ht="12.75" x14ac:dyDescent="0.2">
      <c r="B16190" s="1168"/>
    </row>
    <row r="16191" spans="2:2" s="221" customFormat="1" ht="12.75" x14ac:dyDescent="0.2">
      <c r="B16191" s="1168"/>
    </row>
    <row r="16192" spans="2:2" s="221" customFormat="1" ht="12.75" x14ac:dyDescent="0.2">
      <c r="B16192" s="1168"/>
    </row>
    <row r="16193" spans="2:2" s="221" customFormat="1" ht="12.75" x14ac:dyDescent="0.2">
      <c r="B16193" s="1168"/>
    </row>
    <row r="16194" spans="2:2" s="221" customFormat="1" ht="12.75" x14ac:dyDescent="0.2">
      <c r="B16194" s="1168"/>
    </row>
    <row r="16195" spans="2:2" s="221" customFormat="1" ht="12.75" x14ac:dyDescent="0.2">
      <c r="B16195" s="1168"/>
    </row>
    <row r="16196" spans="2:2" s="221" customFormat="1" ht="12.75" x14ac:dyDescent="0.2">
      <c r="B16196" s="1168"/>
    </row>
    <row r="16197" spans="2:2" s="221" customFormat="1" ht="12.75" x14ac:dyDescent="0.2">
      <c r="B16197" s="1168"/>
    </row>
    <row r="16198" spans="2:2" s="221" customFormat="1" ht="12.75" x14ac:dyDescent="0.2">
      <c r="B16198" s="1168"/>
    </row>
    <row r="16199" spans="2:2" s="221" customFormat="1" ht="12.75" x14ac:dyDescent="0.2">
      <c r="B16199" s="1168"/>
    </row>
    <row r="16200" spans="2:2" s="221" customFormat="1" ht="12.75" x14ac:dyDescent="0.2">
      <c r="B16200" s="1168"/>
    </row>
    <row r="16201" spans="2:2" s="221" customFormat="1" ht="12.75" x14ac:dyDescent="0.2">
      <c r="B16201" s="1168"/>
    </row>
    <row r="16202" spans="2:2" s="221" customFormat="1" ht="12.75" x14ac:dyDescent="0.2">
      <c r="B16202" s="1168"/>
    </row>
    <row r="16203" spans="2:2" s="221" customFormat="1" ht="12.75" x14ac:dyDescent="0.2">
      <c r="B16203" s="1168"/>
    </row>
    <row r="16204" spans="2:2" s="221" customFormat="1" ht="12.75" x14ac:dyDescent="0.2">
      <c r="B16204" s="1168"/>
    </row>
    <row r="16205" spans="2:2" s="221" customFormat="1" ht="12.75" x14ac:dyDescent="0.2">
      <c r="B16205" s="1168"/>
    </row>
    <row r="16206" spans="2:2" s="221" customFormat="1" ht="12.75" x14ac:dyDescent="0.2">
      <c r="B16206" s="1168"/>
    </row>
    <row r="16207" spans="2:2" s="221" customFormat="1" ht="12.75" x14ac:dyDescent="0.2">
      <c r="B16207" s="1168"/>
    </row>
    <row r="16208" spans="2:2" s="221" customFormat="1" ht="12.75" x14ac:dyDescent="0.2">
      <c r="B16208" s="1168"/>
    </row>
    <row r="16209" spans="2:2" s="221" customFormat="1" ht="12.75" x14ac:dyDescent="0.2">
      <c r="B16209" s="1168"/>
    </row>
    <row r="16210" spans="2:2" s="221" customFormat="1" ht="12.75" x14ac:dyDescent="0.2">
      <c r="B16210" s="1168"/>
    </row>
    <row r="16211" spans="2:2" s="221" customFormat="1" ht="12.75" x14ac:dyDescent="0.2">
      <c r="B16211" s="1168"/>
    </row>
    <row r="16212" spans="2:2" s="221" customFormat="1" ht="12.75" x14ac:dyDescent="0.2">
      <c r="B16212" s="1168"/>
    </row>
    <row r="16213" spans="2:2" s="221" customFormat="1" ht="12.75" x14ac:dyDescent="0.2">
      <c r="B16213" s="1168"/>
    </row>
    <row r="16214" spans="2:2" s="221" customFormat="1" ht="12.75" x14ac:dyDescent="0.2">
      <c r="B16214" s="1168"/>
    </row>
    <row r="16215" spans="2:2" s="221" customFormat="1" ht="12.75" x14ac:dyDescent="0.2">
      <c r="B16215" s="1168"/>
    </row>
    <row r="16216" spans="2:2" s="221" customFormat="1" ht="12.75" x14ac:dyDescent="0.2">
      <c r="B16216" s="1168"/>
    </row>
    <row r="16217" spans="2:2" s="221" customFormat="1" ht="12.75" x14ac:dyDescent="0.2">
      <c r="B16217" s="1168"/>
    </row>
    <row r="16218" spans="2:2" s="221" customFormat="1" ht="12.75" x14ac:dyDescent="0.2">
      <c r="B16218" s="1168"/>
    </row>
    <row r="16219" spans="2:2" s="221" customFormat="1" ht="12.75" x14ac:dyDescent="0.2">
      <c r="B16219" s="1168"/>
    </row>
    <row r="16220" spans="2:2" s="221" customFormat="1" ht="12.75" x14ac:dyDescent="0.2">
      <c r="B16220" s="1168"/>
    </row>
    <row r="16221" spans="2:2" s="221" customFormat="1" ht="12.75" x14ac:dyDescent="0.2">
      <c r="B16221" s="1168"/>
    </row>
    <row r="16222" spans="2:2" s="221" customFormat="1" ht="12.75" x14ac:dyDescent="0.2">
      <c r="B16222" s="1168"/>
    </row>
    <row r="16223" spans="2:2" s="221" customFormat="1" ht="12.75" x14ac:dyDescent="0.2">
      <c r="B16223" s="1168"/>
    </row>
    <row r="16224" spans="2:2" s="221" customFormat="1" ht="12.75" x14ac:dyDescent="0.2">
      <c r="B16224" s="1168"/>
    </row>
    <row r="16225" spans="2:2" s="221" customFormat="1" ht="12.75" x14ac:dyDescent="0.2">
      <c r="B16225" s="1168"/>
    </row>
    <row r="16226" spans="2:2" s="221" customFormat="1" ht="12.75" x14ac:dyDescent="0.2">
      <c r="B16226" s="1168"/>
    </row>
    <row r="16227" spans="2:2" s="221" customFormat="1" ht="12.75" x14ac:dyDescent="0.2">
      <c r="B16227" s="1168"/>
    </row>
    <row r="16228" spans="2:2" s="221" customFormat="1" ht="12.75" x14ac:dyDescent="0.2">
      <c r="B16228" s="1168"/>
    </row>
    <row r="16229" spans="2:2" s="221" customFormat="1" ht="12.75" x14ac:dyDescent="0.2">
      <c r="B16229" s="1168"/>
    </row>
    <row r="16230" spans="2:2" s="221" customFormat="1" ht="12.75" x14ac:dyDescent="0.2">
      <c r="B16230" s="1168"/>
    </row>
    <row r="16231" spans="2:2" s="221" customFormat="1" ht="12.75" x14ac:dyDescent="0.2">
      <c r="B16231" s="1168"/>
    </row>
    <row r="16232" spans="2:2" s="221" customFormat="1" ht="12.75" x14ac:dyDescent="0.2">
      <c r="B16232" s="1168"/>
    </row>
    <row r="16233" spans="2:2" s="221" customFormat="1" ht="12.75" x14ac:dyDescent="0.2">
      <c r="B16233" s="1168"/>
    </row>
    <row r="16234" spans="2:2" s="221" customFormat="1" ht="12.75" x14ac:dyDescent="0.2">
      <c r="B16234" s="1168"/>
    </row>
    <row r="16235" spans="2:2" s="221" customFormat="1" ht="12.75" x14ac:dyDescent="0.2">
      <c r="B16235" s="1168"/>
    </row>
    <row r="16236" spans="2:2" s="221" customFormat="1" ht="12.75" x14ac:dyDescent="0.2">
      <c r="B16236" s="1168"/>
    </row>
    <row r="16237" spans="2:2" s="221" customFormat="1" ht="12.75" x14ac:dyDescent="0.2">
      <c r="B16237" s="1168"/>
    </row>
    <row r="16238" spans="2:2" s="221" customFormat="1" ht="12.75" x14ac:dyDescent="0.2">
      <c r="B16238" s="1168"/>
    </row>
    <row r="16239" spans="2:2" s="221" customFormat="1" ht="12.75" x14ac:dyDescent="0.2">
      <c r="B16239" s="1168"/>
    </row>
    <row r="16240" spans="2:2" s="221" customFormat="1" ht="12.75" x14ac:dyDescent="0.2">
      <c r="B16240" s="1168"/>
    </row>
    <row r="16241" spans="2:2" s="221" customFormat="1" ht="12.75" x14ac:dyDescent="0.2">
      <c r="B16241" s="1168"/>
    </row>
    <row r="16242" spans="2:2" s="221" customFormat="1" ht="12.75" x14ac:dyDescent="0.2">
      <c r="B16242" s="1168"/>
    </row>
    <row r="16243" spans="2:2" s="221" customFormat="1" ht="12.75" x14ac:dyDescent="0.2">
      <c r="B16243" s="1168"/>
    </row>
    <row r="16244" spans="2:2" s="221" customFormat="1" ht="12.75" x14ac:dyDescent="0.2">
      <c r="B16244" s="1168"/>
    </row>
    <row r="16245" spans="2:2" s="221" customFormat="1" ht="12.75" x14ac:dyDescent="0.2">
      <c r="B16245" s="1168"/>
    </row>
    <row r="16246" spans="2:2" s="221" customFormat="1" ht="12.75" x14ac:dyDescent="0.2">
      <c r="B16246" s="1168"/>
    </row>
    <row r="16247" spans="2:2" s="221" customFormat="1" ht="12.75" x14ac:dyDescent="0.2">
      <c r="B16247" s="1168"/>
    </row>
    <row r="16248" spans="2:2" s="221" customFormat="1" ht="12.75" x14ac:dyDescent="0.2">
      <c r="B16248" s="1168"/>
    </row>
    <row r="16249" spans="2:2" s="221" customFormat="1" ht="12.75" x14ac:dyDescent="0.2">
      <c r="B16249" s="1168"/>
    </row>
    <row r="16250" spans="2:2" s="221" customFormat="1" ht="12.75" x14ac:dyDescent="0.2">
      <c r="B16250" s="1168"/>
    </row>
    <row r="16251" spans="2:2" s="221" customFormat="1" ht="12.75" x14ac:dyDescent="0.2">
      <c r="B16251" s="1168"/>
    </row>
    <row r="16252" spans="2:2" s="221" customFormat="1" ht="12.75" x14ac:dyDescent="0.2">
      <c r="B16252" s="1168"/>
    </row>
    <row r="16253" spans="2:2" s="221" customFormat="1" ht="12.75" x14ac:dyDescent="0.2">
      <c r="B16253" s="1168"/>
    </row>
    <row r="16254" spans="2:2" s="221" customFormat="1" ht="12.75" x14ac:dyDescent="0.2">
      <c r="B16254" s="1168"/>
    </row>
    <row r="16255" spans="2:2" s="221" customFormat="1" ht="12.75" x14ac:dyDescent="0.2">
      <c r="B16255" s="1168"/>
    </row>
    <row r="16256" spans="2:2" s="221" customFormat="1" ht="12.75" x14ac:dyDescent="0.2">
      <c r="B16256" s="1168"/>
    </row>
    <row r="16257" spans="2:2" s="221" customFormat="1" ht="12.75" x14ac:dyDescent="0.2">
      <c r="B16257" s="1168"/>
    </row>
    <row r="16258" spans="2:2" s="221" customFormat="1" ht="12.75" x14ac:dyDescent="0.2">
      <c r="B16258" s="1168"/>
    </row>
    <row r="16259" spans="2:2" s="221" customFormat="1" ht="12.75" x14ac:dyDescent="0.2">
      <c r="B16259" s="1168"/>
    </row>
    <row r="16260" spans="2:2" s="221" customFormat="1" ht="12.75" x14ac:dyDescent="0.2">
      <c r="B16260" s="1168"/>
    </row>
    <row r="16261" spans="2:2" s="221" customFormat="1" ht="12.75" x14ac:dyDescent="0.2">
      <c r="B16261" s="1168"/>
    </row>
    <row r="16262" spans="2:2" s="221" customFormat="1" ht="12.75" x14ac:dyDescent="0.2">
      <c r="B16262" s="1168"/>
    </row>
    <row r="16263" spans="2:2" s="221" customFormat="1" ht="12.75" x14ac:dyDescent="0.2">
      <c r="B16263" s="1168"/>
    </row>
    <row r="16264" spans="2:2" s="221" customFormat="1" ht="12.75" x14ac:dyDescent="0.2">
      <c r="B16264" s="1168"/>
    </row>
    <row r="16265" spans="2:2" s="221" customFormat="1" ht="12.75" x14ac:dyDescent="0.2">
      <c r="B16265" s="1168"/>
    </row>
    <row r="16266" spans="2:2" s="221" customFormat="1" ht="12.75" x14ac:dyDescent="0.2">
      <c r="B16266" s="1168"/>
    </row>
    <row r="16267" spans="2:2" s="221" customFormat="1" ht="12.75" x14ac:dyDescent="0.2">
      <c r="B16267" s="1168"/>
    </row>
    <row r="16268" spans="2:2" s="221" customFormat="1" ht="12.75" x14ac:dyDescent="0.2">
      <c r="B16268" s="1168"/>
    </row>
    <row r="16269" spans="2:2" s="221" customFormat="1" ht="12.75" x14ac:dyDescent="0.2">
      <c r="B16269" s="1168"/>
    </row>
    <row r="16270" spans="2:2" s="221" customFormat="1" ht="12.75" x14ac:dyDescent="0.2">
      <c r="B16270" s="1168"/>
    </row>
    <row r="16271" spans="2:2" s="221" customFormat="1" ht="12.75" x14ac:dyDescent="0.2">
      <c r="B16271" s="1168"/>
    </row>
    <row r="16272" spans="2:2" s="221" customFormat="1" ht="12.75" x14ac:dyDescent="0.2">
      <c r="B16272" s="1168"/>
    </row>
    <row r="16273" spans="2:2" s="221" customFormat="1" ht="12.75" x14ac:dyDescent="0.2">
      <c r="B16273" s="1168"/>
    </row>
    <row r="16274" spans="2:2" s="221" customFormat="1" ht="12.75" x14ac:dyDescent="0.2">
      <c r="B16274" s="1168"/>
    </row>
    <row r="16275" spans="2:2" s="221" customFormat="1" ht="12.75" x14ac:dyDescent="0.2">
      <c r="B16275" s="1168"/>
    </row>
    <row r="16276" spans="2:2" s="221" customFormat="1" ht="12.75" x14ac:dyDescent="0.2">
      <c r="B16276" s="1168"/>
    </row>
    <row r="16277" spans="2:2" s="221" customFormat="1" ht="12.75" x14ac:dyDescent="0.2">
      <c r="B16277" s="1168"/>
    </row>
    <row r="16278" spans="2:2" s="221" customFormat="1" ht="12.75" x14ac:dyDescent="0.2">
      <c r="B16278" s="1168"/>
    </row>
    <row r="16279" spans="2:2" s="221" customFormat="1" ht="12.75" x14ac:dyDescent="0.2">
      <c r="B16279" s="1168"/>
    </row>
    <row r="16280" spans="2:2" s="221" customFormat="1" ht="12.75" x14ac:dyDescent="0.2">
      <c r="B16280" s="1168"/>
    </row>
    <row r="16281" spans="2:2" s="221" customFormat="1" ht="12.75" x14ac:dyDescent="0.2">
      <c r="B16281" s="1168"/>
    </row>
    <row r="16282" spans="2:2" s="221" customFormat="1" ht="12.75" x14ac:dyDescent="0.2">
      <c r="B16282" s="1168"/>
    </row>
    <row r="16283" spans="2:2" s="221" customFormat="1" ht="12.75" x14ac:dyDescent="0.2">
      <c r="B16283" s="1168"/>
    </row>
    <row r="16284" spans="2:2" s="221" customFormat="1" ht="12.75" x14ac:dyDescent="0.2">
      <c r="B16284" s="1168"/>
    </row>
    <row r="16285" spans="2:2" s="221" customFormat="1" ht="12.75" x14ac:dyDescent="0.2">
      <c r="B16285" s="1168"/>
    </row>
    <row r="16286" spans="2:2" s="221" customFormat="1" ht="12.75" x14ac:dyDescent="0.2">
      <c r="B16286" s="1168"/>
    </row>
    <row r="16287" spans="2:2" s="221" customFormat="1" ht="12.75" x14ac:dyDescent="0.2">
      <c r="B16287" s="1168"/>
    </row>
    <row r="16288" spans="2:2" s="221" customFormat="1" ht="12.75" x14ac:dyDescent="0.2">
      <c r="B16288" s="1168"/>
    </row>
    <row r="16289" spans="2:2" s="221" customFormat="1" ht="12.75" x14ac:dyDescent="0.2">
      <c r="B16289" s="1168"/>
    </row>
    <row r="16290" spans="2:2" s="221" customFormat="1" ht="12.75" x14ac:dyDescent="0.2">
      <c r="B16290" s="1168"/>
    </row>
    <row r="16291" spans="2:2" s="221" customFormat="1" ht="12.75" x14ac:dyDescent="0.2">
      <c r="B16291" s="1168"/>
    </row>
    <row r="16292" spans="2:2" s="221" customFormat="1" ht="12.75" x14ac:dyDescent="0.2">
      <c r="B16292" s="1168"/>
    </row>
    <row r="16293" spans="2:2" s="221" customFormat="1" ht="12.75" x14ac:dyDescent="0.2">
      <c r="B16293" s="1168"/>
    </row>
    <row r="16294" spans="2:2" s="221" customFormat="1" ht="12.75" x14ac:dyDescent="0.2">
      <c r="B16294" s="1168"/>
    </row>
    <row r="16295" spans="2:2" s="221" customFormat="1" ht="12.75" x14ac:dyDescent="0.2">
      <c r="B16295" s="1168"/>
    </row>
    <row r="16296" spans="2:2" s="221" customFormat="1" ht="12.75" x14ac:dyDescent="0.2">
      <c r="B16296" s="1168"/>
    </row>
    <row r="16297" spans="2:2" s="221" customFormat="1" ht="12.75" x14ac:dyDescent="0.2">
      <c r="B16297" s="1168"/>
    </row>
    <row r="16298" spans="2:2" s="221" customFormat="1" ht="12.75" x14ac:dyDescent="0.2">
      <c r="B16298" s="1168"/>
    </row>
    <row r="16299" spans="2:2" s="221" customFormat="1" ht="12.75" x14ac:dyDescent="0.2">
      <c r="B16299" s="1168"/>
    </row>
    <row r="16300" spans="2:2" s="221" customFormat="1" ht="12.75" x14ac:dyDescent="0.2">
      <c r="B16300" s="1168"/>
    </row>
    <row r="16301" spans="2:2" s="221" customFormat="1" ht="12.75" x14ac:dyDescent="0.2">
      <c r="B16301" s="1168"/>
    </row>
    <row r="16302" spans="2:2" s="221" customFormat="1" ht="12.75" x14ac:dyDescent="0.2">
      <c r="B16302" s="1168"/>
    </row>
    <row r="16303" spans="2:2" s="221" customFormat="1" ht="12.75" x14ac:dyDescent="0.2">
      <c r="B16303" s="1168"/>
    </row>
    <row r="16304" spans="2:2" s="221" customFormat="1" ht="12.75" x14ac:dyDescent="0.2">
      <c r="B16304" s="1168"/>
    </row>
    <row r="16305" spans="2:2" s="221" customFormat="1" ht="12.75" x14ac:dyDescent="0.2">
      <c r="B16305" s="1168"/>
    </row>
    <row r="16306" spans="2:2" s="221" customFormat="1" ht="12.75" x14ac:dyDescent="0.2">
      <c r="B16306" s="1168"/>
    </row>
    <row r="16307" spans="2:2" s="221" customFormat="1" ht="12.75" x14ac:dyDescent="0.2">
      <c r="B16307" s="1168"/>
    </row>
    <row r="16308" spans="2:2" s="221" customFormat="1" ht="12.75" x14ac:dyDescent="0.2">
      <c r="B16308" s="1168"/>
    </row>
    <row r="16309" spans="2:2" s="221" customFormat="1" ht="12.75" x14ac:dyDescent="0.2">
      <c r="B16309" s="1168"/>
    </row>
    <row r="16310" spans="2:2" s="221" customFormat="1" ht="12.75" x14ac:dyDescent="0.2">
      <c r="B16310" s="1168"/>
    </row>
    <row r="16311" spans="2:2" s="221" customFormat="1" ht="12.75" x14ac:dyDescent="0.2">
      <c r="B16311" s="1168"/>
    </row>
    <row r="16312" spans="2:2" s="221" customFormat="1" ht="12.75" x14ac:dyDescent="0.2">
      <c r="B16312" s="1168"/>
    </row>
    <row r="16313" spans="2:2" s="221" customFormat="1" ht="12.75" x14ac:dyDescent="0.2">
      <c r="B16313" s="1168"/>
    </row>
    <row r="16314" spans="2:2" s="221" customFormat="1" ht="12.75" x14ac:dyDescent="0.2">
      <c r="B16314" s="1168"/>
    </row>
    <row r="16315" spans="2:2" s="221" customFormat="1" ht="12.75" x14ac:dyDescent="0.2">
      <c r="B16315" s="1168"/>
    </row>
    <row r="16316" spans="2:2" s="221" customFormat="1" ht="12.75" x14ac:dyDescent="0.2">
      <c r="B16316" s="1168"/>
    </row>
    <row r="16317" spans="2:2" s="221" customFormat="1" ht="12.75" x14ac:dyDescent="0.2">
      <c r="B16317" s="1168"/>
    </row>
    <row r="16318" spans="2:2" s="221" customFormat="1" ht="12.75" x14ac:dyDescent="0.2">
      <c r="B16318" s="1168"/>
    </row>
    <row r="16319" spans="2:2" s="221" customFormat="1" ht="12.75" x14ac:dyDescent="0.2">
      <c r="B16319" s="1168"/>
    </row>
    <row r="16320" spans="2:2" s="221" customFormat="1" ht="12.75" x14ac:dyDescent="0.2">
      <c r="B16320" s="1168"/>
    </row>
    <row r="16321" spans="2:2" s="221" customFormat="1" ht="12.75" x14ac:dyDescent="0.2">
      <c r="B16321" s="1168"/>
    </row>
    <row r="16322" spans="2:2" s="221" customFormat="1" ht="12.75" x14ac:dyDescent="0.2">
      <c r="B16322" s="1168"/>
    </row>
    <row r="16323" spans="2:2" s="221" customFormat="1" ht="12.75" x14ac:dyDescent="0.2">
      <c r="B16323" s="1168"/>
    </row>
    <row r="16324" spans="2:2" s="221" customFormat="1" ht="12.75" x14ac:dyDescent="0.2">
      <c r="B16324" s="1168"/>
    </row>
    <row r="16325" spans="2:2" s="221" customFormat="1" ht="12.75" x14ac:dyDescent="0.2">
      <c r="B16325" s="1168"/>
    </row>
    <row r="16326" spans="2:2" s="221" customFormat="1" ht="12.75" x14ac:dyDescent="0.2">
      <c r="B16326" s="1168"/>
    </row>
    <row r="16327" spans="2:2" s="221" customFormat="1" ht="12.75" x14ac:dyDescent="0.2">
      <c r="B16327" s="1168"/>
    </row>
    <row r="16328" spans="2:2" s="221" customFormat="1" ht="12.75" x14ac:dyDescent="0.2">
      <c r="B16328" s="1168"/>
    </row>
    <row r="16329" spans="2:2" s="221" customFormat="1" ht="12.75" x14ac:dyDescent="0.2">
      <c r="B16329" s="1168"/>
    </row>
    <row r="16330" spans="2:2" s="221" customFormat="1" ht="12.75" x14ac:dyDescent="0.2">
      <c r="B16330" s="1168"/>
    </row>
    <row r="16331" spans="2:2" s="221" customFormat="1" ht="12.75" x14ac:dyDescent="0.2">
      <c r="B16331" s="1168"/>
    </row>
    <row r="16332" spans="2:2" s="221" customFormat="1" ht="12.75" x14ac:dyDescent="0.2">
      <c r="B16332" s="1168"/>
    </row>
    <row r="16333" spans="2:2" s="221" customFormat="1" ht="12.75" x14ac:dyDescent="0.2">
      <c r="B16333" s="1168"/>
    </row>
    <row r="16334" spans="2:2" s="221" customFormat="1" ht="12.75" x14ac:dyDescent="0.2">
      <c r="B16334" s="1168"/>
    </row>
    <row r="16335" spans="2:2" s="221" customFormat="1" ht="12.75" x14ac:dyDescent="0.2">
      <c r="B16335" s="1168"/>
    </row>
    <row r="16336" spans="2:2" s="221" customFormat="1" ht="12.75" x14ac:dyDescent="0.2">
      <c r="B16336" s="1168"/>
    </row>
    <row r="16337" spans="2:2" s="221" customFormat="1" ht="12.75" x14ac:dyDescent="0.2">
      <c r="B16337" s="1168"/>
    </row>
    <row r="16338" spans="2:2" s="221" customFormat="1" ht="12.75" x14ac:dyDescent="0.2">
      <c r="B16338" s="1168"/>
    </row>
    <row r="16339" spans="2:2" s="221" customFormat="1" ht="12.75" x14ac:dyDescent="0.2">
      <c r="B16339" s="1168"/>
    </row>
    <row r="16340" spans="2:2" s="221" customFormat="1" ht="12.75" x14ac:dyDescent="0.2">
      <c r="B16340" s="1168"/>
    </row>
    <row r="16341" spans="2:2" s="221" customFormat="1" ht="12.75" x14ac:dyDescent="0.2">
      <c r="B16341" s="1168"/>
    </row>
    <row r="16342" spans="2:2" s="221" customFormat="1" ht="12.75" x14ac:dyDescent="0.2">
      <c r="B16342" s="1168"/>
    </row>
    <row r="16343" spans="2:2" s="221" customFormat="1" ht="12.75" x14ac:dyDescent="0.2">
      <c r="B16343" s="1168"/>
    </row>
    <row r="16344" spans="2:2" s="221" customFormat="1" ht="12.75" x14ac:dyDescent="0.2">
      <c r="B16344" s="1168"/>
    </row>
    <row r="16345" spans="2:2" s="221" customFormat="1" ht="12.75" x14ac:dyDescent="0.2">
      <c r="B16345" s="1168"/>
    </row>
    <row r="16346" spans="2:2" s="221" customFormat="1" ht="12.75" x14ac:dyDescent="0.2">
      <c r="B16346" s="1168"/>
    </row>
    <row r="16347" spans="2:2" s="221" customFormat="1" ht="12.75" x14ac:dyDescent="0.2">
      <c r="B16347" s="1168"/>
    </row>
    <row r="16348" spans="2:2" s="221" customFormat="1" ht="12.75" x14ac:dyDescent="0.2">
      <c r="B16348" s="1168"/>
    </row>
    <row r="16349" spans="2:2" s="221" customFormat="1" ht="12.75" x14ac:dyDescent="0.2">
      <c r="B16349" s="1168"/>
    </row>
    <row r="16350" spans="2:2" s="221" customFormat="1" ht="12.75" x14ac:dyDescent="0.2">
      <c r="B16350" s="1168"/>
    </row>
    <row r="16351" spans="2:2" s="221" customFormat="1" ht="12.75" x14ac:dyDescent="0.2">
      <c r="B16351" s="1168"/>
    </row>
    <row r="16352" spans="2:2" s="221" customFormat="1" ht="12.75" x14ac:dyDescent="0.2">
      <c r="B16352" s="1168"/>
    </row>
    <row r="16353" spans="2:2" s="221" customFormat="1" ht="12.75" x14ac:dyDescent="0.2">
      <c r="B16353" s="1168"/>
    </row>
    <row r="16354" spans="2:2" s="221" customFormat="1" ht="12.75" x14ac:dyDescent="0.2">
      <c r="B16354" s="1168"/>
    </row>
    <row r="16355" spans="2:2" s="221" customFormat="1" ht="12.75" x14ac:dyDescent="0.2">
      <c r="B16355" s="1168"/>
    </row>
    <row r="16356" spans="2:2" s="221" customFormat="1" ht="12.75" x14ac:dyDescent="0.2">
      <c r="B16356" s="1168"/>
    </row>
    <row r="16357" spans="2:2" s="221" customFormat="1" ht="12.75" x14ac:dyDescent="0.2">
      <c r="B16357" s="1168"/>
    </row>
    <row r="16358" spans="2:2" s="221" customFormat="1" ht="12.75" x14ac:dyDescent="0.2">
      <c r="B16358" s="1168"/>
    </row>
    <row r="16359" spans="2:2" s="221" customFormat="1" ht="12.75" x14ac:dyDescent="0.2">
      <c r="B16359" s="1168"/>
    </row>
    <row r="16360" spans="2:2" s="221" customFormat="1" ht="12.75" x14ac:dyDescent="0.2">
      <c r="B16360" s="1168"/>
    </row>
    <row r="16361" spans="2:2" s="221" customFormat="1" ht="12.75" x14ac:dyDescent="0.2">
      <c r="B16361" s="1168"/>
    </row>
    <row r="16362" spans="2:2" s="221" customFormat="1" ht="12.75" x14ac:dyDescent="0.2">
      <c r="B16362" s="1168"/>
    </row>
    <row r="16363" spans="2:2" s="221" customFormat="1" ht="12.75" x14ac:dyDescent="0.2">
      <c r="B16363" s="1168"/>
    </row>
    <row r="16364" spans="2:2" s="221" customFormat="1" ht="12.75" x14ac:dyDescent="0.2">
      <c r="B16364" s="1168"/>
    </row>
    <row r="16365" spans="2:2" s="221" customFormat="1" ht="12.75" x14ac:dyDescent="0.2">
      <c r="B16365" s="1168"/>
    </row>
    <row r="16366" spans="2:2" s="221" customFormat="1" ht="12.75" x14ac:dyDescent="0.2">
      <c r="B16366" s="1168"/>
    </row>
    <row r="16367" spans="2:2" s="221" customFormat="1" ht="12.75" x14ac:dyDescent="0.2">
      <c r="B16367" s="1168"/>
    </row>
    <row r="16368" spans="2:2" s="221" customFormat="1" ht="12.75" x14ac:dyDescent="0.2">
      <c r="B16368" s="1168"/>
    </row>
    <row r="16369" spans="2:2" s="221" customFormat="1" ht="12.75" x14ac:dyDescent="0.2">
      <c r="B16369" s="1168"/>
    </row>
    <row r="16370" spans="2:2" s="221" customFormat="1" ht="12.75" x14ac:dyDescent="0.2">
      <c r="B16370" s="1168"/>
    </row>
    <row r="16371" spans="2:2" s="221" customFormat="1" ht="12.75" x14ac:dyDescent="0.2">
      <c r="B16371" s="1168"/>
    </row>
    <row r="16372" spans="2:2" s="221" customFormat="1" ht="12.75" x14ac:dyDescent="0.2">
      <c r="B16372" s="1168"/>
    </row>
    <row r="16373" spans="2:2" s="221" customFormat="1" ht="12.75" x14ac:dyDescent="0.2">
      <c r="B16373" s="1168"/>
    </row>
    <row r="16374" spans="2:2" s="221" customFormat="1" ht="12.75" x14ac:dyDescent="0.2">
      <c r="B16374" s="1168"/>
    </row>
    <row r="16375" spans="2:2" s="221" customFormat="1" ht="12.75" x14ac:dyDescent="0.2">
      <c r="B16375" s="1168"/>
    </row>
    <row r="16376" spans="2:2" s="221" customFormat="1" ht="12.75" x14ac:dyDescent="0.2">
      <c r="B16376" s="1168"/>
    </row>
    <row r="16377" spans="2:2" s="221" customFormat="1" ht="12.75" x14ac:dyDescent="0.2">
      <c r="B16377" s="1168"/>
    </row>
    <row r="16378" spans="2:2" s="221" customFormat="1" ht="12.75" x14ac:dyDescent="0.2">
      <c r="B16378" s="1168"/>
    </row>
    <row r="16379" spans="2:2" s="221" customFormat="1" ht="12.75" x14ac:dyDescent="0.2">
      <c r="B16379" s="1168"/>
    </row>
    <row r="16380" spans="2:2" s="221" customFormat="1" ht="12.75" x14ac:dyDescent="0.2">
      <c r="B16380" s="1168"/>
    </row>
    <row r="16381" spans="2:2" s="221" customFormat="1" ht="12.75" x14ac:dyDescent="0.2">
      <c r="B16381" s="1168"/>
    </row>
    <row r="16382" spans="2:2" s="221" customFormat="1" ht="12.75" x14ac:dyDescent="0.2">
      <c r="B16382" s="1168"/>
    </row>
    <row r="16383" spans="2:2" s="221" customFormat="1" ht="12.75" x14ac:dyDescent="0.2">
      <c r="B16383" s="1168"/>
    </row>
    <row r="16384" spans="2:2" s="221" customFormat="1" ht="12.75" x14ac:dyDescent="0.2">
      <c r="B16384" s="1168"/>
    </row>
    <row r="16385" spans="2:2" s="221" customFormat="1" ht="12.75" x14ac:dyDescent="0.2">
      <c r="B16385" s="1168"/>
    </row>
    <row r="16386" spans="2:2" s="221" customFormat="1" ht="12.75" x14ac:dyDescent="0.2">
      <c r="B16386" s="1168"/>
    </row>
    <row r="16387" spans="2:2" s="221" customFormat="1" ht="12.75" x14ac:dyDescent="0.2">
      <c r="B16387" s="1168"/>
    </row>
    <row r="16388" spans="2:2" s="221" customFormat="1" ht="12.75" x14ac:dyDescent="0.2">
      <c r="B16388" s="1168"/>
    </row>
    <row r="16389" spans="2:2" s="221" customFormat="1" ht="12.75" x14ac:dyDescent="0.2">
      <c r="B16389" s="1168"/>
    </row>
    <row r="16390" spans="2:2" s="221" customFormat="1" ht="12.75" x14ac:dyDescent="0.2">
      <c r="B16390" s="1168"/>
    </row>
    <row r="16391" spans="2:2" s="221" customFormat="1" ht="12.75" x14ac:dyDescent="0.2">
      <c r="B16391" s="1168"/>
    </row>
    <row r="16392" spans="2:2" s="221" customFormat="1" ht="12.75" x14ac:dyDescent="0.2">
      <c r="B16392" s="1168"/>
    </row>
    <row r="16393" spans="2:2" s="221" customFormat="1" ht="12.75" x14ac:dyDescent="0.2">
      <c r="B16393" s="1168"/>
    </row>
    <row r="16394" spans="2:2" s="221" customFormat="1" ht="12.75" x14ac:dyDescent="0.2">
      <c r="B16394" s="1168"/>
    </row>
    <row r="16395" spans="2:2" s="221" customFormat="1" ht="12.75" x14ac:dyDescent="0.2">
      <c r="B16395" s="1168"/>
    </row>
    <row r="16396" spans="2:2" s="221" customFormat="1" ht="12.75" x14ac:dyDescent="0.2">
      <c r="B16396" s="1168"/>
    </row>
    <row r="16397" spans="2:2" s="221" customFormat="1" ht="12.75" x14ac:dyDescent="0.2">
      <c r="B16397" s="1168"/>
    </row>
    <row r="16398" spans="2:2" s="221" customFormat="1" ht="12.75" x14ac:dyDescent="0.2">
      <c r="B16398" s="1168"/>
    </row>
    <row r="16399" spans="2:2" s="221" customFormat="1" ht="12.75" x14ac:dyDescent="0.2">
      <c r="B16399" s="1168"/>
    </row>
    <row r="16400" spans="2:2" s="221" customFormat="1" ht="12.75" x14ac:dyDescent="0.2">
      <c r="B16400" s="1168"/>
    </row>
    <row r="16401" spans="2:2" s="221" customFormat="1" ht="12.75" x14ac:dyDescent="0.2">
      <c r="B16401" s="1168"/>
    </row>
    <row r="16402" spans="2:2" s="221" customFormat="1" ht="12.75" x14ac:dyDescent="0.2">
      <c r="B16402" s="1168"/>
    </row>
    <row r="16403" spans="2:2" s="221" customFormat="1" ht="12.75" x14ac:dyDescent="0.2">
      <c r="B16403" s="1168"/>
    </row>
    <row r="16404" spans="2:2" s="221" customFormat="1" ht="12.75" x14ac:dyDescent="0.2">
      <c r="B16404" s="1168"/>
    </row>
    <row r="16405" spans="2:2" s="221" customFormat="1" ht="12.75" x14ac:dyDescent="0.2">
      <c r="B16405" s="1168"/>
    </row>
    <row r="16406" spans="2:2" s="221" customFormat="1" ht="12.75" x14ac:dyDescent="0.2">
      <c r="B16406" s="1168"/>
    </row>
    <row r="16407" spans="2:2" s="221" customFormat="1" ht="12.75" x14ac:dyDescent="0.2">
      <c r="B16407" s="1168"/>
    </row>
    <row r="16408" spans="2:2" s="221" customFormat="1" ht="12.75" x14ac:dyDescent="0.2">
      <c r="B16408" s="1168"/>
    </row>
    <row r="16409" spans="2:2" s="221" customFormat="1" ht="12.75" x14ac:dyDescent="0.2">
      <c r="B16409" s="1168"/>
    </row>
    <row r="16410" spans="2:2" s="221" customFormat="1" ht="12.75" x14ac:dyDescent="0.2">
      <c r="B16410" s="1168"/>
    </row>
    <row r="16411" spans="2:2" s="221" customFormat="1" ht="12.75" x14ac:dyDescent="0.2">
      <c r="B16411" s="1168"/>
    </row>
    <row r="16412" spans="2:2" s="221" customFormat="1" ht="12.75" x14ac:dyDescent="0.2">
      <c r="B16412" s="1168"/>
    </row>
    <row r="16413" spans="2:2" s="221" customFormat="1" ht="12.75" x14ac:dyDescent="0.2">
      <c r="B16413" s="1168"/>
    </row>
    <row r="16414" spans="2:2" s="221" customFormat="1" ht="12.75" x14ac:dyDescent="0.2">
      <c r="B16414" s="1168"/>
    </row>
    <row r="16415" spans="2:2" s="221" customFormat="1" ht="12.75" x14ac:dyDescent="0.2">
      <c r="B16415" s="1168"/>
    </row>
    <row r="16416" spans="2:2" s="221" customFormat="1" ht="12.75" x14ac:dyDescent="0.2">
      <c r="B16416" s="1168"/>
    </row>
    <row r="16417" spans="2:2" s="221" customFormat="1" ht="12.75" x14ac:dyDescent="0.2">
      <c r="B16417" s="1168"/>
    </row>
    <row r="16418" spans="2:2" s="221" customFormat="1" ht="12.75" x14ac:dyDescent="0.2">
      <c r="B16418" s="1168"/>
    </row>
    <row r="16419" spans="2:2" s="221" customFormat="1" ht="12.75" x14ac:dyDescent="0.2">
      <c r="B16419" s="1168"/>
    </row>
    <row r="16420" spans="2:2" s="221" customFormat="1" ht="12.75" x14ac:dyDescent="0.2">
      <c r="B16420" s="1168"/>
    </row>
    <row r="16421" spans="2:2" s="221" customFormat="1" ht="12.75" x14ac:dyDescent="0.2">
      <c r="B16421" s="1168"/>
    </row>
    <row r="16422" spans="2:2" s="221" customFormat="1" ht="12.75" x14ac:dyDescent="0.2">
      <c r="B16422" s="1168"/>
    </row>
    <row r="16423" spans="2:2" s="221" customFormat="1" ht="12.75" x14ac:dyDescent="0.2">
      <c r="B16423" s="1168"/>
    </row>
    <row r="16424" spans="2:2" s="221" customFormat="1" ht="12.75" x14ac:dyDescent="0.2">
      <c r="B16424" s="1168"/>
    </row>
    <row r="16425" spans="2:2" s="221" customFormat="1" ht="12.75" x14ac:dyDescent="0.2">
      <c r="B16425" s="1168"/>
    </row>
    <row r="16426" spans="2:2" s="221" customFormat="1" ht="12.75" x14ac:dyDescent="0.2">
      <c r="B16426" s="1168"/>
    </row>
    <row r="16427" spans="2:2" s="221" customFormat="1" ht="12.75" x14ac:dyDescent="0.2">
      <c r="B16427" s="1168"/>
    </row>
    <row r="16428" spans="2:2" s="221" customFormat="1" ht="12.75" x14ac:dyDescent="0.2">
      <c r="B16428" s="1168"/>
    </row>
    <row r="16429" spans="2:2" s="221" customFormat="1" ht="12.75" x14ac:dyDescent="0.2">
      <c r="B16429" s="1168"/>
    </row>
    <row r="16430" spans="2:2" s="221" customFormat="1" ht="12.75" x14ac:dyDescent="0.2">
      <c r="B16430" s="1168"/>
    </row>
    <row r="16431" spans="2:2" s="221" customFormat="1" ht="12.75" x14ac:dyDescent="0.2">
      <c r="B16431" s="1168"/>
    </row>
    <row r="16432" spans="2:2" s="221" customFormat="1" ht="12.75" x14ac:dyDescent="0.2">
      <c r="B16432" s="1168"/>
    </row>
    <row r="16433" spans="2:2" s="221" customFormat="1" ht="12.75" x14ac:dyDescent="0.2">
      <c r="B16433" s="1168"/>
    </row>
    <row r="16434" spans="2:2" s="221" customFormat="1" ht="12.75" x14ac:dyDescent="0.2">
      <c r="B16434" s="1168"/>
    </row>
    <row r="16435" spans="2:2" s="221" customFormat="1" ht="12.75" x14ac:dyDescent="0.2">
      <c r="B16435" s="1168"/>
    </row>
    <row r="16436" spans="2:2" s="221" customFormat="1" ht="12.75" x14ac:dyDescent="0.2">
      <c r="B16436" s="1168"/>
    </row>
    <row r="16437" spans="2:2" s="221" customFormat="1" ht="12.75" x14ac:dyDescent="0.2">
      <c r="B16437" s="1168"/>
    </row>
    <row r="16438" spans="2:2" s="221" customFormat="1" ht="12.75" x14ac:dyDescent="0.2">
      <c r="B16438" s="1168"/>
    </row>
    <row r="16439" spans="2:2" s="221" customFormat="1" ht="12.75" x14ac:dyDescent="0.2">
      <c r="B16439" s="1168"/>
    </row>
    <row r="16440" spans="2:2" s="221" customFormat="1" ht="12.75" x14ac:dyDescent="0.2">
      <c r="B16440" s="1168"/>
    </row>
    <row r="16441" spans="2:2" s="221" customFormat="1" ht="12.75" x14ac:dyDescent="0.2">
      <c r="B16441" s="1168"/>
    </row>
    <row r="16442" spans="2:2" s="221" customFormat="1" ht="12.75" x14ac:dyDescent="0.2">
      <c r="B16442" s="1168"/>
    </row>
    <row r="16443" spans="2:2" s="221" customFormat="1" ht="12.75" x14ac:dyDescent="0.2">
      <c r="B16443" s="1168"/>
    </row>
    <row r="16444" spans="2:2" s="221" customFormat="1" ht="12.75" x14ac:dyDescent="0.2">
      <c r="B16444" s="1168"/>
    </row>
    <row r="16445" spans="2:2" s="221" customFormat="1" ht="12.75" x14ac:dyDescent="0.2">
      <c r="B16445" s="1168"/>
    </row>
    <row r="16446" spans="2:2" s="221" customFormat="1" ht="12.75" x14ac:dyDescent="0.2">
      <c r="B16446" s="1168"/>
    </row>
    <row r="16447" spans="2:2" s="221" customFormat="1" ht="12.75" x14ac:dyDescent="0.2">
      <c r="B16447" s="1168"/>
    </row>
    <row r="16448" spans="2:2" s="221" customFormat="1" ht="12.75" x14ac:dyDescent="0.2">
      <c r="B16448" s="1168"/>
    </row>
    <row r="16449" spans="2:2" s="221" customFormat="1" ht="12.75" x14ac:dyDescent="0.2">
      <c r="B16449" s="1168"/>
    </row>
    <row r="16450" spans="2:2" s="221" customFormat="1" ht="12.75" x14ac:dyDescent="0.2">
      <c r="B16450" s="1168"/>
    </row>
    <row r="16451" spans="2:2" s="221" customFormat="1" ht="12.75" x14ac:dyDescent="0.2">
      <c r="B16451" s="1168"/>
    </row>
    <row r="16452" spans="2:2" s="221" customFormat="1" ht="12.75" x14ac:dyDescent="0.2">
      <c r="B16452" s="1168"/>
    </row>
    <row r="16453" spans="2:2" s="221" customFormat="1" ht="12.75" x14ac:dyDescent="0.2">
      <c r="B16453" s="1168"/>
    </row>
    <row r="16454" spans="2:2" s="221" customFormat="1" ht="12.75" x14ac:dyDescent="0.2">
      <c r="B16454" s="1168"/>
    </row>
    <row r="16455" spans="2:2" s="221" customFormat="1" ht="12.75" x14ac:dyDescent="0.2">
      <c r="B16455" s="1168"/>
    </row>
    <row r="16456" spans="2:2" s="221" customFormat="1" ht="12.75" x14ac:dyDescent="0.2">
      <c r="B16456" s="1168"/>
    </row>
    <row r="16457" spans="2:2" s="221" customFormat="1" ht="12.75" x14ac:dyDescent="0.2">
      <c r="B16457" s="1168"/>
    </row>
    <row r="16458" spans="2:2" s="221" customFormat="1" ht="12.75" x14ac:dyDescent="0.2">
      <c r="B16458" s="1168"/>
    </row>
    <row r="16459" spans="2:2" s="221" customFormat="1" ht="12.75" x14ac:dyDescent="0.2">
      <c r="B16459" s="1168"/>
    </row>
    <row r="16460" spans="2:2" s="221" customFormat="1" ht="12.75" x14ac:dyDescent="0.2">
      <c r="B16460" s="1168"/>
    </row>
    <row r="16461" spans="2:2" s="221" customFormat="1" ht="12.75" x14ac:dyDescent="0.2">
      <c r="B16461" s="1168"/>
    </row>
    <row r="16462" spans="2:2" s="221" customFormat="1" ht="12.75" x14ac:dyDescent="0.2">
      <c r="B16462" s="1168"/>
    </row>
    <row r="16463" spans="2:2" s="221" customFormat="1" ht="12.75" x14ac:dyDescent="0.2">
      <c r="B16463" s="1168"/>
    </row>
    <row r="16464" spans="2:2" s="221" customFormat="1" ht="12.75" x14ac:dyDescent="0.2">
      <c r="B16464" s="1168"/>
    </row>
    <row r="16465" spans="2:2" s="221" customFormat="1" ht="12.75" x14ac:dyDescent="0.2">
      <c r="B16465" s="1168"/>
    </row>
    <row r="16466" spans="2:2" s="221" customFormat="1" ht="12.75" x14ac:dyDescent="0.2">
      <c r="B16466" s="1168"/>
    </row>
    <row r="16467" spans="2:2" s="221" customFormat="1" ht="12.75" x14ac:dyDescent="0.2">
      <c r="B16467" s="1168"/>
    </row>
    <row r="16468" spans="2:2" s="221" customFormat="1" ht="12.75" x14ac:dyDescent="0.2">
      <c r="B16468" s="1168"/>
    </row>
    <row r="16469" spans="2:2" s="221" customFormat="1" ht="12.75" x14ac:dyDescent="0.2">
      <c r="B16469" s="1168"/>
    </row>
    <row r="16470" spans="2:2" s="221" customFormat="1" ht="12.75" x14ac:dyDescent="0.2">
      <c r="B16470" s="1168"/>
    </row>
    <row r="16471" spans="2:2" s="221" customFormat="1" ht="12.75" x14ac:dyDescent="0.2">
      <c r="B16471" s="1168"/>
    </row>
    <row r="16472" spans="2:2" s="221" customFormat="1" ht="12.75" x14ac:dyDescent="0.2">
      <c r="B16472" s="1168"/>
    </row>
    <row r="16473" spans="2:2" s="221" customFormat="1" ht="12.75" x14ac:dyDescent="0.2">
      <c r="B16473" s="1168"/>
    </row>
    <row r="16474" spans="2:2" s="221" customFormat="1" ht="12.75" x14ac:dyDescent="0.2">
      <c r="B16474" s="1168"/>
    </row>
    <row r="16475" spans="2:2" s="221" customFormat="1" ht="12.75" x14ac:dyDescent="0.2">
      <c r="B16475" s="1168"/>
    </row>
    <row r="16476" spans="2:2" s="221" customFormat="1" ht="12.75" x14ac:dyDescent="0.2">
      <c r="B16476" s="1168"/>
    </row>
    <row r="16477" spans="2:2" s="221" customFormat="1" ht="12.75" x14ac:dyDescent="0.2">
      <c r="B16477" s="1168"/>
    </row>
    <row r="16478" spans="2:2" s="221" customFormat="1" ht="12.75" x14ac:dyDescent="0.2">
      <c r="B16478" s="1168"/>
    </row>
    <row r="16479" spans="2:2" s="221" customFormat="1" ht="12.75" x14ac:dyDescent="0.2">
      <c r="B16479" s="1168"/>
    </row>
    <row r="16480" spans="2:2" s="221" customFormat="1" ht="12.75" x14ac:dyDescent="0.2">
      <c r="B16480" s="1168"/>
    </row>
    <row r="16481" spans="2:2" s="221" customFormat="1" ht="12.75" x14ac:dyDescent="0.2">
      <c r="B16481" s="1168"/>
    </row>
    <row r="16482" spans="2:2" s="221" customFormat="1" ht="12.75" x14ac:dyDescent="0.2">
      <c r="B16482" s="1168"/>
    </row>
    <row r="16483" spans="2:2" s="221" customFormat="1" ht="12.75" x14ac:dyDescent="0.2">
      <c r="B16483" s="1168"/>
    </row>
    <row r="16484" spans="2:2" s="221" customFormat="1" ht="12.75" x14ac:dyDescent="0.2">
      <c r="B16484" s="1168"/>
    </row>
    <row r="16485" spans="2:2" s="221" customFormat="1" ht="12.75" x14ac:dyDescent="0.2">
      <c r="B16485" s="1168"/>
    </row>
    <row r="16486" spans="2:2" s="221" customFormat="1" ht="12.75" x14ac:dyDescent="0.2">
      <c r="B16486" s="1168"/>
    </row>
    <row r="16487" spans="2:2" s="221" customFormat="1" ht="12.75" x14ac:dyDescent="0.2">
      <c r="B16487" s="1168"/>
    </row>
    <row r="16488" spans="2:2" s="221" customFormat="1" ht="12.75" x14ac:dyDescent="0.2">
      <c r="B16488" s="1168"/>
    </row>
    <row r="16489" spans="2:2" s="221" customFormat="1" ht="12.75" x14ac:dyDescent="0.2">
      <c r="B16489" s="1168"/>
    </row>
    <row r="16490" spans="2:2" s="221" customFormat="1" ht="12.75" x14ac:dyDescent="0.2">
      <c r="B16490" s="1168"/>
    </row>
    <row r="16491" spans="2:2" s="221" customFormat="1" ht="12.75" x14ac:dyDescent="0.2">
      <c r="B16491" s="1168"/>
    </row>
    <row r="16492" spans="2:2" s="221" customFormat="1" ht="12.75" x14ac:dyDescent="0.2">
      <c r="B16492" s="1168"/>
    </row>
    <row r="16493" spans="2:2" s="221" customFormat="1" ht="12.75" x14ac:dyDescent="0.2">
      <c r="B16493" s="1168"/>
    </row>
    <row r="16494" spans="2:2" s="221" customFormat="1" ht="12.75" x14ac:dyDescent="0.2">
      <c r="B16494" s="1168"/>
    </row>
    <row r="16495" spans="2:2" s="221" customFormat="1" ht="12.75" x14ac:dyDescent="0.2">
      <c r="B16495" s="1168"/>
    </row>
    <row r="16496" spans="2:2" s="221" customFormat="1" ht="12.75" x14ac:dyDescent="0.2">
      <c r="B16496" s="1168"/>
    </row>
    <row r="16497" spans="2:2" s="221" customFormat="1" ht="12.75" x14ac:dyDescent="0.2">
      <c r="B16497" s="1168"/>
    </row>
    <row r="16498" spans="2:2" s="221" customFormat="1" ht="12.75" x14ac:dyDescent="0.2">
      <c r="B16498" s="1168"/>
    </row>
    <row r="16499" spans="2:2" s="221" customFormat="1" ht="12.75" x14ac:dyDescent="0.2">
      <c r="B16499" s="1168"/>
    </row>
    <row r="16500" spans="2:2" s="221" customFormat="1" ht="12.75" x14ac:dyDescent="0.2">
      <c r="B16500" s="1168"/>
    </row>
    <row r="16501" spans="2:2" s="221" customFormat="1" ht="12.75" x14ac:dyDescent="0.2">
      <c r="B16501" s="1168"/>
    </row>
    <row r="16502" spans="2:2" s="221" customFormat="1" ht="12.75" x14ac:dyDescent="0.2">
      <c r="B16502" s="1168"/>
    </row>
    <row r="16503" spans="2:2" s="221" customFormat="1" ht="12.75" x14ac:dyDescent="0.2">
      <c r="B16503" s="1168"/>
    </row>
    <row r="16504" spans="2:2" s="221" customFormat="1" ht="12.75" x14ac:dyDescent="0.2">
      <c r="B16504" s="1168"/>
    </row>
    <row r="16505" spans="2:2" s="221" customFormat="1" ht="12.75" x14ac:dyDescent="0.2">
      <c r="B16505" s="1168"/>
    </row>
    <row r="16506" spans="2:2" s="221" customFormat="1" ht="12.75" x14ac:dyDescent="0.2">
      <c r="B16506" s="1168"/>
    </row>
    <row r="16507" spans="2:2" s="221" customFormat="1" ht="12.75" x14ac:dyDescent="0.2">
      <c r="B16507" s="1168"/>
    </row>
    <row r="16508" spans="2:2" s="221" customFormat="1" ht="12.75" x14ac:dyDescent="0.2">
      <c r="B16508" s="1168"/>
    </row>
    <row r="16509" spans="2:2" s="221" customFormat="1" ht="12.75" x14ac:dyDescent="0.2">
      <c r="B16509" s="1168"/>
    </row>
    <row r="16510" spans="2:2" s="221" customFormat="1" ht="12.75" x14ac:dyDescent="0.2">
      <c r="B16510" s="1168"/>
    </row>
    <row r="16511" spans="2:2" s="221" customFormat="1" ht="12.75" x14ac:dyDescent="0.2">
      <c r="B16511" s="1168"/>
    </row>
    <row r="16512" spans="2:2" s="221" customFormat="1" ht="12.75" x14ac:dyDescent="0.2">
      <c r="B16512" s="1168"/>
    </row>
    <row r="16513" spans="2:2" s="221" customFormat="1" ht="12.75" x14ac:dyDescent="0.2">
      <c r="B16513" s="1168"/>
    </row>
    <row r="16514" spans="2:2" s="221" customFormat="1" ht="12.75" x14ac:dyDescent="0.2">
      <c r="B16514" s="1168"/>
    </row>
    <row r="16515" spans="2:2" s="221" customFormat="1" ht="12.75" x14ac:dyDescent="0.2">
      <c r="B16515" s="1168"/>
    </row>
    <row r="16516" spans="2:2" s="221" customFormat="1" ht="12.75" x14ac:dyDescent="0.2">
      <c r="B16516" s="1168"/>
    </row>
    <row r="16517" spans="2:2" s="221" customFormat="1" ht="12.75" x14ac:dyDescent="0.2">
      <c r="B16517" s="1168"/>
    </row>
    <row r="16518" spans="2:2" s="221" customFormat="1" ht="12.75" x14ac:dyDescent="0.2">
      <c r="B16518" s="1168"/>
    </row>
    <row r="16519" spans="2:2" s="221" customFormat="1" ht="12.75" x14ac:dyDescent="0.2">
      <c r="B16519" s="1168"/>
    </row>
    <row r="16520" spans="2:2" s="221" customFormat="1" ht="12.75" x14ac:dyDescent="0.2">
      <c r="B16520" s="1168"/>
    </row>
    <row r="16521" spans="2:2" s="221" customFormat="1" ht="12.75" x14ac:dyDescent="0.2">
      <c r="B16521" s="1168"/>
    </row>
    <row r="16522" spans="2:2" s="221" customFormat="1" ht="12.75" x14ac:dyDescent="0.2">
      <c r="B16522" s="1168"/>
    </row>
    <row r="16523" spans="2:2" s="221" customFormat="1" ht="12.75" x14ac:dyDescent="0.2">
      <c r="B16523" s="1168"/>
    </row>
    <row r="16524" spans="2:2" s="221" customFormat="1" ht="12.75" x14ac:dyDescent="0.2">
      <c r="B16524" s="1168"/>
    </row>
    <row r="16525" spans="2:2" s="221" customFormat="1" ht="12.75" x14ac:dyDescent="0.2">
      <c r="B16525" s="1168"/>
    </row>
    <row r="16526" spans="2:2" s="221" customFormat="1" ht="12.75" x14ac:dyDescent="0.2">
      <c r="B16526" s="1168"/>
    </row>
    <row r="16527" spans="2:2" s="221" customFormat="1" ht="12.75" x14ac:dyDescent="0.2">
      <c r="B16527" s="1168"/>
    </row>
    <row r="16528" spans="2:2" s="221" customFormat="1" ht="12.75" x14ac:dyDescent="0.2">
      <c r="B16528" s="1168"/>
    </row>
    <row r="16529" spans="2:2" s="221" customFormat="1" ht="12.75" x14ac:dyDescent="0.2">
      <c r="B16529" s="1168"/>
    </row>
    <row r="16530" spans="2:2" s="221" customFormat="1" ht="12.75" x14ac:dyDescent="0.2">
      <c r="B16530" s="1168"/>
    </row>
    <row r="16531" spans="2:2" s="221" customFormat="1" ht="12.75" x14ac:dyDescent="0.2">
      <c r="B16531" s="1168"/>
    </row>
    <row r="16532" spans="2:2" s="221" customFormat="1" ht="12.75" x14ac:dyDescent="0.2">
      <c r="B16532" s="1168"/>
    </row>
    <row r="16533" spans="2:2" s="221" customFormat="1" ht="12.75" x14ac:dyDescent="0.2">
      <c r="B16533" s="1168"/>
    </row>
    <row r="16534" spans="2:2" s="221" customFormat="1" ht="12.75" x14ac:dyDescent="0.2">
      <c r="B16534" s="1168"/>
    </row>
    <row r="16535" spans="2:2" s="221" customFormat="1" ht="12.75" x14ac:dyDescent="0.2">
      <c r="B16535" s="1168"/>
    </row>
    <row r="16536" spans="2:2" s="221" customFormat="1" ht="12.75" x14ac:dyDescent="0.2">
      <c r="B16536" s="1168"/>
    </row>
    <row r="16537" spans="2:2" s="221" customFormat="1" ht="12.75" x14ac:dyDescent="0.2">
      <c r="B16537" s="1168"/>
    </row>
    <row r="16538" spans="2:2" s="221" customFormat="1" ht="12.75" x14ac:dyDescent="0.2">
      <c r="B16538" s="1168"/>
    </row>
    <row r="16539" spans="2:2" s="221" customFormat="1" ht="12.75" x14ac:dyDescent="0.2">
      <c r="B16539" s="1168"/>
    </row>
    <row r="16540" spans="2:2" s="221" customFormat="1" ht="12.75" x14ac:dyDescent="0.2">
      <c r="B16540" s="1168"/>
    </row>
    <row r="16541" spans="2:2" s="221" customFormat="1" ht="12.75" x14ac:dyDescent="0.2">
      <c r="B16541" s="1168"/>
    </row>
    <row r="16542" spans="2:2" s="221" customFormat="1" ht="12.75" x14ac:dyDescent="0.2">
      <c r="B16542" s="1168"/>
    </row>
    <row r="16543" spans="2:2" s="221" customFormat="1" ht="12.75" x14ac:dyDescent="0.2">
      <c r="B16543" s="1168"/>
    </row>
    <row r="16544" spans="2:2" s="221" customFormat="1" ht="12.75" x14ac:dyDescent="0.2">
      <c r="B16544" s="1168"/>
    </row>
    <row r="16545" spans="2:2" s="221" customFormat="1" ht="12.75" x14ac:dyDescent="0.2">
      <c r="B16545" s="1168"/>
    </row>
    <row r="16546" spans="2:2" s="221" customFormat="1" ht="12.75" x14ac:dyDescent="0.2">
      <c r="B16546" s="1168"/>
    </row>
    <row r="16547" spans="2:2" s="221" customFormat="1" ht="12.75" x14ac:dyDescent="0.2">
      <c r="B16547" s="1168"/>
    </row>
    <row r="16548" spans="2:2" s="221" customFormat="1" ht="12.75" x14ac:dyDescent="0.2">
      <c r="B16548" s="1168"/>
    </row>
    <row r="16549" spans="2:2" s="221" customFormat="1" ht="12.75" x14ac:dyDescent="0.2">
      <c r="B16549" s="1168"/>
    </row>
    <row r="16550" spans="2:2" s="221" customFormat="1" ht="12.75" x14ac:dyDescent="0.2">
      <c r="B16550" s="1168"/>
    </row>
    <row r="16551" spans="2:2" s="221" customFormat="1" ht="12.75" x14ac:dyDescent="0.2">
      <c r="B16551" s="1168"/>
    </row>
    <row r="16552" spans="2:2" s="221" customFormat="1" ht="12.75" x14ac:dyDescent="0.2">
      <c r="B16552" s="1168"/>
    </row>
    <row r="16553" spans="2:2" s="221" customFormat="1" ht="12.75" x14ac:dyDescent="0.2">
      <c r="B16553" s="1168"/>
    </row>
    <row r="16554" spans="2:2" s="221" customFormat="1" ht="12.75" x14ac:dyDescent="0.2">
      <c r="B16554" s="1168"/>
    </row>
    <row r="16555" spans="2:2" s="221" customFormat="1" ht="12.75" x14ac:dyDescent="0.2">
      <c r="B16555" s="1168"/>
    </row>
    <row r="16556" spans="2:2" s="221" customFormat="1" ht="12.75" x14ac:dyDescent="0.2">
      <c r="B16556" s="1168"/>
    </row>
    <row r="16557" spans="2:2" s="221" customFormat="1" ht="12.75" x14ac:dyDescent="0.2">
      <c r="B16557" s="1168"/>
    </row>
    <row r="16558" spans="2:2" s="221" customFormat="1" ht="12.75" x14ac:dyDescent="0.2">
      <c r="B16558" s="1168"/>
    </row>
    <row r="16559" spans="2:2" s="221" customFormat="1" ht="12.75" x14ac:dyDescent="0.2">
      <c r="B16559" s="1168"/>
    </row>
    <row r="16560" spans="2:2" s="221" customFormat="1" ht="12.75" x14ac:dyDescent="0.2">
      <c r="B16560" s="1168"/>
    </row>
    <row r="16561" spans="2:2" s="221" customFormat="1" ht="12.75" x14ac:dyDescent="0.2">
      <c r="B16561" s="1168"/>
    </row>
    <row r="16562" spans="2:2" s="221" customFormat="1" ht="12.75" x14ac:dyDescent="0.2">
      <c r="B16562" s="1168"/>
    </row>
    <row r="16563" spans="2:2" s="221" customFormat="1" ht="12.75" x14ac:dyDescent="0.2">
      <c r="B16563" s="1168"/>
    </row>
    <row r="16564" spans="2:2" s="221" customFormat="1" ht="12.75" x14ac:dyDescent="0.2">
      <c r="B16564" s="1168"/>
    </row>
    <row r="16565" spans="2:2" s="221" customFormat="1" ht="12.75" x14ac:dyDescent="0.2">
      <c r="B16565" s="1168"/>
    </row>
    <row r="16566" spans="2:2" s="221" customFormat="1" ht="12.75" x14ac:dyDescent="0.2">
      <c r="B16566" s="1168"/>
    </row>
    <row r="16567" spans="2:2" s="221" customFormat="1" ht="12.75" x14ac:dyDescent="0.2">
      <c r="B16567" s="1168"/>
    </row>
    <row r="16568" spans="2:2" s="221" customFormat="1" ht="12.75" x14ac:dyDescent="0.2">
      <c r="B16568" s="1168"/>
    </row>
    <row r="16569" spans="2:2" s="221" customFormat="1" ht="12.75" x14ac:dyDescent="0.2">
      <c r="B16569" s="1168"/>
    </row>
    <row r="16570" spans="2:2" s="221" customFormat="1" ht="12.75" x14ac:dyDescent="0.2">
      <c r="B16570" s="1168"/>
    </row>
    <row r="16571" spans="2:2" s="221" customFormat="1" ht="12.75" x14ac:dyDescent="0.2">
      <c r="B16571" s="1168"/>
    </row>
    <row r="16572" spans="2:2" s="221" customFormat="1" ht="12.75" x14ac:dyDescent="0.2">
      <c r="B16572" s="1168"/>
    </row>
    <row r="16573" spans="2:2" s="221" customFormat="1" ht="12.75" x14ac:dyDescent="0.2">
      <c r="B16573" s="1168"/>
    </row>
    <row r="16574" spans="2:2" s="221" customFormat="1" ht="12.75" x14ac:dyDescent="0.2">
      <c r="B16574" s="1168"/>
    </row>
    <row r="16575" spans="2:2" s="221" customFormat="1" ht="12.75" x14ac:dyDescent="0.2">
      <c r="B16575" s="1168"/>
    </row>
    <row r="16576" spans="2:2" s="221" customFormat="1" ht="12.75" x14ac:dyDescent="0.2">
      <c r="B16576" s="1168"/>
    </row>
    <row r="16577" spans="2:2" s="221" customFormat="1" ht="12.75" x14ac:dyDescent="0.2">
      <c r="B16577" s="1168"/>
    </row>
    <row r="16578" spans="2:2" s="221" customFormat="1" ht="12.75" x14ac:dyDescent="0.2">
      <c r="B16578" s="1168"/>
    </row>
    <row r="16579" spans="2:2" s="221" customFormat="1" ht="12.75" x14ac:dyDescent="0.2">
      <c r="B16579" s="1168"/>
    </row>
    <row r="16580" spans="2:2" s="221" customFormat="1" ht="12.75" x14ac:dyDescent="0.2">
      <c r="B16580" s="1168"/>
    </row>
    <row r="16581" spans="2:2" s="221" customFormat="1" ht="12.75" x14ac:dyDescent="0.2">
      <c r="B16581" s="1168"/>
    </row>
    <row r="16582" spans="2:2" s="221" customFormat="1" ht="12.75" x14ac:dyDescent="0.2">
      <c r="B16582" s="1168"/>
    </row>
    <row r="16583" spans="2:2" s="221" customFormat="1" ht="12.75" x14ac:dyDescent="0.2">
      <c r="B16583" s="1168"/>
    </row>
    <row r="16584" spans="2:2" s="221" customFormat="1" ht="12.75" x14ac:dyDescent="0.2">
      <c r="B16584" s="1168"/>
    </row>
    <row r="16585" spans="2:2" s="221" customFormat="1" ht="12.75" x14ac:dyDescent="0.2">
      <c r="B16585" s="1168"/>
    </row>
    <row r="16586" spans="2:2" s="221" customFormat="1" ht="12.75" x14ac:dyDescent="0.2">
      <c r="B16586" s="1168"/>
    </row>
    <row r="16587" spans="2:2" s="221" customFormat="1" ht="12.75" x14ac:dyDescent="0.2">
      <c r="B16587" s="1168"/>
    </row>
    <row r="16588" spans="2:2" s="221" customFormat="1" ht="12.75" x14ac:dyDescent="0.2">
      <c r="B16588" s="1168"/>
    </row>
    <row r="16589" spans="2:2" s="221" customFormat="1" ht="12.75" x14ac:dyDescent="0.2">
      <c r="B16589" s="1168"/>
    </row>
    <row r="16590" spans="2:2" s="221" customFormat="1" ht="12.75" x14ac:dyDescent="0.2">
      <c r="B16590" s="1168"/>
    </row>
    <row r="16591" spans="2:2" s="221" customFormat="1" ht="12.75" x14ac:dyDescent="0.2">
      <c r="B16591" s="1168"/>
    </row>
    <row r="16592" spans="2:2" s="221" customFormat="1" ht="12.75" x14ac:dyDescent="0.2">
      <c r="B16592" s="1168"/>
    </row>
    <row r="16593" spans="2:2" s="221" customFormat="1" ht="12.75" x14ac:dyDescent="0.2">
      <c r="B16593" s="1168"/>
    </row>
    <row r="16594" spans="2:2" s="221" customFormat="1" ht="12.75" x14ac:dyDescent="0.2">
      <c r="B16594" s="1168"/>
    </row>
    <row r="16595" spans="2:2" s="221" customFormat="1" ht="12.75" x14ac:dyDescent="0.2">
      <c r="B16595" s="1168"/>
    </row>
    <row r="16596" spans="2:2" s="221" customFormat="1" ht="12.75" x14ac:dyDescent="0.2">
      <c r="B16596" s="1168"/>
    </row>
    <row r="16597" spans="2:2" s="221" customFormat="1" ht="12.75" x14ac:dyDescent="0.2">
      <c r="B16597" s="1168"/>
    </row>
    <row r="16598" spans="2:2" s="221" customFormat="1" ht="12.75" x14ac:dyDescent="0.2">
      <c r="B16598" s="1168"/>
    </row>
    <row r="16599" spans="2:2" s="221" customFormat="1" ht="12.75" x14ac:dyDescent="0.2">
      <c r="B16599" s="1168"/>
    </row>
    <row r="16600" spans="2:2" s="221" customFormat="1" ht="12.75" x14ac:dyDescent="0.2">
      <c r="B16600" s="1168"/>
    </row>
    <row r="16601" spans="2:2" s="221" customFormat="1" ht="12.75" x14ac:dyDescent="0.2">
      <c r="B16601" s="1168"/>
    </row>
    <row r="16602" spans="2:2" s="221" customFormat="1" ht="12.75" x14ac:dyDescent="0.2">
      <c r="B16602" s="1168"/>
    </row>
    <row r="16603" spans="2:2" s="221" customFormat="1" ht="12.75" x14ac:dyDescent="0.2">
      <c r="B16603" s="1168"/>
    </row>
    <row r="16604" spans="2:2" s="221" customFormat="1" ht="12.75" x14ac:dyDescent="0.2">
      <c r="B16604" s="1168"/>
    </row>
    <row r="16605" spans="2:2" s="221" customFormat="1" ht="12.75" x14ac:dyDescent="0.2">
      <c r="B16605" s="1168"/>
    </row>
    <row r="16606" spans="2:2" s="221" customFormat="1" ht="12.75" x14ac:dyDescent="0.2">
      <c r="B16606" s="1168"/>
    </row>
    <row r="16607" spans="2:2" s="221" customFormat="1" ht="12.75" x14ac:dyDescent="0.2">
      <c r="B16607" s="1168"/>
    </row>
    <row r="16608" spans="2:2" s="221" customFormat="1" ht="12.75" x14ac:dyDescent="0.2">
      <c r="B16608" s="1168"/>
    </row>
    <row r="16609" spans="2:2" s="221" customFormat="1" ht="12.75" x14ac:dyDescent="0.2">
      <c r="B16609" s="1168"/>
    </row>
    <row r="16610" spans="2:2" s="221" customFormat="1" ht="12.75" x14ac:dyDescent="0.2">
      <c r="B16610" s="1168"/>
    </row>
    <row r="16611" spans="2:2" s="221" customFormat="1" ht="12.75" x14ac:dyDescent="0.2">
      <c r="B16611" s="1168"/>
    </row>
    <row r="16612" spans="2:2" s="221" customFormat="1" ht="12.75" x14ac:dyDescent="0.2">
      <c r="B16612" s="1168"/>
    </row>
    <row r="16613" spans="2:2" s="221" customFormat="1" ht="12.75" x14ac:dyDescent="0.2">
      <c r="B16613" s="1168"/>
    </row>
    <row r="16614" spans="2:2" s="221" customFormat="1" ht="12.75" x14ac:dyDescent="0.2">
      <c r="B16614" s="1168"/>
    </row>
    <row r="16615" spans="2:2" s="221" customFormat="1" ht="12.75" x14ac:dyDescent="0.2">
      <c r="B16615" s="1168"/>
    </row>
    <row r="16616" spans="2:2" s="221" customFormat="1" ht="12.75" x14ac:dyDescent="0.2">
      <c r="B16616" s="1168"/>
    </row>
    <row r="16617" spans="2:2" s="221" customFormat="1" ht="12.75" x14ac:dyDescent="0.2">
      <c r="B16617" s="1168"/>
    </row>
    <row r="16618" spans="2:2" s="221" customFormat="1" ht="12.75" x14ac:dyDescent="0.2">
      <c r="B16618" s="1168"/>
    </row>
    <row r="16619" spans="2:2" s="221" customFormat="1" ht="12.75" x14ac:dyDescent="0.2">
      <c r="B16619" s="1168"/>
    </row>
    <row r="16620" spans="2:2" s="221" customFormat="1" ht="12.75" x14ac:dyDescent="0.2">
      <c r="B16620" s="1168"/>
    </row>
    <row r="16621" spans="2:2" s="221" customFormat="1" ht="12.75" x14ac:dyDescent="0.2">
      <c r="B16621" s="1168"/>
    </row>
    <row r="16622" spans="2:2" s="221" customFormat="1" ht="12.75" x14ac:dyDescent="0.2">
      <c r="B16622" s="1168"/>
    </row>
    <row r="16623" spans="2:2" s="221" customFormat="1" ht="12.75" x14ac:dyDescent="0.2">
      <c r="B16623" s="1168"/>
    </row>
    <row r="16624" spans="2:2" s="221" customFormat="1" ht="12.75" x14ac:dyDescent="0.2">
      <c r="B16624" s="1168"/>
    </row>
    <row r="16625" spans="2:2" s="221" customFormat="1" ht="12.75" x14ac:dyDescent="0.2">
      <c r="B16625" s="1168"/>
    </row>
    <row r="16626" spans="2:2" s="221" customFormat="1" ht="12.75" x14ac:dyDescent="0.2">
      <c r="B16626" s="1168"/>
    </row>
    <row r="16627" spans="2:2" s="221" customFormat="1" ht="12.75" x14ac:dyDescent="0.2">
      <c r="B16627" s="1168"/>
    </row>
    <row r="16628" spans="2:2" s="221" customFormat="1" ht="12.75" x14ac:dyDescent="0.2">
      <c r="B16628" s="1168"/>
    </row>
    <row r="16629" spans="2:2" s="221" customFormat="1" ht="12.75" x14ac:dyDescent="0.2">
      <c r="B16629" s="1168"/>
    </row>
    <row r="16630" spans="2:2" s="221" customFormat="1" ht="12.75" x14ac:dyDescent="0.2">
      <c r="B16630" s="1168"/>
    </row>
    <row r="16631" spans="2:2" s="221" customFormat="1" ht="12.75" x14ac:dyDescent="0.2">
      <c r="B16631" s="1168"/>
    </row>
    <row r="16632" spans="2:2" s="221" customFormat="1" ht="12.75" x14ac:dyDescent="0.2">
      <c r="B16632" s="1168"/>
    </row>
    <row r="16633" spans="2:2" s="221" customFormat="1" ht="12.75" x14ac:dyDescent="0.2">
      <c r="B16633" s="1168"/>
    </row>
    <row r="16634" spans="2:2" s="221" customFormat="1" ht="12.75" x14ac:dyDescent="0.2">
      <c r="B16634" s="1168"/>
    </row>
    <row r="16635" spans="2:2" s="221" customFormat="1" ht="12.75" x14ac:dyDescent="0.2">
      <c r="B16635" s="1168"/>
    </row>
    <row r="16636" spans="2:2" s="221" customFormat="1" ht="12.75" x14ac:dyDescent="0.2">
      <c r="B16636" s="1168"/>
    </row>
    <row r="16637" spans="2:2" s="221" customFormat="1" ht="12.75" x14ac:dyDescent="0.2">
      <c r="B16637" s="1168"/>
    </row>
    <row r="16638" spans="2:2" s="221" customFormat="1" ht="12.75" x14ac:dyDescent="0.2">
      <c r="B16638" s="1168"/>
    </row>
    <row r="16639" spans="2:2" s="221" customFormat="1" ht="12.75" x14ac:dyDescent="0.2">
      <c r="B16639" s="1168"/>
    </row>
    <row r="16640" spans="2:2" s="221" customFormat="1" ht="12.75" x14ac:dyDescent="0.2">
      <c r="B16640" s="1168"/>
    </row>
    <row r="16641" spans="2:2" s="221" customFormat="1" ht="12.75" x14ac:dyDescent="0.2">
      <c r="B16641" s="1168"/>
    </row>
    <row r="16642" spans="2:2" s="221" customFormat="1" ht="12.75" x14ac:dyDescent="0.2">
      <c r="B16642" s="1168"/>
    </row>
    <row r="16643" spans="2:2" s="221" customFormat="1" ht="12.75" x14ac:dyDescent="0.2">
      <c r="B16643" s="1168"/>
    </row>
    <row r="16644" spans="2:2" s="221" customFormat="1" ht="12.75" x14ac:dyDescent="0.2">
      <c r="B16644" s="1168"/>
    </row>
    <row r="16645" spans="2:2" s="221" customFormat="1" ht="12.75" x14ac:dyDescent="0.2">
      <c r="B16645" s="1168"/>
    </row>
    <row r="16646" spans="2:2" s="221" customFormat="1" ht="12.75" x14ac:dyDescent="0.2">
      <c r="B16646" s="1168"/>
    </row>
    <row r="16647" spans="2:2" s="221" customFormat="1" ht="12.75" x14ac:dyDescent="0.2">
      <c r="B16647" s="1168"/>
    </row>
    <row r="16648" spans="2:2" s="221" customFormat="1" ht="12.75" x14ac:dyDescent="0.2">
      <c r="B16648" s="1168"/>
    </row>
    <row r="16649" spans="2:2" s="221" customFormat="1" ht="12.75" x14ac:dyDescent="0.2">
      <c r="B16649" s="1168"/>
    </row>
    <row r="16650" spans="2:2" s="221" customFormat="1" ht="12.75" x14ac:dyDescent="0.2">
      <c r="B16650" s="1168"/>
    </row>
    <row r="16651" spans="2:2" s="221" customFormat="1" ht="12.75" x14ac:dyDescent="0.2">
      <c r="B16651" s="1168"/>
    </row>
    <row r="16652" spans="2:2" s="221" customFormat="1" ht="12.75" x14ac:dyDescent="0.2">
      <c r="B16652" s="1168"/>
    </row>
    <row r="16653" spans="2:2" s="221" customFormat="1" ht="12.75" x14ac:dyDescent="0.2">
      <c r="B16653" s="1168"/>
    </row>
    <row r="16654" spans="2:2" s="221" customFormat="1" ht="12.75" x14ac:dyDescent="0.2">
      <c r="B16654" s="1168"/>
    </row>
    <row r="16655" spans="2:2" s="221" customFormat="1" ht="12.75" x14ac:dyDescent="0.2">
      <c r="B16655" s="1168"/>
    </row>
    <row r="16656" spans="2:2" s="221" customFormat="1" ht="12.75" x14ac:dyDescent="0.2">
      <c r="B16656" s="1168"/>
    </row>
    <row r="16657" spans="2:2" s="221" customFormat="1" ht="12.75" x14ac:dyDescent="0.2">
      <c r="B16657" s="1168"/>
    </row>
    <row r="16658" spans="2:2" s="221" customFormat="1" ht="12.75" x14ac:dyDescent="0.2">
      <c r="B16658" s="1168"/>
    </row>
    <row r="16659" spans="2:2" s="221" customFormat="1" ht="12.75" x14ac:dyDescent="0.2">
      <c r="B16659" s="1168"/>
    </row>
    <row r="16660" spans="2:2" s="221" customFormat="1" ht="12.75" x14ac:dyDescent="0.2">
      <c r="B16660" s="1168"/>
    </row>
    <row r="16661" spans="2:2" s="221" customFormat="1" ht="12.75" x14ac:dyDescent="0.2">
      <c r="B16661" s="1168"/>
    </row>
    <row r="16662" spans="2:2" s="221" customFormat="1" ht="12.75" x14ac:dyDescent="0.2">
      <c r="B16662" s="1168"/>
    </row>
    <row r="16663" spans="2:2" s="221" customFormat="1" ht="12.75" x14ac:dyDescent="0.2">
      <c r="B16663" s="1168"/>
    </row>
    <row r="16664" spans="2:2" s="221" customFormat="1" ht="12.75" x14ac:dyDescent="0.2">
      <c r="B16664" s="1168"/>
    </row>
    <row r="16665" spans="2:2" s="221" customFormat="1" ht="12.75" x14ac:dyDescent="0.2">
      <c r="B16665" s="1168"/>
    </row>
    <row r="16666" spans="2:2" s="221" customFormat="1" ht="12.75" x14ac:dyDescent="0.2">
      <c r="B16666" s="1168"/>
    </row>
    <row r="16667" spans="2:2" s="221" customFormat="1" ht="12.75" x14ac:dyDescent="0.2">
      <c r="B16667" s="1168"/>
    </row>
    <row r="16668" spans="2:2" s="221" customFormat="1" ht="12.75" x14ac:dyDescent="0.2">
      <c r="B16668" s="1168"/>
    </row>
    <row r="16669" spans="2:2" s="221" customFormat="1" ht="12.75" x14ac:dyDescent="0.2">
      <c r="B16669" s="1168"/>
    </row>
    <row r="16670" spans="2:2" s="221" customFormat="1" ht="12.75" x14ac:dyDescent="0.2">
      <c r="B16670" s="1168"/>
    </row>
    <row r="16671" spans="2:2" s="221" customFormat="1" ht="12.75" x14ac:dyDescent="0.2">
      <c r="B16671" s="1168"/>
    </row>
    <row r="16672" spans="2:2" s="221" customFormat="1" ht="12.75" x14ac:dyDescent="0.2">
      <c r="B16672" s="1168"/>
    </row>
    <row r="16673" spans="2:2" s="221" customFormat="1" ht="12.75" x14ac:dyDescent="0.2">
      <c r="B16673" s="1168"/>
    </row>
    <row r="16674" spans="2:2" s="221" customFormat="1" ht="12.75" x14ac:dyDescent="0.2">
      <c r="B16674" s="1168"/>
    </row>
    <row r="16675" spans="2:2" s="221" customFormat="1" ht="12.75" x14ac:dyDescent="0.2">
      <c r="B16675" s="1168"/>
    </row>
    <row r="16676" spans="2:2" s="221" customFormat="1" ht="12.75" x14ac:dyDescent="0.2">
      <c r="B16676" s="1168"/>
    </row>
    <row r="16677" spans="2:2" s="221" customFormat="1" ht="12.75" x14ac:dyDescent="0.2">
      <c r="B16677" s="1168"/>
    </row>
    <row r="16678" spans="2:2" s="221" customFormat="1" ht="12.75" x14ac:dyDescent="0.2">
      <c r="B16678" s="1168"/>
    </row>
    <row r="16679" spans="2:2" s="221" customFormat="1" ht="12.75" x14ac:dyDescent="0.2">
      <c r="B16679" s="1168"/>
    </row>
    <row r="16680" spans="2:2" s="221" customFormat="1" ht="12.75" x14ac:dyDescent="0.2">
      <c r="B16680" s="1168"/>
    </row>
    <row r="16681" spans="2:2" s="221" customFormat="1" ht="12.75" x14ac:dyDescent="0.2">
      <c r="B16681" s="1168"/>
    </row>
    <row r="16682" spans="2:2" s="221" customFormat="1" ht="12.75" x14ac:dyDescent="0.2">
      <c r="B16682" s="1168"/>
    </row>
    <row r="16683" spans="2:2" s="221" customFormat="1" ht="12.75" x14ac:dyDescent="0.2">
      <c r="B16683" s="1168"/>
    </row>
    <row r="16684" spans="2:2" s="221" customFormat="1" ht="12.75" x14ac:dyDescent="0.2">
      <c r="B16684" s="1168"/>
    </row>
    <row r="16685" spans="2:2" s="221" customFormat="1" ht="12.75" x14ac:dyDescent="0.2">
      <c r="B16685" s="1168"/>
    </row>
    <row r="16686" spans="2:2" s="221" customFormat="1" ht="12.75" x14ac:dyDescent="0.2">
      <c r="B16686" s="1168"/>
    </row>
    <row r="16687" spans="2:2" s="221" customFormat="1" ht="12.75" x14ac:dyDescent="0.2">
      <c r="B16687" s="1168"/>
    </row>
    <row r="16688" spans="2:2" s="221" customFormat="1" ht="12.75" x14ac:dyDescent="0.2">
      <c r="B16688" s="1168"/>
    </row>
    <row r="16689" spans="2:2" s="221" customFormat="1" ht="12.75" x14ac:dyDescent="0.2">
      <c r="B16689" s="1168"/>
    </row>
    <row r="16690" spans="2:2" s="221" customFormat="1" ht="12.75" x14ac:dyDescent="0.2">
      <c r="B16690" s="1168"/>
    </row>
    <row r="16691" spans="2:2" s="221" customFormat="1" ht="12.75" x14ac:dyDescent="0.2">
      <c r="B16691" s="1168"/>
    </row>
    <row r="16692" spans="2:2" s="221" customFormat="1" ht="12.75" x14ac:dyDescent="0.2">
      <c r="B16692" s="1168"/>
    </row>
    <row r="16693" spans="2:2" s="221" customFormat="1" ht="12.75" x14ac:dyDescent="0.2">
      <c r="B16693" s="1168"/>
    </row>
    <row r="16694" spans="2:2" s="221" customFormat="1" ht="12.75" x14ac:dyDescent="0.2">
      <c r="B16694" s="1168"/>
    </row>
    <row r="16695" spans="2:2" s="221" customFormat="1" ht="12.75" x14ac:dyDescent="0.2">
      <c r="B16695" s="1168"/>
    </row>
    <row r="16696" spans="2:2" s="221" customFormat="1" ht="12.75" x14ac:dyDescent="0.2">
      <c r="B16696" s="1168"/>
    </row>
    <row r="16697" spans="2:2" s="221" customFormat="1" ht="12.75" x14ac:dyDescent="0.2">
      <c r="B16697" s="1168"/>
    </row>
    <row r="16698" spans="2:2" s="221" customFormat="1" ht="12.75" x14ac:dyDescent="0.2">
      <c r="B16698" s="1168"/>
    </row>
    <row r="16699" spans="2:2" s="221" customFormat="1" ht="12.75" x14ac:dyDescent="0.2">
      <c r="B16699" s="1168"/>
    </row>
    <row r="16700" spans="2:2" s="221" customFormat="1" ht="12.75" x14ac:dyDescent="0.2">
      <c r="B16700" s="1168"/>
    </row>
    <row r="16701" spans="2:2" s="221" customFormat="1" ht="12.75" x14ac:dyDescent="0.2">
      <c r="B16701" s="1168"/>
    </row>
    <row r="16702" spans="2:2" s="221" customFormat="1" ht="12.75" x14ac:dyDescent="0.2">
      <c r="B16702" s="1168"/>
    </row>
    <row r="16703" spans="2:2" s="221" customFormat="1" ht="12.75" x14ac:dyDescent="0.2">
      <c r="B16703" s="1168"/>
    </row>
    <row r="16704" spans="2:2" s="221" customFormat="1" ht="12.75" x14ac:dyDescent="0.2">
      <c r="B16704" s="1168"/>
    </row>
    <row r="16705" spans="2:2" s="221" customFormat="1" ht="12.75" x14ac:dyDescent="0.2">
      <c r="B16705" s="1168"/>
    </row>
    <row r="16706" spans="2:2" s="221" customFormat="1" ht="12.75" x14ac:dyDescent="0.2">
      <c r="B16706" s="1168"/>
    </row>
    <row r="16707" spans="2:2" s="221" customFormat="1" ht="12.75" x14ac:dyDescent="0.2">
      <c r="B16707" s="1168"/>
    </row>
    <row r="16708" spans="2:2" s="221" customFormat="1" ht="12.75" x14ac:dyDescent="0.2">
      <c r="B16708" s="1168"/>
    </row>
    <row r="16709" spans="2:2" s="221" customFormat="1" ht="12.75" x14ac:dyDescent="0.2">
      <c r="B16709" s="1168"/>
    </row>
    <row r="16710" spans="2:2" s="221" customFormat="1" ht="12.75" x14ac:dyDescent="0.2">
      <c r="B16710" s="1168"/>
    </row>
    <row r="16711" spans="2:2" s="221" customFormat="1" ht="12.75" x14ac:dyDescent="0.2">
      <c r="B16711" s="1168"/>
    </row>
    <row r="16712" spans="2:2" s="221" customFormat="1" ht="12.75" x14ac:dyDescent="0.2">
      <c r="B16712" s="1168"/>
    </row>
    <row r="16713" spans="2:2" s="221" customFormat="1" ht="12.75" x14ac:dyDescent="0.2">
      <c r="B16713" s="1168"/>
    </row>
    <row r="16714" spans="2:2" s="221" customFormat="1" ht="12.75" x14ac:dyDescent="0.2">
      <c r="B16714" s="1168"/>
    </row>
    <row r="16715" spans="2:2" s="221" customFormat="1" ht="12.75" x14ac:dyDescent="0.2">
      <c r="B16715" s="1168"/>
    </row>
    <row r="16716" spans="2:2" s="221" customFormat="1" ht="12.75" x14ac:dyDescent="0.2">
      <c r="B16716" s="1168"/>
    </row>
    <row r="16717" spans="2:2" s="221" customFormat="1" ht="12.75" x14ac:dyDescent="0.2">
      <c r="B16717" s="1168"/>
    </row>
    <row r="16718" spans="2:2" s="221" customFormat="1" ht="12.75" x14ac:dyDescent="0.2">
      <c r="B16718" s="1168"/>
    </row>
    <row r="16719" spans="2:2" s="221" customFormat="1" ht="12.75" x14ac:dyDescent="0.2">
      <c r="B16719" s="1168"/>
    </row>
    <row r="16720" spans="2:2" s="221" customFormat="1" ht="12.75" x14ac:dyDescent="0.2">
      <c r="B16720" s="1168"/>
    </row>
    <row r="16721" spans="2:2" s="221" customFormat="1" ht="12.75" x14ac:dyDescent="0.2">
      <c r="B16721" s="1168"/>
    </row>
    <row r="16722" spans="2:2" s="221" customFormat="1" ht="12.75" x14ac:dyDescent="0.2">
      <c r="B16722" s="1168"/>
    </row>
    <row r="16723" spans="2:2" s="221" customFormat="1" ht="12.75" x14ac:dyDescent="0.2">
      <c r="B16723" s="1168"/>
    </row>
    <row r="16724" spans="2:2" s="221" customFormat="1" ht="12.75" x14ac:dyDescent="0.2">
      <c r="B16724" s="1168"/>
    </row>
    <row r="16725" spans="2:2" s="221" customFormat="1" ht="12.75" x14ac:dyDescent="0.2">
      <c r="B16725" s="1168"/>
    </row>
    <row r="16726" spans="2:2" s="221" customFormat="1" ht="12.75" x14ac:dyDescent="0.2">
      <c r="B16726" s="1168"/>
    </row>
    <row r="16727" spans="2:2" s="221" customFormat="1" ht="12.75" x14ac:dyDescent="0.2">
      <c r="B16727" s="1168"/>
    </row>
    <row r="16728" spans="2:2" s="221" customFormat="1" ht="12.75" x14ac:dyDescent="0.2">
      <c r="B16728" s="1168"/>
    </row>
    <row r="16729" spans="2:2" s="221" customFormat="1" ht="12.75" x14ac:dyDescent="0.2">
      <c r="B16729" s="1168"/>
    </row>
    <row r="16730" spans="2:2" s="221" customFormat="1" ht="12.75" x14ac:dyDescent="0.2">
      <c r="B16730" s="1168"/>
    </row>
    <row r="16731" spans="2:2" s="221" customFormat="1" ht="12.75" x14ac:dyDescent="0.2">
      <c r="B16731" s="1168"/>
    </row>
    <row r="16732" spans="2:2" s="221" customFormat="1" ht="12.75" x14ac:dyDescent="0.2">
      <c r="B16732" s="1168"/>
    </row>
    <row r="16733" spans="2:2" s="221" customFormat="1" ht="12.75" x14ac:dyDescent="0.2">
      <c r="B16733" s="1168"/>
    </row>
    <row r="16734" spans="2:2" s="221" customFormat="1" ht="12.75" x14ac:dyDescent="0.2">
      <c r="B16734" s="1168"/>
    </row>
    <row r="16735" spans="2:2" s="221" customFormat="1" ht="12.75" x14ac:dyDescent="0.2">
      <c r="B16735" s="1168"/>
    </row>
    <row r="16736" spans="2:2" s="221" customFormat="1" ht="12.75" x14ac:dyDescent="0.2">
      <c r="B16736" s="1168"/>
    </row>
    <row r="16737" spans="2:2" s="221" customFormat="1" ht="12.75" x14ac:dyDescent="0.2">
      <c r="B16737" s="1168"/>
    </row>
    <row r="16738" spans="2:2" s="221" customFormat="1" ht="12.75" x14ac:dyDescent="0.2">
      <c r="B16738" s="1168"/>
    </row>
    <row r="16739" spans="2:2" s="221" customFormat="1" ht="12.75" x14ac:dyDescent="0.2">
      <c r="B16739" s="1168"/>
    </row>
    <row r="16740" spans="2:2" s="221" customFormat="1" ht="12.75" x14ac:dyDescent="0.2">
      <c r="B16740" s="1168"/>
    </row>
    <row r="16741" spans="2:2" s="221" customFormat="1" ht="12.75" x14ac:dyDescent="0.2">
      <c r="B16741" s="1168"/>
    </row>
    <row r="16742" spans="2:2" s="221" customFormat="1" ht="12.75" x14ac:dyDescent="0.2">
      <c r="B16742" s="1168"/>
    </row>
    <row r="16743" spans="2:2" s="221" customFormat="1" ht="12.75" x14ac:dyDescent="0.2">
      <c r="B16743" s="1168"/>
    </row>
    <row r="16744" spans="2:2" s="221" customFormat="1" ht="12.75" x14ac:dyDescent="0.2">
      <c r="B16744" s="1168"/>
    </row>
    <row r="16745" spans="2:2" s="221" customFormat="1" ht="12.75" x14ac:dyDescent="0.2">
      <c r="B16745" s="1168"/>
    </row>
    <row r="16746" spans="2:2" s="221" customFormat="1" ht="12.75" x14ac:dyDescent="0.2">
      <c r="B16746" s="1168"/>
    </row>
    <row r="16747" spans="2:2" s="221" customFormat="1" ht="12.75" x14ac:dyDescent="0.2">
      <c r="B16747" s="1168"/>
    </row>
    <row r="16748" spans="2:2" s="221" customFormat="1" ht="12.75" x14ac:dyDescent="0.2">
      <c r="B16748" s="1168"/>
    </row>
    <row r="16749" spans="2:2" s="221" customFormat="1" ht="12.75" x14ac:dyDescent="0.2">
      <c r="B16749" s="1168"/>
    </row>
    <row r="16750" spans="2:2" s="221" customFormat="1" ht="12.75" x14ac:dyDescent="0.2">
      <c r="B16750" s="1168"/>
    </row>
    <row r="16751" spans="2:2" s="221" customFormat="1" ht="12.75" x14ac:dyDescent="0.2">
      <c r="B16751" s="1168"/>
    </row>
    <row r="16752" spans="2:2" s="221" customFormat="1" ht="12.75" x14ac:dyDescent="0.2">
      <c r="B16752" s="1168"/>
    </row>
    <row r="16753" spans="2:2" s="221" customFormat="1" ht="12.75" x14ac:dyDescent="0.2">
      <c r="B16753" s="1168"/>
    </row>
    <row r="16754" spans="2:2" s="221" customFormat="1" ht="12.75" x14ac:dyDescent="0.2">
      <c r="B16754" s="1168"/>
    </row>
    <row r="16755" spans="2:2" s="221" customFormat="1" ht="12.75" x14ac:dyDescent="0.2">
      <c r="B16755" s="1168"/>
    </row>
    <row r="16756" spans="2:2" s="221" customFormat="1" ht="12.75" x14ac:dyDescent="0.2">
      <c r="B16756" s="1168"/>
    </row>
    <row r="16757" spans="2:2" s="221" customFormat="1" ht="12.75" x14ac:dyDescent="0.2">
      <c r="B16757" s="1168"/>
    </row>
    <row r="16758" spans="2:2" s="221" customFormat="1" ht="12.75" x14ac:dyDescent="0.2">
      <c r="B16758" s="1168"/>
    </row>
    <row r="16759" spans="2:2" s="221" customFormat="1" ht="12.75" x14ac:dyDescent="0.2">
      <c r="B16759" s="1168"/>
    </row>
    <row r="16760" spans="2:2" s="221" customFormat="1" ht="12.75" x14ac:dyDescent="0.2">
      <c r="B16760" s="1168"/>
    </row>
    <row r="16761" spans="2:2" s="221" customFormat="1" ht="12.75" x14ac:dyDescent="0.2">
      <c r="B16761" s="1168"/>
    </row>
    <row r="16762" spans="2:2" s="221" customFormat="1" ht="12.75" x14ac:dyDescent="0.2">
      <c r="B16762" s="1168"/>
    </row>
    <row r="16763" spans="2:2" s="221" customFormat="1" ht="12.75" x14ac:dyDescent="0.2">
      <c r="B16763" s="1168"/>
    </row>
    <row r="16764" spans="2:2" s="221" customFormat="1" ht="12.75" x14ac:dyDescent="0.2">
      <c r="B16764" s="1168"/>
    </row>
    <row r="16765" spans="2:2" s="221" customFormat="1" ht="12.75" x14ac:dyDescent="0.2">
      <c r="B16765" s="1168"/>
    </row>
    <row r="16766" spans="2:2" s="221" customFormat="1" ht="12.75" x14ac:dyDescent="0.2">
      <c r="B16766" s="1168"/>
    </row>
    <row r="16767" spans="2:2" s="221" customFormat="1" ht="12.75" x14ac:dyDescent="0.2">
      <c r="B16767" s="1168"/>
    </row>
    <row r="16768" spans="2:2" s="221" customFormat="1" ht="12.75" x14ac:dyDescent="0.2">
      <c r="B16768" s="1168"/>
    </row>
    <row r="16769" spans="2:2" s="221" customFormat="1" ht="12.75" x14ac:dyDescent="0.2">
      <c r="B16769" s="1168"/>
    </row>
    <row r="16770" spans="2:2" s="221" customFormat="1" ht="12.75" x14ac:dyDescent="0.2">
      <c r="B16770" s="1168"/>
    </row>
    <row r="16771" spans="2:2" s="221" customFormat="1" ht="12.75" x14ac:dyDescent="0.2">
      <c r="B16771" s="1168"/>
    </row>
    <row r="16772" spans="2:2" s="221" customFormat="1" ht="12.75" x14ac:dyDescent="0.2">
      <c r="B16772" s="1168"/>
    </row>
    <row r="16773" spans="2:2" s="221" customFormat="1" ht="12.75" x14ac:dyDescent="0.2">
      <c r="B16773" s="1168"/>
    </row>
    <row r="16774" spans="2:2" s="221" customFormat="1" ht="12.75" x14ac:dyDescent="0.2">
      <c r="B16774" s="1168"/>
    </row>
    <row r="16775" spans="2:2" s="221" customFormat="1" ht="12.75" x14ac:dyDescent="0.2">
      <c r="B16775" s="1168"/>
    </row>
    <row r="16776" spans="2:2" s="221" customFormat="1" ht="12.75" x14ac:dyDescent="0.2">
      <c r="B16776" s="1168"/>
    </row>
    <row r="16777" spans="2:2" s="221" customFormat="1" ht="12.75" x14ac:dyDescent="0.2">
      <c r="B16777" s="1168"/>
    </row>
    <row r="16778" spans="2:2" s="221" customFormat="1" ht="12.75" x14ac:dyDescent="0.2">
      <c r="B16778" s="1168"/>
    </row>
    <row r="16779" spans="2:2" s="221" customFormat="1" ht="12.75" x14ac:dyDescent="0.2">
      <c r="B16779" s="1168"/>
    </row>
    <row r="16780" spans="2:2" s="221" customFormat="1" ht="12.75" x14ac:dyDescent="0.2">
      <c r="B16780" s="1168"/>
    </row>
    <row r="16781" spans="2:2" s="221" customFormat="1" ht="12.75" x14ac:dyDescent="0.2">
      <c r="B16781" s="1168"/>
    </row>
    <row r="16782" spans="2:2" s="221" customFormat="1" ht="12.75" x14ac:dyDescent="0.2">
      <c r="B16782" s="1168"/>
    </row>
    <row r="16783" spans="2:2" s="221" customFormat="1" ht="12.75" x14ac:dyDescent="0.2">
      <c r="B16783" s="1168"/>
    </row>
    <row r="16784" spans="2:2" s="221" customFormat="1" ht="12.75" x14ac:dyDescent="0.2">
      <c r="B16784" s="1168"/>
    </row>
    <row r="16785" spans="2:2" s="221" customFormat="1" ht="12.75" x14ac:dyDescent="0.2">
      <c r="B16785" s="1168"/>
    </row>
    <row r="16786" spans="2:2" s="221" customFormat="1" ht="12.75" x14ac:dyDescent="0.2">
      <c r="B16786" s="1168"/>
    </row>
    <row r="16787" spans="2:2" s="221" customFormat="1" ht="12.75" x14ac:dyDescent="0.2">
      <c r="B16787" s="1168"/>
    </row>
    <row r="16788" spans="2:2" s="221" customFormat="1" ht="12.75" x14ac:dyDescent="0.2">
      <c r="B16788" s="1168"/>
    </row>
    <row r="16789" spans="2:2" s="221" customFormat="1" ht="12.75" x14ac:dyDescent="0.2">
      <c r="B16789" s="1168"/>
    </row>
    <row r="16790" spans="2:2" s="221" customFormat="1" ht="12.75" x14ac:dyDescent="0.2">
      <c r="B16790" s="1168"/>
    </row>
    <row r="16791" spans="2:2" s="221" customFormat="1" ht="12.75" x14ac:dyDescent="0.2">
      <c r="B16791" s="1168"/>
    </row>
    <row r="16792" spans="2:2" s="221" customFormat="1" ht="12.75" x14ac:dyDescent="0.2">
      <c r="B16792" s="1168"/>
    </row>
    <row r="16793" spans="2:2" s="221" customFormat="1" ht="12.75" x14ac:dyDescent="0.2">
      <c r="B16793" s="1168"/>
    </row>
    <row r="16794" spans="2:2" s="221" customFormat="1" ht="12.75" x14ac:dyDescent="0.2">
      <c r="B16794" s="1168"/>
    </row>
    <row r="16795" spans="2:2" s="221" customFormat="1" ht="12.75" x14ac:dyDescent="0.2">
      <c r="B16795" s="1168"/>
    </row>
    <row r="16796" spans="2:2" s="221" customFormat="1" ht="12.75" x14ac:dyDescent="0.2">
      <c r="B16796" s="1168"/>
    </row>
    <row r="16797" spans="2:2" s="221" customFormat="1" ht="12.75" x14ac:dyDescent="0.2">
      <c r="B16797" s="1168"/>
    </row>
    <row r="16798" spans="2:2" s="221" customFormat="1" ht="12.75" x14ac:dyDescent="0.2">
      <c r="B16798" s="1168"/>
    </row>
    <row r="16799" spans="2:2" s="221" customFormat="1" ht="12.75" x14ac:dyDescent="0.2">
      <c r="B16799" s="1168"/>
    </row>
    <row r="16800" spans="2:2" s="221" customFormat="1" ht="12.75" x14ac:dyDescent="0.2">
      <c r="B16800" s="1168"/>
    </row>
    <row r="16801" spans="2:2" s="221" customFormat="1" ht="12.75" x14ac:dyDescent="0.2">
      <c r="B16801" s="1168"/>
    </row>
    <row r="16802" spans="2:2" s="221" customFormat="1" ht="12.75" x14ac:dyDescent="0.2">
      <c r="B16802" s="1168"/>
    </row>
    <row r="16803" spans="2:2" s="221" customFormat="1" ht="12.75" x14ac:dyDescent="0.2">
      <c r="B16803" s="1168"/>
    </row>
    <row r="16804" spans="2:2" s="221" customFormat="1" ht="12.75" x14ac:dyDescent="0.2">
      <c r="B16804" s="1168"/>
    </row>
    <row r="16805" spans="2:2" s="221" customFormat="1" ht="12.75" x14ac:dyDescent="0.2">
      <c r="B16805" s="1168"/>
    </row>
    <row r="16806" spans="2:2" s="221" customFormat="1" ht="12.75" x14ac:dyDescent="0.2">
      <c r="B16806" s="1168"/>
    </row>
    <row r="16807" spans="2:2" s="221" customFormat="1" ht="12.75" x14ac:dyDescent="0.2">
      <c r="B16807" s="1168"/>
    </row>
    <row r="16808" spans="2:2" s="221" customFormat="1" ht="12.75" x14ac:dyDescent="0.2">
      <c r="B16808" s="1168"/>
    </row>
    <row r="16809" spans="2:2" s="221" customFormat="1" ht="12.75" x14ac:dyDescent="0.2">
      <c r="B16809" s="1168"/>
    </row>
    <row r="16810" spans="2:2" s="221" customFormat="1" ht="12.75" x14ac:dyDescent="0.2">
      <c r="B16810" s="1168"/>
    </row>
    <row r="16811" spans="2:2" s="221" customFormat="1" ht="12.75" x14ac:dyDescent="0.2">
      <c r="B16811" s="1168"/>
    </row>
    <row r="16812" spans="2:2" s="221" customFormat="1" ht="12.75" x14ac:dyDescent="0.2">
      <c r="B16812" s="1168"/>
    </row>
    <row r="16813" spans="2:2" s="221" customFormat="1" ht="12.75" x14ac:dyDescent="0.2">
      <c r="B16813" s="1168"/>
    </row>
    <row r="16814" spans="2:2" s="221" customFormat="1" ht="12.75" x14ac:dyDescent="0.2">
      <c r="B16814" s="1168"/>
    </row>
    <row r="16815" spans="2:2" s="221" customFormat="1" ht="12.75" x14ac:dyDescent="0.2">
      <c r="B16815" s="1168"/>
    </row>
    <row r="16816" spans="2:2" s="221" customFormat="1" ht="12.75" x14ac:dyDescent="0.2">
      <c r="B16816" s="1168"/>
    </row>
    <row r="16817" spans="2:2" s="221" customFormat="1" ht="12.75" x14ac:dyDescent="0.2">
      <c r="B16817" s="1168"/>
    </row>
    <row r="16818" spans="2:2" s="221" customFormat="1" ht="12.75" x14ac:dyDescent="0.2">
      <c r="B16818" s="1168"/>
    </row>
    <row r="16819" spans="2:2" s="221" customFormat="1" ht="12.75" x14ac:dyDescent="0.2">
      <c r="B16819" s="1168"/>
    </row>
    <row r="16820" spans="2:2" s="221" customFormat="1" ht="12.75" x14ac:dyDescent="0.2">
      <c r="B16820" s="1168"/>
    </row>
    <row r="16821" spans="2:2" s="221" customFormat="1" ht="12.75" x14ac:dyDescent="0.2">
      <c r="B16821" s="1168"/>
    </row>
    <row r="16822" spans="2:2" s="221" customFormat="1" ht="12.75" x14ac:dyDescent="0.2">
      <c r="B16822" s="1168"/>
    </row>
    <row r="16823" spans="2:2" s="221" customFormat="1" ht="12.75" x14ac:dyDescent="0.2">
      <c r="B16823" s="1168"/>
    </row>
    <row r="16824" spans="2:2" s="221" customFormat="1" ht="12.75" x14ac:dyDescent="0.2">
      <c r="B16824" s="1168"/>
    </row>
    <row r="16825" spans="2:2" s="221" customFormat="1" ht="12.75" x14ac:dyDescent="0.2">
      <c r="B16825" s="1168"/>
    </row>
    <row r="16826" spans="2:2" s="221" customFormat="1" ht="12.75" x14ac:dyDescent="0.2">
      <c r="B16826" s="1168"/>
    </row>
    <row r="16827" spans="2:2" s="221" customFormat="1" ht="12.75" x14ac:dyDescent="0.2">
      <c r="B16827" s="1168"/>
    </row>
    <row r="16828" spans="2:2" s="221" customFormat="1" ht="12.75" x14ac:dyDescent="0.2">
      <c r="B16828" s="1168"/>
    </row>
    <row r="16829" spans="2:2" s="221" customFormat="1" ht="12.75" x14ac:dyDescent="0.2">
      <c r="B16829" s="1168"/>
    </row>
    <row r="16830" spans="2:2" s="221" customFormat="1" ht="12.75" x14ac:dyDescent="0.2">
      <c r="B16830" s="1168"/>
    </row>
    <row r="16831" spans="2:2" s="221" customFormat="1" ht="12.75" x14ac:dyDescent="0.2">
      <c r="B16831" s="1168"/>
    </row>
    <row r="16832" spans="2:2" s="221" customFormat="1" ht="12.75" x14ac:dyDescent="0.2">
      <c r="B16832" s="1168"/>
    </row>
    <row r="16833" spans="2:2" s="221" customFormat="1" ht="12.75" x14ac:dyDescent="0.2">
      <c r="B16833" s="1168"/>
    </row>
    <row r="16834" spans="2:2" s="221" customFormat="1" ht="12.75" x14ac:dyDescent="0.2">
      <c r="B16834" s="1168"/>
    </row>
    <row r="16835" spans="2:2" s="221" customFormat="1" ht="12.75" x14ac:dyDescent="0.2">
      <c r="B16835" s="1168"/>
    </row>
    <row r="16836" spans="2:2" s="221" customFormat="1" ht="12.75" x14ac:dyDescent="0.2">
      <c r="B16836" s="1168"/>
    </row>
    <row r="16837" spans="2:2" s="221" customFormat="1" ht="12.75" x14ac:dyDescent="0.2">
      <c r="B16837" s="1168"/>
    </row>
    <row r="16838" spans="2:2" s="221" customFormat="1" ht="12.75" x14ac:dyDescent="0.2">
      <c r="B16838" s="1168"/>
    </row>
    <row r="16839" spans="2:2" s="221" customFormat="1" ht="12.75" x14ac:dyDescent="0.2">
      <c r="B16839" s="1168"/>
    </row>
    <row r="16840" spans="2:2" s="221" customFormat="1" ht="12.75" x14ac:dyDescent="0.2">
      <c r="B16840" s="1168"/>
    </row>
    <row r="16841" spans="2:2" s="221" customFormat="1" ht="12.75" x14ac:dyDescent="0.2">
      <c r="B16841" s="1168"/>
    </row>
    <row r="16842" spans="2:2" s="221" customFormat="1" ht="12.75" x14ac:dyDescent="0.2">
      <c r="B16842" s="1168"/>
    </row>
    <row r="16843" spans="2:2" s="221" customFormat="1" ht="12.75" x14ac:dyDescent="0.2">
      <c r="B16843" s="1168"/>
    </row>
    <row r="16844" spans="2:2" s="221" customFormat="1" ht="12.75" x14ac:dyDescent="0.2">
      <c r="B16844" s="1168"/>
    </row>
    <row r="16845" spans="2:2" s="221" customFormat="1" ht="12.75" x14ac:dyDescent="0.2">
      <c r="B16845" s="1168"/>
    </row>
    <row r="16846" spans="2:2" s="221" customFormat="1" ht="12.75" x14ac:dyDescent="0.2">
      <c r="B16846" s="1168"/>
    </row>
    <row r="16847" spans="2:2" s="221" customFormat="1" ht="12.75" x14ac:dyDescent="0.2">
      <c r="B16847" s="1168"/>
    </row>
    <row r="16848" spans="2:2" s="221" customFormat="1" ht="12.75" x14ac:dyDescent="0.2">
      <c r="B16848" s="1168"/>
    </row>
    <row r="16849" spans="2:2" s="221" customFormat="1" ht="12.75" x14ac:dyDescent="0.2">
      <c r="B16849" s="1168"/>
    </row>
    <row r="16850" spans="2:2" s="221" customFormat="1" ht="12.75" x14ac:dyDescent="0.2">
      <c r="B16850" s="1168"/>
    </row>
    <row r="16851" spans="2:2" s="221" customFormat="1" ht="12.75" x14ac:dyDescent="0.2">
      <c r="B16851" s="1168"/>
    </row>
    <row r="16852" spans="2:2" s="221" customFormat="1" ht="12.75" x14ac:dyDescent="0.2">
      <c r="B16852" s="1168"/>
    </row>
    <row r="16853" spans="2:2" s="221" customFormat="1" ht="12.75" x14ac:dyDescent="0.2">
      <c r="B16853" s="1168"/>
    </row>
    <row r="16854" spans="2:2" s="221" customFormat="1" ht="12.75" x14ac:dyDescent="0.2">
      <c r="B16854" s="1168"/>
    </row>
    <row r="16855" spans="2:2" s="221" customFormat="1" ht="12.75" x14ac:dyDescent="0.2">
      <c r="B16855" s="1168"/>
    </row>
    <row r="16856" spans="2:2" s="221" customFormat="1" ht="12.75" x14ac:dyDescent="0.2">
      <c r="B16856" s="1168"/>
    </row>
    <row r="16857" spans="2:2" s="221" customFormat="1" ht="12.75" x14ac:dyDescent="0.2">
      <c r="B16857" s="1168"/>
    </row>
    <row r="16858" spans="2:2" s="221" customFormat="1" ht="12.75" x14ac:dyDescent="0.2">
      <c r="B16858" s="1168"/>
    </row>
    <row r="16859" spans="2:2" s="221" customFormat="1" ht="12.75" x14ac:dyDescent="0.2">
      <c r="B16859" s="1168"/>
    </row>
    <row r="16860" spans="2:2" s="221" customFormat="1" ht="12.75" x14ac:dyDescent="0.2">
      <c r="B16860" s="1168"/>
    </row>
    <row r="16861" spans="2:2" s="221" customFormat="1" ht="12.75" x14ac:dyDescent="0.2">
      <c r="B16861" s="1168"/>
    </row>
    <row r="16862" spans="2:2" s="221" customFormat="1" ht="12.75" x14ac:dyDescent="0.2">
      <c r="B16862" s="1168"/>
    </row>
    <row r="16863" spans="2:2" s="221" customFormat="1" ht="12.75" x14ac:dyDescent="0.2">
      <c r="B16863" s="1168"/>
    </row>
    <row r="16864" spans="2:2" s="221" customFormat="1" ht="12.75" x14ac:dyDescent="0.2">
      <c r="B16864" s="1168"/>
    </row>
    <row r="16865" spans="2:2" s="221" customFormat="1" ht="12.75" x14ac:dyDescent="0.2">
      <c r="B16865" s="1168"/>
    </row>
    <row r="16866" spans="2:2" s="221" customFormat="1" ht="12.75" x14ac:dyDescent="0.2">
      <c r="B16866" s="1168"/>
    </row>
    <row r="16867" spans="2:2" s="221" customFormat="1" ht="12.75" x14ac:dyDescent="0.2">
      <c r="B16867" s="1168"/>
    </row>
    <row r="16868" spans="2:2" s="221" customFormat="1" ht="12.75" x14ac:dyDescent="0.2">
      <c r="B16868" s="1168"/>
    </row>
    <row r="16869" spans="2:2" s="221" customFormat="1" ht="12.75" x14ac:dyDescent="0.2">
      <c r="B16869" s="1168"/>
    </row>
    <row r="16870" spans="2:2" s="221" customFormat="1" ht="12.75" x14ac:dyDescent="0.2">
      <c r="B16870" s="1168"/>
    </row>
    <row r="16871" spans="2:2" s="221" customFormat="1" ht="12.75" x14ac:dyDescent="0.2">
      <c r="B16871" s="1168"/>
    </row>
    <row r="16872" spans="2:2" s="221" customFormat="1" ht="12.75" x14ac:dyDescent="0.2">
      <c r="B16872" s="1168"/>
    </row>
    <row r="16873" spans="2:2" s="221" customFormat="1" ht="12.75" x14ac:dyDescent="0.2">
      <c r="B16873" s="1168"/>
    </row>
    <row r="16874" spans="2:2" s="221" customFormat="1" ht="12.75" x14ac:dyDescent="0.2">
      <c r="B16874" s="1168"/>
    </row>
    <row r="16875" spans="2:2" s="221" customFormat="1" ht="12.75" x14ac:dyDescent="0.2">
      <c r="B16875" s="1168"/>
    </row>
    <row r="16876" spans="2:2" s="221" customFormat="1" ht="12.75" x14ac:dyDescent="0.2">
      <c r="B16876" s="1168"/>
    </row>
    <row r="16877" spans="2:2" s="221" customFormat="1" ht="12.75" x14ac:dyDescent="0.2">
      <c r="B16877" s="1168"/>
    </row>
    <row r="16878" spans="2:2" s="221" customFormat="1" ht="12.75" x14ac:dyDescent="0.2">
      <c r="B16878" s="1168"/>
    </row>
    <row r="16879" spans="2:2" s="221" customFormat="1" ht="12.75" x14ac:dyDescent="0.2">
      <c r="B16879" s="1168"/>
    </row>
    <row r="16880" spans="2:2" s="221" customFormat="1" ht="12.75" x14ac:dyDescent="0.2">
      <c r="B16880" s="1168"/>
    </row>
    <row r="16881" spans="2:2" s="221" customFormat="1" ht="12.75" x14ac:dyDescent="0.2">
      <c r="B16881" s="1168"/>
    </row>
    <row r="16882" spans="2:2" s="221" customFormat="1" ht="12.75" x14ac:dyDescent="0.2">
      <c r="B16882" s="1168"/>
    </row>
    <row r="16883" spans="2:2" s="221" customFormat="1" ht="12.75" x14ac:dyDescent="0.2">
      <c r="B16883" s="1168"/>
    </row>
    <row r="16884" spans="2:2" s="221" customFormat="1" ht="12.75" x14ac:dyDescent="0.2">
      <c r="B16884" s="1168"/>
    </row>
    <row r="16885" spans="2:2" s="221" customFormat="1" ht="12.75" x14ac:dyDescent="0.2">
      <c r="B16885" s="1168"/>
    </row>
    <row r="16886" spans="2:2" s="221" customFormat="1" ht="12.75" x14ac:dyDescent="0.2">
      <c r="B16886" s="1168"/>
    </row>
    <row r="16887" spans="2:2" s="221" customFormat="1" ht="12.75" x14ac:dyDescent="0.2">
      <c r="B16887" s="1168"/>
    </row>
    <row r="16888" spans="2:2" s="221" customFormat="1" ht="12.75" x14ac:dyDescent="0.2">
      <c r="B16888" s="1168"/>
    </row>
    <row r="16889" spans="2:2" s="221" customFormat="1" ht="12.75" x14ac:dyDescent="0.2">
      <c r="B16889" s="1168"/>
    </row>
    <row r="16890" spans="2:2" s="221" customFormat="1" ht="12.75" x14ac:dyDescent="0.2">
      <c r="B16890" s="1168"/>
    </row>
    <row r="16891" spans="2:2" s="221" customFormat="1" ht="12.75" x14ac:dyDescent="0.2">
      <c r="B16891" s="1168"/>
    </row>
    <row r="16892" spans="2:2" s="221" customFormat="1" ht="12.75" x14ac:dyDescent="0.2">
      <c r="B16892" s="1168"/>
    </row>
    <row r="16893" spans="2:2" s="221" customFormat="1" ht="12.75" x14ac:dyDescent="0.2">
      <c r="B16893" s="1168"/>
    </row>
    <row r="16894" spans="2:2" s="221" customFormat="1" ht="12.75" x14ac:dyDescent="0.2">
      <c r="B16894" s="1168"/>
    </row>
    <row r="16895" spans="2:2" s="221" customFormat="1" ht="12.75" x14ac:dyDescent="0.2">
      <c r="B16895" s="1168"/>
    </row>
    <row r="16896" spans="2:2" s="221" customFormat="1" ht="12.75" x14ac:dyDescent="0.2">
      <c r="B16896" s="1168"/>
    </row>
    <row r="16897" spans="2:2" s="221" customFormat="1" ht="12.75" x14ac:dyDescent="0.2">
      <c r="B16897" s="1168"/>
    </row>
    <row r="16898" spans="2:2" s="221" customFormat="1" ht="12.75" x14ac:dyDescent="0.2">
      <c r="B16898" s="1168"/>
    </row>
    <row r="16899" spans="2:2" s="221" customFormat="1" ht="12.75" x14ac:dyDescent="0.2">
      <c r="B16899" s="1168"/>
    </row>
    <row r="16900" spans="2:2" s="221" customFormat="1" ht="12.75" x14ac:dyDescent="0.2">
      <c r="B16900" s="1168"/>
    </row>
    <row r="16901" spans="2:2" s="221" customFormat="1" ht="12.75" x14ac:dyDescent="0.2">
      <c r="B16901" s="1168"/>
    </row>
    <row r="16902" spans="2:2" s="221" customFormat="1" ht="12.75" x14ac:dyDescent="0.2">
      <c r="B16902" s="1168"/>
    </row>
    <row r="16903" spans="2:2" s="221" customFormat="1" ht="12.75" x14ac:dyDescent="0.2">
      <c r="B16903" s="1168"/>
    </row>
    <row r="16904" spans="2:2" s="221" customFormat="1" ht="12.75" x14ac:dyDescent="0.2">
      <c r="B16904" s="1168"/>
    </row>
    <row r="16905" spans="2:2" s="221" customFormat="1" ht="12.75" x14ac:dyDescent="0.2">
      <c r="B16905" s="1168"/>
    </row>
    <row r="16906" spans="2:2" s="221" customFormat="1" ht="12.75" x14ac:dyDescent="0.2">
      <c r="B16906" s="1168"/>
    </row>
    <row r="16907" spans="2:2" s="221" customFormat="1" ht="12.75" x14ac:dyDescent="0.2">
      <c r="B16907" s="1168"/>
    </row>
    <row r="16908" spans="2:2" s="221" customFormat="1" ht="12.75" x14ac:dyDescent="0.2">
      <c r="B16908" s="1168"/>
    </row>
    <row r="16909" spans="2:2" s="221" customFormat="1" ht="12.75" x14ac:dyDescent="0.2">
      <c r="B16909" s="1168"/>
    </row>
    <row r="16910" spans="2:2" s="221" customFormat="1" ht="12.75" x14ac:dyDescent="0.2">
      <c r="B16910" s="1168"/>
    </row>
    <row r="16911" spans="2:2" s="221" customFormat="1" ht="12.75" x14ac:dyDescent="0.2">
      <c r="B16911" s="1168"/>
    </row>
    <row r="16912" spans="2:2" s="221" customFormat="1" ht="12.75" x14ac:dyDescent="0.2">
      <c r="B16912" s="1168"/>
    </row>
    <row r="16913" spans="2:2" s="221" customFormat="1" ht="12.75" x14ac:dyDescent="0.2">
      <c r="B16913" s="1168"/>
    </row>
    <row r="16914" spans="2:2" s="221" customFormat="1" ht="12.75" x14ac:dyDescent="0.2">
      <c r="B16914" s="1168"/>
    </row>
    <row r="16915" spans="2:2" s="221" customFormat="1" ht="12.75" x14ac:dyDescent="0.2">
      <c r="B16915" s="1168"/>
    </row>
    <row r="16916" spans="2:2" s="221" customFormat="1" ht="12.75" x14ac:dyDescent="0.2">
      <c r="B16916" s="1168"/>
    </row>
    <row r="16917" spans="2:2" s="221" customFormat="1" ht="12.75" x14ac:dyDescent="0.2">
      <c r="B16917" s="1168"/>
    </row>
    <row r="16918" spans="2:2" s="221" customFormat="1" ht="12.75" x14ac:dyDescent="0.2">
      <c r="B16918" s="1168"/>
    </row>
    <row r="16919" spans="2:2" s="221" customFormat="1" ht="12.75" x14ac:dyDescent="0.2">
      <c r="B16919" s="1168"/>
    </row>
    <row r="16920" spans="2:2" s="221" customFormat="1" ht="12.75" x14ac:dyDescent="0.2">
      <c r="B16920" s="1168"/>
    </row>
    <row r="16921" spans="2:2" s="221" customFormat="1" ht="12.75" x14ac:dyDescent="0.2">
      <c r="B16921" s="1168"/>
    </row>
    <row r="16922" spans="2:2" s="221" customFormat="1" ht="12.75" x14ac:dyDescent="0.2">
      <c r="B16922" s="1168"/>
    </row>
    <row r="16923" spans="2:2" s="221" customFormat="1" ht="12.75" x14ac:dyDescent="0.2">
      <c r="B16923" s="1168"/>
    </row>
    <row r="16924" spans="2:2" s="221" customFormat="1" ht="12.75" x14ac:dyDescent="0.2">
      <c r="B16924" s="1168"/>
    </row>
    <row r="16925" spans="2:2" s="221" customFormat="1" ht="12.75" x14ac:dyDescent="0.2">
      <c r="B16925" s="1168"/>
    </row>
    <row r="16926" spans="2:2" s="221" customFormat="1" ht="12.75" x14ac:dyDescent="0.2">
      <c r="B16926" s="1168"/>
    </row>
    <row r="16927" spans="2:2" s="221" customFormat="1" ht="12.75" x14ac:dyDescent="0.2">
      <c r="B16927" s="1168"/>
    </row>
    <row r="16928" spans="2:2" s="221" customFormat="1" ht="12.75" x14ac:dyDescent="0.2">
      <c r="B16928" s="1168"/>
    </row>
    <row r="16929" spans="2:2" s="221" customFormat="1" ht="12.75" x14ac:dyDescent="0.2">
      <c r="B16929" s="1168"/>
    </row>
    <row r="16930" spans="2:2" s="221" customFormat="1" ht="12.75" x14ac:dyDescent="0.2">
      <c r="B16930" s="1168"/>
    </row>
    <row r="16931" spans="2:2" s="221" customFormat="1" ht="12.75" x14ac:dyDescent="0.2">
      <c r="B16931" s="1168"/>
    </row>
    <row r="16932" spans="2:2" s="221" customFormat="1" ht="12.75" x14ac:dyDescent="0.2">
      <c r="B16932" s="1168"/>
    </row>
    <row r="16933" spans="2:2" s="221" customFormat="1" ht="12.75" x14ac:dyDescent="0.2">
      <c r="B16933" s="1168"/>
    </row>
    <row r="16934" spans="2:2" s="221" customFormat="1" ht="12.75" x14ac:dyDescent="0.2">
      <c r="B16934" s="1168"/>
    </row>
    <row r="16935" spans="2:2" s="221" customFormat="1" ht="12.75" x14ac:dyDescent="0.2">
      <c r="B16935" s="1168"/>
    </row>
    <row r="16936" spans="2:2" s="221" customFormat="1" ht="12.75" x14ac:dyDescent="0.2">
      <c r="B16936" s="1168"/>
    </row>
    <row r="16937" spans="2:2" s="221" customFormat="1" ht="12.75" x14ac:dyDescent="0.2">
      <c r="B16937" s="1168"/>
    </row>
    <row r="16938" spans="2:2" s="221" customFormat="1" ht="12.75" x14ac:dyDescent="0.2">
      <c r="B16938" s="1168"/>
    </row>
    <row r="16939" spans="2:2" s="221" customFormat="1" ht="12.75" x14ac:dyDescent="0.2">
      <c r="B16939" s="1168"/>
    </row>
    <row r="16940" spans="2:2" s="221" customFormat="1" ht="12.75" x14ac:dyDescent="0.2">
      <c r="B16940" s="1168"/>
    </row>
    <row r="16941" spans="2:2" s="221" customFormat="1" ht="12.75" x14ac:dyDescent="0.2">
      <c r="B16941" s="1168"/>
    </row>
    <row r="16942" spans="2:2" s="221" customFormat="1" ht="12.75" x14ac:dyDescent="0.2">
      <c r="B16942" s="1168"/>
    </row>
    <row r="16943" spans="2:2" s="221" customFormat="1" ht="12.75" x14ac:dyDescent="0.2">
      <c r="B16943" s="1168"/>
    </row>
    <row r="16944" spans="2:2" s="221" customFormat="1" ht="12.75" x14ac:dyDescent="0.2">
      <c r="B16944" s="1168"/>
    </row>
    <row r="16945" spans="2:2" s="221" customFormat="1" ht="12.75" x14ac:dyDescent="0.2">
      <c r="B16945" s="1168"/>
    </row>
    <row r="16946" spans="2:2" s="221" customFormat="1" ht="12.75" x14ac:dyDescent="0.2">
      <c r="B16946" s="1168"/>
    </row>
    <row r="16947" spans="2:2" s="221" customFormat="1" ht="12.75" x14ac:dyDescent="0.2">
      <c r="B16947" s="1168"/>
    </row>
    <row r="16948" spans="2:2" s="221" customFormat="1" ht="12.75" x14ac:dyDescent="0.2">
      <c r="B16948" s="1168"/>
    </row>
    <row r="16949" spans="2:2" s="221" customFormat="1" ht="12.75" x14ac:dyDescent="0.2">
      <c r="B16949" s="1168"/>
    </row>
    <row r="16950" spans="2:2" s="221" customFormat="1" ht="12.75" x14ac:dyDescent="0.2">
      <c r="B16950" s="1168"/>
    </row>
    <row r="16951" spans="2:2" s="221" customFormat="1" ht="12.75" x14ac:dyDescent="0.2">
      <c r="B16951" s="1168"/>
    </row>
    <row r="16952" spans="2:2" s="221" customFormat="1" ht="12.75" x14ac:dyDescent="0.2">
      <c r="B16952" s="1168"/>
    </row>
    <row r="16953" spans="2:2" s="221" customFormat="1" ht="12.75" x14ac:dyDescent="0.2">
      <c r="B16953" s="1168"/>
    </row>
    <row r="16954" spans="2:2" s="221" customFormat="1" ht="12.75" x14ac:dyDescent="0.2">
      <c r="B16954" s="1168"/>
    </row>
    <row r="16955" spans="2:2" s="221" customFormat="1" ht="12.75" x14ac:dyDescent="0.2">
      <c r="B16955" s="1168"/>
    </row>
    <row r="16956" spans="2:2" s="221" customFormat="1" ht="12.75" x14ac:dyDescent="0.2">
      <c r="B16956" s="1168"/>
    </row>
    <row r="16957" spans="2:2" s="221" customFormat="1" ht="12.75" x14ac:dyDescent="0.2">
      <c r="B16957" s="1168"/>
    </row>
    <row r="16958" spans="2:2" s="221" customFormat="1" ht="12.75" x14ac:dyDescent="0.2">
      <c r="B16958" s="1168"/>
    </row>
    <row r="16959" spans="2:2" s="221" customFormat="1" ht="12.75" x14ac:dyDescent="0.2">
      <c r="B16959" s="1168"/>
    </row>
    <row r="16960" spans="2:2" s="221" customFormat="1" ht="12.75" x14ac:dyDescent="0.2">
      <c r="B16960" s="1168"/>
    </row>
    <row r="16961" spans="2:2" s="221" customFormat="1" ht="12.75" x14ac:dyDescent="0.2">
      <c r="B16961" s="1168"/>
    </row>
    <row r="16962" spans="2:2" s="221" customFormat="1" ht="12.75" x14ac:dyDescent="0.2">
      <c r="B16962" s="1168"/>
    </row>
    <row r="16963" spans="2:2" s="221" customFormat="1" ht="12.75" x14ac:dyDescent="0.2">
      <c r="B16963" s="1168"/>
    </row>
    <row r="16964" spans="2:2" s="221" customFormat="1" ht="12.75" x14ac:dyDescent="0.2">
      <c r="B16964" s="1168"/>
    </row>
    <row r="16965" spans="2:2" s="221" customFormat="1" ht="12.75" x14ac:dyDescent="0.2">
      <c r="B16965" s="1168"/>
    </row>
    <row r="16966" spans="2:2" s="221" customFormat="1" ht="12.75" x14ac:dyDescent="0.2">
      <c r="B16966" s="1168"/>
    </row>
    <row r="16967" spans="2:2" s="221" customFormat="1" ht="12.75" x14ac:dyDescent="0.2">
      <c r="B16967" s="1168"/>
    </row>
    <row r="16968" spans="2:2" s="221" customFormat="1" ht="12.75" x14ac:dyDescent="0.2">
      <c r="B16968" s="1168"/>
    </row>
    <row r="16969" spans="2:2" s="221" customFormat="1" ht="12.75" x14ac:dyDescent="0.2">
      <c r="B16969" s="1168"/>
    </row>
    <row r="16970" spans="2:2" s="221" customFormat="1" ht="12.75" x14ac:dyDescent="0.2">
      <c r="B16970" s="1168"/>
    </row>
    <row r="16971" spans="2:2" s="221" customFormat="1" ht="12.75" x14ac:dyDescent="0.2">
      <c r="B16971" s="1168"/>
    </row>
    <row r="16972" spans="2:2" s="221" customFormat="1" ht="12.75" x14ac:dyDescent="0.2">
      <c r="B16972" s="1168"/>
    </row>
    <row r="16973" spans="2:2" s="221" customFormat="1" ht="12.75" x14ac:dyDescent="0.2">
      <c r="B16973" s="1168"/>
    </row>
    <row r="16974" spans="2:2" s="221" customFormat="1" ht="12.75" x14ac:dyDescent="0.2">
      <c r="B16974" s="1168"/>
    </row>
    <row r="16975" spans="2:2" s="221" customFormat="1" ht="12.75" x14ac:dyDescent="0.2">
      <c r="B16975" s="1168"/>
    </row>
    <row r="16976" spans="2:2" s="221" customFormat="1" ht="12.75" x14ac:dyDescent="0.2">
      <c r="B16976" s="1168"/>
    </row>
    <row r="16977" spans="2:2" s="221" customFormat="1" ht="12.75" x14ac:dyDescent="0.2">
      <c r="B16977" s="1168"/>
    </row>
    <row r="16978" spans="2:2" s="221" customFormat="1" ht="12.75" x14ac:dyDescent="0.2">
      <c r="B16978" s="1168"/>
    </row>
    <row r="16979" spans="2:2" s="221" customFormat="1" ht="12.75" x14ac:dyDescent="0.2">
      <c r="B16979" s="1168"/>
    </row>
    <row r="16980" spans="2:2" s="221" customFormat="1" ht="12.75" x14ac:dyDescent="0.2">
      <c r="B16980" s="1168"/>
    </row>
    <row r="16981" spans="2:2" s="221" customFormat="1" ht="12.75" x14ac:dyDescent="0.2">
      <c r="B16981" s="1168"/>
    </row>
    <row r="16982" spans="2:2" s="221" customFormat="1" ht="12.75" x14ac:dyDescent="0.2">
      <c r="B16982" s="1168"/>
    </row>
    <row r="16983" spans="2:2" s="221" customFormat="1" ht="12.75" x14ac:dyDescent="0.2">
      <c r="B16983" s="1168"/>
    </row>
    <row r="16984" spans="2:2" s="221" customFormat="1" ht="12.75" x14ac:dyDescent="0.2">
      <c r="B16984" s="1168"/>
    </row>
    <row r="16985" spans="2:2" s="221" customFormat="1" ht="12.75" x14ac:dyDescent="0.2">
      <c r="B16985" s="1168"/>
    </row>
    <row r="16986" spans="2:2" s="221" customFormat="1" ht="12.75" x14ac:dyDescent="0.2">
      <c r="B16986" s="1168"/>
    </row>
    <row r="16987" spans="2:2" s="221" customFormat="1" ht="12.75" x14ac:dyDescent="0.2">
      <c r="B16987" s="1168"/>
    </row>
    <row r="16988" spans="2:2" s="221" customFormat="1" ht="12.75" x14ac:dyDescent="0.2">
      <c r="B16988" s="1168"/>
    </row>
    <row r="16989" spans="2:2" s="221" customFormat="1" ht="12.75" x14ac:dyDescent="0.2">
      <c r="B16989" s="1168"/>
    </row>
    <row r="16990" spans="2:2" s="221" customFormat="1" ht="12.75" x14ac:dyDescent="0.2">
      <c r="B16990" s="1168"/>
    </row>
    <row r="16991" spans="2:2" s="221" customFormat="1" ht="12.75" x14ac:dyDescent="0.2">
      <c r="B16991" s="1168"/>
    </row>
    <row r="16992" spans="2:2" s="221" customFormat="1" ht="12.75" x14ac:dyDescent="0.2">
      <c r="B16992" s="1168"/>
    </row>
    <row r="16993" spans="2:2" s="221" customFormat="1" ht="12.75" x14ac:dyDescent="0.2">
      <c r="B16993" s="1168"/>
    </row>
    <row r="16994" spans="2:2" s="221" customFormat="1" ht="12.75" x14ac:dyDescent="0.2">
      <c r="B16994" s="1168"/>
    </row>
    <row r="16995" spans="2:2" s="221" customFormat="1" ht="12.75" x14ac:dyDescent="0.2">
      <c r="B16995" s="1168"/>
    </row>
    <row r="16996" spans="2:2" s="221" customFormat="1" ht="12.75" x14ac:dyDescent="0.2">
      <c r="B16996" s="1168"/>
    </row>
    <row r="16997" spans="2:2" s="221" customFormat="1" ht="12.75" x14ac:dyDescent="0.2">
      <c r="B16997" s="1168"/>
    </row>
    <row r="16998" spans="2:2" s="221" customFormat="1" ht="12.75" x14ac:dyDescent="0.2">
      <c r="B16998" s="1168"/>
    </row>
    <row r="16999" spans="2:2" s="221" customFormat="1" ht="12.75" x14ac:dyDescent="0.2">
      <c r="B16999" s="1168"/>
    </row>
    <row r="17000" spans="2:2" s="221" customFormat="1" ht="12.75" x14ac:dyDescent="0.2">
      <c r="B17000" s="1168"/>
    </row>
    <row r="17001" spans="2:2" s="221" customFormat="1" ht="12.75" x14ac:dyDescent="0.2">
      <c r="B17001" s="1168"/>
    </row>
    <row r="17002" spans="2:2" s="221" customFormat="1" ht="12.75" x14ac:dyDescent="0.2">
      <c r="B17002" s="1168"/>
    </row>
    <row r="17003" spans="2:2" s="221" customFormat="1" ht="12.75" x14ac:dyDescent="0.2">
      <c r="B17003" s="1168"/>
    </row>
    <row r="17004" spans="2:2" s="221" customFormat="1" ht="12.75" x14ac:dyDescent="0.2">
      <c r="B17004" s="1168"/>
    </row>
    <row r="17005" spans="2:2" s="221" customFormat="1" ht="12.75" x14ac:dyDescent="0.2">
      <c r="B17005" s="1168"/>
    </row>
    <row r="17006" spans="2:2" s="221" customFormat="1" ht="12.75" x14ac:dyDescent="0.2">
      <c r="B17006" s="1168"/>
    </row>
    <row r="17007" spans="2:2" s="221" customFormat="1" ht="12.75" x14ac:dyDescent="0.2">
      <c r="B17007" s="1168"/>
    </row>
    <row r="17008" spans="2:2" s="221" customFormat="1" ht="12.75" x14ac:dyDescent="0.2">
      <c r="B17008" s="1168"/>
    </row>
    <row r="17009" spans="2:2" s="221" customFormat="1" ht="12.75" x14ac:dyDescent="0.2">
      <c r="B17009" s="1168"/>
    </row>
    <row r="17010" spans="2:2" s="221" customFormat="1" ht="12.75" x14ac:dyDescent="0.2">
      <c r="B17010" s="1168"/>
    </row>
    <row r="17011" spans="2:2" s="221" customFormat="1" ht="12.75" x14ac:dyDescent="0.2">
      <c r="B17011" s="1168"/>
    </row>
    <row r="17012" spans="2:2" s="221" customFormat="1" ht="12.75" x14ac:dyDescent="0.2">
      <c r="B17012" s="1168"/>
    </row>
    <row r="17013" spans="2:2" s="221" customFormat="1" ht="12.75" x14ac:dyDescent="0.2">
      <c r="B17013" s="1168"/>
    </row>
    <row r="17014" spans="2:2" s="221" customFormat="1" ht="12.75" x14ac:dyDescent="0.2">
      <c r="B17014" s="1168"/>
    </row>
    <row r="17015" spans="2:2" s="221" customFormat="1" ht="12.75" x14ac:dyDescent="0.2">
      <c r="B17015" s="1168"/>
    </row>
    <row r="17016" spans="2:2" s="221" customFormat="1" ht="12.75" x14ac:dyDescent="0.2">
      <c r="B17016" s="1168"/>
    </row>
    <row r="17017" spans="2:2" s="221" customFormat="1" ht="12.75" x14ac:dyDescent="0.2">
      <c r="B17017" s="1168"/>
    </row>
    <row r="17018" spans="2:2" s="221" customFormat="1" ht="12.75" x14ac:dyDescent="0.2">
      <c r="B17018" s="1168"/>
    </row>
    <row r="17019" spans="2:2" s="221" customFormat="1" ht="12.75" x14ac:dyDescent="0.2">
      <c r="B17019" s="1168"/>
    </row>
    <row r="17020" spans="2:2" s="221" customFormat="1" ht="12.75" x14ac:dyDescent="0.2">
      <c r="B17020" s="1168"/>
    </row>
    <row r="17021" spans="2:2" s="221" customFormat="1" ht="12.75" x14ac:dyDescent="0.2">
      <c r="B17021" s="1168"/>
    </row>
    <row r="17022" spans="2:2" s="221" customFormat="1" ht="12.75" x14ac:dyDescent="0.2">
      <c r="B17022" s="1168"/>
    </row>
    <row r="17023" spans="2:2" s="221" customFormat="1" ht="12.75" x14ac:dyDescent="0.2">
      <c r="B17023" s="1168"/>
    </row>
    <row r="17024" spans="2:2" s="221" customFormat="1" ht="12.75" x14ac:dyDescent="0.2">
      <c r="B17024" s="1168"/>
    </row>
    <row r="17025" spans="2:2" s="221" customFormat="1" ht="12.75" x14ac:dyDescent="0.2">
      <c r="B17025" s="1168"/>
    </row>
    <row r="17026" spans="2:2" s="221" customFormat="1" ht="12.75" x14ac:dyDescent="0.2">
      <c r="B17026" s="1168"/>
    </row>
    <row r="17027" spans="2:2" s="221" customFormat="1" ht="12.75" x14ac:dyDescent="0.2">
      <c r="B17027" s="1168"/>
    </row>
    <row r="17028" spans="2:2" s="221" customFormat="1" ht="12.75" x14ac:dyDescent="0.2">
      <c r="B17028" s="1168"/>
    </row>
    <row r="17029" spans="2:2" s="221" customFormat="1" ht="12.75" x14ac:dyDescent="0.2">
      <c r="B17029" s="1168"/>
    </row>
    <row r="17030" spans="2:2" s="221" customFormat="1" ht="12.75" x14ac:dyDescent="0.2">
      <c r="B17030" s="1168"/>
    </row>
    <row r="17031" spans="2:2" s="221" customFormat="1" ht="12.75" x14ac:dyDescent="0.2">
      <c r="B17031" s="1168"/>
    </row>
    <row r="17032" spans="2:2" s="221" customFormat="1" ht="12.75" x14ac:dyDescent="0.2">
      <c r="B17032" s="1168"/>
    </row>
    <row r="17033" spans="2:2" s="221" customFormat="1" ht="12.75" x14ac:dyDescent="0.2">
      <c r="B17033" s="1168"/>
    </row>
    <row r="17034" spans="2:2" s="221" customFormat="1" ht="12.75" x14ac:dyDescent="0.2">
      <c r="B17034" s="1168"/>
    </row>
    <row r="17035" spans="2:2" s="221" customFormat="1" ht="12.75" x14ac:dyDescent="0.2">
      <c r="B17035" s="1168"/>
    </row>
    <row r="17036" spans="2:2" s="221" customFormat="1" ht="12.75" x14ac:dyDescent="0.2">
      <c r="B17036" s="1168"/>
    </row>
    <row r="17037" spans="2:2" s="221" customFormat="1" ht="12.75" x14ac:dyDescent="0.2">
      <c r="B17037" s="1168"/>
    </row>
    <row r="17038" spans="2:2" s="221" customFormat="1" ht="12.75" x14ac:dyDescent="0.2">
      <c r="B17038" s="1168"/>
    </row>
    <row r="17039" spans="2:2" s="221" customFormat="1" ht="12.75" x14ac:dyDescent="0.2">
      <c r="B17039" s="1168"/>
    </row>
    <row r="17040" spans="2:2" s="221" customFormat="1" ht="12.75" x14ac:dyDescent="0.2">
      <c r="B17040" s="1168"/>
    </row>
    <row r="17041" spans="2:2" s="221" customFormat="1" ht="12.75" x14ac:dyDescent="0.2">
      <c r="B17041" s="1168"/>
    </row>
    <row r="17042" spans="2:2" s="221" customFormat="1" ht="12.75" x14ac:dyDescent="0.2">
      <c r="B17042" s="1168"/>
    </row>
    <row r="17043" spans="2:2" s="221" customFormat="1" ht="12.75" x14ac:dyDescent="0.2">
      <c r="B17043" s="1168"/>
    </row>
    <row r="17044" spans="2:2" s="221" customFormat="1" ht="12.75" x14ac:dyDescent="0.2">
      <c r="B17044" s="1168"/>
    </row>
    <row r="17045" spans="2:2" s="221" customFormat="1" ht="12.75" x14ac:dyDescent="0.2">
      <c r="B17045" s="1168"/>
    </row>
    <row r="17046" spans="2:2" s="221" customFormat="1" ht="12.75" x14ac:dyDescent="0.2">
      <c r="B17046" s="1168"/>
    </row>
    <row r="17047" spans="2:2" s="221" customFormat="1" ht="12.75" x14ac:dyDescent="0.2">
      <c r="B17047" s="1168"/>
    </row>
    <row r="17048" spans="2:2" s="221" customFormat="1" ht="12.75" x14ac:dyDescent="0.2">
      <c r="B17048" s="1168"/>
    </row>
    <row r="17049" spans="2:2" s="221" customFormat="1" ht="12.75" x14ac:dyDescent="0.2">
      <c r="B17049" s="1168"/>
    </row>
    <row r="17050" spans="2:2" s="221" customFormat="1" ht="12.75" x14ac:dyDescent="0.2">
      <c r="B17050" s="1168"/>
    </row>
    <row r="17051" spans="2:2" s="221" customFormat="1" ht="12.75" x14ac:dyDescent="0.2">
      <c r="B17051" s="1168"/>
    </row>
    <row r="17052" spans="2:2" s="221" customFormat="1" ht="12.75" x14ac:dyDescent="0.2">
      <c r="B17052" s="1168"/>
    </row>
    <row r="17053" spans="2:2" s="221" customFormat="1" ht="12.75" x14ac:dyDescent="0.2">
      <c r="B17053" s="1168"/>
    </row>
    <row r="17054" spans="2:2" s="221" customFormat="1" ht="12.75" x14ac:dyDescent="0.2">
      <c r="B17054" s="1168"/>
    </row>
    <row r="17055" spans="2:2" s="221" customFormat="1" ht="12.75" x14ac:dyDescent="0.2">
      <c r="B17055" s="1168"/>
    </row>
    <row r="17056" spans="2:2" s="221" customFormat="1" ht="12.75" x14ac:dyDescent="0.2">
      <c r="B17056" s="1168"/>
    </row>
    <row r="17057" spans="2:2" s="221" customFormat="1" ht="12.75" x14ac:dyDescent="0.2">
      <c r="B17057" s="1168"/>
    </row>
    <row r="17058" spans="2:2" s="221" customFormat="1" ht="12.75" x14ac:dyDescent="0.2">
      <c r="B17058" s="1168"/>
    </row>
    <row r="17059" spans="2:2" s="221" customFormat="1" ht="12.75" x14ac:dyDescent="0.2">
      <c r="B17059" s="1168"/>
    </row>
    <row r="17060" spans="2:2" s="221" customFormat="1" ht="12.75" x14ac:dyDescent="0.2">
      <c r="B17060" s="1168"/>
    </row>
    <row r="17061" spans="2:2" s="221" customFormat="1" ht="12.75" x14ac:dyDescent="0.2">
      <c r="B17061" s="1168"/>
    </row>
    <row r="17062" spans="2:2" s="221" customFormat="1" ht="12.75" x14ac:dyDescent="0.2">
      <c r="B17062" s="1168"/>
    </row>
    <row r="17063" spans="2:2" s="221" customFormat="1" ht="12.75" x14ac:dyDescent="0.2">
      <c r="B17063" s="1168"/>
    </row>
    <row r="17064" spans="2:2" s="221" customFormat="1" ht="12.75" x14ac:dyDescent="0.2">
      <c r="B17064" s="1168"/>
    </row>
    <row r="17065" spans="2:2" s="221" customFormat="1" ht="12.75" x14ac:dyDescent="0.2">
      <c r="B17065" s="1168"/>
    </row>
    <row r="17066" spans="2:2" s="221" customFormat="1" ht="12.75" x14ac:dyDescent="0.2">
      <c r="B17066" s="1168"/>
    </row>
    <row r="17067" spans="2:2" s="221" customFormat="1" ht="12.75" x14ac:dyDescent="0.2">
      <c r="B17067" s="1168"/>
    </row>
    <row r="17068" spans="2:2" s="221" customFormat="1" ht="12.75" x14ac:dyDescent="0.2">
      <c r="B17068" s="1168"/>
    </row>
    <row r="17069" spans="2:2" s="221" customFormat="1" ht="12.75" x14ac:dyDescent="0.2">
      <c r="B17069" s="1168"/>
    </row>
    <row r="17070" spans="2:2" s="221" customFormat="1" ht="12.75" x14ac:dyDescent="0.2">
      <c r="B17070" s="1168"/>
    </row>
    <row r="17071" spans="2:2" s="221" customFormat="1" ht="12.75" x14ac:dyDescent="0.2">
      <c r="B17071" s="1168"/>
    </row>
    <row r="17072" spans="2:2" s="221" customFormat="1" ht="12.75" x14ac:dyDescent="0.2">
      <c r="B17072" s="1168"/>
    </row>
    <row r="17073" spans="2:2" s="221" customFormat="1" ht="12.75" x14ac:dyDescent="0.2">
      <c r="B17073" s="1168"/>
    </row>
    <row r="17074" spans="2:2" s="221" customFormat="1" ht="12.75" x14ac:dyDescent="0.2">
      <c r="B17074" s="1168"/>
    </row>
    <row r="17075" spans="2:2" s="221" customFormat="1" ht="12.75" x14ac:dyDescent="0.2">
      <c r="B17075" s="1168"/>
    </row>
    <row r="17076" spans="2:2" s="221" customFormat="1" ht="12.75" x14ac:dyDescent="0.2">
      <c r="B17076" s="1168"/>
    </row>
    <row r="17077" spans="2:2" s="221" customFormat="1" ht="12.75" x14ac:dyDescent="0.2">
      <c r="B17077" s="1168"/>
    </row>
    <row r="17078" spans="2:2" s="221" customFormat="1" ht="12.75" x14ac:dyDescent="0.2">
      <c r="B17078" s="1168"/>
    </row>
    <row r="17079" spans="2:2" s="221" customFormat="1" ht="12.75" x14ac:dyDescent="0.2">
      <c r="B17079" s="1168"/>
    </row>
    <row r="17080" spans="2:2" s="221" customFormat="1" ht="12.75" x14ac:dyDescent="0.2">
      <c r="B17080" s="1168"/>
    </row>
    <row r="17081" spans="2:2" s="221" customFormat="1" ht="12.75" x14ac:dyDescent="0.2">
      <c r="B17081" s="1168"/>
    </row>
    <row r="17082" spans="2:2" s="221" customFormat="1" ht="12.75" x14ac:dyDescent="0.2">
      <c r="B17082" s="1168"/>
    </row>
    <row r="17083" spans="2:2" s="221" customFormat="1" ht="12.75" x14ac:dyDescent="0.2">
      <c r="B17083" s="1168"/>
    </row>
    <row r="17084" spans="2:2" s="221" customFormat="1" ht="12.75" x14ac:dyDescent="0.2">
      <c r="B17084" s="1168"/>
    </row>
    <row r="17085" spans="2:2" s="221" customFormat="1" ht="12.75" x14ac:dyDescent="0.2">
      <c r="B17085" s="1168"/>
    </row>
    <row r="17086" spans="2:2" s="221" customFormat="1" ht="12.75" x14ac:dyDescent="0.2">
      <c r="B17086" s="1168"/>
    </row>
    <row r="17087" spans="2:2" s="221" customFormat="1" ht="12.75" x14ac:dyDescent="0.2">
      <c r="B17087" s="1168"/>
    </row>
    <row r="17088" spans="2:2" s="221" customFormat="1" ht="12.75" x14ac:dyDescent="0.2">
      <c r="B17088" s="1168"/>
    </row>
    <row r="17089" spans="2:2" s="221" customFormat="1" ht="12.75" x14ac:dyDescent="0.2">
      <c r="B17089" s="1168"/>
    </row>
    <row r="17090" spans="2:2" s="221" customFormat="1" ht="12.75" x14ac:dyDescent="0.2">
      <c r="B17090" s="1168"/>
    </row>
    <row r="17091" spans="2:2" s="221" customFormat="1" ht="12.75" x14ac:dyDescent="0.2">
      <c r="B17091" s="1168"/>
    </row>
    <row r="17092" spans="2:2" s="221" customFormat="1" ht="12.75" x14ac:dyDescent="0.2">
      <c r="B17092" s="1168"/>
    </row>
    <row r="17093" spans="2:2" s="221" customFormat="1" ht="12.75" x14ac:dyDescent="0.2">
      <c r="B17093" s="1168"/>
    </row>
    <row r="17094" spans="2:2" s="221" customFormat="1" ht="12.75" x14ac:dyDescent="0.2">
      <c r="B17094" s="1168"/>
    </row>
    <row r="17095" spans="2:2" s="221" customFormat="1" ht="12.75" x14ac:dyDescent="0.2">
      <c r="B17095" s="1168"/>
    </row>
    <row r="17096" spans="2:2" s="221" customFormat="1" ht="12.75" x14ac:dyDescent="0.2">
      <c r="B17096" s="1168"/>
    </row>
    <row r="17097" spans="2:2" s="221" customFormat="1" ht="12.75" x14ac:dyDescent="0.2">
      <c r="B17097" s="1168"/>
    </row>
    <row r="17098" spans="2:2" s="221" customFormat="1" ht="12.75" x14ac:dyDescent="0.2">
      <c r="B17098" s="1168"/>
    </row>
    <row r="17099" spans="2:2" s="221" customFormat="1" ht="12.75" x14ac:dyDescent="0.2">
      <c r="B17099" s="1168"/>
    </row>
    <row r="17100" spans="2:2" s="221" customFormat="1" ht="12.75" x14ac:dyDescent="0.2">
      <c r="B17100" s="1168"/>
    </row>
    <row r="17101" spans="2:2" s="221" customFormat="1" ht="12.75" x14ac:dyDescent="0.2">
      <c r="B17101" s="1168"/>
    </row>
    <row r="17102" spans="2:2" s="221" customFormat="1" ht="12.75" x14ac:dyDescent="0.2">
      <c r="B17102" s="1168"/>
    </row>
    <row r="17103" spans="2:2" s="221" customFormat="1" ht="12.75" x14ac:dyDescent="0.2">
      <c r="B17103" s="1168"/>
    </row>
    <row r="17104" spans="2:2" s="221" customFormat="1" ht="12.75" x14ac:dyDescent="0.2">
      <c r="B17104" s="1168"/>
    </row>
    <row r="17105" spans="2:2" s="221" customFormat="1" ht="12.75" x14ac:dyDescent="0.2">
      <c r="B17105" s="1168"/>
    </row>
    <row r="17106" spans="2:2" s="221" customFormat="1" ht="12.75" x14ac:dyDescent="0.2">
      <c r="B17106" s="1168"/>
    </row>
    <row r="17107" spans="2:2" s="221" customFormat="1" ht="12.75" x14ac:dyDescent="0.2">
      <c r="B17107" s="1168"/>
    </row>
    <row r="17108" spans="2:2" s="221" customFormat="1" ht="12.75" x14ac:dyDescent="0.2">
      <c r="B17108" s="1168"/>
    </row>
    <row r="17109" spans="2:2" s="221" customFormat="1" ht="12.75" x14ac:dyDescent="0.2">
      <c r="B17109" s="1168"/>
    </row>
    <row r="17110" spans="2:2" s="221" customFormat="1" ht="12.75" x14ac:dyDescent="0.2">
      <c r="B17110" s="1168"/>
    </row>
    <row r="17111" spans="2:2" s="221" customFormat="1" ht="12.75" x14ac:dyDescent="0.2">
      <c r="B17111" s="1168"/>
    </row>
    <row r="17112" spans="2:2" s="221" customFormat="1" ht="12.75" x14ac:dyDescent="0.2">
      <c r="B17112" s="1168"/>
    </row>
    <row r="17113" spans="2:2" s="221" customFormat="1" ht="12.75" x14ac:dyDescent="0.2">
      <c r="B17113" s="1168"/>
    </row>
    <row r="17114" spans="2:2" s="221" customFormat="1" ht="12.75" x14ac:dyDescent="0.2">
      <c r="B17114" s="1168"/>
    </row>
    <row r="17115" spans="2:2" s="221" customFormat="1" ht="12.75" x14ac:dyDescent="0.2">
      <c r="B17115" s="1168"/>
    </row>
    <row r="17116" spans="2:2" s="221" customFormat="1" ht="12.75" x14ac:dyDescent="0.2">
      <c r="B17116" s="1168"/>
    </row>
    <row r="17117" spans="2:2" s="221" customFormat="1" ht="12.75" x14ac:dyDescent="0.2">
      <c r="B17117" s="1168"/>
    </row>
    <row r="17118" spans="2:2" s="221" customFormat="1" ht="12.75" x14ac:dyDescent="0.2">
      <c r="B17118" s="1168"/>
    </row>
    <row r="17119" spans="2:2" s="221" customFormat="1" ht="12.75" x14ac:dyDescent="0.2">
      <c r="B17119" s="1168"/>
    </row>
    <row r="17120" spans="2:2" s="221" customFormat="1" ht="12.75" x14ac:dyDescent="0.2">
      <c r="B17120" s="1168"/>
    </row>
    <row r="17121" spans="2:2" s="221" customFormat="1" ht="12.75" x14ac:dyDescent="0.2">
      <c r="B17121" s="1168"/>
    </row>
    <row r="17122" spans="2:2" s="221" customFormat="1" ht="12.75" x14ac:dyDescent="0.2">
      <c r="B17122" s="1168"/>
    </row>
    <row r="17123" spans="2:2" s="221" customFormat="1" ht="12.75" x14ac:dyDescent="0.2">
      <c r="B17123" s="1168"/>
    </row>
    <row r="17124" spans="2:2" s="221" customFormat="1" ht="12.75" x14ac:dyDescent="0.2">
      <c r="B17124" s="1168"/>
    </row>
    <row r="17125" spans="2:2" s="221" customFormat="1" ht="12.75" x14ac:dyDescent="0.2">
      <c r="B17125" s="1168"/>
    </row>
    <row r="17126" spans="2:2" s="221" customFormat="1" ht="12.75" x14ac:dyDescent="0.2">
      <c r="B17126" s="1168"/>
    </row>
    <row r="17127" spans="2:2" s="221" customFormat="1" ht="12.75" x14ac:dyDescent="0.2">
      <c r="B17127" s="1168"/>
    </row>
    <row r="17128" spans="2:2" s="221" customFormat="1" ht="12.75" x14ac:dyDescent="0.2">
      <c r="B17128" s="1168"/>
    </row>
    <row r="17129" spans="2:2" s="221" customFormat="1" ht="12.75" x14ac:dyDescent="0.2">
      <c r="B17129" s="1168"/>
    </row>
    <row r="17130" spans="2:2" s="221" customFormat="1" ht="12.75" x14ac:dyDescent="0.2">
      <c r="B17130" s="1168"/>
    </row>
    <row r="17131" spans="2:2" s="221" customFormat="1" ht="12.75" x14ac:dyDescent="0.2">
      <c r="B17131" s="1168"/>
    </row>
    <row r="17132" spans="2:2" s="221" customFormat="1" ht="12.75" x14ac:dyDescent="0.2">
      <c r="B17132" s="1168"/>
    </row>
    <row r="17133" spans="2:2" s="221" customFormat="1" ht="12.75" x14ac:dyDescent="0.2">
      <c r="B17133" s="1168"/>
    </row>
    <row r="17134" spans="2:2" s="221" customFormat="1" ht="12.75" x14ac:dyDescent="0.2">
      <c r="B17134" s="1168"/>
    </row>
    <row r="17135" spans="2:2" s="221" customFormat="1" ht="12.75" x14ac:dyDescent="0.2">
      <c r="B17135" s="1168"/>
    </row>
    <row r="17136" spans="2:2" s="221" customFormat="1" ht="12.75" x14ac:dyDescent="0.2">
      <c r="B17136" s="1168"/>
    </row>
    <row r="17137" spans="2:2" s="221" customFormat="1" ht="12.75" x14ac:dyDescent="0.2">
      <c r="B17137" s="1168"/>
    </row>
    <row r="17138" spans="2:2" s="221" customFormat="1" ht="12.75" x14ac:dyDescent="0.2">
      <c r="B17138" s="1168"/>
    </row>
    <row r="17139" spans="2:2" s="221" customFormat="1" ht="12.75" x14ac:dyDescent="0.2">
      <c r="B17139" s="1168"/>
    </row>
    <row r="17140" spans="2:2" s="221" customFormat="1" ht="12.75" x14ac:dyDescent="0.2">
      <c r="B17140" s="1168"/>
    </row>
    <row r="17141" spans="2:2" s="221" customFormat="1" ht="12.75" x14ac:dyDescent="0.2">
      <c r="B17141" s="1168"/>
    </row>
    <row r="17142" spans="2:2" s="221" customFormat="1" ht="12.75" x14ac:dyDescent="0.2">
      <c r="B17142" s="1168"/>
    </row>
    <row r="17143" spans="2:2" s="221" customFormat="1" ht="12.75" x14ac:dyDescent="0.2">
      <c r="B17143" s="1168"/>
    </row>
    <row r="17144" spans="2:2" s="221" customFormat="1" ht="12.75" x14ac:dyDescent="0.2">
      <c r="B17144" s="1168"/>
    </row>
    <row r="17145" spans="2:2" s="221" customFormat="1" ht="12.75" x14ac:dyDescent="0.2">
      <c r="B17145" s="1168"/>
    </row>
    <row r="17146" spans="2:2" s="221" customFormat="1" ht="12.75" x14ac:dyDescent="0.2">
      <c r="B17146" s="1168"/>
    </row>
    <row r="17147" spans="2:2" s="221" customFormat="1" ht="12.75" x14ac:dyDescent="0.2">
      <c r="B17147" s="1168"/>
    </row>
    <row r="17148" spans="2:2" s="221" customFormat="1" ht="12.75" x14ac:dyDescent="0.2">
      <c r="B17148" s="1168"/>
    </row>
    <row r="17149" spans="2:2" s="221" customFormat="1" ht="12.75" x14ac:dyDescent="0.2">
      <c r="B17149" s="1168"/>
    </row>
    <row r="17150" spans="2:2" s="221" customFormat="1" ht="12.75" x14ac:dyDescent="0.2">
      <c r="B17150" s="1168"/>
    </row>
    <row r="17151" spans="2:2" s="221" customFormat="1" ht="12.75" x14ac:dyDescent="0.2">
      <c r="B17151" s="1168"/>
    </row>
    <row r="17152" spans="2:2" s="221" customFormat="1" ht="12.75" x14ac:dyDescent="0.2">
      <c r="B17152" s="1168"/>
    </row>
    <row r="17153" spans="2:2" s="221" customFormat="1" ht="12.75" x14ac:dyDescent="0.2">
      <c r="B17153" s="1168"/>
    </row>
    <row r="17154" spans="2:2" s="221" customFormat="1" ht="12.75" x14ac:dyDescent="0.2">
      <c r="B17154" s="1168"/>
    </row>
    <row r="17155" spans="2:2" s="221" customFormat="1" ht="12.75" x14ac:dyDescent="0.2">
      <c r="B17155" s="1168"/>
    </row>
    <row r="17156" spans="2:2" s="221" customFormat="1" ht="12.75" x14ac:dyDescent="0.2">
      <c r="B17156" s="1168"/>
    </row>
    <row r="17157" spans="2:2" s="221" customFormat="1" ht="12.75" x14ac:dyDescent="0.2">
      <c r="B17157" s="1168"/>
    </row>
    <row r="17158" spans="2:2" s="221" customFormat="1" ht="12.75" x14ac:dyDescent="0.2">
      <c r="B17158" s="1168"/>
    </row>
    <row r="17159" spans="2:2" s="221" customFormat="1" ht="12.75" x14ac:dyDescent="0.2">
      <c r="B17159" s="1168"/>
    </row>
    <row r="17160" spans="2:2" s="221" customFormat="1" ht="12.75" x14ac:dyDescent="0.2">
      <c r="B17160" s="1168"/>
    </row>
    <row r="17161" spans="2:2" s="221" customFormat="1" ht="12.75" x14ac:dyDescent="0.2">
      <c r="B17161" s="1168"/>
    </row>
    <row r="17162" spans="2:2" s="221" customFormat="1" ht="12.75" x14ac:dyDescent="0.2">
      <c r="B17162" s="1168"/>
    </row>
    <row r="17163" spans="2:2" s="221" customFormat="1" ht="12.75" x14ac:dyDescent="0.2">
      <c r="B17163" s="1168"/>
    </row>
    <row r="17164" spans="2:2" s="221" customFormat="1" ht="12.75" x14ac:dyDescent="0.2">
      <c r="B17164" s="1168"/>
    </row>
    <row r="17165" spans="2:2" s="221" customFormat="1" ht="12.75" x14ac:dyDescent="0.2">
      <c r="B17165" s="1168"/>
    </row>
    <row r="17166" spans="2:2" s="221" customFormat="1" ht="12.75" x14ac:dyDescent="0.2">
      <c r="B17166" s="1168"/>
    </row>
    <row r="17167" spans="2:2" s="221" customFormat="1" ht="12.75" x14ac:dyDescent="0.2">
      <c r="B17167" s="1168"/>
    </row>
    <row r="17168" spans="2:2" s="221" customFormat="1" ht="12.75" x14ac:dyDescent="0.2">
      <c r="B17168" s="1168"/>
    </row>
    <row r="17169" spans="2:2" s="221" customFormat="1" ht="12.75" x14ac:dyDescent="0.2">
      <c r="B17169" s="1168"/>
    </row>
    <row r="17170" spans="2:2" s="221" customFormat="1" ht="12.75" x14ac:dyDescent="0.2">
      <c r="B17170" s="1168"/>
    </row>
    <row r="17171" spans="2:2" s="221" customFormat="1" ht="12.75" x14ac:dyDescent="0.2">
      <c r="B17171" s="1168"/>
    </row>
    <row r="17172" spans="2:2" s="221" customFormat="1" ht="12.75" x14ac:dyDescent="0.2">
      <c r="B17172" s="1168"/>
    </row>
    <row r="17173" spans="2:2" s="221" customFormat="1" ht="12.75" x14ac:dyDescent="0.2">
      <c r="B17173" s="1168"/>
    </row>
    <row r="17174" spans="2:2" s="221" customFormat="1" ht="12.75" x14ac:dyDescent="0.2">
      <c r="B17174" s="1168"/>
    </row>
    <row r="17175" spans="2:2" s="221" customFormat="1" ht="12.75" x14ac:dyDescent="0.2">
      <c r="B17175" s="1168"/>
    </row>
    <row r="17176" spans="2:2" s="221" customFormat="1" ht="12.75" x14ac:dyDescent="0.2">
      <c r="B17176" s="1168"/>
    </row>
    <row r="17177" spans="2:2" s="221" customFormat="1" ht="12.75" x14ac:dyDescent="0.2">
      <c r="B17177" s="1168"/>
    </row>
    <row r="17178" spans="2:2" s="221" customFormat="1" ht="12.75" x14ac:dyDescent="0.2">
      <c r="B17178" s="1168"/>
    </row>
    <row r="17179" spans="2:2" s="221" customFormat="1" ht="12.75" x14ac:dyDescent="0.2">
      <c r="B17179" s="1168"/>
    </row>
    <row r="17180" spans="2:2" s="221" customFormat="1" ht="12.75" x14ac:dyDescent="0.2">
      <c r="B17180" s="1168"/>
    </row>
    <row r="17181" spans="2:2" s="221" customFormat="1" ht="12.75" x14ac:dyDescent="0.2">
      <c r="B17181" s="1168"/>
    </row>
    <row r="17182" spans="2:2" s="221" customFormat="1" ht="12.75" x14ac:dyDescent="0.2">
      <c r="B17182" s="1168"/>
    </row>
    <row r="17183" spans="2:2" s="221" customFormat="1" ht="12.75" x14ac:dyDescent="0.2">
      <c r="B17183" s="1168"/>
    </row>
    <row r="17184" spans="2:2" s="221" customFormat="1" ht="12.75" x14ac:dyDescent="0.2">
      <c r="B17184" s="1168"/>
    </row>
    <row r="17185" spans="2:2" s="221" customFormat="1" ht="12.75" x14ac:dyDescent="0.2">
      <c r="B17185" s="1168"/>
    </row>
    <row r="17186" spans="2:2" s="221" customFormat="1" ht="12.75" x14ac:dyDescent="0.2">
      <c r="B17186" s="1168"/>
    </row>
    <row r="17187" spans="2:2" s="221" customFormat="1" ht="12.75" x14ac:dyDescent="0.2">
      <c r="B17187" s="1168"/>
    </row>
    <row r="17188" spans="2:2" s="221" customFormat="1" ht="12.75" x14ac:dyDescent="0.2">
      <c r="B17188" s="1168"/>
    </row>
    <row r="17189" spans="2:2" s="221" customFormat="1" ht="12.75" x14ac:dyDescent="0.2">
      <c r="B17189" s="1168"/>
    </row>
    <row r="17190" spans="2:2" s="221" customFormat="1" ht="12.75" x14ac:dyDescent="0.2">
      <c r="B17190" s="1168"/>
    </row>
    <row r="17191" spans="2:2" s="221" customFormat="1" ht="12.75" x14ac:dyDescent="0.2">
      <c r="B17191" s="1168"/>
    </row>
    <row r="17192" spans="2:2" s="221" customFormat="1" ht="12.75" x14ac:dyDescent="0.2">
      <c r="B17192" s="1168"/>
    </row>
    <row r="17193" spans="2:2" s="221" customFormat="1" ht="12.75" x14ac:dyDescent="0.2">
      <c r="B17193" s="1168"/>
    </row>
    <row r="17194" spans="2:2" s="221" customFormat="1" ht="12.75" x14ac:dyDescent="0.2">
      <c r="B17194" s="1168"/>
    </row>
    <row r="17195" spans="2:2" s="221" customFormat="1" ht="12.75" x14ac:dyDescent="0.2">
      <c r="B17195" s="1168"/>
    </row>
    <row r="17196" spans="2:2" s="221" customFormat="1" ht="12.75" x14ac:dyDescent="0.2">
      <c r="B17196" s="1168"/>
    </row>
    <row r="17197" spans="2:2" s="221" customFormat="1" ht="12.75" x14ac:dyDescent="0.2">
      <c r="B17197" s="1168"/>
    </row>
    <row r="17198" spans="2:2" s="221" customFormat="1" ht="12.75" x14ac:dyDescent="0.2">
      <c r="B17198" s="1168"/>
    </row>
    <row r="17199" spans="2:2" s="221" customFormat="1" ht="12.75" x14ac:dyDescent="0.2">
      <c r="B17199" s="1168"/>
    </row>
    <row r="17200" spans="2:2" s="221" customFormat="1" ht="12.75" x14ac:dyDescent="0.2">
      <c r="B17200" s="1168"/>
    </row>
    <row r="17201" spans="2:2" s="221" customFormat="1" ht="12.75" x14ac:dyDescent="0.2">
      <c r="B17201" s="1168"/>
    </row>
    <row r="17202" spans="2:2" s="221" customFormat="1" ht="12.75" x14ac:dyDescent="0.2">
      <c r="B17202" s="1168"/>
    </row>
    <row r="17203" spans="2:2" s="221" customFormat="1" ht="12.75" x14ac:dyDescent="0.2">
      <c r="B17203" s="1168"/>
    </row>
    <row r="17204" spans="2:2" s="221" customFormat="1" ht="12.75" x14ac:dyDescent="0.2">
      <c r="B17204" s="1168"/>
    </row>
    <row r="17205" spans="2:2" s="221" customFormat="1" ht="12.75" x14ac:dyDescent="0.2">
      <c r="B17205" s="1168"/>
    </row>
    <row r="17206" spans="2:2" s="221" customFormat="1" ht="12.75" x14ac:dyDescent="0.2">
      <c r="B17206" s="1168"/>
    </row>
    <row r="17207" spans="2:2" s="221" customFormat="1" ht="12.75" x14ac:dyDescent="0.2">
      <c r="B17207" s="1168"/>
    </row>
    <row r="17208" spans="2:2" s="221" customFormat="1" ht="12.75" x14ac:dyDescent="0.2">
      <c r="B17208" s="1168"/>
    </row>
    <row r="17209" spans="2:2" s="221" customFormat="1" ht="12.75" x14ac:dyDescent="0.2">
      <c r="B17209" s="1168"/>
    </row>
    <row r="17210" spans="2:2" s="221" customFormat="1" ht="12.75" x14ac:dyDescent="0.2">
      <c r="B17210" s="1168"/>
    </row>
    <row r="17211" spans="2:2" s="221" customFormat="1" ht="12.75" x14ac:dyDescent="0.2">
      <c r="B17211" s="1168"/>
    </row>
    <row r="17212" spans="2:2" s="221" customFormat="1" ht="12.75" x14ac:dyDescent="0.2">
      <c r="B17212" s="1168"/>
    </row>
    <row r="17213" spans="2:2" s="221" customFormat="1" ht="12.75" x14ac:dyDescent="0.2">
      <c r="B17213" s="1168"/>
    </row>
    <row r="17214" spans="2:2" s="221" customFormat="1" ht="12.75" x14ac:dyDescent="0.2">
      <c r="B17214" s="1168"/>
    </row>
    <row r="17215" spans="2:2" s="221" customFormat="1" ht="12.75" x14ac:dyDescent="0.2">
      <c r="B17215" s="1168"/>
    </row>
    <row r="17216" spans="2:2" s="221" customFormat="1" ht="12.75" x14ac:dyDescent="0.2">
      <c r="B17216" s="1168"/>
    </row>
    <row r="17217" spans="2:2" s="221" customFormat="1" ht="12.75" x14ac:dyDescent="0.2">
      <c r="B17217" s="1168"/>
    </row>
    <row r="17218" spans="2:2" s="221" customFormat="1" ht="12.75" x14ac:dyDescent="0.2">
      <c r="B17218" s="1168"/>
    </row>
    <row r="17219" spans="2:2" s="221" customFormat="1" ht="12.75" x14ac:dyDescent="0.2">
      <c r="B17219" s="1168"/>
    </row>
    <row r="17220" spans="2:2" s="221" customFormat="1" ht="12.75" x14ac:dyDescent="0.2">
      <c r="B17220" s="1168"/>
    </row>
    <row r="17221" spans="2:2" s="221" customFormat="1" ht="12.75" x14ac:dyDescent="0.2">
      <c r="B17221" s="1168"/>
    </row>
    <row r="17222" spans="2:2" s="221" customFormat="1" ht="12.75" x14ac:dyDescent="0.2">
      <c r="B17222" s="1168"/>
    </row>
    <row r="17223" spans="2:2" s="221" customFormat="1" ht="12.75" x14ac:dyDescent="0.2">
      <c r="B17223" s="1168"/>
    </row>
    <row r="17224" spans="2:2" s="221" customFormat="1" ht="12.75" x14ac:dyDescent="0.2">
      <c r="B17224" s="1168"/>
    </row>
    <row r="17225" spans="2:2" s="221" customFormat="1" ht="12.75" x14ac:dyDescent="0.2">
      <c r="B17225" s="1168"/>
    </row>
    <row r="17226" spans="2:2" s="221" customFormat="1" ht="12.75" x14ac:dyDescent="0.2">
      <c r="B17226" s="1168"/>
    </row>
    <row r="17227" spans="2:2" s="221" customFormat="1" ht="12.75" x14ac:dyDescent="0.2">
      <c r="B17227" s="1168"/>
    </row>
    <row r="17228" spans="2:2" s="221" customFormat="1" ht="12.75" x14ac:dyDescent="0.2">
      <c r="B17228" s="1168"/>
    </row>
    <row r="17229" spans="2:2" s="221" customFormat="1" ht="12.75" x14ac:dyDescent="0.2">
      <c r="B17229" s="1168"/>
    </row>
    <row r="17230" spans="2:2" s="221" customFormat="1" ht="12.75" x14ac:dyDescent="0.2">
      <c r="B17230" s="1168"/>
    </row>
    <row r="17231" spans="2:2" s="221" customFormat="1" ht="12.75" x14ac:dyDescent="0.2">
      <c r="B17231" s="1168"/>
    </row>
    <row r="17232" spans="2:2" s="221" customFormat="1" ht="12.75" x14ac:dyDescent="0.2">
      <c r="B17232" s="1168"/>
    </row>
    <row r="17233" spans="2:2" s="221" customFormat="1" ht="12.75" x14ac:dyDescent="0.2">
      <c r="B17233" s="1168"/>
    </row>
    <row r="17234" spans="2:2" s="221" customFormat="1" ht="12.75" x14ac:dyDescent="0.2">
      <c r="B17234" s="1168"/>
    </row>
    <row r="17235" spans="2:2" s="221" customFormat="1" ht="12.75" x14ac:dyDescent="0.2">
      <c r="B17235" s="1168"/>
    </row>
    <row r="17236" spans="2:2" s="221" customFormat="1" ht="12.75" x14ac:dyDescent="0.2">
      <c r="B17236" s="1168"/>
    </row>
    <row r="17237" spans="2:2" s="221" customFormat="1" ht="12.75" x14ac:dyDescent="0.2">
      <c r="B17237" s="1168"/>
    </row>
    <row r="17238" spans="2:2" s="221" customFormat="1" ht="12.75" x14ac:dyDescent="0.2">
      <c r="B17238" s="1168"/>
    </row>
    <row r="17239" spans="2:2" s="221" customFormat="1" ht="12.75" x14ac:dyDescent="0.2">
      <c r="B17239" s="1168"/>
    </row>
    <row r="17240" spans="2:2" s="221" customFormat="1" ht="12.75" x14ac:dyDescent="0.2">
      <c r="B17240" s="1168"/>
    </row>
    <row r="17241" spans="2:2" s="221" customFormat="1" ht="12.75" x14ac:dyDescent="0.2">
      <c r="B17241" s="1168"/>
    </row>
    <row r="17242" spans="2:2" s="221" customFormat="1" ht="12.75" x14ac:dyDescent="0.2">
      <c r="B17242" s="1168"/>
    </row>
    <row r="17243" spans="2:2" s="221" customFormat="1" ht="12.75" x14ac:dyDescent="0.2">
      <c r="B17243" s="1168"/>
    </row>
    <row r="17244" spans="2:2" s="221" customFormat="1" ht="12.75" x14ac:dyDescent="0.2">
      <c r="B17244" s="1168"/>
    </row>
    <row r="17245" spans="2:2" s="221" customFormat="1" ht="12.75" x14ac:dyDescent="0.2">
      <c r="B17245" s="1168"/>
    </row>
    <row r="17246" spans="2:2" s="221" customFormat="1" ht="12.75" x14ac:dyDescent="0.2">
      <c r="B17246" s="1168"/>
    </row>
    <row r="17247" spans="2:2" s="221" customFormat="1" ht="12.75" x14ac:dyDescent="0.2">
      <c r="B17247" s="1168"/>
    </row>
    <row r="17248" spans="2:2" s="221" customFormat="1" ht="12.75" x14ac:dyDescent="0.2">
      <c r="B17248" s="1168"/>
    </row>
    <row r="17249" spans="2:2" s="221" customFormat="1" ht="12.75" x14ac:dyDescent="0.2">
      <c r="B17249" s="1168"/>
    </row>
    <row r="17250" spans="2:2" s="221" customFormat="1" ht="12.75" x14ac:dyDescent="0.2">
      <c r="B17250" s="1168"/>
    </row>
    <row r="17251" spans="2:2" s="221" customFormat="1" ht="12.75" x14ac:dyDescent="0.2">
      <c r="B17251" s="1168"/>
    </row>
    <row r="17252" spans="2:2" s="221" customFormat="1" ht="12.75" x14ac:dyDescent="0.2">
      <c r="B17252" s="1168"/>
    </row>
    <row r="17253" spans="2:2" s="221" customFormat="1" ht="12.75" x14ac:dyDescent="0.2">
      <c r="B17253" s="1168"/>
    </row>
    <row r="17254" spans="2:2" s="221" customFormat="1" ht="12.75" x14ac:dyDescent="0.2">
      <c r="B17254" s="1168"/>
    </row>
    <row r="17255" spans="2:2" s="221" customFormat="1" ht="12.75" x14ac:dyDescent="0.2">
      <c r="B17255" s="1168"/>
    </row>
    <row r="17256" spans="2:2" s="221" customFormat="1" ht="12.75" x14ac:dyDescent="0.2">
      <c r="B17256" s="1168"/>
    </row>
    <row r="17257" spans="2:2" s="221" customFormat="1" ht="12.75" x14ac:dyDescent="0.2">
      <c r="B17257" s="1168"/>
    </row>
    <row r="17258" spans="2:2" s="221" customFormat="1" ht="12.75" x14ac:dyDescent="0.2">
      <c r="B17258" s="1168"/>
    </row>
    <row r="17259" spans="2:2" s="221" customFormat="1" ht="12.75" x14ac:dyDescent="0.2">
      <c r="B17259" s="1168"/>
    </row>
    <row r="17260" spans="2:2" s="221" customFormat="1" ht="12.75" x14ac:dyDescent="0.2">
      <c r="B17260" s="1168"/>
    </row>
    <row r="17261" spans="2:2" s="221" customFormat="1" ht="12.75" x14ac:dyDescent="0.2">
      <c r="B17261" s="1168"/>
    </row>
    <row r="17262" spans="2:2" s="221" customFormat="1" ht="12.75" x14ac:dyDescent="0.2">
      <c r="B17262" s="1168"/>
    </row>
    <row r="17263" spans="2:2" s="221" customFormat="1" ht="12.75" x14ac:dyDescent="0.2">
      <c r="B17263" s="1168"/>
    </row>
    <row r="17264" spans="2:2" s="221" customFormat="1" ht="12.75" x14ac:dyDescent="0.2">
      <c r="B17264" s="1168"/>
    </row>
    <row r="17265" spans="2:2" s="221" customFormat="1" ht="12.75" x14ac:dyDescent="0.2">
      <c r="B17265" s="1168"/>
    </row>
    <row r="17266" spans="2:2" s="221" customFormat="1" ht="12.75" x14ac:dyDescent="0.2">
      <c r="B17266" s="1168"/>
    </row>
    <row r="17267" spans="2:2" s="221" customFormat="1" ht="12.75" x14ac:dyDescent="0.2">
      <c r="B17267" s="1168"/>
    </row>
    <row r="17268" spans="2:2" s="221" customFormat="1" ht="12.75" x14ac:dyDescent="0.2">
      <c r="B17268" s="1168"/>
    </row>
    <row r="17269" spans="2:2" s="221" customFormat="1" ht="12.75" x14ac:dyDescent="0.2">
      <c r="B17269" s="1168"/>
    </row>
    <row r="17270" spans="2:2" s="221" customFormat="1" ht="12.75" x14ac:dyDescent="0.2">
      <c r="B17270" s="1168"/>
    </row>
    <row r="17271" spans="2:2" s="221" customFormat="1" ht="12.75" x14ac:dyDescent="0.2">
      <c r="B17271" s="1168"/>
    </row>
    <row r="17272" spans="2:2" s="221" customFormat="1" ht="12.75" x14ac:dyDescent="0.2">
      <c r="B17272" s="1168"/>
    </row>
    <row r="17273" spans="2:2" s="221" customFormat="1" ht="12.75" x14ac:dyDescent="0.2">
      <c r="B17273" s="1168"/>
    </row>
    <row r="17274" spans="2:2" s="221" customFormat="1" ht="12.75" x14ac:dyDescent="0.2">
      <c r="B17274" s="1168"/>
    </row>
    <row r="17275" spans="2:2" s="221" customFormat="1" ht="12.75" x14ac:dyDescent="0.2">
      <c r="B17275" s="1168"/>
    </row>
    <row r="17276" spans="2:2" s="221" customFormat="1" ht="12.75" x14ac:dyDescent="0.2">
      <c r="B17276" s="1168"/>
    </row>
    <row r="17277" spans="2:2" s="221" customFormat="1" ht="12.75" x14ac:dyDescent="0.2">
      <c r="B17277" s="1168"/>
    </row>
    <row r="17278" spans="2:2" s="221" customFormat="1" ht="12.75" x14ac:dyDescent="0.2">
      <c r="B17278" s="1168"/>
    </row>
    <row r="17279" spans="2:2" s="221" customFormat="1" ht="12.75" x14ac:dyDescent="0.2">
      <c r="B17279" s="1168"/>
    </row>
    <row r="17280" spans="2:2" s="221" customFormat="1" ht="12.75" x14ac:dyDescent="0.2">
      <c r="B17280" s="1168"/>
    </row>
    <row r="17281" spans="2:2" s="221" customFormat="1" ht="12.75" x14ac:dyDescent="0.2">
      <c r="B17281" s="1168"/>
    </row>
    <row r="17282" spans="2:2" s="221" customFormat="1" ht="12.75" x14ac:dyDescent="0.2">
      <c r="B17282" s="1168"/>
    </row>
    <row r="17283" spans="2:2" s="221" customFormat="1" ht="12.75" x14ac:dyDescent="0.2">
      <c r="B17283" s="1168"/>
    </row>
    <row r="17284" spans="2:2" s="221" customFormat="1" ht="12.75" x14ac:dyDescent="0.2">
      <c r="B17284" s="1168"/>
    </row>
    <row r="17285" spans="2:2" s="221" customFormat="1" ht="12.75" x14ac:dyDescent="0.2">
      <c r="B17285" s="1168"/>
    </row>
    <row r="17286" spans="2:2" s="221" customFormat="1" ht="12.75" x14ac:dyDescent="0.2">
      <c r="B17286" s="1168"/>
    </row>
    <row r="17287" spans="2:2" s="221" customFormat="1" ht="12.75" x14ac:dyDescent="0.2">
      <c r="B17287" s="1168"/>
    </row>
    <row r="17288" spans="2:2" s="221" customFormat="1" ht="12.75" x14ac:dyDescent="0.2">
      <c r="B17288" s="1168"/>
    </row>
    <row r="17289" spans="2:2" s="221" customFormat="1" ht="12.75" x14ac:dyDescent="0.2">
      <c r="B17289" s="1168"/>
    </row>
    <row r="17290" spans="2:2" s="221" customFormat="1" ht="12.75" x14ac:dyDescent="0.2">
      <c r="B17290" s="1168"/>
    </row>
    <row r="17291" spans="2:2" s="221" customFormat="1" ht="12.75" x14ac:dyDescent="0.2">
      <c r="B17291" s="1168"/>
    </row>
    <row r="17292" spans="2:2" s="221" customFormat="1" ht="12.75" x14ac:dyDescent="0.2">
      <c r="B17292" s="1168"/>
    </row>
    <row r="17293" spans="2:2" s="221" customFormat="1" ht="12.75" x14ac:dyDescent="0.2">
      <c r="B17293" s="1168"/>
    </row>
    <row r="17294" spans="2:2" s="221" customFormat="1" ht="12.75" x14ac:dyDescent="0.2">
      <c r="B17294" s="1168"/>
    </row>
    <row r="17295" spans="2:2" s="221" customFormat="1" ht="12.75" x14ac:dyDescent="0.2">
      <c r="B17295" s="1168"/>
    </row>
    <row r="17296" spans="2:2" s="221" customFormat="1" ht="12.75" x14ac:dyDescent="0.2">
      <c r="B17296" s="1168"/>
    </row>
    <row r="17297" spans="2:2" s="221" customFormat="1" ht="12.75" x14ac:dyDescent="0.2">
      <c r="B17297" s="1168"/>
    </row>
    <row r="17298" spans="2:2" s="221" customFormat="1" ht="12.75" x14ac:dyDescent="0.2">
      <c r="B17298" s="1168"/>
    </row>
    <row r="17299" spans="2:2" s="221" customFormat="1" ht="12.75" x14ac:dyDescent="0.2">
      <c r="B17299" s="1168"/>
    </row>
    <row r="17300" spans="2:2" s="221" customFormat="1" ht="12.75" x14ac:dyDescent="0.2">
      <c r="B17300" s="1168"/>
    </row>
    <row r="17301" spans="2:2" s="221" customFormat="1" ht="12.75" x14ac:dyDescent="0.2">
      <c r="B17301" s="1168"/>
    </row>
    <row r="17302" spans="2:2" s="221" customFormat="1" ht="12.75" x14ac:dyDescent="0.2">
      <c r="B17302" s="1168"/>
    </row>
    <row r="17303" spans="2:2" s="221" customFormat="1" ht="12.75" x14ac:dyDescent="0.2">
      <c r="B17303" s="1168"/>
    </row>
    <row r="17304" spans="2:2" s="221" customFormat="1" ht="12.75" x14ac:dyDescent="0.2">
      <c r="B17304" s="1168"/>
    </row>
    <row r="17305" spans="2:2" s="221" customFormat="1" ht="12.75" x14ac:dyDescent="0.2">
      <c r="B17305" s="1168"/>
    </row>
    <row r="17306" spans="2:2" s="221" customFormat="1" ht="12.75" x14ac:dyDescent="0.2">
      <c r="B17306" s="1168"/>
    </row>
    <row r="17307" spans="2:2" s="221" customFormat="1" ht="12.75" x14ac:dyDescent="0.2">
      <c r="B17307" s="1168"/>
    </row>
    <row r="17308" spans="2:2" s="221" customFormat="1" ht="12.75" x14ac:dyDescent="0.2">
      <c r="B17308" s="1168"/>
    </row>
    <row r="17309" spans="2:2" s="221" customFormat="1" ht="12.75" x14ac:dyDescent="0.2">
      <c r="B17309" s="1168"/>
    </row>
    <row r="17310" spans="2:2" s="221" customFormat="1" ht="12.75" x14ac:dyDescent="0.2">
      <c r="B17310" s="1168"/>
    </row>
    <row r="17311" spans="2:2" s="221" customFormat="1" ht="12.75" x14ac:dyDescent="0.2">
      <c r="B17311" s="1168"/>
    </row>
    <row r="17312" spans="2:2" s="221" customFormat="1" ht="12.75" x14ac:dyDescent="0.2">
      <c r="B17312" s="1168"/>
    </row>
    <row r="17313" spans="2:2" s="221" customFormat="1" ht="12.75" x14ac:dyDescent="0.2">
      <c r="B17313" s="1168"/>
    </row>
    <row r="17314" spans="2:2" s="221" customFormat="1" ht="12.75" x14ac:dyDescent="0.2">
      <c r="B17314" s="1168"/>
    </row>
    <row r="17315" spans="2:2" s="221" customFormat="1" ht="12.75" x14ac:dyDescent="0.2">
      <c r="B17315" s="1168"/>
    </row>
    <row r="17316" spans="2:2" s="221" customFormat="1" ht="12.75" x14ac:dyDescent="0.2">
      <c r="B17316" s="1168"/>
    </row>
    <row r="17317" spans="2:2" s="221" customFormat="1" ht="12.75" x14ac:dyDescent="0.2">
      <c r="B17317" s="1168"/>
    </row>
    <row r="17318" spans="2:2" s="221" customFormat="1" ht="12.75" x14ac:dyDescent="0.2">
      <c r="B17318" s="1168"/>
    </row>
    <row r="17319" spans="2:2" s="221" customFormat="1" ht="12.75" x14ac:dyDescent="0.2">
      <c r="B17319" s="1168"/>
    </row>
    <row r="17320" spans="2:2" s="221" customFormat="1" ht="12.75" x14ac:dyDescent="0.2">
      <c r="B17320" s="1168"/>
    </row>
    <row r="17321" spans="2:2" s="221" customFormat="1" ht="12.75" x14ac:dyDescent="0.2">
      <c r="B17321" s="1168"/>
    </row>
    <row r="17322" spans="2:2" s="221" customFormat="1" ht="12.75" x14ac:dyDescent="0.2">
      <c r="B17322" s="1168"/>
    </row>
    <row r="17323" spans="2:2" s="221" customFormat="1" ht="12.75" x14ac:dyDescent="0.2">
      <c r="B17323" s="1168"/>
    </row>
    <row r="17324" spans="2:2" s="221" customFormat="1" ht="12.75" x14ac:dyDescent="0.2">
      <c r="B17324" s="1168"/>
    </row>
    <row r="17325" spans="2:2" s="221" customFormat="1" ht="12.75" x14ac:dyDescent="0.2">
      <c r="B17325" s="1168"/>
    </row>
    <row r="17326" spans="2:2" s="221" customFormat="1" ht="12.75" x14ac:dyDescent="0.2">
      <c r="B17326" s="1168"/>
    </row>
    <row r="17327" spans="2:2" s="221" customFormat="1" ht="12.75" x14ac:dyDescent="0.2">
      <c r="B17327" s="1168"/>
    </row>
    <row r="17328" spans="2:2" s="221" customFormat="1" ht="12.75" x14ac:dyDescent="0.2">
      <c r="B17328" s="1168"/>
    </row>
    <row r="17329" spans="2:2" s="221" customFormat="1" ht="12.75" x14ac:dyDescent="0.2">
      <c r="B17329" s="1168"/>
    </row>
    <row r="17330" spans="2:2" s="221" customFormat="1" ht="12.75" x14ac:dyDescent="0.2">
      <c r="B17330" s="1168"/>
    </row>
    <row r="17331" spans="2:2" s="221" customFormat="1" ht="12.75" x14ac:dyDescent="0.2">
      <c r="B17331" s="1168"/>
    </row>
    <row r="17332" spans="2:2" s="221" customFormat="1" ht="12.75" x14ac:dyDescent="0.2">
      <c r="B17332" s="1168"/>
    </row>
    <row r="17333" spans="2:2" s="221" customFormat="1" ht="12.75" x14ac:dyDescent="0.2">
      <c r="B17333" s="1168"/>
    </row>
    <row r="17334" spans="2:2" s="221" customFormat="1" ht="12.75" x14ac:dyDescent="0.2">
      <c r="B17334" s="1168"/>
    </row>
    <row r="17335" spans="2:2" s="221" customFormat="1" ht="12.75" x14ac:dyDescent="0.2">
      <c r="B17335" s="1168"/>
    </row>
    <row r="17336" spans="2:2" s="221" customFormat="1" ht="12.75" x14ac:dyDescent="0.2">
      <c r="B17336" s="1168"/>
    </row>
    <row r="17337" spans="2:2" s="221" customFormat="1" ht="12.75" x14ac:dyDescent="0.2">
      <c r="B17337" s="1168"/>
    </row>
    <row r="17338" spans="2:2" s="221" customFormat="1" ht="12.75" x14ac:dyDescent="0.2">
      <c r="B17338" s="1168"/>
    </row>
    <row r="17339" spans="2:2" s="221" customFormat="1" ht="12.75" x14ac:dyDescent="0.2">
      <c r="B17339" s="1168"/>
    </row>
    <row r="17340" spans="2:2" s="221" customFormat="1" ht="12.75" x14ac:dyDescent="0.2">
      <c r="B17340" s="1168"/>
    </row>
    <row r="17341" spans="2:2" s="221" customFormat="1" ht="12.75" x14ac:dyDescent="0.2">
      <c r="B17341" s="1168"/>
    </row>
    <row r="17342" spans="2:2" s="221" customFormat="1" ht="12.75" x14ac:dyDescent="0.2">
      <c r="B17342" s="1168"/>
    </row>
    <row r="17343" spans="2:2" s="221" customFormat="1" ht="12.75" x14ac:dyDescent="0.2">
      <c r="B17343" s="1168"/>
    </row>
    <row r="17344" spans="2:2" s="221" customFormat="1" ht="12.75" x14ac:dyDescent="0.2">
      <c r="B17344" s="1168"/>
    </row>
    <row r="17345" spans="2:2" s="221" customFormat="1" ht="12.75" x14ac:dyDescent="0.2">
      <c r="B17345" s="1168"/>
    </row>
    <row r="17346" spans="2:2" s="221" customFormat="1" ht="12.75" x14ac:dyDescent="0.2">
      <c r="B17346" s="1168"/>
    </row>
    <row r="17347" spans="2:2" s="221" customFormat="1" ht="12.75" x14ac:dyDescent="0.2">
      <c r="B17347" s="1168"/>
    </row>
    <row r="17348" spans="2:2" s="221" customFormat="1" ht="12.75" x14ac:dyDescent="0.2">
      <c r="B17348" s="1168"/>
    </row>
    <row r="17349" spans="2:2" s="221" customFormat="1" ht="12.75" x14ac:dyDescent="0.2">
      <c r="B17349" s="1168"/>
    </row>
    <row r="17350" spans="2:2" s="221" customFormat="1" ht="12.75" x14ac:dyDescent="0.2">
      <c r="B17350" s="1168"/>
    </row>
    <row r="17351" spans="2:2" s="221" customFormat="1" ht="12.75" x14ac:dyDescent="0.2">
      <c r="B17351" s="1168"/>
    </row>
    <row r="17352" spans="2:2" s="221" customFormat="1" ht="12.75" x14ac:dyDescent="0.2">
      <c r="B17352" s="1168"/>
    </row>
    <row r="17353" spans="2:2" s="221" customFormat="1" ht="12.75" x14ac:dyDescent="0.2">
      <c r="B17353" s="1168"/>
    </row>
    <row r="17354" spans="2:2" s="221" customFormat="1" ht="12.75" x14ac:dyDescent="0.2">
      <c r="B17354" s="1168"/>
    </row>
    <row r="17355" spans="2:2" s="221" customFormat="1" ht="12.75" x14ac:dyDescent="0.2">
      <c r="B17355" s="1168"/>
    </row>
    <row r="17356" spans="2:2" s="221" customFormat="1" ht="12.75" x14ac:dyDescent="0.2">
      <c r="B17356" s="1168"/>
    </row>
    <row r="17357" spans="2:2" s="221" customFormat="1" ht="12.75" x14ac:dyDescent="0.2">
      <c r="B17357" s="1168"/>
    </row>
    <row r="17358" spans="2:2" s="221" customFormat="1" ht="12.75" x14ac:dyDescent="0.2">
      <c r="B17358" s="1168"/>
    </row>
    <row r="17359" spans="2:2" s="221" customFormat="1" ht="12.75" x14ac:dyDescent="0.2">
      <c r="B17359" s="1168"/>
    </row>
    <row r="17360" spans="2:2" s="221" customFormat="1" ht="12.75" x14ac:dyDescent="0.2">
      <c r="B17360" s="1168"/>
    </row>
    <row r="17361" spans="2:2" s="221" customFormat="1" ht="12.75" x14ac:dyDescent="0.2">
      <c r="B17361" s="1168"/>
    </row>
    <row r="17362" spans="2:2" s="221" customFormat="1" ht="12.75" x14ac:dyDescent="0.2">
      <c r="B17362" s="1168"/>
    </row>
    <row r="17363" spans="2:2" s="221" customFormat="1" ht="12.75" x14ac:dyDescent="0.2">
      <c r="B17363" s="1168"/>
    </row>
    <row r="17364" spans="2:2" s="221" customFormat="1" ht="12.75" x14ac:dyDescent="0.2">
      <c r="B17364" s="1168"/>
    </row>
    <row r="17365" spans="2:2" s="221" customFormat="1" ht="12.75" x14ac:dyDescent="0.2">
      <c r="B17365" s="1168"/>
    </row>
    <row r="17366" spans="2:2" s="221" customFormat="1" ht="12.75" x14ac:dyDescent="0.2">
      <c r="B17366" s="1168"/>
    </row>
    <row r="17367" spans="2:2" s="221" customFormat="1" ht="12.75" x14ac:dyDescent="0.2">
      <c r="B17367" s="1168"/>
    </row>
    <row r="17368" spans="2:2" s="221" customFormat="1" ht="12.75" x14ac:dyDescent="0.2">
      <c r="B17368" s="1168"/>
    </row>
    <row r="17369" spans="2:2" s="221" customFormat="1" ht="12.75" x14ac:dyDescent="0.2">
      <c r="B17369" s="1168"/>
    </row>
    <row r="17370" spans="2:2" s="221" customFormat="1" ht="12.75" x14ac:dyDescent="0.2">
      <c r="B17370" s="1168"/>
    </row>
    <row r="17371" spans="2:2" s="221" customFormat="1" ht="12.75" x14ac:dyDescent="0.2">
      <c r="B17371" s="1168"/>
    </row>
    <row r="17372" spans="2:2" s="221" customFormat="1" ht="12.75" x14ac:dyDescent="0.2">
      <c r="B17372" s="1168"/>
    </row>
    <row r="17373" spans="2:2" s="221" customFormat="1" ht="12.75" x14ac:dyDescent="0.2">
      <c r="B17373" s="1168"/>
    </row>
    <row r="17374" spans="2:2" s="221" customFormat="1" ht="12.75" x14ac:dyDescent="0.2">
      <c r="B17374" s="1168"/>
    </row>
    <row r="17375" spans="2:2" s="221" customFormat="1" ht="12.75" x14ac:dyDescent="0.2">
      <c r="B17375" s="1168"/>
    </row>
    <row r="17376" spans="2:2" s="221" customFormat="1" ht="12.75" x14ac:dyDescent="0.2">
      <c r="B17376" s="1168"/>
    </row>
    <row r="17377" spans="2:2" s="221" customFormat="1" ht="12.75" x14ac:dyDescent="0.2">
      <c r="B17377" s="1168"/>
    </row>
    <row r="17378" spans="2:2" s="221" customFormat="1" ht="12.75" x14ac:dyDescent="0.2">
      <c r="B17378" s="1168"/>
    </row>
    <row r="17379" spans="2:2" s="221" customFormat="1" ht="12.75" x14ac:dyDescent="0.2">
      <c r="B17379" s="1168"/>
    </row>
    <row r="17380" spans="2:2" s="221" customFormat="1" ht="12.75" x14ac:dyDescent="0.2">
      <c r="B17380" s="1168"/>
    </row>
    <row r="17381" spans="2:2" s="221" customFormat="1" ht="12.75" x14ac:dyDescent="0.2">
      <c r="B17381" s="1168"/>
    </row>
    <row r="17382" spans="2:2" s="221" customFormat="1" ht="12.75" x14ac:dyDescent="0.2">
      <c r="B17382" s="1168"/>
    </row>
    <row r="17383" spans="2:2" s="221" customFormat="1" ht="12.75" x14ac:dyDescent="0.2">
      <c r="B17383" s="1168"/>
    </row>
    <row r="17384" spans="2:2" s="221" customFormat="1" ht="12.75" x14ac:dyDescent="0.2">
      <c r="B17384" s="1168"/>
    </row>
    <row r="17385" spans="2:2" s="221" customFormat="1" ht="12.75" x14ac:dyDescent="0.2">
      <c r="B17385" s="1168"/>
    </row>
    <row r="17386" spans="2:2" s="221" customFormat="1" ht="12.75" x14ac:dyDescent="0.2">
      <c r="B17386" s="1168"/>
    </row>
    <row r="17387" spans="2:2" s="221" customFormat="1" ht="12.75" x14ac:dyDescent="0.2">
      <c r="B17387" s="1168"/>
    </row>
    <row r="17388" spans="2:2" s="221" customFormat="1" ht="12.75" x14ac:dyDescent="0.2">
      <c r="B17388" s="1168"/>
    </row>
    <row r="17389" spans="2:2" s="221" customFormat="1" ht="12.75" x14ac:dyDescent="0.2">
      <c r="B17389" s="1168"/>
    </row>
    <row r="17390" spans="2:2" s="221" customFormat="1" ht="12.75" x14ac:dyDescent="0.2">
      <c r="B17390" s="1168"/>
    </row>
    <row r="17391" spans="2:2" s="221" customFormat="1" ht="12.75" x14ac:dyDescent="0.2">
      <c r="B17391" s="1168"/>
    </row>
    <row r="17392" spans="2:2" s="221" customFormat="1" ht="12.75" x14ac:dyDescent="0.2">
      <c r="B17392" s="1168"/>
    </row>
    <row r="17393" spans="2:2" s="221" customFormat="1" ht="12.75" x14ac:dyDescent="0.2">
      <c r="B17393" s="1168"/>
    </row>
    <row r="17394" spans="2:2" s="221" customFormat="1" ht="12.75" x14ac:dyDescent="0.2">
      <c r="B17394" s="1168"/>
    </row>
    <row r="17395" spans="2:2" s="221" customFormat="1" ht="12.75" x14ac:dyDescent="0.2">
      <c r="B17395" s="1168"/>
    </row>
    <row r="17396" spans="2:2" s="221" customFormat="1" ht="12.75" x14ac:dyDescent="0.2">
      <c r="B17396" s="1168"/>
    </row>
    <row r="17397" spans="2:2" s="221" customFormat="1" ht="12.75" x14ac:dyDescent="0.2">
      <c r="B17397" s="1168"/>
    </row>
    <row r="17398" spans="2:2" s="221" customFormat="1" ht="12.75" x14ac:dyDescent="0.2">
      <c r="B17398" s="1168"/>
    </row>
    <row r="17399" spans="2:2" s="221" customFormat="1" ht="12.75" x14ac:dyDescent="0.2">
      <c r="B17399" s="1168"/>
    </row>
    <row r="17400" spans="2:2" s="221" customFormat="1" ht="12.75" x14ac:dyDescent="0.2">
      <c r="B17400" s="1168"/>
    </row>
    <row r="17401" spans="2:2" s="221" customFormat="1" ht="12.75" x14ac:dyDescent="0.2">
      <c r="B17401" s="1168"/>
    </row>
    <row r="17402" spans="2:2" s="221" customFormat="1" ht="12.75" x14ac:dyDescent="0.2">
      <c r="B17402" s="1168"/>
    </row>
    <row r="17403" spans="2:2" s="221" customFormat="1" ht="12.75" x14ac:dyDescent="0.2">
      <c r="B17403" s="1168"/>
    </row>
    <row r="17404" spans="2:2" s="221" customFormat="1" ht="12.75" x14ac:dyDescent="0.2">
      <c r="B17404" s="1168"/>
    </row>
    <row r="17405" spans="2:2" s="221" customFormat="1" ht="12.75" x14ac:dyDescent="0.2">
      <c r="B17405" s="1168"/>
    </row>
    <row r="17406" spans="2:2" s="221" customFormat="1" ht="12.75" x14ac:dyDescent="0.2">
      <c r="B17406" s="1168"/>
    </row>
    <row r="17407" spans="2:2" s="221" customFormat="1" ht="12.75" x14ac:dyDescent="0.2">
      <c r="B17407" s="1168"/>
    </row>
    <row r="17408" spans="2:2" s="221" customFormat="1" ht="12.75" x14ac:dyDescent="0.2">
      <c r="B17408" s="1168"/>
    </row>
    <row r="17409" spans="2:2" s="221" customFormat="1" ht="12.75" x14ac:dyDescent="0.2">
      <c r="B17409" s="1168"/>
    </row>
    <row r="17410" spans="2:2" s="221" customFormat="1" ht="12.75" x14ac:dyDescent="0.2">
      <c r="B17410" s="1168"/>
    </row>
    <row r="17411" spans="2:2" s="221" customFormat="1" ht="12.75" x14ac:dyDescent="0.2">
      <c r="B17411" s="1168"/>
    </row>
    <row r="17412" spans="2:2" s="221" customFormat="1" ht="12.75" x14ac:dyDescent="0.2">
      <c r="B17412" s="1168"/>
    </row>
    <row r="17413" spans="2:2" s="221" customFormat="1" ht="12.75" x14ac:dyDescent="0.2">
      <c r="B17413" s="1168"/>
    </row>
    <row r="17414" spans="2:2" s="221" customFormat="1" ht="12.75" x14ac:dyDescent="0.2">
      <c r="B17414" s="1168"/>
    </row>
    <row r="17415" spans="2:2" s="221" customFormat="1" ht="12.75" x14ac:dyDescent="0.2">
      <c r="B17415" s="1168"/>
    </row>
    <row r="17416" spans="2:2" s="221" customFormat="1" ht="12.75" x14ac:dyDescent="0.2">
      <c r="B17416" s="1168"/>
    </row>
    <row r="17417" spans="2:2" s="221" customFormat="1" ht="12.75" x14ac:dyDescent="0.2">
      <c r="B17417" s="1168"/>
    </row>
    <row r="17418" spans="2:2" s="221" customFormat="1" ht="12.75" x14ac:dyDescent="0.2">
      <c r="B17418" s="1168"/>
    </row>
    <row r="17419" spans="2:2" s="221" customFormat="1" ht="12.75" x14ac:dyDescent="0.2">
      <c r="B17419" s="1168"/>
    </row>
    <row r="17420" spans="2:2" s="221" customFormat="1" ht="12.75" x14ac:dyDescent="0.2">
      <c r="B17420" s="1168"/>
    </row>
    <row r="17421" spans="2:2" s="221" customFormat="1" ht="12.75" x14ac:dyDescent="0.2">
      <c r="B17421" s="1168"/>
    </row>
    <row r="17422" spans="2:2" s="221" customFormat="1" ht="12.75" x14ac:dyDescent="0.2">
      <c r="B17422" s="1168"/>
    </row>
    <row r="17423" spans="2:2" s="221" customFormat="1" ht="12.75" x14ac:dyDescent="0.2">
      <c r="B17423" s="1168"/>
    </row>
    <row r="17424" spans="2:2" s="221" customFormat="1" ht="12.75" x14ac:dyDescent="0.2">
      <c r="B17424" s="1168"/>
    </row>
    <row r="17425" spans="2:2" s="221" customFormat="1" ht="12.75" x14ac:dyDescent="0.2">
      <c r="B17425" s="1168"/>
    </row>
    <row r="17426" spans="2:2" s="221" customFormat="1" ht="12.75" x14ac:dyDescent="0.2">
      <c r="B17426" s="1168"/>
    </row>
    <row r="17427" spans="2:2" s="221" customFormat="1" ht="12.75" x14ac:dyDescent="0.2">
      <c r="B17427" s="1168"/>
    </row>
    <row r="17428" spans="2:2" s="221" customFormat="1" ht="12.75" x14ac:dyDescent="0.2">
      <c r="B17428" s="1168"/>
    </row>
    <row r="17429" spans="2:2" s="221" customFormat="1" ht="12.75" x14ac:dyDescent="0.2">
      <c r="B17429" s="1168"/>
    </row>
    <row r="17430" spans="2:2" s="221" customFormat="1" ht="12.75" x14ac:dyDescent="0.2">
      <c r="B17430" s="1168"/>
    </row>
    <row r="17431" spans="2:2" s="221" customFormat="1" ht="12.75" x14ac:dyDescent="0.2">
      <c r="B17431" s="1168"/>
    </row>
    <row r="17432" spans="2:2" s="221" customFormat="1" ht="12.75" x14ac:dyDescent="0.2">
      <c r="B17432" s="1168"/>
    </row>
    <row r="17433" spans="2:2" s="221" customFormat="1" ht="12.75" x14ac:dyDescent="0.2">
      <c r="B17433" s="1168"/>
    </row>
    <row r="17434" spans="2:2" s="221" customFormat="1" ht="12.75" x14ac:dyDescent="0.2">
      <c r="B17434" s="1168"/>
    </row>
    <row r="17435" spans="2:2" s="221" customFormat="1" ht="12.75" x14ac:dyDescent="0.2">
      <c r="B17435" s="1168"/>
    </row>
    <row r="17436" spans="2:2" s="221" customFormat="1" ht="12.75" x14ac:dyDescent="0.2">
      <c r="B17436" s="1168"/>
    </row>
    <row r="17437" spans="2:2" s="221" customFormat="1" ht="12.75" x14ac:dyDescent="0.2">
      <c r="B17437" s="1168"/>
    </row>
    <row r="17438" spans="2:2" s="221" customFormat="1" ht="12.75" x14ac:dyDescent="0.2">
      <c r="B17438" s="1168"/>
    </row>
    <row r="17439" spans="2:2" s="221" customFormat="1" ht="12.75" x14ac:dyDescent="0.2">
      <c r="B17439" s="1168"/>
    </row>
    <row r="17440" spans="2:2" s="221" customFormat="1" ht="12.75" x14ac:dyDescent="0.2">
      <c r="B17440" s="1168"/>
    </row>
    <row r="17441" spans="2:2" s="221" customFormat="1" ht="12.75" x14ac:dyDescent="0.2">
      <c r="B17441" s="1168"/>
    </row>
    <row r="17442" spans="2:2" s="221" customFormat="1" ht="12.75" x14ac:dyDescent="0.2">
      <c r="B17442" s="1168"/>
    </row>
    <row r="17443" spans="2:2" s="221" customFormat="1" ht="12.75" x14ac:dyDescent="0.2">
      <c r="B17443" s="1168"/>
    </row>
    <row r="17444" spans="2:2" s="221" customFormat="1" ht="12.75" x14ac:dyDescent="0.2">
      <c r="B17444" s="1168"/>
    </row>
    <row r="17445" spans="2:2" s="221" customFormat="1" ht="12.75" x14ac:dyDescent="0.2">
      <c r="B17445" s="1168"/>
    </row>
    <row r="17446" spans="2:2" s="221" customFormat="1" ht="12.75" x14ac:dyDescent="0.2">
      <c r="B17446" s="1168"/>
    </row>
    <row r="17447" spans="2:2" s="221" customFormat="1" ht="12.75" x14ac:dyDescent="0.2">
      <c r="B17447" s="1168"/>
    </row>
    <row r="17448" spans="2:2" s="221" customFormat="1" ht="12.75" x14ac:dyDescent="0.2">
      <c r="B17448" s="1168"/>
    </row>
    <row r="17449" spans="2:2" s="221" customFormat="1" ht="12.75" x14ac:dyDescent="0.2">
      <c r="B17449" s="1168"/>
    </row>
    <row r="17450" spans="2:2" s="221" customFormat="1" ht="12.75" x14ac:dyDescent="0.2">
      <c r="B17450" s="1168"/>
    </row>
    <row r="17451" spans="2:2" s="221" customFormat="1" ht="12.75" x14ac:dyDescent="0.2">
      <c r="B17451" s="1168"/>
    </row>
    <row r="17452" spans="2:2" s="221" customFormat="1" ht="12.75" x14ac:dyDescent="0.2">
      <c r="B17452" s="1168"/>
    </row>
    <row r="17453" spans="2:2" s="221" customFormat="1" ht="12.75" x14ac:dyDescent="0.2">
      <c r="B17453" s="1168"/>
    </row>
    <row r="17454" spans="2:2" s="221" customFormat="1" ht="12.75" x14ac:dyDescent="0.2">
      <c r="B17454" s="1168"/>
    </row>
    <row r="17455" spans="2:2" s="221" customFormat="1" ht="12.75" x14ac:dyDescent="0.2">
      <c r="B17455" s="1168"/>
    </row>
    <row r="17456" spans="2:2" s="221" customFormat="1" ht="12.75" x14ac:dyDescent="0.2">
      <c r="B17456" s="1168"/>
    </row>
    <row r="17457" spans="2:2" s="221" customFormat="1" ht="12.75" x14ac:dyDescent="0.2">
      <c r="B17457" s="1168"/>
    </row>
    <row r="17458" spans="2:2" s="221" customFormat="1" ht="12.75" x14ac:dyDescent="0.2">
      <c r="B17458" s="1168"/>
    </row>
    <row r="17459" spans="2:2" s="221" customFormat="1" ht="12.75" x14ac:dyDescent="0.2">
      <c r="B17459" s="1168"/>
    </row>
    <row r="17460" spans="2:2" s="221" customFormat="1" ht="12.75" x14ac:dyDescent="0.2">
      <c r="B17460" s="1168"/>
    </row>
    <row r="17461" spans="2:2" s="221" customFormat="1" ht="12.75" x14ac:dyDescent="0.2">
      <c r="B17461" s="1168"/>
    </row>
    <row r="17462" spans="2:2" s="221" customFormat="1" ht="12.75" x14ac:dyDescent="0.2">
      <c r="B17462" s="1168"/>
    </row>
    <row r="17463" spans="2:2" s="221" customFormat="1" ht="12.75" x14ac:dyDescent="0.2">
      <c r="B17463" s="1168"/>
    </row>
    <row r="17464" spans="2:2" s="221" customFormat="1" ht="12.75" x14ac:dyDescent="0.2">
      <c r="B17464" s="1168"/>
    </row>
    <row r="17465" spans="2:2" s="221" customFormat="1" ht="12.75" x14ac:dyDescent="0.2">
      <c r="B17465" s="1168"/>
    </row>
    <row r="17466" spans="2:2" s="221" customFormat="1" ht="12.75" x14ac:dyDescent="0.2">
      <c r="B17466" s="1168"/>
    </row>
    <row r="17467" spans="2:2" s="221" customFormat="1" ht="12.75" x14ac:dyDescent="0.2">
      <c r="B17467" s="1168"/>
    </row>
    <row r="17468" spans="2:2" s="221" customFormat="1" ht="12.75" x14ac:dyDescent="0.2">
      <c r="B17468" s="1168"/>
    </row>
    <row r="17469" spans="2:2" s="221" customFormat="1" ht="12.75" x14ac:dyDescent="0.2">
      <c r="B17469" s="1168"/>
    </row>
    <row r="17470" spans="2:2" s="221" customFormat="1" ht="12.75" x14ac:dyDescent="0.2">
      <c r="B17470" s="1168"/>
    </row>
    <row r="17471" spans="2:2" s="221" customFormat="1" ht="12.75" x14ac:dyDescent="0.2">
      <c r="B17471" s="1168"/>
    </row>
    <row r="17472" spans="2:2" s="221" customFormat="1" ht="12.75" x14ac:dyDescent="0.2">
      <c r="B17472" s="1168"/>
    </row>
    <row r="17473" spans="2:2" s="221" customFormat="1" ht="12.75" x14ac:dyDescent="0.2">
      <c r="B17473" s="1168"/>
    </row>
    <row r="17474" spans="2:2" s="221" customFormat="1" ht="12.75" x14ac:dyDescent="0.2">
      <c r="B17474" s="1168"/>
    </row>
    <row r="17475" spans="2:2" s="221" customFormat="1" ht="12.75" x14ac:dyDescent="0.2">
      <c r="B17475" s="1168"/>
    </row>
    <row r="17476" spans="2:2" s="221" customFormat="1" ht="12.75" x14ac:dyDescent="0.2">
      <c r="B17476" s="1168"/>
    </row>
    <row r="17477" spans="2:2" s="221" customFormat="1" ht="12.75" x14ac:dyDescent="0.2">
      <c r="B17477" s="1168"/>
    </row>
    <row r="17478" spans="2:2" s="221" customFormat="1" ht="12.75" x14ac:dyDescent="0.2">
      <c r="B17478" s="1168"/>
    </row>
    <row r="17479" spans="2:2" s="221" customFormat="1" ht="12.75" x14ac:dyDescent="0.2">
      <c r="B17479" s="1168"/>
    </row>
    <row r="17480" spans="2:2" s="221" customFormat="1" ht="12.75" x14ac:dyDescent="0.2">
      <c r="B17480" s="1168"/>
    </row>
    <row r="17481" spans="2:2" s="221" customFormat="1" ht="12.75" x14ac:dyDescent="0.2">
      <c r="B17481" s="1168"/>
    </row>
    <row r="17482" spans="2:2" s="221" customFormat="1" ht="12.75" x14ac:dyDescent="0.2">
      <c r="B17482" s="1168"/>
    </row>
    <row r="17483" spans="2:2" s="221" customFormat="1" ht="12.75" x14ac:dyDescent="0.2">
      <c r="B17483" s="1168"/>
    </row>
    <row r="17484" spans="2:2" s="221" customFormat="1" ht="12.75" x14ac:dyDescent="0.2">
      <c r="B17484" s="1168"/>
    </row>
    <row r="17485" spans="2:2" s="221" customFormat="1" ht="12.75" x14ac:dyDescent="0.2">
      <c r="B17485" s="1168"/>
    </row>
    <row r="17486" spans="2:2" s="221" customFormat="1" ht="12.75" x14ac:dyDescent="0.2">
      <c r="B17486" s="1168"/>
    </row>
    <row r="17487" spans="2:2" s="221" customFormat="1" ht="12.75" x14ac:dyDescent="0.2">
      <c r="B17487" s="1168"/>
    </row>
    <row r="17488" spans="2:2" s="221" customFormat="1" ht="12.75" x14ac:dyDescent="0.2">
      <c r="B17488" s="1168"/>
    </row>
    <row r="17489" spans="2:2" s="221" customFormat="1" ht="12.75" x14ac:dyDescent="0.2">
      <c r="B17489" s="1168"/>
    </row>
    <row r="17490" spans="2:2" s="221" customFormat="1" ht="12.75" x14ac:dyDescent="0.2">
      <c r="B17490" s="1168"/>
    </row>
    <row r="17491" spans="2:2" s="221" customFormat="1" ht="12.75" x14ac:dyDescent="0.2">
      <c r="B17491" s="1168"/>
    </row>
    <row r="17492" spans="2:2" s="221" customFormat="1" ht="12.75" x14ac:dyDescent="0.2">
      <c r="B17492" s="1168"/>
    </row>
    <row r="17493" spans="2:2" s="221" customFormat="1" ht="12.75" x14ac:dyDescent="0.2">
      <c r="B17493" s="1168"/>
    </row>
    <row r="17494" spans="2:2" s="221" customFormat="1" ht="12.75" x14ac:dyDescent="0.2">
      <c r="B17494" s="1168"/>
    </row>
    <row r="17495" spans="2:2" s="221" customFormat="1" ht="12.75" x14ac:dyDescent="0.2">
      <c r="B17495" s="1168"/>
    </row>
    <row r="17496" spans="2:2" s="221" customFormat="1" ht="12.75" x14ac:dyDescent="0.2">
      <c r="B17496" s="1168"/>
    </row>
    <row r="17497" spans="2:2" s="221" customFormat="1" ht="12.75" x14ac:dyDescent="0.2">
      <c r="B17497" s="1168"/>
    </row>
    <row r="17498" spans="2:2" s="221" customFormat="1" ht="12.75" x14ac:dyDescent="0.2">
      <c r="B17498" s="1168"/>
    </row>
    <row r="17499" spans="2:2" s="221" customFormat="1" ht="12.75" x14ac:dyDescent="0.2">
      <c r="B17499" s="1168"/>
    </row>
    <row r="17500" spans="2:2" s="221" customFormat="1" ht="12.75" x14ac:dyDescent="0.2">
      <c r="B17500" s="1168"/>
    </row>
    <row r="17501" spans="2:2" s="221" customFormat="1" ht="12.75" x14ac:dyDescent="0.2">
      <c r="B17501" s="1168"/>
    </row>
    <row r="17502" spans="2:2" s="221" customFormat="1" ht="12.75" x14ac:dyDescent="0.2">
      <c r="B17502" s="1168"/>
    </row>
    <row r="17503" spans="2:2" s="221" customFormat="1" ht="12.75" x14ac:dyDescent="0.2">
      <c r="B17503" s="1168"/>
    </row>
    <row r="17504" spans="2:2" s="221" customFormat="1" ht="12.75" x14ac:dyDescent="0.2">
      <c r="B17504" s="1168"/>
    </row>
    <row r="17505" spans="2:2" s="221" customFormat="1" ht="12.75" x14ac:dyDescent="0.2">
      <c r="B17505" s="1168"/>
    </row>
    <row r="17506" spans="2:2" s="221" customFormat="1" ht="12.75" x14ac:dyDescent="0.2">
      <c r="B17506" s="1168"/>
    </row>
    <row r="17507" spans="2:2" s="221" customFormat="1" ht="12.75" x14ac:dyDescent="0.2">
      <c r="B17507" s="1168"/>
    </row>
    <row r="17508" spans="2:2" s="221" customFormat="1" ht="12.75" x14ac:dyDescent="0.2">
      <c r="B17508" s="1168"/>
    </row>
    <row r="17509" spans="2:2" s="221" customFormat="1" ht="12.75" x14ac:dyDescent="0.2">
      <c r="B17509" s="1168"/>
    </row>
    <row r="17510" spans="2:2" s="221" customFormat="1" ht="12.75" x14ac:dyDescent="0.2">
      <c r="B17510" s="1168"/>
    </row>
    <row r="17511" spans="2:2" s="221" customFormat="1" ht="12.75" x14ac:dyDescent="0.2">
      <c r="B17511" s="1168"/>
    </row>
    <row r="17512" spans="2:2" s="221" customFormat="1" ht="12.75" x14ac:dyDescent="0.2">
      <c r="B17512" s="1168"/>
    </row>
    <row r="17513" spans="2:2" s="221" customFormat="1" ht="12.75" x14ac:dyDescent="0.2">
      <c r="B17513" s="1168"/>
    </row>
    <row r="17514" spans="2:2" s="221" customFormat="1" ht="12.75" x14ac:dyDescent="0.2">
      <c r="B17514" s="1168"/>
    </row>
    <row r="17515" spans="2:2" s="221" customFormat="1" ht="12.75" x14ac:dyDescent="0.2">
      <c r="B17515" s="1168"/>
    </row>
    <row r="17516" spans="2:2" s="221" customFormat="1" ht="12.75" x14ac:dyDescent="0.2">
      <c r="B17516" s="1168"/>
    </row>
    <row r="17517" spans="2:2" s="221" customFormat="1" ht="12.75" x14ac:dyDescent="0.2">
      <c r="B17517" s="1168"/>
    </row>
    <row r="17518" spans="2:2" s="221" customFormat="1" ht="12.75" x14ac:dyDescent="0.2">
      <c r="B17518" s="1168"/>
    </row>
    <row r="17519" spans="2:2" s="221" customFormat="1" ht="12.75" x14ac:dyDescent="0.2">
      <c r="B17519" s="1168"/>
    </row>
    <row r="17520" spans="2:2" s="221" customFormat="1" ht="12.75" x14ac:dyDescent="0.2">
      <c r="B17520" s="1168"/>
    </row>
    <row r="17521" spans="2:2" s="221" customFormat="1" ht="12.75" x14ac:dyDescent="0.2">
      <c r="B17521" s="1168"/>
    </row>
    <row r="17522" spans="2:2" s="221" customFormat="1" ht="12.75" x14ac:dyDescent="0.2">
      <c r="B17522" s="1168"/>
    </row>
    <row r="17523" spans="2:2" s="221" customFormat="1" ht="12.75" x14ac:dyDescent="0.2">
      <c r="B17523" s="1168"/>
    </row>
    <row r="17524" spans="2:2" s="221" customFormat="1" ht="12.75" x14ac:dyDescent="0.2">
      <c r="B17524" s="1168"/>
    </row>
    <row r="17525" spans="2:2" s="221" customFormat="1" ht="12.75" x14ac:dyDescent="0.2">
      <c r="B17525" s="1168"/>
    </row>
    <row r="17526" spans="2:2" s="221" customFormat="1" ht="12.75" x14ac:dyDescent="0.2">
      <c r="B17526" s="1168"/>
    </row>
    <row r="17527" spans="2:2" s="221" customFormat="1" ht="12.75" x14ac:dyDescent="0.2">
      <c r="B17527" s="1168"/>
    </row>
    <row r="17528" spans="2:2" s="221" customFormat="1" ht="12.75" x14ac:dyDescent="0.2">
      <c r="B17528" s="1168"/>
    </row>
    <row r="17529" spans="2:2" s="221" customFormat="1" ht="12.75" x14ac:dyDescent="0.2">
      <c r="B17529" s="1168"/>
    </row>
    <row r="17530" spans="2:2" s="221" customFormat="1" ht="12.75" x14ac:dyDescent="0.2">
      <c r="B17530" s="1168"/>
    </row>
    <row r="17531" spans="2:2" s="221" customFormat="1" ht="12.75" x14ac:dyDescent="0.2">
      <c r="B17531" s="1168"/>
    </row>
    <row r="17532" spans="2:2" s="221" customFormat="1" ht="12.75" x14ac:dyDescent="0.2">
      <c r="B17532" s="1168"/>
    </row>
    <row r="17533" spans="2:2" s="221" customFormat="1" ht="12.75" x14ac:dyDescent="0.2">
      <c r="B17533" s="1168"/>
    </row>
    <row r="17534" spans="2:2" s="221" customFormat="1" ht="12.75" x14ac:dyDescent="0.2">
      <c r="B17534" s="1168"/>
    </row>
    <row r="17535" spans="2:2" s="221" customFormat="1" ht="12.75" x14ac:dyDescent="0.2">
      <c r="B17535" s="1168"/>
    </row>
    <row r="17536" spans="2:2" s="221" customFormat="1" ht="12.75" x14ac:dyDescent="0.2">
      <c r="B17536" s="1168"/>
    </row>
    <row r="17537" spans="2:2" s="221" customFormat="1" ht="12.75" x14ac:dyDescent="0.2">
      <c r="B17537" s="1168"/>
    </row>
    <row r="17538" spans="2:2" s="221" customFormat="1" ht="12.75" x14ac:dyDescent="0.2">
      <c r="B17538" s="1168"/>
    </row>
    <row r="17539" spans="2:2" s="221" customFormat="1" ht="12.75" x14ac:dyDescent="0.2">
      <c r="B17539" s="1168"/>
    </row>
    <row r="17540" spans="2:2" s="221" customFormat="1" ht="12.75" x14ac:dyDescent="0.2">
      <c r="B17540" s="1168"/>
    </row>
    <row r="17541" spans="2:2" s="221" customFormat="1" ht="12.75" x14ac:dyDescent="0.2">
      <c r="B17541" s="1168"/>
    </row>
    <row r="17542" spans="2:2" s="221" customFormat="1" ht="12.75" x14ac:dyDescent="0.2">
      <c r="B17542" s="1168"/>
    </row>
    <row r="17543" spans="2:2" s="221" customFormat="1" ht="12.75" x14ac:dyDescent="0.2">
      <c r="B17543" s="1168"/>
    </row>
    <row r="17544" spans="2:2" s="221" customFormat="1" ht="12.75" x14ac:dyDescent="0.2">
      <c r="B17544" s="1168"/>
    </row>
    <row r="17545" spans="2:2" s="221" customFormat="1" ht="12.75" x14ac:dyDescent="0.2">
      <c r="B17545" s="1168"/>
    </row>
    <row r="17546" spans="2:2" s="221" customFormat="1" ht="12.75" x14ac:dyDescent="0.2">
      <c r="B17546" s="1168"/>
    </row>
    <row r="17547" spans="2:2" s="221" customFormat="1" ht="12.75" x14ac:dyDescent="0.2">
      <c r="B17547" s="1168"/>
    </row>
    <row r="17548" spans="2:2" s="221" customFormat="1" ht="12.75" x14ac:dyDescent="0.2">
      <c r="B17548" s="1168"/>
    </row>
    <row r="17549" spans="2:2" s="221" customFormat="1" ht="12.75" x14ac:dyDescent="0.2">
      <c r="B17549" s="1168"/>
    </row>
    <row r="17550" spans="2:2" s="221" customFormat="1" ht="12.75" x14ac:dyDescent="0.2">
      <c r="B17550" s="1168"/>
    </row>
    <row r="17551" spans="2:2" s="221" customFormat="1" ht="12.75" x14ac:dyDescent="0.2">
      <c r="B17551" s="1168"/>
    </row>
    <row r="17552" spans="2:2" s="221" customFormat="1" ht="12.75" x14ac:dyDescent="0.2">
      <c r="B17552" s="1168"/>
    </row>
    <row r="17553" spans="2:2" s="221" customFormat="1" ht="12.75" x14ac:dyDescent="0.2">
      <c r="B17553" s="1168"/>
    </row>
    <row r="17554" spans="2:2" s="221" customFormat="1" ht="12.75" x14ac:dyDescent="0.2">
      <c r="B17554" s="1168"/>
    </row>
    <row r="17555" spans="2:2" s="221" customFormat="1" ht="12.75" x14ac:dyDescent="0.2">
      <c r="B17555" s="1168"/>
    </row>
    <row r="17556" spans="2:2" s="221" customFormat="1" ht="12.75" x14ac:dyDescent="0.2">
      <c r="B17556" s="1168"/>
    </row>
    <row r="17557" spans="2:2" s="221" customFormat="1" ht="12.75" x14ac:dyDescent="0.2">
      <c r="B17557" s="1168"/>
    </row>
    <row r="17558" spans="2:2" s="221" customFormat="1" ht="12.75" x14ac:dyDescent="0.2">
      <c r="B17558" s="1168"/>
    </row>
    <row r="17559" spans="2:2" s="221" customFormat="1" ht="12.75" x14ac:dyDescent="0.2">
      <c r="B17559" s="1168"/>
    </row>
    <row r="17560" spans="2:2" s="221" customFormat="1" ht="12.75" x14ac:dyDescent="0.2">
      <c r="B17560" s="1168"/>
    </row>
    <row r="17561" spans="2:2" s="221" customFormat="1" ht="12.75" x14ac:dyDescent="0.2">
      <c r="B17561" s="1168"/>
    </row>
    <row r="17562" spans="2:2" s="221" customFormat="1" ht="12.75" x14ac:dyDescent="0.2">
      <c r="B17562" s="1168"/>
    </row>
    <row r="17563" spans="2:2" s="221" customFormat="1" ht="12.75" x14ac:dyDescent="0.2">
      <c r="B17563" s="1168"/>
    </row>
    <row r="17564" spans="2:2" s="221" customFormat="1" ht="12.75" x14ac:dyDescent="0.2">
      <c r="B17564" s="1168"/>
    </row>
    <row r="17565" spans="2:2" s="221" customFormat="1" ht="12.75" x14ac:dyDescent="0.2">
      <c r="B17565" s="1168"/>
    </row>
    <row r="17566" spans="2:2" s="221" customFormat="1" ht="12.75" x14ac:dyDescent="0.2">
      <c r="B17566" s="1168"/>
    </row>
    <row r="17567" spans="2:2" s="221" customFormat="1" ht="12.75" x14ac:dyDescent="0.2">
      <c r="B17567" s="1168"/>
    </row>
    <row r="17568" spans="2:2" s="221" customFormat="1" ht="12.75" x14ac:dyDescent="0.2">
      <c r="B17568" s="1168"/>
    </row>
    <row r="17569" spans="2:2" s="221" customFormat="1" ht="12.75" x14ac:dyDescent="0.2">
      <c r="B17569" s="1168"/>
    </row>
    <row r="17570" spans="2:2" s="221" customFormat="1" ht="12.75" x14ac:dyDescent="0.2">
      <c r="B17570" s="1168"/>
    </row>
    <row r="17571" spans="2:2" s="221" customFormat="1" ht="12.75" x14ac:dyDescent="0.2">
      <c r="B17571" s="1168"/>
    </row>
    <row r="17572" spans="2:2" s="221" customFormat="1" ht="12.75" x14ac:dyDescent="0.2">
      <c r="B17572" s="1168"/>
    </row>
    <row r="17573" spans="2:2" s="221" customFormat="1" ht="12.75" x14ac:dyDescent="0.2">
      <c r="B17573" s="1168"/>
    </row>
    <row r="17574" spans="2:2" s="221" customFormat="1" ht="12.75" x14ac:dyDescent="0.2">
      <c r="B17574" s="1168"/>
    </row>
    <row r="17575" spans="2:2" s="221" customFormat="1" ht="12.75" x14ac:dyDescent="0.2">
      <c r="B17575" s="1168"/>
    </row>
    <row r="17576" spans="2:2" s="221" customFormat="1" ht="12.75" x14ac:dyDescent="0.2">
      <c r="B17576" s="1168"/>
    </row>
    <row r="17577" spans="2:2" s="221" customFormat="1" ht="12.75" x14ac:dyDescent="0.2">
      <c r="B17577" s="1168"/>
    </row>
    <row r="17578" spans="2:2" s="221" customFormat="1" ht="12.75" x14ac:dyDescent="0.2">
      <c r="B17578" s="1168"/>
    </row>
    <row r="17579" spans="2:2" s="221" customFormat="1" ht="12.75" x14ac:dyDescent="0.2">
      <c r="B17579" s="1168"/>
    </row>
    <row r="17580" spans="2:2" s="221" customFormat="1" ht="12.75" x14ac:dyDescent="0.2">
      <c r="B17580" s="1168"/>
    </row>
    <row r="17581" spans="2:2" s="221" customFormat="1" ht="12.75" x14ac:dyDescent="0.2">
      <c r="B17581" s="1168"/>
    </row>
    <row r="17582" spans="2:2" s="221" customFormat="1" ht="12.75" x14ac:dyDescent="0.2">
      <c r="B17582" s="1168"/>
    </row>
    <row r="17583" spans="2:2" s="221" customFormat="1" ht="12.75" x14ac:dyDescent="0.2">
      <c r="B17583" s="1168"/>
    </row>
    <row r="17584" spans="2:2" s="221" customFormat="1" ht="12.75" x14ac:dyDescent="0.2">
      <c r="B17584" s="1168"/>
    </row>
    <row r="17585" spans="2:2" s="221" customFormat="1" ht="12.75" x14ac:dyDescent="0.2">
      <c r="B17585" s="1168"/>
    </row>
    <row r="17586" spans="2:2" s="221" customFormat="1" ht="12.75" x14ac:dyDescent="0.2">
      <c r="B17586" s="1168"/>
    </row>
    <row r="17587" spans="2:2" s="221" customFormat="1" ht="12.75" x14ac:dyDescent="0.2">
      <c r="B17587" s="1168"/>
    </row>
    <row r="17588" spans="2:2" s="221" customFormat="1" ht="12.75" x14ac:dyDescent="0.2">
      <c r="B17588" s="1168"/>
    </row>
    <row r="17589" spans="2:2" s="221" customFormat="1" ht="12.75" x14ac:dyDescent="0.2">
      <c r="B17589" s="1168"/>
    </row>
    <row r="17590" spans="2:2" s="221" customFormat="1" ht="12.75" x14ac:dyDescent="0.2">
      <c r="B17590" s="1168"/>
    </row>
    <row r="17591" spans="2:2" s="221" customFormat="1" ht="12.75" x14ac:dyDescent="0.2">
      <c r="B17591" s="1168"/>
    </row>
    <row r="17592" spans="2:2" s="221" customFormat="1" ht="12.75" x14ac:dyDescent="0.2">
      <c r="B17592" s="1168"/>
    </row>
    <row r="17593" spans="2:2" s="221" customFormat="1" ht="12.75" x14ac:dyDescent="0.2">
      <c r="B17593" s="1168"/>
    </row>
    <row r="17594" spans="2:2" s="221" customFormat="1" ht="12.75" x14ac:dyDescent="0.2">
      <c r="B17594" s="1168"/>
    </row>
    <row r="17595" spans="2:2" s="221" customFormat="1" ht="12.75" x14ac:dyDescent="0.2">
      <c r="B17595" s="1168"/>
    </row>
    <row r="17596" spans="2:2" s="221" customFormat="1" ht="12.75" x14ac:dyDescent="0.2">
      <c r="B17596" s="1168"/>
    </row>
    <row r="17597" spans="2:2" s="221" customFormat="1" ht="12.75" x14ac:dyDescent="0.2">
      <c r="B17597" s="1168"/>
    </row>
    <row r="17598" spans="2:2" s="221" customFormat="1" ht="12.75" x14ac:dyDescent="0.2">
      <c r="B17598" s="1168"/>
    </row>
    <row r="17599" spans="2:2" s="221" customFormat="1" ht="12.75" x14ac:dyDescent="0.2">
      <c r="B17599" s="1168"/>
    </row>
    <row r="17600" spans="2:2" s="221" customFormat="1" ht="12.75" x14ac:dyDescent="0.2">
      <c r="B17600" s="1168"/>
    </row>
    <row r="17601" spans="2:2" s="221" customFormat="1" ht="12.75" x14ac:dyDescent="0.2">
      <c r="B17601" s="1168"/>
    </row>
    <row r="17602" spans="2:2" s="221" customFormat="1" ht="12.75" x14ac:dyDescent="0.2">
      <c r="B17602" s="1168"/>
    </row>
    <row r="17603" spans="2:2" s="221" customFormat="1" ht="12.75" x14ac:dyDescent="0.2">
      <c r="B17603" s="1168"/>
    </row>
    <row r="17604" spans="2:2" s="221" customFormat="1" ht="12.75" x14ac:dyDescent="0.2">
      <c r="B17604" s="1168"/>
    </row>
    <row r="17605" spans="2:2" s="221" customFormat="1" ht="12.75" x14ac:dyDescent="0.2">
      <c r="B17605" s="1168"/>
    </row>
    <row r="17606" spans="2:2" s="221" customFormat="1" ht="12.75" x14ac:dyDescent="0.2">
      <c r="B17606" s="1168"/>
    </row>
    <row r="17607" spans="2:2" s="221" customFormat="1" ht="12.75" x14ac:dyDescent="0.2">
      <c r="B17607" s="1168"/>
    </row>
    <row r="17608" spans="2:2" s="221" customFormat="1" ht="12.75" x14ac:dyDescent="0.2">
      <c r="B17608" s="1168"/>
    </row>
    <row r="17609" spans="2:2" s="221" customFormat="1" ht="12.75" x14ac:dyDescent="0.2">
      <c r="B17609" s="1168"/>
    </row>
    <row r="17610" spans="2:2" s="221" customFormat="1" ht="12.75" x14ac:dyDescent="0.2">
      <c r="B17610" s="1168"/>
    </row>
    <row r="17611" spans="2:2" s="221" customFormat="1" ht="12.75" x14ac:dyDescent="0.2">
      <c r="B17611" s="1168"/>
    </row>
    <row r="17612" spans="2:2" s="221" customFormat="1" ht="12.75" x14ac:dyDescent="0.2">
      <c r="B17612" s="1168"/>
    </row>
    <row r="17613" spans="2:2" s="221" customFormat="1" ht="12.75" x14ac:dyDescent="0.2">
      <c r="B17613" s="1168"/>
    </row>
    <row r="17614" spans="2:2" s="221" customFormat="1" ht="12.75" x14ac:dyDescent="0.2">
      <c r="B17614" s="1168"/>
    </row>
    <row r="17615" spans="2:2" s="221" customFormat="1" ht="12.75" x14ac:dyDescent="0.2">
      <c r="B17615" s="1168"/>
    </row>
    <row r="17616" spans="2:2" s="221" customFormat="1" ht="12.75" x14ac:dyDescent="0.2">
      <c r="B17616" s="1168"/>
    </row>
    <row r="17617" spans="2:2" s="221" customFormat="1" ht="12.75" x14ac:dyDescent="0.2">
      <c r="B17617" s="1168"/>
    </row>
    <row r="17618" spans="2:2" s="221" customFormat="1" ht="12.75" x14ac:dyDescent="0.2">
      <c r="B17618" s="1168"/>
    </row>
    <row r="17619" spans="2:2" s="221" customFormat="1" ht="12.75" x14ac:dyDescent="0.2">
      <c r="B17619" s="1168"/>
    </row>
    <row r="17620" spans="2:2" s="221" customFormat="1" ht="12.75" x14ac:dyDescent="0.2">
      <c r="B17620" s="1168"/>
    </row>
    <row r="17621" spans="2:2" s="221" customFormat="1" ht="12.75" x14ac:dyDescent="0.2">
      <c r="B17621" s="1168"/>
    </row>
    <row r="17622" spans="2:2" s="221" customFormat="1" ht="12.75" x14ac:dyDescent="0.2">
      <c r="B17622" s="1168"/>
    </row>
    <row r="17623" spans="2:2" s="221" customFormat="1" ht="12.75" x14ac:dyDescent="0.2">
      <c r="B17623" s="1168"/>
    </row>
    <row r="17624" spans="2:2" s="221" customFormat="1" ht="12.75" x14ac:dyDescent="0.2">
      <c r="B17624" s="1168"/>
    </row>
    <row r="17625" spans="2:2" s="221" customFormat="1" ht="12.75" x14ac:dyDescent="0.2">
      <c r="B17625" s="1168"/>
    </row>
    <row r="17626" spans="2:2" s="221" customFormat="1" ht="12.75" x14ac:dyDescent="0.2">
      <c r="B17626" s="1168"/>
    </row>
    <row r="17627" spans="2:2" s="221" customFormat="1" ht="12.75" x14ac:dyDescent="0.2">
      <c r="B17627" s="1168"/>
    </row>
    <row r="17628" spans="2:2" s="221" customFormat="1" ht="12.75" x14ac:dyDescent="0.2">
      <c r="B17628" s="1168"/>
    </row>
    <row r="17629" spans="2:2" s="221" customFormat="1" ht="12.75" x14ac:dyDescent="0.2">
      <c r="B17629" s="1168"/>
    </row>
    <row r="17630" spans="2:2" s="221" customFormat="1" ht="12.75" x14ac:dyDescent="0.2">
      <c r="B17630" s="1168"/>
    </row>
    <row r="17631" spans="2:2" s="221" customFormat="1" ht="12.75" x14ac:dyDescent="0.2">
      <c r="B17631" s="1168"/>
    </row>
    <row r="17632" spans="2:2" s="221" customFormat="1" ht="12.75" x14ac:dyDescent="0.2">
      <c r="B17632" s="1168"/>
    </row>
    <row r="17633" spans="2:2" s="221" customFormat="1" ht="12.75" x14ac:dyDescent="0.2">
      <c r="B17633" s="1168"/>
    </row>
    <row r="17634" spans="2:2" s="221" customFormat="1" ht="12.75" x14ac:dyDescent="0.2">
      <c r="B17634" s="1168"/>
    </row>
    <row r="17635" spans="2:2" s="221" customFormat="1" ht="12.75" x14ac:dyDescent="0.2">
      <c r="B17635" s="1168"/>
    </row>
    <row r="17636" spans="2:2" s="221" customFormat="1" ht="12.75" x14ac:dyDescent="0.2">
      <c r="B17636" s="1168"/>
    </row>
    <row r="17637" spans="2:2" s="221" customFormat="1" ht="12.75" x14ac:dyDescent="0.2">
      <c r="B17637" s="1168"/>
    </row>
    <row r="17638" spans="2:2" s="221" customFormat="1" ht="12.75" x14ac:dyDescent="0.2">
      <c r="B17638" s="1168"/>
    </row>
    <row r="17639" spans="2:2" s="221" customFormat="1" ht="12.75" x14ac:dyDescent="0.2">
      <c r="B17639" s="1168"/>
    </row>
    <row r="17640" spans="2:2" s="221" customFormat="1" ht="12.75" x14ac:dyDescent="0.2">
      <c r="B17640" s="1168"/>
    </row>
    <row r="17641" spans="2:2" s="221" customFormat="1" ht="12.75" x14ac:dyDescent="0.2">
      <c r="B17641" s="1168"/>
    </row>
    <row r="17642" spans="2:2" s="221" customFormat="1" ht="12.75" x14ac:dyDescent="0.2">
      <c r="B17642" s="1168"/>
    </row>
    <row r="17643" spans="2:2" s="221" customFormat="1" ht="12.75" x14ac:dyDescent="0.2">
      <c r="B17643" s="1168"/>
    </row>
    <row r="17644" spans="2:2" s="221" customFormat="1" ht="12.75" x14ac:dyDescent="0.2">
      <c r="B17644" s="1168"/>
    </row>
    <row r="17645" spans="2:2" s="221" customFormat="1" ht="12.75" x14ac:dyDescent="0.2">
      <c r="B17645" s="1168"/>
    </row>
    <row r="17646" spans="2:2" s="221" customFormat="1" ht="12.75" x14ac:dyDescent="0.2">
      <c r="B17646" s="1168"/>
    </row>
    <row r="17647" spans="2:2" s="221" customFormat="1" ht="12.75" x14ac:dyDescent="0.2">
      <c r="B17647" s="1168"/>
    </row>
    <row r="17648" spans="2:2" s="221" customFormat="1" ht="12.75" x14ac:dyDescent="0.2">
      <c r="B17648" s="1168"/>
    </row>
    <row r="17649" spans="2:2" s="221" customFormat="1" ht="12.75" x14ac:dyDescent="0.2">
      <c r="B17649" s="1168"/>
    </row>
    <row r="17650" spans="2:2" s="221" customFormat="1" ht="12.75" x14ac:dyDescent="0.2">
      <c r="B17650" s="1168"/>
    </row>
    <row r="17651" spans="2:2" s="221" customFormat="1" ht="12.75" x14ac:dyDescent="0.2">
      <c r="B17651" s="1168"/>
    </row>
    <row r="17652" spans="2:2" s="221" customFormat="1" ht="12.75" x14ac:dyDescent="0.2">
      <c r="B17652" s="1168"/>
    </row>
    <row r="17653" spans="2:2" s="221" customFormat="1" ht="12.75" x14ac:dyDescent="0.2">
      <c r="B17653" s="1168"/>
    </row>
    <row r="17654" spans="2:2" s="221" customFormat="1" ht="12.75" x14ac:dyDescent="0.2">
      <c r="B17654" s="1168"/>
    </row>
    <row r="17655" spans="2:2" s="221" customFormat="1" ht="12.75" x14ac:dyDescent="0.2">
      <c r="B17655" s="1168"/>
    </row>
    <row r="17656" spans="2:2" s="221" customFormat="1" ht="12.75" x14ac:dyDescent="0.2">
      <c r="B17656" s="1168"/>
    </row>
    <row r="17657" spans="2:2" s="221" customFormat="1" ht="12.75" x14ac:dyDescent="0.2">
      <c r="B17657" s="1168"/>
    </row>
    <row r="17658" spans="2:2" s="221" customFormat="1" ht="12.75" x14ac:dyDescent="0.2">
      <c r="B17658" s="1168"/>
    </row>
    <row r="17659" spans="2:2" s="221" customFormat="1" ht="12.75" x14ac:dyDescent="0.2">
      <c r="B17659" s="1168"/>
    </row>
    <row r="17660" spans="2:2" s="221" customFormat="1" ht="12.75" x14ac:dyDescent="0.2">
      <c r="B17660" s="1168"/>
    </row>
    <row r="17661" spans="2:2" s="221" customFormat="1" ht="12.75" x14ac:dyDescent="0.2">
      <c r="B17661" s="1168"/>
    </row>
    <row r="17662" spans="2:2" s="221" customFormat="1" ht="12.75" x14ac:dyDescent="0.2">
      <c r="B17662" s="1168"/>
    </row>
    <row r="17663" spans="2:2" s="221" customFormat="1" ht="12.75" x14ac:dyDescent="0.2">
      <c r="B17663" s="1168"/>
    </row>
    <row r="17664" spans="2:2" s="221" customFormat="1" ht="12.75" x14ac:dyDescent="0.2">
      <c r="B17664" s="1168"/>
    </row>
    <row r="17665" spans="2:2" s="221" customFormat="1" ht="12.75" x14ac:dyDescent="0.2">
      <c r="B17665" s="1168"/>
    </row>
    <row r="17666" spans="2:2" s="221" customFormat="1" ht="12.75" x14ac:dyDescent="0.2">
      <c r="B17666" s="1168"/>
    </row>
    <row r="17667" spans="2:2" s="221" customFormat="1" ht="12.75" x14ac:dyDescent="0.2">
      <c r="B17667" s="1168"/>
    </row>
    <row r="17668" spans="2:2" s="221" customFormat="1" ht="12.75" x14ac:dyDescent="0.2">
      <c r="B17668" s="1168"/>
    </row>
    <row r="17669" spans="2:2" s="221" customFormat="1" ht="12.75" x14ac:dyDescent="0.2">
      <c r="B17669" s="1168"/>
    </row>
    <row r="17670" spans="2:2" s="221" customFormat="1" ht="12.75" x14ac:dyDescent="0.2">
      <c r="B17670" s="1168"/>
    </row>
    <row r="17671" spans="2:2" s="221" customFormat="1" ht="12.75" x14ac:dyDescent="0.2">
      <c r="B17671" s="1168"/>
    </row>
    <row r="17672" spans="2:2" s="221" customFormat="1" ht="12.75" x14ac:dyDescent="0.2">
      <c r="B17672" s="1168"/>
    </row>
    <row r="17673" spans="2:2" s="221" customFormat="1" ht="12.75" x14ac:dyDescent="0.2">
      <c r="B17673" s="1168"/>
    </row>
    <row r="17674" spans="2:2" s="221" customFormat="1" ht="12.75" x14ac:dyDescent="0.2">
      <c r="B17674" s="1168"/>
    </row>
    <row r="17675" spans="2:2" s="221" customFormat="1" ht="12.75" x14ac:dyDescent="0.2">
      <c r="B17675" s="1168"/>
    </row>
    <row r="17676" spans="2:2" s="221" customFormat="1" ht="12.75" x14ac:dyDescent="0.2">
      <c r="B17676" s="1168"/>
    </row>
    <row r="17677" spans="2:2" s="221" customFormat="1" ht="12.75" x14ac:dyDescent="0.2">
      <c r="B17677" s="1168"/>
    </row>
    <row r="17678" spans="2:2" s="221" customFormat="1" ht="12.75" x14ac:dyDescent="0.2">
      <c r="B17678" s="1168"/>
    </row>
    <row r="17679" spans="2:2" s="221" customFormat="1" ht="12.75" x14ac:dyDescent="0.2">
      <c r="B17679" s="1168"/>
    </row>
    <row r="17680" spans="2:2" s="221" customFormat="1" ht="12.75" x14ac:dyDescent="0.2">
      <c r="B17680" s="1168"/>
    </row>
    <row r="17681" spans="2:2" s="221" customFormat="1" ht="12.75" x14ac:dyDescent="0.2">
      <c r="B17681" s="1168"/>
    </row>
    <row r="17682" spans="2:2" s="221" customFormat="1" ht="12.75" x14ac:dyDescent="0.2">
      <c r="B17682" s="1168"/>
    </row>
    <row r="17683" spans="2:2" s="221" customFormat="1" ht="12.75" x14ac:dyDescent="0.2">
      <c r="B17683" s="1168"/>
    </row>
    <row r="17684" spans="2:2" s="221" customFormat="1" ht="12.75" x14ac:dyDescent="0.2">
      <c r="B17684" s="1168"/>
    </row>
    <row r="17685" spans="2:2" s="221" customFormat="1" ht="12.75" x14ac:dyDescent="0.2">
      <c r="B17685" s="1168"/>
    </row>
    <row r="17686" spans="2:2" s="221" customFormat="1" ht="12.75" x14ac:dyDescent="0.2">
      <c r="B17686" s="1168"/>
    </row>
    <row r="17687" spans="2:2" s="221" customFormat="1" ht="12.75" x14ac:dyDescent="0.2">
      <c r="B17687" s="1168"/>
    </row>
    <row r="17688" spans="2:2" s="221" customFormat="1" ht="12.75" x14ac:dyDescent="0.2">
      <c r="B17688" s="1168"/>
    </row>
    <row r="17689" spans="2:2" s="221" customFormat="1" ht="12.75" x14ac:dyDescent="0.2">
      <c r="B17689" s="1168"/>
    </row>
    <row r="17690" spans="2:2" s="221" customFormat="1" ht="12.75" x14ac:dyDescent="0.2">
      <c r="B17690" s="1168"/>
    </row>
    <row r="17691" spans="2:2" s="221" customFormat="1" ht="12.75" x14ac:dyDescent="0.2">
      <c r="B17691" s="1168"/>
    </row>
    <row r="17692" spans="2:2" s="221" customFormat="1" ht="12.75" x14ac:dyDescent="0.2">
      <c r="B17692" s="1168"/>
    </row>
    <row r="17693" spans="2:2" s="221" customFormat="1" ht="12.75" x14ac:dyDescent="0.2">
      <c r="B17693" s="1168"/>
    </row>
    <row r="17694" spans="2:2" s="221" customFormat="1" ht="12.75" x14ac:dyDescent="0.2">
      <c r="B17694" s="1168"/>
    </row>
    <row r="17695" spans="2:2" s="221" customFormat="1" ht="12.75" x14ac:dyDescent="0.2">
      <c r="B17695" s="1168"/>
    </row>
    <row r="17696" spans="2:2" s="221" customFormat="1" ht="12.75" x14ac:dyDescent="0.2">
      <c r="B17696" s="1168"/>
    </row>
    <row r="17697" spans="2:2" s="221" customFormat="1" ht="12.75" x14ac:dyDescent="0.2">
      <c r="B17697" s="1168"/>
    </row>
    <row r="17698" spans="2:2" s="221" customFormat="1" ht="12.75" x14ac:dyDescent="0.2">
      <c r="B17698" s="1168"/>
    </row>
    <row r="17699" spans="2:2" s="221" customFormat="1" ht="12.75" x14ac:dyDescent="0.2">
      <c r="B17699" s="1168"/>
    </row>
    <row r="17700" spans="2:2" s="221" customFormat="1" ht="12.75" x14ac:dyDescent="0.2">
      <c r="B17700" s="1168"/>
    </row>
    <row r="17701" spans="2:2" s="221" customFormat="1" ht="12.75" x14ac:dyDescent="0.2">
      <c r="B17701" s="1168"/>
    </row>
    <row r="17702" spans="2:2" s="221" customFormat="1" ht="12.75" x14ac:dyDescent="0.2">
      <c r="B17702" s="1168"/>
    </row>
    <row r="17703" spans="2:2" s="221" customFormat="1" ht="12.75" x14ac:dyDescent="0.2">
      <c r="B17703" s="1168"/>
    </row>
    <row r="17704" spans="2:2" s="221" customFormat="1" ht="12.75" x14ac:dyDescent="0.2">
      <c r="B17704" s="1168"/>
    </row>
    <row r="17705" spans="2:2" s="221" customFormat="1" ht="12.75" x14ac:dyDescent="0.2">
      <c r="B17705" s="1168"/>
    </row>
    <row r="17706" spans="2:2" s="221" customFormat="1" ht="12.75" x14ac:dyDescent="0.2">
      <c r="B17706" s="1168"/>
    </row>
    <row r="17707" spans="2:2" s="221" customFormat="1" ht="12.75" x14ac:dyDescent="0.2">
      <c r="B17707" s="1168"/>
    </row>
    <row r="17708" spans="2:2" s="221" customFormat="1" ht="12.75" x14ac:dyDescent="0.2">
      <c r="B17708" s="1168"/>
    </row>
    <row r="17709" spans="2:2" s="221" customFormat="1" ht="12.75" x14ac:dyDescent="0.2">
      <c r="B17709" s="1168"/>
    </row>
    <row r="17710" spans="2:2" s="221" customFormat="1" ht="12.75" x14ac:dyDescent="0.2">
      <c r="B17710" s="1168"/>
    </row>
    <row r="17711" spans="2:2" s="221" customFormat="1" ht="12.75" x14ac:dyDescent="0.2">
      <c r="B17711" s="1168"/>
    </row>
    <row r="17712" spans="2:2" s="221" customFormat="1" ht="12.75" x14ac:dyDescent="0.2">
      <c r="B17712" s="1168"/>
    </row>
    <row r="17713" spans="2:2" s="221" customFormat="1" ht="12.75" x14ac:dyDescent="0.2">
      <c r="B17713" s="1168"/>
    </row>
    <row r="17714" spans="2:2" s="221" customFormat="1" ht="12.75" x14ac:dyDescent="0.2">
      <c r="B17714" s="1168"/>
    </row>
    <row r="17715" spans="2:2" s="221" customFormat="1" ht="12.75" x14ac:dyDescent="0.2">
      <c r="B17715" s="1168"/>
    </row>
    <row r="17716" spans="2:2" s="221" customFormat="1" ht="12.75" x14ac:dyDescent="0.2">
      <c r="B17716" s="1168"/>
    </row>
    <row r="17717" spans="2:2" s="221" customFormat="1" ht="12.75" x14ac:dyDescent="0.2">
      <c r="B17717" s="1168"/>
    </row>
    <row r="17718" spans="2:2" s="221" customFormat="1" ht="12.75" x14ac:dyDescent="0.2">
      <c r="B17718" s="1168"/>
    </row>
    <row r="17719" spans="2:2" s="221" customFormat="1" ht="12.75" x14ac:dyDescent="0.2">
      <c r="B17719" s="1168"/>
    </row>
    <row r="17720" spans="2:2" s="221" customFormat="1" ht="12.75" x14ac:dyDescent="0.2">
      <c r="B17720" s="1168"/>
    </row>
    <row r="17721" spans="2:2" s="221" customFormat="1" ht="12.75" x14ac:dyDescent="0.2">
      <c r="B17721" s="1168"/>
    </row>
    <row r="17722" spans="2:2" s="221" customFormat="1" ht="12.75" x14ac:dyDescent="0.2">
      <c r="B17722" s="1168"/>
    </row>
    <row r="17723" spans="2:2" s="221" customFormat="1" ht="12.75" x14ac:dyDescent="0.2">
      <c r="B17723" s="1168"/>
    </row>
    <row r="17724" spans="2:2" s="221" customFormat="1" ht="12.75" x14ac:dyDescent="0.2">
      <c r="B17724" s="1168"/>
    </row>
    <row r="17725" spans="2:2" s="221" customFormat="1" ht="12.75" x14ac:dyDescent="0.2">
      <c r="B17725" s="1168"/>
    </row>
    <row r="17726" spans="2:2" s="221" customFormat="1" ht="12.75" x14ac:dyDescent="0.2">
      <c r="B17726" s="1168"/>
    </row>
    <row r="17727" spans="2:2" s="221" customFormat="1" ht="12.75" x14ac:dyDescent="0.2">
      <c r="B17727" s="1168"/>
    </row>
    <row r="17728" spans="2:2" s="221" customFormat="1" ht="12.75" x14ac:dyDescent="0.2">
      <c r="B17728" s="1168"/>
    </row>
    <row r="17729" spans="2:2" s="221" customFormat="1" ht="12.75" x14ac:dyDescent="0.2">
      <c r="B17729" s="1168"/>
    </row>
    <row r="17730" spans="2:2" s="221" customFormat="1" ht="12.75" x14ac:dyDescent="0.2">
      <c r="B17730" s="1168"/>
    </row>
    <row r="17731" spans="2:2" s="221" customFormat="1" ht="12.75" x14ac:dyDescent="0.2">
      <c r="B17731" s="1168"/>
    </row>
    <row r="17732" spans="2:2" s="221" customFormat="1" ht="12.75" x14ac:dyDescent="0.2">
      <c r="B17732" s="1168"/>
    </row>
    <row r="17733" spans="2:2" s="221" customFormat="1" ht="12.75" x14ac:dyDescent="0.2">
      <c r="B17733" s="1168"/>
    </row>
    <row r="17734" spans="2:2" s="221" customFormat="1" ht="12.75" x14ac:dyDescent="0.2">
      <c r="B17734" s="1168"/>
    </row>
    <row r="17735" spans="2:2" s="221" customFormat="1" ht="12.75" x14ac:dyDescent="0.2">
      <c r="B17735" s="1168"/>
    </row>
    <row r="17736" spans="2:2" s="221" customFormat="1" ht="12.75" x14ac:dyDescent="0.2">
      <c r="B17736" s="1168"/>
    </row>
    <row r="17737" spans="2:2" s="221" customFormat="1" ht="12.75" x14ac:dyDescent="0.2">
      <c r="B17737" s="1168"/>
    </row>
    <row r="17738" spans="2:2" s="221" customFormat="1" ht="12.75" x14ac:dyDescent="0.2">
      <c r="B17738" s="1168"/>
    </row>
    <row r="17739" spans="2:2" s="221" customFormat="1" ht="12.75" x14ac:dyDescent="0.2">
      <c r="B17739" s="1168"/>
    </row>
    <row r="17740" spans="2:2" s="221" customFormat="1" ht="12.75" x14ac:dyDescent="0.2">
      <c r="B17740" s="1168"/>
    </row>
    <row r="17741" spans="2:2" s="221" customFormat="1" ht="12.75" x14ac:dyDescent="0.2">
      <c r="B17741" s="1168"/>
    </row>
    <row r="17742" spans="2:2" s="221" customFormat="1" ht="12.75" x14ac:dyDescent="0.2">
      <c r="B17742" s="1168"/>
    </row>
    <row r="17743" spans="2:2" s="221" customFormat="1" ht="12.75" x14ac:dyDescent="0.2">
      <c r="B17743" s="1168"/>
    </row>
    <row r="17744" spans="2:2" s="221" customFormat="1" ht="12.75" x14ac:dyDescent="0.2">
      <c r="B17744" s="1168"/>
    </row>
    <row r="17745" spans="2:2" s="221" customFormat="1" ht="12.75" x14ac:dyDescent="0.2">
      <c r="B17745" s="1168"/>
    </row>
    <row r="17746" spans="2:2" s="221" customFormat="1" ht="12.75" x14ac:dyDescent="0.2">
      <c r="B17746" s="1168"/>
    </row>
    <row r="17747" spans="2:2" s="221" customFormat="1" ht="12.75" x14ac:dyDescent="0.2">
      <c r="B17747" s="1168"/>
    </row>
    <row r="17748" spans="2:2" s="221" customFormat="1" ht="12.75" x14ac:dyDescent="0.2">
      <c r="B17748" s="1168"/>
    </row>
    <row r="17749" spans="2:2" s="221" customFormat="1" ht="12.75" x14ac:dyDescent="0.2">
      <c r="B17749" s="1168"/>
    </row>
    <row r="17750" spans="2:2" s="221" customFormat="1" ht="12.75" x14ac:dyDescent="0.2">
      <c r="B17750" s="1168"/>
    </row>
    <row r="17751" spans="2:2" s="221" customFormat="1" ht="12.75" x14ac:dyDescent="0.2">
      <c r="B17751" s="1168"/>
    </row>
    <row r="17752" spans="2:2" s="221" customFormat="1" ht="12.75" x14ac:dyDescent="0.2">
      <c r="B17752" s="1168"/>
    </row>
    <row r="17753" spans="2:2" s="221" customFormat="1" ht="12.75" x14ac:dyDescent="0.2">
      <c r="B17753" s="1168"/>
    </row>
    <row r="17754" spans="2:2" s="221" customFormat="1" ht="12.75" x14ac:dyDescent="0.2">
      <c r="B17754" s="1168"/>
    </row>
    <row r="17755" spans="2:2" s="221" customFormat="1" ht="12.75" x14ac:dyDescent="0.2">
      <c r="B17755" s="1168"/>
    </row>
    <row r="17756" spans="2:2" s="221" customFormat="1" ht="12.75" x14ac:dyDescent="0.2">
      <c r="B17756" s="1168"/>
    </row>
    <row r="17757" spans="2:2" s="221" customFormat="1" ht="12.75" x14ac:dyDescent="0.2">
      <c r="B17757" s="1168"/>
    </row>
    <row r="17758" spans="2:2" s="221" customFormat="1" ht="12.75" x14ac:dyDescent="0.2">
      <c r="B17758" s="1168"/>
    </row>
    <row r="17759" spans="2:2" s="221" customFormat="1" ht="12.75" x14ac:dyDescent="0.2">
      <c r="B17759" s="1168"/>
    </row>
    <row r="17760" spans="2:2" s="221" customFormat="1" ht="12.75" x14ac:dyDescent="0.2">
      <c r="B17760" s="1168"/>
    </row>
    <row r="17761" spans="2:2" s="221" customFormat="1" ht="12.75" x14ac:dyDescent="0.2">
      <c r="B17761" s="1168"/>
    </row>
    <row r="17762" spans="2:2" s="221" customFormat="1" ht="12.75" x14ac:dyDescent="0.2">
      <c r="B17762" s="1168"/>
    </row>
    <row r="17763" spans="2:2" s="221" customFormat="1" ht="12.75" x14ac:dyDescent="0.2">
      <c r="B17763" s="1168"/>
    </row>
    <row r="17764" spans="2:2" s="221" customFormat="1" ht="12.75" x14ac:dyDescent="0.2">
      <c r="B17764" s="1168"/>
    </row>
    <row r="17765" spans="2:2" s="221" customFormat="1" ht="12.75" x14ac:dyDescent="0.2">
      <c r="B17765" s="1168"/>
    </row>
    <row r="17766" spans="2:2" s="221" customFormat="1" ht="12.75" x14ac:dyDescent="0.2">
      <c r="B17766" s="1168"/>
    </row>
    <row r="17767" spans="2:2" s="221" customFormat="1" ht="12.75" x14ac:dyDescent="0.2">
      <c r="B17767" s="1168"/>
    </row>
    <row r="17768" spans="2:2" s="221" customFormat="1" ht="12.75" x14ac:dyDescent="0.2">
      <c r="B17768" s="1168"/>
    </row>
    <row r="17769" spans="2:2" s="221" customFormat="1" ht="12.75" x14ac:dyDescent="0.2">
      <c r="B17769" s="1168"/>
    </row>
    <row r="17770" spans="2:2" s="221" customFormat="1" ht="12.75" x14ac:dyDescent="0.2">
      <c r="B17770" s="1168"/>
    </row>
    <row r="17771" spans="2:2" s="221" customFormat="1" ht="12.75" x14ac:dyDescent="0.2">
      <c r="B17771" s="1168"/>
    </row>
    <row r="17772" spans="2:2" s="221" customFormat="1" ht="12.75" x14ac:dyDescent="0.2">
      <c r="B17772" s="1168"/>
    </row>
    <row r="17773" spans="2:2" s="221" customFormat="1" ht="12.75" x14ac:dyDescent="0.2">
      <c r="B17773" s="1168"/>
    </row>
    <row r="17774" spans="2:2" s="221" customFormat="1" ht="12.75" x14ac:dyDescent="0.2">
      <c r="B17774" s="1168"/>
    </row>
    <row r="17775" spans="2:2" s="221" customFormat="1" ht="12.75" x14ac:dyDescent="0.2">
      <c r="B17775" s="1168"/>
    </row>
    <row r="17776" spans="2:2" s="221" customFormat="1" ht="12.75" x14ac:dyDescent="0.2">
      <c r="B17776" s="1168"/>
    </row>
    <row r="17777" spans="2:2" s="221" customFormat="1" ht="12.75" x14ac:dyDescent="0.2">
      <c r="B17777" s="1168"/>
    </row>
    <row r="17778" spans="2:2" s="221" customFormat="1" ht="12.75" x14ac:dyDescent="0.2">
      <c r="B17778" s="1168"/>
    </row>
    <row r="17779" spans="2:2" s="221" customFormat="1" ht="12.75" x14ac:dyDescent="0.2">
      <c r="B17779" s="1168"/>
    </row>
    <row r="17780" spans="2:2" s="221" customFormat="1" ht="12.75" x14ac:dyDescent="0.2">
      <c r="B17780" s="1168"/>
    </row>
    <row r="17781" spans="2:2" s="221" customFormat="1" ht="12.75" x14ac:dyDescent="0.2">
      <c r="B17781" s="1168"/>
    </row>
    <row r="17782" spans="2:2" s="221" customFormat="1" ht="12.75" x14ac:dyDescent="0.2">
      <c r="B17782" s="1168"/>
    </row>
    <row r="17783" spans="2:2" s="221" customFormat="1" ht="12.75" x14ac:dyDescent="0.2">
      <c r="B17783" s="1168"/>
    </row>
    <row r="17784" spans="2:2" s="221" customFormat="1" ht="12.75" x14ac:dyDescent="0.2">
      <c r="B17784" s="1168"/>
    </row>
    <row r="17785" spans="2:2" s="221" customFormat="1" ht="12.75" x14ac:dyDescent="0.2">
      <c r="B17785" s="1168"/>
    </row>
    <row r="17786" spans="2:2" s="221" customFormat="1" ht="12.75" x14ac:dyDescent="0.2">
      <c r="B17786" s="1168"/>
    </row>
    <row r="17787" spans="2:2" s="221" customFormat="1" ht="12.75" x14ac:dyDescent="0.2">
      <c r="B17787" s="1168"/>
    </row>
    <row r="17788" spans="2:2" s="221" customFormat="1" ht="12.75" x14ac:dyDescent="0.2">
      <c r="B17788" s="1168"/>
    </row>
    <row r="17789" spans="2:2" s="221" customFormat="1" ht="12.75" x14ac:dyDescent="0.2">
      <c r="B17789" s="1168"/>
    </row>
    <row r="17790" spans="2:2" s="221" customFormat="1" ht="12.75" x14ac:dyDescent="0.2">
      <c r="B17790" s="1168"/>
    </row>
    <row r="17791" spans="2:2" s="221" customFormat="1" ht="12.75" x14ac:dyDescent="0.2">
      <c r="B17791" s="1168"/>
    </row>
    <row r="17792" spans="2:2" s="221" customFormat="1" ht="12.75" x14ac:dyDescent="0.2">
      <c r="B17792" s="1168"/>
    </row>
    <row r="17793" spans="2:2" s="221" customFormat="1" ht="12.75" x14ac:dyDescent="0.2">
      <c r="B17793" s="1168"/>
    </row>
    <row r="17794" spans="2:2" s="221" customFormat="1" ht="12.75" x14ac:dyDescent="0.2">
      <c r="B17794" s="1168"/>
    </row>
    <row r="17795" spans="2:2" s="221" customFormat="1" ht="12.75" x14ac:dyDescent="0.2">
      <c r="B17795" s="1168"/>
    </row>
    <row r="17796" spans="2:2" s="221" customFormat="1" ht="12.75" x14ac:dyDescent="0.2">
      <c r="B17796" s="1168"/>
    </row>
    <row r="17797" spans="2:2" s="221" customFormat="1" ht="12.75" x14ac:dyDescent="0.2">
      <c r="B17797" s="1168"/>
    </row>
    <row r="17798" spans="2:2" s="221" customFormat="1" ht="12.75" x14ac:dyDescent="0.2">
      <c r="B17798" s="1168"/>
    </row>
    <row r="17799" spans="2:2" s="221" customFormat="1" ht="12.75" x14ac:dyDescent="0.2">
      <c r="B17799" s="1168"/>
    </row>
    <row r="17800" spans="2:2" s="221" customFormat="1" ht="12.75" x14ac:dyDescent="0.2">
      <c r="B17800" s="1168"/>
    </row>
    <row r="17801" spans="2:2" s="221" customFormat="1" ht="12.75" x14ac:dyDescent="0.2">
      <c r="B17801" s="1168"/>
    </row>
    <row r="17802" spans="2:2" s="221" customFormat="1" ht="12.75" x14ac:dyDescent="0.2">
      <c r="B17802" s="1168"/>
    </row>
    <row r="17803" spans="2:2" s="221" customFormat="1" ht="12.75" x14ac:dyDescent="0.2">
      <c r="B17803" s="1168"/>
    </row>
    <row r="17804" spans="2:2" s="221" customFormat="1" ht="12.75" x14ac:dyDescent="0.2">
      <c r="B17804" s="1168"/>
    </row>
    <row r="17805" spans="2:2" s="221" customFormat="1" ht="12.75" x14ac:dyDescent="0.2">
      <c r="B17805" s="1168"/>
    </row>
    <row r="17806" spans="2:2" s="221" customFormat="1" ht="12.75" x14ac:dyDescent="0.2">
      <c r="B17806" s="1168"/>
    </row>
    <row r="17807" spans="2:2" s="221" customFormat="1" ht="12.75" x14ac:dyDescent="0.2">
      <c r="B17807" s="1168"/>
    </row>
    <row r="17808" spans="2:2" s="221" customFormat="1" ht="12.75" x14ac:dyDescent="0.2">
      <c r="B17808" s="1168"/>
    </row>
    <row r="17809" spans="2:2" s="221" customFormat="1" ht="12.75" x14ac:dyDescent="0.2">
      <c r="B17809" s="1168"/>
    </row>
    <row r="17810" spans="2:2" s="221" customFormat="1" ht="12.75" x14ac:dyDescent="0.2">
      <c r="B17810" s="1168"/>
    </row>
    <row r="17811" spans="2:2" s="221" customFormat="1" ht="12.75" x14ac:dyDescent="0.2">
      <c r="B17811" s="1168"/>
    </row>
    <row r="17812" spans="2:2" s="221" customFormat="1" ht="12.75" x14ac:dyDescent="0.2">
      <c r="B17812" s="1168"/>
    </row>
    <row r="17813" spans="2:2" s="221" customFormat="1" ht="12.75" x14ac:dyDescent="0.2">
      <c r="B17813" s="1168"/>
    </row>
    <row r="17814" spans="2:2" s="221" customFormat="1" ht="12.75" x14ac:dyDescent="0.2">
      <c r="B17814" s="1168"/>
    </row>
    <row r="17815" spans="2:2" s="221" customFormat="1" ht="12.75" x14ac:dyDescent="0.2">
      <c r="B17815" s="1168"/>
    </row>
    <row r="17816" spans="2:2" s="221" customFormat="1" ht="12.75" x14ac:dyDescent="0.2">
      <c r="B17816" s="1168"/>
    </row>
    <row r="17817" spans="2:2" s="221" customFormat="1" ht="12.75" x14ac:dyDescent="0.2">
      <c r="B17817" s="1168"/>
    </row>
    <row r="17818" spans="2:2" s="221" customFormat="1" ht="12.75" x14ac:dyDescent="0.2">
      <c r="B17818" s="1168"/>
    </row>
    <row r="17819" spans="2:2" s="221" customFormat="1" ht="12.75" x14ac:dyDescent="0.2">
      <c r="B17819" s="1168"/>
    </row>
    <row r="17820" spans="2:2" s="221" customFormat="1" ht="12.75" x14ac:dyDescent="0.2">
      <c r="B17820" s="1168"/>
    </row>
    <row r="17821" spans="2:2" s="221" customFormat="1" ht="12.75" x14ac:dyDescent="0.2">
      <c r="B17821" s="1168"/>
    </row>
    <row r="17822" spans="2:2" s="221" customFormat="1" ht="12.75" x14ac:dyDescent="0.2">
      <c r="B17822" s="1168"/>
    </row>
    <row r="17823" spans="2:2" s="221" customFormat="1" ht="12.75" x14ac:dyDescent="0.2">
      <c r="B17823" s="1168"/>
    </row>
    <row r="17824" spans="2:2" s="221" customFormat="1" ht="12.75" x14ac:dyDescent="0.2">
      <c r="B17824" s="1168"/>
    </row>
    <row r="17825" spans="2:2" s="221" customFormat="1" ht="12.75" x14ac:dyDescent="0.2">
      <c r="B17825" s="1168"/>
    </row>
    <row r="17826" spans="2:2" s="221" customFormat="1" ht="12.75" x14ac:dyDescent="0.2">
      <c r="B17826" s="1168"/>
    </row>
    <row r="17827" spans="2:2" s="221" customFormat="1" ht="12.75" x14ac:dyDescent="0.2">
      <c r="B17827" s="1168"/>
    </row>
    <row r="17828" spans="2:2" s="221" customFormat="1" ht="12.75" x14ac:dyDescent="0.2">
      <c r="B17828" s="1168"/>
    </row>
    <row r="17829" spans="2:2" s="221" customFormat="1" ht="12.75" x14ac:dyDescent="0.2">
      <c r="B17829" s="1168"/>
    </row>
    <row r="17830" spans="2:2" s="221" customFormat="1" ht="12.75" x14ac:dyDescent="0.2">
      <c r="B17830" s="1168"/>
    </row>
    <row r="17831" spans="2:2" s="221" customFormat="1" ht="12.75" x14ac:dyDescent="0.2">
      <c r="B17831" s="1168"/>
    </row>
    <row r="17832" spans="2:2" s="221" customFormat="1" ht="12.75" x14ac:dyDescent="0.2">
      <c r="B17832" s="1168"/>
    </row>
    <row r="17833" spans="2:2" s="221" customFormat="1" ht="12.75" x14ac:dyDescent="0.2">
      <c r="B17833" s="1168"/>
    </row>
    <row r="17834" spans="2:2" s="221" customFormat="1" ht="12.75" x14ac:dyDescent="0.2">
      <c r="B17834" s="1168"/>
    </row>
    <row r="17835" spans="2:2" s="221" customFormat="1" ht="12.75" x14ac:dyDescent="0.2">
      <c r="B17835" s="1168"/>
    </row>
    <row r="17836" spans="2:2" s="221" customFormat="1" ht="12.75" x14ac:dyDescent="0.2">
      <c r="B17836" s="1168"/>
    </row>
    <row r="17837" spans="2:2" s="221" customFormat="1" ht="12.75" x14ac:dyDescent="0.2">
      <c r="B17837" s="1168"/>
    </row>
    <row r="17838" spans="2:2" s="221" customFormat="1" ht="12.75" x14ac:dyDescent="0.2">
      <c r="B17838" s="1168"/>
    </row>
    <row r="17839" spans="2:2" s="221" customFormat="1" ht="12.75" x14ac:dyDescent="0.2">
      <c r="B17839" s="1168"/>
    </row>
    <row r="17840" spans="2:2" s="221" customFormat="1" ht="12.75" x14ac:dyDescent="0.2">
      <c r="B17840" s="1168"/>
    </row>
    <row r="17841" spans="2:2" s="221" customFormat="1" ht="12.75" x14ac:dyDescent="0.2">
      <c r="B17841" s="1168"/>
    </row>
    <row r="17842" spans="2:2" s="221" customFormat="1" ht="12.75" x14ac:dyDescent="0.2">
      <c r="B17842" s="1168"/>
    </row>
    <row r="17843" spans="2:2" s="221" customFormat="1" ht="12.75" x14ac:dyDescent="0.2">
      <c r="B17843" s="1168"/>
    </row>
    <row r="17844" spans="2:2" s="221" customFormat="1" ht="12.75" x14ac:dyDescent="0.2">
      <c r="B17844" s="1168"/>
    </row>
    <row r="17845" spans="2:2" s="221" customFormat="1" ht="12.75" x14ac:dyDescent="0.2">
      <c r="B17845" s="1168"/>
    </row>
    <row r="17846" spans="2:2" s="221" customFormat="1" ht="12.75" x14ac:dyDescent="0.2">
      <c r="B17846" s="1168"/>
    </row>
    <row r="17847" spans="2:2" s="221" customFormat="1" ht="12.75" x14ac:dyDescent="0.2">
      <c r="B17847" s="1168"/>
    </row>
    <row r="17848" spans="2:2" s="221" customFormat="1" ht="12.75" x14ac:dyDescent="0.2">
      <c r="B17848" s="1168"/>
    </row>
    <row r="17849" spans="2:2" s="221" customFormat="1" ht="12.75" x14ac:dyDescent="0.2">
      <c r="B17849" s="1168"/>
    </row>
    <row r="17850" spans="2:2" s="221" customFormat="1" ht="12.75" x14ac:dyDescent="0.2">
      <c r="B17850" s="1168"/>
    </row>
    <row r="17851" spans="2:2" s="221" customFormat="1" ht="12.75" x14ac:dyDescent="0.2">
      <c r="B17851" s="1168"/>
    </row>
    <row r="17852" spans="2:2" s="221" customFormat="1" ht="12.75" x14ac:dyDescent="0.2">
      <c r="B17852" s="1168"/>
    </row>
    <row r="17853" spans="2:2" s="221" customFormat="1" ht="12.75" x14ac:dyDescent="0.2">
      <c r="B17853" s="1168"/>
    </row>
    <row r="17854" spans="2:2" s="221" customFormat="1" ht="12.75" x14ac:dyDescent="0.2">
      <c r="B17854" s="1168"/>
    </row>
    <row r="17855" spans="2:2" s="221" customFormat="1" ht="12.75" x14ac:dyDescent="0.2">
      <c r="B17855" s="1168"/>
    </row>
    <row r="17856" spans="2:2" s="221" customFormat="1" ht="12.75" x14ac:dyDescent="0.2">
      <c r="B17856" s="1168"/>
    </row>
    <row r="17857" spans="2:2" s="221" customFormat="1" ht="12.75" x14ac:dyDescent="0.2">
      <c r="B17857" s="1168"/>
    </row>
    <row r="17858" spans="2:2" s="221" customFormat="1" ht="12.75" x14ac:dyDescent="0.2">
      <c r="B17858" s="1168"/>
    </row>
    <row r="17859" spans="2:2" s="221" customFormat="1" ht="12.75" x14ac:dyDescent="0.2">
      <c r="B17859" s="1168"/>
    </row>
    <row r="17860" spans="2:2" s="221" customFormat="1" ht="12.75" x14ac:dyDescent="0.2">
      <c r="B17860" s="1168"/>
    </row>
    <row r="17861" spans="2:2" s="221" customFormat="1" ht="12.75" x14ac:dyDescent="0.2">
      <c r="B17861" s="1168"/>
    </row>
    <row r="17862" spans="2:2" s="221" customFormat="1" ht="12.75" x14ac:dyDescent="0.2">
      <c r="B17862" s="1168"/>
    </row>
    <row r="17863" spans="2:2" s="221" customFormat="1" ht="12.75" x14ac:dyDescent="0.2">
      <c r="B17863" s="1168"/>
    </row>
    <row r="17864" spans="2:2" s="221" customFormat="1" ht="12.75" x14ac:dyDescent="0.2">
      <c r="B17864" s="1168"/>
    </row>
    <row r="17865" spans="2:2" s="221" customFormat="1" ht="12.75" x14ac:dyDescent="0.2">
      <c r="B17865" s="1168"/>
    </row>
    <row r="17866" spans="2:2" s="221" customFormat="1" ht="12.75" x14ac:dyDescent="0.2">
      <c r="B17866" s="1168"/>
    </row>
    <row r="17867" spans="2:2" s="221" customFormat="1" ht="12.75" x14ac:dyDescent="0.2">
      <c r="B17867" s="1168"/>
    </row>
    <row r="17868" spans="2:2" s="221" customFormat="1" ht="12.75" x14ac:dyDescent="0.2">
      <c r="B17868" s="1168"/>
    </row>
    <row r="17869" spans="2:2" s="221" customFormat="1" ht="12.75" x14ac:dyDescent="0.2">
      <c r="B17869" s="1168"/>
    </row>
    <row r="17870" spans="2:2" s="221" customFormat="1" ht="12.75" x14ac:dyDescent="0.2">
      <c r="B17870" s="1168"/>
    </row>
    <row r="17871" spans="2:2" s="221" customFormat="1" ht="12.75" x14ac:dyDescent="0.2">
      <c r="B17871" s="1168"/>
    </row>
    <row r="17872" spans="2:2" s="221" customFormat="1" ht="12.75" x14ac:dyDescent="0.2">
      <c r="B17872" s="1168"/>
    </row>
    <row r="17873" spans="2:2" s="221" customFormat="1" ht="12.75" x14ac:dyDescent="0.2">
      <c r="B17873" s="1168"/>
    </row>
    <row r="17874" spans="2:2" s="221" customFormat="1" ht="12.75" x14ac:dyDescent="0.2">
      <c r="B17874" s="1168"/>
    </row>
    <row r="17875" spans="2:2" s="221" customFormat="1" ht="12.75" x14ac:dyDescent="0.2">
      <c r="B17875" s="1168"/>
    </row>
    <row r="17876" spans="2:2" s="221" customFormat="1" ht="12.75" x14ac:dyDescent="0.2">
      <c r="B17876" s="1168"/>
    </row>
    <row r="17877" spans="2:2" s="221" customFormat="1" ht="12.75" x14ac:dyDescent="0.2">
      <c r="B17877" s="1168"/>
    </row>
    <row r="17878" spans="2:2" s="221" customFormat="1" ht="12.75" x14ac:dyDescent="0.2">
      <c r="B17878" s="1168"/>
    </row>
    <row r="17879" spans="2:2" s="221" customFormat="1" ht="12.75" x14ac:dyDescent="0.2">
      <c r="B17879" s="1168"/>
    </row>
    <row r="17880" spans="2:2" s="221" customFormat="1" ht="12.75" x14ac:dyDescent="0.2">
      <c r="B17880" s="1168"/>
    </row>
    <row r="17881" spans="2:2" s="221" customFormat="1" ht="12.75" x14ac:dyDescent="0.2">
      <c r="B17881" s="1168"/>
    </row>
    <row r="17882" spans="2:2" s="221" customFormat="1" ht="12.75" x14ac:dyDescent="0.2">
      <c r="B17882" s="1168"/>
    </row>
    <row r="17883" spans="2:2" s="221" customFormat="1" ht="12.75" x14ac:dyDescent="0.2">
      <c r="B17883" s="1168"/>
    </row>
    <row r="17884" spans="2:2" s="221" customFormat="1" ht="12.75" x14ac:dyDescent="0.2">
      <c r="B17884" s="1168"/>
    </row>
    <row r="17885" spans="2:2" s="221" customFormat="1" ht="12.75" x14ac:dyDescent="0.2">
      <c r="B17885" s="1168"/>
    </row>
    <row r="17886" spans="2:2" s="221" customFormat="1" ht="12.75" x14ac:dyDescent="0.2">
      <c r="B17886" s="1168"/>
    </row>
    <row r="17887" spans="2:2" s="221" customFormat="1" ht="12.75" x14ac:dyDescent="0.2">
      <c r="B17887" s="1168"/>
    </row>
    <row r="17888" spans="2:2" s="221" customFormat="1" ht="12.75" x14ac:dyDescent="0.2">
      <c r="B17888" s="1168"/>
    </row>
    <row r="17889" spans="2:2" s="221" customFormat="1" ht="12.75" x14ac:dyDescent="0.2">
      <c r="B17889" s="1168"/>
    </row>
    <row r="17890" spans="2:2" s="221" customFormat="1" ht="12.75" x14ac:dyDescent="0.2">
      <c r="B17890" s="1168"/>
    </row>
    <row r="17891" spans="2:2" s="221" customFormat="1" ht="12.75" x14ac:dyDescent="0.2">
      <c r="B17891" s="1168"/>
    </row>
    <row r="17892" spans="2:2" s="221" customFormat="1" ht="12.75" x14ac:dyDescent="0.2">
      <c r="B17892" s="1168"/>
    </row>
    <row r="17893" spans="2:2" s="221" customFormat="1" ht="12.75" x14ac:dyDescent="0.2">
      <c r="B17893" s="1168"/>
    </row>
    <row r="17894" spans="2:2" s="221" customFormat="1" ht="12.75" x14ac:dyDescent="0.2">
      <c r="B17894" s="1168"/>
    </row>
    <row r="17895" spans="2:2" s="221" customFormat="1" ht="12.75" x14ac:dyDescent="0.2">
      <c r="B17895" s="1168"/>
    </row>
    <row r="17896" spans="2:2" s="221" customFormat="1" ht="12.75" x14ac:dyDescent="0.2">
      <c r="B17896" s="1168"/>
    </row>
    <row r="17897" spans="2:2" s="221" customFormat="1" ht="12.75" x14ac:dyDescent="0.2">
      <c r="B17897" s="1168"/>
    </row>
    <row r="17898" spans="2:2" s="221" customFormat="1" ht="12.75" x14ac:dyDescent="0.2">
      <c r="B17898" s="1168"/>
    </row>
    <row r="17899" spans="2:2" s="221" customFormat="1" ht="12.75" x14ac:dyDescent="0.2">
      <c r="B17899" s="1168"/>
    </row>
    <row r="17900" spans="2:2" s="221" customFormat="1" ht="12.75" x14ac:dyDescent="0.2">
      <c r="B17900" s="1168"/>
    </row>
    <row r="17901" spans="2:2" s="221" customFormat="1" ht="12.75" x14ac:dyDescent="0.2">
      <c r="B17901" s="1168"/>
    </row>
    <row r="17902" spans="2:2" s="221" customFormat="1" ht="12.75" x14ac:dyDescent="0.2">
      <c r="B17902" s="1168"/>
    </row>
    <row r="17903" spans="2:2" s="221" customFormat="1" ht="12.75" x14ac:dyDescent="0.2">
      <c r="B17903" s="1168"/>
    </row>
    <row r="17904" spans="2:2" s="221" customFormat="1" ht="12.75" x14ac:dyDescent="0.2">
      <c r="B17904" s="1168"/>
    </row>
    <row r="17905" spans="2:2" s="221" customFormat="1" ht="12.75" x14ac:dyDescent="0.2">
      <c r="B17905" s="1168"/>
    </row>
    <row r="17906" spans="2:2" s="221" customFormat="1" ht="12.75" x14ac:dyDescent="0.2">
      <c r="B17906" s="1168"/>
    </row>
    <row r="17907" spans="2:2" s="221" customFormat="1" ht="12.75" x14ac:dyDescent="0.2">
      <c r="B17907" s="1168"/>
    </row>
    <row r="17908" spans="2:2" s="221" customFormat="1" ht="12.75" x14ac:dyDescent="0.2">
      <c r="B17908" s="1168"/>
    </row>
    <row r="17909" spans="2:2" s="221" customFormat="1" ht="12.75" x14ac:dyDescent="0.2">
      <c r="B17909" s="1168"/>
    </row>
    <row r="17910" spans="2:2" s="221" customFormat="1" ht="12.75" x14ac:dyDescent="0.2">
      <c r="B17910" s="1168"/>
    </row>
    <row r="17911" spans="2:2" s="221" customFormat="1" ht="12.75" x14ac:dyDescent="0.2">
      <c r="B17911" s="1168"/>
    </row>
    <row r="17912" spans="2:2" s="221" customFormat="1" ht="12.75" x14ac:dyDescent="0.2">
      <c r="B17912" s="1168"/>
    </row>
    <row r="17913" spans="2:2" s="221" customFormat="1" ht="12.75" x14ac:dyDescent="0.2">
      <c r="B17913" s="1168"/>
    </row>
    <row r="17914" spans="2:2" s="221" customFormat="1" ht="12.75" x14ac:dyDescent="0.2">
      <c r="B17914" s="1168"/>
    </row>
    <row r="17915" spans="2:2" s="221" customFormat="1" ht="12.75" x14ac:dyDescent="0.2">
      <c r="B17915" s="1168"/>
    </row>
    <row r="17916" spans="2:2" s="221" customFormat="1" ht="12.75" x14ac:dyDescent="0.2">
      <c r="B17916" s="1168"/>
    </row>
    <row r="17917" spans="2:2" s="221" customFormat="1" ht="12.75" x14ac:dyDescent="0.2">
      <c r="B17917" s="1168"/>
    </row>
    <row r="17918" spans="2:2" s="221" customFormat="1" ht="12.75" x14ac:dyDescent="0.2">
      <c r="B17918" s="1168"/>
    </row>
    <row r="17919" spans="2:2" s="221" customFormat="1" ht="12.75" x14ac:dyDescent="0.2">
      <c r="B17919" s="1168"/>
    </row>
    <row r="17920" spans="2:2" s="221" customFormat="1" ht="12.75" x14ac:dyDescent="0.2">
      <c r="B17920" s="1168"/>
    </row>
    <row r="17921" spans="2:2" s="221" customFormat="1" ht="12.75" x14ac:dyDescent="0.2">
      <c r="B17921" s="1168"/>
    </row>
    <row r="17922" spans="2:2" s="221" customFormat="1" ht="12.75" x14ac:dyDescent="0.2">
      <c r="B17922" s="1168"/>
    </row>
    <row r="17923" spans="2:2" s="221" customFormat="1" ht="12.75" x14ac:dyDescent="0.2">
      <c r="B17923" s="1168"/>
    </row>
    <row r="17924" spans="2:2" s="221" customFormat="1" ht="12.75" x14ac:dyDescent="0.2">
      <c r="B17924" s="1168"/>
    </row>
    <row r="17925" spans="2:2" s="221" customFormat="1" ht="12.75" x14ac:dyDescent="0.2">
      <c r="B17925" s="1168"/>
    </row>
    <row r="17926" spans="2:2" s="221" customFormat="1" ht="12.75" x14ac:dyDescent="0.2">
      <c r="B17926" s="1168"/>
    </row>
    <row r="17927" spans="2:2" s="221" customFormat="1" ht="12.75" x14ac:dyDescent="0.2">
      <c r="B17927" s="1168"/>
    </row>
    <row r="17928" spans="2:2" s="221" customFormat="1" ht="12.75" x14ac:dyDescent="0.2">
      <c r="B17928" s="1168"/>
    </row>
    <row r="17929" spans="2:2" s="221" customFormat="1" ht="12.75" x14ac:dyDescent="0.2">
      <c r="B17929" s="1168"/>
    </row>
    <row r="17930" spans="2:2" s="221" customFormat="1" ht="12.75" x14ac:dyDescent="0.2">
      <c r="B17930" s="1168"/>
    </row>
    <row r="17931" spans="2:2" s="221" customFormat="1" ht="12.75" x14ac:dyDescent="0.2">
      <c r="B17931" s="1168"/>
    </row>
    <row r="17932" spans="2:2" s="221" customFormat="1" ht="12.75" x14ac:dyDescent="0.2">
      <c r="B17932" s="1168"/>
    </row>
    <row r="17933" spans="2:2" s="221" customFormat="1" ht="12.75" x14ac:dyDescent="0.2">
      <c r="B17933" s="1168"/>
    </row>
    <row r="17934" spans="2:2" s="221" customFormat="1" ht="12.75" x14ac:dyDescent="0.2">
      <c r="B17934" s="1168"/>
    </row>
    <row r="17935" spans="2:2" s="221" customFormat="1" ht="12.75" x14ac:dyDescent="0.2">
      <c r="B17935" s="1168"/>
    </row>
    <row r="17936" spans="2:2" s="221" customFormat="1" ht="12.75" x14ac:dyDescent="0.2">
      <c r="B17936" s="1168"/>
    </row>
    <row r="17937" spans="2:2" s="221" customFormat="1" ht="12.75" x14ac:dyDescent="0.2">
      <c r="B17937" s="1168"/>
    </row>
    <row r="17938" spans="2:2" s="221" customFormat="1" ht="12.75" x14ac:dyDescent="0.2">
      <c r="B17938" s="1168"/>
    </row>
    <row r="17939" spans="2:2" s="221" customFormat="1" ht="12.75" x14ac:dyDescent="0.2">
      <c r="B17939" s="1168"/>
    </row>
    <row r="17940" spans="2:2" s="221" customFormat="1" ht="12.75" x14ac:dyDescent="0.2">
      <c r="B17940" s="1168"/>
    </row>
    <row r="17941" spans="2:2" s="221" customFormat="1" ht="12.75" x14ac:dyDescent="0.2">
      <c r="B17941" s="1168"/>
    </row>
    <row r="17942" spans="2:2" s="221" customFormat="1" ht="12.75" x14ac:dyDescent="0.2">
      <c r="B17942" s="1168"/>
    </row>
    <row r="17943" spans="2:2" s="221" customFormat="1" ht="12.75" x14ac:dyDescent="0.2">
      <c r="B17943" s="1168"/>
    </row>
    <row r="17944" spans="2:2" s="221" customFormat="1" ht="12.75" x14ac:dyDescent="0.2">
      <c r="B17944" s="1168"/>
    </row>
    <row r="17945" spans="2:2" s="221" customFormat="1" ht="12.75" x14ac:dyDescent="0.2">
      <c r="B17945" s="1168"/>
    </row>
    <row r="17946" spans="2:2" s="221" customFormat="1" ht="12.75" x14ac:dyDescent="0.2">
      <c r="B17946" s="1168"/>
    </row>
    <row r="17947" spans="2:2" s="221" customFormat="1" ht="12.75" x14ac:dyDescent="0.2">
      <c r="B17947" s="1168"/>
    </row>
    <row r="17948" spans="2:2" s="221" customFormat="1" ht="12.75" x14ac:dyDescent="0.2">
      <c r="B17948" s="1168"/>
    </row>
    <row r="17949" spans="2:2" s="221" customFormat="1" ht="12.75" x14ac:dyDescent="0.2">
      <c r="B17949" s="1168"/>
    </row>
    <row r="17950" spans="2:2" s="221" customFormat="1" ht="12.75" x14ac:dyDescent="0.2">
      <c r="B17950" s="1168"/>
    </row>
    <row r="17951" spans="2:2" s="221" customFormat="1" ht="12.75" x14ac:dyDescent="0.2">
      <c r="B17951" s="1168"/>
    </row>
    <row r="17952" spans="2:2" s="221" customFormat="1" ht="12.75" x14ac:dyDescent="0.2">
      <c r="B17952" s="1168"/>
    </row>
    <row r="17953" spans="2:2" s="221" customFormat="1" ht="12.75" x14ac:dyDescent="0.2">
      <c r="B17953" s="1168"/>
    </row>
    <row r="17954" spans="2:2" s="221" customFormat="1" ht="12.75" x14ac:dyDescent="0.2">
      <c r="B17954" s="1168"/>
    </row>
    <row r="17955" spans="2:2" s="221" customFormat="1" ht="12.75" x14ac:dyDescent="0.2">
      <c r="B17955" s="1168"/>
    </row>
    <row r="17956" spans="2:2" s="221" customFormat="1" ht="12.75" x14ac:dyDescent="0.2">
      <c r="B17956" s="1168"/>
    </row>
    <row r="17957" spans="2:2" s="221" customFormat="1" ht="12.75" x14ac:dyDescent="0.2">
      <c r="B17957" s="1168"/>
    </row>
    <row r="17958" spans="2:2" s="221" customFormat="1" ht="12.75" x14ac:dyDescent="0.2">
      <c r="B17958" s="1168"/>
    </row>
    <row r="17959" spans="2:2" s="221" customFormat="1" ht="12.75" x14ac:dyDescent="0.2">
      <c r="B17959" s="1168"/>
    </row>
    <row r="17960" spans="2:2" s="221" customFormat="1" ht="12.75" x14ac:dyDescent="0.2">
      <c r="B17960" s="1168"/>
    </row>
    <row r="17961" spans="2:2" s="221" customFormat="1" ht="12.75" x14ac:dyDescent="0.2">
      <c r="B17961" s="1168"/>
    </row>
    <row r="17962" spans="2:2" s="221" customFormat="1" ht="12.75" x14ac:dyDescent="0.2">
      <c r="B17962" s="1168"/>
    </row>
    <row r="17963" spans="2:2" s="221" customFormat="1" ht="12.75" x14ac:dyDescent="0.2">
      <c r="B17963" s="1168"/>
    </row>
    <row r="17964" spans="2:2" s="221" customFormat="1" ht="12.75" x14ac:dyDescent="0.2">
      <c r="B17964" s="1168"/>
    </row>
    <row r="17965" spans="2:2" s="221" customFormat="1" ht="12.75" x14ac:dyDescent="0.2">
      <c r="B17965" s="1168"/>
    </row>
    <row r="17966" spans="2:2" s="221" customFormat="1" ht="12.75" x14ac:dyDescent="0.2">
      <c r="B17966" s="1168"/>
    </row>
    <row r="17967" spans="2:2" s="221" customFormat="1" ht="12.75" x14ac:dyDescent="0.2">
      <c r="B17967" s="1168"/>
    </row>
    <row r="17968" spans="2:2" s="221" customFormat="1" ht="12.75" x14ac:dyDescent="0.2">
      <c r="B17968" s="1168"/>
    </row>
    <row r="17969" spans="2:2" s="221" customFormat="1" ht="12.75" x14ac:dyDescent="0.2">
      <c r="B17969" s="1168"/>
    </row>
    <row r="17970" spans="2:2" s="221" customFormat="1" ht="12.75" x14ac:dyDescent="0.2">
      <c r="B17970" s="1168"/>
    </row>
    <row r="17971" spans="2:2" s="221" customFormat="1" ht="12.75" x14ac:dyDescent="0.2">
      <c r="B17971" s="1168"/>
    </row>
    <row r="17972" spans="2:2" s="221" customFormat="1" ht="12.75" x14ac:dyDescent="0.2">
      <c r="B17972" s="1168"/>
    </row>
    <row r="17973" spans="2:2" s="221" customFormat="1" ht="12.75" x14ac:dyDescent="0.2">
      <c r="B17973" s="1168"/>
    </row>
    <row r="17974" spans="2:2" s="221" customFormat="1" ht="12.75" x14ac:dyDescent="0.2">
      <c r="B17974" s="1168"/>
    </row>
    <row r="17975" spans="2:2" s="221" customFormat="1" ht="12.75" x14ac:dyDescent="0.2">
      <c r="B17975" s="1168"/>
    </row>
    <row r="17976" spans="2:2" s="221" customFormat="1" ht="12.75" x14ac:dyDescent="0.2">
      <c r="B17976" s="1168"/>
    </row>
    <row r="17977" spans="2:2" s="221" customFormat="1" ht="12.75" x14ac:dyDescent="0.2">
      <c r="B17977" s="1168"/>
    </row>
    <row r="17978" spans="2:2" s="221" customFormat="1" ht="12.75" x14ac:dyDescent="0.2">
      <c r="B17978" s="1168"/>
    </row>
    <row r="17979" spans="2:2" s="221" customFormat="1" ht="12.75" x14ac:dyDescent="0.2">
      <c r="B17979" s="1168"/>
    </row>
    <row r="17980" spans="2:2" s="221" customFormat="1" ht="12.75" x14ac:dyDescent="0.2">
      <c r="B17980" s="1168"/>
    </row>
    <row r="17981" spans="2:2" s="221" customFormat="1" ht="12.75" x14ac:dyDescent="0.2">
      <c r="B17981" s="1168"/>
    </row>
    <row r="17982" spans="2:2" s="221" customFormat="1" ht="12.75" x14ac:dyDescent="0.2">
      <c r="B17982" s="1168"/>
    </row>
    <row r="17983" spans="2:2" s="221" customFormat="1" ht="12.75" x14ac:dyDescent="0.2">
      <c r="B17983" s="1168"/>
    </row>
    <row r="17984" spans="2:2" s="221" customFormat="1" ht="12.75" x14ac:dyDescent="0.2">
      <c r="B17984" s="1168"/>
    </row>
    <row r="17985" spans="2:2" s="221" customFormat="1" ht="12.75" x14ac:dyDescent="0.2">
      <c r="B17985" s="1168"/>
    </row>
    <row r="17986" spans="2:2" s="221" customFormat="1" ht="12.75" x14ac:dyDescent="0.2">
      <c r="B17986" s="1168"/>
    </row>
    <row r="17987" spans="2:2" s="221" customFormat="1" ht="12.75" x14ac:dyDescent="0.2">
      <c r="B17987" s="1168"/>
    </row>
    <row r="17988" spans="2:2" s="221" customFormat="1" ht="12.75" x14ac:dyDescent="0.2">
      <c r="B17988" s="1168"/>
    </row>
    <row r="17989" spans="2:2" s="221" customFormat="1" ht="12.75" x14ac:dyDescent="0.2">
      <c r="B17989" s="1168"/>
    </row>
    <row r="17990" spans="2:2" s="221" customFormat="1" ht="12.75" x14ac:dyDescent="0.2">
      <c r="B17990" s="1168"/>
    </row>
    <row r="17991" spans="2:2" s="221" customFormat="1" ht="12.75" x14ac:dyDescent="0.2">
      <c r="B17991" s="1168"/>
    </row>
    <row r="17992" spans="2:2" s="221" customFormat="1" ht="12.75" x14ac:dyDescent="0.2">
      <c r="B17992" s="1168"/>
    </row>
    <row r="17993" spans="2:2" s="221" customFormat="1" ht="12.75" x14ac:dyDescent="0.2">
      <c r="B17993" s="1168"/>
    </row>
    <row r="17994" spans="2:2" s="221" customFormat="1" ht="12.75" x14ac:dyDescent="0.2">
      <c r="B17994" s="1168"/>
    </row>
    <row r="17995" spans="2:2" s="221" customFormat="1" ht="12.75" x14ac:dyDescent="0.2">
      <c r="B17995" s="1168"/>
    </row>
    <row r="17996" spans="2:2" s="221" customFormat="1" ht="12.75" x14ac:dyDescent="0.2">
      <c r="B17996" s="1168"/>
    </row>
    <row r="17997" spans="2:2" s="221" customFormat="1" ht="12.75" x14ac:dyDescent="0.2">
      <c r="B17997" s="1168"/>
    </row>
    <row r="17998" spans="2:2" s="221" customFormat="1" ht="12.75" x14ac:dyDescent="0.2">
      <c r="B17998" s="1168"/>
    </row>
    <row r="17999" spans="2:2" s="221" customFormat="1" ht="12.75" x14ac:dyDescent="0.2">
      <c r="B17999" s="1168"/>
    </row>
    <row r="18000" spans="2:2" s="221" customFormat="1" ht="12.75" x14ac:dyDescent="0.2">
      <c r="B18000" s="1168"/>
    </row>
    <row r="18001" spans="2:2" s="221" customFormat="1" ht="12.75" x14ac:dyDescent="0.2">
      <c r="B18001" s="1168"/>
    </row>
    <row r="18002" spans="2:2" s="221" customFormat="1" ht="12.75" x14ac:dyDescent="0.2">
      <c r="B18002" s="1168"/>
    </row>
    <row r="18003" spans="2:2" s="221" customFormat="1" ht="12.75" x14ac:dyDescent="0.2">
      <c r="B18003" s="1168"/>
    </row>
    <row r="18004" spans="2:2" s="221" customFormat="1" ht="12.75" x14ac:dyDescent="0.2">
      <c r="B18004" s="1168"/>
    </row>
    <row r="18005" spans="2:2" s="221" customFormat="1" ht="12.75" x14ac:dyDescent="0.2">
      <c r="B18005" s="1168"/>
    </row>
    <row r="18006" spans="2:2" s="221" customFormat="1" ht="12.75" x14ac:dyDescent="0.2">
      <c r="B18006" s="1168"/>
    </row>
    <row r="18007" spans="2:2" s="221" customFormat="1" ht="12.75" x14ac:dyDescent="0.2">
      <c r="B18007" s="1168"/>
    </row>
    <row r="18008" spans="2:2" s="221" customFormat="1" ht="12.75" x14ac:dyDescent="0.2">
      <c r="B18008" s="1168"/>
    </row>
    <row r="18009" spans="2:2" s="221" customFormat="1" ht="12.75" x14ac:dyDescent="0.2">
      <c r="B18009" s="1168"/>
    </row>
    <row r="18010" spans="2:2" s="221" customFormat="1" ht="12.75" x14ac:dyDescent="0.2">
      <c r="B18010" s="1168"/>
    </row>
    <row r="18011" spans="2:2" s="221" customFormat="1" ht="12.75" x14ac:dyDescent="0.2">
      <c r="B18011" s="1168"/>
    </row>
    <row r="18012" spans="2:2" s="221" customFormat="1" ht="12.75" x14ac:dyDescent="0.2">
      <c r="B18012" s="1168"/>
    </row>
    <row r="18013" spans="2:2" s="221" customFormat="1" ht="12.75" x14ac:dyDescent="0.2">
      <c r="B18013" s="1168"/>
    </row>
    <row r="18014" spans="2:2" s="221" customFormat="1" ht="12.75" x14ac:dyDescent="0.2">
      <c r="B18014" s="1168"/>
    </row>
    <row r="18015" spans="2:2" s="221" customFormat="1" ht="12.75" x14ac:dyDescent="0.2">
      <c r="B18015" s="1168"/>
    </row>
    <row r="18016" spans="2:2" s="221" customFormat="1" ht="12.75" x14ac:dyDescent="0.2">
      <c r="B18016" s="1168"/>
    </row>
    <row r="18017" spans="2:2" s="221" customFormat="1" ht="12.75" x14ac:dyDescent="0.2">
      <c r="B18017" s="1168"/>
    </row>
    <row r="18018" spans="2:2" s="221" customFormat="1" ht="12.75" x14ac:dyDescent="0.2">
      <c r="B18018" s="1168"/>
    </row>
    <row r="18019" spans="2:2" s="221" customFormat="1" ht="12.75" x14ac:dyDescent="0.2">
      <c r="B18019" s="1168"/>
    </row>
    <row r="18020" spans="2:2" s="221" customFormat="1" ht="12.75" x14ac:dyDescent="0.2">
      <c r="B18020" s="1168"/>
    </row>
    <row r="18021" spans="2:2" s="221" customFormat="1" ht="12.75" x14ac:dyDescent="0.2">
      <c r="B18021" s="1168"/>
    </row>
    <row r="18022" spans="2:2" s="221" customFormat="1" ht="12.75" x14ac:dyDescent="0.2">
      <c r="B18022" s="1168"/>
    </row>
    <row r="18023" spans="2:2" s="221" customFormat="1" ht="12.75" x14ac:dyDescent="0.2">
      <c r="B18023" s="1168"/>
    </row>
    <row r="18024" spans="2:2" s="221" customFormat="1" ht="12.75" x14ac:dyDescent="0.2">
      <c r="B18024" s="1168"/>
    </row>
    <row r="18025" spans="2:2" s="221" customFormat="1" ht="12.75" x14ac:dyDescent="0.2">
      <c r="B18025" s="1168"/>
    </row>
    <row r="18026" spans="2:2" s="221" customFormat="1" ht="12.75" x14ac:dyDescent="0.2">
      <c r="B18026" s="1168"/>
    </row>
    <row r="18027" spans="2:2" s="221" customFormat="1" ht="12.75" x14ac:dyDescent="0.2">
      <c r="B18027" s="1168"/>
    </row>
    <row r="18028" spans="2:2" s="221" customFormat="1" ht="12.75" x14ac:dyDescent="0.2">
      <c r="B18028" s="1168"/>
    </row>
    <row r="18029" spans="2:2" s="221" customFormat="1" ht="12.75" x14ac:dyDescent="0.2">
      <c r="B18029" s="1168"/>
    </row>
    <row r="18030" spans="2:2" s="221" customFormat="1" ht="12.75" x14ac:dyDescent="0.2">
      <c r="B18030" s="1168"/>
    </row>
    <row r="18031" spans="2:2" s="221" customFormat="1" ht="12.75" x14ac:dyDescent="0.2">
      <c r="B18031" s="1168"/>
    </row>
    <row r="18032" spans="2:2" s="221" customFormat="1" ht="12.75" x14ac:dyDescent="0.2">
      <c r="B18032" s="1168"/>
    </row>
    <row r="18033" spans="2:2" s="221" customFormat="1" ht="12.75" x14ac:dyDescent="0.2">
      <c r="B18033" s="1168"/>
    </row>
    <row r="18034" spans="2:2" s="221" customFormat="1" ht="12.75" x14ac:dyDescent="0.2">
      <c r="B18034" s="1168"/>
    </row>
    <row r="18035" spans="2:2" s="221" customFormat="1" ht="12.75" x14ac:dyDescent="0.2">
      <c r="B18035" s="1168"/>
    </row>
    <row r="18036" spans="2:2" s="221" customFormat="1" ht="12.75" x14ac:dyDescent="0.2">
      <c r="B18036" s="1168"/>
    </row>
    <row r="18037" spans="2:2" s="221" customFormat="1" ht="12.75" x14ac:dyDescent="0.2">
      <c r="B18037" s="1168"/>
    </row>
    <row r="18038" spans="2:2" s="221" customFormat="1" ht="12.75" x14ac:dyDescent="0.2">
      <c r="B18038" s="1168"/>
    </row>
    <row r="18039" spans="2:2" s="221" customFormat="1" ht="12.75" x14ac:dyDescent="0.2">
      <c r="B18039" s="1168"/>
    </row>
    <row r="18040" spans="2:2" s="221" customFormat="1" ht="12.75" x14ac:dyDescent="0.2">
      <c r="B18040" s="1168"/>
    </row>
    <row r="18041" spans="2:2" s="221" customFormat="1" ht="12.75" x14ac:dyDescent="0.2">
      <c r="B18041" s="1168"/>
    </row>
    <row r="18042" spans="2:2" s="221" customFormat="1" ht="12.75" x14ac:dyDescent="0.2">
      <c r="B18042" s="1168"/>
    </row>
    <row r="18043" spans="2:2" s="221" customFormat="1" ht="12.75" x14ac:dyDescent="0.2">
      <c r="B18043" s="1168"/>
    </row>
    <row r="18044" spans="2:2" s="221" customFormat="1" ht="12.75" x14ac:dyDescent="0.2">
      <c r="B18044" s="1168"/>
    </row>
    <row r="18045" spans="2:2" s="221" customFormat="1" ht="12.75" x14ac:dyDescent="0.2">
      <c r="B18045" s="1168"/>
    </row>
    <row r="18046" spans="2:2" s="221" customFormat="1" ht="12.75" x14ac:dyDescent="0.2">
      <c r="B18046" s="1168"/>
    </row>
    <row r="18047" spans="2:2" s="221" customFormat="1" ht="12.75" x14ac:dyDescent="0.2">
      <c r="B18047" s="1168"/>
    </row>
    <row r="18048" spans="2:2" s="221" customFormat="1" ht="12.75" x14ac:dyDescent="0.2">
      <c r="B18048" s="1168"/>
    </row>
    <row r="18049" spans="2:2" s="221" customFormat="1" ht="12.75" x14ac:dyDescent="0.2">
      <c r="B18049" s="1168"/>
    </row>
    <row r="18050" spans="2:2" s="221" customFormat="1" ht="12.75" x14ac:dyDescent="0.2">
      <c r="B18050" s="1168"/>
    </row>
    <row r="18051" spans="2:2" s="221" customFormat="1" ht="12.75" x14ac:dyDescent="0.2">
      <c r="B18051" s="1168"/>
    </row>
    <row r="18052" spans="2:2" s="221" customFormat="1" ht="12.75" x14ac:dyDescent="0.2">
      <c r="B18052" s="1168"/>
    </row>
    <row r="18053" spans="2:2" s="221" customFormat="1" ht="12.75" x14ac:dyDescent="0.2">
      <c r="B18053" s="1168"/>
    </row>
    <row r="18054" spans="2:2" s="221" customFormat="1" ht="12.75" x14ac:dyDescent="0.2">
      <c r="B18054" s="1168"/>
    </row>
    <row r="18055" spans="2:2" s="221" customFormat="1" ht="12.75" x14ac:dyDescent="0.2">
      <c r="B18055" s="1168"/>
    </row>
    <row r="18056" spans="2:2" s="221" customFormat="1" ht="12.75" x14ac:dyDescent="0.2">
      <c r="B18056" s="1168"/>
    </row>
    <row r="18057" spans="2:2" s="221" customFormat="1" ht="12.75" x14ac:dyDescent="0.2">
      <c r="B18057" s="1168"/>
    </row>
    <row r="18058" spans="2:2" s="221" customFormat="1" ht="12.75" x14ac:dyDescent="0.2">
      <c r="B18058" s="1168"/>
    </row>
    <row r="18059" spans="2:2" s="221" customFormat="1" ht="12.75" x14ac:dyDescent="0.2">
      <c r="B18059" s="1168"/>
    </row>
    <row r="18060" spans="2:2" s="221" customFormat="1" ht="12.75" x14ac:dyDescent="0.2">
      <c r="B18060" s="1168"/>
    </row>
    <row r="18061" spans="2:2" s="221" customFormat="1" ht="12.75" x14ac:dyDescent="0.2">
      <c r="B18061" s="1168"/>
    </row>
    <row r="18062" spans="2:2" s="221" customFormat="1" ht="12.75" x14ac:dyDescent="0.2">
      <c r="B18062" s="1168"/>
    </row>
    <row r="18063" spans="2:2" s="221" customFormat="1" ht="12.75" x14ac:dyDescent="0.2">
      <c r="B18063" s="1168"/>
    </row>
    <row r="18064" spans="2:2" s="221" customFormat="1" ht="12.75" x14ac:dyDescent="0.2">
      <c r="B18064" s="1168"/>
    </row>
    <row r="18065" spans="2:2" s="221" customFormat="1" ht="12.75" x14ac:dyDescent="0.2">
      <c r="B18065" s="1168"/>
    </row>
    <row r="18066" spans="2:2" s="221" customFormat="1" ht="12.75" x14ac:dyDescent="0.2">
      <c r="B18066" s="1168"/>
    </row>
    <row r="18067" spans="2:2" s="221" customFormat="1" ht="12.75" x14ac:dyDescent="0.2">
      <c r="B18067" s="1168"/>
    </row>
    <row r="18068" spans="2:2" s="221" customFormat="1" ht="12.75" x14ac:dyDescent="0.2">
      <c r="B18068" s="1168"/>
    </row>
    <row r="18069" spans="2:2" s="221" customFormat="1" ht="12.75" x14ac:dyDescent="0.2">
      <c r="B18069" s="1168"/>
    </row>
    <row r="18070" spans="2:2" s="221" customFormat="1" ht="12.75" x14ac:dyDescent="0.2">
      <c r="B18070" s="1168"/>
    </row>
    <row r="18071" spans="2:2" s="221" customFormat="1" ht="12.75" x14ac:dyDescent="0.2">
      <c r="B18071" s="1168"/>
    </row>
    <row r="18072" spans="2:2" s="221" customFormat="1" ht="12.75" x14ac:dyDescent="0.2">
      <c r="B18072" s="1168"/>
    </row>
    <row r="18073" spans="2:2" s="221" customFormat="1" ht="12.75" x14ac:dyDescent="0.2">
      <c r="B18073" s="1168"/>
    </row>
    <row r="18074" spans="2:2" s="221" customFormat="1" ht="12.75" x14ac:dyDescent="0.2">
      <c r="B18074" s="1168"/>
    </row>
    <row r="18075" spans="2:2" s="221" customFormat="1" ht="12.75" x14ac:dyDescent="0.2">
      <c r="B18075" s="1168"/>
    </row>
    <row r="18076" spans="2:2" s="221" customFormat="1" ht="12.75" x14ac:dyDescent="0.2">
      <c r="B18076" s="1168"/>
    </row>
    <row r="18077" spans="2:2" s="221" customFormat="1" ht="12.75" x14ac:dyDescent="0.2">
      <c r="B18077" s="1168"/>
    </row>
    <row r="18078" spans="2:2" s="221" customFormat="1" ht="12.75" x14ac:dyDescent="0.2">
      <c r="B18078" s="1168"/>
    </row>
    <row r="18079" spans="2:2" s="221" customFormat="1" ht="12.75" x14ac:dyDescent="0.2">
      <c r="B18079" s="1168"/>
    </row>
    <row r="18080" spans="2:2" s="221" customFormat="1" ht="12.75" x14ac:dyDescent="0.2">
      <c r="B18080" s="1168"/>
    </row>
    <row r="18081" spans="2:2" s="221" customFormat="1" ht="12.75" x14ac:dyDescent="0.2">
      <c r="B18081" s="1168"/>
    </row>
    <row r="18082" spans="2:2" s="221" customFormat="1" ht="12.75" x14ac:dyDescent="0.2">
      <c r="B18082" s="1168"/>
    </row>
    <row r="18083" spans="2:2" s="221" customFormat="1" ht="12.75" x14ac:dyDescent="0.2">
      <c r="B18083" s="1168"/>
    </row>
    <row r="18084" spans="2:2" s="221" customFormat="1" ht="12.75" x14ac:dyDescent="0.2">
      <c r="B18084" s="1168"/>
    </row>
    <row r="18085" spans="2:2" s="221" customFormat="1" ht="12.75" x14ac:dyDescent="0.2">
      <c r="B18085" s="1168"/>
    </row>
    <row r="18086" spans="2:2" s="221" customFormat="1" ht="12.75" x14ac:dyDescent="0.2">
      <c r="B18086" s="1168"/>
    </row>
    <row r="18087" spans="2:2" s="221" customFormat="1" ht="12.75" x14ac:dyDescent="0.2">
      <c r="B18087" s="1168"/>
    </row>
    <row r="18088" spans="2:2" s="221" customFormat="1" ht="12.75" x14ac:dyDescent="0.2">
      <c r="B18088" s="1168"/>
    </row>
    <row r="18089" spans="2:2" s="221" customFormat="1" ht="12.75" x14ac:dyDescent="0.2">
      <c r="B18089" s="1168"/>
    </row>
    <row r="18090" spans="2:2" s="221" customFormat="1" ht="12.75" x14ac:dyDescent="0.2">
      <c r="B18090" s="1168"/>
    </row>
    <row r="18091" spans="2:2" s="221" customFormat="1" ht="12.75" x14ac:dyDescent="0.2">
      <c r="B18091" s="1168"/>
    </row>
    <row r="18092" spans="2:2" s="221" customFormat="1" ht="12.75" x14ac:dyDescent="0.2">
      <c r="B18092" s="1168"/>
    </row>
    <row r="18093" spans="2:2" s="221" customFormat="1" ht="12.75" x14ac:dyDescent="0.2">
      <c r="B18093" s="1168"/>
    </row>
    <row r="18094" spans="2:2" s="221" customFormat="1" ht="12.75" x14ac:dyDescent="0.2">
      <c r="B18094" s="1168"/>
    </row>
    <row r="18095" spans="2:2" s="221" customFormat="1" ht="12.75" x14ac:dyDescent="0.2">
      <c r="B18095" s="1168"/>
    </row>
    <row r="18096" spans="2:2" s="221" customFormat="1" ht="12.75" x14ac:dyDescent="0.2">
      <c r="B18096" s="1168"/>
    </row>
    <row r="18097" spans="2:2" s="221" customFormat="1" ht="12.75" x14ac:dyDescent="0.2">
      <c r="B18097" s="1168"/>
    </row>
    <row r="18098" spans="2:2" s="221" customFormat="1" ht="12.75" x14ac:dyDescent="0.2">
      <c r="B18098" s="1168"/>
    </row>
    <row r="18099" spans="2:2" s="221" customFormat="1" ht="12.75" x14ac:dyDescent="0.2">
      <c r="B18099" s="1168"/>
    </row>
    <row r="18100" spans="2:2" s="221" customFormat="1" ht="12.75" x14ac:dyDescent="0.2">
      <c r="B18100" s="1168"/>
    </row>
    <row r="18101" spans="2:2" s="221" customFormat="1" ht="12.75" x14ac:dyDescent="0.2">
      <c r="B18101" s="1168"/>
    </row>
    <row r="18102" spans="2:2" s="221" customFormat="1" ht="12.75" x14ac:dyDescent="0.2">
      <c r="B18102" s="1168"/>
    </row>
    <row r="18103" spans="2:2" s="221" customFormat="1" ht="12.75" x14ac:dyDescent="0.2">
      <c r="B18103" s="1168"/>
    </row>
    <row r="18104" spans="2:2" s="221" customFormat="1" ht="12.75" x14ac:dyDescent="0.2">
      <c r="B18104" s="1168"/>
    </row>
    <row r="18105" spans="2:2" s="221" customFormat="1" ht="12.75" x14ac:dyDescent="0.2">
      <c r="B18105" s="1168"/>
    </row>
    <row r="18106" spans="2:2" s="221" customFormat="1" ht="12.75" x14ac:dyDescent="0.2">
      <c r="B18106" s="1168"/>
    </row>
    <row r="18107" spans="2:2" s="221" customFormat="1" ht="12.75" x14ac:dyDescent="0.2">
      <c r="B18107" s="1168"/>
    </row>
    <row r="18108" spans="2:2" s="221" customFormat="1" ht="12.75" x14ac:dyDescent="0.2">
      <c r="B18108" s="1168"/>
    </row>
    <row r="18109" spans="2:2" s="221" customFormat="1" ht="12.75" x14ac:dyDescent="0.2">
      <c r="B18109" s="1168"/>
    </row>
    <row r="18110" spans="2:2" s="221" customFormat="1" ht="12.75" x14ac:dyDescent="0.2">
      <c r="B18110" s="1168"/>
    </row>
    <row r="18111" spans="2:2" s="221" customFormat="1" ht="12.75" x14ac:dyDescent="0.2">
      <c r="B18111" s="1168"/>
    </row>
    <row r="18112" spans="2:2" s="221" customFormat="1" ht="12.75" x14ac:dyDescent="0.2">
      <c r="B18112" s="1168"/>
    </row>
    <row r="18113" spans="2:2" s="221" customFormat="1" ht="12.75" x14ac:dyDescent="0.2">
      <c r="B18113" s="1168"/>
    </row>
    <row r="18114" spans="2:2" s="221" customFormat="1" ht="12.75" x14ac:dyDescent="0.2">
      <c r="B18114" s="1168"/>
    </row>
    <row r="18115" spans="2:2" s="221" customFormat="1" ht="12.75" x14ac:dyDescent="0.2">
      <c r="B18115" s="1168"/>
    </row>
    <row r="18116" spans="2:2" s="221" customFormat="1" ht="12.75" x14ac:dyDescent="0.2">
      <c r="B18116" s="1168"/>
    </row>
    <row r="18117" spans="2:2" s="221" customFormat="1" ht="12.75" x14ac:dyDescent="0.2">
      <c r="B18117" s="1168"/>
    </row>
    <row r="18118" spans="2:2" s="221" customFormat="1" ht="12.75" x14ac:dyDescent="0.2">
      <c r="B18118" s="1168"/>
    </row>
    <row r="18119" spans="2:2" s="221" customFormat="1" ht="12.75" x14ac:dyDescent="0.2">
      <c r="B18119" s="1168"/>
    </row>
    <row r="18120" spans="2:2" s="221" customFormat="1" ht="12.75" x14ac:dyDescent="0.2">
      <c r="B18120" s="1168"/>
    </row>
    <row r="18121" spans="2:2" s="221" customFormat="1" ht="12.75" x14ac:dyDescent="0.2">
      <c r="B18121" s="1168"/>
    </row>
    <row r="18122" spans="2:2" s="221" customFormat="1" ht="12.75" x14ac:dyDescent="0.2">
      <c r="B18122" s="1168"/>
    </row>
    <row r="18123" spans="2:2" s="221" customFormat="1" ht="12.75" x14ac:dyDescent="0.2">
      <c r="B18123" s="1168"/>
    </row>
    <row r="18124" spans="2:2" s="221" customFormat="1" ht="12.75" x14ac:dyDescent="0.2">
      <c r="B18124" s="1168"/>
    </row>
    <row r="18125" spans="2:2" s="221" customFormat="1" ht="12.75" x14ac:dyDescent="0.2">
      <c r="B18125" s="1168"/>
    </row>
    <row r="18126" spans="2:2" s="221" customFormat="1" ht="12.75" x14ac:dyDescent="0.2">
      <c r="B18126" s="1168"/>
    </row>
    <row r="18127" spans="2:2" s="221" customFormat="1" ht="12.75" x14ac:dyDescent="0.2">
      <c r="B18127" s="1168"/>
    </row>
    <row r="18128" spans="2:2" s="221" customFormat="1" ht="12.75" x14ac:dyDescent="0.2">
      <c r="B18128" s="1168"/>
    </row>
    <row r="18129" spans="2:2" s="221" customFormat="1" ht="12.75" x14ac:dyDescent="0.2">
      <c r="B18129" s="1168"/>
    </row>
    <row r="18130" spans="2:2" s="221" customFormat="1" ht="12.75" x14ac:dyDescent="0.2">
      <c r="B18130" s="1168"/>
    </row>
    <row r="18131" spans="2:2" s="221" customFormat="1" ht="12.75" x14ac:dyDescent="0.2">
      <c r="B18131" s="1168"/>
    </row>
    <row r="18132" spans="2:2" s="221" customFormat="1" ht="12.75" x14ac:dyDescent="0.2">
      <c r="B18132" s="1168"/>
    </row>
    <row r="18133" spans="2:2" s="221" customFormat="1" ht="12.75" x14ac:dyDescent="0.2">
      <c r="B18133" s="1168"/>
    </row>
    <row r="18134" spans="2:2" s="221" customFormat="1" ht="12.75" x14ac:dyDescent="0.2">
      <c r="B18134" s="1168"/>
    </row>
    <row r="18135" spans="2:2" s="221" customFormat="1" ht="12.75" x14ac:dyDescent="0.2">
      <c r="B18135" s="1168"/>
    </row>
    <row r="18136" spans="2:2" s="221" customFormat="1" ht="12.75" x14ac:dyDescent="0.2">
      <c r="B18136" s="1168"/>
    </row>
    <row r="18137" spans="2:2" s="221" customFormat="1" ht="12.75" x14ac:dyDescent="0.2">
      <c r="B18137" s="1168"/>
    </row>
    <row r="18138" spans="2:2" s="221" customFormat="1" ht="12.75" x14ac:dyDescent="0.2">
      <c r="B18138" s="1168"/>
    </row>
    <row r="18139" spans="2:2" s="221" customFormat="1" ht="12.75" x14ac:dyDescent="0.2">
      <c r="B18139" s="1168"/>
    </row>
    <row r="18140" spans="2:2" s="221" customFormat="1" ht="12.75" x14ac:dyDescent="0.2">
      <c r="B18140" s="1168"/>
    </row>
    <row r="18141" spans="2:2" s="221" customFormat="1" ht="12.75" x14ac:dyDescent="0.2">
      <c r="B18141" s="1168"/>
    </row>
    <row r="18142" spans="2:2" s="221" customFormat="1" ht="12.75" x14ac:dyDescent="0.2">
      <c r="B18142" s="1168"/>
    </row>
    <row r="18143" spans="2:2" s="221" customFormat="1" ht="12.75" x14ac:dyDescent="0.2">
      <c r="B18143" s="1168"/>
    </row>
    <row r="18144" spans="2:2" s="221" customFormat="1" ht="12.75" x14ac:dyDescent="0.2">
      <c r="B18144" s="1168"/>
    </row>
    <row r="18145" spans="2:2" s="221" customFormat="1" ht="12.75" x14ac:dyDescent="0.2">
      <c r="B18145" s="1168"/>
    </row>
    <row r="18146" spans="2:2" s="221" customFormat="1" ht="12.75" x14ac:dyDescent="0.2">
      <c r="B18146" s="1168"/>
    </row>
    <row r="18147" spans="2:2" s="221" customFormat="1" ht="12.75" x14ac:dyDescent="0.2">
      <c r="B18147" s="1168"/>
    </row>
    <row r="18148" spans="2:2" s="221" customFormat="1" ht="12.75" x14ac:dyDescent="0.2">
      <c r="B18148" s="1168"/>
    </row>
    <row r="18149" spans="2:2" s="221" customFormat="1" ht="12.75" x14ac:dyDescent="0.2">
      <c r="B18149" s="1168"/>
    </row>
    <row r="18150" spans="2:2" s="221" customFormat="1" ht="12.75" x14ac:dyDescent="0.2">
      <c r="B18150" s="1168"/>
    </row>
    <row r="18151" spans="2:2" s="221" customFormat="1" ht="12.75" x14ac:dyDescent="0.2">
      <c r="B18151" s="1168"/>
    </row>
    <row r="18152" spans="2:2" s="221" customFormat="1" ht="12.75" x14ac:dyDescent="0.2">
      <c r="B18152" s="1168"/>
    </row>
    <row r="18153" spans="2:2" s="221" customFormat="1" ht="12.75" x14ac:dyDescent="0.2">
      <c r="B18153" s="1168"/>
    </row>
    <row r="18154" spans="2:2" s="221" customFormat="1" ht="12.75" x14ac:dyDescent="0.2">
      <c r="B18154" s="1168"/>
    </row>
    <row r="18155" spans="2:2" s="221" customFormat="1" ht="12.75" x14ac:dyDescent="0.2">
      <c r="B18155" s="1168"/>
    </row>
    <row r="18156" spans="2:2" s="221" customFormat="1" ht="12.75" x14ac:dyDescent="0.2">
      <c r="B18156" s="1168"/>
    </row>
    <row r="18157" spans="2:2" s="221" customFormat="1" ht="12.75" x14ac:dyDescent="0.2">
      <c r="B18157" s="1168"/>
    </row>
    <row r="18158" spans="2:2" s="221" customFormat="1" ht="12.75" x14ac:dyDescent="0.2">
      <c r="B18158" s="1168"/>
    </row>
    <row r="18159" spans="2:2" s="221" customFormat="1" ht="12.75" x14ac:dyDescent="0.2">
      <c r="B18159" s="1168"/>
    </row>
    <row r="18160" spans="2:2" s="221" customFormat="1" ht="12.75" x14ac:dyDescent="0.2">
      <c r="B18160" s="1168"/>
    </row>
    <row r="18161" spans="2:2" s="221" customFormat="1" ht="12.75" x14ac:dyDescent="0.2">
      <c r="B18161" s="1168"/>
    </row>
    <row r="18162" spans="2:2" s="221" customFormat="1" ht="12.75" x14ac:dyDescent="0.2">
      <c r="B18162" s="1168"/>
    </row>
    <row r="18163" spans="2:2" s="221" customFormat="1" ht="12.75" x14ac:dyDescent="0.2">
      <c r="B18163" s="1168"/>
    </row>
    <row r="18164" spans="2:2" s="221" customFormat="1" ht="12.75" x14ac:dyDescent="0.2">
      <c r="B18164" s="1168"/>
    </row>
    <row r="18165" spans="2:2" s="221" customFormat="1" ht="12.75" x14ac:dyDescent="0.2">
      <c r="B18165" s="1168"/>
    </row>
    <row r="18166" spans="2:2" s="221" customFormat="1" ht="12.75" x14ac:dyDescent="0.2">
      <c r="B18166" s="1168"/>
    </row>
    <row r="18167" spans="2:2" s="221" customFormat="1" ht="12.75" x14ac:dyDescent="0.2">
      <c r="B18167" s="1168"/>
    </row>
    <row r="18168" spans="2:2" s="221" customFormat="1" ht="12.75" x14ac:dyDescent="0.2">
      <c r="B18168" s="1168"/>
    </row>
    <row r="18169" spans="2:2" s="221" customFormat="1" ht="12.75" x14ac:dyDescent="0.2">
      <c r="B18169" s="1168"/>
    </row>
    <row r="18170" spans="2:2" s="221" customFormat="1" ht="12.75" x14ac:dyDescent="0.2">
      <c r="B18170" s="1168"/>
    </row>
    <row r="18171" spans="2:2" s="221" customFormat="1" ht="12.75" x14ac:dyDescent="0.2">
      <c r="B18171" s="1168"/>
    </row>
    <row r="18172" spans="2:2" s="221" customFormat="1" ht="12.75" x14ac:dyDescent="0.2">
      <c r="B18172" s="1168"/>
    </row>
    <row r="18173" spans="2:2" s="221" customFormat="1" ht="12.75" x14ac:dyDescent="0.2">
      <c r="B18173" s="1168"/>
    </row>
    <row r="18174" spans="2:2" s="221" customFormat="1" ht="12.75" x14ac:dyDescent="0.2">
      <c r="B18174" s="1168"/>
    </row>
    <row r="18175" spans="2:2" s="221" customFormat="1" ht="12.75" x14ac:dyDescent="0.2">
      <c r="B18175" s="1168"/>
    </row>
    <row r="18176" spans="2:2" s="221" customFormat="1" ht="12.75" x14ac:dyDescent="0.2">
      <c r="B18176" s="1168"/>
    </row>
    <row r="18177" spans="2:2" s="221" customFormat="1" ht="12.75" x14ac:dyDescent="0.2">
      <c r="B18177" s="1168"/>
    </row>
    <row r="18178" spans="2:2" s="221" customFormat="1" ht="12.75" x14ac:dyDescent="0.2">
      <c r="B18178" s="1168"/>
    </row>
    <row r="18179" spans="2:2" s="221" customFormat="1" ht="12.75" x14ac:dyDescent="0.2">
      <c r="B18179" s="1168"/>
    </row>
    <row r="18180" spans="2:2" s="221" customFormat="1" ht="12.75" x14ac:dyDescent="0.2">
      <c r="B18180" s="1168"/>
    </row>
    <row r="18181" spans="2:2" s="221" customFormat="1" ht="12.75" x14ac:dyDescent="0.2">
      <c r="B18181" s="1168"/>
    </row>
    <row r="18182" spans="2:2" s="221" customFormat="1" ht="12.75" x14ac:dyDescent="0.2">
      <c r="B18182" s="1168"/>
    </row>
    <row r="18183" spans="2:2" s="221" customFormat="1" ht="12.75" x14ac:dyDescent="0.2">
      <c r="B18183" s="1168"/>
    </row>
    <row r="18184" spans="2:2" s="221" customFormat="1" ht="12.75" x14ac:dyDescent="0.2">
      <c r="B18184" s="1168"/>
    </row>
    <row r="18185" spans="2:2" s="221" customFormat="1" ht="12.75" x14ac:dyDescent="0.2">
      <c r="B18185" s="1168"/>
    </row>
    <row r="18186" spans="2:2" s="221" customFormat="1" ht="12.75" x14ac:dyDescent="0.2">
      <c r="B18186" s="1168"/>
    </row>
    <row r="18187" spans="2:2" s="221" customFormat="1" ht="12.75" x14ac:dyDescent="0.2">
      <c r="B18187" s="1168"/>
    </row>
    <row r="18188" spans="2:2" s="221" customFormat="1" ht="12.75" x14ac:dyDescent="0.2">
      <c r="B18188" s="1168"/>
    </row>
    <row r="18189" spans="2:2" s="221" customFormat="1" ht="12.75" x14ac:dyDescent="0.2">
      <c r="B18189" s="1168"/>
    </row>
    <row r="18190" spans="2:2" s="221" customFormat="1" ht="12.75" x14ac:dyDescent="0.2">
      <c r="B18190" s="1168"/>
    </row>
    <row r="18191" spans="2:2" s="221" customFormat="1" ht="12.75" x14ac:dyDescent="0.2">
      <c r="B18191" s="1168"/>
    </row>
    <row r="18192" spans="2:2" s="221" customFormat="1" ht="12.75" x14ac:dyDescent="0.2">
      <c r="B18192" s="1168"/>
    </row>
    <row r="18193" spans="2:2" s="221" customFormat="1" ht="12.75" x14ac:dyDescent="0.2">
      <c r="B18193" s="1168"/>
    </row>
    <row r="18194" spans="2:2" s="221" customFormat="1" ht="12.75" x14ac:dyDescent="0.2">
      <c r="B18194" s="1168"/>
    </row>
    <row r="18195" spans="2:2" s="221" customFormat="1" ht="12.75" x14ac:dyDescent="0.2">
      <c r="B18195" s="1168"/>
    </row>
    <row r="18196" spans="2:2" s="221" customFormat="1" ht="12.75" x14ac:dyDescent="0.2">
      <c r="B18196" s="1168"/>
    </row>
    <row r="18197" spans="2:2" s="221" customFormat="1" ht="12.75" x14ac:dyDescent="0.2">
      <c r="B18197" s="1168"/>
    </row>
    <row r="18198" spans="2:2" s="221" customFormat="1" ht="12.75" x14ac:dyDescent="0.2">
      <c r="B18198" s="1168"/>
    </row>
    <row r="18199" spans="2:2" s="221" customFormat="1" ht="12.75" x14ac:dyDescent="0.2">
      <c r="B18199" s="1168"/>
    </row>
    <row r="18200" spans="2:2" s="221" customFormat="1" ht="12.75" x14ac:dyDescent="0.2">
      <c r="B18200" s="1168"/>
    </row>
    <row r="18201" spans="2:2" s="221" customFormat="1" ht="12.75" x14ac:dyDescent="0.2">
      <c r="B18201" s="1168"/>
    </row>
    <row r="18202" spans="2:2" s="221" customFormat="1" ht="12.75" x14ac:dyDescent="0.2">
      <c r="B18202" s="1168"/>
    </row>
    <row r="18203" spans="2:2" s="221" customFormat="1" ht="12.75" x14ac:dyDescent="0.2">
      <c r="B18203" s="1168"/>
    </row>
    <row r="18204" spans="2:2" s="221" customFormat="1" ht="12.75" x14ac:dyDescent="0.2">
      <c r="B18204" s="1168"/>
    </row>
    <row r="18205" spans="2:2" s="221" customFormat="1" ht="12.75" x14ac:dyDescent="0.2">
      <c r="B18205" s="1168"/>
    </row>
    <row r="18206" spans="2:2" s="221" customFormat="1" ht="12.75" x14ac:dyDescent="0.2">
      <c r="B18206" s="1168"/>
    </row>
    <row r="18207" spans="2:2" s="221" customFormat="1" ht="12.75" x14ac:dyDescent="0.2">
      <c r="B18207" s="1168"/>
    </row>
    <row r="18208" spans="2:2" s="221" customFormat="1" ht="12.75" x14ac:dyDescent="0.2">
      <c r="B18208" s="1168"/>
    </row>
    <row r="18209" spans="2:2" s="221" customFormat="1" ht="12.75" x14ac:dyDescent="0.2">
      <c r="B18209" s="1168"/>
    </row>
    <row r="18210" spans="2:2" s="221" customFormat="1" ht="12.75" x14ac:dyDescent="0.2">
      <c r="B18210" s="1168"/>
    </row>
    <row r="18211" spans="2:2" s="221" customFormat="1" ht="12.75" x14ac:dyDescent="0.2">
      <c r="B18211" s="1168"/>
    </row>
    <row r="18212" spans="2:2" s="221" customFormat="1" ht="12.75" x14ac:dyDescent="0.2">
      <c r="B18212" s="1168"/>
    </row>
    <row r="18213" spans="2:2" s="221" customFormat="1" ht="12.75" x14ac:dyDescent="0.2">
      <c r="B18213" s="1168"/>
    </row>
    <row r="18214" spans="2:2" s="221" customFormat="1" ht="12.75" x14ac:dyDescent="0.2">
      <c r="B18214" s="1168"/>
    </row>
    <row r="18215" spans="2:2" s="221" customFormat="1" ht="12.75" x14ac:dyDescent="0.2">
      <c r="B18215" s="1168"/>
    </row>
    <row r="18216" spans="2:2" s="221" customFormat="1" ht="12.75" x14ac:dyDescent="0.2">
      <c r="B18216" s="1168"/>
    </row>
    <row r="18217" spans="2:2" s="221" customFormat="1" ht="12.75" x14ac:dyDescent="0.2">
      <c r="B18217" s="1168"/>
    </row>
    <row r="18218" spans="2:2" s="221" customFormat="1" ht="12.75" x14ac:dyDescent="0.2">
      <c r="B18218" s="1168"/>
    </row>
    <row r="18219" spans="2:2" s="221" customFormat="1" ht="12.75" x14ac:dyDescent="0.2">
      <c r="B18219" s="1168"/>
    </row>
    <row r="18220" spans="2:2" s="221" customFormat="1" ht="12.75" x14ac:dyDescent="0.2">
      <c r="B18220" s="1168"/>
    </row>
    <row r="18221" spans="2:2" s="221" customFormat="1" ht="12.75" x14ac:dyDescent="0.2">
      <c r="B18221" s="1168"/>
    </row>
    <row r="18222" spans="2:2" s="221" customFormat="1" ht="12.75" x14ac:dyDescent="0.2">
      <c r="B18222" s="1168"/>
    </row>
    <row r="18223" spans="2:2" s="221" customFormat="1" ht="12.75" x14ac:dyDescent="0.2">
      <c r="B18223" s="1168"/>
    </row>
    <row r="18224" spans="2:2" s="221" customFormat="1" ht="12.75" x14ac:dyDescent="0.2">
      <c r="B18224" s="1168"/>
    </row>
    <row r="18225" spans="2:2" s="221" customFormat="1" ht="12.75" x14ac:dyDescent="0.2">
      <c r="B18225" s="1168"/>
    </row>
    <row r="18226" spans="2:2" s="221" customFormat="1" ht="12.75" x14ac:dyDescent="0.2">
      <c r="B18226" s="1168"/>
    </row>
    <row r="18227" spans="2:2" s="221" customFormat="1" ht="12.75" x14ac:dyDescent="0.2">
      <c r="B18227" s="1168"/>
    </row>
    <row r="18228" spans="2:2" s="221" customFormat="1" ht="12.75" x14ac:dyDescent="0.2">
      <c r="B18228" s="1168"/>
    </row>
    <row r="18229" spans="2:2" s="221" customFormat="1" ht="12.75" x14ac:dyDescent="0.2">
      <c r="B18229" s="1168"/>
    </row>
    <row r="18230" spans="2:2" s="221" customFormat="1" ht="12.75" x14ac:dyDescent="0.2">
      <c r="B18230" s="1168"/>
    </row>
    <row r="18231" spans="2:2" s="221" customFormat="1" ht="12.75" x14ac:dyDescent="0.2">
      <c r="B18231" s="1168"/>
    </row>
    <row r="18232" spans="2:2" s="221" customFormat="1" ht="12.75" x14ac:dyDescent="0.2">
      <c r="B18232" s="1168"/>
    </row>
    <row r="18233" spans="2:2" s="221" customFormat="1" ht="12.75" x14ac:dyDescent="0.2">
      <c r="B18233" s="1168"/>
    </row>
    <row r="18234" spans="2:2" s="221" customFormat="1" ht="12.75" x14ac:dyDescent="0.2">
      <c r="B18234" s="1168"/>
    </row>
    <row r="18235" spans="2:2" s="221" customFormat="1" ht="12.75" x14ac:dyDescent="0.2">
      <c r="B18235" s="1168"/>
    </row>
    <row r="18236" spans="2:2" s="221" customFormat="1" ht="12.75" x14ac:dyDescent="0.2">
      <c r="B18236" s="1168"/>
    </row>
    <row r="18237" spans="2:2" s="221" customFormat="1" ht="12.75" x14ac:dyDescent="0.2">
      <c r="B18237" s="1168"/>
    </row>
    <row r="18238" spans="2:2" s="221" customFormat="1" ht="12.75" x14ac:dyDescent="0.2">
      <c r="B18238" s="1168"/>
    </row>
    <row r="18239" spans="2:2" s="221" customFormat="1" ht="12.75" x14ac:dyDescent="0.2">
      <c r="B18239" s="1168"/>
    </row>
    <row r="18240" spans="2:2" s="221" customFormat="1" ht="12.75" x14ac:dyDescent="0.2">
      <c r="B18240" s="1168"/>
    </row>
    <row r="18241" spans="2:2" s="221" customFormat="1" ht="12.75" x14ac:dyDescent="0.2">
      <c r="B18241" s="1168"/>
    </row>
    <row r="18242" spans="2:2" s="221" customFormat="1" ht="12.75" x14ac:dyDescent="0.2">
      <c r="B18242" s="1168"/>
    </row>
    <row r="18243" spans="2:2" s="221" customFormat="1" ht="12.75" x14ac:dyDescent="0.2">
      <c r="B18243" s="1168"/>
    </row>
    <row r="18244" spans="2:2" s="221" customFormat="1" ht="12.75" x14ac:dyDescent="0.2">
      <c r="B18244" s="1168"/>
    </row>
    <row r="18245" spans="2:2" s="221" customFormat="1" ht="12.75" x14ac:dyDescent="0.2">
      <c r="B18245" s="1168"/>
    </row>
    <row r="18246" spans="2:2" s="221" customFormat="1" ht="12.75" x14ac:dyDescent="0.2">
      <c r="B18246" s="1168"/>
    </row>
    <row r="18247" spans="2:2" s="221" customFormat="1" ht="12.75" x14ac:dyDescent="0.2">
      <c r="B18247" s="1168"/>
    </row>
    <row r="18248" spans="2:2" s="221" customFormat="1" ht="12.75" x14ac:dyDescent="0.2">
      <c r="B18248" s="1168"/>
    </row>
    <row r="18249" spans="2:2" s="221" customFormat="1" ht="12.75" x14ac:dyDescent="0.2">
      <c r="B18249" s="1168"/>
    </row>
    <row r="18250" spans="2:2" s="221" customFormat="1" ht="12.75" x14ac:dyDescent="0.2">
      <c r="B18250" s="1168"/>
    </row>
    <row r="18251" spans="2:2" s="221" customFormat="1" ht="12.75" x14ac:dyDescent="0.2">
      <c r="B18251" s="1168"/>
    </row>
    <row r="18252" spans="2:2" s="221" customFormat="1" ht="12.75" x14ac:dyDescent="0.2">
      <c r="B18252" s="1168"/>
    </row>
    <row r="18253" spans="2:2" s="221" customFormat="1" ht="12.75" x14ac:dyDescent="0.2">
      <c r="B18253" s="1168"/>
    </row>
    <row r="18254" spans="2:2" s="221" customFormat="1" ht="12.75" x14ac:dyDescent="0.2">
      <c r="B18254" s="1168"/>
    </row>
    <row r="18255" spans="2:2" s="221" customFormat="1" ht="12.75" x14ac:dyDescent="0.2">
      <c r="B18255" s="1168"/>
    </row>
    <row r="18256" spans="2:2" s="221" customFormat="1" ht="12.75" x14ac:dyDescent="0.2">
      <c r="B18256" s="1168"/>
    </row>
    <row r="18257" spans="2:2" s="221" customFormat="1" ht="12.75" x14ac:dyDescent="0.2">
      <c r="B18257" s="1168"/>
    </row>
    <row r="18258" spans="2:2" s="221" customFormat="1" ht="12.75" x14ac:dyDescent="0.2">
      <c r="B18258" s="1168"/>
    </row>
    <row r="18259" spans="2:2" s="221" customFormat="1" ht="12.75" x14ac:dyDescent="0.2">
      <c r="B18259" s="1168"/>
    </row>
    <row r="18260" spans="2:2" s="221" customFormat="1" ht="12.75" x14ac:dyDescent="0.2">
      <c r="B18260" s="1168"/>
    </row>
    <row r="18261" spans="2:2" s="221" customFormat="1" ht="12.75" x14ac:dyDescent="0.2">
      <c r="B18261" s="1168"/>
    </row>
    <row r="18262" spans="2:2" s="221" customFormat="1" ht="12.75" x14ac:dyDescent="0.2">
      <c r="B18262" s="1168"/>
    </row>
    <row r="18263" spans="2:2" s="221" customFormat="1" ht="12.75" x14ac:dyDescent="0.2">
      <c r="B18263" s="1168"/>
    </row>
    <row r="18264" spans="2:2" s="221" customFormat="1" ht="12.75" x14ac:dyDescent="0.2">
      <c r="B18264" s="1168"/>
    </row>
    <row r="18265" spans="2:2" s="221" customFormat="1" ht="12.75" x14ac:dyDescent="0.2">
      <c r="B18265" s="1168"/>
    </row>
    <row r="18266" spans="2:2" s="221" customFormat="1" ht="12.75" x14ac:dyDescent="0.2">
      <c r="B18266" s="1168"/>
    </row>
    <row r="18267" spans="2:2" s="221" customFormat="1" ht="12.75" x14ac:dyDescent="0.2">
      <c r="B18267" s="1168"/>
    </row>
    <row r="18268" spans="2:2" s="221" customFormat="1" ht="12.75" x14ac:dyDescent="0.2">
      <c r="B18268" s="1168"/>
    </row>
    <row r="18269" spans="2:2" s="221" customFormat="1" ht="12.75" x14ac:dyDescent="0.2">
      <c r="B18269" s="1168"/>
    </row>
    <row r="18270" spans="2:2" s="221" customFormat="1" ht="12.75" x14ac:dyDescent="0.2">
      <c r="B18270" s="1168"/>
    </row>
    <row r="18271" spans="2:2" s="221" customFormat="1" ht="12.75" x14ac:dyDescent="0.2">
      <c r="B18271" s="1168"/>
    </row>
    <row r="18272" spans="2:2" s="221" customFormat="1" ht="12.75" x14ac:dyDescent="0.2">
      <c r="B18272" s="1168"/>
    </row>
    <row r="18273" spans="2:2" s="221" customFormat="1" ht="12.75" x14ac:dyDescent="0.2">
      <c r="B18273" s="1168"/>
    </row>
    <row r="18274" spans="2:2" s="221" customFormat="1" ht="12.75" x14ac:dyDescent="0.2">
      <c r="B18274" s="1168"/>
    </row>
    <row r="18275" spans="2:2" s="221" customFormat="1" ht="12.75" x14ac:dyDescent="0.2">
      <c r="B18275" s="1168"/>
    </row>
    <row r="18276" spans="2:2" s="221" customFormat="1" ht="12.75" x14ac:dyDescent="0.2">
      <c r="B18276" s="1168"/>
    </row>
    <row r="18277" spans="2:2" s="221" customFormat="1" ht="12.75" x14ac:dyDescent="0.2">
      <c r="B18277" s="1168"/>
    </row>
    <row r="18278" spans="2:2" s="221" customFormat="1" ht="12.75" x14ac:dyDescent="0.2">
      <c r="B18278" s="1168"/>
    </row>
    <row r="18279" spans="2:2" s="221" customFormat="1" ht="12.75" x14ac:dyDescent="0.2">
      <c r="B18279" s="1168"/>
    </row>
    <row r="18280" spans="2:2" s="221" customFormat="1" ht="12.75" x14ac:dyDescent="0.2">
      <c r="B18280" s="1168"/>
    </row>
    <row r="18281" spans="2:2" s="221" customFormat="1" ht="12.75" x14ac:dyDescent="0.2">
      <c r="B18281" s="1168"/>
    </row>
    <row r="18282" spans="2:2" s="221" customFormat="1" ht="12.75" x14ac:dyDescent="0.2">
      <c r="B18282" s="1168"/>
    </row>
    <row r="18283" spans="2:2" s="221" customFormat="1" ht="12.75" x14ac:dyDescent="0.2">
      <c r="B18283" s="1168"/>
    </row>
    <row r="18284" spans="2:2" s="221" customFormat="1" ht="12.75" x14ac:dyDescent="0.2">
      <c r="B18284" s="1168"/>
    </row>
    <row r="18285" spans="2:2" s="221" customFormat="1" ht="12.75" x14ac:dyDescent="0.2">
      <c r="B18285" s="1168"/>
    </row>
    <row r="18286" spans="2:2" s="221" customFormat="1" ht="12.75" x14ac:dyDescent="0.2">
      <c r="B18286" s="1168"/>
    </row>
    <row r="18287" spans="2:2" s="221" customFormat="1" ht="12.75" x14ac:dyDescent="0.2">
      <c r="B18287" s="1168"/>
    </row>
    <row r="18288" spans="2:2" s="221" customFormat="1" ht="12.75" x14ac:dyDescent="0.2">
      <c r="B18288" s="1168"/>
    </row>
    <row r="18289" spans="2:2" s="221" customFormat="1" ht="12.75" x14ac:dyDescent="0.2">
      <c r="B18289" s="1168"/>
    </row>
    <row r="18290" spans="2:2" s="221" customFormat="1" ht="12.75" x14ac:dyDescent="0.2">
      <c r="B18290" s="1168"/>
    </row>
    <row r="18291" spans="2:2" s="221" customFormat="1" ht="12.75" x14ac:dyDescent="0.2">
      <c r="B18291" s="1168"/>
    </row>
    <row r="18292" spans="2:2" s="221" customFormat="1" ht="12.75" x14ac:dyDescent="0.2">
      <c r="B18292" s="1168"/>
    </row>
    <row r="18293" spans="2:2" s="221" customFormat="1" ht="12.75" x14ac:dyDescent="0.2">
      <c r="B18293" s="1168"/>
    </row>
    <row r="18294" spans="2:2" s="221" customFormat="1" ht="12.75" x14ac:dyDescent="0.2">
      <c r="B18294" s="1168"/>
    </row>
    <row r="18295" spans="2:2" s="221" customFormat="1" ht="12.75" x14ac:dyDescent="0.2">
      <c r="B18295" s="1168"/>
    </row>
    <row r="18296" spans="2:2" s="221" customFormat="1" ht="12.75" x14ac:dyDescent="0.2">
      <c r="B18296" s="1168"/>
    </row>
    <row r="18297" spans="2:2" s="221" customFormat="1" ht="12.75" x14ac:dyDescent="0.2">
      <c r="B18297" s="1168"/>
    </row>
    <row r="18298" spans="2:2" s="221" customFormat="1" ht="12.75" x14ac:dyDescent="0.2">
      <c r="B18298" s="1168"/>
    </row>
    <row r="18299" spans="2:2" s="221" customFormat="1" ht="12.75" x14ac:dyDescent="0.2">
      <c r="B18299" s="1168"/>
    </row>
    <row r="18300" spans="2:2" s="221" customFormat="1" ht="12.75" x14ac:dyDescent="0.2">
      <c r="B18300" s="1168"/>
    </row>
    <row r="18301" spans="2:2" s="221" customFormat="1" ht="12.75" x14ac:dyDescent="0.2">
      <c r="B18301" s="1168"/>
    </row>
    <row r="18302" spans="2:2" s="221" customFormat="1" ht="12.75" x14ac:dyDescent="0.2">
      <c r="B18302" s="1168"/>
    </row>
    <row r="18303" spans="2:2" s="221" customFormat="1" ht="12.75" x14ac:dyDescent="0.2">
      <c r="B18303" s="1168"/>
    </row>
    <row r="18304" spans="2:2" s="221" customFormat="1" ht="12.75" x14ac:dyDescent="0.2">
      <c r="B18304" s="1168"/>
    </row>
    <row r="18305" spans="2:2" s="221" customFormat="1" ht="12.75" x14ac:dyDescent="0.2">
      <c r="B18305" s="1168"/>
    </row>
    <row r="18306" spans="2:2" s="221" customFormat="1" ht="12.75" x14ac:dyDescent="0.2">
      <c r="B18306" s="1168"/>
    </row>
    <row r="18307" spans="2:2" s="221" customFormat="1" ht="12.75" x14ac:dyDescent="0.2">
      <c r="B18307" s="1168"/>
    </row>
    <row r="18308" spans="2:2" s="221" customFormat="1" ht="12.75" x14ac:dyDescent="0.2">
      <c r="B18308" s="1168"/>
    </row>
    <row r="18309" spans="2:2" s="221" customFormat="1" ht="12.75" x14ac:dyDescent="0.2">
      <c r="B18309" s="1168"/>
    </row>
    <row r="18310" spans="2:2" s="221" customFormat="1" ht="12.75" x14ac:dyDescent="0.2">
      <c r="B18310" s="1168"/>
    </row>
    <row r="18311" spans="2:2" s="221" customFormat="1" ht="12.75" x14ac:dyDescent="0.2">
      <c r="B18311" s="1168"/>
    </row>
    <row r="18312" spans="2:2" s="221" customFormat="1" ht="12.75" x14ac:dyDescent="0.2">
      <c r="B18312" s="1168"/>
    </row>
    <row r="18313" spans="2:2" s="221" customFormat="1" ht="12.75" x14ac:dyDescent="0.2">
      <c r="B18313" s="1168"/>
    </row>
    <row r="18314" spans="2:2" s="221" customFormat="1" ht="12.75" x14ac:dyDescent="0.2">
      <c r="B18314" s="1168"/>
    </row>
    <row r="18315" spans="2:2" s="221" customFormat="1" ht="12.75" x14ac:dyDescent="0.2">
      <c r="B18315" s="1168"/>
    </row>
    <row r="18316" spans="2:2" s="221" customFormat="1" ht="12.75" x14ac:dyDescent="0.2">
      <c r="B18316" s="1168"/>
    </row>
    <row r="18317" spans="2:2" s="221" customFormat="1" ht="12.75" x14ac:dyDescent="0.2">
      <c r="B18317" s="1168"/>
    </row>
    <row r="18318" spans="2:2" s="221" customFormat="1" ht="12.75" x14ac:dyDescent="0.2">
      <c r="B18318" s="1168"/>
    </row>
    <row r="18319" spans="2:2" s="221" customFormat="1" ht="12.75" x14ac:dyDescent="0.2">
      <c r="B18319" s="1168"/>
    </row>
    <row r="18320" spans="2:2" s="221" customFormat="1" ht="12.75" x14ac:dyDescent="0.2">
      <c r="B18320" s="1168"/>
    </row>
    <row r="18321" spans="2:2" s="221" customFormat="1" ht="12.75" x14ac:dyDescent="0.2">
      <c r="B18321" s="1168"/>
    </row>
    <row r="18322" spans="2:2" s="221" customFormat="1" ht="12.75" x14ac:dyDescent="0.2">
      <c r="B18322" s="1168"/>
    </row>
    <row r="18323" spans="2:2" s="221" customFormat="1" ht="12.75" x14ac:dyDescent="0.2">
      <c r="B18323" s="1168"/>
    </row>
    <row r="18324" spans="2:2" s="221" customFormat="1" ht="12.75" x14ac:dyDescent="0.2">
      <c r="B18324" s="1168"/>
    </row>
    <row r="18325" spans="2:2" s="221" customFormat="1" ht="12.75" x14ac:dyDescent="0.2">
      <c r="B18325" s="1168"/>
    </row>
    <row r="18326" spans="2:2" s="221" customFormat="1" ht="12.75" x14ac:dyDescent="0.2">
      <c r="B18326" s="1168"/>
    </row>
    <row r="18327" spans="2:2" s="221" customFormat="1" ht="12.75" x14ac:dyDescent="0.2">
      <c r="B18327" s="1168"/>
    </row>
    <row r="18328" spans="2:2" s="221" customFormat="1" ht="12.75" x14ac:dyDescent="0.2">
      <c r="B18328" s="1168"/>
    </row>
    <row r="18329" spans="2:2" s="221" customFormat="1" ht="12.75" x14ac:dyDescent="0.2">
      <c r="B18329" s="1168"/>
    </row>
    <row r="18330" spans="2:2" s="221" customFormat="1" ht="12.75" x14ac:dyDescent="0.2">
      <c r="B18330" s="1168"/>
    </row>
    <row r="18331" spans="2:2" s="221" customFormat="1" ht="12.75" x14ac:dyDescent="0.2">
      <c r="B18331" s="1168"/>
    </row>
    <row r="18332" spans="2:2" s="221" customFormat="1" ht="12.75" x14ac:dyDescent="0.2">
      <c r="B18332" s="1168"/>
    </row>
    <row r="18333" spans="2:2" s="221" customFormat="1" ht="12.75" x14ac:dyDescent="0.2">
      <c r="B18333" s="1168"/>
    </row>
    <row r="18334" spans="2:2" s="221" customFormat="1" ht="12.75" x14ac:dyDescent="0.2">
      <c r="B18334" s="1168"/>
    </row>
    <row r="18335" spans="2:2" s="221" customFormat="1" ht="12.75" x14ac:dyDescent="0.2">
      <c r="B18335" s="1168"/>
    </row>
    <row r="18336" spans="2:2" s="221" customFormat="1" ht="12.75" x14ac:dyDescent="0.2">
      <c r="B18336" s="1168"/>
    </row>
    <row r="18337" spans="2:2" s="221" customFormat="1" ht="12.75" x14ac:dyDescent="0.2">
      <c r="B18337" s="1168"/>
    </row>
    <row r="18338" spans="2:2" s="221" customFormat="1" ht="12.75" x14ac:dyDescent="0.2">
      <c r="B18338" s="1168"/>
    </row>
    <row r="18339" spans="2:2" s="221" customFormat="1" ht="12.75" x14ac:dyDescent="0.2">
      <c r="B18339" s="1168"/>
    </row>
    <row r="18340" spans="2:2" s="221" customFormat="1" ht="12.75" x14ac:dyDescent="0.2">
      <c r="B18340" s="1168"/>
    </row>
    <row r="18341" spans="2:2" s="221" customFormat="1" ht="12.75" x14ac:dyDescent="0.2">
      <c r="B18341" s="1168"/>
    </row>
    <row r="18342" spans="2:2" s="221" customFormat="1" ht="12.75" x14ac:dyDescent="0.2">
      <c r="B18342" s="1168"/>
    </row>
    <row r="18343" spans="2:2" s="221" customFormat="1" ht="12.75" x14ac:dyDescent="0.2">
      <c r="B18343" s="1168"/>
    </row>
    <row r="18344" spans="2:2" s="221" customFormat="1" ht="12.75" x14ac:dyDescent="0.2">
      <c r="B18344" s="1168"/>
    </row>
    <row r="18345" spans="2:2" s="221" customFormat="1" ht="12.75" x14ac:dyDescent="0.2">
      <c r="B18345" s="1168"/>
    </row>
    <row r="18346" spans="2:2" s="221" customFormat="1" ht="12.75" x14ac:dyDescent="0.2">
      <c r="B18346" s="1168"/>
    </row>
    <row r="18347" spans="2:2" s="221" customFormat="1" ht="12.75" x14ac:dyDescent="0.2">
      <c r="B18347" s="1168"/>
    </row>
    <row r="18348" spans="2:2" s="221" customFormat="1" ht="12.75" x14ac:dyDescent="0.2">
      <c r="B18348" s="1168"/>
    </row>
    <row r="18349" spans="2:2" s="221" customFormat="1" ht="12.75" x14ac:dyDescent="0.2">
      <c r="B18349" s="1168"/>
    </row>
    <row r="18350" spans="2:2" s="221" customFormat="1" ht="12.75" x14ac:dyDescent="0.2">
      <c r="B18350" s="1168"/>
    </row>
    <row r="18351" spans="2:2" s="221" customFormat="1" ht="12.75" x14ac:dyDescent="0.2">
      <c r="B18351" s="1168"/>
    </row>
    <row r="18352" spans="2:2" s="221" customFormat="1" ht="12.75" x14ac:dyDescent="0.2">
      <c r="B18352" s="1168"/>
    </row>
    <row r="18353" spans="2:2" s="221" customFormat="1" ht="12.75" x14ac:dyDescent="0.2">
      <c r="B18353" s="1168"/>
    </row>
    <row r="18354" spans="2:2" s="221" customFormat="1" ht="12.75" x14ac:dyDescent="0.2">
      <c r="B18354" s="1168"/>
    </row>
    <row r="18355" spans="2:2" s="221" customFormat="1" ht="12.75" x14ac:dyDescent="0.2">
      <c r="B18355" s="1168"/>
    </row>
    <row r="18356" spans="2:2" s="221" customFormat="1" ht="12.75" x14ac:dyDescent="0.2">
      <c r="B18356" s="1168"/>
    </row>
    <row r="18357" spans="2:2" s="221" customFormat="1" ht="12.75" x14ac:dyDescent="0.2">
      <c r="B18357" s="1168"/>
    </row>
    <row r="18358" spans="2:2" s="221" customFormat="1" ht="12.75" x14ac:dyDescent="0.2">
      <c r="B18358" s="1168"/>
    </row>
    <row r="18359" spans="2:2" s="221" customFormat="1" ht="12.75" x14ac:dyDescent="0.2">
      <c r="B18359" s="1168"/>
    </row>
    <row r="18360" spans="2:2" s="221" customFormat="1" ht="12.75" x14ac:dyDescent="0.2">
      <c r="B18360" s="1168"/>
    </row>
    <row r="18361" spans="2:2" s="221" customFormat="1" ht="12.75" x14ac:dyDescent="0.2">
      <c r="B18361" s="1168"/>
    </row>
    <row r="18362" spans="2:2" s="221" customFormat="1" ht="12.75" x14ac:dyDescent="0.2">
      <c r="B18362" s="1168"/>
    </row>
    <row r="18363" spans="2:2" s="221" customFormat="1" ht="12.75" x14ac:dyDescent="0.2">
      <c r="B18363" s="1168"/>
    </row>
    <row r="18364" spans="2:2" s="221" customFormat="1" ht="12.75" x14ac:dyDescent="0.2">
      <c r="B18364" s="1168"/>
    </row>
    <row r="18365" spans="2:2" s="221" customFormat="1" ht="12.75" x14ac:dyDescent="0.2">
      <c r="B18365" s="1168"/>
    </row>
    <row r="18366" spans="2:2" s="221" customFormat="1" ht="12.75" x14ac:dyDescent="0.2">
      <c r="B18366" s="1168"/>
    </row>
    <row r="18367" spans="2:2" s="221" customFormat="1" ht="12.75" x14ac:dyDescent="0.2">
      <c r="B18367" s="1168"/>
    </row>
    <row r="18368" spans="2:2" s="221" customFormat="1" ht="12.75" x14ac:dyDescent="0.2">
      <c r="B18368" s="1168"/>
    </row>
    <row r="18369" spans="2:2" s="221" customFormat="1" ht="12.75" x14ac:dyDescent="0.2">
      <c r="B18369" s="1168"/>
    </row>
    <row r="18370" spans="2:2" s="221" customFormat="1" ht="12.75" x14ac:dyDescent="0.2">
      <c r="B18370" s="1168"/>
    </row>
    <row r="18371" spans="2:2" s="221" customFormat="1" ht="12.75" x14ac:dyDescent="0.2">
      <c r="B18371" s="1168"/>
    </row>
    <row r="18372" spans="2:2" s="221" customFormat="1" ht="12.75" x14ac:dyDescent="0.2">
      <c r="B18372" s="1168"/>
    </row>
    <row r="18373" spans="2:2" s="221" customFormat="1" ht="12.75" x14ac:dyDescent="0.2">
      <c r="B18373" s="1168"/>
    </row>
    <row r="18374" spans="2:2" s="221" customFormat="1" ht="12.75" x14ac:dyDescent="0.2">
      <c r="B18374" s="1168"/>
    </row>
    <row r="18375" spans="2:2" s="221" customFormat="1" ht="12.75" x14ac:dyDescent="0.2">
      <c r="B18375" s="1168"/>
    </row>
    <row r="18376" spans="2:2" s="221" customFormat="1" ht="12.75" x14ac:dyDescent="0.2">
      <c r="B18376" s="1168"/>
    </row>
    <row r="18377" spans="2:2" s="221" customFormat="1" ht="12.75" x14ac:dyDescent="0.2">
      <c r="B18377" s="1168"/>
    </row>
    <row r="18378" spans="2:2" s="221" customFormat="1" ht="12.75" x14ac:dyDescent="0.2">
      <c r="B18378" s="1168"/>
    </row>
    <row r="18379" spans="2:2" s="221" customFormat="1" ht="12.75" x14ac:dyDescent="0.2">
      <c r="B18379" s="1168"/>
    </row>
    <row r="18380" spans="2:2" s="221" customFormat="1" ht="12.75" x14ac:dyDescent="0.2">
      <c r="B18380" s="1168"/>
    </row>
    <row r="18381" spans="2:2" s="221" customFormat="1" ht="12.75" x14ac:dyDescent="0.2">
      <c r="B18381" s="1168"/>
    </row>
    <row r="18382" spans="2:2" s="221" customFormat="1" ht="12.75" x14ac:dyDescent="0.2">
      <c r="B18382" s="1168"/>
    </row>
    <row r="18383" spans="2:2" s="221" customFormat="1" ht="12.75" x14ac:dyDescent="0.2">
      <c r="B18383" s="1168"/>
    </row>
    <row r="18384" spans="2:2" s="221" customFormat="1" ht="12.75" x14ac:dyDescent="0.2">
      <c r="B18384" s="1168"/>
    </row>
    <row r="18385" spans="2:2" s="221" customFormat="1" ht="12.75" x14ac:dyDescent="0.2">
      <c r="B18385" s="1168"/>
    </row>
    <row r="18386" spans="2:2" s="221" customFormat="1" ht="12.75" x14ac:dyDescent="0.2">
      <c r="B18386" s="1168"/>
    </row>
    <row r="18387" spans="2:2" s="221" customFormat="1" ht="12.75" x14ac:dyDescent="0.2">
      <c r="B18387" s="1168"/>
    </row>
    <row r="18388" spans="2:2" s="221" customFormat="1" ht="12.75" x14ac:dyDescent="0.2">
      <c r="B18388" s="1168"/>
    </row>
    <row r="18389" spans="2:2" s="221" customFormat="1" ht="12.75" x14ac:dyDescent="0.2">
      <c r="B18389" s="1168"/>
    </row>
    <row r="18390" spans="2:2" s="221" customFormat="1" ht="12.75" x14ac:dyDescent="0.2">
      <c r="B18390" s="1168"/>
    </row>
    <row r="18391" spans="2:2" s="221" customFormat="1" ht="12.75" x14ac:dyDescent="0.2">
      <c r="B18391" s="1168"/>
    </row>
    <row r="18392" spans="2:2" s="221" customFormat="1" ht="12.75" x14ac:dyDescent="0.2">
      <c r="B18392" s="1168"/>
    </row>
    <row r="18393" spans="2:2" s="221" customFormat="1" ht="12.75" x14ac:dyDescent="0.2">
      <c r="B18393" s="1168"/>
    </row>
    <row r="18394" spans="2:2" s="221" customFormat="1" ht="12.75" x14ac:dyDescent="0.2">
      <c r="B18394" s="1168"/>
    </row>
    <row r="18395" spans="2:2" s="221" customFormat="1" ht="12.75" x14ac:dyDescent="0.2">
      <c r="B18395" s="1168"/>
    </row>
    <row r="18396" spans="2:2" s="221" customFormat="1" ht="12.75" x14ac:dyDescent="0.2">
      <c r="B18396" s="1168"/>
    </row>
    <row r="18397" spans="2:2" s="221" customFormat="1" ht="12.75" x14ac:dyDescent="0.2">
      <c r="B18397" s="1168"/>
    </row>
    <row r="18398" spans="2:2" s="221" customFormat="1" ht="12.75" x14ac:dyDescent="0.2">
      <c r="B18398" s="1168"/>
    </row>
    <row r="18399" spans="2:2" s="221" customFormat="1" ht="12.75" x14ac:dyDescent="0.2">
      <c r="B18399" s="1168"/>
    </row>
    <row r="18400" spans="2:2" s="221" customFormat="1" ht="12.75" x14ac:dyDescent="0.2">
      <c r="B18400" s="1168"/>
    </row>
    <row r="18401" spans="2:2" s="221" customFormat="1" ht="12.75" x14ac:dyDescent="0.2">
      <c r="B18401" s="1168"/>
    </row>
    <row r="18402" spans="2:2" s="221" customFormat="1" ht="12.75" x14ac:dyDescent="0.2">
      <c r="B18402" s="1168"/>
    </row>
    <row r="18403" spans="2:2" s="221" customFormat="1" ht="12.75" x14ac:dyDescent="0.2">
      <c r="B18403" s="1168"/>
    </row>
    <row r="18404" spans="2:2" s="221" customFormat="1" ht="12.75" x14ac:dyDescent="0.2">
      <c r="B18404" s="1168"/>
    </row>
    <row r="18405" spans="2:2" s="221" customFormat="1" ht="12.75" x14ac:dyDescent="0.2">
      <c r="B18405" s="1168"/>
    </row>
    <row r="18406" spans="2:2" s="221" customFormat="1" ht="12.75" x14ac:dyDescent="0.2">
      <c r="B18406" s="1168"/>
    </row>
    <row r="18407" spans="2:2" s="221" customFormat="1" ht="12.75" x14ac:dyDescent="0.2">
      <c r="B18407" s="1168"/>
    </row>
    <row r="18408" spans="2:2" s="221" customFormat="1" ht="12.75" x14ac:dyDescent="0.2">
      <c r="B18408" s="1168"/>
    </row>
    <row r="18409" spans="2:2" s="221" customFormat="1" ht="12.75" x14ac:dyDescent="0.2">
      <c r="B18409" s="1168"/>
    </row>
    <row r="18410" spans="2:2" s="221" customFormat="1" ht="12.75" x14ac:dyDescent="0.2">
      <c r="B18410" s="1168"/>
    </row>
    <row r="18411" spans="2:2" s="221" customFormat="1" ht="12.75" x14ac:dyDescent="0.2">
      <c r="B18411" s="1168"/>
    </row>
    <row r="18412" spans="2:2" s="221" customFormat="1" ht="12.75" x14ac:dyDescent="0.2">
      <c r="B18412" s="1168"/>
    </row>
    <row r="18413" spans="2:2" s="221" customFormat="1" ht="12.75" x14ac:dyDescent="0.2">
      <c r="B18413" s="1168"/>
    </row>
    <row r="18414" spans="2:2" s="221" customFormat="1" ht="12.75" x14ac:dyDescent="0.2">
      <c r="B18414" s="1168"/>
    </row>
    <row r="18415" spans="2:2" s="221" customFormat="1" ht="12.75" x14ac:dyDescent="0.2">
      <c r="B18415" s="1168"/>
    </row>
    <row r="18416" spans="2:2" s="221" customFormat="1" ht="12.75" x14ac:dyDescent="0.2">
      <c r="B18416" s="1168"/>
    </row>
    <row r="18417" spans="2:2" s="221" customFormat="1" ht="12.75" x14ac:dyDescent="0.2">
      <c r="B18417" s="1168"/>
    </row>
    <row r="18418" spans="2:2" s="221" customFormat="1" ht="12.75" x14ac:dyDescent="0.2">
      <c r="B18418" s="1168"/>
    </row>
    <row r="18419" spans="2:2" s="221" customFormat="1" ht="12.75" x14ac:dyDescent="0.2">
      <c r="B18419" s="1168"/>
    </row>
    <row r="18420" spans="2:2" s="221" customFormat="1" ht="12.75" x14ac:dyDescent="0.2">
      <c r="B18420" s="1168"/>
    </row>
    <row r="18421" spans="2:2" s="221" customFormat="1" ht="12.75" x14ac:dyDescent="0.2">
      <c r="B18421" s="1168"/>
    </row>
    <row r="18422" spans="2:2" s="221" customFormat="1" ht="12.75" x14ac:dyDescent="0.2">
      <c r="B18422" s="1168"/>
    </row>
    <row r="18423" spans="2:2" s="221" customFormat="1" ht="12.75" x14ac:dyDescent="0.2">
      <c r="B18423" s="1168"/>
    </row>
    <row r="18424" spans="2:2" s="221" customFormat="1" ht="12.75" x14ac:dyDescent="0.2">
      <c r="B18424" s="1168"/>
    </row>
    <row r="18425" spans="2:2" s="221" customFormat="1" ht="12.75" x14ac:dyDescent="0.2">
      <c r="B18425" s="1168"/>
    </row>
    <row r="18426" spans="2:2" s="221" customFormat="1" ht="12.75" x14ac:dyDescent="0.2">
      <c r="B18426" s="1168"/>
    </row>
    <row r="18427" spans="2:2" s="221" customFormat="1" ht="12.75" x14ac:dyDescent="0.2">
      <c r="B18427" s="1168"/>
    </row>
    <row r="18428" spans="2:2" s="221" customFormat="1" ht="12.75" x14ac:dyDescent="0.2">
      <c r="B18428" s="1168"/>
    </row>
    <row r="18429" spans="2:2" s="221" customFormat="1" ht="12.75" x14ac:dyDescent="0.2">
      <c r="B18429" s="1168"/>
    </row>
    <row r="18430" spans="2:2" s="221" customFormat="1" ht="12.75" x14ac:dyDescent="0.2">
      <c r="B18430" s="1168"/>
    </row>
    <row r="18431" spans="2:2" s="221" customFormat="1" ht="12.75" x14ac:dyDescent="0.2">
      <c r="B18431" s="1168"/>
    </row>
    <row r="18432" spans="2:2" s="221" customFormat="1" ht="12.75" x14ac:dyDescent="0.2">
      <c r="B18432" s="1168"/>
    </row>
    <row r="18433" spans="2:2" s="221" customFormat="1" ht="12.75" x14ac:dyDescent="0.2">
      <c r="B18433" s="1168"/>
    </row>
    <row r="18434" spans="2:2" s="221" customFormat="1" ht="12.75" x14ac:dyDescent="0.2">
      <c r="B18434" s="1168"/>
    </row>
    <row r="18435" spans="2:2" s="221" customFormat="1" ht="12.75" x14ac:dyDescent="0.2">
      <c r="B18435" s="1168"/>
    </row>
    <row r="18436" spans="2:2" s="221" customFormat="1" ht="12.75" x14ac:dyDescent="0.2">
      <c r="B18436" s="1168"/>
    </row>
    <row r="18437" spans="2:2" s="221" customFormat="1" ht="12.75" x14ac:dyDescent="0.2">
      <c r="B18437" s="1168"/>
    </row>
    <row r="18438" spans="2:2" s="221" customFormat="1" ht="12.75" x14ac:dyDescent="0.2">
      <c r="B18438" s="1168"/>
    </row>
    <row r="18439" spans="2:2" s="221" customFormat="1" ht="12.75" x14ac:dyDescent="0.2">
      <c r="B18439" s="1168"/>
    </row>
    <row r="18440" spans="2:2" s="221" customFormat="1" ht="12.75" x14ac:dyDescent="0.2">
      <c r="B18440" s="1168"/>
    </row>
    <row r="18441" spans="2:2" s="221" customFormat="1" ht="12.75" x14ac:dyDescent="0.2">
      <c r="B18441" s="1168"/>
    </row>
    <row r="18442" spans="2:2" s="221" customFormat="1" ht="12.75" x14ac:dyDescent="0.2">
      <c r="B18442" s="1168"/>
    </row>
    <row r="18443" spans="2:2" s="221" customFormat="1" ht="12.75" x14ac:dyDescent="0.2">
      <c r="B18443" s="1168"/>
    </row>
    <row r="18444" spans="2:2" s="221" customFormat="1" ht="12.75" x14ac:dyDescent="0.2">
      <c r="B18444" s="1168"/>
    </row>
    <row r="18445" spans="2:2" s="221" customFormat="1" ht="12.75" x14ac:dyDescent="0.2">
      <c r="B18445" s="1168"/>
    </row>
    <row r="18446" spans="2:2" s="221" customFormat="1" ht="12.75" x14ac:dyDescent="0.2">
      <c r="B18446" s="1168"/>
    </row>
    <row r="18447" spans="2:2" s="221" customFormat="1" ht="12.75" x14ac:dyDescent="0.2">
      <c r="B18447" s="1168"/>
    </row>
    <row r="18448" spans="2:2" s="221" customFormat="1" ht="12.75" x14ac:dyDescent="0.2">
      <c r="B18448" s="1168"/>
    </row>
    <row r="18449" spans="2:2" s="221" customFormat="1" ht="12.75" x14ac:dyDescent="0.2">
      <c r="B18449" s="1168"/>
    </row>
    <row r="18450" spans="2:2" s="221" customFormat="1" ht="12.75" x14ac:dyDescent="0.2">
      <c r="B18450" s="1168"/>
    </row>
    <row r="18451" spans="2:2" s="221" customFormat="1" ht="12.75" x14ac:dyDescent="0.2">
      <c r="B18451" s="1168"/>
    </row>
    <row r="18452" spans="2:2" s="221" customFormat="1" ht="12.75" x14ac:dyDescent="0.2">
      <c r="B18452" s="1168"/>
    </row>
    <row r="18453" spans="2:2" s="221" customFormat="1" ht="12.75" x14ac:dyDescent="0.2">
      <c r="B18453" s="1168"/>
    </row>
    <row r="18454" spans="2:2" s="221" customFormat="1" ht="12.75" x14ac:dyDescent="0.2">
      <c r="B18454" s="1168"/>
    </row>
    <row r="18455" spans="2:2" s="221" customFormat="1" ht="12.75" x14ac:dyDescent="0.2">
      <c r="B18455" s="1168"/>
    </row>
    <row r="18456" spans="2:2" s="221" customFormat="1" ht="12.75" x14ac:dyDescent="0.2">
      <c r="B18456" s="1168"/>
    </row>
    <row r="18457" spans="2:2" s="221" customFormat="1" ht="12.75" x14ac:dyDescent="0.2">
      <c r="B18457" s="1168"/>
    </row>
    <row r="18458" spans="2:2" s="221" customFormat="1" ht="12.75" x14ac:dyDescent="0.2">
      <c r="B18458" s="1168"/>
    </row>
    <row r="18459" spans="2:2" s="221" customFormat="1" ht="12.75" x14ac:dyDescent="0.2">
      <c r="B18459" s="1168"/>
    </row>
    <row r="18460" spans="2:2" s="221" customFormat="1" ht="12.75" x14ac:dyDescent="0.2">
      <c r="B18460" s="1168"/>
    </row>
    <row r="18461" spans="2:2" s="221" customFormat="1" ht="12.75" x14ac:dyDescent="0.2">
      <c r="B18461" s="1168"/>
    </row>
    <row r="18462" spans="2:2" s="221" customFormat="1" ht="12.75" x14ac:dyDescent="0.2">
      <c r="B18462" s="1168"/>
    </row>
    <row r="18463" spans="2:2" s="221" customFormat="1" ht="12.75" x14ac:dyDescent="0.2">
      <c r="B18463" s="1168"/>
    </row>
    <row r="18464" spans="2:2" s="221" customFormat="1" ht="12.75" x14ac:dyDescent="0.2">
      <c r="B18464" s="1168"/>
    </row>
    <row r="18465" spans="2:2" s="221" customFormat="1" ht="12.75" x14ac:dyDescent="0.2">
      <c r="B18465" s="1168"/>
    </row>
    <row r="18466" spans="2:2" s="221" customFormat="1" ht="12.75" x14ac:dyDescent="0.2">
      <c r="B18466" s="1168"/>
    </row>
    <row r="18467" spans="2:2" s="221" customFormat="1" ht="12.75" x14ac:dyDescent="0.2">
      <c r="B18467" s="1168"/>
    </row>
    <row r="18468" spans="2:2" s="221" customFormat="1" ht="12.75" x14ac:dyDescent="0.2">
      <c r="B18468" s="1168"/>
    </row>
    <row r="18469" spans="2:2" s="221" customFormat="1" ht="12.75" x14ac:dyDescent="0.2">
      <c r="B18469" s="1168"/>
    </row>
    <row r="18470" spans="2:2" s="221" customFormat="1" ht="12.75" x14ac:dyDescent="0.2">
      <c r="B18470" s="1168"/>
    </row>
    <row r="18471" spans="2:2" s="221" customFormat="1" ht="12.75" x14ac:dyDescent="0.2">
      <c r="B18471" s="1168"/>
    </row>
    <row r="18472" spans="2:2" s="221" customFormat="1" ht="12.75" x14ac:dyDescent="0.2">
      <c r="B18472" s="1168"/>
    </row>
    <row r="18473" spans="2:2" s="221" customFormat="1" ht="12.75" x14ac:dyDescent="0.2">
      <c r="B18473" s="1168"/>
    </row>
    <row r="18474" spans="2:2" s="221" customFormat="1" ht="12.75" x14ac:dyDescent="0.2">
      <c r="B18474" s="1168"/>
    </row>
    <row r="18475" spans="2:2" s="221" customFormat="1" ht="12.75" x14ac:dyDescent="0.2">
      <c r="B18475" s="1168"/>
    </row>
    <row r="18476" spans="2:2" s="221" customFormat="1" ht="12.75" x14ac:dyDescent="0.2">
      <c r="B18476" s="1168"/>
    </row>
    <row r="18477" spans="2:2" s="221" customFormat="1" ht="12.75" x14ac:dyDescent="0.2">
      <c r="B18477" s="1168"/>
    </row>
    <row r="18478" spans="2:2" s="221" customFormat="1" ht="12.75" x14ac:dyDescent="0.2">
      <c r="B18478" s="1168"/>
    </row>
    <row r="18479" spans="2:2" s="221" customFormat="1" ht="12.75" x14ac:dyDescent="0.2">
      <c r="B18479" s="1168"/>
    </row>
    <row r="18480" spans="2:2" s="221" customFormat="1" ht="12.75" x14ac:dyDescent="0.2">
      <c r="B18480" s="1168"/>
    </row>
    <row r="18481" spans="2:2" s="221" customFormat="1" ht="12.75" x14ac:dyDescent="0.2">
      <c r="B18481" s="1168"/>
    </row>
    <row r="18482" spans="2:2" s="221" customFormat="1" ht="12.75" x14ac:dyDescent="0.2">
      <c r="B18482" s="1168"/>
    </row>
    <row r="18483" spans="2:2" s="221" customFormat="1" ht="12.75" x14ac:dyDescent="0.2">
      <c r="B18483" s="1168"/>
    </row>
    <row r="18484" spans="2:2" s="221" customFormat="1" ht="12.75" x14ac:dyDescent="0.2">
      <c r="B18484" s="1168"/>
    </row>
    <row r="18485" spans="2:2" s="221" customFormat="1" ht="12.75" x14ac:dyDescent="0.2">
      <c r="B18485" s="1168"/>
    </row>
    <row r="18486" spans="2:2" s="221" customFormat="1" ht="12.75" x14ac:dyDescent="0.2">
      <c r="B18486" s="1168"/>
    </row>
    <row r="18487" spans="2:2" s="221" customFormat="1" ht="12.75" x14ac:dyDescent="0.2">
      <c r="B18487" s="1168"/>
    </row>
    <row r="18488" spans="2:2" s="221" customFormat="1" ht="12.75" x14ac:dyDescent="0.2">
      <c r="B18488" s="1168"/>
    </row>
    <row r="18489" spans="2:2" s="221" customFormat="1" ht="12.75" x14ac:dyDescent="0.2">
      <c r="B18489" s="1168"/>
    </row>
    <row r="18490" spans="2:2" s="221" customFormat="1" ht="12.75" x14ac:dyDescent="0.2">
      <c r="B18490" s="1168"/>
    </row>
    <row r="18491" spans="2:2" s="221" customFormat="1" ht="12.75" x14ac:dyDescent="0.2">
      <c r="B18491" s="1168"/>
    </row>
    <row r="18492" spans="2:2" s="221" customFormat="1" ht="12.75" x14ac:dyDescent="0.2">
      <c r="B18492" s="1168"/>
    </row>
    <row r="18493" spans="2:2" s="221" customFormat="1" ht="12.75" x14ac:dyDescent="0.2">
      <c r="B18493" s="1168"/>
    </row>
    <row r="18494" spans="2:2" s="221" customFormat="1" ht="12.75" x14ac:dyDescent="0.2">
      <c r="B18494" s="1168"/>
    </row>
    <row r="18495" spans="2:2" s="221" customFormat="1" ht="12.75" x14ac:dyDescent="0.2">
      <c r="B18495" s="1168"/>
    </row>
    <row r="18496" spans="2:2" s="221" customFormat="1" ht="12.75" x14ac:dyDescent="0.2">
      <c r="B18496" s="1168"/>
    </row>
    <row r="18497" spans="2:2" s="221" customFormat="1" ht="12.75" x14ac:dyDescent="0.2">
      <c r="B18497" s="1168"/>
    </row>
    <row r="18498" spans="2:2" s="221" customFormat="1" ht="12.75" x14ac:dyDescent="0.2">
      <c r="B18498" s="1168"/>
    </row>
    <row r="18499" spans="2:2" s="221" customFormat="1" ht="12.75" x14ac:dyDescent="0.2">
      <c r="B18499" s="1168"/>
    </row>
    <row r="18500" spans="2:2" s="221" customFormat="1" ht="12.75" x14ac:dyDescent="0.2">
      <c r="B18500" s="1168"/>
    </row>
    <row r="18501" spans="2:2" s="221" customFormat="1" ht="12.75" x14ac:dyDescent="0.2">
      <c r="B18501" s="1168"/>
    </row>
    <row r="18502" spans="2:2" s="221" customFormat="1" ht="12.75" x14ac:dyDescent="0.2">
      <c r="B18502" s="1168"/>
    </row>
    <row r="18503" spans="2:2" s="221" customFormat="1" ht="12.75" x14ac:dyDescent="0.2">
      <c r="B18503" s="1168"/>
    </row>
    <row r="18504" spans="2:2" s="221" customFormat="1" ht="12.75" x14ac:dyDescent="0.2">
      <c r="B18504" s="1168"/>
    </row>
    <row r="18505" spans="2:2" s="221" customFormat="1" ht="12.75" x14ac:dyDescent="0.2">
      <c r="B18505" s="1168"/>
    </row>
    <row r="18506" spans="2:2" s="221" customFormat="1" ht="12.75" x14ac:dyDescent="0.2">
      <c r="B18506" s="1168"/>
    </row>
    <row r="18507" spans="2:2" s="221" customFormat="1" ht="12.75" x14ac:dyDescent="0.2">
      <c r="B18507" s="1168"/>
    </row>
    <row r="18508" spans="2:2" s="221" customFormat="1" ht="12.75" x14ac:dyDescent="0.2">
      <c r="B18508" s="1168"/>
    </row>
    <row r="18509" spans="2:2" s="221" customFormat="1" ht="12.75" x14ac:dyDescent="0.2">
      <c r="B18509" s="1168"/>
    </row>
    <row r="18510" spans="2:2" s="221" customFormat="1" ht="12.75" x14ac:dyDescent="0.2">
      <c r="B18510" s="1168"/>
    </row>
    <row r="18511" spans="2:2" s="221" customFormat="1" ht="12.75" x14ac:dyDescent="0.2">
      <c r="B18511" s="1168"/>
    </row>
    <row r="18512" spans="2:2" s="221" customFormat="1" ht="12.75" x14ac:dyDescent="0.2">
      <c r="B18512" s="1168"/>
    </row>
    <row r="18513" spans="2:2" s="221" customFormat="1" ht="12.75" x14ac:dyDescent="0.2">
      <c r="B18513" s="1168"/>
    </row>
    <row r="18514" spans="2:2" s="221" customFormat="1" ht="12.75" x14ac:dyDescent="0.2">
      <c r="B18514" s="1168"/>
    </row>
    <row r="18515" spans="2:2" s="221" customFormat="1" ht="12.75" x14ac:dyDescent="0.2">
      <c r="B18515" s="1168"/>
    </row>
    <row r="18516" spans="2:2" s="221" customFormat="1" ht="12.75" x14ac:dyDescent="0.2">
      <c r="B18516" s="1168"/>
    </row>
    <row r="18517" spans="2:2" s="221" customFormat="1" ht="12.75" x14ac:dyDescent="0.2">
      <c r="B18517" s="1168"/>
    </row>
    <row r="18518" spans="2:2" s="221" customFormat="1" ht="12.75" x14ac:dyDescent="0.2">
      <c r="B18518" s="1168"/>
    </row>
    <row r="18519" spans="2:2" s="221" customFormat="1" ht="12.75" x14ac:dyDescent="0.2">
      <c r="B18519" s="1168"/>
    </row>
    <row r="18520" spans="2:2" s="221" customFormat="1" ht="12.75" x14ac:dyDescent="0.2">
      <c r="B18520" s="1168"/>
    </row>
    <row r="18521" spans="2:2" s="221" customFormat="1" ht="12.75" x14ac:dyDescent="0.2">
      <c r="B18521" s="1168"/>
    </row>
    <row r="18522" spans="2:2" s="221" customFormat="1" ht="12.75" x14ac:dyDescent="0.2">
      <c r="B18522" s="1168"/>
    </row>
    <row r="18523" spans="2:2" s="221" customFormat="1" ht="12.75" x14ac:dyDescent="0.2">
      <c r="B18523" s="1168"/>
    </row>
    <row r="18524" spans="2:2" s="221" customFormat="1" ht="12.75" x14ac:dyDescent="0.2">
      <c r="B18524" s="1168"/>
    </row>
    <row r="18525" spans="2:2" s="221" customFormat="1" ht="12.75" x14ac:dyDescent="0.2">
      <c r="B18525" s="1168"/>
    </row>
    <row r="18526" spans="2:2" s="221" customFormat="1" ht="12.75" x14ac:dyDescent="0.2">
      <c r="B18526" s="1168"/>
    </row>
    <row r="18527" spans="2:2" s="221" customFormat="1" ht="12.75" x14ac:dyDescent="0.2">
      <c r="B18527" s="1168"/>
    </row>
    <row r="18528" spans="2:2" s="221" customFormat="1" ht="12.75" x14ac:dyDescent="0.2">
      <c r="B18528" s="1168"/>
    </row>
    <row r="18529" spans="2:2" s="221" customFormat="1" ht="12.75" x14ac:dyDescent="0.2">
      <c r="B18529" s="1168"/>
    </row>
    <row r="18530" spans="2:2" s="221" customFormat="1" ht="12.75" x14ac:dyDescent="0.2">
      <c r="B18530" s="1168"/>
    </row>
    <row r="18531" spans="2:2" s="221" customFormat="1" ht="12.75" x14ac:dyDescent="0.2">
      <c r="B18531" s="1168"/>
    </row>
    <row r="18532" spans="2:2" s="221" customFormat="1" ht="12.75" x14ac:dyDescent="0.2">
      <c r="B18532" s="1168"/>
    </row>
    <row r="18533" spans="2:2" s="221" customFormat="1" ht="12.75" x14ac:dyDescent="0.2">
      <c r="B18533" s="1168"/>
    </row>
    <row r="18534" spans="2:2" s="221" customFormat="1" ht="12.75" x14ac:dyDescent="0.2">
      <c r="B18534" s="1168"/>
    </row>
    <row r="18535" spans="2:2" s="221" customFormat="1" ht="12.75" x14ac:dyDescent="0.2">
      <c r="B18535" s="1168"/>
    </row>
    <row r="18536" spans="2:2" s="221" customFormat="1" ht="12.75" x14ac:dyDescent="0.2">
      <c r="B18536" s="1168"/>
    </row>
    <row r="18537" spans="2:2" s="221" customFormat="1" ht="12.75" x14ac:dyDescent="0.2">
      <c r="B18537" s="1168"/>
    </row>
    <row r="18538" spans="2:2" s="221" customFormat="1" ht="12.75" x14ac:dyDescent="0.2">
      <c r="B18538" s="1168"/>
    </row>
    <row r="18539" spans="2:2" s="221" customFormat="1" ht="12.75" x14ac:dyDescent="0.2">
      <c r="B18539" s="1168"/>
    </row>
    <row r="18540" spans="2:2" s="221" customFormat="1" ht="12.75" x14ac:dyDescent="0.2">
      <c r="B18540" s="1168"/>
    </row>
    <row r="18541" spans="2:2" s="221" customFormat="1" ht="12.75" x14ac:dyDescent="0.2">
      <c r="B18541" s="1168"/>
    </row>
    <row r="18542" spans="2:2" s="221" customFormat="1" ht="12.75" x14ac:dyDescent="0.2">
      <c r="B18542" s="1168"/>
    </row>
    <row r="18543" spans="2:2" s="221" customFormat="1" ht="12.75" x14ac:dyDescent="0.2">
      <c r="B18543" s="1168"/>
    </row>
    <row r="18544" spans="2:2" s="221" customFormat="1" ht="12.75" x14ac:dyDescent="0.2">
      <c r="B18544" s="1168"/>
    </row>
    <row r="18545" spans="2:2" s="221" customFormat="1" ht="12.75" x14ac:dyDescent="0.2">
      <c r="B18545" s="1168"/>
    </row>
    <row r="18546" spans="2:2" s="221" customFormat="1" ht="12.75" x14ac:dyDescent="0.2">
      <c r="B18546" s="1168"/>
    </row>
    <row r="18547" spans="2:2" s="221" customFormat="1" ht="12.75" x14ac:dyDescent="0.2">
      <c r="B18547" s="1168"/>
    </row>
    <row r="18548" spans="2:2" s="221" customFormat="1" ht="12.75" x14ac:dyDescent="0.2">
      <c r="B18548" s="1168"/>
    </row>
    <row r="18549" spans="2:2" s="221" customFormat="1" ht="12.75" x14ac:dyDescent="0.2">
      <c r="B18549" s="1168"/>
    </row>
    <row r="18550" spans="2:2" s="221" customFormat="1" ht="12.75" x14ac:dyDescent="0.2">
      <c r="B18550" s="1168"/>
    </row>
    <row r="18551" spans="2:2" s="221" customFormat="1" ht="12.75" x14ac:dyDescent="0.2">
      <c r="B18551" s="1168"/>
    </row>
    <row r="18552" spans="2:2" s="221" customFormat="1" ht="12.75" x14ac:dyDescent="0.2">
      <c r="B18552" s="1168"/>
    </row>
    <row r="18553" spans="2:2" s="221" customFormat="1" ht="12.75" x14ac:dyDescent="0.2">
      <c r="B18553" s="1168"/>
    </row>
    <row r="18554" spans="2:2" s="221" customFormat="1" ht="12.75" x14ac:dyDescent="0.2">
      <c r="B18554" s="1168"/>
    </row>
    <row r="18555" spans="2:2" s="221" customFormat="1" ht="12.75" x14ac:dyDescent="0.2">
      <c r="B18555" s="1168"/>
    </row>
    <row r="18556" spans="2:2" s="221" customFormat="1" ht="12.75" x14ac:dyDescent="0.2">
      <c r="B18556" s="1168"/>
    </row>
    <row r="18557" spans="2:2" s="221" customFormat="1" ht="12.75" x14ac:dyDescent="0.2">
      <c r="B18557" s="1168"/>
    </row>
    <row r="18558" spans="2:2" s="221" customFormat="1" ht="12.75" x14ac:dyDescent="0.2">
      <c r="B18558" s="1168"/>
    </row>
    <row r="18559" spans="2:2" s="221" customFormat="1" ht="12.75" x14ac:dyDescent="0.2">
      <c r="B18559" s="1168"/>
    </row>
    <row r="18560" spans="2:2" s="221" customFormat="1" ht="12.75" x14ac:dyDescent="0.2">
      <c r="B18560" s="1168"/>
    </row>
    <row r="18561" spans="2:2" s="221" customFormat="1" ht="12.75" x14ac:dyDescent="0.2">
      <c r="B18561" s="1168"/>
    </row>
    <row r="18562" spans="2:2" s="221" customFormat="1" ht="12.75" x14ac:dyDescent="0.2">
      <c r="B18562" s="1168"/>
    </row>
    <row r="18563" spans="2:2" s="221" customFormat="1" ht="12.75" x14ac:dyDescent="0.2">
      <c r="B18563" s="1168"/>
    </row>
    <row r="18564" spans="2:2" s="221" customFormat="1" ht="12.75" x14ac:dyDescent="0.2">
      <c r="B18564" s="1168"/>
    </row>
    <row r="18565" spans="2:2" s="221" customFormat="1" ht="12.75" x14ac:dyDescent="0.2">
      <c r="B18565" s="1168"/>
    </row>
    <row r="18566" spans="2:2" s="221" customFormat="1" ht="12.75" x14ac:dyDescent="0.2">
      <c r="B18566" s="1168"/>
    </row>
    <row r="18567" spans="2:2" s="221" customFormat="1" ht="12.75" x14ac:dyDescent="0.2">
      <c r="B18567" s="1168"/>
    </row>
    <row r="18568" spans="2:2" s="221" customFormat="1" ht="12.75" x14ac:dyDescent="0.2">
      <c r="B18568" s="1168"/>
    </row>
    <row r="18569" spans="2:2" s="221" customFormat="1" ht="12.75" x14ac:dyDescent="0.2">
      <c r="B18569" s="1168"/>
    </row>
    <row r="18570" spans="2:2" s="221" customFormat="1" ht="12.75" x14ac:dyDescent="0.2">
      <c r="B18570" s="1168"/>
    </row>
    <row r="18571" spans="2:2" s="221" customFormat="1" ht="12.75" x14ac:dyDescent="0.2">
      <c r="B18571" s="1168"/>
    </row>
    <row r="18572" spans="2:2" s="221" customFormat="1" ht="12.75" x14ac:dyDescent="0.2">
      <c r="B18572" s="1168"/>
    </row>
    <row r="18573" spans="2:2" s="221" customFormat="1" ht="12.75" x14ac:dyDescent="0.2">
      <c r="B18573" s="1168"/>
    </row>
    <row r="18574" spans="2:2" s="221" customFormat="1" ht="12.75" x14ac:dyDescent="0.2">
      <c r="B18574" s="1168"/>
    </row>
    <row r="18575" spans="2:2" s="221" customFormat="1" ht="12.75" x14ac:dyDescent="0.2">
      <c r="B18575" s="1168"/>
    </row>
    <row r="18576" spans="2:2" s="221" customFormat="1" ht="12.75" x14ac:dyDescent="0.2">
      <c r="B18576" s="1168"/>
    </row>
    <row r="18577" spans="2:2" s="221" customFormat="1" ht="12.75" x14ac:dyDescent="0.2">
      <c r="B18577" s="1168"/>
    </row>
    <row r="18578" spans="2:2" s="221" customFormat="1" ht="12.75" x14ac:dyDescent="0.2">
      <c r="B18578" s="1168"/>
    </row>
    <row r="18579" spans="2:2" s="221" customFormat="1" ht="12.75" x14ac:dyDescent="0.2">
      <c r="B18579" s="1168"/>
    </row>
    <row r="18580" spans="2:2" s="221" customFormat="1" ht="12.75" x14ac:dyDescent="0.2">
      <c r="B18580" s="1168"/>
    </row>
    <row r="18581" spans="2:2" s="221" customFormat="1" ht="12.75" x14ac:dyDescent="0.2">
      <c r="B18581" s="1168"/>
    </row>
    <row r="18582" spans="2:2" s="221" customFormat="1" ht="12.75" x14ac:dyDescent="0.2">
      <c r="B18582" s="1168"/>
    </row>
    <row r="18583" spans="2:2" s="221" customFormat="1" ht="12.75" x14ac:dyDescent="0.2">
      <c r="B18583" s="1168"/>
    </row>
    <row r="18584" spans="2:2" s="221" customFormat="1" ht="12.75" x14ac:dyDescent="0.2">
      <c r="B18584" s="1168"/>
    </row>
    <row r="18585" spans="2:2" s="221" customFormat="1" ht="12.75" x14ac:dyDescent="0.2">
      <c r="B18585" s="1168"/>
    </row>
    <row r="18586" spans="2:2" s="221" customFormat="1" ht="12.75" x14ac:dyDescent="0.2">
      <c r="B18586" s="1168"/>
    </row>
    <row r="18587" spans="2:2" s="221" customFormat="1" ht="12.75" x14ac:dyDescent="0.2">
      <c r="B18587" s="1168"/>
    </row>
    <row r="18588" spans="2:2" s="221" customFormat="1" ht="12.75" x14ac:dyDescent="0.2">
      <c r="B18588" s="1168"/>
    </row>
    <row r="18589" spans="2:2" s="221" customFormat="1" ht="12.75" x14ac:dyDescent="0.2">
      <c r="B18589" s="1168"/>
    </row>
    <row r="18590" spans="2:2" s="221" customFormat="1" ht="12.75" x14ac:dyDescent="0.2">
      <c r="B18590" s="1168"/>
    </row>
    <row r="18591" spans="2:2" s="221" customFormat="1" ht="12.75" x14ac:dyDescent="0.2">
      <c r="B18591" s="1168"/>
    </row>
    <row r="18592" spans="2:2" s="221" customFormat="1" ht="12.75" x14ac:dyDescent="0.2">
      <c r="B18592" s="1168"/>
    </row>
    <row r="18593" spans="2:2" s="221" customFormat="1" ht="12.75" x14ac:dyDescent="0.2">
      <c r="B18593" s="1168"/>
    </row>
    <row r="18594" spans="2:2" s="221" customFormat="1" ht="12.75" x14ac:dyDescent="0.2">
      <c r="B18594" s="1168"/>
    </row>
    <row r="18595" spans="2:2" s="221" customFormat="1" ht="12.75" x14ac:dyDescent="0.2">
      <c r="B18595" s="1168"/>
    </row>
    <row r="18596" spans="2:2" s="221" customFormat="1" ht="12.75" x14ac:dyDescent="0.2">
      <c r="B18596" s="1168"/>
    </row>
    <row r="18597" spans="2:2" s="221" customFormat="1" ht="12.75" x14ac:dyDescent="0.2">
      <c r="B18597" s="1168"/>
    </row>
    <row r="18598" spans="2:2" s="221" customFormat="1" ht="12.75" x14ac:dyDescent="0.2">
      <c r="B18598" s="1168"/>
    </row>
    <row r="18599" spans="2:2" s="221" customFormat="1" ht="12.75" x14ac:dyDescent="0.2">
      <c r="B18599" s="1168"/>
    </row>
    <row r="18600" spans="2:2" s="221" customFormat="1" ht="12.75" x14ac:dyDescent="0.2">
      <c r="B18600" s="1168"/>
    </row>
    <row r="18601" spans="2:2" s="221" customFormat="1" ht="12.75" x14ac:dyDescent="0.2">
      <c r="B18601" s="1168"/>
    </row>
    <row r="18602" spans="2:2" s="221" customFormat="1" ht="12.75" x14ac:dyDescent="0.2">
      <c r="B18602" s="1168"/>
    </row>
    <row r="18603" spans="2:2" s="221" customFormat="1" ht="12.75" x14ac:dyDescent="0.2">
      <c r="B18603" s="1168"/>
    </row>
    <row r="18604" spans="2:2" s="221" customFormat="1" ht="12.75" x14ac:dyDescent="0.2">
      <c r="B18604" s="1168"/>
    </row>
    <row r="18605" spans="2:2" s="221" customFormat="1" ht="12.75" x14ac:dyDescent="0.2">
      <c r="B18605" s="1168"/>
    </row>
    <row r="18606" spans="2:2" s="221" customFormat="1" ht="12.75" x14ac:dyDescent="0.2">
      <c r="B18606" s="1168"/>
    </row>
    <row r="18607" spans="2:2" s="221" customFormat="1" ht="12.75" x14ac:dyDescent="0.2">
      <c r="B18607" s="1168"/>
    </row>
    <row r="18608" spans="2:2" s="221" customFormat="1" ht="12.75" x14ac:dyDescent="0.2">
      <c r="B18608" s="1168"/>
    </row>
    <row r="18609" spans="2:2" s="221" customFormat="1" ht="12.75" x14ac:dyDescent="0.2">
      <c r="B18609" s="1168"/>
    </row>
    <row r="18610" spans="2:2" s="221" customFormat="1" ht="12.75" x14ac:dyDescent="0.2">
      <c r="B18610" s="1168"/>
    </row>
    <row r="18611" spans="2:2" s="221" customFormat="1" ht="12.75" x14ac:dyDescent="0.2">
      <c r="B18611" s="1168"/>
    </row>
    <row r="18612" spans="2:2" s="221" customFormat="1" ht="12.75" x14ac:dyDescent="0.2">
      <c r="B18612" s="1168"/>
    </row>
    <row r="18613" spans="2:2" s="221" customFormat="1" ht="12.75" x14ac:dyDescent="0.2">
      <c r="B18613" s="1168"/>
    </row>
    <row r="18614" spans="2:2" s="221" customFormat="1" ht="12.75" x14ac:dyDescent="0.2">
      <c r="B18614" s="1168"/>
    </row>
    <row r="18615" spans="2:2" s="221" customFormat="1" ht="12.75" x14ac:dyDescent="0.2">
      <c r="B18615" s="1168"/>
    </row>
    <row r="18616" spans="2:2" s="221" customFormat="1" ht="12.75" x14ac:dyDescent="0.2">
      <c r="B18616" s="1168"/>
    </row>
    <row r="18617" spans="2:2" s="221" customFormat="1" ht="12.75" x14ac:dyDescent="0.2">
      <c r="B18617" s="1168"/>
    </row>
    <row r="18618" spans="2:2" s="221" customFormat="1" ht="12.75" x14ac:dyDescent="0.2">
      <c r="B18618" s="1168"/>
    </row>
    <row r="18619" spans="2:2" s="221" customFormat="1" ht="12.75" x14ac:dyDescent="0.2">
      <c r="B18619" s="1168"/>
    </row>
    <row r="18620" spans="2:2" s="221" customFormat="1" ht="12.75" x14ac:dyDescent="0.2">
      <c r="B18620" s="1168"/>
    </row>
    <row r="18621" spans="2:2" s="221" customFormat="1" ht="12.75" x14ac:dyDescent="0.2">
      <c r="B18621" s="1168"/>
    </row>
    <row r="18622" spans="2:2" s="221" customFormat="1" ht="12.75" x14ac:dyDescent="0.2">
      <c r="B18622" s="1168"/>
    </row>
    <row r="18623" spans="2:2" s="221" customFormat="1" ht="12.75" x14ac:dyDescent="0.2">
      <c r="B18623" s="1168"/>
    </row>
    <row r="18624" spans="2:2" s="221" customFormat="1" ht="12.75" x14ac:dyDescent="0.2">
      <c r="B18624" s="1168"/>
    </row>
    <row r="18625" spans="2:2" s="221" customFormat="1" ht="12.75" x14ac:dyDescent="0.2">
      <c r="B18625" s="1168"/>
    </row>
    <row r="18626" spans="2:2" s="221" customFormat="1" ht="12.75" x14ac:dyDescent="0.2">
      <c r="B18626" s="1168"/>
    </row>
    <row r="18627" spans="2:2" s="221" customFormat="1" ht="12.75" x14ac:dyDescent="0.2">
      <c r="B18627" s="1168"/>
    </row>
    <row r="18628" spans="2:2" s="221" customFormat="1" ht="12.75" x14ac:dyDescent="0.2">
      <c r="B18628" s="1168"/>
    </row>
    <row r="18629" spans="2:2" s="221" customFormat="1" ht="12.75" x14ac:dyDescent="0.2">
      <c r="B18629" s="1168"/>
    </row>
    <row r="18630" spans="2:2" s="221" customFormat="1" ht="12.75" x14ac:dyDescent="0.2">
      <c r="B18630" s="1168"/>
    </row>
    <row r="18631" spans="2:2" s="221" customFormat="1" ht="12.75" x14ac:dyDescent="0.2">
      <c r="B18631" s="1168"/>
    </row>
    <row r="18632" spans="2:2" s="221" customFormat="1" ht="12.75" x14ac:dyDescent="0.2">
      <c r="B18632" s="1168"/>
    </row>
    <row r="18633" spans="2:2" s="221" customFormat="1" ht="12.75" x14ac:dyDescent="0.2">
      <c r="B18633" s="1168"/>
    </row>
    <row r="18634" spans="2:2" s="221" customFormat="1" ht="12.75" x14ac:dyDescent="0.2">
      <c r="B18634" s="1168"/>
    </row>
    <row r="18635" spans="2:2" s="221" customFormat="1" ht="12.75" x14ac:dyDescent="0.2">
      <c r="B18635" s="1168"/>
    </row>
    <row r="18636" spans="2:2" s="221" customFormat="1" ht="12.75" x14ac:dyDescent="0.2">
      <c r="B18636" s="1168"/>
    </row>
    <row r="18637" spans="2:2" s="221" customFormat="1" ht="12.75" x14ac:dyDescent="0.2">
      <c r="B18637" s="1168"/>
    </row>
    <row r="18638" spans="2:2" s="221" customFormat="1" ht="12.75" x14ac:dyDescent="0.2">
      <c r="B18638" s="1168"/>
    </row>
    <row r="18639" spans="2:2" s="221" customFormat="1" ht="12.75" x14ac:dyDescent="0.2">
      <c r="B18639" s="1168"/>
    </row>
    <row r="18640" spans="2:2" s="221" customFormat="1" ht="12.75" x14ac:dyDescent="0.2">
      <c r="B18640" s="1168"/>
    </row>
    <row r="18641" spans="2:2" s="221" customFormat="1" ht="12.75" x14ac:dyDescent="0.2">
      <c r="B18641" s="1168"/>
    </row>
    <row r="18642" spans="2:2" s="221" customFormat="1" ht="12.75" x14ac:dyDescent="0.2">
      <c r="B18642" s="1168"/>
    </row>
    <row r="18643" spans="2:2" s="221" customFormat="1" ht="12.75" x14ac:dyDescent="0.2">
      <c r="B18643" s="1168"/>
    </row>
    <row r="18644" spans="2:2" s="221" customFormat="1" ht="12.75" x14ac:dyDescent="0.2">
      <c r="B18644" s="1168"/>
    </row>
    <row r="18645" spans="2:2" s="221" customFormat="1" ht="12.75" x14ac:dyDescent="0.2">
      <c r="B18645" s="1168"/>
    </row>
    <row r="18646" spans="2:2" s="221" customFormat="1" ht="12.75" x14ac:dyDescent="0.2">
      <c r="B18646" s="1168"/>
    </row>
    <row r="18647" spans="2:2" s="221" customFormat="1" ht="12.75" x14ac:dyDescent="0.2">
      <c r="B18647" s="1168"/>
    </row>
    <row r="18648" spans="2:2" s="221" customFormat="1" ht="12.75" x14ac:dyDescent="0.2">
      <c r="B18648" s="1168"/>
    </row>
    <row r="18649" spans="2:2" s="221" customFormat="1" ht="12.75" x14ac:dyDescent="0.2">
      <c r="B18649" s="1168"/>
    </row>
    <row r="18650" spans="2:2" s="221" customFormat="1" ht="12.75" x14ac:dyDescent="0.2">
      <c r="B18650" s="1168"/>
    </row>
    <row r="18651" spans="2:2" s="221" customFormat="1" ht="12.75" x14ac:dyDescent="0.2">
      <c r="B18651" s="1168"/>
    </row>
    <row r="18652" spans="2:2" s="221" customFormat="1" ht="12.75" x14ac:dyDescent="0.2">
      <c r="B18652" s="1168"/>
    </row>
    <row r="18653" spans="2:2" s="221" customFormat="1" ht="12.75" x14ac:dyDescent="0.2">
      <c r="B18653" s="1168"/>
    </row>
    <row r="18654" spans="2:2" s="221" customFormat="1" ht="12.75" x14ac:dyDescent="0.2">
      <c r="B18654" s="1168"/>
    </row>
    <row r="18655" spans="2:2" s="221" customFormat="1" ht="12.75" x14ac:dyDescent="0.2">
      <c r="B18655" s="1168"/>
    </row>
    <row r="18656" spans="2:2" s="221" customFormat="1" ht="12.75" x14ac:dyDescent="0.2">
      <c r="B18656" s="1168"/>
    </row>
    <row r="18657" spans="2:2" s="221" customFormat="1" ht="12.75" x14ac:dyDescent="0.2">
      <c r="B18657" s="1168"/>
    </row>
    <row r="18658" spans="2:2" s="221" customFormat="1" ht="12.75" x14ac:dyDescent="0.2">
      <c r="B18658" s="1168"/>
    </row>
    <row r="18659" spans="2:2" s="221" customFormat="1" ht="12.75" x14ac:dyDescent="0.2">
      <c r="B18659" s="1168"/>
    </row>
    <row r="18660" spans="2:2" s="221" customFormat="1" ht="12.75" x14ac:dyDescent="0.2">
      <c r="B18660" s="1168"/>
    </row>
    <row r="18661" spans="2:2" s="221" customFormat="1" ht="12.75" x14ac:dyDescent="0.2">
      <c r="B18661" s="1168"/>
    </row>
    <row r="18662" spans="2:2" s="221" customFormat="1" ht="12.75" x14ac:dyDescent="0.2">
      <c r="B18662" s="1168"/>
    </row>
    <row r="18663" spans="2:2" s="221" customFormat="1" ht="12.75" x14ac:dyDescent="0.2">
      <c r="B18663" s="1168"/>
    </row>
    <row r="18664" spans="2:2" s="221" customFormat="1" ht="12.75" x14ac:dyDescent="0.2">
      <c r="B18664" s="1168"/>
    </row>
    <row r="18665" spans="2:2" s="221" customFormat="1" ht="12.75" x14ac:dyDescent="0.2">
      <c r="B18665" s="1168"/>
    </row>
    <row r="18666" spans="2:2" s="221" customFormat="1" ht="12.75" x14ac:dyDescent="0.2">
      <c r="B18666" s="1168"/>
    </row>
    <row r="18667" spans="2:2" s="221" customFormat="1" ht="12.75" x14ac:dyDescent="0.2">
      <c r="B18667" s="1168"/>
    </row>
    <row r="18668" spans="2:2" s="221" customFormat="1" ht="12.75" x14ac:dyDescent="0.2">
      <c r="B18668" s="1168"/>
    </row>
    <row r="18669" spans="2:2" s="221" customFormat="1" ht="12.75" x14ac:dyDescent="0.2">
      <c r="B18669" s="1168"/>
    </row>
    <row r="18670" spans="2:2" s="221" customFormat="1" ht="12.75" x14ac:dyDescent="0.2">
      <c r="B18670" s="1168"/>
    </row>
    <row r="18671" spans="2:2" s="221" customFormat="1" ht="12.75" x14ac:dyDescent="0.2">
      <c r="B18671" s="1168"/>
    </row>
    <row r="18672" spans="2:2" s="221" customFormat="1" ht="12.75" x14ac:dyDescent="0.2">
      <c r="B18672" s="1168"/>
    </row>
    <row r="18673" spans="2:2" s="221" customFormat="1" ht="12.75" x14ac:dyDescent="0.2">
      <c r="B18673" s="1168"/>
    </row>
    <row r="18674" spans="2:2" s="221" customFormat="1" ht="12.75" x14ac:dyDescent="0.2">
      <c r="B18674" s="1168"/>
    </row>
    <row r="18675" spans="2:2" s="221" customFormat="1" ht="12.75" x14ac:dyDescent="0.2">
      <c r="B18675" s="1168"/>
    </row>
    <row r="18676" spans="2:2" s="221" customFormat="1" ht="12.75" x14ac:dyDescent="0.2">
      <c r="B18676" s="1168"/>
    </row>
    <row r="18677" spans="2:2" s="221" customFormat="1" ht="12.75" x14ac:dyDescent="0.2">
      <c r="B18677" s="1168"/>
    </row>
    <row r="18678" spans="2:2" s="221" customFormat="1" ht="12.75" x14ac:dyDescent="0.2">
      <c r="B18678" s="1168"/>
    </row>
    <row r="18679" spans="2:2" s="221" customFormat="1" ht="12.75" x14ac:dyDescent="0.2">
      <c r="B18679" s="1168"/>
    </row>
    <row r="18680" spans="2:2" s="221" customFormat="1" ht="12.75" x14ac:dyDescent="0.2">
      <c r="B18680" s="1168"/>
    </row>
    <row r="18681" spans="2:2" s="221" customFormat="1" ht="12.75" x14ac:dyDescent="0.2">
      <c r="B18681" s="1168"/>
    </row>
    <row r="18682" spans="2:2" s="221" customFormat="1" ht="12.75" x14ac:dyDescent="0.2">
      <c r="B18682" s="1168"/>
    </row>
    <row r="18683" spans="2:2" s="221" customFormat="1" ht="12.75" x14ac:dyDescent="0.2">
      <c r="B18683" s="1168"/>
    </row>
    <row r="18684" spans="2:2" s="221" customFormat="1" ht="12.75" x14ac:dyDescent="0.2">
      <c r="B18684" s="1168"/>
    </row>
    <row r="18685" spans="2:2" s="221" customFormat="1" ht="12.75" x14ac:dyDescent="0.2">
      <c r="B18685" s="1168"/>
    </row>
    <row r="18686" spans="2:2" s="221" customFormat="1" ht="12.75" x14ac:dyDescent="0.2">
      <c r="B18686" s="1168"/>
    </row>
    <row r="18687" spans="2:2" s="221" customFormat="1" ht="12.75" x14ac:dyDescent="0.2">
      <c r="B18687" s="1168"/>
    </row>
    <row r="18688" spans="2:2" s="221" customFormat="1" ht="12.75" x14ac:dyDescent="0.2">
      <c r="B18688" s="1168"/>
    </row>
    <row r="18689" spans="2:2" s="221" customFormat="1" ht="12.75" x14ac:dyDescent="0.2">
      <c r="B18689" s="1168"/>
    </row>
    <row r="18690" spans="2:2" s="221" customFormat="1" ht="12.75" x14ac:dyDescent="0.2">
      <c r="B18690" s="1168"/>
    </row>
    <row r="18691" spans="2:2" s="221" customFormat="1" ht="12.75" x14ac:dyDescent="0.2">
      <c r="B18691" s="1168"/>
    </row>
    <row r="18692" spans="2:2" s="221" customFormat="1" ht="12.75" x14ac:dyDescent="0.2">
      <c r="B18692" s="1168"/>
    </row>
    <row r="18693" spans="2:2" s="221" customFormat="1" ht="12.75" x14ac:dyDescent="0.2">
      <c r="B18693" s="1168"/>
    </row>
    <row r="18694" spans="2:2" s="221" customFormat="1" ht="12.75" x14ac:dyDescent="0.2">
      <c r="B18694" s="1168"/>
    </row>
    <row r="18695" spans="2:2" s="221" customFormat="1" ht="12.75" x14ac:dyDescent="0.2">
      <c r="B18695" s="1168"/>
    </row>
    <row r="18696" spans="2:2" s="221" customFormat="1" ht="12.75" x14ac:dyDescent="0.2">
      <c r="B18696" s="1168"/>
    </row>
    <row r="18697" spans="2:2" s="221" customFormat="1" ht="12.75" x14ac:dyDescent="0.2">
      <c r="B18697" s="1168"/>
    </row>
    <row r="18698" spans="2:2" s="221" customFormat="1" ht="12.75" x14ac:dyDescent="0.2">
      <c r="B18698" s="1168"/>
    </row>
    <row r="18699" spans="2:2" s="221" customFormat="1" ht="12.75" x14ac:dyDescent="0.2">
      <c r="B18699" s="1168"/>
    </row>
    <row r="18700" spans="2:2" s="221" customFormat="1" ht="12.75" x14ac:dyDescent="0.2">
      <c r="B18700" s="1168"/>
    </row>
    <row r="18701" spans="2:2" s="221" customFormat="1" ht="12.75" x14ac:dyDescent="0.2">
      <c r="B18701" s="1168"/>
    </row>
    <row r="18702" spans="2:2" s="221" customFormat="1" ht="12.75" x14ac:dyDescent="0.2">
      <c r="B18702" s="1168"/>
    </row>
    <row r="18703" spans="2:2" s="221" customFormat="1" ht="12.75" x14ac:dyDescent="0.2">
      <c r="B18703" s="1168"/>
    </row>
    <row r="18704" spans="2:2" s="221" customFormat="1" ht="12.75" x14ac:dyDescent="0.2">
      <c r="B18704" s="1168"/>
    </row>
    <row r="18705" spans="2:2" s="221" customFormat="1" ht="12.75" x14ac:dyDescent="0.2">
      <c r="B18705" s="1168"/>
    </row>
    <row r="18706" spans="2:2" s="221" customFormat="1" ht="12.75" x14ac:dyDescent="0.2">
      <c r="B18706" s="1168"/>
    </row>
    <row r="18707" spans="2:2" s="221" customFormat="1" ht="12.75" x14ac:dyDescent="0.2">
      <c r="B18707" s="1168"/>
    </row>
    <row r="18708" spans="2:2" s="221" customFormat="1" ht="12.75" x14ac:dyDescent="0.2">
      <c r="B18708" s="1168"/>
    </row>
    <row r="18709" spans="2:2" s="221" customFormat="1" ht="12.75" x14ac:dyDescent="0.2">
      <c r="B18709" s="1168"/>
    </row>
    <row r="18710" spans="2:2" s="221" customFormat="1" ht="12.75" x14ac:dyDescent="0.2">
      <c r="B18710" s="1168"/>
    </row>
    <row r="18711" spans="2:2" s="221" customFormat="1" ht="12.75" x14ac:dyDescent="0.2">
      <c r="B18711" s="1168"/>
    </row>
    <row r="18712" spans="2:2" s="221" customFormat="1" ht="12.75" x14ac:dyDescent="0.2">
      <c r="B18712" s="1168"/>
    </row>
    <row r="18713" spans="2:2" s="221" customFormat="1" ht="12.75" x14ac:dyDescent="0.2">
      <c r="B18713" s="1168"/>
    </row>
    <row r="18714" spans="2:2" s="221" customFormat="1" ht="12.75" x14ac:dyDescent="0.2">
      <c r="B18714" s="1168"/>
    </row>
    <row r="18715" spans="2:2" s="221" customFormat="1" ht="12.75" x14ac:dyDescent="0.2">
      <c r="B18715" s="1168"/>
    </row>
    <row r="18716" spans="2:2" s="221" customFormat="1" ht="12.75" x14ac:dyDescent="0.2">
      <c r="B18716" s="1168"/>
    </row>
    <row r="18717" spans="2:2" s="221" customFormat="1" ht="12.75" x14ac:dyDescent="0.2">
      <c r="B18717" s="1168"/>
    </row>
    <row r="18718" spans="2:2" s="221" customFormat="1" ht="12.75" x14ac:dyDescent="0.2">
      <c r="B18718" s="1168"/>
    </row>
    <row r="18719" spans="2:2" s="221" customFormat="1" ht="12.75" x14ac:dyDescent="0.2">
      <c r="B18719" s="1168"/>
    </row>
    <row r="18720" spans="2:2" s="221" customFormat="1" ht="12.75" x14ac:dyDescent="0.2">
      <c r="B18720" s="1168"/>
    </row>
    <row r="18721" spans="2:2" s="221" customFormat="1" ht="12.75" x14ac:dyDescent="0.2">
      <c r="B18721" s="1168"/>
    </row>
    <row r="18722" spans="2:2" s="221" customFormat="1" ht="12.75" x14ac:dyDescent="0.2">
      <c r="B18722" s="1168"/>
    </row>
    <row r="18723" spans="2:2" s="221" customFormat="1" ht="12.75" x14ac:dyDescent="0.2">
      <c r="B18723" s="1168"/>
    </row>
    <row r="18724" spans="2:2" s="221" customFormat="1" ht="12.75" x14ac:dyDescent="0.2">
      <c r="B18724" s="1168"/>
    </row>
    <row r="18725" spans="2:2" s="221" customFormat="1" ht="12.75" x14ac:dyDescent="0.2">
      <c r="B18725" s="1168"/>
    </row>
    <row r="18726" spans="2:2" s="221" customFormat="1" ht="12.75" x14ac:dyDescent="0.2">
      <c r="B18726" s="1168"/>
    </row>
    <row r="18727" spans="2:2" s="221" customFormat="1" ht="12.75" x14ac:dyDescent="0.2">
      <c r="B18727" s="1168"/>
    </row>
    <row r="18728" spans="2:2" s="221" customFormat="1" ht="12.75" x14ac:dyDescent="0.2">
      <c r="B18728" s="1168"/>
    </row>
    <row r="18729" spans="2:2" s="221" customFormat="1" ht="12.75" x14ac:dyDescent="0.2">
      <c r="B18729" s="1168"/>
    </row>
    <row r="18730" spans="2:2" s="221" customFormat="1" ht="12.75" x14ac:dyDescent="0.2">
      <c r="B18730" s="1168"/>
    </row>
    <row r="18731" spans="2:2" s="221" customFormat="1" ht="12.75" x14ac:dyDescent="0.2">
      <c r="B18731" s="1168"/>
    </row>
    <row r="18732" spans="2:2" s="221" customFormat="1" ht="12.75" x14ac:dyDescent="0.2">
      <c r="B18732" s="1168"/>
    </row>
    <row r="18733" spans="2:2" s="221" customFormat="1" ht="12.75" x14ac:dyDescent="0.2">
      <c r="B18733" s="1168"/>
    </row>
    <row r="18734" spans="2:2" s="221" customFormat="1" ht="12.75" x14ac:dyDescent="0.2">
      <c r="B18734" s="1168"/>
    </row>
    <row r="18735" spans="2:2" s="221" customFormat="1" ht="12.75" x14ac:dyDescent="0.2">
      <c r="B18735" s="1168"/>
    </row>
    <row r="18736" spans="2:2" s="221" customFormat="1" ht="12.75" x14ac:dyDescent="0.2">
      <c r="B18736" s="1168"/>
    </row>
    <row r="18737" spans="2:2" s="221" customFormat="1" ht="12.75" x14ac:dyDescent="0.2">
      <c r="B18737" s="1168"/>
    </row>
    <row r="18738" spans="2:2" s="221" customFormat="1" ht="12.75" x14ac:dyDescent="0.2">
      <c r="B18738" s="1168"/>
    </row>
    <row r="18739" spans="2:2" s="221" customFormat="1" ht="12.75" x14ac:dyDescent="0.2">
      <c r="B18739" s="1168"/>
    </row>
    <row r="18740" spans="2:2" s="221" customFormat="1" ht="12.75" x14ac:dyDescent="0.2">
      <c r="B18740" s="1168"/>
    </row>
    <row r="18741" spans="2:2" s="221" customFormat="1" ht="12.75" x14ac:dyDescent="0.2">
      <c r="B18741" s="1168"/>
    </row>
    <row r="18742" spans="2:2" s="221" customFormat="1" ht="12.75" x14ac:dyDescent="0.2">
      <c r="B18742" s="1168"/>
    </row>
    <row r="18743" spans="2:2" s="221" customFormat="1" ht="12.75" x14ac:dyDescent="0.2">
      <c r="B18743" s="1168"/>
    </row>
    <row r="18744" spans="2:2" s="221" customFormat="1" ht="12.75" x14ac:dyDescent="0.2">
      <c r="B18744" s="1168"/>
    </row>
    <row r="18745" spans="2:2" s="221" customFormat="1" ht="12.75" x14ac:dyDescent="0.2">
      <c r="B18745" s="1168"/>
    </row>
    <row r="18746" spans="2:2" s="221" customFormat="1" ht="12.75" x14ac:dyDescent="0.2">
      <c r="B18746" s="1168"/>
    </row>
    <row r="18747" spans="2:2" s="221" customFormat="1" ht="12.75" x14ac:dyDescent="0.2">
      <c r="B18747" s="1168"/>
    </row>
    <row r="18748" spans="2:2" s="221" customFormat="1" ht="12.75" x14ac:dyDescent="0.2">
      <c r="B18748" s="1168"/>
    </row>
    <row r="18749" spans="2:2" s="221" customFormat="1" ht="12.75" x14ac:dyDescent="0.2">
      <c r="B18749" s="1168"/>
    </row>
    <row r="18750" spans="2:2" s="221" customFormat="1" ht="12.75" x14ac:dyDescent="0.2">
      <c r="B18750" s="1168"/>
    </row>
    <row r="18751" spans="2:2" s="221" customFormat="1" ht="12.75" x14ac:dyDescent="0.2">
      <c r="B18751" s="1168"/>
    </row>
    <row r="18752" spans="2:2" s="221" customFormat="1" ht="12.75" x14ac:dyDescent="0.2">
      <c r="B18752" s="1168"/>
    </row>
    <row r="18753" spans="2:2" s="221" customFormat="1" ht="12.75" x14ac:dyDescent="0.2">
      <c r="B18753" s="1168"/>
    </row>
    <row r="18754" spans="2:2" s="221" customFormat="1" ht="12.75" x14ac:dyDescent="0.2">
      <c r="B18754" s="1168"/>
    </row>
    <row r="18755" spans="2:2" s="221" customFormat="1" ht="12.75" x14ac:dyDescent="0.2">
      <c r="B18755" s="1168"/>
    </row>
    <row r="18756" spans="2:2" s="221" customFormat="1" ht="12.75" x14ac:dyDescent="0.2">
      <c r="B18756" s="1168"/>
    </row>
    <row r="18757" spans="2:2" s="221" customFormat="1" ht="12.75" x14ac:dyDescent="0.2">
      <c r="B18757" s="1168"/>
    </row>
    <row r="18758" spans="2:2" s="221" customFormat="1" ht="12.75" x14ac:dyDescent="0.2">
      <c r="B18758" s="1168"/>
    </row>
    <row r="18759" spans="2:2" s="221" customFormat="1" ht="12.75" x14ac:dyDescent="0.2">
      <c r="B18759" s="1168"/>
    </row>
    <row r="18760" spans="2:2" s="221" customFormat="1" ht="12.75" x14ac:dyDescent="0.2">
      <c r="B18760" s="1168"/>
    </row>
    <row r="18761" spans="2:2" s="221" customFormat="1" ht="12.75" x14ac:dyDescent="0.2">
      <c r="B18761" s="1168"/>
    </row>
    <row r="18762" spans="2:2" s="221" customFormat="1" ht="12.75" x14ac:dyDescent="0.2">
      <c r="B18762" s="1168"/>
    </row>
    <row r="18763" spans="2:2" s="221" customFormat="1" ht="12.75" x14ac:dyDescent="0.2">
      <c r="B18763" s="1168"/>
    </row>
    <row r="18764" spans="2:2" s="221" customFormat="1" ht="12.75" x14ac:dyDescent="0.2">
      <c r="B18764" s="1168"/>
    </row>
    <row r="18765" spans="2:2" s="221" customFormat="1" ht="12.75" x14ac:dyDescent="0.2">
      <c r="B18765" s="1168"/>
    </row>
    <row r="18766" spans="2:2" s="221" customFormat="1" ht="12.75" x14ac:dyDescent="0.2">
      <c r="B18766" s="1168"/>
    </row>
    <row r="18767" spans="2:2" s="221" customFormat="1" ht="12.75" x14ac:dyDescent="0.2">
      <c r="B18767" s="1168"/>
    </row>
    <row r="18768" spans="2:2" s="221" customFormat="1" ht="12.75" x14ac:dyDescent="0.2">
      <c r="B18768" s="1168"/>
    </row>
    <row r="18769" spans="2:2" s="221" customFormat="1" ht="12.75" x14ac:dyDescent="0.2">
      <c r="B18769" s="1168"/>
    </row>
    <row r="18770" spans="2:2" s="221" customFormat="1" ht="12.75" x14ac:dyDescent="0.2">
      <c r="B18770" s="1168"/>
    </row>
    <row r="18771" spans="2:2" s="221" customFormat="1" ht="12.75" x14ac:dyDescent="0.2">
      <c r="B18771" s="1168"/>
    </row>
    <row r="18772" spans="2:2" s="221" customFormat="1" ht="12.75" x14ac:dyDescent="0.2">
      <c r="B18772" s="1168"/>
    </row>
    <row r="18773" spans="2:2" s="221" customFormat="1" ht="12.75" x14ac:dyDescent="0.2">
      <c r="B18773" s="1168"/>
    </row>
    <row r="18774" spans="2:2" s="221" customFormat="1" ht="12.75" x14ac:dyDescent="0.2">
      <c r="B18774" s="1168"/>
    </row>
    <row r="18775" spans="2:2" s="221" customFormat="1" ht="12.75" x14ac:dyDescent="0.2">
      <c r="B18775" s="1168"/>
    </row>
    <row r="18776" spans="2:2" s="221" customFormat="1" ht="12.75" x14ac:dyDescent="0.2">
      <c r="B18776" s="1168"/>
    </row>
    <row r="18777" spans="2:2" s="221" customFormat="1" ht="12.75" x14ac:dyDescent="0.2">
      <c r="B18777" s="1168"/>
    </row>
    <row r="18778" spans="2:2" s="221" customFormat="1" ht="12.75" x14ac:dyDescent="0.2">
      <c r="B18778" s="1168"/>
    </row>
    <row r="18779" spans="2:2" s="221" customFormat="1" ht="12.75" x14ac:dyDescent="0.2">
      <c r="B18779" s="1168"/>
    </row>
    <row r="18780" spans="2:2" s="221" customFormat="1" ht="12.75" x14ac:dyDescent="0.2">
      <c r="B18780" s="1168"/>
    </row>
    <row r="18781" spans="2:2" s="221" customFormat="1" ht="12.75" x14ac:dyDescent="0.2">
      <c r="B18781" s="1168"/>
    </row>
    <row r="18782" spans="2:2" s="221" customFormat="1" ht="12.75" x14ac:dyDescent="0.2">
      <c r="B18782" s="1168"/>
    </row>
    <row r="18783" spans="2:2" s="221" customFormat="1" ht="12.75" x14ac:dyDescent="0.2">
      <c r="B18783" s="1168"/>
    </row>
    <row r="18784" spans="2:2" s="221" customFormat="1" ht="12.75" x14ac:dyDescent="0.2">
      <c r="B18784" s="1168"/>
    </row>
    <row r="18785" spans="2:2" s="221" customFormat="1" ht="12.75" x14ac:dyDescent="0.2">
      <c r="B18785" s="1168"/>
    </row>
    <row r="18786" spans="2:2" s="221" customFormat="1" ht="12.75" x14ac:dyDescent="0.2">
      <c r="B18786" s="1168"/>
    </row>
    <row r="18787" spans="2:2" s="221" customFormat="1" ht="12.75" x14ac:dyDescent="0.2">
      <c r="B18787" s="1168"/>
    </row>
    <row r="18788" spans="2:2" s="221" customFormat="1" ht="12.75" x14ac:dyDescent="0.2">
      <c r="B18788" s="1168"/>
    </row>
    <row r="18789" spans="2:2" s="221" customFormat="1" ht="12.75" x14ac:dyDescent="0.2">
      <c r="B18789" s="1168"/>
    </row>
    <row r="18790" spans="2:2" s="221" customFormat="1" ht="12.75" x14ac:dyDescent="0.2">
      <c r="B18790" s="1168"/>
    </row>
    <row r="18791" spans="2:2" s="221" customFormat="1" ht="12.75" x14ac:dyDescent="0.2">
      <c r="B18791" s="1168"/>
    </row>
    <row r="18792" spans="2:2" s="221" customFormat="1" ht="12.75" x14ac:dyDescent="0.2">
      <c r="B18792" s="1168"/>
    </row>
    <row r="18793" spans="2:2" s="221" customFormat="1" ht="12.75" x14ac:dyDescent="0.2">
      <c r="B18793" s="1168"/>
    </row>
    <row r="18794" spans="2:2" s="221" customFormat="1" ht="12.75" x14ac:dyDescent="0.2">
      <c r="B18794" s="1168"/>
    </row>
    <row r="18795" spans="2:2" s="221" customFormat="1" ht="12.75" x14ac:dyDescent="0.2">
      <c r="B18795" s="1168"/>
    </row>
    <row r="18796" spans="2:2" s="221" customFormat="1" ht="12.75" x14ac:dyDescent="0.2">
      <c r="B18796" s="1168"/>
    </row>
    <row r="18797" spans="2:2" s="221" customFormat="1" ht="12.75" x14ac:dyDescent="0.2">
      <c r="B18797" s="1168"/>
    </row>
    <row r="18798" spans="2:2" s="221" customFormat="1" ht="12.75" x14ac:dyDescent="0.2">
      <c r="B18798" s="1168"/>
    </row>
    <row r="18799" spans="2:2" s="221" customFormat="1" ht="12.75" x14ac:dyDescent="0.2">
      <c r="B18799" s="1168"/>
    </row>
    <row r="18800" spans="2:2" s="221" customFormat="1" ht="12.75" x14ac:dyDescent="0.2">
      <c r="B18800" s="1168"/>
    </row>
    <row r="18801" spans="2:2" s="221" customFormat="1" ht="12.75" x14ac:dyDescent="0.2">
      <c r="B18801" s="1168"/>
    </row>
    <row r="18802" spans="2:2" s="221" customFormat="1" ht="12.75" x14ac:dyDescent="0.2">
      <c r="B18802" s="1168"/>
    </row>
    <row r="18803" spans="2:2" s="221" customFormat="1" ht="12.75" x14ac:dyDescent="0.2">
      <c r="B18803" s="1168"/>
    </row>
    <row r="18804" spans="2:2" s="221" customFormat="1" ht="12.75" x14ac:dyDescent="0.2">
      <c r="B18804" s="1168"/>
    </row>
    <row r="18805" spans="2:2" s="221" customFormat="1" ht="12.75" x14ac:dyDescent="0.2">
      <c r="B18805" s="1168"/>
    </row>
    <row r="18806" spans="2:2" s="221" customFormat="1" ht="12.75" x14ac:dyDescent="0.2">
      <c r="B18806" s="1168"/>
    </row>
    <row r="18807" spans="2:2" s="221" customFormat="1" ht="12.75" x14ac:dyDescent="0.2">
      <c r="B18807" s="1168"/>
    </row>
    <row r="18808" spans="2:2" s="221" customFormat="1" ht="12.75" x14ac:dyDescent="0.2">
      <c r="B18808" s="1168"/>
    </row>
    <row r="18809" spans="2:2" s="221" customFormat="1" ht="12.75" x14ac:dyDescent="0.2">
      <c r="B18809" s="1168"/>
    </row>
    <row r="18810" spans="2:2" s="221" customFormat="1" ht="12.75" x14ac:dyDescent="0.2">
      <c r="B18810" s="1168"/>
    </row>
    <row r="18811" spans="2:2" s="221" customFormat="1" ht="12.75" x14ac:dyDescent="0.2">
      <c r="B18811" s="1168"/>
    </row>
    <row r="18812" spans="2:2" s="221" customFormat="1" ht="12.75" x14ac:dyDescent="0.2">
      <c r="B18812" s="1168"/>
    </row>
    <row r="18813" spans="2:2" s="221" customFormat="1" ht="12.75" x14ac:dyDescent="0.2">
      <c r="B18813" s="1168"/>
    </row>
    <row r="18814" spans="2:2" s="221" customFormat="1" ht="12.75" x14ac:dyDescent="0.2">
      <c r="B18814" s="1168"/>
    </row>
    <row r="18815" spans="2:2" s="221" customFormat="1" ht="12.75" x14ac:dyDescent="0.2">
      <c r="B18815" s="1168"/>
    </row>
    <row r="18816" spans="2:2" s="221" customFormat="1" ht="12.75" x14ac:dyDescent="0.2">
      <c r="B18816" s="1168"/>
    </row>
    <row r="18817" spans="2:2" s="221" customFormat="1" ht="12.75" x14ac:dyDescent="0.2">
      <c r="B18817" s="1168"/>
    </row>
    <row r="18818" spans="2:2" s="221" customFormat="1" ht="12.75" x14ac:dyDescent="0.2">
      <c r="B18818" s="1168"/>
    </row>
    <row r="18819" spans="2:2" s="221" customFormat="1" ht="12.75" x14ac:dyDescent="0.2">
      <c r="B18819" s="1168"/>
    </row>
    <row r="18820" spans="2:2" s="221" customFormat="1" ht="12.75" x14ac:dyDescent="0.2">
      <c r="B18820" s="1168"/>
    </row>
    <row r="18821" spans="2:2" s="221" customFormat="1" ht="12.75" x14ac:dyDescent="0.2">
      <c r="B18821" s="1168"/>
    </row>
    <row r="18822" spans="2:2" s="221" customFormat="1" ht="12.75" x14ac:dyDescent="0.2">
      <c r="B18822" s="1168"/>
    </row>
    <row r="18823" spans="2:2" s="221" customFormat="1" ht="12.75" x14ac:dyDescent="0.2">
      <c r="B18823" s="1168"/>
    </row>
    <row r="18824" spans="2:2" s="221" customFormat="1" ht="12.75" x14ac:dyDescent="0.2">
      <c r="B18824" s="1168"/>
    </row>
    <row r="18825" spans="2:2" s="221" customFormat="1" ht="12.75" x14ac:dyDescent="0.2">
      <c r="B18825" s="1168"/>
    </row>
    <row r="18826" spans="2:2" s="221" customFormat="1" ht="12.75" x14ac:dyDescent="0.2">
      <c r="B18826" s="1168"/>
    </row>
    <row r="18827" spans="2:2" s="221" customFormat="1" ht="12.75" x14ac:dyDescent="0.2">
      <c r="B18827" s="1168"/>
    </row>
    <row r="18828" spans="2:2" s="221" customFormat="1" ht="12.75" x14ac:dyDescent="0.2">
      <c r="B18828" s="1168"/>
    </row>
    <row r="18829" spans="2:2" s="221" customFormat="1" ht="12.75" x14ac:dyDescent="0.2">
      <c r="B18829" s="1168"/>
    </row>
    <row r="18830" spans="2:2" s="221" customFormat="1" ht="12.75" x14ac:dyDescent="0.2">
      <c r="B18830" s="1168"/>
    </row>
    <row r="18831" spans="2:2" s="221" customFormat="1" ht="12.75" x14ac:dyDescent="0.2">
      <c r="B18831" s="1168"/>
    </row>
    <row r="18832" spans="2:2" s="221" customFormat="1" ht="12.75" x14ac:dyDescent="0.2">
      <c r="B18832" s="1168"/>
    </row>
    <row r="18833" spans="2:2" s="221" customFormat="1" ht="12.75" x14ac:dyDescent="0.2">
      <c r="B18833" s="1168"/>
    </row>
    <row r="18834" spans="2:2" s="221" customFormat="1" ht="12.75" x14ac:dyDescent="0.2">
      <c r="B18834" s="1168"/>
    </row>
    <row r="18835" spans="2:2" s="221" customFormat="1" ht="12.75" x14ac:dyDescent="0.2">
      <c r="B18835" s="1168"/>
    </row>
    <row r="18836" spans="2:2" s="221" customFormat="1" ht="12.75" x14ac:dyDescent="0.2">
      <c r="B18836" s="1168"/>
    </row>
    <row r="18837" spans="2:2" s="221" customFormat="1" ht="12.75" x14ac:dyDescent="0.2">
      <c r="B18837" s="1168"/>
    </row>
    <row r="18838" spans="2:2" s="221" customFormat="1" ht="12.75" x14ac:dyDescent="0.2">
      <c r="B18838" s="1168"/>
    </row>
    <row r="18839" spans="2:2" s="221" customFormat="1" ht="12.75" x14ac:dyDescent="0.2">
      <c r="B18839" s="1168"/>
    </row>
    <row r="18840" spans="2:2" s="221" customFormat="1" ht="12.75" x14ac:dyDescent="0.2">
      <c r="B18840" s="1168"/>
    </row>
    <row r="18841" spans="2:2" s="221" customFormat="1" ht="12.75" x14ac:dyDescent="0.2">
      <c r="B18841" s="1168"/>
    </row>
    <row r="18842" spans="2:2" s="221" customFormat="1" ht="12.75" x14ac:dyDescent="0.2">
      <c r="B18842" s="1168"/>
    </row>
    <row r="18843" spans="2:2" s="221" customFormat="1" ht="12.75" x14ac:dyDescent="0.2">
      <c r="B18843" s="1168"/>
    </row>
    <row r="18844" spans="2:2" s="221" customFormat="1" ht="12.75" x14ac:dyDescent="0.2">
      <c r="B18844" s="1168"/>
    </row>
    <row r="18845" spans="2:2" s="221" customFormat="1" ht="12.75" x14ac:dyDescent="0.2">
      <c r="B18845" s="1168"/>
    </row>
    <row r="18846" spans="2:2" s="221" customFormat="1" ht="12.75" x14ac:dyDescent="0.2">
      <c r="B18846" s="1168"/>
    </row>
    <row r="18847" spans="2:2" s="221" customFormat="1" ht="12.75" x14ac:dyDescent="0.2">
      <c r="B18847" s="1168"/>
    </row>
    <row r="18848" spans="2:2" s="221" customFormat="1" ht="12.75" x14ac:dyDescent="0.2">
      <c r="B18848" s="1168"/>
    </row>
    <row r="18849" spans="2:2" s="221" customFormat="1" ht="12.75" x14ac:dyDescent="0.2">
      <c r="B18849" s="1168"/>
    </row>
    <row r="18850" spans="2:2" s="221" customFormat="1" ht="12.75" x14ac:dyDescent="0.2">
      <c r="B18850" s="1168"/>
    </row>
    <row r="18851" spans="2:2" s="221" customFormat="1" ht="12.75" x14ac:dyDescent="0.2">
      <c r="B18851" s="1168"/>
    </row>
    <row r="18852" spans="2:2" s="221" customFormat="1" ht="12.75" x14ac:dyDescent="0.2">
      <c r="B18852" s="1168"/>
    </row>
    <row r="18853" spans="2:2" s="221" customFormat="1" ht="12.75" x14ac:dyDescent="0.2">
      <c r="B18853" s="1168"/>
    </row>
    <row r="18854" spans="2:2" s="221" customFormat="1" ht="12.75" x14ac:dyDescent="0.2">
      <c r="B18854" s="1168"/>
    </row>
    <row r="18855" spans="2:2" s="221" customFormat="1" ht="12.75" x14ac:dyDescent="0.2">
      <c r="B18855" s="1168"/>
    </row>
    <row r="18856" spans="2:2" s="221" customFormat="1" ht="12.75" x14ac:dyDescent="0.2">
      <c r="B18856" s="1168"/>
    </row>
    <row r="18857" spans="2:2" s="221" customFormat="1" ht="12.75" x14ac:dyDescent="0.2">
      <c r="B18857" s="1168"/>
    </row>
    <row r="18858" spans="2:2" s="221" customFormat="1" ht="12.75" x14ac:dyDescent="0.2">
      <c r="B18858" s="1168"/>
    </row>
    <row r="18859" spans="2:2" s="221" customFormat="1" ht="12.75" x14ac:dyDescent="0.2">
      <c r="B18859" s="1168"/>
    </row>
    <row r="18860" spans="2:2" s="221" customFormat="1" ht="12.75" x14ac:dyDescent="0.2">
      <c r="B18860" s="1168"/>
    </row>
    <row r="18861" spans="2:2" s="221" customFormat="1" ht="12.75" x14ac:dyDescent="0.2">
      <c r="B18861" s="1168"/>
    </row>
    <row r="18862" spans="2:2" s="221" customFormat="1" ht="12.75" x14ac:dyDescent="0.2">
      <c r="B18862" s="1168"/>
    </row>
    <row r="18863" spans="2:2" s="221" customFormat="1" ht="12.75" x14ac:dyDescent="0.2">
      <c r="B18863" s="1168"/>
    </row>
    <row r="18864" spans="2:2" s="221" customFormat="1" ht="12.75" x14ac:dyDescent="0.2">
      <c r="B18864" s="1168"/>
    </row>
    <row r="18865" spans="2:2" s="221" customFormat="1" ht="12.75" x14ac:dyDescent="0.2">
      <c r="B18865" s="1168"/>
    </row>
    <row r="18866" spans="2:2" s="221" customFormat="1" ht="12.75" x14ac:dyDescent="0.2">
      <c r="B18866" s="1168"/>
    </row>
    <row r="18867" spans="2:2" s="221" customFormat="1" ht="12.75" x14ac:dyDescent="0.2">
      <c r="B18867" s="1168"/>
    </row>
    <row r="18868" spans="2:2" s="221" customFormat="1" ht="12.75" x14ac:dyDescent="0.2">
      <c r="B18868" s="1168"/>
    </row>
    <row r="18869" spans="2:2" s="221" customFormat="1" ht="12.75" x14ac:dyDescent="0.2">
      <c r="B18869" s="1168"/>
    </row>
    <row r="18870" spans="2:2" s="221" customFormat="1" ht="12.75" x14ac:dyDescent="0.2">
      <c r="B18870" s="1168"/>
    </row>
    <row r="18871" spans="2:2" s="221" customFormat="1" ht="12.75" x14ac:dyDescent="0.2">
      <c r="B18871" s="1168"/>
    </row>
    <row r="18872" spans="2:2" s="221" customFormat="1" ht="12.75" x14ac:dyDescent="0.2">
      <c r="B18872" s="1168"/>
    </row>
    <row r="18873" spans="2:2" s="221" customFormat="1" ht="12.75" x14ac:dyDescent="0.2">
      <c r="B18873" s="1168"/>
    </row>
    <row r="18874" spans="2:2" s="221" customFormat="1" ht="12.75" x14ac:dyDescent="0.2">
      <c r="B18874" s="1168"/>
    </row>
    <row r="18875" spans="2:2" s="221" customFormat="1" ht="12.75" x14ac:dyDescent="0.2">
      <c r="B18875" s="1168"/>
    </row>
    <row r="18876" spans="2:2" s="221" customFormat="1" ht="12.75" x14ac:dyDescent="0.2">
      <c r="B18876" s="1168"/>
    </row>
    <row r="18877" spans="2:2" s="221" customFormat="1" ht="12.75" x14ac:dyDescent="0.2">
      <c r="B18877" s="1168"/>
    </row>
    <row r="18878" spans="2:2" s="221" customFormat="1" ht="12.75" x14ac:dyDescent="0.2">
      <c r="B18878" s="1168"/>
    </row>
    <row r="18879" spans="2:2" s="221" customFormat="1" ht="12.75" x14ac:dyDescent="0.2">
      <c r="B18879" s="1168"/>
    </row>
    <row r="18880" spans="2:2" s="221" customFormat="1" ht="12.75" x14ac:dyDescent="0.2">
      <c r="B18880" s="1168"/>
    </row>
    <row r="18881" spans="2:2" s="221" customFormat="1" ht="12.75" x14ac:dyDescent="0.2">
      <c r="B18881" s="1168"/>
    </row>
    <row r="18882" spans="2:2" s="221" customFormat="1" ht="12.75" x14ac:dyDescent="0.2">
      <c r="B18882" s="1168"/>
    </row>
    <row r="18883" spans="2:2" s="221" customFormat="1" ht="12.75" x14ac:dyDescent="0.2">
      <c r="B18883" s="1168"/>
    </row>
    <row r="18884" spans="2:2" s="221" customFormat="1" ht="12.75" x14ac:dyDescent="0.2">
      <c r="B18884" s="1168"/>
    </row>
    <row r="18885" spans="2:2" s="221" customFormat="1" ht="12.75" x14ac:dyDescent="0.2">
      <c r="B18885" s="1168"/>
    </row>
    <row r="18886" spans="2:2" s="221" customFormat="1" ht="12.75" x14ac:dyDescent="0.2">
      <c r="B18886" s="1168"/>
    </row>
    <row r="18887" spans="2:2" s="221" customFormat="1" ht="12.75" x14ac:dyDescent="0.2">
      <c r="B18887" s="1168"/>
    </row>
    <row r="18888" spans="2:2" s="221" customFormat="1" ht="12.75" x14ac:dyDescent="0.2">
      <c r="B18888" s="1168"/>
    </row>
    <row r="18889" spans="2:2" s="221" customFormat="1" ht="12.75" x14ac:dyDescent="0.2">
      <c r="B18889" s="1168"/>
    </row>
    <row r="18890" spans="2:2" s="221" customFormat="1" ht="12.75" x14ac:dyDescent="0.2">
      <c r="B18890" s="1168"/>
    </row>
    <row r="18891" spans="2:2" s="221" customFormat="1" ht="12.75" x14ac:dyDescent="0.2">
      <c r="B18891" s="1168"/>
    </row>
    <row r="18892" spans="2:2" s="221" customFormat="1" ht="12.75" x14ac:dyDescent="0.2">
      <c r="B18892" s="1168"/>
    </row>
    <row r="18893" spans="2:2" s="221" customFormat="1" ht="12.75" x14ac:dyDescent="0.2">
      <c r="B18893" s="1168"/>
    </row>
    <row r="18894" spans="2:2" s="221" customFormat="1" ht="12.75" x14ac:dyDescent="0.2">
      <c r="B18894" s="1168"/>
    </row>
    <row r="18895" spans="2:2" s="221" customFormat="1" ht="12.75" x14ac:dyDescent="0.2">
      <c r="B18895" s="1168"/>
    </row>
    <row r="18896" spans="2:2" s="221" customFormat="1" ht="12.75" x14ac:dyDescent="0.2">
      <c r="B18896" s="1168"/>
    </row>
    <row r="18897" spans="2:2" s="221" customFormat="1" ht="12.75" x14ac:dyDescent="0.2">
      <c r="B18897" s="1168"/>
    </row>
    <row r="18898" spans="2:2" s="221" customFormat="1" ht="12.75" x14ac:dyDescent="0.2">
      <c r="B18898" s="1168"/>
    </row>
    <row r="18899" spans="2:2" s="221" customFormat="1" ht="12.75" x14ac:dyDescent="0.2">
      <c r="B18899" s="1168"/>
    </row>
    <row r="18900" spans="2:2" s="221" customFormat="1" ht="12.75" x14ac:dyDescent="0.2">
      <c r="B18900" s="1168"/>
    </row>
    <row r="18901" spans="2:2" s="221" customFormat="1" ht="12.75" x14ac:dyDescent="0.2">
      <c r="B18901" s="1168"/>
    </row>
    <row r="18902" spans="2:2" s="221" customFormat="1" ht="12.75" x14ac:dyDescent="0.2">
      <c r="B18902" s="1168"/>
    </row>
    <row r="18903" spans="2:2" s="221" customFormat="1" ht="12.75" x14ac:dyDescent="0.2">
      <c r="B18903" s="1168"/>
    </row>
    <row r="18904" spans="2:2" s="221" customFormat="1" ht="12.75" x14ac:dyDescent="0.2">
      <c r="B18904" s="1168"/>
    </row>
    <row r="18905" spans="2:2" s="221" customFormat="1" ht="12.75" x14ac:dyDescent="0.2">
      <c r="B18905" s="1168"/>
    </row>
    <row r="18906" spans="2:2" s="221" customFormat="1" ht="12.75" x14ac:dyDescent="0.2">
      <c r="B18906" s="1168"/>
    </row>
    <row r="18907" spans="2:2" s="221" customFormat="1" ht="12.75" x14ac:dyDescent="0.2">
      <c r="B18907" s="1168"/>
    </row>
    <row r="18908" spans="2:2" s="221" customFormat="1" ht="12.75" x14ac:dyDescent="0.2">
      <c r="B18908" s="1168"/>
    </row>
    <row r="18909" spans="2:2" s="221" customFormat="1" ht="12.75" x14ac:dyDescent="0.2">
      <c r="B18909" s="1168"/>
    </row>
    <row r="18910" spans="2:2" s="221" customFormat="1" ht="12.75" x14ac:dyDescent="0.2">
      <c r="B18910" s="1168"/>
    </row>
    <row r="18911" spans="2:2" s="221" customFormat="1" ht="12.75" x14ac:dyDescent="0.2">
      <c r="B18911" s="1168"/>
    </row>
    <row r="18912" spans="2:2" s="221" customFormat="1" ht="12.75" x14ac:dyDescent="0.2">
      <c r="B18912" s="1168"/>
    </row>
    <row r="18913" spans="2:2" s="221" customFormat="1" ht="12.75" x14ac:dyDescent="0.2">
      <c r="B18913" s="1168"/>
    </row>
    <row r="18914" spans="2:2" s="221" customFormat="1" ht="12.75" x14ac:dyDescent="0.2">
      <c r="B18914" s="1168"/>
    </row>
    <row r="18915" spans="2:2" s="221" customFormat="1" ht="12.75" x14ac:dyDescent="0.2">
      <c r="B18915" s="1168"/>
    </row>
    <row r="18916" spans="2:2" s="221" customFormat="1" ht="12.75" x14ac:dyDescent="0.2">
      <c r="B18916" s="1168"/>
    </row>
    <row r="18917" spans="2:2" s="221" customFormat="1" ht="12.75" x14ac:dyDescent="0.2">
      <c r="B18917" s="1168"/>
    </row>
    <row r="18918" spans="2:2" s="221" customFormat="1" ht="12.75" x14ac:dyDescent="0.2">
      <c r="B18918" s="1168"/>
    </row>
    <row r="18919" spans="2:2" s="221" customFormat="1" ht="12.75" x14ac:dyDescent="0.2">
      <c r="B18919" s="1168"/>
    </row>
    <row r="18920" spans="2:2" s="221" customFormat="1" ht="12.75" x14ac:dyDescent="0.2">
      <c r="B18920" s="1168"/>
    </row>
    <row r="18921" spans="2:2" s="221" customFormat="1" ht="12.75" x14ac:dyDescent="0.2">
      <c r="B18921" s="1168"/>
    </row>
    <row r="18922" spans="2:2" s="221" customFormat="1" ht="12.75" x14ac:dyDescent="0.2">
      <c r="B18922" s="1168"/>
    </row>
    <row r="18923" spans="2:2" s="221" customFormat="1" ht="12.75" x14ac:dyDescent="0.2">
      <c r="B18923" s="1168"/>
    </row>
    <row r="18924" spans="2:2" s="221" customFormat="1" ht="12.75" x14ac:dyDescent="0.2">
      <c r="B18924" s="1168"/>
    </row>
    <row r="18925" spans="2:2" s="221" customFormat="1" ht="12.75" x14ac:dyDescent="0.2">
      <c r="B18925" s="1168"/>
    </row>
    <row r="18926" spans="2:2" s="221" customFormat="1" ht="12.75" x14ac:dyDescent="0.2">
      <c r="B18926" s="1168"/>
    </row>
    <row r="18927" spans="2:2" s="221" customFormat="1" ht="12.75" x14ac:dyDescent="0.2">
      <c r="B18927" s="1168"/>
    </row>
    <row r="18928" spans="2:2" s="221" customFormat="1" ht="12.75" x14ac:dyDescent="0.2">
      <c r="B18928" s="1168"/>
    </row>
    <row r="18929" spans="2:2" s="221" customFormat="1" ht="12.75" x14ac:dyDescent="0.2">
      <c r="B18929" s="1168"/>
    </row>
    <row r="18930" spans="2:2" s="221" customFormat="1" ht="12.75" x14ac:dyDescent="0.2">
      <c r="B18930" s="1168"/>
    </row>
    <row r="18931" spans="2:2" s="221" customFormat="1" ht="12.75" x14ac:dyDescent="0.2">
      <c r="B18931" s="1168"/>
    </row>
    <row r="18932" spans="2:2" s="221" customFormat="1" ht="12.75" x14ac:dyDescent="0.2">
      <c r="B18932" s="1168"/>
    </row>
    <row r="18933" spans="2:2" s="221" customFormat="1" ht="12.75" x14ac:dyDescent="0.2">
      <c r="B18933" s="1168"/>
    </row>
    <row r="18934" spans="2:2" s="221" customFormat="1" ht="12.75" x14ac:dyDescent="0.2">
      <c r="B18934" s="1168"/>
    </row>
    <row r="18935" spans="2:2" s="221" customFormat="1" ht="12.75" x14ac:dyDescent="0.2">
      <c r="B18935" s="1168"/>
    </row>
    <row r="18936" spans="2:2" s="221" customFormat="1" ht="12.75" x14ac:dyDescent="0.2">
      <c r="B18936" s="1168"/>
    </row>
    <row r="18937" spans="2:2" s="221" customFormat="1" ht="12.75" x14ac:dyDescent="0.2">
      <c r="B18937" s="1168"/>
    </row>
    <row r="18938" spans="2:2" s="221" customFormat="1" ht="12.75" x14ac:dyDescent="0.2">
      <c r="B18938" s="1168"/>
    </row>
    <row r="18939" spans="2:2" s="221" customFormat="1" ht="12.75" x14ac:dyDescent="0.2">
      <c r="B18939" s="1168"/>
    </row>
    <row r="18940" spans="2:2" s="221" customFormat="1" ht="12.75" x14ac:dyDescent="0.2">
      <c r="B18940" s="1168"/>
    </row>
    <row r="18941" spans="2:2" s="221" customFormat="1" ht="12.75" x14ac:dyDescent="0.2">
      <c r="B18941" s="1168"/>
    </row>
    <row r="18942" spans="2:2" s="221" customFormat="1" ht="12.75" x14ac:dyDescent="0.2">
      <c r="B18942" s="1168"/>
    </row>
    <row r="18943" spans="2:2" s="221" customFormat="1" ht="12.75" x14ac:dyDescent="0.2">
      <c r="B18943" s="1168"/>
    </row>
    <row r="18944" spans="2:2" s="221" customFormat="1" ht="12.75" x14ac:dyDescent="0.2">
      <c r="B18944" s="1168"/>
    </row>
    <row r="18945" spans="2:2" s="221" customFormat="1" ht="12.75" x14ac:dyDescent="0.2">
      <c r="B18945" s="1168"/>
    </row>
    <row r="18946" spans="2:2" s="221" customFormat="1" ht="12.75" x14ac:dyDescent="0.2">
      <c r="B18946" s="1168"/>
    </row>
    <row r="18947" spans="2:2" s="221" customFormat="1" ht="12.75" x14ac:dyDescent="0.2">
      <c r="B18947" s="1168"/>
    </row>
    <row r="18948" spans="2:2" s="221" customFormat="1" ht="12.75" x14ac:dyDescent="0.2">
      <c r="B18948" s="1168"/>
    </row>
    <row r="18949" spans="2:2" s="221" customFormat="1" ht="12.75" x14ac:dyDescent="0.2">
      <c r="B18949" s="1168"/>
    </row>
    <row r="18950" spans="2:2" s="221" customFormat="1" ht="12.75" x14ac:dyDescent="0.2">
      <c r="B18950" s="1168"/>
    </row>
    <row r="18951" spans="2:2" s="221" customFormat="1" ht="12.75" x14ac:dyDescent="0.2">
      <c r="B18951" s="1168"/>
    </row>
    <row r="18952" spans="2:2" s="221" customFormat="1" ht="12.75" x14ac:dyDescent="0.2">
      <c r="B18952" s="1168"/>
    </row>
    <row r="18953" spans="2:2" s="221" customFormat="1" ht="12.75" x14ac:dyDescent="0.2">
      <c r="B18953" s="1168"/>
    </row>
    <row r="18954" spans="2:2" s="221" customFormat="1" ht="12.75" x14ac:dyDescent="0.2">
      <c r="B18954" s="1168"/>
    </row>
    <row r="18955" spans="2:2" s="221" customFormat="1" ht="12.75" x14ac:dyDescent="0.2">
      <c r="B18955" s="1168"/>
    </row>
    <row r="18956" spans="2:2" s="221" customFormat="1" ht="12.75" x14ac:dyDescent="0.2">
      <c r="B18956" s="1168"/>
    </row>
    <row r="18957" spans="2:2" s="221" customFormat="1" ht="12.75" x14ac:dyDescent="0.2">
      <c r="B18957" s="1168"/>
    </row>
    <row r="18958" spans="2:2" s="221" customFormat="1" ht="12.75" x14ac:dyDescent="0.2">
      <c r="B18958" s="1168"/>
    </row>
    <row r="18959" spans="2:2" s="221" customFormat="1" ht="12.75" x14ac:dyDescent="0.2">
      <c r="B18959" s="1168"/>
    </row>
    <row r="18960" spans="2:2" s="221" customFormat="1" ht="12.75" x14ac:dyDescent="0.2">
      <c r="B18960" s="1168"/>
    </row>
    <row r="18961" spans="2:2" s="221" customFormat="1" ht="12.75" x14ac:dyDescent="0.2">
      <c r="B18961" s="1168"/>
    </row>
    <row r="18962" spans="2:2" s="221" customFormat="1" ht="12.75" x14ac:dyDescent="0.2">
      <c r="B18962" s="1168"/>
    </row>
    <row r="18963" spans="2:2" s="221" customFormat="1" ht="12.75" x14ac:dyDescent="0.2">
      <c r="B18963" s="1168"/>
    </row>
    <row r="18964" spans="2:2" s="221" customFormat="1" ht="12.75" x14ac:dyDescent="0.2">
      <c r="B18964" s="1168"/>
    </row>
    <row r="18965" spans="2:2" s="221" customFormat="1" ht="12.75" x14ac:dyDescent="0.2">
      <c r="B18965" s="1168"/>
    </row>
    <row r="18966" spans="2:2" s="221" customFormat="1" ht="12.75" x14ac:dyDescent="0.2">
      <c r="B18966" s="1168"/>
    </row>
    <row r="18967" spans="2:2" s="221" customFormat="1" ht="12.75" x14ac:dyDescent="0.2">
      <c r="B18967" s="1168"/>
    </row>
    <row r="18968" spans="2:2" s="221" customFormat="1" ht="12.75" x14ac:dyDescent="0.2">
      <c r="B18968" s="1168"/>
    </row>
    <row r="18969" spans="2:2" s="221" customFormat="1" ht="12.75" x14ac:dyDescent="0.2">
      <c r="B18969" s="1168"/>
    </row>
    <row r="18970" spans="2:2" s="221" customFormat="1" ht="12.75" x14ac:dyDescent="0.2">
      <c r="B18970" s="1168"/>
    </row>
    <row r="18971" spans="2:2" s="221" customFormat="1" ht="12.75" x14ac:dyDescent="0.2">
      <c r="B18971" s="1168"/>
    </row>
    <row r="18972" spans="2:2" s="221" customFormat="1" ht="12.75" x14ac:dyDescent="0.2">
      <c r="B18972" s="1168"/>
    </row>
    <row r="18973" spans="2:2" s="221" customFormat="1" ht="12.75" x14ac:dyDescent="0.2">
      <c r="B18973" s="1168"/>
    </row>
    <row r="18974" spans="2:2" s="221" customFormat="1" ht="12.75" x14ac:dyDescent="0.2">
      <c r="B18974" s="1168"/>
    </row>
    <row r="18975" spans="2:2" s="221" customFormat="1" ht="12.75" x14ac:dyDescent="0.2">
      <c r="B18975" s="1168"/>
    </row>
    <row r="18976" spans="2:2" s="221" customFormat="1" ht="12.75" x14ac:dyDescent="0.2">
      <c r="B18976" s="1168"/>
    </row>
    <row r="18977" spans="2:2" s="221" customFormat="1" ht="12.75" x14ac:dyDescent="0.2">
      <c r="B18977" s="1168"/>
    </row>
    <row r="18978" spans="2:2" s="221" customFormat="1" ht="12.75" x14ac:dyDescent="0.2">
      <c r="B18978" s="1168"/>
    </row>
    <row r="18979" spans="2:2" s="221" customFormat="1" ht="12.75" x14ac:dyDescent="0.2">
      <c r="B18979" s="1168"/>
    </row>
    <row r="18980" spans="2:2" s="221" customFormat="1" ht="12.75" x14ac:dyDescent="0.2">
      <c r="B18980" s="1168"/>
    </row>
    <row r="18981" spans="2:2" s="221" customFormat="1" ht="12.75" x14ac:dyDescent="0.2">
      <c r="B18981" s="1168"/>
    </row>
    <row r="18982" spans="2:2" s="221" customFormat="1" ht="12.75" x14ac:dyDescent="0.2">
      <c r="B18982" s="1168"/>
    </row>
    <row r="18983" spans="2:2" s="221" customFormat="1" ht="12.75" x14ac:dyDescent="0.2">
      <c r="B18983" s="1168"/>
    </row>
    <row r="18984" spans="2:2" s="221" customFormat="1" ht="12.75" x14ac:dyDescent="0.2">
      <c r="B18984" s="1168"/>
    </row>
    <row r="18985" spans="2:2" s="221" customFormat="1" ht="12.75" x14ac:dyDescent="0.2">
      <c r="B18985" s="1168"/>
    </row>
    <row r="18986" spans="2:2" s="221" customFormat="1" ht="12.75" x14ac:dyDescent="0.2">
      <c r="B18986" s="1168"/>
    </row>
    <row r="18987" spans="2:2" s="221" customFormat="1" ht="12.75" x14ac:dyDescent="0.2">
      <c r="B18987" s="1168"/>
    </row>
    <row r="18988" spans="2:2" s="221" customFormat="1" ht="12.75" x14ac:dyDescent="0.2">
      <c r="B18988" s="1168"/>
    </row>
    <row r="18989" spans="2:2" s="221" customFormat="1" ht="12.75" x14ac:dyDescent="0.2">
      <c r="B18989" s="1168"/>
    </row>
    <row r="18990" spans="2:2" s="221" customFormat="1" ht="12.75" x14ac:dyDescent="0.2">
      <c r="B18990" s="1168"/>
    </row>
    <row r="18991" spans="2:2" s="221" customFormat="1" ht="12.75" x14ac:dyDescent="0.2">
      <c r="B18991" s="1168"/>
    </row>
    <row r="18992" spans="2:2" s="221" customFormat="1" ht="12.75" x14ac:dyDescent="0.2">
      <c r="B18992" s="1168"/>
    </row>
    <row r="18993" spans="2:2" s="221" customFormat="1" ht="12.75" x14ac:dyDescent="0.2">
      <c r="B18993" s="1168"/>
    </row>
    <row r="18994" spans="2:2" s="221" customFormat="1" ht="12.75" x14ac:dyDescent="0.2">
      <c r="B18994" s="1168"/>
    </row>
    <row r="18995" spans="2:2" s="221" customFormat="1" ht="12.75" x14ac:dyDescent="0.2">
      <c r="B18995" s="1168"/>
    </row>
    <row r="18996" spans="2:2" s="221" customFormat="1" ht="12.75" x14ac:dyDescent="0.2">
      <c r="B18996" s="1168"/>
    </row>
    <row r="18997" spans="2:2" s="221" customFormat="1" ht="12.75" x14ac:dyDescent="0.2">
      <c r="B18997" s="1168"/>
    </row>
    <row r="18998" spans="2:2" s="221" customFormat="1" ht="12.75" x14ac:dyDescent="0.2">
      <c r="B18998" s="1168"/>
    </row>
    <row r="18999" spans="2:2" s="221" customFormat="1" ht="12.75" x14ac:dyDescent="0.2">
      <c r="B18999" s="1168"/>
    </row>
    <row r="19000" spans="2:2" s="221" customFormat="1" ht="12.75" x14ac:dyDescent="0.2">
      <c r="B19000" s="1168"/>
    </row>
    <row r="19001" spans="2:2" s="221" customFormat="1" ht="12.75" x14ac:dyDescent="0.2">
      <c r="B19001" s="1168"/>
    </row>
    <row r="19002" spans="2:2" s="221" customFormat="1" ht="12.75" x14ac:dyDescent="0.2">
      <c r="B19002" s="1168"/>
    </row>
    <row r="19003" spans="2:2" s="221" customFormat="1" ht="12.75" x14ac:dyDescent="0.2">
      <c r="B19003" s="1168"/>
    </row>
    <row r="19004" spans="2:2" s="221" customFormat="1" ht="12.75" x14ac:dyDescent="0.2">
      <c r="B19004" s="1168"/>
    </row>
    <row r="19005" spans="2:2" s="221" customFormat="1" ht="12.75" x14ac:dyDescent="0.2">
      <c r="B19005" s="1168"/>
    </row>
    <row r="19006" spans="2:2" s="221" customFormat="1" ht="12.75" x14ac:dyDescent="0.2">
      <c r="B19006" s="1168"/>
    </row>
    <row r="19007" spans="2:2" s="221" customFormat="1" ht="12.75" x14ac:dyDescent="0.2">
      <c r="B19007" s="1168"/>
    </row>
    <row r="19008" spans="2:2" s="221" customFormat="1" ht="12.75" x14ac:dyDescent="0.2">
      <c r="B19008" s="1168"/>
    </row>
    <row r="19009" spans="2:2" s="221" customFormat="1" ht="12.75" x14ac:dyDescent="0.2">
      <c r="B19009" s="1168"/>
    </row>
    <row r="19010" spans="2:2" s="221" customFormat="1" ht="12.75" x14ac:dyDescent="0.2">
      <c r="B19010" s="1168"/>
    </row>
    <row r="19011" spans="2:2" s="221" customFormat="1" ht="12.75" x14ac:dyDescent="0.2">
      <c r="B19011" s="1168"/>
    </row>
    <row r="19012" spans="2:2" s="221" customFormat="1" ht="12.75" x14ac:dyDescent="0.2">
      <c r="B19012" s="1168"/>
    </row>
    <row r="19013" spans="2:2" s="221" customFormat="1" ht="12.75" x14ac:dyDescent="0.2">
      <c r="B19013" s="1168"/>
    </row>
    <row r="19014" spans="2:2" s="221" customFormat="1" ht="12.75" x14ac:dyDescent="0.2">
      <c r="B19014" s="1168"/>
    </row>
    <row r="19015" spans="2:2" s="221" customFormat="1" ht="12.75" x14ac:dyDescent="0.2">
      <c r="B19015" s="1168"/>
    </row>
    <row r="19016" spans="2:2" s="221" customFormat="1" ht="12.75" x14ac:dyDescent="0.2">
      <c r="B19016" s="1168"/>
    </row>
    <row r="19017" spans="2:2" s="221" customFormat="1" ht="12.75" x14ac:dyDescent="0.2">
      <c r="B19017" s="1168"/>
    </row>
    <row r="19018" spans="2:2" s="221" customFormat="1" ht="12.75" x14ac:dyDescent="0.2">
      <c r="B19018" s="1168"/>
    </row>
    <row r="19019" spans="2:2" s="221" customFormat="1" ht="12.75" x14ac:dyDescent="0.2">
      <c r="B19019" s="1168"/>
    </row>
    <row r="19020" spans="2:2" s="221" customFormat="1" ht="12.75" x14ac:dyDescent="0.2">
      <c r="B19020" s="1168"/>
    </row>
    <row r="19021" spans="2:2" s="221" customFormat="1" ht="12.75" x14ac:dyDescent="0.2">
      <c r="B19021" s="1168"/>
    </row>
    <row r="19022" spans="2:2" s="221" customFormat="1" ht="12.75" x14ac:dyDescent="0.2">
      <c r="B19022" s="1168"/>
    </row>
    <row r="19023" spans="2:2" s="221" customFormat="1" ht="12.75" x14ac:dyDescent="0.2">
      <c r="B19023" s="1168"/>
    </row>
    <row r="19024" spans="2:2" s="221" customFormat="1" ht="12.75" x14ac:dyDescent="0.2">
      <c r="B19024" s="1168"/>
    </row>
    <row r="19025" spans="2:2" s="221" customFormat="1" ht="12.75" x14ac:dyDescent="0.2">
      <c r="B19025" s="1168"/>
    </row>
    <row r="19026" spans="2:2" s="221" customFormat="1" ht="12.75" x14ac:dyDescent="0.2">
      <c r="B19026" s="1168"/>
    </row>
    <row r="19027" spans="2:2" s="221" customFormat="1" ht="12.75" x14ac:dyDescent="0.2">
      <c r="B19027" s="1168"/>
    </row>
    <row r="19028" spans="2:2" s="221" customFormat="1" ht="12.75" x14ac:dyDescent="0.2">
      <c r="B19028" s="1168"/>
    </row>
    <row r="19029" spans="2:2" s="221" customFormat="1" ht="12.75" x14ac:dyDescent="0.2">
      <c r="B19029" s="1168"/>
    </row>
    <row r="19030" spans="2:2" s="221" customFormat="1" ht="12.75" x14ac:dyDescent="0.2">
      <c r="B19030" s="1168"/>
    </row>
    <row r="19031" spans="2:2" s="221" customFormat="1" ht="12.75" x14ac:dyDescent="0.2">
      <c r="B19031" s="1168"/>
    </row>
    <row r="19032" spans="2:2" s="221" customFormat="1" ht="12.75" x14ac:dyDescent="0.2">
      <c r="B19032" s="1168"/>
    </row>
    <row r="19033" spans="2:2" s="221" customFormat="1" ht="12.75" x14ac:dyDescent="0.2">
      <c r="B19033" s="1168"/>
    </row>
    <row r="19034" spans="2:2" s="221" customFormat="1" ht="12.75" x14ac:dyDescent="0.2">
      <c r="B19034" s="1168"/>
    </row>
    <row r="19035" spans="2:2" s="221" customFormat="1" ht="12.75" x14ac:dyDescent="0.2">
      <c r="B19035" s="1168"/>
    </row>
    <row r="19036" spans="2:2" s="221" customFormat="1" ht="12.75" x14ac:dyDescent="0.2">
      <c r="B19036" s="1168"/>
    </row>
    <row r="19037" spans="2:2" s="221" customFormat="1" ht="12.75" x14ac:dyDescent="0.2">
      <c r="B19037" s="1168"/>
    </row>
    <row r="19038" spans="2:2" s="221" customFormat="1" ht="12.75" x14ac:dyDescent="0.2">
      <c r="B19038" s="1168"/>
    </row>
    <row r="19039" spans="2:2" s="221" customFormat="1" ht="12.75" x14ac:dyDescent="0.2">
      <c r="B19039" s="1168"/>
    </row>
    <row r="19040" spans="2:2" s="221" customFormat="1" ht="12.75" x14ac:dyDescent="0.2">
      <c r="B19040" s="1168"/>
    </row>
    <row r="19041" spans="2:2" s="221" customFormat="1" ht="12.75" x14ac:dyDescent="0.2">
      <c r="B19041" s="1168"/>
    </row>
    <row r="19042" spans="2:2" s="221" customFormat="1" ht="12.75" x14ac:dyDescent="0.2">
      <c r="B19042" s="1168"/>
    </row>
    <row r="19043" spans="2:2" s="221" customFormat="1" ht="12.75" x14ac:dyDescent="0.2">
      <c r="B19043" s="1168"/>
    </row>
    <row r="19044" spans="2:2" s="221" customFormat="1" ht="12.75" x14ac:dyDescent="0.2">
      <c r="B19044" s="1168"/>
    </row>
    <row r="19045" spans="2:2" s="221" customFormat="1" ht="12.75" x14ac:dyDescent="0.2">
      <c r="B19045" s="1168"/>
    </row>
    <row r="19046" spans="2:2" s="221" customFormat="1" ht="12.75" x14ac:dyDescent="0.2">
      <c r="B19046" s="1168"/>
    </row>
    <row r="19047" spans="2:2" s="221" customFormat="1" ht="12.75" x14ac:dyDescent="0.2">
      <c r="B19047" s="1168"/>
    </row>
    <row r="19048" spans="2:2" s="221" customFormat="1" ht="12.75" x14ac:dyDescent="0.2">
      <c r="B19048" s="1168"/>
    </row>
    <row r="19049" spans="2:2" s="221" customFormat="1" ht="12.75" x14ac:dyDescent="0.2">
      <c r="B19049" s="1168"/>
    </row>
    <row r="19050" spans="2:2" s="221" customFormat="1" ht="12.75" x14ac:dyDescent="0.2">
      <c r="B19050" s="1168"/>
    </row>
    <row r="19051" spans="2:2" s="221" customFormat="1" ht="12.75" x14ac:dyDescent="0.2">
      <c r="B19051" s="1168"/>
    </row>
    <row r="19052" spans="2:2" s="221" customFormat="1" ht="12.75" x14ac:dyDescent="0.2">
      <c r="B19052" s="1168"/>
    </row>
    <row r="19053" spans="2:2" s="221" customFormat="1" ht="12.75" x14ac:dyDescent="0.2">
      <c r="B19053" s="1168"/>
    </row>
    <row r="19054" spans="2:2" s="221" customFormat="1" ht="12.75" x14ac:dyDescent="0.2">
      <c r="B19054" s="1168"/>
    </row>
    <row r="19055" spans="2:2" s="221" customFormat="1" ht="12.75" x14ac:dyDescent="0.2">
      <c r="B19055" s="1168"/>
    </row>
    <row r="19056" spans="2:2" s="221" customFormat="1" ht="12.75" x14ac:dyDescent="0.2">
      <c r="B19056" s="1168"/>
    </row>
    <row r="19057" spans="2:2" s="221" customFormat="1" ht="12.75" x14ac:dyDescent="0.2">
      <c r="B19057" s="1168"/>
    </row>
    <row r="19058" spans="2:2" s="221" customFormat="1" ht="12.75" x14ac:dyDescent="0.2">
      <c r="B19058" s="1168"/>
    </row>
    <row r="19059" spans="2:2" s="221" customFormat="1" ht="12.75" x14ac:dyDescent="0.2">
      <c r="B19059" s="1168"/>
    </row>
    <row r="19060" spans="2:2" s="221" customFormat="1" ht="12.75" x14ac:dyDescent="0.2">
      <c r="B19060" s="1168"/>
    </row>
    <row r="19061" spans="2:2" s="221" customFormat="1" ht="12.75" x14ac:dyDescent="0.2">
      <c r="B19061" s="1168"/>
    </row>
    <row r="19062" spans="2:2" s="221" customFormat="1" ht="12.75" x14ac:dyDescent="0.2">
      <c r="B19062" s="1168"/>
    </row>
    <row r="19063" spans="2:2" s="221" customFormat="1" ht="12.75" x14ac:dyDescent="0.2">
      <c r="B19063" s="1168"/>
    </row>
    <row r="19064" spans="2:2" s="221" customFormat="1" ht="12.75" x14ac:dyDescent="0.2">
      <c r="B19064" s="1168"/>
    </row>
    <row r="19065" spans="2:2" s="221" customFormat="1" ht="12.75" x14ac:dyDescent="0.2">
      <c r="B19065" s="1168"/>
    </row>
    <row r="19066" spans="2:2" s="221" customFormat="1" ht="12.75" x14ac:dyDescent="0.2">
      <c r="B19066" s="1168"/>
    </row>
    <row r="19067" spans="2:2" s="221" customFormat="1" ht="12.75" x14ac:dyDescent="0.2">
      <c r="B19067" s="1168"/>
    </row>
    <row r="19068" spans="2:2" s="221" customFormat="1" ht="12.75" x14ac:dyDescent="0.2">
      <c r="B19068" s="1168"/>
    </row>
    <row r="19069" spans="2:2" s="221" customFormat="1" ht="12.75" x14ac:dyDescent="0.2">
      <c r="B19069" s="1168"/>
    </row>
    <row r="19070" spans="2:2" s="221" customFormat="1" ht="12.75" x14ac:dyDescent="0.2">
      <c r="B19070" s="1168"/>
    </row>
    <row r="19071" spans="2:2" s="221" customFormat="1" ht="12.75" x14ac:dyDescent="0.2">
      <c r="B19071" s="1168"/>
    </row>
    <row r="19072" spans="2:2" s="221" customFormat="1" ht="12.75" x14ac:dyDescent="0.2">
      <c r="B19072" s="1168"/>
    </row>
    <row r="19073" spans="2:2" s="221" customFormat="1" ht="12.75" x14ac:dyDescent="0.2">
      <c r="B19073" s="1168"/>
    </row>
    <row r="19074" spans="2:2" s="221" customFormat="1" ht="12.75" x14ac:dyDescent="0.2">
      <c r="B19074" s="1168"/>
    </row>
    <row r="19075" spans="2:2" s="221" customFormat="1" ht="12.75" x14ac:dyDescent="0.2">
      <c r="B19075" s="1168"/>
    </row>
    <row r="19076" spans="2:2" s="221" customFormat="1" ht="12.75" x14ac:dyDescent="0.2">
      <c r="B19076" s="1168"/>
    </row>
    <row r="19077" spans="2:2" s="221" customFormat="1" ht="12.75" x14ac:dyDescent="0.2">
      <c r="B19077" s="1168"/>
    </row>
    <row r="19078" spans="2:2" s="221" customFormat="1" ht="12.75" x14ac:dyDescent="0.2">
      <c r="B19078" s="1168"/>
    </row>
    <row r="19079" spans="2:2" s="221" customFormat="1" ht="12.75" x14ac:dyDescent="0.2">
      <c r="B19079" s="1168"/>
    </row>
    <row r="19080" spans="2:2" s="221" customFormat="1" ht="12.75" x14ac:dyDescent="0.2">
      <c r="B19080" s="1168"/>
    </row>
    <row r="19081" spans="2:2" s="221" customFormat="1" ht="12.75" x14ac:dyDescent="0.2">
      <c r="B19081" s="1168"/>
    </row>
    <row r="19082" spans="2:2" s="221" customFormat="1" ht="12.75" x14ac:dyDescent="0.2">
      <c r="B19082" s="1168"/>
    </row>
    <row r="19083" spans="2:2" s="221" customFormat="1" ht="12.75" x14ac:dyDescent="0.2">
      <c r="B19083" s="1168"/>
    </row>
    <row r="19084" spans="2:2" s="221" customFormat="1" ht="12.75" x14ac:dyDescent="0.2">
      <c r="B19084" s="1168"/>
    </row>
    <row r="19085" spans="2:2" s="221" customFormat="1" ht="12.75" x14ac:dyDescent="0.2">
      <c r="B19085" s="1168"/>
    </row>
    <row r="19086" spans="2:2" s="221" customFormat="1" ht="12.75" x14ac:dyDescent="0.2">
      <c r="B19086" s="1168"/>
    </row>
    <row r="19087" spans="2:2" s="221" customFormat="1" ht="12.75" x14ac:dyDescent="0.2">
      <c r="B19087" s="1168"/>
    </row>
    <row r="19088" spans="2:2" s="221" customFormat="1" ht="12.75" x14ac:dyDescent="0.2">
      <c r="B19088" s="1168"/>
    </row>
    <row r="19089" spans="2:2" s="221" customFormat="1" ht="12.75" x14ac:dyDescent="0.2">
      <c r="B19089" s="1168"/>
    </row>
    <row r="19090" spans="2:2" s="221" customFormat="1" ht="12.75" x14ac:dyDescent="0.2">
      <c r="B19090" s="1168"/>
    </row>
    <row r="19091" spans="2:2" s="221" customFormat="1" ht="12.75" x14ac:dyDescent="0.2">
      <c r="B19091" s="1168"/>
    </row>
    <row r="19092" spans="2:2" s="221" customFormat="1" ht="12.75" x14ac:dyDescent="0.2">
      <c r="B19092" s="1168"/>
    </row>
    <row r="19093" spans="2:2" s="221" customFormat="1" ht="12.75" x14ac:dyDescent="0.2">
      <c r="B19093" s="1168"/>
    </row>
    <row r="19094" spans="2:2" s="221" customFormat="1" ht="12.75" x14ac:dyDescent="0.2">
      <c r="B19094" s="1168"/>
    </row>
    <row r="19095" spans="2:2" s="221" customFormat="1" ht="12.75" x14ac:dyDescent="0.2">
      <c r="B19095" s="1168"/>
    </row>
    <row r="19096" spans="2:2" s="221" customFormat="1" ht="12.75" x14ac:dyDescent="0.2">
      <c r="B19096" s="1168"/>
    </row>
    <row r="19097" spans="2:2" s="221" customFormat="1" ht="12.75" x14ac:dyDescent="0.2">
      <c r="B19097" s="1168"/>
    </row>
    <row r="19098" spans="2:2" s="221" customFormat="1" ht="12.75" x14ac:dyDescent="0.2">
      <c r="B19098" s="1168"/>
    </row>
    <row r="19099" spans="2:2" s="221" customFormat="1" ht="12.75" x14ac:dyDescent="0.2">
      <c r="B19099" s="1168"/>
    </row>
    <row r="19100" spans="2:2" s="221" customFormat="1" ht="12.75" x14ac:dyDescent="0.2">
      <c r="B19100" s="1168"/>
    </row>
    <row r="19101" spans="2:2" s="221" customFormat="1" ht="12.75" x14ac:dyDescent="0.2">
      <c r="B19101" s="1168"/>
    </row>
    <row r="19102" spans="2:2" s="221" customFormat="1" ht="12.75" x14ac:dyDescent="0.2">
      <c r="B19102" s="1168"/>
    </row>
    <row r="19103" spans="2:2" s="221" customFormat="1" ht="12.75" x14ac:dyDescent="0.2">
      <c r="B19103" s="1168"/>
    </row>
    <row r="19104" spans="2:2" s="221" customFormat="1" ht="12.75" x14ac:dyDescent="0.2">
      <c r="B19104" s="1168"/>
    </row>
    <row r="19105" spans="2:2" s="221" customFormat="1" ht="12.75" x14ac:dyDescent="0.2">
      <c r="B19105" s="1168"/>
    </row>
    <row r="19106" spans="2:2" s="221" customFormat="1" ht="12.75" x14ac:dyDescent="0.2">
      <c r="B19106" s="1168"/>
    </row>
    <row r="19107" spans="2:2" s="221" customFormat="1" ht="12.75" x14ac:dyDescent="0.2">
      <c r="B19107" s="1168"/>
    </row>
    <row r="19108" spans="2:2" s="221" customFormat="1" ht="12.75" x14ac:dyDescent="0.2">
      <c r="B19108" s="1168"/>
    </row>
    <row r="19109" spans="2:2" s="221" customFormat="1" ht="12.75" x14ac:dyDescent="0.2">
      <c r="B19109" s="1168"/>
    </row>
    <row r="19110" spans="2:2" s="221" customFormat="1" ht="12.75" x14ac:dyDescent="0.2">
      <c r="B19110" s="1168"/>
    </row>
    <row r="19111" spans="2:2" s="221" customFormat="1" ht="12.75" x14ac:dyDescent="0.2">
      <c r="B19111" s="1168"/>
    </row>
    <row r="19112" spans="2:2" s="221" customFormat="1" ht="12.75" x14ac:dyDescent="0.2">
      <c r="B19112" s="1168"/>
    </row>
    <row r="19113" spans="2:2" s="221" customFormat="1" ht="12.75" x14ac:dyDescent="0.2">
      <c r="B19113" s="1168"/>
    </row>
    <row r="19114" spans="2:2" s="221" customFormat="1" ht="12.75" x14ac:dyDescent="0.2">
      <c r="B19114" s="1168"/>
    </row>
    <row r="19115" spans="2:2" s="221" customFormat="1" ht="12.75" x14ac:dyDescent="0.2">
      <c r="B19115" s="1168"/>
    </row>
    <row r="19116" spans="2:2" s="221" customFormat="1" ht="12.75" x14ac:dyDescent="0.2">
      <c r="B19116" s="1168"/>
    </row>
    <row r="19117" spans="2:2" s="221" customFormat="1" ht="12.75" x14ac:dyDescent="0.2">
      <c r="B19117" s="1168"/>
    </row>
    <row r="19118" spans="2:2" s="221" customFormat="1" ht="12.75" x14ac:dyDescent="0.2">
      <c r="B19118" s="1168"/>
    </row>
    <row r="19119" spans="2:2" s="221" customFormat="1" ht="12.75" x14ac:dyDescent="0.2">
      <c r="B19119" s="1168"/>
    </row>
    <row r="19120" spans="2:2" s="221" customFormat="1" ht="12.75" x14ac:dyDescent="0.2">
      <c r="B19120" s="1168"/>
    </row>
    <row r="19121" spans="2:2" s="221" customFormat="1" ht="12.75" x14ac:dyDescent="0.2">
      <c r="B19121" s="1168"/>
    </row>
    <row r="19122" spans="2:2" s="221" customFormat="1" ht="12.75" x14ac:dyDescent="0.2">
      <c r="B19122" s="1168"/>
    </row>
    <row r="19123" spans="2:2" s="221" customFormat="1" ht="12.75" x14ac:dyDescent="0.2">
      <c r="B19123" s="1168"/>
    </row>
    <row r="19124" spans="2:2" s="221" customFormat="1" ht="12.75" x14ac:dyDescent="0.2">
      <c r="B19124" s="1168"/>
    </row>
    <row r="19125" spans="2:2" s="221" customFormat="1" ht="12.75" x14ac:dyDescent="0.2">
      <c r="B19125" s="1168"/>
    </row>
    <row r="19126" spans="2:2" s="221" customFormat="1" ht="12.75" x14ac:dyDescent="0.2">
      <c r="B19126" s="1168"/>
    </row>
    <row r="19127" spans="2:2" s="221" customFormat="1" ht="12.75" x14ac:dyDescent="0.2">
      <c r="B19127" s="1168"/>
    </row>
    <row r="19128" spans="2:2" s="221" customFormat="1" ht="12.75" x14ac:dyDescent="0.2">
      <c r="B19128" s="1168"/>
    </row>
    <row r="19129" spans="2:2" s="221" customFormat="1" ht="12.75" x14ac:dyDescent="0.2">
      <c r="B19129" s="1168"/>
    </row>
    <row r="19130" spans="2:2" s="221" customFormat="1" ht="12.75" x14ac:dyDescent="0.2">
      <c r="B19130" s="1168"/>
    </row>
    <row r="19131" spans="2:2" s="221" customFormat="1" ht="12.75" x14ac:dyDescent="0.2">
      <c r="B19131" s="1168"/>
    </row>
    <row r="19132" spans="2:2" s="221" customFormat="1" ht="12.75" x14ac:dyDescent="0.2">
      <c r="B19132" s="1168"/>
    </row>
    <row r="19133" spans="2:2" s="221" customFormat="1" ht="12.75" x14ac:dyDescent="0.2">
      <c r="B19133" s="1168"/>
    </row>
    <row r="19134" spans="2:2" s="221" customFormat="1" ht="12.75" x14ac:dyDescent="0.2">
      <c r="B19134" s="1168"/>
    </row>
    <row r="19135" spans="2:2" s="221" customFormat="1" ht="12.75" x14ac:dyDescent="0.2">
      <c r="B19135" s="1168"/>
    </row>
    <row r="19136" spans="2:2" s="221" customFormat="1" ht="12.75" x14ac:dyDescent="0.2">
      <c r="B19136" s="1168"/>
    </row>
    <row r="19137" spans="2:2" s="221" customFormat="1" ht="12.75" x14ac:dyDescent="0.2">
      <c r="B19137" s="1168"/>
    </row>
    <row r="19138" spans="2:2" s="221" customFormat="1" ht="12.75" x14ac:dyDescent="0.2">
      <c r="B19138" s="1168"/>
    </row>
    <row r="19139" spans="2:2" s="221" customFormat="1" ht="12.75" x14ac:dyDescent="0.2">
      <c r="B19139" s="1168"/>
    </row>
    <row r="19140" spans="2:2" s="221" customFormat="1" ht="12.75" x14ac:dyDescent="0.2">
      <c r="B19140" s="1168"/>
    </row>
    <row r="19141" spans="2:2" s="221" customFormat="1" ht="12.75" x14ac:dyDescent="0.2">
      <c r="B19141" s="1168"/>
    </row>
    <row r="19142" spans="2:2" s="221" customFormat="1" ht="12.75" x14ac:dyDescent="0.2">
      <c r="B19142" s="1168"/>
    </row>
    <row r="19143" spans="2:2" s="221" customFormat="1" ht="12.75" x14ac:dyDescent="0.2">
      <c r="B19143" s="1168"/>
    </row>
    <row r="19144" spans="2:2" s="221" customFormat="1" ht="12.75" x14ac:dyDescent="0.2">
      <c r="B19144" s="1168"/>
    </row>
    <row r="19145" spans="2:2" s="221" customFormat="1" ht="12.75" x14ac:dyDescent="0.2">
      <c r="B19145" s="1168"/>
    </row>
    <row r="19146" spans="2:2" s="221" customFormat="1" ht="12.75" x14ac:dyDescent="0.2">
      <c r="B19146" s="1168"/>
    </row>
    <row r="19147" spans="2:2" s="221" customFormat="1" ht="12.75" x14ac:dyDescent="0.2">
      <c r="B19147" s="1168"/>
    </row>
    <row r="19148" spans="2:2" s="221" customFormat="1" ht="12.75" x14ac:dyDescent="0.2">
      <c r="B19148" s="1168"/>
    </row>
    <row r="19149" spans="2:2" s="221" customFormat="1" ht="12.75" x14ac:dyDescent="0.2">
      <c r="B19149" s="1168"/>
    </row>
    <row r="19150" spans="2:2" s="221" customFormat="1" ht="12.75" x14ac:dyDescent="0.2">
      <c r="B19150" s="1168"/>
    </row>
    <row r="19151" spans="2:2" s="221" customFormat="1" ht="12.75" x14ac:dyDescent="0.2">
      <c r="B19151" s="1168"/>
    </row>
    <row r="19152" spans="2:2" s="221" customFormat="1" ht="12.75" x14ac:dyDescent="0.2">
      <c r="B19152" s="1168"/>
    </row>
    <row r="19153" spans="2:2" s="221" customFormat="1" ht="12.75" x14ac:dyDescent="0.2">
      <c r="B19153" s="1168"/>
    </row>
    <row r="19154" spans="2:2" s="221" customFormat="1" ht="12.75" x14ac:dyDescent="0.2">
      <c r="B19154" s="1168"/>
    </row>
    <row r="19155" spans="2:2" s="221" customFormat="1" ht="12.75" x14ac:dyDescent="0.2">
      <c r="B19155" s="1168"/>
    </row>
    <row r="19156" spans="2:2" s="221" customFormat="1" ht="12.75" x14ac:dyDescent="0.2">
      <c r="B19156" s="1168"/>
    </row>
    <row r="19157" spans="2:2" s="221" customFormat="1" ht="12.75" x14ac:dyDescent="0.2">
      <c r="B19157" s="1168"/>
    </row>
    <row r="19158" spans="2:2" s="221" customFormat="1" ht="12.75" x14ac:dyDescent="0.2">
      <c r="B19158" s="1168"/>
    </row>
    <row r="19159" spans="2:2" s="221" customFormat="1" ht="12.75" x14ac:dyDescent="0.2">
      <c r="B19159" s="1168"/>
    </row>
    <row r="19160" spans="2:2" s="221" customFormat="1" ht="12.75" x14ac:dyDescent="0.2">
      <c r="B19160" s="1168"/>
    </row>
    <row r="19161" spans="2:2" s="221" customFormat="1" ht="12.75" x14ac:dyDescent="0.2">
      <c r="B19161" s="1168"/>
    </row>
    <row r="19162" spans="2:2" s="221" customFormat="1" ht="12.75" x14ac:dyDescent="0.2">
      <c r="B19162" s="1168"/>
    </row>
    <row r="19163" spans="2:2" s="221" customFormat="1" ht="12.75" x14ac:dyDescent="0.2">
      <c r="B19163" s="1168"/>
    </row>
    <row r="19164" spans="2:2" s="221" customFormat="1" ht="12.75" x14ac:dyDescent="0.2">
      <c r="B19164" s="1168"/>
    </row>
    <row r="19165" spans="2:2" s="221" customFormat="1" ht="12.75" x14ac:dyDescent="0.2">
      <c r="B19165" s="1168"/>
    </row>
    <row r="19166" spans="2:2" s="221" customFormat="1" ht="12.75" x14ac:dyDescent="0.2">
      <c r="B19166" s="1168"/>
    </row>
    <row r="19167" spans="2:2" s="221" customFormat="1" ht="12.75" x14ac:dyDescent="0.2">
      <c r="B19167" s="1168"/>
    </row>
    <row r="19168" spans="2:2" s="221" customFormat="1" ht="12.75" x14ac:dyDescent="0.2">
      <c r="B19168" s="1168"/>
    </row>
    <row r="19169" spans="2:2" s="221" customFormat="1" ht="12.75" x14ac:dyDescent="0.2">
      <c r="B19169" s="1168"/>
    </row>
    <row r="19170" spans="2:2" s="221" customFormat="1" ht="12.75" x14ac:dyDescent="0.2">
      <c r="B19170" s="1168"/>
    </row>
    <row r="19171" spans="2:2" s="221" customFormat="1" ht="12.75" x14ac:dyDescent="0.2">
      <c r="B19171" s="1168"/>
    </row>
    <row r="19172" spans="2:2" s="221" customFormat="1" ht="12.75" x14ac:dyDescent="0.2">
      <c r="B19172" s="1168"/>
    </row>
    <row r="19173" spans="2:2" s="221" customFormat="1" ht="12.75" x14ac:dyDescent="0.2">
      <c r="B19173" s="1168"/>
    </row>
    <row r="19174" spans="2:2" s="221" customFormat="1" ht="12.75" x14ac:dyDescent="0.2">
      <c r="B19174" s="1168"/>
    </row>
    <row r="19175" spans="2:2" s="221" customFormat="1" ht="12.75" x14ac:dyDescent="0.2">
      <c r="B19175" s="1168"/>
    </row>
    <row r="19176" spans="2:2" s="221" customFormat="1" ht="12.75" x14ac:dyDescent="0.2">
      <c r="B19176" s="1168"/>
    </row>
    <row r="19177" spans="2:2" s="221" customFormat="1" ht="12.75" x14ac:dyDescent="0.2">
      <c r="B19177" s="1168"/>
    </row>
    <row r="19178" spans="2:2" s="221" customFormat="1" ht="12.75" x14ac:dyDescent="0.2">
      <c r="B19178" s="1168"/>
    </row>
    <row r="19179" spans="2:2" s="221" customFormat="1" ht="12.75" x14ac:dyDescent="0.2">
      <c r="B19179" s="1168"/>
    </row>
    <row r="19180" spans="2:2" s="221" customFormat="1" ht="12.75" x14ac:dyDescent="0.2">
      <c r="B19180" s="1168"/>
    </row>
    <row r="19181" spans="2:2" s="221" customFormat="1" ht="12.75" x14ac:dyDescent="0.2">
      <c r="B19181" s="1168"/>
    </row>
    <row r="19182" spans="2:2" s="221" customFormat="1" ht="12.75" x14ac:dyDescent="0.2">
      <c r="B19182" s="1168"/>
    </row>
    <row r="19183" spans="2:2" s="221" customFormat="1" ht="12.75" x14ac:dyDescent="0.2">
      <c r="B19183" s="1168"/>
    </row>
    <row r="19184" spans="2:2" s="221" customFormat="1" ht="12.75" x14ac:dyDescent="0.2">
      <c r="B19184" s="1168"/>
    </row>
    <row r="19185" spans="2:2" s="221" customFormat="1" ht="12.75" x14ac:dyDescent="0.2">
      <c r="B19185" s="1168"/>
    </row>
    <row r="19186" spans="2:2" s="221" customFormat="1" ht="12.75" x14ac:dyDescent="0.2">
      <c r="B19186" s="1168"/>
    </row>
    <row r="19187" spans="2:2" s="221" customFormat="1" ht="12.75" x14ac:dyDescent="0.2">
      <c r="B19187" s="1168"/>
    </row>
    <row r="19188" spans="2:2" s="221" customFormat="1" ht="12.75" x14ac:dyDescent="0.2">
      <c r="B19188" s="1168"/>
    </row>
    <row r="19189" spans="2:2" s="221" customFormat="1" ht="12.75" x14ac:dyDescent="0.2">
      <c r="B19189" s="1168"/>
    </row>
    <row r="19190" spans="2:2" s="221" customFormat="1" ht="12.75" x14ac:dyDescent="0.2">
      <c r="B19190" s="1168"/>
    </row>
    <row r="19191" spans="2:2" s="221" customFormat="1" ht="12.75" x14ac:dyDescent="0.2">
      <c r="B19191" s="1168"/>
    </row>
    <row r="19192" spans="2:2" s="221" customFormat="1" ht="12.75" x14ac:dyDescent="0.2">
      <c r="B19192" s="1168"/>
    </row>
    <row r="19193" spans="2:2" s="221" customFormat="1" ht="12.75" x14ac:dyDescent="0.2">
      <c r="B19193" s="1168"/>
    </row>
    <row r="19194" spans="2:2" s="221" customFormat="1" ht="12.75" x14ac:dyDescent="0.2">
      <c r="B19194" s="1168"/>
    </row>
    <row r="19195" spans="2:2" s="221" customFormat="1" ht="12.75" x14ac:dyDescent="0.2">
      <c r="B19195" s="1168"/>
    </row>
    <row r="19196" spans="2:2" s="221" customFormat="1" ht="12.75" x14ac:dyDescent="0.2">
      <c r="B19196" s="1168"/>
    </row>
    <row r="19197" spans="2:2" s="221" customFormat="1" ht="12.75" x14ac:dyDescent="0.2">
      <c r="B19197" s="1168"/>
    </row>
    <row r="19198" spans="2:2" s="221" customFormat="1" ht="12.75" x14ac:dyDescent="0.2">
      <c r="B19198" s="1168"/>
    </row>
    <row r="19199" spans="2:2" s="221" customFormat="1" ht="12.75" x14ac:dyDescent="0.2">
      <c r="B19199" s="1168"/>
    </row>
    <row r="19200" spans="2:2" s="221" customFormat="1" ht="12.75" x14ac:dyDescent="0.2">
      <c r="B19200" s="1168"/>
    </row>
    <row r="19201" spans="2:2" s="221" customFormat="1" ht="12.75" x14ac:dyDescent="0.2">
      <c r="B19201" s="1168"/>
    </row>
    <row r="19202" spans="2:2" s="221" customFormat="1" ht="12.75" x14ac:dyDescent="0.2">
      <c r="B19202" s="1168"/>
    </row>
    <row r="19203" spans="2:2" s="221" customFormat="1" ht="12.75" x14ac:dyDescent="0.2">
      <c r="B19203" s="1168"/>
    </row>
    <row r="19204" spans="2:2" s="221" customFormat="1" ht="12.75" x14ac:dyDescent="0.2">
      <c r="B19204" s="1168"/>
    </row>
    <row r="19205" spans="2:2" s="221" customFormat="1" ht="12.75" x14ac:dyDescent="0.2">
      <c r="B19205" s="1168"/>
    </row>
    <row r="19206" spans="2:2" s="221" customFormat="1" ht="12.75" x14ac:dyDescent="0.2">
      <c r="B19206" s="1168"/>
    </row>
    <row r="19207" spans="2:2" s="221" customFormat="1" ht="12.75" x14ac:dyDescent="0.2">
      <c r="B19207" s="1168"/>
    </row>
    <row r="19208" spans="2:2" s="221" customFormat="1" ht="12.75" x14ac:dyDescent="0.2">
      <c r="B19208" s="1168"/>
    </row>
    <row r="19209" spans="2:2" s="221" customFormat="1" ht="12.75" x14ac:dyDescent="0.2">
      <c r="B19209" s="1168"/>
    </row>
    <row r="19210" spans="2:2" s="221" customFormat="1" ht="12.75" x14ac:dyDescent="0.2">
      <c r="B19210" s="1168"/>
    </row>
    <row r="19211" spans="2:2" s="221" customFormat="1" ht="12.75" x14ac:dyDescent="0.2">
      <c r="B19211" s="1168"/>
    </row>
    <row r="19212" spans="2:2" s="221" customFormat="1" ht="12.75" x14ac:dyDescent="0.2">
      <c r="B19212" s="1168"/>
    </row>
    <row r="19213" spans="2:2" s="221" customFormat="1" ht="12.75" x14ac:dyDescent="0.2">
      <c r="B19213" s="1168"/>
    </row>
    <row r="19214" spans="2:2" s="221" customFormat="1" ht="12.75" x14ac:dyDescent="0.2">
      <c r="B19214" s="1168"/>
    </row>
    <row r="19215" spans="2:2" s="221" customFormat="1" ht="12.75" x14ac:dyDescent="0.2">
      <c r="B19215" s="1168"/>
    </row>
    <row r="19216" spans="2:2" s="221" customFormat="1" ht="12.75" x14ac:dyDescent="0.2">
      <c r="B19216" s="1168"/>
    </row>
    <row r="19217" spans="2:2" s="221" customFormat="1" ht="12.75" x14ac:dyDescent="0.2">
      <c r="B19217" s="1168"/>
    </row>
    <row r="19218" spans="2:2" s="221" customFormat="1" ht="12.75" x14ac:dyDescent="0.2">
      <c r="B19218" s="1168"/>
    </row>
    <row r="19219" spans="2:2" s="221" customFormat="1" ht="12.75" x14ac:dyDescent="0.2">
      <c r="B19219" s="1168"/>
    </row>
    <row r="19220" spans="2:2" s="221" customFormat="1" ht="12.75" x14ac:dyDescent="0.2">
      <c r="B19220" s="1168"/>
    </row>
    <row r="19221" spans="2:2" s="221" customFormat="1" ht="12.75" x14ac:dyDescent="0.2">
      <c r="B19221" s="1168"/>
    </row>
    <row r="19222" spans="2:2" s="221" customFormat="1" ht="12.75" x14ac:dyDescent="0.2">
      <c r="B19222" s="1168"/>
    </row>
    <row r="19223" spans="2:2" s="221" customFormat="1" ht="12.75" x14ac:dyDescent="0.2">
      <c r="B19223" s="1168"/>
    </row>
    <row r="19224" spans="2:2" s="221" customFormat="1" ht="12.75" x14ac:dyDescent="0.2">
      <c r="B19224" s="1168"/>
    </row>
    <row r="19225" spans="2:2" s="221" customFormat="1" ht="12.75" x14ac:dyDescent="0.2">
      <c r="B19225" s="1168"/>
    </row>
    <row r="19226" spans="2:2" s="221" customFormat="1" ht="12.75" x14ac:dyDescent="0.2">
      <c r="B19226" s="1168"/>
    </row>
    <row r="19227" spans="2:2" s="221" customFormat="1" ht="12.75" x14ac:dyDescent="0.2">
      <c r="B19227" s="1168"/>
    </row>
    <row r="19228" spans="2:2" s="221" customFormat="1" ht="12.75" x14ac:dyDescent="0.2">
      <c r="B19228" s="1168"/>
    </row>
    <row r="19229" spans="2:2" s="221" customFormat="1" ht="12.75" x14ac:dyDescent="0.2">
      <c r="B19229" s="1168"/>
    </row>
    <row r="19230" spans="2:2" s="221" customFormat="1" ht="12.75" x14ac:dyDescent="0.2">
      <c r="B19230" s="1168"/>
    </row>
    <row r="19231" spans="2:2" s="221" customFormat="1" ht="12.75" x14ac:dyDescent="0.2">
      <c r="B19231" s="1168"/>
    </row>
    <row r="19232" spans="2:2" s="221" customFormat="1" ht="12.75" x14ac:dyDescent="0.2">
      <c r="B19232" s="1168"/>
    </row>
    <row r="19233" spans="2:2" s="221" customFormat="1" ht="12.75" x14ac:dyDescent="0.2">
      <c r="B19233" s="1168"/>
    </row>
    <row r="19234" spans="2:2" s="221" customFormat="1" ht="12.75" x14ac:dyDescent="0.2">
      <c r="B19234" s="1168"/>
    </row>
    <row r="19235" spans="2:2" s="221" customFormat="1" ht="12.75" x14ac:dyDescent="0.2">
      <c r="B19235" s="1168"/>
    </row>
    <row r="19236" spans="2:2" s="221" customFormat="1" ht="12.75" x14ac:dyDescent="0.2">
      <c r="B19236" s="1168"/>
    </row>
    <row r="19237" spans="2:2" s="221" customFormat="1" ht="12.75" x14ac:dyDescent="0.2">
      <c r="B19237" s="1168"/>
    </row>
    <row r="19238" spans="2:2" s="221" customFormat="1" ht="12.75" x14ac:dyDescent="0.2">
      <c r="B19238" s="1168"/>
    </row>
    <row r="19239" spans="2:2" s="221" customFormat="1" ht="12.75" x14ac:dyDescent="0.2">
      <c r="B19239" s="1168"/>
    </row>
    <row r="19240" spans="2:2" s="221" customFormat="1" ht="12.75" x14ac:dyDescent="0.2">
      <c r="B19240" s="1168"/>
    </row>
    <row r="19241" spans="2:2" s="221" customFormat="1" ht="12.75" x14ac:dyDescent="0.2">
      <c r="B19241" s="1168"/>
    </row>
    <row r="19242" spans="2:2" s="221" customFormat="1" ht="12.75" x14ac:dyDescent="0.2">
      <c r="B19242" s="1168"/>
    </row>
    <row r="19243" spans="2:2" s="221" customFormat="1" ht="12.75" x14ac:dyDescent="0.2">
      <c r="B19243" s="1168"/>
    </row>
    <row r="19244" spans="2:2" s="221" customFormat="1" ht="12.75" x14ac:dyDescent="0.2">
      <c r="B19244" s="1168"/>
    </row>
    <row r="19245" spans="2:2" s="221" customFormat="1" ht="12.75" x14ac:dyDescent="0.2">
      <c r="B19245" s="1168"/>
    </row>
    <row r="19246" spans="2:2" s="221" customFormat="1" ht="12.75" x14ac:dyDescent="0.2">
      <c r="B19246" s="1168"/>
    </row>
    <row r="19247" spans="2:2" s="221" customFormat="1" ht="12.75" x14ac:dyDescent="0.2">
      <c r="B19247" s="1168"/>
    </row>
    <row r="19248" spans="2:2" s="221" customFormat="1" ht="12.75" x14ac:dyDescent="0.2">
      <c r="B19248" s="1168"/>
    </row>
    <row r="19249" spans="2:2" s="221" customFormat="1" ht="12.75" x14ac:dyDescent="0.2">
      <c r="B19249" s="1168"/>
    </row>
    <row r="19250" spans="2:2" s="221" customFormat="1" ht="12.75" x14ac:dyDescent="0.2">
      <c r="B19250" s="1168"/>
    </row>
    <row r="19251" spans="2:2" s="221" customFormat="1" ht="12.75" x14ac:dyDescent="0.2">
      <c r="B19251" s="1168"/>
    </row>
    <row r="19252" spans="2:2" s="221" customFormat="1" ht="12.75" x14ac:dyDescent="0.2">
      <c r="B19252" s="1168"/>
    </row>
    <row r="19253" spans="2:2" s="221" customFormat="1" ht="12.75" x14ac:dyDescent="0.2">
      <c r="B19253" s="1168"/>
    </row>
    <row r="19254" spans="2:2" s="221" customFormat="1" ht="12.75" x14ac:dyDescent="0.2">
      <c r="B19254" s="1168"/>
    </row>
    <row r="19255" spans="2:2" s="221" customFormat="1" ht="12.75" x14ac:dyDescent="0.2">
      <c r="B19255" s="1168"/>
    </row>
    <row r="19256" spans="2:2" s="221" customFormat="1" ht="12.75" x14ac:dyDescent="0.2">
      <c r="B19256" s="1168"/>
    </row>
    <row r="19257" spans="2:2" s="221" customFormat="1" ht="12.75" x14ac:dyDescent="0.2">
      <c r="B19257" s="1168"/>
    </row>
    <row r="19258" spans="2:2" s="221" customFormat="1" ht="12.75" x14ac:dyDescent="0.2">
      <c r="B19258" s="1168"/>
    </row>
    <row r="19259" spans="2:2" s="221" customFormat="1" ht="12.75" x14ac:dyDescent="0.2">
      <c r="B19259" s="1168"/>
    </row>
    <row r="19260" spans="2:2" s="221" customFormat="1" ht="12.75" x14ac:dyDescent="0.2">
      <c r="B19260" s="1168"/>
    </row>
    <row r="19261" spans="2:2" s="221" customFormat="1" ht="12.75" x14ac:dyDescent="0.2">
      <c r="B19261" s="1168"/>
    </row>
    <row r="19262" spans="2:2" s="221" customFormat="1" ht="12.75" x14ac:dyDescent="0.2">
      <c r="B19262" s="1168"/>
    </row>
    <row r="19263" spans="2:2" s="221" customFormat="1" ht="12.75" x14ac:dyDescent="0.2">
      <c r="B19263" s="1168"/>
    </row>
    <row r="19264" spans="2:2" s="221" customFormat="1" ht="12.75" x14ac:dyDescent="0.2">
      <c r="B19264" s="1168"/>
    </row>
    <row r="19265" spans="2:2" s="221" customFormat="1" ht="12.75" x14ac:dyDescent="0.2">
      <c r="B19265" s="1168"/>
    </row>
    <row r="19266" spans="2:2" s="221" customFormat="1" ht="12.75" x14ac:dyDescent="0.2">
      <c r="B19266" s="1168"/>
    </row>
    <row r="19267" spans="2:2" s="221" customFormat="1" ht="12.75" x14ac:dyDescent="0.2">
      <c r="B19267" s="1168"/>
    </row>
    <row r="19268" spans="2:2" s="221" customFormat="1" ht="12.75" x14ac:dyDescent="0.2">
      <c r="B19268" s="1168"/>
    </row>
    <row r="19269" spans="2:2" s="221" customFormat="1" ht="12.75" x14ac:dyDescent="0.2">
      <c r="B19269" s="1168"/>
    </row>
    <row r="19270" spans="2:2" s="221" customFormat="1" ht="12.75" x14ac:dyDescent="0.2">
      <c r="B19270" s="1168"/>
    </row>
    <row r="19271" spans="2:2" s="221" customFormat="1" ht="12.75" x14ac:dyDescent="0.2">
      <c r="B19271" s="1168"/>
    </row>
    <row r="19272" spans="2:2" s="221" customFormat="1" ht="12.75" x14ac:dyDescent="0.2">
      <c r="B19272" s="1168"/>
    </row>
    <row r="19273" spans="2:2" s="221" customFormat="1" ht="12.75" x14ac:dyDescent="0.2">
      <c r="B19273" s="1168"/>
    </row>
    <row r="19274" spans="2:2" s="221" customFormat="1" ht="12.75" x14ac:dyDescent="0.2">
      <c r="B19274" s="1168"/>
    </row>
    <row r="19275" spans="2:2" s="221" customFormat="1" ht="12.75" x14ac:dyDescent="0.2">
      <c r="B19275" s="1168"/>
    </row>
    <row r="19276" spans="2:2" s="221" customFormat="1" ht="12.75" x14ac:dyDescent="0.2">
      <c r="B19276" s="1168"/>
    </row>
    <row r="19277" spans="2:2" s="221" customFormat="1" ht="12.75" x14ac:dyDescent="0.2">
      <c r="B19277" s="1168"/>
    </row>
    <row r="19278" spans="2:2" s="221" customFormat="1" ht="12.75" x14ac:dyDescent="0.2">
      <c r="B19278" s="1168"/>
    </row>
    <row r="19279" spans="2:2" s="221" customFormat="1" ht="12.75" x14ac:dyDescent="0.2">
      <c r="B19279" s="1168"/>
    </row>
    <row r="19280" spans="2:2" s="221" customFormat="1" ht="12.75" x14ac:dyDescent="0.2">
      <c r="B19280" s="1168"/>
    </row>
    <row r="19281" spans="2:2" s="221" customFormat="1" ht="12.75" x14ac:dyDescent="0.2">
      <c r="B19281" s="1168"/>
    </row>
    <row r="19282" spans="2:2" s="221" customFormat="1" ht="12.75" x14ac:dyDescent="0.2">
      <c r="B19282" s="1168"/>
    </row>
    <row r="19283" spans="2:2" s="221" customFormat="1" ht="12.75" x14ac:dyDescent="0.2">
      <c r="B19283" s="1168"/>
    </row>
    <row r="19284" spans="2:2" s="221" customFormat="1" ht="12.75" x14ac:dyDescent="0.2">
      <c r="B19284" s="1168"/>
    </row>
    <row r="19285" spans="2:2" s="221" customFormat="1" ht="12.75" x14ac:dyDescent="0.2">
      <c r="B19285" s="1168"/>
    </row>
    <row r="19286" spans="2:2" s="221" customFormat="1" ht="12.75" x14ac:dyDescent="0.2">
      <c r="B19286" s="1168"/>
    </row>
    <row r="19287" spans="2:2" s="221" customFormat="1" ht="12.75" x14ac:dyDescent="0.2">
      <c r="B19287" s="1168"/>
    </row>
    <row r="19288" spans="2:2" s="221" customFormat="1" ht="12.75" x14ac:dyDescent="0.2">
      <c r="B19288" s="1168"/>
    </row>
    <row r="19289" spans="2:2" s="221" customFormat="1" ht="12.75" x14ac:dyDescent="0.2">
      <c r="B19289" s="1168"/>
    </row>
    <row r="19290" spans="2:2" s="221" customFormat="1" ht="12.75" x14ac:dyDescent="0.2">
      <c r="B19290" s="1168"/>
    </row>
    <row r="19291" spans="2:2" s="221" customFormat="1" ht="12.75" x14ac:dyDescent="0.2">
      <c r="B19291" s="1168"/>
    </row>
    <row r="19292" spans="2:2" s="221" customFormat="1" ht="12.75" x14ac:dyDescent="0.2">
      <c r="B19292" s="1168"/>
    </row>
    <row r="19293" spans="2:2" s="221" customFormat="1" ht="12.75" x14ac:dyDescent="0.2">
      <c r="B19293" s="1168"/>
    </row>
    <row r="19294" spans="2:2" s="221" customFormat="1" ht="12.75" x14ac:dyDescent="0.2">
      <c r="B19294" s="1168"/>
    </row>
    <row r="19295" spans="2:2" s="221" customFormat="1" ht="12.75" x14ac:dyDescent="0.2">
      <c r="B19295" s="1168"/>
    </row>
    <row r="19296" spans="2:2" s="221" customFormat="1" ht="12.75" x14ac:dyDescent="0.2">
      <c r="B19296" s="1168"/>
    </row>
    <row r="19297" spans="2:2" s="221" customFormat="1" ht="12.75" x14ac:dyDescent="0.2">
      <c r="B19297" s="1168"/>
    </row>
    <row r="19298" spans="2:2" s="221" customFormat="1" ht="12.75" x14ac:dyDescent="0.2">
      <c r="B19298" s="1168"/>
    </row>
    <row r="19299" spans="2:2" s="221" customFormat="1" ht="12.75" x14ac:dyDescent="0.2">
      <c r="B19299" s="1168"/>
    </row>
    <row r="19300" spans="2:2" s="221" customFormat="1" ht="12.75" x14ac:dyDescent="0.2">
      <c r="B19300" s="1168"/>
    </row>
    <row r="19301" spans="2:2" s="221" customFormat="1" ht="12.75" x14ac:dyDescent="0.2">
      <c r="B19301" s="1168"/>
    </row>
    <row r="19302" spans="2:2" s="221" customFormat="1" ht="12.75" x14ac:dyDescent="0.2">
      <c r="B19302" s="1168"/>
    </row>
    <row r="19303" spans="2:2" s="221" customFormat="1" ht="12.75" x14ac:dyDescent="0.2">
      <c r="B19303" s="1168"/>
    </row>
    <row r="19304" spans="2:2" s="221" customFormat="1" ht="12.75" x14ac:dyDescent="0.2">
      <c r="B19304" s="1168"/>
    </row>
    <row r="19305" spans="2:2" s="221" customFormat="1" ht="12.75" x14ac:dyDescent="0.2">
      <c r="B19305" s="1168"/>
    </row>
    <row r="19306" spans="2:2" s="221" customFormat="1" ht="12.75" x14ac:dyDescent="0.2">
      <c r="B19306" s="1168"/>
    </row>
    <row r="19307" spans="2:2" s="221" customFormat="1" ht="12.75" x14ac:dyDescent="0.2">
      <c r="B19307" s="1168"/>
    </row>
    <row r="19308" spans="2:2" s="221" customFormat="1" ht="12.75" x14ac:dyDescent="0.2">
      <c r="B19308" s="1168"/>
    </row>
    <row r="19309" spans="2:2" s="221" customFormat="1" ht="12.75" x14ac:dyDescent="0.2">
      <c r="B19309" s="1168"/>
    </row>
    <row r="19310" spans="2:2" s="221" customFormat="1" ht="12.75" x14ac:dyDescent="0.2">
      <c r="B19310" s="1168"/>
    </row>
    <row r="19311" spans="2:2" s="221" customFormat="1" ht="12.75" x14ac:dyDescent="0.2">
      <c r="B19311" s="1168"/>
    </row>
    <row r="19312" spans="2:2" s="221" customFormat="1" ht="12.75" x14ac:dyDescent="0.2">
      <c r="B19312" s="1168"/>
    </row>
    <row r="19313" spans="2:2" s="221" customFormat="1" ht="12.75" x14ac:dyDescent="0.2">
      <c r="B19313" s="1168"/>
    </row>
    <row r="19314" spans="2:2" s="221" customFormat="1" ht="12.75" x14ac:dyDescent="0.2">
      <c r="B19314" s="1168"/>
    </row>
    <row r="19315" spans="2:2" s="221" customFormat="1" ht="12.75" x14ac:dyDescent="0.2">
      <c r="B19315" s="1168"/>
    </row>
    <row r="19316" spans="2:2" s="221" customFormat="1" ht="12.75" x14ac:dyDescent="0.2">
      <c r="B19316" s="1168"/>
    </row>
    <row r="19317" spans="2:2" s="221" customFormat="1" ht="12.75" x14ac:dyDescent="0.2">
      <c r="B19317" s="1168"/>
    </row>
    <row r="19318" spans="2:2" s="221" customFormat="1" ht="12.75" x14ac:dyDescent="0.2">
      <c r="B19318" s="1168"/>
    </row>
    <row r="19319" spans="2:2" s="221" customFormat="1" ht="12.75" x14ac:dyDescent="0.2">
      <c r="B19319" s="1168"/>
    </row>
    <row r="19320" spans="2:2" s="221" customFormat="1" ht="12.75" x14ac:dyDescent="0.2">
      <c r="B19320" s="1168"/>
    </row>
    <row r="19321" spans="2:2" s="221" customFormat="1" ht="12.75" x14ac:dyDescent="0.2">
      <c r="B19321" s="1168"/>
    </row>
    <row r="19322" spans="2:2" s="221" customFormat="1" ht="12.75" x14ac:dyDescent="0.2">
      <c r="B19322" s="1168"/>
    </row>
    <row r="19323" spans="2:2" s="221" customFormat="1" ht="12.75" x14ac:dyDescent="0.2">
      <c r="B19323" s="1168"/>
    </row>
    <row r="19324" spans="2:2" s="221" customFormat="1" ht="12.75" x14ac:dyDescent="0.2">
      <c r="B19324" s="1168"/>
    </row>
    <row r="19325" spans="2:2" s="221" customFormat="1" ht="12.75" x14ac:dyDescent="0.2">
      <c r="B19325" s="1168"/>
    </row>
    <row r="19326" spans="2:2" s="221" customFormat="1" ht="12.75" x14ac:dyDescent="0.2">
      <c r="B19326" s="1168"/>
    </row>
    <row r="19327" spans="2:2" s="221" customFormat="1" ht="12.75" x14ac:dyDescent="0.2">
      <c r="B19327" s="1168"/>
    </row>
    <row r="19328" spans="2:2" s="221" customFormat="1" ht="12.75" x14ac:dyDescent="0.2">
      <c r="B19328" s="1168"/>
    </row>
    <row r="19329" spans="2:2" s="221" customFormat="1" ht="12.75" x14ac:dyDescent="0.2">
      <c r="B19329" s="1168"/>
    </row>
    <row r="19330" spans="2:2" s="221" customFormat="1" ht="12.75" x14ac:dyDescent="0.2">
      <c r="B19330" s="1168"/>
    </row>
    <row r="19331" spans="2:2" s="221" customFormat="1" ht="12.75" x14ac:dyDescent="0.2">
      <c r="B19331" s="1168"/>
    </row>
    <row r="19332" spans="2:2" s="221" customFormat="1" ht="12.75" x14ac:dyDescent="0.2">
      <c r="B19332" s="1168"/>
    </row>
    <row r="19333" spans="2:2" s="221" customFormat="1" ht="12.75" x14ac:dyDescent="0.2">
      <c r="B19333" s="1168"/>
    </row>
    <row r="19334" spans="2:2" s="221" customFormat="1" ht="12.75" x14ac:dyDescent="0.2">
      <c r="B19334" s="1168"/>
    </row>
    <row r="19335" spans="2:2" s="221" customFormat="1" ht="12.75" x14ac:dyDescent="0.2">
      <c r="B19335" s="1168"/>
    </row>
    <row r="19336" spans="2:2" s="221" customFormat="1" ht="12.75" x14ac:dyDescent="0.2">
      <c r="B19336" s="1168"/>
    </row>
    <row r="19337" spans="2:2" s="221" customFormat="1" ht="12.75" x14ac:dyDescent="0.2">
      <c r="B19337" s="1168"/>
    </row>
    <row r="19338" spans="2:2" s="221" customFormat="1" ht="12.75" x14ac:dyDescent="0.2">
      <c r="B19338" s="1168"/>
    </row>
    <row r="19339" spans="2:2" s="221" customFormat="1" ht="12.75" x14ac:dyDescent="0.2">
      <c r="B19339" s="1168"/>
    </row>
    <row r="19340" spans="2:2" s="221" customFormat="1" ht="12.75" x14ac:dyDescent="0.2">
      <c r="B19340" s="1168"/>
    </row>
    <row r="19341" spans="2:2" s="221" customFormat="1" ht="12.75" x14ac:dyDescent="0.2">
      <c r="B19341" s="1168"/>
    </row>
    <row r="19342" spans="2:2" s="221" customFormat="1" ht="12.75" x14ac:dyDescent="0.2">
      <c r="B19342" s="1168"/>
    </row>
    <row r="19343" spans="2:2" s="221" customFormat="1" ht="12.75" x14ac:dyDescent="0.2">
      <c r="B19343" s="1168"/>
    </row>
    <row r="19344" spans="2:2" s="221" customFormat="1" ht="12.75" x14ac:dyDescent="0.2">
      <c r="B19344" s="1168"/>
    </row>
    <row r="19345" spans="2:2" s="221" customFormat="1" ht="12.75" x14ac:dyDescent="0.2">
      <c r="B19345" s="1168"/>
    </row>
    <row r="19346" spans="2:2" s="221" customFormat="1" ht="12.75" x14ac:dyDescent="0.2">
      <c r="B19346" s="1168"/>
    </row>
    <row r="19347" spans="2:2" s="221" customFormat="1" ht="12.75" x14ac:dyDescent="0.2">
      <c r="B19347" s="1168"/>
    </row>
    <row r="19348" spans="2:2" s="221" customFormat="1" ht="12.75" x14ac:dyDescent="0.2">
      <c r="B19348" s="1168"/>
    </row>
    <row r="19349" spans="2:2" s="221" customFormat="1" ht="12.75" x14ac:dyDescent="0.2">
      <c r="B19349" s="1168"/>
    </row>
    <row r="19350" spans="2:2" s="221" customFormat="1" ht="12.75" x14ac:dyDescent="0.2">
      <c r="B19350" s="1168"/>
    </row>
    <row r="19351" spans="2:2" s="221" customFormat="1" ht="12.75" x14ac:dyDescent="0.2">
      <c r="B19351" s="1168"/>
    </row>
    <row r="19352" spans="2:2" s="221" customFormat="1" ht="12.75" x14ac:dyDescent="0.2">
      <c r="B19352" s="1168"/>
    </row>
    <row r="19353" spans="2:2" s="221" customFormat="1" ht="12.75" x14ac:dyDescent="0.2">
      <c r="B19353" s="1168"/>
    </row>
    <row r="19354" spans="2:2" s="221" customFormat="1" ht="12.75" x14ac:dyDescent="0.2">
      <c r="B19354" s="1168"/>
    </row>
    <row r="19355" spans="2:2" s="221" customFormat="1" ht="12.75" x14ac:dyDescent="0.2">
      <c r="B19355" s="1168"/>
    </row>
    <row r="19356" spans="2:2" s="221" customFormat="1" ht="12.75" x14ac:dyDescent="0.2">
      <c r="B19356" s="1168"/>
    </row>
    <row r="19357" spans="2:2" s="221" customFormat="1" ht="12.75" x14ac:dyDescent="0.2">
      <c r="B19357" s="1168"/>
    </row>
    <row r="19358" spans="2:2" s="221" customFormat="1" ht="12.75" x14ac:dyDescent="0.2">
      <c r="B19358" s="1168"/>
    </row>
    <row r="19359" spans="2:2" s="221" customFormat="1" ht="12.75" x14ac:dyDescent="0.2">
      <c r="B19359" s="1168"/>
    </row>
    <row r="19360" spans="2:2" s="221" customFormat="1" ht="12.75" x14ac:dyDescent="0.2">
      <c r="B19360" s="1168"/>
    </row>
    <row r="19361" spans="2:2" s="221" customFormat="1" ht="12.75" x14ac:dyDescent="0.2">
      <c r="B19361" s="1168"/>
    </row>
    <row r="19362" spans="2:2" s="221" customFormat="1" ht="12.75" x14ac:dyDescent="0.2">
      <c r="B19362" s="1168"/>
    </row>
    <row r="19363" spans="2:2" s="221" customFormat="1" ht="12.75" x14ac:dyDescent="0.2">
      <c r="B19363" s="1168"/>
    </row>
    <row r="19364" spans="2:2" s="221" customFormat="1" ht="12.75" x14ac:dyDescent="0.2">
      <c r="B19364" s="1168"/>
    </row>
    <row r="19365" spans="2:2" s="221" customFormat="1" ht="12.75" x14ac:dyDescent="0.2">
      <c r="B19365" s="1168"/>
    </row>
    <row r="19366" spans="2:2" s="221" customFormat="1" ht="12.75" x14ac:dyDescent="0.2">
      <c r="B19366" s="1168"/>
    </row>
    <row r="19367" spans="2:2" s="221" customFormat="1" ht="12.75" x14ac:dyDescent="0.2">
      <c r="B19367" s="1168"/>
    </row>
    <row r="19368" spans="2:2" s="221" customFormat="1" ht="12.75" x14ac:dyDescent="0.2">
      <c r="B19368" s="1168"/>
    </row>
    <row r="19369" spans="2:2" s="221" customFormat="1" ht="12.75" x14ac:dyDescent="0.2">
      <c r="B19369" s="1168"/>
    </row>
    <row r="19370" spans="2:2" s="221" customFormat="1" ht="12.75" x14ac:dyDescent="0.2">
      <c r="B19370" s="1168"/>
    </row>
    <row r="19371" spans="2:2" s="221" customFormat="1" ht="12.75" x14ac:dyDescent="0.2">
      <c r="B19371" s="1168"/>
    </row>
    <row r="19372" spans="2:2" s="221" customFormat="1" ht="12.75" x14ac:dyDescent="0.2">
      <c r="B19372" s="1168"/>
    </row>
    <row r="19373" spans="2:2" s="221" customFormat="1" ht="12.75" x14ac:dyDescent="0.2">
      <c r="B19373" s="1168"/>
    </row>
    <row r="19374" spans="2:2" s="221" customFormat="1" ht="12.75" x14ac:dyDescent="0.2">
      <c r="B19374" s="1168"/>
    </row>
    <row r="19375" spans="2:2" s="221" customFormat="1" ht="12.75" x14ac:dyDescent="0.2">
      <c r="B19375" s="1168"/>
    </row>
    <row r="19376" spans="2:2" s="221" customFormat="1" ht="12.75" x14ac:dyDescent="0.2">
      <c r="B19376" s="1168"/>
    </row>
    <row r="19377" spans="2:2" s="221" customFormat="1" ht="12.75" x14ac:dyDescent="0.2">
      <c r="B19377" s="1168"/>
    </row>
    <row r="19378" spans="2:2" s="221" customFormat="1" ht="12.75" x14ac:dyDescent="0.2">
      <c r="B19378" s="1168"/>
    </row>
    <row r="19379" spans="2:2" s="221" customFormat="1" ht="12.75" x14ac:dyDescent="0.2">
      <c r="B19379" s="1168"/>
    </row>
    <row r="19380" spans="2:2" s="221" customFormat="1" ht="12.75" x14ac:dyDescent="0.2">
      <c r="B19380" s="1168"/>
    </row>
    <row r="19381" spans="2:2" s="221" customFormat="1" ht="12.75" x14ac:dyDescent="0.2">
      <c r="B19381" s="1168"/>
    </row>
    <row r="19382" spans="2:2" s="221" customFormat="1" ht="12.75" x14ac:dyDescent="0.2">
      <c r="B19382" s="1168"/>
    </row>
    <row r="19383" spans="2:2" s="221" customFormat="1" ht="12.75" x14ac:dyDescent="0.2">
      <c r="B19383" s="1168"/>
    </row>
    <row r="19384" spans="2:2" s="221" customFormat="1" ht="12.75" x14ac:dyDescent="0.2">
      <c r="B19384" s="1168"/>
    </row>
    <row r="19385" spans="2:2" s="221" customFormat="1" ht="12.75" x14ac:dyDescent="0.2">
      <c r="B19385" s="1168"/>
    </row>
    <row r="19386" spans="2:2" s="221" customFormat="1" ht="12.75" x14ac:dyDescent="0.2">
      <c r="B19386" s="1168"/>
    </row>
    <row r="19387" spans="2:2" s="221" customFormat="1" ht="12.75" x14ac:dyDescent="0.2">
      <c r="B19387" s="1168"/>
    </row>
    <row r="19388" spans="2:2" s="221" customFormat="1" ht="12.75" x14ac:dyDescent="0.2">
      <c r="B19388" s="1168"/>
    </row>
    <row r="19389" spans="2:2" s="221" customFormat="1" ht="12.75" x14ac:dyDescent="0.2">
      <c r="B19389" s="1168"/>
    </row>
    <row r="19390" spans="2:2" s="221" customFormat="1" ht="12.75" x14ac:dyDescent="0.2">
      <c r="B19390" s="1168"/>
    </row>
    <row r="19391" spans="2:2" s="221" customFormat="1" ht="12.75" x14ac:dyDescent="0.2">
      <c r="B19391" s="1168"/>
    </row>
    <row r="19392" spans="2:2" s="221" customFormat="1" ht="12.75" x14ac:dyDescent="0.2">
      <c r="B19392" s="1168"/>
    </row>
    <row r="19393" spans="2:2" s="221" customFormat="1" ht="12.75" x14ac:dyDescent="0.2">
      <c r="B19393" s="1168"/>
    </row>
    <row r="19394" spans="2:2" s="221" customFormat="1" ht="12.75" x14ac:dyDescent="0.2">
      <c r="B19394" s="1168"/>
    </row>
    <row r="19395" spans="2:2" s="221" customFormat="1" ht="12.75" x14ac:dyDescent="0.2">
      <c r="B19395" s="1168"/>
    </row>
    <row r="19396" spans="2:2" s="221" customFormat="1" ht="12.75" x14ac:dyDescent="0.2">
      <c r="B19396" s="1168"/>
    </row>
    <row r="19397" spans="2:2" s="221" customFormat="1" ht="12.75" x14ac:dyDescent="0.2">
      <c r="B19397" s="1168"/>
    </row>
    <row r="19398" spans="2:2" s="221" customFormat="1" ht="12.75" x14ac:dyDescent="0.2">
      <c r="B19398" s="1168"/>
    </row>
    <row r="19399" spans="2:2" s="221" customFormat="1" ht="12.75" x14ac:dyDescent="0.2">
      <c r="B19399" s="1168"/>
    </row>
    <row r="19400" spans="2:2" s="221" customFormat="1" ht="12.75" x14ac:dyDescent="0.2">
      <c r="B19400" s="1168"/>
    </row>
    <row r="19401" spans="2:2" s="221" customFormat="1" ht="12.75" x14ac:dyDescent="0.2">
      <c r="B19401" s="1168"/>
    </row>
    <row r="19402" spans="2:2" s="221" customFormat="1" ht="12.75" x14ac:dyDescent="0.2">
      <c r="B19402" s="1168"/>
    </row>
    <row r="19403" spans="2:2" s="221" customFormat="1" ht="12.75" x14ac:dyDescent="0.2">
      <c r="B19403" s="1168"/>
    </row>
    <row r="19404" spans="2:2" s="221" customFormat="1" ht="12.75" x14ac:dyDescent="0.2">
      <c r="B19404" s="1168"/>
    </row>
    <row r="19405" spans="2:2" s="221" customFormat="1" ht="12.75" x14ac:dyDescent="0.2">
      <c r="B19405" s="1168"/>
    </row>
    <row r="19406" spans="2:2" s="221" customFormat="1" ht="12.75" x14ac:dyDescent="0.2">
      <c r="B19406" s="1168"/>
    </row>
    <row r="19407" spans="2:2" s="221" customFormat="1" ht="12.75" x14ac:dyDescent="0.2">
      <c r="B19407" s="1168"/>
    </row>
    <row r="19408" spans="2:2" s="221" customFormat="1" ht="12.75" x14ac:dyDescent="0.2">
      <c r="B19408" s="1168"/>
    </row>
    <row r="19409" spans="2:2" s="221" customFormat="1" ht="12.75" x14ac:dyDescent="0.2">
      <c r="B19409" s="1168"/>
    </row>
    <row r="19410" spans="2:2" s="221" customFormat="1" ht="12.75" x14ac:dyDescent="0.2">
      <c r="B19410" s="1168"/>
    </row>
    <row r="19411" spans="2:2" s="221" customFormat="1" ht="12.75" x14ac:dyDescent="0.2">
      <c r="B19411" s="1168"/>
    </row>
    <row r="19412" spans="2:2" s="221" customFormat="1" ht="12.75" x14ac:dyDescent="0.2">
      <c r="B19412" s="1168"/>
    </row>
    <row r="19413" spans="2:2" s="221" customFormat="1" ht="12.75" x14ac:dyDescent="0.2">
      <c r="B19413" s="1168"/>
    </row>
    <row r="19414" spans="2:2" s="221" customFormat="1" ht="12.75" x14ac:dyDescent="0.2">
      <c r="B19414" s="1168"/>
    </row>
    <row r="19415" spans="2:2" s="221" customFormat="1" ht="12.75" x14ac:dyDescent="0.2">
      <c r="B19415" s="1168"/>
    </row>
    <row r="19416" spans="2:2" s="221" customFormat="1" ht="12.75" x14ac:dyDescent="0.2">
      <c r="B19416" s="1168"/>
    </row>
    <row r="19417" spans="2:2" s="221" customFormat="1" ht="12.75" x14ac:dyDescent="0.2">
      <c r="B19417" s="1168"/>
    </row>
    <row r="19418" spans="2:2" s="221" customFormat="1" ht="12.75" x14ac:dyDescent="0.2">
      <c r="B19418" s="1168"/>
    </row>
    <row r="19419" spans="2:2" s="221" customFormat="1" ht="12.75" x14ac:dyDescent="0.2">
      <c r="B19419" s="1168"/>
    </row>
    <row r="19420" spans="2:2" s="221" customFormat="1" ht="12.75" x14ac:dyDescent="0.2">
      <c r="B19420" s="1168"/>
    </row>
    <row r="19421" spans="2:2" s="221" customFormat="1" ht="12.75" x14ac:dyDescent="0.2">
      <c r="B19421" s="1168"/>
    </row>
    <row r="19422" spans="2:2" s="221" customFormat="1" ht="12.75" x14ac:dyDescent="0.2">
      <c r="B19422" s="1168"/>
    </row>
    <row r="19423" spans="2:2" s="221" customFormat="1" ht="12.75" x14ac:dyDescent="0.2">
      <c r="B19423" s="1168"/>
    </row>
    <row r="19424" spans="2:2" s="221" customFormat="1" ht="12.75" x14ac:dyDescent="0.2">
      <c r="B19424" s="1168"/>
    </row>
    <row r="19425" spans="2:2" s="221" customFormat="1" ht="12.75" x14ac:dyDescent="0.2">
      <c r="B19425" s="1168"/>
    </row>
    <row r="19426" spans="2:2" s="221" customFormat="1" ht="12.75" x14ac:dyDescent="0.2">
      <c r="B19426" s="1168"/>
    </row>
    <row r="19427" spans="2:2" s="221" customFormat="1" ht="12.75" x14ac:dyDescent="0.2">
      <c r="B19427" s="1168"/>
    </row>
    <row r="19428" spans="2:2" s="221" customFormat="1" ht="12.75" x14ac:dyDescent="0.2">
      <c r="B19428" s="1168"/>
    </row>
    <row r="19429" spans="2:2" s="221" customFormat="1" ht="12.75" x14ac:dyDescent="0.2">
      <c r="B19429" s="1168"/>
    </row>
    <row r="19430" spans="2:2" s="221" customFormat="1" ht="12.75" x14ac:dyDescent="0.2">
      <c r="B19430" s="1168"/>
    </row>
    <row r="19431" spans="2:2" s="221" customFormat="1" ht="12.75" x14ac:dyDescent="0.2">
      <c r="B19431" s="1168"/>
    </row>
    <row r="19432" spans="2:2" s="221" customFormat="1" ht="12.75" x14ac:dyDescent="0.2">
      <c r="B19432" s="1168"/>
    </row>
    <row r="19433" spans="2:2" s="221" customFormat="1" ht="12.75" x14ac:dyDescent="0.2">
      <c r="B19433" s="1168"/>
    </row>
    <row r="19434" spans="2:2" s="221" customFormat="1" ht="12.75" x14ac:dyDescent="0.2">
      <c r="B19434" s="1168"/>
    </row>
    <row r="19435" spans="2:2" s="221" customFormat="1" ht="12.75" x14ac:dyDescent="0.2">
      <c r="B19435" s="1168"/>
    </row>
    <row r="19436" spans="2:2" s="221" customFormat="1" ht="12.75" x14ac:dyDescent="0.2">
      <c r="B19436" s="1168"/>
    </row>
    <row r="19437" spans="2:2" s="221" customFormat="1" ht="12.75" x14ac:dyDescent="0.2">
      <c r="B19437" s="1168"/>
    </row>
    <row r="19438" spans="2:2" s="221" customFormat="1" ht="12.75" x14ac:dyDescent="0.2">
      <c r="B19438" s="1168"/>
    </row>
    <row r="19439" spans="2:2" s="221" customFormat="1" ht="12.75" x14ac:dyDescent="0.2">
      <c r="B19439" s="1168"/>
    </row>
    <row r="19440" spans="2:2" s="221" customFormat="1" ht="12.75" x14ac:dyDescent="0.2">
      <c r="B19440" s="1168"/>
    </row>
    <row r="19441" spans="2:2" s="221" customFormat="1" ht="12.75" x14ac:dyDescent="0.2">
      <c r="B19441" s="1168"/>
    </row>
    <row r="19442" spans="2:2" s="221" customFormat="1" ht="12.75" x14ac:dyDescent="0.2">
      <c r="B19442" s="1168"/>
    </row>
    <row r="19443" spans="2:2" s="221" customFormat="1" ht="12.75" x14ac:dyDescent="0.2">
      <c r="B19443" s="1168"/>
    </row>
    <row r="19444" spans="2:2" s="221" customFormat="1" ht="12.75" x14ac:dyDescent="0.2">
      <c r="B19444" s="1168"/>
    </row>
    <row r="19445" spans="2:2" s="221" customFormat="1" ht="12.75" x14ac:dyDescent="0.2">
      <c r="B19445" s="1168"/>
    </row>
    <row r="19446" spans="2:2" s="221" customFormat="1" ht="12.75" x14ac:dyDescent="0.2">
      <c r="B19446" s="1168"/>
    </row>
    <row r="19447" spans="2:2" s="221" customFormat="1" ht="12.75" x14ac:dyDescent="0.2">
      <c r="B19447" s="1168"/>
    </row>
    <row r="19448" spans="2:2" s="221" customFormat="1" ht="12.75" x14ac:dyDescent="0.2">
      <c r="B19448" s="1168"/>
    </row>
    <row r="19449" spans="2:2" s="221" customFormat="1" ht="12.75" x14ac:dyDescent="0.2">
      <c r="B19449" s="1168"/>
    </row>
    <row r="19450" spans="2:2" s="221" customFormat="1" ht="12.75" x14ac:dyDescent="0.2">
      <c r="B19450" s="1168"/>
    </row>
    <row r="19451" spans="2:2" s="221" customFormat="1" ht="12.75" x14ac:dyDescent="0.2">
      <c r="B19451" s="1168"/>
    </row>
    <row r="19452" spans="2:2" s="221" customFormat="1" ht="12.75" x14ac:dyDescent="0.2">
      <c r="B19452" s="1168"/>
    </row>
    <row r="19453" spans="2:2" s="221" customFormat="1" ht="12.75" x14ac:dyDescent="0.2">
      <c r="B19453" s="1168"/>
    </row>
    <row r="19454" spans="2:2" s="221" customFormat="1" ht="12.75" x14ac:dyDescent="0.2">
      <c r="B19454" s="1168"/>
    </row>
    <row r="19455" spans="2:2" s="221" customFormat="1" ht="12.75" x14ac:dyDescent="0.2">
      <c r="B19455" s="1168"/>
    </row>
    <row r="19456" spans="2:2" s="221" customFormat="1" ht="12.75" x14ac:dyDescent="0.2">
      <c r="B19456" s="1168"/>
    </row>
    <row r="19457" spans="2:2" s="221" customFormat="1" ht="12.75" x14ac:dyDescent="0.2">
      <c r="B19457" s="1168"/>
    </row>
    <row r="19458" spans="2:2" s="221" customFormat="1" ht="12.75" x14ac:dyDescent="0.2">
      <c r="B19458" s="1168"/>
    </row>
    <row r="19459" spans="2:2" s="221" customFormat="1" ht="12.75" x14ac:dyDescent="0.2">
      <c r="B19459" s="1168"/>
    </row>
    <row r="19460" spans="2:2" s="221" customFormat="1" ht="12.75" x14ac:dyDescent="0.2">
      <c r="B19460" s="1168"/>
    </row>
    <row r="19461" spans="2:2" s="221" customFormat="1" ht="12.75" x14ac:dyDescent="0.2">
      <c r="B19461" s="1168"/>
    </row>
    <row r="19462" spans="2:2" s="221" customFormat="1" ht="12.75" x14ac:dyDescent="0.2">
      <c r="B19462" s="1168"/>
    </row>
    <row r="19463" spans="2:2" s="221" customFormat="1" ht="12.75" x14ac:dyDescent="0.2">
      <c r="B19463" s="1168"/>
    </row>
    <row r="19464" spans="2:2" s="221" customFormat="1" ht="12.75" x14ac:dyDescent="0.2">
      <c r="B19464" s="1168"/>
    </row>
    <row r="19465" spans="2:2" s="221" customFormat="1" ht="12.75" x14ac:dyDescent="0.2">
      <c r="B19465" s="1168"/>
    </row>
    <row r="19466" spans="2:2" s="221" customFormat="1" ht="12.75" x14ac:dyDescent="0.2">
      <c r="B19466" s="1168"/>
    </row>
    <row r="19467" spans="2:2" s="221" customFormat="1" ht="12.75" x14ac:dyDescent="0.2">
      <c r="B19467" s="1168"/>
    </row>
    <row r="19468" spans="2:2" s="221" customFormat="1" ht="12.75" x14ac:dyDescent="0.2">
      <c r="B19468" s="1168"/>
    </row>
    <row r="19469" spans="2:2" s="221" customFormat="1" ht="12.75" x14ac:dyDescent="0.2">
      <c r="B19469" s="1168"/>
    </row>
    <row r="19470" spans="2:2" s="221" customFormat="1" ht="12.75" x14ac:dyDescent="0.2">
      <c r="B19470" s="1168"/>
    </row>
    <row r="19471" spans="2:2" s="221" customFormat="1" ht="12.75" x14ac:dyDescent="0.2">
      <c r="B19471" s="1168"/>
    </row>
    <row r="19472" spans="2:2" s="221" customFormat="1" ht="12.75" x14ac:dyDescent="0.2">
      <c r="B19472" s="1168"/>
    </row>
    <row r="19473" spans="2:2" s="221" customFormat="1" ht="12.75" x14ac:dyDescent="0.2">
      <c r="B19473" s="1168"/>
    </row>
    <row r="19474" spans="2:2" s="221" customFormat="1" ht="12.75" x14ac:dyDescent="0.2">
      <c r="B19474" s="1168"/>
    </row>
    <row r="19475" spans="2:2" s="221" customFormat="1" ht="12.75" x14ac:dyDescent="0.2">
      <c r="B19475" s="1168"/>
    </row>
    <row r="19476" spans="2:2" s="221" customFormat="1" ht="12.75" x14ac:dyDescent="0.2">
      <c r="B19476" s="1168"/>
    </row>
    <row r="19477" spans="2:2" s="221" customFormat="1" ht="12.75" x14ac:dyDescent="0.2">
      <c r="B19477" s="1168"/>
    </row>
    <row r="19478" spans="2:2" s="221" customFormat="1" ht="12.75" x14ac:dyDescent="0.2">
      <c r="B19478" s="1168"/>
    </row>
    <row r="19479" spans="2:2" s="221" customFormat="1" ht="12.75" x14ac:dyDescent="0.2">
      <c r="B19479" s="1168"/>
    </row>
    <row r="19480" spans="2:2" s="221" customFormat="1" ht="12.75" x14ac:dyDescent="0.2">
      <c r="B19480" s="1168"/>
    </row>
    <row r="19481" spans="2:2" s="221" customFormat="1" ht="12.75" x14ac:dyDescent="0.2">
      <c r="B19481" s="1168"/>
    </row>
    <row r="19482" spans="2:2" s="221" customFormat="1" ht="12.75" x14ac:dyDescent="0.2">
      <c r="B19482" s="1168"/>
    </row>
    <row r="19483" spans="2:2" s="221" customFormat="1" ht="12.75" x14ac:dyDescent="0.2">
      <c r="B19483" s="1168"/>
    </row>
    <row r="19484" spans="2:2" s="221" customFormat="1" ht="12.75" x14ac:dyDescent="0.2">
      <c r="B19484" s="1168"/>
    </row>
    <row r="19485" spans="2:2" s="221" customFormat="1" ht="12.75" x14ac:dyDescent="0.2">
      <c r="B19485" s="1168"/>
    </row>
    <row r="19486" spans="2:2" s="221" customFormat="1" ht="12.75" x14ac:dyDescent="0.2">
      <c r="B19486" s="1168"/>
    </row>
    <row r="19487" spans="2:2" s="221" customFormat="1" ht="12.75" x14ac:dyDescent="0.2">
      <c r="B19487" s="1168"/>
    </row>
    <row r="19488" spans="2:2" s="221" customFormat="1" ht="12.75" x14ac:dyDescent="0.2">
      <c r="B19488" s="1168"/>
    </row>
    <row r="19489" spans="2:2" s="221" customFormat="1" ht="12.75" x14ac:dyDescent="0.2">
      <c r="B19489" s="1168"/>
    </row>
    <row r="19490" spans="2:2" s="221" customFormat="1" ht="12.75" x14ac:dyDescent="0.2">
      <c r="B19490" s="1168"/>
    </row>
    <row r="19491" spans="2:2" s="221" customFormat="1" ht="12.75" x14ac:dyDescent="0.2">
      <c r="B19491" s="1168"/>
    </row>
    <row r="19492" spans="2:2" s="221" customFormat="1" ht="12.75" x14ac:dyDescent="0.2">
      <c r="B19492" s="1168"/>
    </row>
    <row r="19493" spans="2:2" s="221" customFormat="1" ht="12.75" x14ac:dyDescent="0.2">
      <c r="B19493" s="1168"/>
    </row>
    <row r="19494" spans="2:2" s="221" customFormat="1" ht="12.75" x14ac:dyDescent="0.2">
      <c r="B19494" s="1168"/>
    </row>
    <row r="19495" spans="2:2" s="221" customFormat="1" ht="12.75" x14ac:dyDescent="0.2">
      <c r="B19495" s="1168"/>
    </row>
    <row r="19496" spans="2:2" s="221" customFormat="1" ht="12.75" x14ac:dyDescent="0.2">
      <c r="B19496" s="1168"/>
    </row>
    <row r="19497" spans="2:2" s="221" customFormat="1" ht="12.75" x14ac:dyDescent="0.2">
      <c r="B19497" s="1168"/>
    </row>
    <row r="19498" spans="2:2" s="221" customFormat="1" ht="12.75" x14ac:dyDescent="0.2">
      <c r="B19498" s="1168"/>
    </row>
    <row r="19499" spans="2:2" s="221" customFormat="1" ht="12.75" x14ac:dyDescent="0.2">
      <c r="B19499" s="1168"/>
    </row>
    <row r="19500" spans="2:2" s="221" customFormat="1" ht="12.75" x14ac:dyDescent="0.2">
      <c r="B19500" s="1168"/>
    </row>
    <row r="19501" spans="2:2" s="221" customFormat="1" ht="12.75" x14ac:dyDescent="0.2">
      <c r="B19501" s="1168"/>
    </row>
    <row r="19502" spans="2:2" s="221" customFormat="1" ht="12.75" x14ac:dyDescent="0.2">
      <c r="B19502" s="1168"/>
    </row>
    <row r="19503" spans="2:2" s="221" customFormat="1" ht="12.75" x14ac:dyDescent="0.2">
      <c r="B19503" s="1168"/>
    </row>
    <row r="19504" spans="2:2" s="221" customFormat="1" ht="12.75" x14ac:dyDescent="0.2">
      <c r="B19504" s="1168"/>
    </row>
    <row r="19505" spans="2:2" s="221" customFormat="1" ht="12.75" x14ac:dyDescent="0.2">
      <c r="B19505" s="1168"/>
    </row>
    <row r="19506" spans="2:2" s="221" customFormat="1" ht="12.75" x14ac:dyDescent="0.2">
      <c r="B19506" s="1168"/>
    </row>
    <row r="19507" spans="2:2" s="221" customFormat="1" ht="12.75" x14ac:dyDescent="0.2">
      <c r="B19507" s="1168"/>
    </row>
    <row r="19508" spans="2:2" s="221" customFormat="1" ht="12.75" x14ac:dyDescent="0.2">
      <c r="B19508" s="1168"/>
    </row>
    <row r="19509" spans="2:2" s="221" customFormat="1" ht="12.75" x14ac:dyDescent="0.2">
      <c r="B19509" s="1168"/>
    </row>
    <row r="19510" spans="2:2" s="221" customFormat="1" ht="12.75" x14ac:dyDescent="0.2">
      <c r="B19510" s="1168"/>
    </row>
    <row r="19511" spans="2:2" s="221" customFormat="1" ht="12.75" x14ac:dyDescent="0.2">
      <c r="B19511" s="1168"/>
    </row>
    <row r="19512" spans="2:2" s="221" customFormat="1" ht="12.75" x14ac:dyDescent="0.2">
      <c r="B19512" s="1168"/>
    </row>
    <row r="19513" spans="2:2" s="221" customFormat="1" ht="12.75" x14ac:dyDescent="0.2">
      <c r="B19513" s="1168"/>
    </row>
    <row r="19514" spans="2:2" s="221" customFormat="1" ht="12.75" x14ac:dyDescent="0.2">
      <c r="B19514" s="1168"/>
    </row>
    <row r="19515" spans="2:2" s="221" customFormat="1" ht="12.75" x14ac:dyDescent="0.2">
      <c r="B19515" s="1168"/>
    </row>
    <row r="19516" spans="2:2" s="221" customFormat="1" ht="12.75" x14ac:dyDescent="0.2">
      <c r="B19516" s="1168"/>
    </row>
    <row r="19517" spans="2:2" s="221" customFormat="1" ht="12.75" x14ac:dyDescent="0.2">
      <c r="B19517" s="1168"/>
    </row>
    <row r="19518" spans="2:2" s="221" customFormat="1" ht="12.75" x14ac:dyDescent="0.2">
      <c r="B19518" s="1168"/>
    </row>
    <row r="19519" spans="2:2" s="221" customFormat="1" ht="12.75" x14ac:dyDescent="0.2">
      <c r="B19519" s="1168"/>
    </row>
    <row r="19520" spans="2:2" s="221" customFormat="1" ht="12.75" x14ac:dyDescent="0.2">
      <c r="B19520" s="1168"/>
    </row>
    <row r="19521" spans="2:2" s="221" customFormat="1" ht="12.75" x14ac:dyDescent="0.2">
      <c r="B19521" s="1168"/>
    </row>
    <row r="19522" spans="2:2" s="221" customFormat="1" ht="12.75" x14ac:dyDescent="0.2">
      <c r="B19522" s="1168"/>
    </row>
    <row r="19523" spans="2:2" s="221" customFormat="1" ht="12.75" x14ac:dyDescent="0.2">
      <c r="B19523" s="1168"/>
    </row>
    <row r="19524" spans="2:2" s="221" customFormat="1" ht="12.75" x14ac:dyDescent="0.2">
      <c r="B19524" s="1168"/>
    </row>
    <row r="19525" spans="2:2" s="221" customFormat="1" ht="12.75" x14ac:dyDescent="0.2">
      <c r="B19525" s="1168"/>
    </row>
    <row r="19526" spans="2:2" s="221" customFormat="1" ht="12.75" x14ac:dyDescent="0.2">
      <c r="B19526" s="1168"/>
    </row>
    <row r="19527" spans="2:2" s="221" customFormat="1" ht="12.75" x14ac:dyDescent="0.2">
      <c r="B19527" s="1168"/>
    </row>
    <row r="19528" spans="2:2" s="221" customFormat="1" ht="12.75" x14ac:dyDescent="0.2">
      <c r="B19528" s="1168"/>
    </row>
    <row r="19529" spans="2:2" s="221" customFormat="1" ht="12.75" x14ac:dyDescent="0.2">
      <c r="B19529" s="1168"/>
    </row>
    <row r="19530" spans="2:2" s="221" customFormat="1" ht="12.75" x14ac:dyDescent="0.2">
      <c r="B19530" s="1168"/>
    </row>
    <row r="19531" spans="2:2" s="221" customFormat="1" ht="12.75" x14ac:dyDescent="0.2">
      <c r="B19531" s="1168"/>
    </row>
    <row r="19532" spans="2:2" s="221" customFormat="1" ht="12.75" x14ac:dyDescent="0.2">
      <c r="B19532" s="1168"/>
    </row>
    <row r="19533" spans="2:2" s="221" customFormat="1" ht="12.75" x14ac:dyDescent="0.2">
      <c r="B19533" s="1168"/>
    </row>
    <row r="19534" spans="2:2" s="221" customFormat="1" ht="12.75" x14ac:dyDescent="0.2">
      <c r="B19534" s="1168"/>
    </row>
    <row r="19535" spans="2:2" s="221" customFormat="1" ht="12.75" x14ac:dyDescent="0.2">
      <c r="B19535" s="1168"/>
    </row>
    <row r="19536" spans="2:2" s="221" customFormat="1" ht="12.75" x14ac:dyDescent="0.2">
      <c r="B19536" s="1168"/>
    </row>
    <row r="19537" spans="2:2" s="221" customFormat="1" ht="12.75" x14ac:dyDescent="0.2">
      <c r="B19537" s="1168"/>
    </row>
    <row r="19538" spans="2:2" s="221" customFormat="1" ht="12.75" x14ac:dyDescent="0.2">
      <c r="B19538" s="1168"/>
    </row>
    <row r="19539" spans="2:2" s="221" customFormat="1" ht="12.75" x14ac:dyDescent="0.2">
      <c r="B19539" s="1168"/>
    </row>
    <row r="19540" spans="2:2" s="221" customFormat="1" ht="12.75" x14ac:dyDescent="0.2">
      <c r="B19540" s="1168"/>
    </row>
    <row r="19541" spans="2:2" s="221" customFormat="1" ht="12.75" x14ac:dyDescent="0.2">
      <c r="B19541" s="1168"/>
    </row>
    <row r="19542" spans="2:2" s="221" customFormat="1" ht="12.75" x14ac:dyDescent="0.2">
      <c r="B19542" s="1168"/>
    </row>
    <row r="19543" spans="2:2" s="221" customFormat="1" ht="12.75" x14ac:dyDescent="0.2">
      <c r="B19543" s="1168"/>
    </row>
    <row r="19544" spans="2:2" s="221" customFormat="1" ht="12.75" x14ac:dyDescent="0.2">
      <c r="B19544" s="1168"/>
    </row>
    <row r="19545" spans="2:2" s="221" customFormat="1" ht="12.75" x14ac:dyDescent="0.2">
      <c r="B19545" s="1168"/>
    </row>
    <row r="19546" spans="2:2" s="221" customFormat="1" ht="12.75" x14ac:dyDescent="0.2">
      <c r="B19546" s="1168"/>
    </row>
    <row r="19547" spans="2:2" s="221" customFormat="1" ht="12.75" x14ac:dyDescent="0.2">
      <c r="B19547" s="1168"/>
    </row>
    <row r="19548" spans="2:2" s="221" customFormat="1" ht="12.75" x14ac:dyDescent="0.2">
      <c r="B19548" s="1168"/>
    </row>
    <row r="19549" spans="2:2" s="221" customFormat="1" ht="12.75" x14ac:dyDescent="0.2">
      <c r="B19549" s="1168"/>
    </row>
    <row r="19550" spans="2:2" s="221" customFormat="1" ht="12.75" x14ac:dyDescent="0.2">
      <c r="B19550" s="1168"/>
    </row>
    <row r="19551" spans="2:2" s="221" customFormat="1" ht="12.75" x14ac:dyDescent="0.2">
      <c r="B19551" s="1168"/>
    </row>
    <row r="19552" spans="2:2" s="221" customFormat="1" ht="12.75" x14ac:dyDescent="0.2">
      <c r="B19552" s="1168"/>
    </row>
    <row r="19553" spans="2:2" s="221" customFormat="1" ht="12.75" x14ac:dyDescent="0.2">
      <c r="B19553" s="1168"/>
    </row>
    <row r="19554" spans="2:2" s="221" customFormat="1" ht="12.75" x14ac:dyDescent="0.2">
      <c r="B19554" s="1168"/>
    </row>
    <row r="19555" spans="2:2" s="221" customFormat="1" ht="12.75" x14ac:dyDescent="0.2">
      <c r="B19555" s="1168"/>
    </row>
    <row r="19556" spans="2:2" s="221" customFormat="1" ht="12.75" x14ac:dyDescent="0.2">
      <c r="B19556" s="1168"/>
    </row>
    <row r="19557" spans="2:2" s="221" customFormat="1" ht="12.75" x14ac:dyDescent="0.2">
      <c r="B19557" s="1168"/>
    </row>
    <row r="19558" spans="2:2" s="221" customFormat="1" ht="12.75" x14ac:dyDescent="0.2">
      <c r="B19558" s="1168"/>
    </row>
    <row r="19559" spans="2:2" s="221" customFormat="1" ht="12.75" x14ac:dyDescent="0.2">
      <c r="B19559" s="1168"/>
    </row>
    <row r="19560" spans="2:2" s="221" customFormat="1" ht="12.75" x14ac:dyDescent="0.2">
      <c r="B19560" s="1168"/>
    </row>
    <row r="19561" spans="2:2" s="221" customFormat="1" ht="12.75" x14ac:dyDescent="0.2">
      <c r="B19561" s="1168"/>
    </row>
    <row r="19562" spans="2:2" s="221" customFormat="1" ht="12.75" x14ac:dyDescent="0.2">
      <c r="B19562" s="1168"/>
    </row>
    <row r="19563" spans="2:2" s="221" customFormat="1" ht="12.75" x14ac:dyDescent="0.2">
      <c r="B19563" s="1168"/>
    </row>
    <row r="19564" spans="2:2" s="221" customFormat="1" ht="12.75" x14ac:dyDescent="0.2">
      <c r="B19564" s="1168"/>
    </row>
    <row r="19565" spans="2:2" s="221" customFormat="1" ht="12.75" x14ac:dyDescent="0.2">
      <c r="B19565" s="1168"/>
    </row>
    <row r="19566" spans="2:2" s="221" customFormat="1" ht="12.75" x14ac:dyDescent="0.2">
      <c r="B19566" s="1168"/>
    </row>
    <row r="19567" spans="2:2" s="221" customFormat="1" ht="12.75" x14ac:dyDescent="0.2">
      <c r="B19567" s="1168"/>
    </row>
    <row r="19568" spans="2:2" s="221" customFormat="1" ht="12.75" x14ac:dyDescent="0.2">
      <c r="B19568" s="1168"/>
    </row>
    <row r="19569" spans="2:2" s="221" customFormat="1" ht="12.75" x14ac:dyDescent="0.2">
      <c r="B19569" s="1168"/>
    </row>
    <row r="19570" spans="2:2" s="221" customFormat="1" ht="12.75" x14ac:dyDescent="0.2">
      <c r="B19570" s="1168"/>
    </row>
    <row r="19571" spans="2:2" s="221" customFormat="1" ht="12.75" x14ac:dyDescent="0.2">
      <c r="B19571" s="1168"/>
    </row>
    <row r="19572" spans="2:2" s="221" customFormat="1" ht="12.75" x14ac:dyDescent="0.2">
      <c r="B19572" s="1168"/>
    </row>
    <row r="19573" spans="2:2" s="221" customFormat="1" ht="12.75" x14ac:dyDescent="0.2">
      <c r="B19573" s="1168"/>
    </row>
    <row r="19574" spans="2:2" s="221" customFormat="1" ht="12.75" x14ac:dyDescent="0.2">
      <c r="B19574" s="1168"/>
    </row>
    <row r="19575" spans="2:2" s="221" customFormat="1" ht="12.75" x14ac:dyDescent="0.2">
      <c r="B19575" s="1168"/>
    </row>
    <row r="19576" spans="2:2" s="221" customFormat="1" ht="12.75" x14ac:dyDescent="0.2">
      <c r="B19576" s="1168"/>
    </row>
    <row r="19577" spans="2:2" s="221" customFormat="1" ht="12.75" x14ac:dyDescent="0.2">
      <c r="B19577" s="1168"/>
    </row>
    <row r="19578" spans="2:2" s="221" customFormat="1" ht="12.75" x14ac:dyDescent="0.2">
      <c r="B19578" s="1168"/>
    </row>
    <row r="19579" spans="2:2" s="221" customFormat="1" ht="12.75" x14ac:dyDescent="0.2">
      <c r="B19579" s="1168"/>
    </row>
    <row r="19580" spans="2:2" s="221" customFormat="1" ht="12.75" x14ac:dyDescent="0.2">
      <c r="B19580" s="1168"/>
    </row>
    <row r="19581" spans="2:2" s="221" customFormat="1" ht="12.75" x14ac:dyDescent="0.2">
      <c r="B19581" s="1168"/>
    </row>
    <row r="19582" spans="2:2" s="221" customFormat="1" ht="12.75" x14ac:dyDescent="0.2">
      <c r="B19582" s="1168"/>
    </row>
    <row r="19583" spans="2:2" s="221" customFormat="1" ht="12.75" x14ac:dyDescent="0.2">
      <c r="B19583" s="1168"/>
    </row>
    <row r="19584" spans="2:2" s="221" customFormat="1" ht="12.75" x14ac:dyDescent="0.2">
      <c r="B19584" s="1168"/>
    </row>
    <row r="19585" spans="2:2" s="221" customFormat="1" ht="12.75" x14ac:dyDescent="0.2">
      <c r="B19585" s="1168"/>
    </row>
    <row r="19586" spans="2:2" s="221" customFormat="1" ht="12.75" x14ac:dyDescent="0.2">
      <c r="B19586" s="1168"/>
    </row>
    <row r="19587" spans="2:2" s="221" customFormat="1" ht="12.75" x14ac:dyDescent="0.2">
      <c r="B19587" s="1168"/>
    </row>
    <row r="19588" spans="2:2" s="221" customFormat="1" ht="12.75" x14ac:dyDescent="0.2">
      <c r="B19588" s="1168"/>
    </row>
    <row r="19589" spans="2:2" s="221" customFormat="1" ht="12.75" x14ac:dyDescent="0.2">
      <c r="B19589" s="1168"/>
    </row>
    <row r="19590" spans="2:2" s="221" customFormat="1" ht="12.75" x14ac:dyDescent="0.2">
      <c r="B19590" s="1168"/>
    </row>
    <row r="19591" spans="2:2" s="221" customFormat="1" ht="12.75" x14ac:dyDescent="0.2">
      <c r="B19591" s="1168"/>
    </row>
    <row r="19592" spans="2:2" s="221" customFormat="1" ht="12.75" x14ac:dyDescent="0.2">
      <c r="B19592" s="1168"/>
    </row>
    <row r="19593" spans="2:2" s="221" customFormat="1" ht="12.75" x14ac:dyDescent="0.2">
      <c r="B19593" s="1168"/>
    </row>
    <row r="19594" spans="2:2" s="221" customFormat="1" ht="12.75" x14ac:dyDescent="0.2">
      <c r="B19594" s="1168"/>
    </row>
    <row r="19595" spans="2:2" s="221" customFormat="1" ht="12.75" x14ac:dyDescent="0.2">
      <c r="B19595" s="1168"/>
    </row>
    <row r="19596" spans="2:2" s="221" customFormat="1" ht="12.75" x14ac:dyDescent="0.2">
      <c r="B19596" s="1168"/>
    </row>
    <row r="19597" spans="2:2" s="221" customFormat="1" ht="12.75" x14ac:dyDescent="0.2">
      <c r="B19597" s="1168"/>
    </row>
    <row r="19598" spans="2:2" s="221" customFormat="1" ht="12.75" x14ac:dyDescent="0.2">
      <c r="B19598" s="1168"/>
    </row>
    <row r="19599" spans="2:2" s="221" customFormat="1" ht="12.75" x14ac:dyDescent="0.2">
      <c r="B19599" s="1168"/>
    </row>
    <row r="19600" spans="2:2" s="221" customFormat="1" ht="12.75" x14ac:dyDescent="0.2">
      <c r="B19600" s="1168"/>
    </row>
    <row r="19601" spans="2:2" s="221" customFormat="1" ht="12.75" x14ac:dyDescent="0.2">
      <c r="B19601" s="1168"/>
    </row>
    <row r="19602" spans="2:2" s="221" customFormat="1" ht="12.75" x14ac:dyDescent="0.2">
      <c r="B19602" s="1168"/>
    </row>
    <row r="19603" spans="2:2" s="221" customFormat="1" ht="12.75" x14ac:dyDescent="0.2">
      <c r="B19603" s="1168"/>
    </row>
    <row r="19604" spans="2:2" s="221" customFormat="1" ht="12.75" x14ac:dyDescent="0.2">
      <c r="B19604" s="1168"/>
    </row>
    <row r="19605" spans="2:2" s="221" customFormat="1" ht="12.75" x14ac:dyDescent="0.2">
      <c r="B19605" s="1168"/>
    </row>
    <row r="19606" spans="2:2" s="221" customFormat="1" ht="12.75" x14ac:dyDescent="0.2">
      <c r="B19606" s="1168"/>
    </row>
    <row r="19607" spans="2:2" s="221" customFormat="1" ht="12.75" x14ac:dyDescent="0.2">
      <c r="B19607" s="1168"/>
    </row>
    <row r="19608" spans="2:2" s="221" customFormat="1" ht="12.75" x14ac:dyDescent="0.2">
      <c r="B19608" s="1168"/>
    </row>
    <row r="19609" spans="2:2" s="221" customFormat="1" ht="12.75" x14ac:dyDescent="0.2">
      <c r="B19609" s="1168"/>
    </row>
    <row r="19610" spans="2:2" s="221" customFormat="1" ht="12.75" x14ac:dyDescent="0.2">
      <c r="B19610" s="1168"/>
    </row>
    <row r="19611" spans="2:2" s="221" customFormat="1" ht="12.75" x14ac:dyDescent="0.2">
      <c r="B19611" s="1168"/>
    </row>
    <row r="19612" spans="2:2" s="221" customFormat="1" ht="12.75" x14ac:dyDescent="0.2">
      <c r="B19612" s="1168"/>
    </row>
    <row r="19613" spans="2:2" s="221" customFormat="1" ht="12.75" x14ac:dyDescent="0.2">
      <c r="B19613" s="1168"/>
    </row>
    <row r="19614" spans="2:2" s="221" customFormat="1" ht="12.75" x14ac:dyDescent="0.2">
      <c r="B19614" s="1168"/>
    </row>
    <row r="19615" spans="2:2" s="221" customFormat="1" ht="12.75" x14ac:dyDescent="0.2">
      <c r="B19615" s="1168"/>
    </row>
    <row r="19616" spans="2:2" s="221" customFormat="1" ht="12.75" x14ac:dyDescent="0.2">
      <c r="B19616" s="1168"/>
    </row>
    <row r="19617" spans="2:2" s="221" customFormat="1" ht="12.75" x14ac:dyDescent="0.2">
      <c r="B19617" s="1168"/>
    </row>
    <row r="19618" spans="2:2" s="221" customFormat="1" ht="12.75" x14ac:dyDescent="0.2">
      <c r="B19618" s="1168"/>
    </row>
    <row r="19619" spans="2:2" s="221" customFormat="1" ht="12.75" x14ac:dyDescent="0.2">
      <c r="B19619" s="1168"/>
    </row>
    <row r="19620" spans="2:2" s="221" customFormat="1" ht="12.75" x14ac:dyDescent="0.2">
      <c r="B19620" s="1168"/>
    </row>
    <row r="19621" spans="2:2" s="221" customFormat="1" ht="12.75" x14ac:dyDescent="0.2">
      <c r="B19621" s="1168"/>
    </row>
    <row r="19622" spans="2:2" s="221" customFormat="1" ht="12.75" x14ac:dyDescent="0.2">
      <c r="B19622" s="1168"/>
    </row>
    <row r="19623" spans="2:2" s="221" customFormat="1" ht="12.75" x14ac:dyDescent="0.2">
      <c r="B19623" s="1168"/>
    </row>
    <row r="19624" spans="2:2" s="221" customFormat="1" ht="12.75" x14ac:dyDescent="0.2">
      <c r="B19624" s="1168"/>
    </row>
    <row r="19625" spans="2:2" s="221" customFormat="1" ht="12.75" x14ac:dyDescent="0.2">
      <c r="B19625" s="1168"/>
    </row>
    <row r="19626" spans="2:2" s="221" customFormat="1" ht="12.75" x14ac:dyDescent="0.2">
      <c r="B19626" s="1168"/>
    </row>
    <row r="19627" spans="2:2" s="221" customFormat="1" ht="12.75" x14ac:dyDescent="0.2">
      <c r="B19627" s="1168"/>
    </row>
    <row r="19628" spans="2:2" s="221" customFormat="1" ht="12.75" x14ac:dyDescent="0.2">
      <c r="B19628" s="1168"/>
    </row>
    <row r="19629" spans="2:2" s="221" customFormat="1" ht="12.75" x14ac:dyDescent="0.2">
      <c r="B19629" s="1168"/>
    </row>
    <row r="19630" spans="2:2" s="221" customFormat="1" ht="12.75" x14ac:dyDescent="0.2">
      <c r="B19630" s="1168"/>
    </row>
    <row r="19631" spans="2:2" s="221" customFormat="1" ht="12.75" x14ac:dyDescent="0.2">
      <c r="B19631" s="1168"/>
    </row>
    <row r="19632" spans="2:2" s="221" customFormat="1" ht="12.75" x14ac:dyDescent="0.2">
      <c r="B19632" s="1168"/>
    </row>
    <row r="19633" spans="2:2" s="221" customFormat="1" ht="12.75" x14ac:dyDescent="0.2">
      <c r="B19633" s="1168"/>
    </row>
    <row r="19634" spans="2:2" s="221" customFormat="1" ht="12.75" x14ac:dyDescent="0.2">
      <c r="B19634" s="1168"/>
    </row>
    <row r="19635" spans="2:2" s="221" customFormat="1" ht="12.75" x14ac:dyDescent="0.2">
      <c r="B19635" s="1168"/>
    </row>
    <row r="19636" spans="2:2" s="221" customFormat="1" ht="12.75" x14ac:dyDescent="0.2">
      <c r="B19636" s="1168"/>
    </row>
    <row r="19637" spans="2:2" s="221" customFormat="1" ht="12.75" x14ac:dyDescent="0.2">
      <c r="B19637" s="1168"/>
    </row>
    <row r="19638" spans="2:2" s="221" customFormat="1" ht="12.75" x14ac:dyDescent="0.2">
      <c r="B19638" s="1168"/>
    </row>
    <row r="19639" spans="2:2" s="221" customFormat="1" ht="12.75" x14ac:dyDescent="0.2">
      <c r="B19639" s="1168"/>
    </row>
    <row r="19640" spans="2:2" s="221" customFormat="1" ht="12.75" x14ac:dyDescent="0.2">
      <c r="B19640" s="1168"/>
    </row>
    <row r="19641" spans="2:2" s="221" customFormat="1" ht="12.75" x14ac:dyDescent="0.2">
      <c r="B19641" s="1168"/>
    </row>
    <row r="19642" spans="2:2" s="221" customFormat="1" ht="12.75" x14ac:dyDescent="0.2">
      <c r="B19642" s="1168"/>
    </row>
    <row r="19643" spans="2:2" s="221" customFormat="1" ht="12.75" x14ac:dyDescent="0.2">
      <c r="B19643" s="1168"/>
    </row>
    <row r="19644" spans="2:2" s="221" customFormat="1" ht="12.75" x14ac:dyDescent="0.2">
      <c r="B19644" s="1168"/>
    </row>
    <row r="19645" spans="2:2" s="221" customFormat="1" ht="12.75" x14ac:dyDescent="0.2">
      <c r="B19645" s="1168"/>
    </row>
    <row r="19646" spans="2:2" s="221" customFormat="1" ht="12.75" x14ac:dyDescent="0.2">
      <c r="B19646" s="1168"/>
    </row>
    <row r="19647" spans="2:2" s="221" customFormat="1" ht="12.75" x14ac:dyDescent="0.2">
      <c r="B19647" s="1168"/>
    </row>
    <row r="19648" spans="2:2" s="221" customFormat="1" ht="12.75" x14ac:dyDescent="0.2">
      <c r="B19648" s="1168"/>
    </row>
    <row r="19649" spans="2:2" s="221" customFormat="1" ht="12.75" x14ac:dyDescent="0.2">
      <c r="B19649" s="1168"/>
    </row>
    <row r="19650" spans="2:2" s="221" customFormat="1" ht="12.75" x14ac:dyDescent="0.2">
      <c r="B19650" s="1168"/>
    </row>
    <row r="19651" spans="2:2" s="221" customFormat="1" ht="12.75" x14ac:dyDescent="0.2">
      <c r="B19651" s="1168"/>
    </row>
    <row r="19652" spans="2:2" s="221" customFormat="1" ht="12.75" x14ac:dyDescent="0.2">
      <c r="B19652" s="1168"/>
    </row>
    <row r="19653" spans="2:2" s="221" customFormat="1" ht="12.75" x14ac:dyDescent="0.2">
      <c r="B19653" s="1168"/>
    </row>
    <row r="19654" spans="2:2" s="221" customFormat="1" ht="12.75" x14ac:dyDescent="0.2">
      <c r="B19654" s="1168"/>
    </row>
    <row r="19655" spans="2:2" s="221" customFormat="1" ht="12.75" x14ac:dyDescent="0.2">
      <c r="B19655" s="1168"/>
    </row>
    <row r="19656" spans="2:2" s="221" customFormat="1" ht="12.75" x14ac:dyDescent="0.2">
      <c r="B19656" s="1168"/>
    </row>
    <row r="19657" spans="2:2" s="221" customFormat="1" ht="12.75" x14ac:dyDescent="0.2">
      <c r="B19657" s="1168"/>
    </row>
    <row r="19658" spans="2:2" s="221" customFormat="1" ht="12.75" x14ac:dyDescent="0.2">
      <c r="B19658" s="1168"/>
    </row>
    <row r="19659" spans="2:2" s="221" customFormat="1" ht="12.75" x14ac:dyDescent="0.2">
      <c r="B19659" s="1168"/>
    </row>
    <row r="19660" spans="2:2" s="221" customFormat="1" ht="12.75" x14ac:dyDescent="0.2">
      <c r="B19660" s="1168"/>
    </row>
    <row r="19661" spans="2:2" s="221" customFormat="1" ht="12.75" x14ac:dyDescent="0.2">
      <c r="B19661" s="1168"/>
    </row>
    <row r="19662" spans="2:2" s="221" customFormat="1" ht="12.75" x14ac:dyDescent="0.2">
      <c r="B19662" s="1168"/>
    </row>
    <row r="19663" spans="2:2" s="221" customFormat="1" ht="12.75" x14ac:dyDescent="0.2">
      <c r="B19663" s="1168"/>
    </row>
    <row r="19664" spans="2:2" s="221" customFormat="1" ht="12.75" x14ac:dyDescent="0.2">
      <c r="B19664" s="1168"/>
    </row>
    <row r="19665" spans="2:2" s="221" customFormat="1" ht="12.75" x14ac:dyDescent="0.2">
      <c r="B19665" s="1168"/>
    </row>
    <row r="19666" spans="2:2" s="221" customFormat="1" ht="12.75" x14ac:dyDescent="0.2">
      <c r="B19666" s="1168"/>
    </row>
    <row r="19667" spans="2:2" s="221" customFormat="1" ht="12.75" x14ac:dyDescent="0.2">
      <c r="B19667" s="1168"/>
    </row>
    <row r="19668" spans="2:2" s="221" customFormat="1" ht="12.75" x14ac:dyDescent="0.2">
      <c r="B19668" s="1168"/>
    </row>
    <row r="19669" spans="2:2" s="221" customFormat="1" ht="12.75" x14ac:dyDescent="0.2">
      <c r="B19669" s="1168"/>
    </row>
    <row r="19670" spans="2:2" s="221" customFormat="1" ht="12.75" x14ac:dyDescent="0.2">
      <c r="B19670" s="1168"/>
    </row>
    <row r="19671" spans="2:2" s="221" customFormat="1" ht="12.75" x14ac:dyDescent="0.2">
      <c r="B19671" s="1168"/>
    </row>
    <row r="19672" spans="2:2" s="221" customFormat="1" ht="12.75" x14ac:dyDescent="0.2">
      <c r="B19672" s="1168"/>
    </row>
    <row r="19673" spans="2:2" s="221" customFormat="1" ht="12.75" x14ac:dyDescent="0.2">
      <c r="B19673" s="1168"/>
    </row>
    <row r="19674" spans="2:2" s="221" customFormat="1" ht="12.75" x14ac:dyDescent="0.2">
      <c r="B19674" s="1168"/>
    </row>
    <row r="19675" spans="2:2" s="221" customFormat="1" ht="12.75" x14ac:dyDescent="0.2">
      <c r="B19675" s="1168"/>
    </row>
    <row r="19676" spans="2:2" s="221" customFormat="1" ht="12.75" x14ac:dyDescent="0.2">
      <c r="B19676" s="1168"/>
    </row>
    <row r="19677" spans="2:2" s="221" customFormat="1" ht="12.75" x14ac:dyDescent="0.2">
      <c r="B19677" s="1168"/>
    </row>
    <row r="19678" spans="2:2" s="221" customFormat="1" ht="12.75" x14ac:dyDescent="0.2">
      <c r="B19678" s="1168"/>
    </row>
    <row r="19679" spans="2:2" s="221" customFormat="1" ht="12.75" x14ac:dyDescent="0.2">
      <c r="B19679" s="1168"/>
    </row>
    <row r="19680" spans="2:2" s="221" customFormat="1" ht="12.75" x14ac:dyDescent="0.2">
      <c r="B19680" s="1168"/>
    </row>
    <row r="19681" spans="2:2" s="221" customFormat="1" ht="12.75" x14ac:dyDescent="0.2">
      <c r="B19681" s="1168"/>
    </row>
    <row r="19682" spans="2:2" s="221" customFormat="1" ht="12.75" x14ac:dyDescent="0.2">
      <c r="B19682" s="1168"/>
    </row>
    <row r="19683" spans="2:2" s="221" customFormat="1" ht="12.75" x14ac:dyDescent="0.2">
      <c r="B19683" s="1168"/>
    </row>
    <row r="19684" spans="2:2" s="221" customFormat="1" ht="12.75" x14ac:dyDescent="0.2">
      <c r="B19684" s="1168"/>
    </row>
    <row r="19685" spans="2:2" s="221" customFormat="1" ht="12.75" x14ac:dyDescent="0.2">
      <c r="B19685" s="1168"/>
    </row>
    <row r="19686" spans="2:2" s="221" customFormat="1" ht="12.75" x14ac:dyDescent="0.2">
      <c r="B19686" s="1168"/>
    </row>
    <row r="19687" spans="2:2" s="221" customFormat="1" ht="12.75" x14ac:dyDescent="0.2">
      <c r="B19687" s="1168"/>
    </row>
    <row r="19688" spans="2:2" s="221" customFormat="1" ht="12.75" x14ac:dyDescent="0.2">
      <c r="B19688" s="1168"/>
    </row>
    <row r="19689" spans="2:2" s="221" customFormat="1" ht="12.75" x14ac:dyDescent="0.2">
      <c r="B19689" s="1168"/>
    </row>
    <row r="19690" spans="2:2" s="221" customFormat="1" ht="12.75" x14ac:dyDescent="0.2">
      <c r="B19690" s="1168"/>
    </row>
    <row r="19691" spans="2:2" s="221" customFormat="1" ht="12.75" x14ac:dyDescent="0.2">
      <c r="B19691" s="1168"/>
    </row>
    <row r="19692" spans="2:2" s="221" customFormat="1" ht="12.75" x14ac:dyDescent="0.2">
      <c r="B19692" s="1168"/>
    </row>
    <row r="19693" spans="2:2" s="221" customFormat="1" ht="12.75" x14ac:dyDescent="0.2">
      <c r="B19693" s="1168"/>
    </row>
    <row r="19694" spans="2:2" s="221" customFormat="1" ht="12.75" x14ac:dyDescent="0.2">
      <c r="B19694" s="1168"/>
    </row>
    <row r="19695" spans="2:2" s="221" customFormat="1" ht="12.75" x14ac:dyDescent="0.2">
      <c r="B19695" s="1168"/>
    </row>
    <row r="19696" spans="2:2" s="221" customFormat="1" ht="12.75" x14ac:dyDescent="0.2">
      <c r="B19696" s="1168"/>
    </row>
    <row r="19697" spans="2:2" s="221" customFormat="1" ht="12.75" x14ac:dyDescent="0.2">
      <c r="B19697" s="1168"/>
    </row>
    <row r="19698" spans="2:2" s="221" customFormat="1" ht="12.75" x14ac:dyDescent="0.2">
      <c r="B19698" s="1168"/>
    </row>
    <row r="19699" spans="2:2" s="221" customFormat="1" ht="12.75" x14ac:dyDescent="0.2">
      <c r="B19699" s="1168"/>
    </row>
    <row r="19700" spans="2:2" s="221" customFormat="1" ht="12.75" x14ac:dyDescent="0.2">
      <c r="B19700" s="1168"/>
    </row>
    <row r="19701" spans="2:2" s="221" customFormat="1" ht="12.75" x14ac:dyDescent="0.2">
      <c r="B19701" s="1168"/>
    </row>
    <row r="19702" spans="2:2" s="221" customFormat="1" ht="12.75" x14ac:dyDescent="0.2">
      <c r="B19702" s="1168"/>
    </row>
    <row r="19703" spans="2:2" s="221" customFormat="1" ht="12.75" x14ac:dyDescent="0.2">
      <c r="B19703" s="1168"/>
    </row>
    <row r="19704" spans="2:2" s="221" customFormat="1" ht="12.75" x14ac:dyDescent="0.2">
      <c r="B19704" s="1168"/>
    </row>
    <row r="19705" spans="2:2" s="221" customFormat="1" ht="12.75" x14ac:dyDescent="0.2">
      <c r="B19705" s="1168"/>
    </row>
    <row r="19706" spans="2:2" s="221" customFormat="1" ht="12.75" x14ac:dyDescent="0.2">
      <c r="B19706" s="1168"/>
    </row>
    <row r="19707" spans="2:2" s="221" customFormat="1" ht="12.75" x14ac:dyDescent="0.2">
      <c r="B19707" s="1168"/>
    </row>
    <row r="19708" spans="2:2" s="221" customFormat="1" ht="12.75" x14ac:dyDescent="0.2">
      <c r="B19708" s="1168"/>
    </row>
    <row r="19709" spans="2:2" s="221" customFormat="1" ht="12.75" x14ac:dyDescent="0.2">
      <c r="B19709" s="1168"/>
    </row>
    <row r="19710" spans="2:2" s="221" customFormat="1" ht="12.75" x14ac:dyDescent="0.2">
      <c r="B19710" s="1168"/>
    </row>
    <row r="19711" spans="2:2" s="221" customFormat="1" ht="12.75" x14ac:dyDescent="0.2">
      <c r="B19711" s="1168"/>
    </row>
    <row r="19712" spans="2:2" s="221" customFormat="1" ht="12.75" x14ac:dyDescent="0.2">
      <c r="B19712" s="1168"/>
    </row>
    <row r="19713" spans="2:2" s="221" customFormat="1" ht="12.75" x14ac:dyDescent="0.2">
      <c r="B19713" s="1168"/>
    </row>
    <row r="19714" spans="2:2" s="221" customFormat="1" ht="12.75" x14ac:dyDescent="0.2">
      <c r="B19714" s="1168"/>
    </row>
    <row r="19715" spans="2:2" s="221" customFormat="1" ht="12.75" x14ac:dyDescent="0.2">
      <c r="B19715" s="1168"/>
    </row>
    <row r="19716" spans="2:2" s="221" customFormat="1" ht="12.75" x14ac:dyDescent="0.2">
      <c r="B19716" s="1168"/>
    </row>
    <row r="19717" spans="2:2" s="221" customFormat="1" ht="12.75" x14ac:dyDescent="0.2">
      <c r="B19717" s="1168"/>
    </row>
    <row r="19718" spans="2:2" s="221" customFormat="1" ht="12.75" x14ac:dyDescent="0.2">
      <c r="B19718" s="1168"/>
    </row>
    <row r="19719" spans="2:2" s="221" customFormat="1" ht="12.75" x14ac:dyDescent="0.2">
      <c r="B19719" s="1168"/>
    </row>
    <row r="19720" spans="2:2" s="221" customFormat="1" ht="12.75" x14ac:dyDescent="0.2">
      <c r="B19720" s="1168"/>
    </row>
    <row r="19721" spans="2:2" s="221" customFormat="1" ht="12.75" x14ac:dyDescent="0.2">
      <c r="B19721" s="1168"/>
    </row>
    <row r="19722" spans="2:2" s="221" customFormat="1" ht="12.75" x14ac:dyDescent="0.2">
      <c r="B19722" s="1168"/>
    </row>
    <row r="19723" spans="2:2" s="221" customFormat="1" ht="12.75" x14ac:dyDescent="0.2">
      <c r="B19723" s="1168"/>
    </row>
    <row r="19724" spans="2:2" s="221" customFormat="1" ht="12.75" x14ac:dyDescent="0.2">
      <c r="B19724" s="1168"/>
    </row>
    <row r="19725" spans="2:2" s="221" customFormat="1" ht="12.75" x14ac:dyDescent="0.2">
      <c r="B19725" s="1168"/>
    </row>
    <row r="19726" spans="2:2" s="221" customFormat="1" ht="12.75" x14ac:dyDescent="0.2">
      <c r="B19726" s="1168"/>
    </row>
    <row r="19727" spans="2:2" s="221" customFormat="1" ht="12.75" x14ac:dyDescent="0.2">
      <c r="B19727" s="1168"/>
    </row>
    <row r="19728" spans="2:2" s="221" customFormat="1" ht="12.75" x14ac:dyDescent="0.2">
      <c r="B19728" s="1168"/>
    </row>
    <row r="19729" spans="2:2" s="221" customFormat="1" ht="12.75" x14ac:dyDescent="0.2">
      <c r="B19729" s="1168"/>
    </row>
    <row r="19730" spans="2:2" s="221" customFormat="1" ht="12.75" x14ac:dyDescent="0.2">
      <c r="B19730" s="1168"/>
    </row>
    <row r="19731" spans="2:2" s="221" customFormat="1" ht="12.75" x14ac:dyDescent="0.2">
      <c r="B19731" s="1168"/>
    </row>
    <row r="19732" spans="2:2" s="221" customFormat="1" ht="12.75" x14ac:dyDescent="0.2">
      <c r="B19732" s="1168"/>
    </row>
    <row r="19733" spans="2:2" s="221" customFormat="1" ht="12.75" x14ac:dyDescent="0.2">
      <c r="B19733" s="1168"/>
    </row>
    <row r="19734" spans="2:2" s="221" customFormat="1" ht="12.75" x14ac:dyDescent="0.2">
      <c r="B19734" s="1168"/>
    </row>
    <row r="19735" spans="2:2" s="221" customFormat="1" ht="12.75" x14ac:dyDescent="0.2">
      <c r="B19735" s="1168"/>
    </row>
    <row r="19736" spans="2:2" s="221" customFormat="1" ht="12.75" x14ac:dyDescent="0.2">
      <c r="B19736" s="1168"/>
    </row>
    <row r="19737" spans="2:2" s="221" customFormat="1" ht="12.75" x14ac:dyDescent="0.2">
      <c r="B19737" s="1168"/>
    </row>
    <row r="19738" spans="2:2" s="221" customFormat="1" ht="12.75" x14ac:dyDescent="0.2">
      <c r="B19738" s="1168"/>
    </row>
    <row r="19739" spans="2:2" s="221" customFormat="1" ht="12.75" x14ac:dyDescent="0.2">
      <c r="B19739" s="1168"/>
    </row>
    <row r="19740" spans="2:2" s="221" customFormat="1" ht="12.75" x14ac:dyDescent="0.2">
      <c r="B19740" s="1168"/>
    </row>
    <row r="19741" spans="2:2" s="221" customFormat="1" ht="12.75" x14ac:dyDescent="0.2">
      <c r="B19741" s="1168"/>
    </row>
    <row r="19742" spans="2:2" s="221" customFormat="1" ht="12.75" x14ac:dyDescent="0.2">
      <c r="B19742" s="1168"/>
    </row>
    <row r="19743" spans="2:2" s="221" customFormat="1" ht="12.75" x14ac:dyDescent="0.2">
      <c r="B19743" s="1168"/>
    </row>
    <row r="19744" spans="2:2" s="221" customFormat="1" ht="12.75" x14ac:dyDescent="0.2">
      <c r="B19744" s="1168"/>
    </row>
    <row r="19745" spans="2:2" s="221" customFormat="1" ht="12.75" x14ac:dyDescent="0.2">
      <c r="B19745" s="1168"/>
    </row>
    <row r="19746" spans="2:2" s="221" customFormat="1" ht="12.75" x14ac:dyDescent="0.2">
      <c r="B19746" s="1168"/>
    </row>
    <row r="19747" spans="2:2" s="221" customFormat="1" ht="12.75" x14ac:dyDescent="0.2">
      <c r="B19747" s="1168"/>
    </row>
    <row r="19748" spans="2:2" s="221" customFormat="1" ht="12.75" x14ac:dyDescent="0.2">
      <c r="B19748" s="1168"/>
    </row>
    <row r="19749" spans="2:2" s="221" customFormat="1" ht="12.75" x14ac:dyDescent="0.2">
      <c r="B19749" s="1168"/>
    </row>
    <row r="19750" spans="2:2" s="221" customFormat="1" ht="12.75" x14ac:dyDescent="0.2">
      <c r="B19750" s="1168"/>
    </row>
    <row r="19751" spans="2:2" s="221" customFormat="1" ht="12.75" x14ac:dyDescent="0.2">
      <c r="B19751" s="1168"/>
    </row>
    <row r="19752" spans="2:2" s="221" customFormat="1" ht="12.75" x14ac:dyDescent="0.2">
      <c r="B19752" s="1168"/>
    </row>
    <row r="19753" spans="2:2" s="221" customFormat="1" ht="12.75" x14ac:dyDescent="0.2">
      <c r="B19753" s="1168"/>
    </row>
    <row r="19754" spans="2:2" s="221" customFormat="1" ht="12.75" x14ac:dyDescent="0.2">
      <c r="B19754" s="1168"/>
    </row>
    <row r="19755" spans="2:2" s="221" customFormat="1" ht="12.75" x14ac:dyDescent="0.2">
      <c r="B19755" s="1168"/>
    </row>
    <row r="19756" spans="2:2" s="221" customFormat="1" ht="12.75" x14ac:dyDescent="0.2">
      <c r="B19756" s="1168"/>
    </row>
    <row r="19757" spans="2:2" s="221" customFormat="1" ht="12.75" x14ac:dyDescent="0.2">
      <c r="B19757" s="1168"/>
    </row>
    <row r="19758" spans="2:2" s="221" customFormat="1" ht="12.75" x14ac:dyDescent="0.2">
      <c r="B19758" s="1168"/>
    </row>
    <row r="19759" spans="2:2" s="221" customFormat="1" ht="12.75" x14ac:dyDescent="0.2">
      <c r="B19759" s="1168"/>
    </row>
    <row r="19760" spans="2:2" s="221" customFormat="1" ht="12.75" x14ac:dyDescent="0.2">
      <c r="B19760" s="1168"/>
    </row>
    <row r="19761" spans="2:2" s="221" customFormat="1" ht="12.75" x14ac:dyDescent="0.2">
      <c r="B19761" s="1168"/>
    </row>
    <row r="19762" spans="2:2" s="221" customFormat="1" ht="12.75" x14ac:dyDescent="0.2">
      <c r="B19762" s="1168"/>
    </row>
    <row r="19763" spans="2:2" s="221" customFormat="1" ht="12.75" x14ac:dyDescent="0.2">
      <c r="B19763" s="1168"/>
    </row>
    <row r="19764" spans="2:2" s="221" customFormat="1" ht="12.75" x14ac:dyDescent="0.2">
      <c r="B19764" s="1168"/>
    </row>
    <row r="19765" spans="2:2" s="221" customFormat="1" ht="12.75" x14ac:dyDescent="0.2">
      <c r="B19765" s="1168"/>
    </row>
    <row r="19766" spans="2:2" s="221" customFormat="1" ht="12.75" x14ac:dyDescent="0.2">
      <c r="B19766" s="1168"/>
    </row>
    <row r="19767" spans="2:2" s="221" customFormat="1" ht="12.75" x14ac:dyDescent="0.2">
      <c r="B19767" s="1168"/>
    </row>
    <row r="19768" spans="2:2" s="221" customFormat="1" ht="12.75" x14ac:dyDescent="0.2">
      <c r="B19768" s="1168"/>
    </row>
    <row r="19769" spans="2:2" s="221" customFormat="1" ht="12.75" x14ac:dyDescent="0.2">
      <c r="B19769" s="1168"/>
    </row>
    <row r="19770" spans="2:2" s="221" customFormat="1" ht="12.75" x14ac:dyDescent="0.2">
      <c r="B19770" s="1168"/>
    </row>
    <row r="19771" spans="2:2" s="221" customFormat="1" ht="12.75" x14ac:dyDescent="0.2">
      <c r="B19771" s="1168"/>
    </row>
    <row r="19772" spans="2:2" s="221" customFormat="1" ht="12.75" x14ac:dyDescent="0.2">
      <c r="B19772" s="1168"/>
    </row>
    <row r="19773" spans="2:2" s="221" customFormat="1" ht="12.75" x14ac:dyDescent="0.2">
      <c r="B19773" s="1168"/>
    </row>
    <row r="19774" spans="2:2" s="221" customFormat="1" ht="12.75" x14ac:dyDescent="0.2">
      <c r="B19774" s="1168"/>
    </row>
    <row r="19775" spans="2:2" s="221" customFormat="1" ht="12.75" x14ac:dyDescent="0.2">
      <c r="B19775" s="1168"/>
    </row>
    <row r="19776" spans="2:2" s="221" customFormat="1" ht="12.75" x14ac:dyDescent="0.2">
      <c r="B19776" s="1168"/>
    </row>
    <row r="19777" spans="2:2" s="221" customFormat="1" ht="12.75" x14ac:dyDescent="0.2">
      <c r="B19777" s="1168"/>
    </row>
    <row r="19778" spans="2:2" s="221" customFormat="1" ht="12.75" x14ac:dyDescent="0.2">
      <c r="B19778" s="1168"/>
    </row>
    <row r="19779" spans="2:2" s="221" customFormat="1" ht="12.75" x14ac:dyDescent="0.2">
      <c r="B19779" s="1168"/>
    </row>
    <row r="19780" spans="2:2" s="221" customFormat="1" ht="12.75" x14ac:dyDescent="0.2">
      <c r="B19780" s="1168"/>
    </row>
    <row r="19781" spans="2:2" s="221" customFormat="1" ht="12.75" x14ac:dyDescent="0.2">
      <c r="B19781" s="1168"/>
    </row>
    <row r="19782" spans="2:2" s="221" customFormat="1" ht="12.75" x14ac:dyDescent="0.2">
      <c r="B19782" s="1168"/>
    </row>
    <row r="19783" spans="2:2" s="221" customFormat="1" ht="12.75" x14ac:dyDescent="0.2">
      <c r="B19783" s="1168"/>
    </row>
    <row r="19784" spans="2:2" s="221" customFormat="1" ht="12.75" x14ac:dyDescent="0.2">
      <c r="B19784" s="1168"/>
    </row>
    <row r="19785" spans="2:2" s="221" customFormat="1" ht="12.75" x14ac:dyDescent="0.2">
      <c r="B19785" s="1168"/>
    </row>
    <row r="19786" spans="2:2" s="221" customFormat="1" ht="12.75" x14ac:dyDescent="0.2">
      <c r="B19786" s="1168"/>
    </row>
    <row r="19787" spans="2:2" s="221" customFormat="1" ht="12.75" x14ac:dyDescent="0.2">
      <c r="B19787" s="1168"/>
    </row>
    <row r="19788" spans="2:2" s="221" customFormat="1" ht="12.75" x14ac:dyDescent="0.2">
      <c r="B19788" s="1168"/>
    </row>
    <row r="19789" spans="2:2" s="221" customFormat="1" ht="12.75" x14ac:dyDescent="0.2">
      <c r="B19789" s="1168"/>
    </row>
    <row r="19790" spans="2:2" s="221" customFormat="1" ht="12.75" x14ac:dyDescent="0.2">
      <c r="B19790" s="1168"/>
    </row>
    <row r="19791" spans="2:2" s="221" customFormat="1" ht="12.75" x14ac:dyDescent="0.2">
      <c r="B19791" s="1168"/>
    </row>
    <row r="19792" spans="2:2" s="221" customFormat="1" ht="12.75" x14ac:dyDescent="0.2">
      <c r="B19792" s="1168"/>
    </row>
    <row r="19793" spans="2:2" s="221" customFormat="1" ht="12.75" x14ac:dyDescent="0.2">
      <c r="B19793" s="1168"/>
    </row>
    <row r="19794" spans="2:2" s="221" customFormat="1" ht="12.75" x14ac:dyDescent="0.2">
      <c r="B19794" s="1168"/>
    </row>
    <row r="19795" spans="2:2" s="221" customFormat="1" ht="12.75" x14ac:dyDescent="0.2">
      <c r="B19795" s="1168"/>
    </row>
    <row r="19796" spans="2:2" s="221" customFormat="1" ht="12.75" x14ac:dyDescent="0.2">
      <c r="B19796" s="1168"/>
    </row>
    <row r="19797" spans="2:2" s="221" customFormat="1" ht="12.75" x14ac:dyDescent="0.2">
      <c r="B19797" s="1168"/>
    </row>
    <row r="19798" spans="2:2" s="221" customFormat="1" ht="12.75" x14ac:dyDescent="0.2">
      <c r="B19798" s="1168"/>
    </row>
    <row r="19799" spans="2:2" s="221" customFormat="1" ht="12.75" x14ac:dyDescent="0.2">
      <c r="B19799" s="1168"/>
    </row>
    <row r="19800" spans="2:2" s="221" customFormat="1" ht="12.75" x14ac:dyDescent="0.2">
      <c r="B19800" s="1168"/>
    </row>
    <row r="19801" spans="2:2" s="221" customFormat="1" ht="12.75" x14ac:dyDescent="0.2">
      <c r="B19801" s="1168"/>
    </row>
    <row r="19802" spans="2:2" s="221" customFormat="1" ht="12.75" x14ac:dyDescent="0.2">
      <c r="B19802" s="1168"/>
    </row>
    <row r="19803" spans="2:2" s="221" customFormat="1" ht="12.75" x14ac:dyDescent="0.2">
      <c r="B19803" s="1168"/>
    </row>
    <row r="19804" spans="2:2" s="221" customFormat="1" ht="12.75" x14ac:dyDescent="0.2">
      <c r="B19804" s="1168"/>
    </row>
    <row r="19805" spans="2:2" s="221" customFormat="1" ht="12.75" x14ac:dyDescent="0.2">
      <c r="B19805" s="1168"/>
    </row>
    <row r="19806" spans="2:2" s="221" customFormat="1" ht="12.75" x14ac:dyDescent="0.2">
      <c r="B19806" s="1168"/>
    </row>
    <row r="19807" spans="2:2" s="221" customFormat="1" ht="12.75" x14ac:dyDescent="0.2">
      <c r="B19807" s="1168"/>
    </row>
    <row r="19808" spans="2:2" s="221" customFormat="1" ht="12.75" x14ac:dyDescent="0.2">
      <c r="B19808" s="1168"/>
    </row>
    <row r="19809" spans="2:2" s="221" customFormat="1" ht="12.75" x14ac:dyDescent="0.2">
      <c r="B19809" s="1168"/>
    </row>
    <row r="19810" spans="2:2" s="221" customFormat="1" ht="12.75" x14ac:dyDescent="0.2">
      <c r="B19810" s="1168"/>
    </row>
    <row r="19811" spans="2:2" s="221" customFormat="1" ht="12.75" x14ac:dyDescent="0.2">
      <c r="B19811" s="1168"/>
    </row>
    <row r="19812" spans="2:2" s="221" customFormat="1" ht="12.75" x14ac:dyDescent="0.2">
      <c r="B19812" s="1168"/>
    </row>
    <row r="19813" spans="2:2" s="221" customFormat="1" ht="12.75" x14ac:dyDescent="0.2">
      <c r="B19813" s="1168"/>
    </row>
    <row r="19814" spans="2:2" s="221" customFormat="1" ht="12.75" x14ac:dyDescent="0.2">
      <c r="B19814" s="1168"/>
    </row>
    <row r="19815" spans="2:2" s="221" customFormat="1" ht="12.75" x14ac:dyDescent="0.2">
      <c r="B19815" s="1168"/>
    </row>
    <row r="19816" spans="2:2" s="221" customFormat="1" ht="12.75" x14ac:dyDescent="0.2">
      <c r="B19816" s="1168"/>
    </row>
    <row r="19817" spans="2:2" s="221" customFormat="1" ht="12.75" x14ac:dyDescent="0.2">
      <c r="B19817" s="1168"/>
    </row>
    <row r="19818" spans="2:2" s="221" customFormat="1" ht="12.75" x14ac:dyDescent="0.2">
      <c r="B19818" s="1168"/>
    </row>
    <row r="19819" spans="2:2" s="221" customFormat="1" ht="12.75" x14ac:dyDescent="0.2">
      <c r="B19819" s="1168"/>
    </row>
    <row r="19820" spans="2:2" s="221" customFormat="1" ht="12.75" x14ac:dyDescent="0.2">
      <c r="B19820" s="1168"/>
    </row>
    <row r="19821" spans="2:2" s="221" customFormat="1" ht="12.75" x14ac:dyDescent="0.2">
      <c r="B19821" s="1168"/>
    </row>
    <row r="19822" spans="2:2" s="221" customFormat="1" ht="12.75" x14ac:dyDescent="0.2">
      <c r="B19822" s="1168"/>
    </row>
    <row r="19823" spans="2:2" s="221" customFormat="1" ht="12.75" x14ac:dyDescent="0.2">
      <c r="B19823" s="1168"/>
    </row>
    <row r="19824" spans="2:2" s="221" customFormat="1" ht="12.75" x14ac:dyDescent="0.2">
      <c r="B19824" s="1168"/>
    </row>
    <row r="19825" spans="2:2" s="221" customFormat="1" ht="12.75" x14ac:dyDescent="0.2">
      <c r="B19825" s="1168"/>
    </row>
    <row r="19826" spans="2:2" s="221" customFormat="1" ht="12.75" x14ac:dyDescent="0.2">
      <c r="B19826" s="1168"/>
    </row>
    <row r="19827" spans="2:2" s="221" customFormat="1" ht="12.75" x14ac:dyDescent="0.2">
      <c r="B19827" s="1168"/>
    </row>
    <row r="19828" spans="2:2" s="221" customFormat="1" ht="12.75" x14ac:dyDescent="0.2">
      <c r="B19828" s="1168"/>
    </row>
    <row r="19829" spans="2:2" s="221" customFormat="1" ht="12.75" x14ac:dyDescent="0.2">
      <c r="B19829" s="1168"/>
    </row>
    <row r="19830" spans="2:2" s="221" customFormat="1" ht="12.75" x14ac:dyDescent="0.2">
      <c r="B19830" s="1168"/>
    </row>
    <row r="19831" spans="2:2" s="221" customFormat="1" ht="12.75" x14ac:dyDescent="0.2">
      <c r="B19831" s="1168"/>
    </row>
    <row r="19832" spans="2:2" s="221" customFormat="1" ht="12.75" x14ac:dyDescent="0.2">
      <c r="B19832" s="1168"/>
    </row>
    <row r="19833" spans="2:2" s="221" customFormat="1" ht="12.75" x14ac:dyDescent="0.2">
      <c r="B19833" s="1168"/>
    </row>
    <row r="19834" spans="2:2" s="221" customFormat="1" ht="12.75" x14ac:dyDescent="0.2">
      <c r="B19834" s="1168"/>
    </row>
    <row r="19835" spans="2:2" s="221" customFormat="1" ht="12.75" x14ac:dyDescent="0.2">
      <c r="B19835" s="1168"/>
    </row>
    <row r="19836" spans="2:2" s="221" customFormat="1" ht="12.75" x14ac:dyDescent="0.2">
      <c r="B19836" s="1168"/>
    </row>
    <row r="19837" spans="2:2" s="221" customFormat="1" ht="12.75" x14ac:dyDescent="0.2">
      <c r="B19837" s="1168"/>
    </row>
    <row r="19838" spans="2:2" s="221" customFormat="1" ht="12.75" x14ac:dyDescent="0.2">
      <c r="B19838" s="1168"/>
    </row>
    <row r="19839" spans="2:2" s="221" customFormat="1" ht="12.75" x14ac:dyDescent="0.2">
      <c r="B19839" s="1168"/>
    </row>
    <row r="19840" spans="2:2" s="221" customFormat="1" ht="12.75" x14ac:dyDescent="0.2">
      <c r="B19840" s="1168"/>
    </row>
    <row r="19841" spans="2:2" s="221" customFormat="1" ht="12.75" x14ac:dyDescent="0.2">
      <c r="B19841" s="1168"/>
    </row>
    <row r="19842" spans="2:2" s="221" customFormat="1" ht="12.75" x14ac:dyDescent="0.2">
      <c r="B19842" s="1168"/>
    </row>
    <row r="19843" spans="2:2" s="221" customFormat="1" ht="12.75" x14ac:dyDescent="0.2">
      <c r="B19843" s="1168"/>
    </row>
    <row r="19844" spans="2:2" s="221" customFormat="1" ht="12.75" x14ac:dyDescent="0.2">
      <c r="B19844" s="1168"/>
    </row>
    <row r="19845" spans="2:2" s="221" customFormat="1" ht="12.75" x14ac:dyDescent="0.2">
      <c r="B19845" s="1168"/>
    </row>
    <row r="19846" spans="2:2" s="221" customFormat="1" ht="12.75" x14ac:dyDescent="0.2">
      <c r="B19846" s="1168"/>
    </row>
    <row r="19847" spans="2:2" s="221" customFormat="1" ht="12.75" x14ac:dyDescent="0.2">
      <c r="B19847" s="1168"/>
    </row>
    <row r="19848" spans="2:2" s="221" customFormat="1" ht="12.75" x14ac:dyDescent="0.2">
      <c r="B19848" s="1168"/>
    </row>
    <row r="19849" spans="2:2" s="221" customFormat="1" ht="12.75" x14ac:dyDescent="0.2">
      <c r="B19849" s="1168"/>
    </row>
    <row r="19850" spans="2:2" s="221" customFormat="1" ht="12.75" x14ac:dyDescent="0.2">
      <c r="B19850" s="1168"/>
    </row>
    <row r="19851" spans="2:2" s="221" customFormat="1" ht="12.75" x14ac:dyDescent="0.2">
      <c r="B19851" s="1168"/>
    </row>
    <row r="19852" spans="2:2" s="221" customFormat="1" ht="12.75" x14ac:dyDescent="0.2">
      <c r="B19852" s="1168"/>
    </row>
    <row r="19853" spans="2:2" s="221" customFormat="1" ht="12.75" x14ac:dyDescent="0.2">
      <c r="B19853" s="1168"/>
    </row>
    <row r="19854" spans="2:2" s="221" customFormat="1" ht="12.75" x14ac:dyDescent="0.2">
      <c r="B19854" s="1168"/>
    </row>
    <row r="19855" spans="2:2" s="221" customFormat="1" ht="12.75" x14ac:dyDescent="0.2">
      <c r="B19855" s="1168"/>
    </row>
    <row r="19856" spans="2:2" s="221" customFormat="1" ht="12.75" x14ac:dyDescent="0.2">
      <c r="B19856" s="1168"/>
    </row>
    <row r="19857" spans="2:2" s="221" customFormat="1" ht="12.75" x14ac:dyDescent="0.2">
      <c r="B19857" s="1168"/>
    </row>
    <row r="19858" spans="2:2" s="221" customFormat="1" ht="12.75" x14ac:dyDescent="0.2">
      <c r="B19858" s="1168"/>
    </row>
    <row r="19859" spans="2:2" s="221" customFormat="1" ht="12.75" x14ac:dyDescent="0.2">
      <c r="B19859" s="1168"/>
    </row>
    <row r="19860" spans="2:2" s="221" customFormat="1" ht="12.75" x14ac:dyDescent="0.2">
      <c r="B19860" s="1168"/>
    </row>
    <row r="19861" spans="2:2" s="221" customFormat="1" ht="12.75" x14ac:dyDescent="0.2">
      <c r="B19861" s="1168"/>
    </row>
    <row r="19862" spans="2:2" s="221" customFormat="1" ht="12.75" x14ac:dyDescent="0.2">
      <c r="B19862" s="1168"/>
    </row>
    <row r="19863" spans="2:2" s="221" customFormat="1" ht="12.75" x14ac:dyDescent="0.2">
      <c r="B19863" s="1168"/>
    </row>
    <row r="19864" spans="2:2" s="221" customFormat="1" ht="12.75" x14ac:dyDescent="0.2">
      <c r="B19864" s="1168"/>
    </row>
    <row r="19865" spans="2:2" s="221" customFormat="1" ht="12.75" x14ac:dyDescent="0.2">
      <c r="B19865" s="1168"/>
    </row>
    <row r="19866" spans="2:2" s="221" customFormat="1" ht="12.75" x14ac:dyDescent="0.2">
      <c r="B19866" s="1168"/>
    </row>
    <row r="19867" spans="2:2" s="221" customFormat="1" ht="12.75" x14ac:dyDescent="0.2">
      <c r="B19867" s="1168"/>
    </row>
    <row r="19868" spans="2:2" s="221" customFormat="1" ht="12.75" x14ac:dyDescent="0.2">
      <c r="B19868" s="1168"/>
    </row>
    <row r="19869" spans="2:2" s="221" customFormat="1" ht="12.75" x14ac:dyDescent="0.2">
      <c r="B19869" s="1168"/>
    </row>
    <row r="19870" spans="2:2" s="221" customFormat="1" ht="12.75" x14ac:dyDescent="0.2">
      <c r="B19870" s="1168"/>
    </row>
    <row r="19871" spans="2:2" s="221" customFormat="1" ht="12.75" x14ac:dyDescent="0.2">
      <c r="B19871" s="1168"/>
    </row>
    <row r="19872" spans="2:2" s="221" customFormat="1" ht="12.75" x14ac:dyDescent="0.2">
      <c r="B19872" s="1168"/>
    </row>
    <row r="19873" spans="2:2" s="221" customFormat="1" ht="12.75" x14ac:dyDescent="0.2">
      <c r="B19873" s="1168"/>
    </row>
    <row r="19874" spans="2:2" s="221" customFormat="1" ht="12.75" x14ac:dyDescent="0.2">
      <c r="B19874" s="1168"/>
    </row>
    <row r="19875" spans="2:2" s="221" customFormat="1" ht="12.75" x14ac:dyDescent="0.2">
      <c r="B19875" s="1168"/>
    </row>
    <row r="19876" spans="2:2" s="221" customFormat="1" ht="12.75" x14ac:dyDescent="0.2">
      <c r="B19876" s="1168"/>
    </row>
    <row r="19877" spans="2:2" s="221" customFormat="1" ht="12.75" x14ac:dyDescent="0.2">
      <c r="B19877" s="1168"/>
    </row>
    <row r="19878" spans="2:2" s="221" customFormat="1" ht="12.75" x14ac:dyDescent="0.2">
      <c r="B19878" s="1168"/>
    </row>
    <row r="19879" spans="2:2" s="221" customFormat="1" ht="12.75" x14ac:dyDescent="0.2">
      <c r="B19879" s="1168"/>
    </row>
    <row r="19880" spans="2:2" s="221" customFormat="1" ht="12.75" x14ac:dyDescent="0.2">
      <c r="B19880" s="1168"/>
    </row>
    <row r="19881" spans="2:2" s="221" customFormat="1" ht="12.75" x14ac:dyDescent="0.2">
      <c r="B19881" s="1168"/>
    </row>
    <row r="19882" spans="2:2" s="221" customFormat="1" ht="12.75" x14ac:dyDescent="0.2">
      <c r="B19882" s="1168"/>
    </row>
    <row r="19883" spans="2:2" s="221" customFormat="1" ht="12.75" x14ac:dyDescent="0.2">
      <c r="B19883" s="1168"/>
    </row>
    <row r="19884" spans="2:2" s="221" customFormat="1" ht="12.75" x14ac:dyDescent="0.2">
      <c r="B19884" s="1168"/>
    </row>
    <row r="19885" spans="2:2" s="221" customFormat="1" ht="12.75" x14ac:dyDescent="0.2">
      <c r="B19885" s="1168"/>
    </row>
    <row r="19886" spans="2:2" s="221" customFormat="1" ht="12.75" x14ac:dyDescent="0.2">
      <c r="B19886" s="1168"/>
    </row>
    <row r="19887" spans="2:2" s="221" customFormat="1" ht="12.75" x14ac:dyDescent="0.2">
      <c r="B19887" s="1168"/>
    </row>
    <row r="19888" spans="2:2" s="221" customFormat="1" ht="12.75" x14ac:dyDescent="0.2">
      <c r="B19888" s="1168"/>
    </row>
    <row r="19889" spans="2:2" s="221" customFormat="1" ht="12.75" x14ac:dyDescent="0.2">
      <c r="B19889" s="1168"/>
    </row>
    <row r="19890" spans="2:2" s="221" customFormat="1" ht="12.75" x14ac:dyDescent="0.2">
      <c r="B19890" s="1168"/>
    </row>
    <row r="19891" spans="2:2" s="221" customFormat="1" ht="12.75" x14ac:dyDescent="0.2">
      <c r="B19891" s="1168"/>
    </row>
    <row r="19892" spans="2:2" s="221" customFormat="1" ht="12.75" x14ac:dyDescent="0.2">
      <c r="B19892" s="1168"/>
    </row>
    <row r="19893" spans="2:2" s="221" customFormat="1" ht="12.75" x14ac:dyDescent="0.2">
      <c r="B19893" s="1168"/>
    </row>
    <row r="19894" spans="2:2" s="221" customFormat="1" ht="12.75" x14ac:dyDescent="0.2">
      <c r="B19894" s="1168"/>
    </row>
    <row r="19895" spans="2:2" s="221" customFormat="1" ht="12.75" x14ac:dyDescent="0.2">
      <c r="B19895" s="1168"/>
    </row>
    <row r="19896" spans="2:2" s="221" customFormat="1" ht="12.75" x14ac:dyDescent="0.2">
      <c r="B19896" s="1168"/>
    </row>
    <row r="19897" spans="2:2" s="221" customFormat="1" ht="12.75" x14ac:dyDescent="0.2">
      <c r="B19897" s="1168"/>
    </row>
    <row r="19898" spans="2:2" s="221" customFormat="1" ht="12.75" x14ac:dyDescent="0.2">
      <c r="B19898" s="1168"/>
    </row>
    <row r="19899" spans="2:2" s="221" customFormat="1" ht="12.75" x14ac:dyDescent="0.2">
      <c r="B19899" s="1168"/>
    </row>
    <row r="19900" spans="2:2" s="221" customFormat="1" ht="12.75" x14ac:dyDescent="0.2">
      <c r="B19900" s="1168"/>
    </row>
    <row r="19901" spans="2:2" s="221" customFormat="1" ht="12.75" x14ac:dyDescent="0.2">
      <c r="B19901" s="1168"/>
    </row>
    <row r="19902" spans="2:2" s="221" customFormat="1" ht="12.75" x14ac:dyDescent="0.2">
      <c r="B19902" s="1168"/>
    </row>
    <row r="19903" spans="2:2" s="221" customFormat="1" ht="12.75" x14ac:dyDescent="0.2">
      <c r="B19903" s="1168"/>
    </row>
    <row r="19904" spans="2:2" s="221" customFormat="1" ht="12.75" x14ac:dyDescent="0.2">
      <c r="B19904" s="1168"/>
    </row>
    <row r="19905" spans="2:2" s="221" customFormat="1" ht="12.75" x14ac:dyDescent="0.2">
      <c r="B19905" s="1168"/>
    </row>
    <row r="19906" spans="2:2" s="221" customFormat="1" ht="12.75" x14ac:dyDescent="0.2">
      <c r="B19906" s="1168"/>
    </row>
    <row r="19907" spans="2:2" s="221" customFormat="1" ht="12.75" x14ac:dyDescent="0.2">
      <c r="B19907" s="1168"/>
    </row>
    <row r="19908" spans="2:2" s="221" customFormat="1" ht="12.75" x14ac:dyDescent="0.2">
      <c r="B19908" s="1168"/>
    </row>
    <row r="19909" spans="2:2" s="221" customFormat="1" ht="12.75" x14ac:dyDescent="0.2">
      <c r="B19909" s="1168"/>
    </row>
    <row r="19910" spans="2:2" s="221" customFormat="1" ht="12.75" x14ac:dyDescent="0.2">
      <c r="B19910" s="1168"/>
    </row>
    <row r="19911" spans="2:2" s="221" customFormat="1" ht="12.75" x14ac:dyDescent="0.2">
      <c r="B19911" s="1168"/>
    </row>
    <row r="19912" spans="2:2" s="221" customFormat="1" ht="12.75" x14ac:dyDescent="0.2">
      <c r="B19912" s="1168"/>
    </row>
    <row r="19913" spans="2:2" s="221" customFormat="1" ht="12.75" x14ac:dyDescent="0.2">
      <c r="B19913" s="1168"/>
    </row>
    <row r="19914" spans="2:2" s="221" customFormat="1" ht="12.75" x14ac:dyDescent="0.2">
      <c r="B19914" s="1168"/>
    </row>
    <row r="19915" spans="2:2" s="221" customFormat="1" ht="12.75" x14ac:dyDescent="0.2">
      <c r="B19915" s="1168"/>
    </row>
    <row r="19916" spans="2:2" s="221" customFormat="1" ht="12.75" x14ac:dyDescent="0.2">
      <c r="B19916" s="1168"/>
    </row>
    <row r="19917" spans="2:2" s="221" customFormat="1" ht="12.75" x14ac:dyDescent="0.2">
      <c r="B19917" s="1168"/>
    </row>
    <row r="19918" spans="2:2" s="221" customFormat="1" ht="12.75" x14ac:dyDescent="0.2">
      <c r="B19918" s="1168"/>
    </row>
    <row r="19919" spans="2:2" s="221" customFormat="1" ht="12.75" x14ac:dyDescent="0.2">
      <c r="B19919" s="1168"/>
    </row>
    <row r="19920" spans="2:2" s="221" customFormat="1" ht="12.75" x14ac:dyDescent="0.2">
      <c r="B19920" s="1168"/>
    </row>
    <row r="19921" spans="2:2" s="221" customFormat="1" ht="12.75" x14ac:dyDescent="0.2">
      <c r="B19921" s="1168"/>
    </row>
    <row r="19922" spans="2:2" s="221" customFormat="1" ht="12.75" x14ac:dyDescent="0.2">
      <c r="B19922" s="1168"/>
    </row>
    <row r="19923" spans="2:2" s="221" customFormat="1" ht="12.75" x14ac:dyDescent="0.2">
      <c r="B19923" s="1168"/>
    </row>
    <row r="19924" spans="2:2" s="221" customFormat="1" ht="12.75" x14ac:dyDescent="0.2">
      <c r="B19924" s="1168"/>
    </row>
    <row r="19925" spans="2:2" s="221" customFormat="1" ht="12.75" x14ac:dyDescent="0.2">
      <c r="B19925" s="1168"/>
    </row>
    <row r="19926" spans="2:2" s="221" customFormat="1" ht="12.75" x14ac:dyDescent="0.2">
      <c r="B19926" s="1168"/>
    </row>
    <row r="19927" spans="2:2" s="221" customFormat="1" ht="12.75" x14ac:dyDescent="0.2">
      <c r="B19927" s="1168"/>
    </row>
    <row r="19928" spans="2:2" s="221" customFormat="1" ht="12.75" x14ac:dyDescent="0.2">
      <c r="B19928" s="1168"/>
    </row>
    <row r="19929" spans="2:2" s="221" customFormat="1" ht="12.75" x14ac:dyDescent="0.2">
      <c r="B19929" s="1168"/>
    </row>
    <row r="19930" spans="2:2" s="221" customFormat="1" ht="12.75" x14ac:dyDescent="0.2">
      <c r="B19930" s="1168"/>
    </row>
    <row r="19931" spans="2:2" s="221" customFormat="1" ht="12.75" x14ac:dyDescent="0.2">
      <c r="B19931" s="1168"/>
    </row>
    <row r="19932" spans="2:2" s="221" customFormat="1" ht="12.75" x14ac:dyDescent="0.2">
      <c r="B19932" s="1168"/>
    </row>
    <row r="19933" spans="2:2" s="221" customFormat="1" ht="12.75" x14ac:dyDescent="0.2">
      <c r="B19933" s="1168"/>
    </row>
    <row r="19934" spans="2:2" s="221" customFormat="1" ht="12.75" x14ac:dyDescent="0.2">
      <c r="B19934" s="1168"/>
    </row>
    <row r="19935" spans="2:2" s="221" customFormat="1" ht="12.75" x14ac:dyDescent="0.2">
      <c r="B19935" s="1168"/>
    </row>
    <row r="19936" spans="2:2" s="221" customFormat="1" ht="12.75" x14ac:dyDescent="0.2">
      <c r="B19936" s="1168"/>
    </row>
    <row r="19937" spans="2:2" s="221" customFormat="1" ht="12.75" x14ac:dyDescent="0.2">
      <c r="B19937" s="1168"/>
    </row>
    <row r="19938" spans="2:2" s="221" customFormat="1" ht="12.75" x14ac:dyDescent="0.2">
      <c r="B19938" s="1168"/>
    </row>
    <row r="19939" spans="2:2" s="221" customFormat="1" ht="12.75" x14ac:dyDescent="0.2">
      <c r="B19939" s="1168"/>
    </row>
    <row r="19940" spans="2:2" s="221" customFormat="1" ht="12.75" x14ac:dyDescent="0.2">
      <c r="B19940" s="1168"/>
    </row>
    <row r="19941" spans="2:2" s="221" customFormat="1" ht="12.75" x14ac:dyDescent="0.2">
      <c r="B19941" s="1168"/>
    </row>
    <row r="19942" spans="2:2" s="221" customFormat="1" ht="12.75" x14ac:dyDescent="0.2">
      <c r="B19942" s="1168"/>
    </row>
    <row r="19943" spans="2:2" s="221" customFormat="1" ht="12.75" x14ac:dyDescent="0.2">
      <c r="B19943" s="1168"/>
    </row>
    <row r="19944" spans="2:2" s="221" customFormat="1" ht="12.75" x14ac:dyDescent="0.2">
      <c r="B19944" s="1168"/>
    </row>
    <row r="19945" spans="2:2" s="221" customFormat="1" ht="12.75" x14ac:dyDescent="0.2">
      <c r="B19945" s="1168"/>
    </row>
    <row r="19946" spans="2:2" s="221" customFormat="1" ht="12.75" x14ac:dyDescent="0.2">
      <c r="B19946" s="1168"/>
    </row>
    <row r="19947" spans="2:2" s="221" customFormat="1" ht="12.75" x14ac:dyDescent="0.2">
      <c r="B19947" s="1168"/>
    </row>
    <row r="19948" spans="2:2" s="221" customFormat="1" ht="12.75" x14ac:dyDescent="0.2">
      <c r="B19948" s="1168"/>
    </row>
    <row r="19949" spans="2:2" s="221" customFormat="1" ht="12.75" x14ac:dyDescent="0.2">
      <c r="B19949" s="1168"/>
    </row>
    <row r="19950" spans="2:2" s="221" customFormat="1" ht="12.75" x14ac:dyDescent="0.2">
      <c r="B19950" s="1168"/>
    </row>
    <row r="19951" spans="2:2" s="221" customFormat="1" ht="12.75" x14ac:dyDescent="0.2">
      <c r="B19951" s="1168"/>
    </row>
    <row r="19952" spans="2:2" s="221" customFormat="1" ht="12.75" x14ac:dyDescent="0.2">
      <c r="B19952" s="1168"/>
    </row>
    <row r="19953" spans="2:2" s="221" customFormat="1" ht="12.75" x14ac:dyDescent="0.2">
      <c r="B19953" s="1168"/>
    </row>
    <row r="19954" spans="2:2" s="221" customFormat="1" ht="12.75" x14ac:dyDescent="0.2">
      <c r="B19954" s="1168"/>
    </row>
    <row r="19955" spans="2:2" s="221" customFormat="1" ht="12.75" x14ac:dyDescent="0.2">
      <c r="B19955" s="1168"/>
    </row>
    <row r="19956" spans="2:2" s="221" customFormat="1" ht="12.75" x14ac:dyDescent="0.2">
      <c r="B19956" s="1168"/>
    </row>
    <row r="19957" spans="2:2" s="221" customFormat="1" ht="12.75" x14ac:dyDescent="0.2">
      <c r="B19957" s="1168"/>
    </row>
    <row r="19958" spans="2:2" s="221" customFormat="1" ht="12.75" x14ac:dyDescent="0.2">
      <c r="B19958" s="1168"/>
    </row>
    <row r="19959" spans="2:2" s="221" customFormat="1" ht="12.75" x14ac:dyDescent="0.2">
      <c r="B19959" s="1168"/>
    </row>
    <row r="19960" spans="2:2" s="221" customFormat="1" ht="12.75" x14ac:dyDescent="0.2">
      <c r="B19960" s="1168"/>
    </row>
    <row r="19961" spans="2:2" s="221" customFormat="1" ht="12.75" x14ac:dyDescent="0.2">
      <c r="B19961" s="1168"/>
    </row>
    <row r="19962" spans="2:2" s="221" customFormat="1" ht="12.75" x14ac:dyDescent="0.2">
      <c r="B19962" s="1168"/>
    </row>
    <row r="19963" spans="2:2" s="221" customFormat="1" ht="12.75" x14ac:dyDescent="0.2">
      <c r="B19963" s="1168"/>
    </row>
    <row r="19964" spans="2:2" s="221" customFormat="1" ht="12.75" x14ac:dyDescent="0.2">
      <c r="B19964" s="1168"/>
    </row>
    <row r="19965" spans="2:2" s="221" customFormat="1" ht="12.75" x14ac:dyDescent="0.2">
      <c r="B19965" s="1168"/>
    </row>
    <row r="19966" spans="2:2" s="221" customFormat="1" ht="12.75" x14ac:dyDescent="0.2">
      <c r="B19966" s="1168"/>
    </row>
    <row r="19967" spans="2:2" s="221" customFormat="1" ht="12.75" x14ac:dyDescent="0.2">
      <c r="B19967" s="1168"/>
    </row>
    <row r="19968" spans="2:2" s="221" customFormat="1" ht="12.75" x14ac:dyDescent="0.2">
      <c r="B19968" s="1168"/>
    </row>
    <row r="19969" spans="2:2" s="221" customFormat="1" ht="12.75" x14ac:dyDescent="0.2">
      <c r="B19969" s="1168"/>
    </row>
    <row r="19970" spans="2:2" s="221" customFormat="1" ht="12.75" x14ac:dyDescent="0.2">
      <c r="B19970" s="1168"/>
    </row>
    <row r="19971" spans="2:2" s="221" customFormat="1" ht="12.75" x14ac:dyDescent="0.2">
      <c r="B19971" s="1168"/>
    </row>
    <row r="19972" spans="2:2" s="221" customFormat="1" ht="12.75" x14ac:dyDescent="0.2">
      <c r="B19972" s="1168"/>
    </row>
    <row r="19973" spans="2:2" s="221" customFormat="1" ht="12.75" x14ac:dyDescent="0.2">
      <c r="B19973" s="1168"/>
    </row>
    <row r="19974" spans="2:2" s="221" customFormat="1" ht="12.75" x14ac:dyDescent="0.2">
      <c r="B19974" s="1168"/>
    </row>
    <row r="19975" spans="2:2" s="221" customFormat="1" ht="12.75" x14ac:dyDescent="0.2">
      <c r="B19975" s="1168"/>
    </row>
    <row r="19976" spans="2:2" s="221" customFormat="1" ht="12.75" x14ac:dyDescent="0.2">
      <c r="B19976" s="1168"/>
    </row>
    <row r="19977" spans="2:2" s="221" customFormat="1" ht="12.75" x14ac:dyDescent="0.2">
      <c r="B19977" s="1168"/>
    </row>
    <row r="19978" spans="2:2" s="221" customFormat="1" ht="12.75" x14ac:dyDescent="0.2">
      <c r="B19978" s="1168"/>
    </row>
    <row r="19979" spans="2:2" s="221" customFormat="1" ht="12.75" x14ac:dyDescent="0.2">
      <c r="B19979" s="1168"/>
    </row>
    <row r="19980" spans="2:2" s="221" customFormat="1" ht="12.75" x14ac:dyDescent="0.2">
      <c r="B19980" s="1168"/>
    </row>
    <row r="19981" spans="2:2" s="221" customFormat="1" ht="12.75" x14ac:dyDescent="0.2">
      <c r="B19981" s="1168"/>
    </row>
    <row r="19982" spans="2:2" s="221" customFormat="1" ht="12.75" x14ac:dyDescent="0.2">
      <c r="B19982" s="1168"/>
    </row>
    <row r="19983" spans="2:2" s="221" customFormat="1" ht="12.75" x14ac:dyDescent="0.2">
      <c r="B19983" s="1168"/>
    </row>
    <row r="19984" spans="2:2" s="221" customFormat="1" ht="12.75" x14ac:dyDescent="0.2">
      <c r="B19984" s="1168"/>
    </row>
    <row r="19985" spans="2:2" s="221" customFormat="1" ht="12.75" x14ac:dyDescent="0.2">
      <c r="B19985" s="1168"/>
    </row>
    <row r="19986" spans="2:2" s="221" customFormat="1" ht="12.75" x14ac:dyDescent="0.2">
      <c r="B19986" s="1168"/>
    </row>
    <row r="19987" spans="2:2" s="221" customFormat="1" ht="12.75" x14ac:dyDescent="0.2">
      <c r="B19987" s="1168"/>
    </row>
    <row r="19988" spans="2:2" s="221" customFormat="1" ht="12.75" x14ac:dyDescent="0.2">
      <c r="B19988" s="1168"/>
    </row>
    <row r="19989" spans="2:2" s="221" customFormat="1" ht="12.75" x14ac:dyDescent="0.2">
      <c r="B19989" s="1168"/>
    </row>
    <row r="19990" spans="2:2" s="221" customFormat="1" ht="12.75" x14ac:dyDescent="0.2">
      <c r="B19990" s="1168"/>
    </row>
    <row r="19991" spans="2:2" s="221" customFormat="1" ht="12.75" x14ac:dyDescent="0.2">
      <c r="B19991" s="1168"/>
    </row>
    <row r="19992" spans="2:2" s="221" customFormat="1" ht="12.75" x14ac:dyDescent="0.2">
      <c r="B19992" s="1168"/>
    </row>
    <row r="19993" spans="2:2" s="221" customFormat="1" ht="12.75" x14ac:dyDescent="0.2">
      <c r="B19993" s="1168"/>
    </row>
    <row r="19994" spans="2:2" s="221" customFormat="1" ht="12.75" x14ac:dyDescent="0.2">
      <c r="B19994" s="1168"/>
    </row>
    <row r="19995" spans="2:2" s="221" customFormat="1" ht="12.75" x14ac:dyDescent="0.2">
      <c r="B19995" s="1168"/>
    </row>
    <row r="19996" spans="2:2" s="221" customFormat="1" ht="12.75" x14ac:dyDescent="0.2">
      <c r="B19996" s="1168"/>
    </row>
    <row r="19997" spans="2:2" s="221" customFormat="1" ht="12.75" x14ac:dyDescent="0.2">
      <c r="B19997" s="1168"/>
    </row>
    <row r="19998" spans="2:2" s="221" customFormat="1" ht="12.75" x14ac:dyDescent="0.2">
      <c r="B19998" s="1168"/>
    </row>
    <row r="19999" spans="2:2" s="221" customFormat="1" ht="12.75" x14ac:dyDescent="0.2">
      <c r="B19999" s="1168"/>
    </row>
    <row r="20000" spans="2:2" s="221" customFormat="1" ht="12.75" x14ac:dyDescent="0.2">
      <c r="B20000" s="1168"/>
    </row>
    <row r="20001" spans="2:2" s="221" customFormat="1" ht="12.75" x14ac:dyDescent="0.2">
      <c r="B20001" s="1168"/>
    </row>
    <row r="20002" spans="2:2" s="221" customFormat="1" ht="12.75" x14ac:dyDescent="0.2">
      <c r="B20002" s="1168"/>
    </row>
    <row r="20003" spans="2:2" s="221" customFormat="1" ht="12.75" x14ac:dyDescent="0.2">
      <c r="B20003" s="1168"/>
    </row>
    <row r="20004" spans="2:2" s="221" customFormat="1" ht="12.75" x14ac:dyDescent="0.2">
      <c r="B20004" s="1168"/>
    </row>
    <row r="20005" spans="2:2" s="221" customFormat="1" ht="12.75" x14ac:dyDescent="0.2">
      <c r="B20005" s="1168"/>
    </row>
    <row r="20006" spans="2:2" s="221" customFormat="1" ht="12.75" x14ac:dyDescent="0.2">
      <c r="B20006" s="1168"/>
    </row>
    <row r="20007" spans="2:2" s="221" customFormat="1" ht="12.75" x14ac:dyDescent="0.2">
      <c r="B20007" s="1168"/>
    </row>
    <row r="20008" spans="2:2" s="221" customFormat="1" ht="12.75" x14ac:dyDescent="0.2">
      <c r="B20008" s="1168"/>
    </row>
    <row r="20009" spans="2:2" s="221" customFormat="1" ht="12.75" x14ac:dyDescent="0.2">
      <c r="B20009" s="1168"/>
    </row>
    <row r="20010" spans="2:2" s="221" customFormat="1" ht="12.75" x14ac:dyDescent="0.2">
      <c r="B20010" s="1168"/>
    </row>
    <row r="20011" spans="2:2" s="221" customFormat="1" ht="12.75" x14ac:dyDescent="0.2">
      <c r="B20011" s="1168"/>
    </row>
    <row r="20012" spans="2:2" s="221" customFormat="1" ht="12.75" x14ac:dyDescent="0.2">
      <c r="B20012" s="1168"/>
    </row>
    <row r="20013" spans="2:2" s="221" customFormat="1" ht="12.75" x14ac:dyDescent="0.2">
      <c r="B20013" s="1168"/>
    </row>
    <row r="20014" spans="2:2" s="221" customFormat="1" ht="12.75" x14ac:dyDescent="0.2">
      <c r="B20014" s="1168"/>
    </row>
    <row r="20015" spans="2:2" s="221" customFormat="1" ht="12.75" x14ac:dyDescent="0.2">
      <c r="B20015" s="1168"/>
    </row>
    <row r="20016" spans="2:2" s="221" customFormat="1" ht="12.75" x14ac:dyDescent="0.2">
      <c r="B20016" s="1168"/>
    </row>
    <row r="20017" spans="2:2" s="221" customFormat="1" ht="12.75" x14ac:dyDescent="0.2">
      <c r="B20017" s="1168"/>
    </row>
    <row r="20018" spans="2:2" s="221" customFormat="1" ht="12.75" x14ac:dyDescent="0.2">
      <c r="B20018" s="1168"/>
    </row>
    <row r="20019" spans="2:2" s="221" customFormat="1" ht="12.75" x14ac:dyDescent="0.2">
      <c r="B20019" s="1168"/>
    </row>
    <row r="20020" spans="2:2" s="221" customFormat="1" ht="12.75" x14ac:dyDescent="0.2">
      <c r="B20020" s="1168"/>
    </row>
    <row r="20021" spans="2:2" s="221" customFormat="1" ht="12.75" x14ac:dyDescent="0.2">
      <c r="B20021" s="1168"/>
    </row>
    <row r="20022" spans="2:2" s="221" customFormat="1" ht="12.75" x14ac:dyDescent="0.2">
      <c r="B20022" s="1168"/>
    </row>
    <row r="20023" spans="2:2" s="221" customFormat="1" ht="12.75" x14ac:dyDescent="0.2">
      <c r="B20023" s="1168"/>
    </row>
    <row r="20024" spans="2:2" s="221" customFormat="1" ht="12.75" x14ac:dyDescent="0.2">
      <c r="B20024" s="1168"/>
    </row>
    <row r="20025" spans="2:2" s="221" customFormat="1" ht="12.75" x14ac:dyDescent="0.2">
      <c r="B20025" s="1168"/>
    </row>
    <row r="20026" spans="2:2" s="221" customFormat="1" ht="12.75" x14ac:dyDescent="0.2">
      <c r="B20026" s="1168"/>
    </row>
    <row r="20027" spans="2:2" s="221" customFormat="1" ht="12.75" x14ac:dyDescent="0.2">
      <c r="B20027" s="1168"/>
    </row>
    <row r="20028" spans="2:2" s="221" customFormat="1" ht="12.75" x14ac:dyDescent="0.2">
      <c r="B20028" s="1168"/>
    </row>
    <row r="20029" spans="2:2" s="221" customFormat="1" ht="12.75" x14ac:dyDescent="0.2">
      <c r="B20029" s="1168"/>
    </row>
    <row r="20030" spans="2:2" s="221" customFormat="1" ht="12.75" x14ac:dyDescent="0.2">
      <c r="B20030" s="1168"/>
    </row>
    <row r="20031" spans="2:2" s="221" customFormat="1" ht="12.75" x14ac:dyDescent="0.2">
      <c r="B20031" s="1168"/>
    </row>
    <row r="20032" spans="2:2" s="221" customFormat="1" ht="12.75" x14ac:dyDescent="0.2">
      <c r="B20032" s="1168"/>
    </row>
    <row r="20033" spans="2:2" s="221" customFormat="1" ht="12.75" x14ac:dyDescent="0.2">
      <c r="B20033" s="1168"/>
    </row>
    <row r="20034" spans="2:2" s="221" customFormat="1" ht="12.75" x14ac:dyDescent="0.2">
      <c r="B20034" s="1168"/>
    </row>
    <row r="20035" spans="2:2" s="221" customFormat="1" ht="12.75" x14ac:dyDescent="0.2">
      <c r="B20035" s="1168"/>
    </row>
    <row r="20036" spans="2:2" s="221" customFormat="1" ht="12.75" x14ac:dyDescent="0.2">
      <c r="B20036" s="1168"/>
    </row>
    <row r="20037" spans="2:2" s="221" customFormat="1" ht="12.75" x14ac:dyDescent="0.2">
      <c r="B20037" s="1168"/>
    </row>
    <row r="20038" spans="2:2" s="221" customFormat="1" ht="12.75" x14ac:dyDescent="0.2">
      <c r="B20038" s="1168"/>
    </row>
    <row r="20039" spans="2:2" s="221" customFormat="1" ht="12.75" x14ac:dyDescent="0.2">
      <c r="B20039" s="1168"/>
    </row>
    <row r="20040" spans="2:2" s="221" customFormat="1" ht="12.75" x14ac:dyDescent="0.2">
      <c r="B20040" s="1168"/>
    </row>
    <row r="20041" spans="2:2" s="221" customFormat="1" ht="12.75" x14ac:dyDescent="0.2">
      <c r="B20041" s="1168"/>
    </row>
    <row r="20042" spans="2:2" s="221" customFormat="1" ht="12.75" x14ac:dyDescent="0.2">
      <c r="B20042" s="1168"/>
    </row>
    <row r="20043" spans="2:2" s="221" customFormat="1" ht="12.75" x14ac:dyDescent="0.2">
      <c r="B20043" s="1168"/>
    </row>
    <row r="20044" spans="2:2" s="221" customFormat="1" ht="12.75" x14ac:dyDescent="0.2">
      <c r="B20044" s="1168"/>
    </row>
    <row r="20045" spans="2:2" s="221" customFormat="1" ht="12.75" x14ac:dyDescent="0.2">
      <c r="B20045" s="1168"/>
    </row>
    <row r="20046" spans="2:2" s="221" customFormat="1" ht="12.75" x14ac:dyDescent="0.2">
      <c r="B20046" s="1168"/>
    </row>
    <row r="20047" spans="2:2" s="221" customFormat="1" ht="12.75" x14ac:dyDescent="0.2">
      <c r="B20047" s="1168"/>
    </row>
    <row r="20048" spans="2:2" s="221" customFormat="1" ht="12.75" x14ac:dyDescent="0.2">
      <c r="B20048" s="1168"/>
    </row>
    <row r="20049" spans="2:2" s="221" customFormat="1" ht="12.75" x14ac:dyDescent="0.2">
      <c r="B20049" s="1168"/>
    </row>
    <row r="20050" spans="2:2" s="221" customFormat="1" ht="12.75" x14ac:dyDescent="0.2">
      <c r="B20050" s="1168"/>
    </row>
    <row r="20051" spans="2:2" s="221" customFormat="1" ht="12.75" x14ac:dyDescent="0.2">
      <c r="B20051" s="1168"/>
    </row>
    <row r="20052" spans="2:2" s="221" customFormat="1" ht="12.75" x14ac:dyDescent="0.2">
      <c r="B20052" s="1168"/>
    </row>
    <row r="20053" spans="2:2" s="221" customFormat="1" ht="12.75" x14ac:dyDescent="0.2">
      <c r="B20053" s="1168"/>
    </row>
    <row r="20054" spans="2:2" s="221" customFormat="1" ht="12.75" x14ac:dyDescent="0.2">
      <c r="B20054" s="1168"/>
    </row>
    <row r="20055" spans="2:2" s="221" customFormat="1" ht="12.75" x14ac:dyDescent="0.2">
      <c r="B20055" s="1168"/>
    </row>
    <row r="20056" spans="2:2" s="221" customFormat="1" ht="12.75" x14ac:dyDescent="0.2">
      <c r="B20056" s="1168"/>
    </row>
    <row r="20057" spans="2:2" s="221" customFormat="1" ht="12.75" x14ac:dyDescent="0.2">
      <c r="B20057" s="1168"/>
    </row>
    <row r="20058" spans="2:2" s="221" customFormat="1" ht="12.75" x14ac:dyDescent="0.2">
      <c r="B20058" s="1168"/>
    </row>
    <row r="20059" spans="2:2" s="221" customFormat="1" ht="12.75" x14ac:dyDescent="0.2">
      <c r="B20059" s="1168"/>
    </row>
    <row r="20060" spans="2:2" s="221" customFormat="1" ht="12.75" x14ac:dyDescent="0.2">
      <c r="B20060" s="1168"/>
    </row>
    <row r="20061" spans="2:2" s="221" customFormat="1" ht="12.75" x14ac:dyDescent="0.2">
      <c r="B20061" s="1168"/>
    </row>
    <row r="20062" spans="2:2" s="221" customFormat="1" ht="12.75" x14ac:dyDescent="0.2">
      <c r="B20062" s="1168"/>
    </row>
    <row r="20063" spans="2:2" s="221" customFormat="1" ht="12.75" x14ac:dyDescent="0.2">
      <c r="B20063" s="1168"/>
    </row>
    <row r="20064" spans="2:2" s="221" customFormat="1" ht="12.75" x14ac:dyDescent="0.2">
      <c r="B20064" s="1168"/>
    </row>
    <row r="20065" spans="2:2" s="221" customFormat="1" ht="12.75" x14ac:dyDescent="0.2">
      <c r="B20065" s="1168"/>
    </row>
    <row r="20066" spans="2:2" s="221" customFormat="1" ht="12.75" x14ac:dyDescent="0.2">
      <c r="B20066" s="1168"/>
    </row>
    <row r="20067" spans="2:2" s="221" customFormat="1" ht="12.75" x14ac:dyDescent="0.2">
      <c r="B20067" s="1168"/>
    </row>
    <row r="20068" spans="2:2" s="221" customFormat="1" ht="12.75" x14ac:dyDescent="0.2">
      <c r="B20068" s="1168"/>
    </row>
    <row r="20069" spans="2:2" s="221" customFormat="1" ht="12.75" x14ac:dyDescent="0.2">
      <c r="B20069" s="1168"/>
    </row>
    <row r="20070" spans="2:2" s="221" customFormat="1" ht="12.75" x14ac:dyDescent="0.2">
      <c r="B20070" s="1168"/>
    </row>
    <row r="20071" spans="2:2" s="221" customFormat="1" ht="12.75" x14ac:dyDescent="0.2">
      <c r="B20071" s="1168"/>
    </row>
    <row r="20072" spans="2:2" s="221" customFormat="1" ht="12.75" x14ac:dyDescent="0.2">
      <c r="B20072" s="1168"/>
    </row>
    <row r="20073" spans="2:2" s="221" customFormat="1" ht="12.75" x14ac:dyDescent="0.2">
      <c r="B20073" s="1168"/>
    </row>
    <row r="20074" spans="2:2" s="221" customFormat="1" ht="12.75" x14ac:dyDescent="0.2">
      <c r="B20074" s="1168"/>
    </row>
    <row r="20075" spans="2:2" s="221" customFormat="1" ht="12.75" x14ac:dyDescent="0.2">
      <c r="B20075" s="1168"/>
    </row>
    <row r="20076" spans="2:2" s="221" customFormat="1" ht="12.75" x14ac:dyDescent="0.2">
      <c r="B20076" s="1168"/>
    </row>
    <row r="20077" spans="2:2" s="221" customFormat="1" ht="12.75" x14ac:dyDescent="0.2">
      <c r="B20077" s="1168"/>
    </row>
    <row r="20078" spans="2:2" s="221" customFormat="1" ht="12.75" x14ac:dyDescent="0.2">
      <c r="B20078" s="1168"/>
    </row>
    <row r="20079" spans="2:2" s="221" customFormat="1" ht="12.75" x14ac:dyDescent="0.2">
      <c r="B20079" s="1168"/>
    </row>
    <row r="20080" spans="2:2" s="221" customFormat="1" ht="12.75" x14ac:dyDescent="0.2">
      <c r="B20080" s="1168"/>
    </row>
    <row r="20081" spans="2:2" s="221" customFormat="1" ht="12.75" x14ac:dyDescent="0.2">
      <c r="B20081" s="1168"/>
    </row>
    <row r="20082" spans="2:2" s="221" customFormat="1" ht="12.75" x14ac:dyDescent="0.2">
      <c r="B20082" s="1168"/>
    </row>
    <row r="20083" spans="2:2" s="221" customFormat="1" ht="12.75" x14ac:dyDescent="0.2">
      <c r="B20083" s="1168"/>
    </row>
    <row r="20084" spans="2:2" s="221" customFormat="1" ht="12.75" x14ac:dyDescent="0.2">
      <c r="B20084" s="1168"/>
    </row>
    <row r="20085" spans="2:2" s="221" customFormat="1" ht="12.75" x14ac:dyDescent="0.2">
      <c r="B20085" s="1168"/>
    </row>
    <row r="20086" spans="2:2" s="221" customFormat="1" ht="12.75" x14ac:dyDescent="0.2">
      <c r="B20086" s="1168"/>
    </row>
    <row r="20087" spans="2:2" s="221" customFormat="1" ht="12.75" x14ac:dyDescent="0.2">
      <c r="B20087" s="1168"/>
    </row>
    <row r="20088" spans="2:2" s="221" customFormat="1" ht="12.75" x14ac:dyDescent="0.2">
      <c r="B20088" s="1168"/>
    </row>
    <row r="20089" spans="2:2" s="221" customFormat="1" ht="12.75" x14ac:dyDescent="0.2">
      <c r="B20089" s="1168"/>
    </row>
    <row r="20090" spans="2:2" s="221" customFormat="1" ht="12.75" x14ac:dyDescent="0.2">
      <c r="B20090" s="1168"/>
    </row>
    <row r="20091" spans="2:2" s="221" customFormat="1" ht="12.75" x14ac:dyDescent="0.2">
      <c r="B20091" s="1168"/>
    </row>
    <row r="20092" spans="2:2" s="221" customFormat="1" ht="12.75" x14ac:dyDescent="0.2">
      <c r="B20092" s="1168"/>
    </row>
    <row r="20093" spans="2:2" s="221" customFormat="1" ht="12.75" x14ac:dyDescent="0.2">
      <c r="B20093" s="1168"/>
    </row>
    <row r="20094" spans="2:2" s="221" customFormat="1" ht="12.75" x14ac:dyDescent="0.2">
      <c r="B20094" s="1168"/>
    </row>
    <row r="20095" spans="2:2" s="221" customFormat="1" ht="12.75" x14ac:dyDescent="0.2">
      <c r="B20095" s="1168"/>
    </row>
    <row r="20096" spans="2:2" s="221" customFormat="1" ht="12.75" x14ac:dyDescent="0.2">
      <c r="B20096" s="1168"/>
    </row>
    <row r="20097" spans="2:2" s="221" customFormat="1" ht="12.75" x14ac:dyDescent="0.2">
      <c r="B20097" s="1168"/>
    </row>
    <row r="20098" spans="2:2" s="221" customFormat="1" ht="12.75" x14ac:dyDescent="0.2">
      <c r="B20098" s="1168"/>
    </row>
    <row r="20099" spans="2:2" s="221" customFormat="1" ht="12.75" x14ac:dyDescent="0.2">
      <c r="B20099" s="1168"/>
    </row>
    <row r="20100" spans="2:2" s="221" customFormat="1" ht="12.75" x14ac:dyDescent="0.2">
      <c r="B20100" s="1168"/>
    </row>
    <row r="20101" spans="2:2" s="221" customFormat="1" ht="12.75" x14ac:dyDescent="0.2">
      <c r="B20101" s="1168"/>
    </row>
    <row r="20102" spans="2:2" s="221" customFormat="1" ht="12.75" x14ac:dyDescent="0.2">
      <c r="B20102" s="1168"/>
    </row>
    <row r="20103" spans="2:2" s="221" customFormat="1" ht="12.75" x14ac:dyDescent="0.2">
      <c r="B20103" s="1168"/>
    </row>
    <row r="20104" spans="2:2" s="221" customFormat="1" ht="12.75" x14ac:dyDescent="0.2">
      <c r="B20104" s="1168"/>
    </row>
    <row r="20105" spans="2:2" s="221" customFormat="1" ht="12.75" x14ac:dyDescent="0.2">
      <c r="B20105" s="1168"/>
    </row>
    <row r="20106" spans="2:2" s="221" customFormat="1" ht="12.75" x14ac:dyDescent="0.2">
      <c r="B20106" s="1168"/>
    </row>
    <row r="20107" spans="2:2" s="221" customFormat="1" ht="12.75" x14ac:dyDescent="0.2">
      <c r="B20107" s="1168"/>
    </row>
    <row r="20108" spans="2:2" s="221" customFormat="1" ht="12.75" x14ac:dyDescent="0.2">
      <c r="B20108" s="1168"/>
    </row>
    <row r="20109" spans="2:2" s="221" customFormat="1" ht="12.75" x14ac:dyDescent="0.2">
      <c r="B20109" s="1168"/>
    </row>
    <row r="20110" spans="2:2" s="221" customFormat="1" ht="12.75" x14ac:dyDescent="0.2">
      <c r="B20110" s="1168"/>
    </row>
    <row r="20111" spans="2:2" s="221" customFormat="1" ht="12.75" x14ac:dyDescent="0.2">
      <c r="B20111" s="1168"/>
    </row>
    <row r="20112" spans="2:2" s="221" customFormat="1" ht="12.75" x14ac:dyDescent="0.2">
      <c r="B20112" s="1168"/>
    </row>
    <row r="20113" spans="2:2" s="221" customFormat="1" ht="12.75" x14ac:dyDescent="0.2">
      <c r="B20113" s="1168"/>
    </row>
    <row r="20114" spans="2:2" s="221" customFormat="1" ht="12.75" x14ac:dyDescent="0.2">
      <c r="B20114" s="1168"/>
    </row>
    <row r="20115" spans="2:2" s="221" customFormat="1" ht="12.75" x14ac:dyDescent="0.2">
      <c r="B20115" s="1168"/>
    </row>
    <row r="20116" spans="2:2" s="221" customFormat="1" ht="12.75" x14ac:dyDescent="0.2">
      <c r="B20116" s="1168"/>
    </row>
    <row r="20117" spans="2:2" s="221" customFormat="1" ht="12.75" x14ac:dyDescent="0.2">
      <c r="B20117" s="1168"/>
    </row>
    <row r="20118" spans="2:2" s="221" customFormat="1" ht="12.75" x14ac:dyDescent="0.2">
      <c r="B20118" s="1168"/>
    </row>
    <row r="20119" spans="2:2" s="221" customFormat="1" ht="12.75" x14ac:dyDescent="0.2">
      <c r="B20119" s="1168"/>
    </row>
    <row r="20120" spans="2:2" s="221" customFormat="1" ht="12.75" x14ac:dyDescent="0.2">
      <c r="B20120" s="1168"/>
    </row>
    <row r="20121" spans="2:2" s="221" customFormat="1" ht="12.75" x14ac:dyDescent="0.2">
      <c r="B20121" s="1168"/>
    </row>
    <row r="20122" spans="2:2" s="221" customFormat="1" ht="12.75" x14ac:dyDescent="0.2">
      <c r="B20122" s="1168"/>
    </row>
    <row r="20123" spans="2:2" s="221" customFormat="1" ht="12.75" x14ac:dyDescent="0.2">
      <c r="B20123" s="1168"/>
    </row>
    <row r="20124" spans="2:2" s="221" customFormat="1" ht="12.75" x14ac:dyDescent="0.2">
      <c r="B20124" s="1168"/>
    </row>
    <row r="20125" spans="2:2" s="221" customFormat="1" ht="12.75" x14ac:dyDescent="0.2">
      <c r="B20125" s="1168"/>
    </row>
    <row r="20126" spans="2:2" s="221" customFormat="1" ht="12.75" x14ac:dyDescent="0.2">
      <c r="B20126" s="1168"/>
    </row>
    <row r="20127" spans="2:2" s="221" customFormat="1" ht="12.75" x14ac:dyDescent="0.2">
      <c r="B20127" s="1168"/>
    </row>
    <row r="20128" spans="2:2" s="221" customFormat="1" ht="12.75" x14ac:dyDescent="0.2">
      <c r="B20128" s="1168"/>
    </row>
    <row r="20129" spans="2:2" s="221" customFormat="1" ht="12.75" x14ac:dyDescent="0.2">
      <c r="B20129" s="1168"/>
    </row>
    <row r="20130" spans="2:2" s="221" customFormat="1" ht="12.75" x14ac:dyDescent="0.2">
      <c r="B20130" s="1168"/>
    </row>
    <row r="20131" spans="2:2" s="221" customFormat="1" ht="12.75" x14ac:dyDescent="0.2">
      <c r="B20131" s="1168"/>
    </row>
    <row r="20132" spans="2:2" s="221" customFormat="1" ht="12.75" x14ac:dyDescent="0.2">
      <c r="B20132" s="1168"/>
    </row>
    <row r="20133" spans="2:2" s="221" customFormat="1" ht="12.75" x14ac:dyDescent="0.2">
      <c r="B20133" s="1168"/>
    </row>
    <row r="20134" spans="2:2" s="221" customFormat="1" ht="12.75" x14ac:dyDescent="0.2">
      <c r="B20134" s="1168"/>
    </row>
    <row r="20135" spans="2:2" s="221" customFormat="1" ht="12.75" x14ac:dyDescent="0.2">
      <c r="B20135" s="1168"/>
    </row>
    <row r="20136" spans="2:2" s="221" customFormat="1" ht="12.75" x14ac:dyDescent="0.2">
      <c r="B20136" s="1168"/>
    </row>
    <row r="20137" spans="2:2" s="221" customFormat="1" ht="12.75" x14ac:dyDescent="0.2">
      <c r="B20137" s="1168"/>
    </row>
    <row r="20138" spans="2:2" s="221" customFormat="1" ht="12.75" x14ac:dyDescent="0.2">
      <c r="B20138" s="1168"/>
    </row>
    <row r="20139" spans="2:2" s="221" customFormat="1" ht="12.75" x14ac:dyDescent="0.2">
      <c r="B20139" s="1168"/>
    </row>
    <row r="20140" spans="2:2" s="221" customFormat="1" ht="12.75" x14ac:dyDescent="0.2">
      <c r="B20140" s="1168"/>
    </row>
    <row r="20141" spans="2:2" s="221" customFormat="1" ht="12.75" x14ac:dyDescent="0.2">
      <c r="B20141" s="1168"/>
    </row>
    <row r="20142" spans="2:2" s="221" customFormat="1" ht="12.75" x14ac:dyDescent="0.2">
      <c r="B20142" s="1168"/>
    </row>
    <row r="20143" spans="2:2" s="221" customFormat="1" ht="12.75" x14ac:dyDescent="0.2">
      <c r="B20143" s="1168"/>
    </row>
    <row r="20144" spans="2:2" s="221" customFormat="1" ht="12.75" x14ac:dyDescent="0.2">
      <c r="B20144" s="1168"/>
    </row>
    <row r="20145" spans="2:2" s="221" customFormat="1" ht="12.75" x14ac:dyDescent="0.2">
      <c r="B20145" s="1168"/>
    </row>
    <row r="20146" spans="2:2" s="221" customFormat="1" ht="12.75" x14ac:dyDescent="0.2">
      <c r="B20146" s="1168"/>
    </row>
    <row r="20147" spans="2:2" s="221" customFormat="1" ht="12.75" x14ac:dyDescent="0.2">
      <c r="B20147" s="1168"/>
    </row>
    <row r="20148" spans="2:2" s="221" customFormat="1" ht="12.75" x14ac:dyDescent="0.2">
      <c r="B20148" s="1168"/>
    </row>
    <row r="20149" spans="2:2" s="221" customFormat="1" ht="12.75" x14ac:dyDescent="0.2">
      <c r="B20149" s="1168"/>
    </row>
    <row r="20150" spans="2:2" s="221" customFormat="1" ht="12.75" x14ac:dyDescent="0.2">
      <c r="B20150" s="1168"/>
    </row>
    <row r="20151" spans="2:2" s="221" customFormat="1" ht="12.75" x14ac:dyDescent="0.2">
      <c r="B20151" s="1168"/>
    </row>
    <row r="20152" spans="2:2" s="221" customFormat="1" ht="12.75" x14ac:dyDescent="0.2">
      <c r="B20152" s="1168"/>
    </row>
    <row r="20153" spans="2:2" s="221" customFormat="1" ht="12.75" x14ac:dyDescent="0.2">
      <c r="B20153" s="1168"/>
    </row>
    <row r="20154" spans="2:2" s="221" customFormat="1" ht="12.75" x14ac:dyDescent="0.2">
      <c r="B20154" s="1168"/>
    </row>
    <row r="20155" spans="2:2" s="221" customFormat="1" ht="12.75" x14ac:dyDescent="0.2">
      <c r="B20155" s="1168"/>
    </row>
    <row r="20156" spans="2:2" s="221" customFormat="1" ht="12.75" x14ac:dyDescent="0.2">
      <c r="B20156" s="1168"/>
    </row>
    <row r="20157" spans="2:2" s="221" customFormat="1" ht="12.75" x14ac:dyDescent="0.2">
      <c r="B20157" s="1168"/>
    </row>
    <row r="20158" spans="2:2" s="221" customFormat="1" ht="12.75" x14ac:dyDescent="0.2">
      <c r="B20158" s="1168"/>
    </row>
    <row r="20159" spans="2:2" s="221" customFormat="1" ht="12.75" x14ac:dyDescent="0.2">
      <c r="B20159" s="1168"/>
    </row>
    <row r="20160" spans="2:2" s="221" customFormat="1" ht="12.75" x14ac:dyDescent="0.2">
      <c r="B20160" s="1168"/>
    </row>
    <row r="20161" spans="2:2" s="221" customFormat="1" ht="12.75" x14ac:dyDescent="0.2">
      <c r="B20161" s="1168"/>
    </row>
    <row r="20162" spans="2:2" s="221" customFormat="1" ht="12.75" x14ac:dyDescent="0.2">
      <c r="B20162" s="1168"/>
    </row>
    <row r="20163" spans="2:2" s="221" customFormat="1" ht="12.75" x14ac:dyDescent="0.2">
      <c r="B20163" s="1168"/>
    </row>
    <row r="20164" spans="2:2" s="221" customFormat="1" ht="12.75" x14ac:dyDescent="0.2">
      <c r="B20164" s="1168"/>
    </row>
    <row r="20165" spans="2:2" s="221" customFormat="1" ht="12.75" x14ac:dyDescent="0.2">
      <c r="B20165" s="1168"/>
    </row>
    <row r="20166" spans="2:2" s="221" customFormat="1" ht="12.75" x14ac:dyDescent="0.2">
      <c r="B20166" s="1168"/>
    </row>
    <row r="20167" spans="2:2" s="221" customFormat="1" ht="12.75" x14ac:dyDescent="0.2">
      <c r="B20167" s="1168"/>
    </row>
    <row r="20168" spans="2:2" s="221" customFormat="1" ht="12.75" x14ac:dyDescent="0.2">
      <c r="B20168" s="1168"/>
    </row>
    <row r="20169" spans="2:2" s="221" customFormat="1" ht="12.75" x14ac:dyDescent="0.2">
      <c r="B20169" s="1168"/>
    </row>
    <row r="20170" spans="2:2" s="221" customFormat="1" ht="12.75" x14ac:dyDescent="0.2">
      <c r="B20170" s="1168"/>
    </row>
    <row r="20171" spans="2:2" s="221" customFormat="1" ht="12.75" x14ac:dyDescent="0.2">
      <c r="B20171" s="1168"/>
    </row>
    <row r="20172" spans="2:2" s="221" customFormat="1" ht="12.75" x14ac:dyDescent="0.2">
      <c r="B20172" s="1168"/>
    </row>
    <row r="20173" spans="2:2" s="221" customFormat="1" ht="12.75" x14ac:dyDescent="0.2">
      <c r="B20173" s="1168"/>
    </row>
    <row r="20174" spans="2:2" s="221" customFormat="1" ht="12.75" x14ac:dyDescent="0.2">
      <c r="B20174" s="1168"/>
    </row>
    <row r="20175" spans="2:2" s="221" customFormat="1" ht="12.75" x14ac:dyDescent="0.2">
      <c r="B20175" s="1168"/>
    </row>
    <row r="20176" spans="2:2" s="221" customFormat="1" ht="12.75" x14ac:dyDescent="0.2">
      <c r="B20176" s="1168"/>
    </row>
    <row r="20177" spans="2:2" s="221" customFormat="1" ht="12.75" x14ac:dyDescent="0.2">
      <c r="B20177" s="1168"/>
    </row>
    <row r="20178" spans="2:2" s="221" customFormat="1" ht="12.75" x14ac:dyDescent="0.2">
      <c r="B20178" s="1168"/>
    </row>
    <row r="20179" spans="2:2" s="221" customFormat="1" ht="12.75" x14ac:dyDescent="0.2">
      <c r="B20179" s="1168"/>
    </row>
    <row r="20180" spans="2:2" s="221" customFormat="1" ht="12.75" x14ac:dyDescent="0.2">
      <c r="B20180" s="1168"/>
    </row>
    <row r="20181" spans="2:2" s="221" customFormat="1" ht="12.75" x14ac:dyDescent="0.2">
      <c r="B20181" s="1168"/>
    </row>
    <row r="20182" spans="2:2" s="221" customFormat="1" ht="12.75" x14ac:dyDescent="0.2">
      <c r="B20182" s="1168"/>
    </row>
    <row r="20183" spans="2:2" s="221" customFormat="1" ht="12.75" x14ac:dyDescent="0.2">
      <c r="B20183" s="1168"/>
    </row>
    <row r="20184" spans="2:2" s="221" customFormat="1" ht="12.75" x14ac:dyDescent="0.2">
      <c r="B20184" s="1168"/>
    </row>
    <row r="20185" spans="2:2" s="221" customFormat="1" ht="12.75" x14ac:dyDescent="0.2">
      <c r="B20185" s="1168"/>
    </row>
    <row r="20186" spans="2:2" s="221" customFormat="1" ht="12.75" x14ac:dyDescent="0.2">
      <c r="B20186" s="1168"/>
    </row>
    <row r="20187" spans="2:2" s="221" customFormat="1" ht="12.75" x14ac:dyDescent="0.2">
      <c r="B20187" s="1168"/>
    </row>
    <row r="20188" spans="2:2" s="221" customFormat="1" ht="12.75" x14ac:dyDescent="0.2">
      <c r="B20188" s="1168"/>
    </row>
    <row r="20189" spans="2:2" s="221" customFormat="1" ht="12.75" x14ac:dyDescent="0.2">
      <c r="B20189" s="1168"/>
    </row>
    <row r="20190" spans="2:2" s="221" customFormat="1" ht="12.75" x14ac:dyDescent="0.2">
      <c r="B20190" s="1168"/>
    </row>
    <row r="20191" spans="2:2" s="221" customFormat="1" ht="12.75" x14ac:dyDescent="0.2">
      <c r="B20191" s="1168"/>
    </row>
    <row r="20192" spans="2:2" s="221" customFormat="1" ht="12.75" x14ac:dyDescent="0.2">
      <c r="B20192" s="1168"/>
    </row>
    <row r="20193" spans="2:2" s="221" customFormat="1" ht="12.75" x14ac:dyDescent="0.2">
      <c r="B20193" s="1168"/>
    </row>
    <row r="20194" spans="2:2" s="221" customFormat="1" ht="12.75" x14ac:dyDescent="0.2">
      <c r="B20194" s="1168"/>
    </row>
    <row r="20195" spans="2:2" s="221" customFormat="1" ht="12.75" x14ac:dyDescent="0.2">
      <c r="B20195" s="1168"/>
    </row>
    <row r="20196" spans="2:2" s="221" customFormat="1" ht="12.75" x14ac:dyDescent="0.2">
      <c r="B20196" s="1168"/>
    </row>
    <row r="20197" spans="2:2" s="221" customFormat="1" ht="12.75" x14ac:dyDescent="0.2">
      <c r="B20197" s="1168"/>
    </row>
    <row r="20198" spans="2:2" s="221" customFormat="1" ht="12.75" x14ac:dyDescent="0.2">
      <c r="B20198" s="1168"/>
    </row>
    <row r="20199" spans="2:2" s="221" customFormat="1" ht="12.75" x14ac:dyDescent="0.2">
      <c r="B20199" s="1168"/>
    </row>
    <row r="20200" spans="2:2" s="221" customFormat="1" ht="12.75" x14ac:dyDescent="0.2">
      <c r="B20200" s="1168"/>
    </row>
    <row r="20201" spans="2:2" s="221" customFormat="1" ht="12.75" x14ac:dyDescent="0.2">
      <c r="B20201" s="1168"/>
    </row>
    <row r="20202" spans="2:2" s="221" customFormat="1" ht="12.75" x14ac:dyDescent="0.2">
      <c r="B20202" s="1168"/>
    </row>
    <row r="20203" spans="2:2" s="221" customFormat="1" ht="12.75" x14ac:dyDescent="0.2">
      <c r="B20203" s="1168"/>
    </row>
    <row r="20204" spans="2:2" s="221" customFormat="1" ht="12.75" x14ac:dyDescent="0.2">
      <c r="B20204" s="1168"/>
    </row>
    <row r="20205" spans="2:2" s="221" customFormat="1" ht="12.75" x14ac:dyDescent="0.2">
      <c r="B20205" s="1168"/>
    </row>
    <row r="20206" spans="2:2" s="221" customFormat="1" ht="12.75" x14ac:dyDescent="0.2">
      <c r="B20206" s="1168"/>
    </row>
    <row r="20207" spans="2:2" s="221" customFormat="1" ht="12.75" x14ac:dyDescent="0.2">
      <c r="B20207" s="1168"/>
    </row>
    <row r="20208" spans="2:2" s="221" customFormat="1" ht="12.75" x14ac:dyDescent="0.2">
      <c r="B20208" s="1168"/>
    </row>
    <row r="20209" spans="2:2" s="221" customFormat="1" ht="12.75" x14ac:dyDescent="0.2">
      <c r="B20209" s="1168"/>
    </row>
    <row r="20210" spans="2:2" s="221" customFormat="1" ht="12.75" x14ac:dyDescent="0.2">
      <c r="B20210" s="1168"/>
    </row>
    <row r="20211" spans="2:2" s="221" customFormat="1" ht="12.75" x14ac:dyDescent="0.2">
      <c r="B20211" s="1168"/>
    </row>
    <row r="20212" spans="2:2" s="221" customFormat="1" ht="12.75" x14ac:dyDescent="0.2">
      <c r="B20212" s="1168"/>
    </row>
    <row r="20213" spans="2:2" s="221" customFormat="1" ht="12.75" x14ac:dyDescent="0.2">
      <c r="B20213" s="1168"/>
    </row>
    <row r="20214" spans="2:2" s="221" customFormat="1" ht="12.75" x14ac:dyDescent="0.2">
      <c r="B20214" s="1168"/>
    </row>
    <row r="20215" spans="2:2" s="221" customFormat="1" ht="12.75" x14ac:dyDescent="0.2">
      <c r="B20215" s="1168"/>
    </row>
    <row r="20216" spans="2:2" s="221" customFormat="1" ht="12.75" x14ac:dyDescent="0.2">
      <c r="B20216" s="1168"/>
    </row>
    <row r="20217" spans="2:2" s="221" customFormat="1" ht="12.75" x14ac:dyDescent="0.2">
      <c r="B20217" s="1168"/>
    </row>
    <row r="20218" spans="2:2" s="221" customFormat="1" ht="12.75" x14ac:dyDescent="0.2">
      <c r="B20218" s="1168"/>
    </row>
    <row r="20219" spans="2:2" s="221" customFormat="1" ht="12.75" x14ac:dyDescent="0.2">
      <c r="B20219" s="1168"/>
    </row>
    <row r="20220" spans="2:2" s="221" customFormat="1" ht="12.75" x14ac:dyDescent="0.2">
      <c r="B20220" s="1168"/>
    </row>
    <row r="20221" spans="2:2" s="221" customFormat="1" ht="12.75" x14ac:dyDescent="0.2">
      <c r="B20221" s="1168"/>
    </row>
    <row r="20222" spans="2:2" s="221" customFormat="1" ht="12.75" x14ac:dyDescent="0.2">
      <c r="B20222" s="1168"/>
    </row>
    <row r="20223" spans="2:2" s="221" customFormat="1" ht="12.75" x14ac:dyDescent="0.2">
      <c r="B20223" s="1168"/>
    </row>
    <row r="20224" spans="2:2" s="221" customFormat="1" ht="12.75" x14ac:dyDescent="0.2">
      <c r="B20224" s="1168"/>
    </row>
    <row r="20225" spans="2:2" s="221" customFormat="1" ht="12.75" x14ac:dyDescent="0.2">
      <c r="B20225" s="1168"/>
    </row>
    <row r="20226" spans="2:2" s="221" customFormat="1" ht="12.75" x14ac:dyDescent="0.2">
      <c r="B20226" s="1168"/>
    </row>
    <row r="20227" spans="2:2" s="221" customFormat="1" ht="12.75" x14ac:dyDescent="0.2">
      <c r="B20227" s="1168"/>
    </row>
    <row r="20228" spans="2:2" s="221" customFormat="1" ht="12.75" x14ac:dyDescent="0.2">
      <c r="B20228" s="1168"/>
    </row>
    <row r="20229" spans="2:2" s="221" customFormat="1" ht="12.75" x14ac:dyDescent="0.2">
      <c r="B20229" s="1168"/>
    </row>
    <row r="20230" spans="2:2" s="221" customFormat="1" ht="12.75" x14ac:dyDescent="0.2">
      <c r="B20230" s="1168"/>
    </row>
    <row r="20231" spans="2:2" s="221" customFormat="1" ht="12.75" x14ac:dyDescent="0.2">
      <c r="B20231" s="1168"/>
    </row>
    <row r="20232" spans="2:2" s="221" customFormat="1" ht="12.75" x14ac:dyDescent="0.2">
      <c r="B20232" s="1168"/>
    </row>
    <row r="20233" spans="2:2" s="221" customFormat="1" ht="12.75" x14ac:dyDescent="0.2">
      <c r="B20233" s="1168"/>
    </row>
    <row r="20234" spans="2:2" s="221" customFormat="1" ht="12.75" x14ac:dyDescent="0.2">
      <c r="B20234" s="1168"/>
    </row>
    <row r="20235" spans="2:2" s="221" customFormat="1" ht="12.75" x14ac:dyDescent="0.2">
      <c r="B20235" s="1168"/>
    </row>
    <row r="20236" spans="2:2" s="221" customFormat="1" ht="12.75" x14ac:dyDescent="0.2">
      <c r="B20236" s="1168"/>
    </row>
    <row r="20237" spans="2:2" s="221" customFormat="1" ht="12.75" x14ac:dyDescent="0.2">
      <c r="B20237" s="1168"/>
    </row>
    <row r="20238" spans="2:2" s="221" customFormat="1" ht="12.75" x14ac:dyDescent="0.2">
      <c r="B20238" s="1168"/>
    </row>
    <row r="20239" spans="2:2" s="221" customFormat="1" ht="12.75" x14ac:dyDescent="0.2">
      <c r="B20239" s="1168"/>
    </row>
    <row r="20240" spans="2:2" s="221" customFormat="1" ht="12.75" x14ac:dyDescent="0.2">
      <c r="B20240" s="1168"/>
    </row>
    <row r="20241" spans="2:2" s="221" customFormat="1" ht="12.75" x14ac:dyDescent="0.2">
      <c r="B20241" s="1168"/>
    </row>
    <row r="20242" spans="2:2" s="221" customFormat="1" ht="12.75" x14ac:dyDescent="0.2">
      <c r="B20242" s="1168"/>
    </row>
    <row r="20243" spans="2:2" s="221" customFormat="1" ht="12.75" x14ac:dyDescent="0.2">
      <c r="B20243" s="1168"/>
    </row>
    <row r="20244" spans="2:2" s="221" customFormat="1" ht="12.75" x14ac:dyDescent="0.2">
      <c r="B20244" s="1168"/>
    </row>
    <row r="20245" spans="2:2" s="221" customFormat="1" ht="12.75" x14ac:dyDescent="0.2">
      <c r="B20245" s="1168"/>
    </row>
    <row r="20246" spans="2:2" s="221" customFormat="1" ht="12.75" x14ac:dyDescent="0.2">
      <c r="B20246" s="1168"/>
    </row>
    <row r="20247" spans="2:2" s="221" customFormat="1" ht="12.75" x14ac:dyDescent="0.2">
      <c r="B20247" s="1168"/>
    </row>
    <row r="20248" spans="2:2" s="221" customFormat="1" ht="12.75" x14ac:dyDescent="0.2">
      <c r="B20248" s="1168"/>
    </row>
    <row r="20249" spans="2:2" s="221" customFormat="1" ht="12.75" x14ac:dyDescent="0.2">
      <c r="B20249" s="1168"/>
    </row>
    <row r="20250" spans="2:2" s="221" customFormat="1" ht="12.75" x14ac:dyDescent="0.2">
      <c r="B20250" s="1168"/>
    </row>
    <row r="20251" spans="2:2" s="221" customFormat="1" ht="12.75" x14ac:dyDescent="0.2">
      <c r="B20251" s="1168"/>
    </row>
    <row r="20252" spans="2:2" s="221" customFormat="1" ht="12.75" x14ac:dyDescent="0.2">
      <c r="B20252" s="1168"/>
    </row>
    <row r="20253" spans="2:2" s="221" customFormat="1" ht="12.75" x14ac:dyDescent="0.2">
      <c r="B20253" s="1168"/>
    </row>
    <row r="20254" spans="2:2" s="221" customFormat="1" ht="12.75" x14ac:dyDescent="0.2">
      <c r="B20254" s="1168"/>
    </row>
    <row r="20255" spans="2:2" s="221" customFormat="1" ht="12.75" x14ac:dyDescent="0.2">
      <c r="B20255" s="1168"/>
    </row>
    <row r="20256" spans="2:2" s="221" customFormat="1" ht="12.75" x14ac:dyDescent="0.2">
      <c r="B20256" s="1168"/>
    </row>
    <row r="20257" spans="2:2" s="221" customFormat="1" ht="12.75" x14ac:dyDescent="0.2">
      <c r="B20257" s="1168"/>
    </row>
    <row r="20258" spans="2:2" s="221" customFormat="1" ht="12.75" x14ac:dyDescent="0.2">
      <c r="B20258" s="1168"/>
    </row>
    <row r="20259" spans="2:2" s="221" customFormat="1" ht="12.75" x14ac:dyDescent="0.2">
      <c r="B20259" s="1168"/>
    </row>
    <row r="20260" spans="2:2" s="221" customFormat="1" ht="12.75" x14ac:dyDescent="0.2">
      <c r="B20260" s="1168"/>
    </row>
    <row r="20261" spans="2:2" s="221" customFormat="1" ht="12.75" x14ac:dyDescent="0.2">
      <c r="B20261" s="1168"/>
    </row>
    <row r="20262" spans="2:2" s="221" customFormat="1" ht="12.75" x14ac:dyDescent="0.2">
      <c r="B20262" s="1168"/>
    </row>
    <row r="20263" spans="2:2" s="221" customFormat="1" ht="12.75" x14ac:dyDescent="0.2">
      <c r="B20263" s="1168"/>
    </row>
    <row r="20264" spans="2:2" s="221" customFormat="1" ht="12.75" x14ac:dyDescent="0.2">
      <c r="B20264" s="1168"/>
    </row>
    <row r="20265" spans="2:2" s="221" customFormat="1" ht="12.75" x14ac:dyDescent="0.2">
      <c r="B20265" s="1168"/>
    </row>
    <row r="20266" spans="2:2" s="221" customFormat="1" ht="12.75" x14ac:dyDescent="0.2">
      <c r="B20266" s="1168"/>
    </row>
    <row r="20267" spans="2:2" s="221" customFormat="1" ht="12.75" x14ac:dyDescent="0.2">
      <c r="B20267" s="1168"/>
    </row>
    <row r="20268" spans="2:2" s="221" customFormat="1" ht="12.75" x14ac:dyDescent="0.2">
      <c r="B20268" s="1168"/>
    </row>
    <row r="20269" spans="2:2" s="221" customFormat="1" ht="12.75" x14ac:dyDescent="0.2">
      <c r="B20269" s="1168"/>
    </row>
    <row r="20270" spans="2:2" s="221" customFormat="1" ht="12.75" x14ac:dyDescent="0.2">
      <c r="B20270" s="1168"/>
    </row>
    <row r="20271" spans="2:2" s="221" customFormat="1" ht="12.75" x14ac:dyDescent="0.2">
      <c r="B20271" s="1168"/>
    </row>
    <row r="20272" spans="2:2" s="221" customFormat="1" ht="12.75" x14ac:dyDescent="0.2">
      <c r="B20272" s="1168"/>
    </row>
    <row r="20273" spans="2:2" s="221" customFormat="1" ht="12.75" x14ac:dyDescent="0.2">
      <c r="B20273" s="1168"/>
    </row>
    <row r="20274" spans="2:2" s="221" customFormat="1" ht="12.75" x14ac:dyDescent="0.2">
      <c r="B20274" s="1168"/>
    </row>
    <row r="20275" spans="2:2" s="221" customFormat="1" ht="12.75" x14ac:dyDescent="0.2">
      <c r="B20275" s="1168"/>
    </row>
    <row r="20276" spans="2:2" s="221" customFormat="1" ht="12.75" x14ac:dyDescent="0.2">
      <c r="B20276" s="1168"/>
    </row>
    <row r="20277" spans="2:2" s="221" customFormat="1" ht="12.75" x14ac:dyDescent="0.2">
      <c r="B20277" s="1168"/>
    </row>
    <row r="20278" spans="2:2" s="221" customFormat="1" ht="12.75" x14ac:dyDescent="0.2">
      <c r="B20278" s="1168"/>
    </row>
    <row r="20279" spans="2:2" s="221" customFormat="1" ht="12.75" x14ac:dyDescent="0.2">
      <c r="B20279" s="1168"/>
    </row>
    <row r="20280" spans="2:2" s="221" customFormat="1" ht="12.75" x14ac:dyDescent="0.2">
      <c r="B20280" s="1168"/>
    </row>
    <row r="20281" spans="2:2" s="221" customFormat="1" ht="12.75" x14ac:dyDescent="0.2">
      <c r="B20281" s="1168"/>
    </row>
    <row r="20282" spans="2:2" s="221" customFormat="1" ht="12.75" x14ac:dyDescent="0.2">
      <c r="B20282" s="1168"/>
    </row>
    <row r="20283" spans="2:2" s="221" customFormat="1" ht="12.75" x14ac:dyDescent="0.2">
      <c r="B20283" s="1168"/>
    </row>
    <row r="20284" spans="2:2" s="221" customFormat="1" ht="12.75" x14ac:dyDescent="0.2">
      <c r="B20284" s="1168"/>
    </row>
    <row r="20285" spans="2:2" s="221" customFormat="1" ht="12.75" x14ac:dyDescent="0.2">
      <c r="B20285" s="1168"/>
    </row>
    <row r="20286" spans="2:2" s="221" customFormat="1" ht="12.75" x14ac:dyDescent="0.2">
      <c r="B20286" s="1168"/>
    </row>
    <row r="20287" spans="2:2" s="221" customFormat="1" ht="12.75" x14ac:dyDescent="0.2">
      <c r="B20287" s="1168"/>
    </row>
    <row r="20288" spans="2:2" s="221" customFormat="1" ht="12.75" x14ac:dyDescent="0.2">
      <c r="B20288" s="1168"/>
    </row>
    <row r="20289" spans="2:2" s="221" customFormat="1" ht="12.75" x14ac:dyDescent="0.2">
      <c r="B20289" s="1168"/>
    </row>
    <row r="20290" spans="2:2" s="221" customFormat="1" ht="12.75" x14ac:dyDescent="0.2">
      <c r="B20290" s="1168"/>
    </row>
    <row r="20291" spans="2:2" s="221" customFormat="1" ht="12.75" x14ac:dyDescent="0.2">
      <c r="B20291" s="1168"/>
    </row>
    <row r="20292" spans="2:2" s="221" customFormat="1" ht="12.75" x14ac:dyDescent="0.2">
      <c r="B20292" s="1168"/>
    </row>
    <row r="20293" spans="2:2" s="221" customFormat="1" ht="12.75" x14ac:dyDescent="0.2">
      <c r="B20293" s="1168"/>
    </row>
    <row r="20294" spans="2:2" s="221" customFormat="1" ht="12.75" x14ac:dyDescent="0.2">
      <c r="B20294" s="1168"/>
    </row>
    <row r="20295" spans="2:2" s="221" customFormat="1" ht="12.75" x14ac:dyDescent="0.2">
      <c r="B20295" s="1168"/>
    </row>
    <row r="20296" spans="2:2" s="221" customFormat="1" ht="12.75" x14ac:dyDescent="0.2">
      <c r="B20296" s="1168"/>
    </row>
    <row r="20297" spans="2:2" s="221" customFormat="1" ht="12.75" x14ac:dyDescent="0.2">
      <c r="B20297" s="1168"/>
    </row>
    <row r="20298" spans="2:2" s="221" customFormat="1" ht="12.75" x14ac:dyDescent="0.2">
      <c r="B20298" s="1168"/>
    </row>
    <row r="20299" spans="2:2" s="221" customFormat="1" ht="12.75" x14ac:dyDescent="0.2">
      <c r="B20299" s="1168"/>
    </row>
    <row r="20300" spans="2:2" s="221" customFormat="1" ht="12.75" x14ac:dyDescent="0.2">
      <c r="B20300" s="1168"/>
    </row>
    <row r="20301" spans="2:2" s="221" customFormat="1" ht="12.75" x14ac:dyDescent="0.2">
      <c r="B20301" s="1168"/>
    </row>
    <row r="20302" spans="2:2" s="221" customFormat="1" ht="12.75" x14ac:dyDescent="0.2">
      <c r="B20302" s="1168"/>
    </row>
    <row r="20303" spans="2:2" s="221" customFormat="1" ht="12.75" x14ac:dyDescent="0.2">
      <c r="B20303" s="1168"/>
    </row>
    <row r="20304" spans="2:2" s="221" customFormat="1" ht="12.75" x14ac:dyDescent="0.2">
      <c r="B20304" s="1168"/>
    </row>
    <row r="20305" spans="2:2" s="221" customFormat="1" ht="12.75" x14ac:dyDescent="0.2">
      <c r="B20305" s="1168"/>
    </row>
    <row r="20306" spans="2:2" s="221" customFormat="1" ht="12.75" x14ac:dyDescent="0.2">
      <c r="B20306" s="1168"/>
    </row>
    <row r="20307" spans="2:2" s="221" customFormat="1" ht="12.75" x14ac:dyDescent="0.2">
      <c r="B20307" s="1168"/>
    </row>
    <row r="20308" spans="2:2" s="221" customFormat="1" ht="12.75" x14ac:dyDescent="0.2">
      <c r="B20308" s="1168"/>
    </row>
    <row r="20309" spans="2:2" s="221" customFormat="1" ht="12.75" x14ac:dyDescent="0.2">
      <c r="B20309" s="1168"/>
    </row>
    <row r="20310" spans="2:2" s="221" customFormat="1" ht="12.75" x14ac:dyDescent="0.2">
      <c r="B20310" s="1168"/>
    </row>
    <row r="20311" spans="2:2" s="221" customFormat="1" ht="12.75" x14ac:dyDescent="0.2">
      <c r="B20311" s="1168"/>
    </row>
    <row r="20312" spans="2:2" s="221" customFormat="1" ht="12.75" x14ac:dyDescent="0.2">
      <c r="B20312" s="1168"/>
    </row>
    <row r="20313" spans="2:2" s="221" customFormat="1" ht="12.75" x14ac:dyDescent="0.2">
      <c r="B20313" s="1168"/>
    </row>
    <row r="20314" spans="2:2" s="221" customFormat="1" ht="12.75" x14ac:dyDescent="0.2">
      <c r="B20314" s="1168"/>
    </row>
    <row r="20315" spans="2:2" s="221" customFormat="1" ht="12.75" x14ac:dyDescent="0.2">
      <c r="B20315" s="1168"/>
    </row>
    <row r="20316" spans="2:2" s="221" customFormat="1" ht="12.75" x14ac:dyDescent="0.2">
      <c r="B20316" s="1168"/>
    </row>
    <row r="20317" spans="2:2" s="221" customFormat="1" ht="12.75" x14ac:dyDescent="0.2">
      <c r="B20317" s="1168"/>
    </row>
    <row r="20318" spans="2:2" s="221" customFormat="1" ht="12.75" x14ac:dyDescent="0.2">
      <c r="B20318" s="1168"/>
    </row>
    <row r="20319" spans="2:2" s="221" customFormat="1" ht="12.75" x14ac:dyDescent="0.2">
      <c r="B20319" s="1168"/>
    </row>
    <row r="20320" spans="2:2" s="221" customFormat="1" ht="12.75" x14ac:dyDescent="0.2">
      <c r="B20320" s="1168"/>
    </row>
    <row r="20321" spans="2:2" s="221" customFormat="1" ht="12.75" x14ac:dyDescent="0.2">
      <c r="B20321" s="1168"/>
    </row>
    <row r="20322" spans="2:2" s="221" customFormat="1" ht="12.75" x14ac:dyDescent="0.2">
      <c r="B20322" s="1168"/>
    </row>
    <row r="20323" spans="2:2" s="221" customFormat="1" ht="12.75" x14ac:dyDescent="0.2">
      <c r="B20323" s="1168"/>
    </row>
    <row r="20324" spans="2:2" s="221" customFormat="1" ht="12.75" x14ac:dyDescent="0.2">
      <c r="B20324" s="1168"/>
    </row>
    <row r="20325" spans="2:2" s="221" customFormat="1" ht="12.75" x14ac:dyDescent="0.2">
      <c r="B20325" s="1168"/>
    </row>
    <row r="20326" spans="2:2" s="221" customFormat="1" ht="12.75" x14ac:dyDescent="0.2">
      <c r="B20326" s="1168"/>
    </row>
    <row r="20327" spans="2:2" s="221" customFormat="1" ht="12.75" x14ac:dyDescent="0.2">
      <c r="B20327" s="1168"/>
    </row>
    <row r="20328" spans="2:2" s="221" customFormat="1" ht="12.75" x14ac:dyDescent="0.2">
      <c r="B20328" s="1168"/>
    </row>
    <row r="20329" spans="2:2" s="221" customFormat="1" ht="12.75" x14ac:dyDescent="0.2">
      <c r="B20329" s="1168"/>
    </row>
    <row r="20330" spans="2:2" s="221" customFormat="1" ht="12.75" x14ac:dyDescent="0.2">
      <c r="B20330" s="1168"/>
    </row>
    <row r="20331" spans="2:2" s="221" customFormat="1" ht="12.75" x14ac:dyDescent="0.2">
      <c r="B20331" s="1168"/>
    </row>
    <row r="20332" spans="2:2" s="221" customFormat="1" ht="12.75" x14ac:dyDescent="0.2">
      <c r="B20332" s="1168"/>
    </row>
    <row r="20333" spans="2:2" s="221" customFormat="1" ht="12.75" x14ac:dyDescent="0.2">
      <c r="B20333" s="1168"/>
    </row>
    <row r="20334" spans="2:2" s="221" customFormat="1" ht="12.75" x14ac:dyDescent="0.2">
      <c r="B20334" s="1168"/>
    </row>
    <row r="20335" spans="2:2" s="221" customFormat="1" ht="12.75" x14ac:dyDescent="0.2">
      <c r="B20335" s="1168"/>
    </row>
    <row r="20336" spans="2:2" s="221" customFormat="1" ht="12.75" x14ac:dyDescent="0.2">
      <c r="B20336" s="1168"/>
    </row>
    <row r="20337" spans="2:2" s="221" customFormat="1" ht="12.75" x14ac:dyDescent="0.2">
      <c r="B20337" s="1168"/>
    </row>
    <row r="20338" spans="2:2" s="221" customFormat="1" ht="12.75" x14ac:dyDescent="0.2">
      <c r="B20338" s="1168"/>
    </row>
    <row r="20339" spans="2:2" s="221" customFormat="1" ht="12.75" x14ac:dyDescent="0.2">
      <c r="B20339" s="1168"/>
    </row>
    <row r="20340" spans="2:2" s="221" customFormat="1" ht="12.75" x14ac:dyDescent="0.2">
      <c r="B20340" s="1168"/>
    </row>
    <row r="20341" spans="2:2" s="221" customFormat="1" ht="12.75" x14ac:dyDescent="0.2">
      <c r="B20341" s="1168"/>
    </row>
    <row r="20342" spans="2:2" s="221" customFormat="1" ht="12.75" x14ac:dyDescent="0.2">
      <c r="B20342" s="1168"/>
    </row>
    <row r="20343" spans="2:2" s="221" customFormat="1" ht="12.75" x14ac:dyDescent="0.2">
      <c r="B20343" s="1168"/>
    </row>
    <row r="20344" spans="2:2" s="221" customFormat="1" ht="12.75" x14ac:dyDescent="0.2">
      <c r="B20344" s="1168"/>
    </row>
    <row r="20345" spans="2:2" s="221" customFormat="1" ht="12.75" x14ac:dyDescent="0.2">
      <c r="B20345" s="1168"/>
    </row>
    <row r="20346" spans="2:2" s="221" customFormat="1" ht="12.75" x14ac:dyDescent="0.2">
      <c r="B20346" s="1168"/>
    </row>
    <row r="20347" spans="2:2" s="221" customFormat="1" ht="12.75" x14ac:dyDescent="0.2">
      <c r="B20347" s="1168"/>
    </row>
    <row r="20348" spans="2:2" s="221" customFormat="1" ht="12.75" x14ac:dyDescent="0.2">
      <c r="B20348" s="1168"/>
    </row>
    <row r="20349" spans="2:2" s="221" customFormat="1" ht="12.75" x14ac:dyDescent="0.2">
      <c r="B20349" s="1168"/>
    </row>
    <row r="20350" spans="2:2" s="221" customFormat="1" ht="12.75" x14ac:dyDescent="0.2">
      <c r="B20350" s="1168"/>
    </row>
    <row r="20351" spans="2:2" s="221" customFormat="1" ht="12.75" x14ac:dyDescent="0.2">
      <c r="B20351" s="1168"/>
    </row>
    <row r="20352" spans="2:2" s="221" customFormat="1" ht="12.75" x14ac:dyDescent="0.2">
      <c r="B20352" s="1168"/>
    </row>
    <row r="20353" spans="2:2" s="221" customFormat="1" ht="12.75" x14ac:dyDescent="0.2">
      <c r="B20353" s="1168"/>
    </row>
    <row r="20354" spans="2:2" s="221" customFormat="1" ht="12.75" x14ac:dyDescent="0.2">
      <c r="B20354" s="1168"/>
    </row>
    <row r="20355" spans="2:2" s="221" customFormat="1" ht="12.75" x14ac:dyDescent="0.2">
      <c r="B20355" s="1168"/>
    </row>
    <row r="20356" spans="2:2" s="221" customFormat="1" ht="12.75" x14ac:dyDescent="0.2">
      <c r="B20356" s="1168"/>
    </row>
    <row r="20357" spans="2:2" s="221" customFormat="1" ht="12.75" x14ac:dyDescent="0.2">
      <c r="B20357" s="1168"/>
    </row>
    <row r="20358" spans="2:2" s="221" customFormat="1" ht="12.75" x14ac:dyDescent="0.2">
      <c r="B20358" s="1168"/>
    </row>
    <row r="20359" spans="2:2" s="221" customFormat="1" ht="12.75" x14ac:dyDescent="0.2">
      <c r="B20359" s="1168"/>
    </row>
    <row r="20360" spans="2:2" s="221" customFormat="1" ht="12.75" x14ac:dyDescent="0.2">
      <c r="B20360" s="1168"/>
    </row>
    <row r="20361" spans="2:2" s="221" customFormat="1" ht="12.75" x14ac:dyDescent="0.2">
      <c r="B20361" s="1168"/>
    </row>
    <row r="20362" spans="2:2" s="221" customFormat="1" ht="12.75" x14ac:dyDescent="0.2">
      <c r="B20362" s="1168"/>
    </row>
    <row r="20363" spans="2:2" s="221" customFormat="1" ht="12.75" x14ac:dyDescent="0.2">
      <c r="B20363" s="1168"/>
    </row>
    <row r="20364" spans="2:2" s="221" customFormat="1" ht="12.75" x14ac:dyDescent="0.2">
      <c r="B20364" s="1168"/>
    </row>
    <row r="20365" spans="2:2" s="221" customFormat="1" ht="12.75" x14ac:dyDescent="0.2">
      <c r="B20365" s="1168"/>
    </row>
    <row r="20366" spans="2:2" s="221" customFormat="1" ht="12.75" x14ac:dyDescent="0.2">
      <c r="B20366" s="1168"/>
    </row>
    <row r="20367" spans="2:2" s="221" customFormat="1" ht="12.75" x14ac:dyDescent="0.2">
      <c r="B20367" s="1168"/>
    </row>
    <row r="20368" spans="2:2" s="221" customFormat="1" ht="12.75" x14ac:dyDescent="0.2">
      <c r="B20368" s="1168"/>
    </row>
    <row r="20369" spans="2:2" s="221" customFormat="1" ht="12.75" x14ac:dyDescent="0.2">
      <c r="B20369" s="1168"/>
    </row>
    <row r="20370" spans="2:2" s="221" customFormat="1" ht="12.75" x14ac:dyDescent="0.2">
      <c r="B20370" s="1168"/>
    </row>
    <row r="20371" spans="2:2" s="221" customFormat="1" ht="12.75" x14ac:dyDescent="0.2">
      <c r="B20371" s="1168"/>
    </row>
    <row r="20372" spans="2:2" s="221" customFormat="1" ht="12.75" x14ac:dyDescent="0.2">
      <c r="B20372" s="1168"/>
    </row>
    <row r="20373" spans="2:2" s="221" customFormat="1" ht="12.75" x14ac:dyDescent="0.2">
      <c r="B20373" s="1168"/>
    </row>
    <row r="20374" spans="2:2" s="221" customFormat="1" ht="12.75" x14ac:dyDescent="0.2">
      <c r="B20374" s="1168"/>
    </row>
    <row r="20375" spans="2:2" s="221" customFormat="1" ht="12.75" x14ac:dyDescent="0.2">
      <c r="B20375" s="1168"/>
    </row>
    <row r="20376" spans="2:2" s="221" customFormat="1" ht="12.75" x14ac:dyDescent="0.2">
      <c r="B20376" s="1168"/>
    </row>
    <row r="20377" spans="2:2" s="221" customFormat="1" ht="12.75" x14ac:dyDescent="0.2">
      <c r="B20377" s="1168"/>
    </row>
    <row r="20378" spans="2:2" s="221" customFormat="1" ht="12.75" x14ac:dyDescent="0.2">
      <c r="B20378" s="1168"/>
    </row>
    <row r="20379" spans="2:2" s="221" customFormat="1" ht="12.75" x14ac:dyDescent="0.2">
      <c r="B20379" s="1168"/>
    </row>
    <row r="20380" spans="2:2" s="221" customFormat="1" ht="12.75" x14ac:dyDescent="0.2">
      <c r="B20380" s="1168"/>
    </row>
    <row r="20381" spans="2:2" s="221" customFormat="1" ht="12.75" x14ac:dyDescent="0.2">
      <c r="B20381" s="1168"/>
    </row>
    <row r="20382" spans="2:2" s="221" customFormat="1" ht="12.75" x14ac:dyDescent="0.2">
      <c r="B20382" s="1168"/>
    </row>
    <row r="20383" spans="2:2" s="221" customFormat="1" ht="12.75" x14ac:dyDescent="0.2">
      <c r="B20383" s="1168"/>
    </row>
    <row r="20384" spans="2:2" s="221" customFormat="1" ht="12.75" x14ac:dyDescent="0.2">
      <c r="B20384" s="1168"/>
    </row>
    <row r="20385" spans="2:2" s="221" customFormat="1" ht="12.75" x14ac:dyDescent="0.2">
      <c r="B20385" s="1168"/>
    </row>
    <row r="20386" spans="2:2" s="221" customFormat="1" ht="12.75" x14ac:dyDescent="0.2">
      <c r="B20386" s="1168"/>
    </row>
    <row r="20387" spans="2:2" s="221" customFormat="1" ht="12.75" x14ac:dyDescent="0.2">
      <c r="B20387" s="1168"/>
    </row>
    <row r="20388" spans="2:2" s="221" customFormat="1" ht="12.75" x14ac:dyDescent="0.2">
      <c r="B20388" s="1168"/>
    </row>
    <row r="20389" spans="2:2" s="221" customFormat="1" ht="12.75" x14ac:dyDescent="0.2">
      <c r="B20389" s="1168"/>
    </row>
    <row r="20390" spans="2:2" s="221" customFormat="1" ht="12.75" x14ac:dyDescent="0.2">
      <c r="B20390" s="1168"/>
    </row>
    <row r="20391" spans="2:2" s="221" customFormat="1" ht="12.75" x14ac:dyDescent="0.2">
      <c r="B20391" s="1168"/>
    </row>
    <row r="20392" spans="2:2" s="221" customFormat="1" ht="12.75" x14ac:dyDescent="0.2">
      <c r="B20392" s="1168"/>
    </row>
    <row r="20393" spans="2:2" s="221" customFormat="1" ht="12.75" x14ac:dyDescent="0.2">
      <c r="B20393" s="1168"/>
    </row>
    <row r="20394" spans="2:2" s="221" customFormat="1" ht="12.75" x14ac:dyDescent="0.2">
      <c r="B20394" s="1168"/>
    </row>
    <row r="20395" spans="2:2" s="221" customFormat="1" ht="12.75" x14ac:dyDescent="0.2">
      <c r="B20395" s="1168"/>
    </row>
    <row r="20396" spans="2:2" s="221" customFormat="1" ht="12.75" x14ac:dyDescent="0.2">
      <c r="B20396" s="1168"/>
    </row>
    <row r="20397" spans="2:2" s="221" customFormat="1" ht="12.75" x14ac:dyDescent="0.2">
      <c r="B20397" s="1168"/>
    </row>
    <row r="20398" spans="2:2" s="221" customFormat="1" ht="12.75" x14ac:dyDescent="0.2">
      <c r="B20398" s="1168"/>
    </row>
    <row r="20399" spans="2:2" s="221" customFormat="1" ht="12.75" x14ac:dyDescent="0.2">
      <c r="B20399" s="1168"/>
    </row>
    <row r="20400" spans="2:2" s="221" customFormat="1" ht="12.75" x14ac:dyDescent="0.2">
      <c r="B20400" s="1168"/>
    </row>
    <row r="20401" spans="2:2" s="221" customFormat="1" ht="12.75" x14ac:dyDescent="0.2">
      <c r="B20401" s="1168"/>
    </row>
    <row r="20402" spans="2:2" s="221" customFormat="1" ht="12.75" x14ac:dyDescent="0.2">
      <c r="B20402" s="1168"/>
    </row>
    <row r="20403" spans="2:2" s="221" customFormat="1" ht="12.75" x14ac:dyDescent="0.2">
      <c r="B20403" s="1168"/>
    </row>
    <row r="20404" spans="2:2" s="221" customFormat="1" ht="12.75" x14ac:dyDescent="0.2">
      <c r="B20404" s="1168"/>
    </row>
    <row r="20405" spans="2:2" s="221" customFormat="1" ht="12.75" x14ac:dyDescent="0.2">
      <c r="B20405" s="1168"/>
    </row>
    <row r="20406" spans="2:2" s="221" customFormat="1" ht="12.75" x14ac:dyDescent="0.2">
      <c r="B20406" s="1168"/>
    </row>
    <row r="20407" spans="2:2" s="221" customFormat="1" ht="12.75" x14ac:dyDescent="0.2">
      <c r="B20407" s="1168"/>
    </row>
    <row r="20408" spans="2:2" s="221" customFormat="1" ht="12.75" x14ac:dyDescent="0.2">
      <c r="B20408" s="1168"/>
    </row>
    <row r="20409" spans="2:2" s="221" customFormat="1" ht="12.75" x14ac:dyDescent="0.2">
      <c r="B20409" s="1168"/>
    </row>
    <row r="20410" spans="2:2" s="221" customFormat="1" ht="12.75" x14ac:dyDescent="0.2">
      <c r="B20410" s="1168"/>
    </row>
    <row r="20411" spans="2:2" s="221" customFormat="1" ht="12.75" x14ac:dyDescent="0.2">
      <c r="B20411" s="1168"/>
    </row>
    <row r="20412" spans="2:2" s="221" customFormat="1" ht="12.75" x14ac:dyDescent="0.2">
      <c r="B20412" s="1168"/>
    </row>
    <row r="20413" spans="2:2" s="221" customFormat="1" ht="12.75" x14ac:dyDescent="0.2">
      <c r="B20413" s="1168"/>
    </row>
    <row r="20414" spans="2:2" s="221" customFormat="1" ht="12.75" x14ac:dyDescent="0.2">
      <c r="B20414" s="1168"/>
    </row>
    <row r="20415" spans="2:2" s="221" customFormat="1" ht="12.75" x14ac:dyDescent="0.2">
      <c r="B20415" s="1168"/>
    </row>
    <row r="20416" spans="2:2" s="221" customFormat="1" ht="12.75" x14ac:dyDescent="0.2">
      <c r="B20416" s="1168"/>
    </row>
    <row r="20417" spans="2:2" s="221" customFormat="1" ht="12.75" x14ac:dyDescent="0.2">
      <c r="B20417" s="1168"/>
    </row>
    <row r="20418" spans="2:2" s="221" customFormat="1" ht="12.75" x14ac:dyDescent="0.2">
      <c r="B20418" s="1168"/>
    </row>
    <row r="20419" spans="2:2" s="221" customFormat="1" ht="12.75" x14ac:dyDescent="0.2">
      <c r="B20419" s="1168"/>
    </row>
    <row r="20420" spans="2:2" s="221" customFormat="1" ht="12.75" x14ac:dyDescent="0.2">
      <c r="B20420" s="1168"/>
    </row>
    <row r="20421" spans="2:2" s="221" customFormat="1" ht="12.75" x14ac:dyDescent="0.2">
      <c r="B20421" s="1168"/>
    </row>
    <row r="20422" spans="2:2" s="221" customFormat="1" ht="12.75" x14ac:dyDescent="0.2">
      <c r="B20422" s="1168"/>
    </row>
    <row r="20423" spans="2:2" s="221" customFormat="1" ht="12.75" x14ac:dyDescent="0.2">
      <c r="B20423" s="1168"/>
    </row>
    <row r="20424" spans="2:2" s="221" customFormat="1" ht="12.75" x14ac:dyDescent="0.2">
      <c r="B20424" s="1168"/>
    </row>
    <row r="20425" spans="2:2" s="221" customFormat="1" ht="12.75" x14ac:dyDescent="0.2">
      <c r="B20425" s="1168"/>
    </row>
    <row r="20426" spans="2:2" s="221" customFormat="1" ht="12.75" x14ac:dyDescent="0.2">
      <c r="B20426" s="1168"/>
    </row>
    <row r="20427" spans="2:2" s="221" customFormat="1" ht="12.75" x14ac:dyDescent="0.2">
      <c r="B20427" s="1168"/>
    </row>
    <row r="20428" spans="2:2" s="221" customFormat="1" ht="12.75" x14ac:dyDescent="0.2">
      <c r="B20428" s="1168"/>
    </row>
    <row r="20429" spans="2:2" s="221" customFormat="1" ht="12.75" x14ac:dyDescent="0.2">
      <c r="B20429" s="1168"/>
    </row>
    <row r="20430" spans="2:2" s="221" customFormat="1" ht="12.75" x14ac:dyDescent="0.2">
      <c r="B20430" s="1168"/>
    </row>
    <row r="20431" spans="2:2" s="221" customFormat="1" ht="12.75" x14ac:dyDescent="0.2">
      <c r="B20431" s="1168"/>
    </row>
    <row r="20432" spans="2:2" s="221" customFormat="1" ht="12.75" x14ac:dyDescent="0.2">
      <c r="B20432" s="1168"/>
    </row>
    <row r="20433" spans="2:2" s="221" customFormat="1" ht="12.75" x14ac:dyDescent="0.2">
      <c r="B20433" s="1168"/>
    </row>
    <row r="20434" spans="2:2" s="221" customFormat="1" ht="12.75" x14ac:dyDescent="0.2">
      <c r="B20434" s="1168"/>
    </row>
    <row r="20435" spans="2:2" s="221" customFormat="1" ht="12.75" x14ac:dyDescent="0.2">
      <c r="B20435" s="1168"/>
    </row>
    <row r="20436" spans="2:2" s="221" customFormat="1" ht="12.75" x14ac:dyDescent="0.2">
      <c r="B20436" s="1168"/>
    </row>
    <row r="20437" spans="2:2" s="221" customFormat="1" ht="12.75" x14ac:dyDescent="0.2">
      <c r="B20437" s="1168"/>
    </row>
    <row r="20438" spans="2:2" s="221" customFormat="1" ht="12.75" x14ac:dyDescent="0.2">
      <c r="B20438" s="1168"/>
    </row>
    <row r="20439" spans="2:2" s="221" customFormat="1" ht="12.75" x14ac:dyDescent="0.2">
      <c r="B20439" s="1168"/>
    </row>
    <row r="20440" spans="2:2" s="221" customFormat="1" ht="12.75" x14ac:dyDescent="0.2">
      <c r="B20440" s="1168"/>
    </row>
    <row r="20441" spans="2:2" s="221" customFormat="1" ht="12.75" x14ac:dyDescent="0.2">
      <c r="B20441" s="1168"/>
    </row>
    <row r="20442" spans="2:2" s="221" customFormat="1" ht="12.75" x14ac:dyDescent="0.2">
      <c r="B20442" s="1168"/>
    </row>
    <row r="20443" spans="2:2" s="221" customFormat="1" ht="12.75" x14ac:dyDescent="0.2">
      <c r="B20443" s="1168"/>
    </row>
    <row r="20444" spans="2:2" s="221" customFormat="1" ht="12.75" x14ac:dyDescent="0.2">
      <c r="B20444" s="1168"/>
    </row>
    <row r="20445" spans="2:2" s="221" customFormat="1" ht="12.75" x14ac:dyDescent="0.2">
      <c r="B20445" s="1168"/>
    </row>
    <row r="20446" spans="2:2" s="221" customFormat="1" ht="12.75" x14ac:dyDescent="0.2">
      <c r="B20446" s="1168"/>
    </row>
    <row r="20447" spans="2:2" s="221" customFormat="1" ht="12.75" x14ac:dyDescent="0.2">
      <c r="B20447" s="1168"/>
    </row>
    <row r="20448" spans="2:2" s="221" customFormat="1" ht="12.75" x14ac:dyDescent="0.2">
      <c r="B20448" s="1168"/>
    </row>
    <row r="20449" spans="2:2" s="221" customFormat="1" ht="12.75" x14ac:dyDescent="0.2">
      <c r="B20449" s="1168"/>
    </row>
    <row r="20450" spans="2:2" s="221" customFormat="1" ht="12.75" x14ac:dyDescent="0.2">
      <c r="B20450" s="1168"/>
    </row>
    <row r="20451" spans="2:2" s="221" customFormat="1" ht="12.75" x14ac:dyDescent="0.2">
      <c r="B20451" s="1168"/>
    </row>
    <row r="20452" spans="2:2" s="221" customFormat="1" ht="12.75" x14ac:dyDescent="0.2">
      <c r="B20452" s="1168"/>
    </row>
    <row r="20453" spans="2:2" s="221" customFormat="1" ht="12.75" x14ac:dyDescent="0.2">
      <c r="B20453" s="1168"/>
    </row>
    <row r="20454" spans="2:2" s="221" customFormat="1" ht="12.75" x14ac:dyDescent="0.2">
      <c r="B20454" s="1168"/>
    </row>
    <row r="20455" spans="2:2" s="221" customFormat="1" ht="12.75" x14ac:dyDescent="0.2">
      <c r="B20455" s="1168"/>
    </row>
    <row r="20456" spans="2:2" s="221" customFormat="1" ht="12.75" x14ac:dyDescent="0.2">
      <c r="B20456" s="1168"/>
    </row>
    <row r="20457" spans="2:2" s="221" customFormat="1" ht="12.75" x14ac:dyDescent="0.2">
      <c r="B20457" s="1168"/>
    </row>
    <row r="20458" spans="2:2" s="221" customFormat="1" ht="12.75" x14ac:dyDescent="0.2">
      <c r="B20458" s="1168"/>
    </row>
    <row r="20459" spans="2:2" s="221" customFormat="1" ht="12.75" x14ac:dyDescent="0.2">
      <c r="B20459" s="1168"/>
    </row>
    <row r="20460" spans="2:2" s="221" customFormat="1" ht="12.75" x14ac:dyDescent="0.2">
      <c r="B20460" s="1168"/>
    </row>
    <row r="20461" spans="2:2" s="221" customFormat="1" ht="12.75" x14ac:dyDescent="0.2">
      <c r="B20461" s="1168"/>
    </row>
    <row r="20462" spans="2:2" s="221" customFormat="1" ht="12.75" x14ac:dyDescent="0.2">
      <c r="B20462" s="1168"/>
    </row>
    <row r="20463" spans="2:2" s="221" customFormat="1" ht="12.75" x14ac:dyDescent="0.2">
      <c r="B20463" s="1168"/>
    </row>
    <row r="20464" spans="2:2" s="221" customFormat="1" ht="12.75" x14ac:dyDescent="0.2">
      <c r="B20464" s="1168"/>
    </row>
    <row r="20465" spans="2:2" s="221" customFormat="1" ht="12.75" x14ac:dyDescent="0.2">
      <c r="B20465" s="1168"/>
    </row>
    <row r="20466" spans="2:2" s="221" customFormat="1" ht="12.75" x14ac:dyDescent="0.2">
      <c r="B20466" s="1168"/>
    </row>
    <row r="20467" spans="2:2" s="221" customFormat="1" ht="12.75" x14ac:dyDescent="0.2">
      <c r="B20467" s="1168"/>
    </row>
    <row r="20468" spans="2:2" s="221" customFormat="1" ht="12.75" x14ac:dyDescent="0.2">
      <c r="B20468" s="1168"/>
    </row>
    <row r="20469" spans="2:2" s="221" customFormat="1" ht="12.75" x14ac:dyDescent="0.2">
      <c r="B20469" s="1168"/>
    </row>
    <row r="20470" spans="2:2" s="221" customFormat="1" ht="12.75" x14ac:dyDescent="0.2">
      <c r="B20470" s="1168"/>
    </row>
    <row r="20471" spans="2:2" s="221" customFormat="1" ht="12.75" x14ac:dyDescent="0.2">
      <c r="B20471" s="1168"/>
    </row>
    <row r="20472" spans="2:2" s="221" customFormat="1" ht="12.75" x14ac:dyDescent="0.2">
      <c r="B20472" s="1168"/>
    </row>
    <row r="20473" spans="2:2" s="221" customFormat="1" ht="12.75" x14ac:dyDescent="0.2">
      <c r="B20473" s="1168"/>
    </row>
    <row r="20474" spans="2:2" s="221" customFormat="1" ht="12.75" x14ac:dyDescent="0.2">
      <c r="B20474" s="1168"/>
    </row>
    <row r="20475" spans="2:2" s="221" customFormat="1" ht="12.75" x14ac:dyDescent="0.2">
      <c r="B20475" s="1168"/>
    </row>
    <row r="20476" spans="2:2" s="221" customFormat="1" ht="12.75" x14ac:dyDescent="0.2">
      <c r="B20476" s="1168"/>
    </row>
    <row r="20477" spans="2:2" s="221" customFormat="1" ht="12.75" x14ac:dyDescent="0.2">
      <c r="B20477" s="1168"/>
    </row>
    <row r="20478" spans="2:2" s="221" customFormat="1" ht="12.75" x14ac:dyDescent="0.2">
      <c r="B20478" s="1168"/>
    </row>
    <row r="20479" spans="2:2" s="221" customFormat="1" ht="12.75" x14ac:dyDescent="0.2">
      <c r="B20479" s="1168"/>
    </row>
    <row r="20480" spans="2:2" s="221" customFormat="1" ht="12.75" x14ac:dyDescent="0.2">
      <c r="B20480" s="1168"/>
    </row>
    <row r="20481" spans="2:2" s="221" customFormat="1" ht="12.75" x14ac:dyDescent="0.2">
      <c r="B20481" s="1168"/>
    </row>
    <row r="20482" spans="2:2" s="221" customFormat="1" ht="12.75" x14ac:dyDescent="0.2">
      <c r="B20482" s="1168"/>
    </row>
    <row r="20483" spans="2:2" s="221" customFormat="1" ht="12.75" x14ac:dyDescent="0.2">
      <c r="B20483" s="1168"/>
    </row>
    <row r="20484" spans="2:2" s="221" customFormat="1" ht="12.75" x14ac:dyDescent="0.2">
      <c r="B20484" s="1168"/>
    </row>
    <row r="20485" spans="2:2" s="221" customFormat="1" ht="12.75" x14ac:dyDescent="0.2">
      <c r="B20485" s="1168"/>
    </row>
    <row r="20486" spans="2:2" s="221" customFormat="1" ht="12.75" x14ac:dyDescent="0.2">
      <c r="B20486" s="1168"/>
    </row>
    <row r="20487" spans="2:2" s="221" customFormat="1" ht="12.75" x14ac:dyDescent="0.2">
      <c r="B20487" s="1168"/>
    </row>
    <row r="20488" spans="2:2" s="221" customFormat="1" ht="12.75" x14ac:dyDescent="0.2">
      <c r="B20488" s="1168"/>
    </row>
    <row r="20489" spans="2:2" s="221" customFormat="1" ht="12.75" x14ac:dyDescent="0.2">
      <c r="B20489" s="1168"/>
    </row>
    <row r="20490" spans="2:2" s="221" customFormat="1" ht="12.75" x14ac:dyDescent="0.2">
      <c r="B20490" s="1168"/>
    </row>
    <row r="20491" spans="2:2" s="221" customFormat="1" ht="12.75" x14ac:dyDescent="0.2">
      <c r="B20491" s="1168"/>
    </row>
    <row r="20492" spans="2:2" s="221" customFormat="1" ht="12.75" x14ac:dyDescent="0.2">
      <c r="B20492" s="1168"/>
    </row>
    <row r="20493" spans="2:2" s="221" customFormat="1" ht="12.75" x14ac:dyDescent="0.2">
      <c r="B20493" s="1168"/>
    </row>
    <row r="20494" spans="2:2" s="221" customFormat="1" ht="12.75" x14ac:dyDescent="0.2">
      <c r="B20494" s="1168"/>
    </row>
    <row r="20495" spans="2:2" s="221" customFormat="1" ht="12.75" x14ac:dyDescent="0.2">
      <c r="B20495" s="1168"/>
    </row>
    <row r="20496" spans="2:2" s="221" customFormat="1" ht="12.75" x14ac:dyDescent="0.2">
      <c r="B20496" s="1168"/>
    </row>
    <row r="20497" spans="2:2" s="221" customFormat="1" ht="12.75" x14ac:dyDescent="0.2">
      <c r="B20497" s="1168"/>
    </row>
    <row r="20498" spans="2:2" s="221" customFormat="1" ht="12.75" x14ac:dyDescent="0.2">
      <c r="B20498" s="1168"/>
    </row>
    <row r="20499" spans="2:2" s="221" customFormat="1" ht="12.75" x14ac:dyDescent="0.2">
      <c r="B20499" s="1168"/>
    </row>
    <row r="20500" spans="2:2" s="221" customFormat="1" ht="12.75" x14ac:dyDescent="0.2">
      <c r="B20500" s="1168"/>
    </row>
    <row r="20501" spans="2:2" s="221" customFormat="1" ht="12.75" x14ac:dyDescent="0.2">
      <c r="B20501" s="1168"/>
    </row>
    <row r="20502" spans="2:2" s="221" customFormat="1" ht="12.75" x14ac:dyDescent="0.2">
      <c r="B20502" s="1168"/>
    </row>
    <row r="20503" spans="2:2" s="221" customFormat="1" ht="12.75" x14ac:dyDescent="0.2">
      <c r="B20503" s="1168"/>
    </row>
    <row r="20504" spans="2:2" s="221" customFormat="1" ht="12.75" x14ac:dyDescent="0.2">
      <c r="B20504" s="1168"/>
    </row>
    <row r="20505" spans="2:2" s="221" customFormat="1" ht="12.75" x14ac:dyDescent="0.2">
      <c r="B20505" s="1168"/>
    </row>
    <row r="20506" spans="2:2" s="221" customFormat="1" ht="12.75" x14ac:dyDescent="0.2">
      <c r="B20506" s="1168"/>
    </row>
    <row r="20507" spans="2:2" s="221" customFormat="1" ht="12.75" x14ac:dyDescent="0.2">
      <c r="B20507" s="1168"/>
    </row>
    <row r="20508" spans="2:2" s="221" customFormat="1" ht="12.75" x14ac:dyDescent="0.2">
      <c r="B20508" s="1168"/>
    </row>
    <row r="20509" spans="2:2" s="221" customFormat="1" ht="12.75" x14ac:dyDescent="0.2">
      <c r="B20509" s="1168"/>
    </row>
    <row r="20510" spans="2:2" s="221" customFormat="1" ht="12.75" x14ac:dyDescent="0.2">
      <c r="B20510" s="1168"/>
    </row>
    <row r="20511" spans="2:2" s="221" customFormat="1" ht="12.75" x14ac:dyDescent="0.2">
      <c r="B20511" s="1168"/>
    </row>
    <row r="20512" spans="2:2" s="221" customFormat="1" ht="12.75" x14ac:dyDescent="0.2">
      <c r="B20512" s="1168"/>
    </row>
    <row r="20513" spans="2:2" s="221" customFormat="1" ht="12.75" x14ac:dyDescent="0.2">
      <c r="B20513" s="1168"/>
    </row>
    <row r="20514" spans="2:2" s="221" customFormat="1" ht="12.75" x14ac:dyDescent="0.2">
      <c r="B20514" s="1168"/>
    </row>
    <row r="20515" spans="2:2" s="221" customFormat="1" ht="12.75" x14ac:dyDescent="0.2">
      <c r="B20515" s="1168"/>
    </row>
    <row r="20516" spans="2:2" s="221" customFormat="1" ht="12.75" x14ac:dyDescent="0.2">
      <c r="B20516" s="1168"/>
    </row>
    <row r="20517" spans="2:2" s="221" customFormat="1" ht="12.75" x14ac:dyDescent="0.2">
      <c r="B20517" s="1168"/>
    </row>
    <row r="20518" spans="2:2" s="221" customFormat="1" ht="12.75" x14ac:dyDescent="0.2">
      <c r="B20518" s="1168"/>
    </row>
    <row r="20519" spans="2:2" s="221" customFormat="1" ht="12.75" x14ac:dyDescent="0.2">
      <c r="B20519" s="1168"/>
    </row>
    <row r="20520" spans="2:2" s="221" customFormat="1" ht="12.75" x14ac:dyDescent="0.2">
      <c r="B20520" s="1168"/>
    </row>
    <row r="20521" spans="2:2" s="221" customFormat="1" ht="12.75" x14ac:dyDescent="0.2">
      <c r="B20521" s="1168"/>
    </row>
    <row r="20522" spans="2:2" s="221" customFormat="1" ht="12.75" x14ac:dyDescent="0.2">
      <c r="B20522" s="1168"/>
    </row>
    <row r="20523" spans="2:2" s="221" customFormat="1" ht="12.75" x14ac:dyDescent="0.2">
      <c r="B20523" s="1168"/>
    </row>
    <row r="20524" spans="2:2" s="221" customFormat="1" ht="12.75" x14ac:dyDescent="0.2">
      <c r="B20524" s="1168"/>
    </row>
    <row r="20525" spans="2:2" s="221" customFormat="1" ht="12.75" x14ac:dyDescent="0.2">
      <c r="B20525" s="1168"/>
    </row>
    <row r="20526" spans="2:2" s="221" customFormat="1" ht="12.75" x14ac:dyDescent="0.2">
      <c r="B20526" s="1168"/>
    </row>
    <row r="20527" spans="2:2" s="221" customFormat="1" ht="12.75" x14ac:dyDescent="0.2">
      <c r="B20527" s="1168"/>
    </row>
    <row r="20528" spans="2:2" s="221" customFormat="1" ht="12.75" x14ac:dyDescent="0.2">
      <c r="B20528" s="1168"/>
    </row>
    <row r="20529" spans="2:2" s="221" customFormat="1" ht="12.75" x14ac:dyDescent="0.2">
      <c r="B20529" s="1168"/>
    </row>
    <row r="20530" spans="2:2" s="221" customFormat="1" ht="12.75" x14ac:dyDescent="0.2">
      <c r="B20530" s="1168"/>
    </row>
    <row r="20531" spans="2:2" s="221" customFormat="1" ht="12.75" x14ac:dyDescent="0.2">
      <c r="B20531" s="1168"/>
    </row>
    <row r="20532" spans="2:2" s="221" customFormat="1" ht="12.75" x14ac:dyDescent="0.2">
      <c r="B20532" s="1168"/>
    </row>
    <row r="20533" spans="2:2" s="221" customFormat="1" ht="12.75" x14ac:dyDescent="0.2">
      <c r="B20533" s="1168"/>
    </row>
    <row r="20534" spans="2:2" s="221" customFormat="1" ht="12.75" x14ac:dyDescent="0.2">
      <c r="B20534" s="1168"/>
    </row>
    <row r="20535" spans="2:2" s="221" customFormat="1" ht="12.75" x14ac:dyDescent="0.2">
      <c r="B20535" s="1168"/>
    </row>
    <row r="20536" spans="2:2" s="221" customFormat="1" ht="12.75" x14ac:dyDescent="0.2">
      <c r="B20536" s="1168"/>
    </row>
    <row r="20537" spans="2:2" s="221" customFormat="1" ht="12.75" x14ac:dyDescent="0.2">
      <c r="B20537" s="1168"/>
    </row>
    <row r="20538" spans="2:2" s="221" customFormat="1" ht="12.75" x14ac:dyDescent="0.2">
      <c r="B20538" s="1168"/>
    </row>
    <row r="20539" spans="2:2" s="221" customFormat="1" ht="12.75" x14ac:dyDescent="0.2">
      <c r="B20539" s="1168"/>
    </row>
    <row r="20540" spans="2:2" s="221" customFormat="1" ht="12.75" x14ac:dyDescent="0.2">
      <c r="B20540" s="1168"/>
    </row>
    <row r="20541" spans="2:2" s="221" customFormat="1" ht="12.75" x14ac:dyDescent="0.2">
      <c r="B20541" s="1168"/>
    </row>
    <row r="20542" spans="2:2" s="221" customFormat="1" ht="12.75" x14ac:dyDescent="0.2">
      <c r="B20542" s="1168"/>
    </row>
    <row r="20543" spans="2:2" s="221" customFormat="1" ht="12.75" x14ac:dyDescent="0.2">
      <c r="B20543" s="1168"/>
    </row>
    <row r="20544" spans="2:2" s="221" customFormat="1" ht="12.75" x14ac:dyDescent="0.2">
      <c r="B20544" s="1168"/>
    </row>
    <row r="20545" spans="2:2" s="221" customFormat="1" ht="12.75" x14ac:dyDescent="0.2">
      <c r="B20545" s="1168"/>
    </row>
    <row r="20546" spans="2:2" s="221" customFormat="1" ht="12.75" x14ac:dyDescent="0.2">
      <c r="B20546" s="1168"/>
    </row>
    <row r="20547" spans="2:2" s="221" customFormat="1" ht="12.75" x14ac:dyDescent="0.2">
      <c r="B20547" s="1168"/>
    </row>
    <row r="20548" spans="2:2" s="221" customFormat="1" ht="12.75" x14ac:dyDescent="0.2">
      <c r="B20548" s="1168"/>
    </row>
    <row r="20549" spans="2:2" s="221" customFormat="1" ht="12.75" x14ac:dyDescent="0.2">
      <c r="B20549" s="1168"/>
    </row>
    <row r="20550" spans="2:2" s="221" customFormat="1" ht="12.75" x14ac:dyDescent="0.2">
      <c r="B20550" s="1168"/>
    </row>
    <row r="20551" spans="2:2" s="221" customFormat="1" ht="12.75" x14ac:dyDescent="0.2">
      <c r="B20551" s="1168"/>
    </row>
    <row r="20552" spans="2:2" s="221" customFormat="1" ht="12.75" x14ac:dyDescent="0.2">
      <c r="B20552" s="1168"/>
    </row>
    <row r="20553" spans="2:2" s="221" customFormat="1" ht="12.75" x14ac:dyDescent="0.2">
      <c r="B20553" s="1168"/>
    </row>
    <row r="20554" spans="2:2" s="221" customFormat="1" ht="12.75" x14ac:dyDescent="0.2">
      <c r="B20554" s="1168"/>
    </row>
    <row r="20555" spans="2:2" s="221" customFormat="1" ht="12.75" x14ac:dyDescent="0.2">
      <c r="B20555" s="1168"/>
    </row>
    <row r="20556" spans="2:2" s="221" customFormat="1" ht="12.75" x14ac:dyDescent="0.2">
      <c r="B20556" s="1168"/>
    </row>
    <row r="20557" spans="2:2" s="221" customFormat="1" ht="12.75" x14ac:dyDescent="0.2">
      <c r="B20557" s="1168"/>
    </row>
    <row r="20558" spans="2:2" s="221" customFormat="1" ht="12.75" x14ac:dyDescent="0.2">
      <c r="B20558" s="1168"/>
    </row>
    <row r="20559" spans="2:2" s="221" customFormat="1" ht="12.75" x14ac:dyDescent="0.2">
      <c r="B20559" s="1168"/>
    </row>
    <row r="20560" spans="2:2" s="221" customFormat="1" ht="12.75" x14ac:dyDescent="0.2">
      <c r="B20560" s="1168"/>
    </row>
    <row r="20561" spans="2:2" s="221" customFormat="1" ht="12.75" x14ac:dyDescent="0.2">
      <c r="B20561" s="1168"/>
    </row>
    <row r="20562" spans="2:2" s="221" customFormat="1" ht="12.75" x14ac:dyDescent="0.2">
      <c r="B20562" s="1168"/>
    </row>
    <row r="20563" spans="2:2" s="221" customFormat="1" ht="12.75" x14ac:dyDescent="0.2">
      <c r="B20563" s="1168"/>
    </row>
    <row r="20564" spans="2:2" s="221" customFormat="1" ht="12.75" x14ac:dyDescent="0.2">
      <c r="B20564" s="1168"/>
    </row>
    <row r="20565" spans="2:2" s="221" customFormat="1" ht="12.75" x14ac:dyDescent="0.2">
      <c r="B20565" s="1168"/>
    </row>
    <row r="20566" spans="2:2" s="221" customFormat="1" ht="12.75" x14ac:dyDescent="0.2">
      <c r="B20566" s="1168"/>
    </row>
    <row r="20567" spans="2:2" s="221" customFormat="1" ht="12.75" x14ac:dyDescent="0.2">
      <c r="B20567" s="1168"/>
    </row>
    <row r="20568" spans="2:2" s="221" customFormat="1" ht="12.75" x14ac:dyDescent="0.2">
      <c r="B20568" s="1168"/>
    </row>
    <row r="20569" spans="2:2" s="221" customFormat="1" ht="12.75" x14ac:dyDescent="0.2">
      <c r="B20569" s="1168"/>
    </row>
    <row r="20570" spans="2:2" s="221" customFormat="1" ht="12.75" x14ac:dyDescent="0.2">
      <c r="B20570" s="1168"/>
    </row>
    <row r="20571" spans="2:2" s="221" customFormat="1" ht="12.75" x14ac:dyDescent="0.2">
      <c r="B20571" s="1168"/>
    </row>
    <row r="20572" spans="2:2" s="221" customFormat="1" ht="12.75" x14ac:dyDescent="0.2">
      <c r="B20572" s="1168"/>
    </row>
    <row r="20573" spans="2:2" s="221" customFormat="1" ht="12.75" x14ac:dyDescent="0.2">
      <c r="B20573" s="1168"/>
    </row>
    <row r="20574" spans="2:2" s="221" customFormat="1" ht="12.75" x14ac:dyDescent="0.2">
      <c r="B20574" s="1168"/>
    </row>
    <row r="20575" spans="2:2" s="221" customFormat="1" ht="12.75" x14ac:dyDescent="0.2">
      <c r="B20575" s="1168"/>
    </row>
    <row r="20576" spans="2:2" s="221" customFormat="1" ht="12.75" x14ac:dyDescent="0.2">
      <c r="B20576" s="1168"/>
    </row>
    <row r="20577" spans="2:2" s="221" customFormat="1" ht="12.75" x14ac:dyDescent="0.2">
      <c r="B20577" s="1168"/>
    </row>
    <row r="20578" spans="2:2" s="221" customFormat="1" ht="12.75" x14ac:dyDescent="0.2">
      <c r="B20578" s="1168"/>
    </row>
    <row r="20579" spans="2:2" s="221" customFormat="1" ht="12.75" x14ac:dyDescent="0.2">
      <c r="B20579" s="1168"/>
    </row>
    <row r="20580" spans="2:2" s="221" customFormat="1" ht="12.75" x14ac:dyDescent="0.2">
      <c r="B20580" s="1168"/>
    </row>
    <row r="20581" spans="2:2" s="221" customFormat="1" ht="12.75" x14ac:dyDescent="0.2">
      <c r="B20581" s="1168"/>
    </row>
    <row r="20582" spans="2:2" s="221" customFormat="1" ht="12.75" x14ac:dyDescent="0.2">
      <c r="B20582" s="1168"/>
    </row>
    <row r="20583" spans="2:2" s="221" customFormat="1" ht="12.75" x14ac:dyDescent="0.2">
      <c r="B20583" s="1168"/>
    </row>
    <row r="20584" spans="2:2" s="221" customFormat="1" ht="12.75" x14ac:dyDescent="0.2">
      <c r="B20584" s="1168"/>
    </row>
    <row r="20585" spans="2:2" s="221" customFormat="1" ht="12.75" x14ac:dyDescent="0.2">
      <c r="B20585" s="1168"/>
    </row>
    <row r="20586" spans="2:2" s="221" customFormat="1" ht="12.75" x14ac:dyDescent="0.2">
      <c r="B20586" s="1168"/>
    </row>
    <row r="20587" spans="2:2" s="221" customFormat="1" ht="12.75" x14ac:dyDescent="0.2">
      <c r="B20587" s="1168"/>
    </row>
    <row r="20588" spans="2:2" s="221" customFormat="1" ht="12.75" x14ac:dyDescent="0.2">
      <c r="B20588" s="1168"/>
    </row>
    <row r="20589" spans="2:2" s="221" customFormat="1" ht="12.75" x14ac:dyDescent="0.2">
      <c r="B20589" s="1168"/>
    </row>
    <row r="20590" spans="2:2" s="221" customFormat="1" ht="12.75" x14ac:dyDescent="0.2">
      <c r="B20590" s="1168"/>
    </row>
    <row r="20591" spans="2:2" s="221" customFormat="1" ht="12.75" x14ac:dyDescent="0.2">
      <c r="B20591" s="1168"/>
    </row>
    <row r="20592" spans="2:2" s="221" customFormat="1" ht="12.75" x14ac:dyDescent="0.2">
      <c r="B20592" s="1168"/>
    </row>
    <row r="20593" spans="2:2" s="221" customFormat="1" ht="12.75" x14ac:dyDescent="0.2">
      <c r="B20593" s="1168"/>
    </row>
    <row r="20594" spans="2:2" s="221" customFormat="1" ht="12.75" x14ac:dyDescent="0.2">
      <c r="B20594" s="1168"/>
    </row>
    <row r="20595" spans="2:2" s="221" customFormat="1" ht="12.75" x14ac:dyDescent="0.2">
      <c r="B20595" s="1168"/>
    </row>
    <row r="20596" spans="2:2" s="221" customFormat="1" ht="12.75" x14ac:dyDescent="0.2">
      <c r="B20596" s="1168"/>
    </row>
    <row r="20597" spans="2:2" s="221" customFormat="1" ht="12.75" x14ac:dyDescent="0.2">
      <c r="B20597" s="1168"/>
    </row>
    <row r="20598" spans="2:2" s="221" customFormat="1" ht="12.75" x14ac:dyDescent="0.2">
      <c r="B20598" s="1168"/>
    </row>
    <row r="20599" spans="2:2" s="221" customFormat="1" ht="12.75" x14ac:dyDescent="0.2">
      <c r="B20599" s="1168"/>
    </row>
    <row r="20600" spans="2:2" s="221" customFormat="1" ht="12.75" x14ac:dyDescent="0.2">
      <c r="B20600" s="1168"/>
    </row>
    <row r="20601" spans="2:2" s="221" customFormat="1" ht="12.75" x14ac:dyDescent="0.2">
      <c r="B20601" s="1168"/>
    </row>
    <row r="20602" spans="2:2" s="221" customFormat="1" ht="12.75" x14ac:dyDescent="0.2">
      <c r="B20602" s="1168"/>
    </row>
    <row r="20603" spans="2:2" s="221" customFormat="1" ht="12.75" x14ac:dyDescent="0.2">
      <c r="B20603" s="1168"/>
    </row>
    <row r="20604" spans="2:2" s="221" customFormat="1" ht="12.75" x14ac:dyDescent="0.2">
      <c r="B20604" s="1168"/>
    </row>
    <row r="20605" spans="2:2" s="221" customFormat="1" ht="12.75" x14ac:dyDescent="0.2">
      <c r="B20605" s="1168"/>
    </row>
    <row r="20606" spans="2:2" s="221" customFormat="1" ht="12.75" x14ac:dyDescent="0.2">
      <c r="B20606" s="1168"/>
    </row>
    <row r="20607" spans="2:2" s="221" customFormat="1" ht="12.75" x14ac:dyDescent="0.2">
      <c r="B20607" s="1168"/>
    </row>
    <row r="20608" spans="2:2" s="221" customFormat="1" ht="12.75" x14ac:dyDescent="0.2">
      <c r="B20608" s="1168"/>
    </row>
    <row r="20609" spans="2:2" s="221" customFormat="1" ht="12.75" x14ac:dyDescent="0.2">
      <c r="B20609" s="1168"/>
    </row>
    <row r="20610" spans="2:2" s="221" customFormat="1" ht="12.75" x14ac:dyDescent="0.2">
      <c r="B20610" s="1168"/>
    </row>
    <row r="20611" spans="2:2" s="221" customFormat="1" ht="12.75" x14ac:dyDescent="0.2">
      <c r="B20611" s="1168"/>
    </row>
    <row r="20612" spans="2:2" s="221" customFormat="1" ht="12.75" x14ac:dyDescent="0.2">
      <c r="B20612" s="1168"/>
    </row>
    <row r="20613" spans="2:2" s="221" customFormat="1" ht="12.75" x14ac:dyDescent="0.2">
      <c r="B20613" s="1168"/>
    </row>
    <row r="20614" spans="2:2" s="221" customFormat="1" ht="12.75" x14ac:dyDescent="0.2">
      <c r="B20614" s="1168"/>
    </row>
    <row r="20615" spans="2:2" s="221" customFormat="1" ht="12.75" x14ac:dyDescent="0.2">
      <c r="B20615" s="1168"/>
    </row>
    <row r="20616" spans="2:2" s="221" customFormat="1" ht="12.75" x14ac:dyDescent="0.2">
      <c r="B20616" s="1168"/>
    </row>
    <row r="20617" spans="2:2" s="221" customFormat="1" ht="12.75" x14ac:dyDescent="0.2">
      <c r="B20617" s="1168"/>
    </row>
    <row r="20618" spans="2:2" s="221" customFormat="1" ht="12.75" x14ac:dyDescent="0.2">
      <c r="B20618" s="1168"/>
    </row>
    <row r="20619" spans="2:2" s="221" customFormat="1" ht="12.75" x14ac:dyDescent="0.2">
      <c r="B20619" s="1168"/>
    </row>
    <row r="20620" spans="2:2" s="221" customFormat="1" ht="12.75" x14ac:dyDescent="0.2">
      <c r="B20620" s="1168"/>
    </row>
    <row r="20621" spans="2:2" s="221" customFormat="1" ht="12.75" x14ac:dyDescent="0.2">
      <c r="B20621" s="1168"/>
    </row>
    <row r="20622" spans="2:2" s="221" customFormat="1" ht="12.75" x14ac:dyDescent="0.2">
      <c r="B20622" s="1168"/>
    </row>
    <row r="20623" spans="2:2" s="221" customFormat="1" ht="12.75" x14ac:dyDescent="0.2">
      <c r="B20623" s="1168"/>
    </row>
    <row r="20624" spans="2:2" s="221" customFormat="1" ht="12.75" x14ac:dyDescent="0.2">
      <c r="B20624" s="1168"/>
    </row>
    <row r="20625" spans="2:2" s="221" customFormat="1" ht="12.75" x14ac:dyDescent="0.2">
      <c r="B20625" s="1168"/>
    </row>
    <row r="20626" spans="2:2" s="221" customFormat="1" ht="12.75" x14ac:dyDescent="0.2">
      <c r="B20626" s="1168"/>
    </row>
    <row r="20627" spans="2:2" s="221" customFormat="1" ht="12.75" x14ac:dyDescent="0.2">
      <c r="B20627" s="1168"/>
    </row>
    <row r="20628" spans="2:2" s="221" customFormat="1" ht="12.75" x14ac:dyDescent="0.2">
      <c r="B20628" s="1168"/>
    </row>
    <row r="20629" spans="2:2" s="221" customFormat="1" ht="12.75" x14ac:dyDescent="0.2">
      <c r="B20629" s="1168"/>
    </row>
    <row r="20630" spans="2:2" s="221" customFormat="1" ht="12.75" x14ac:dyDescent="0.2">
      <c r="B20630" s="1168"/>
    </row>
    <row r="20631" spans="2:2" s="221" customFormat="1" ht="12.75" x14ac:dyDescent="0.2">
      <c r="B20631" s="1168"/>
    </row>
    <row r="20632" spans="2:2" s="221" customFormat="1" ht="12.75" x14ac:dyDescent="0.2">
      <c r="B20632" s="1168"/>
    </row>
    <row r="20633" spans="2:2" s="221" customFormat="1" ht="12.75" x14ac:dyDescent="0.2">
      <c r="B20633" s="1168"/>
    </row>
    <row r="20634" spans="2:2" s="221" customFormat="1" ht="12.75" x14ac:dyDescent="0.2">
      <c r="B20634" s="1168"/>
    </row>
    <row r="20635" spans="2:2" s="221" customFormat="1" ht="12.75" x14ac:dyDescent="0.2">
      <c r="B20635" s="1168"/>
    </row>
    <row r="20636" spans="2:2" s="221" customFormat="1" ht="12.75" x14ac:dyDescent="0.2">
      <c r="B20636" s="1168"/>
    </row>
    <row r="20637" spans="2:2" s="221" customFormat="1" ht="12.75" x14ac:dyDescent="0.2">
      <c r="B20637" s="1168"/>
    </row>
    <row r="20638" spans="2:2" s="221" customFormat="1" ht="12.75" x14ac:dyDescent="0.2">
      <c r="B20638" s="1168"/>
    </row>
    <row r="20639" spans="2:2" s="221" customFormat="1" ht="12.75" x14ac:dyDescent="0.2">
      <c r="B20639" s="1168"/>
    </row>
    <row r="20640" spans="2:2" s="221" customFormat="1" ht="12.75" x14ac:dyDescent="0.2">
      <c r="B20640" s="1168"/>
    </row>
    <row r="20641" spans="2:2" s="221" customFormat="1" ht="12.75" x14ac:dyDescent="0.2">
      <c r="B20641" s="1168"/>
    </row>
    <row r="20642" spans="2:2" s="221" customFormat="1" ht="12.75" x14ac:dyDescent="0.2">
      <c r="B20642" s="1168"/>
    </row>
    <row r="20643" spans="2:2" s="221" customFormat="1" ht="12.75" x14ac:dyDescent="0.2">
      <c r="B20643" s="1168"/>
    </row>
    <row r="20644" spans="2:2" s="221" customFormat="1" ht="12.75" x14ac:dyDescent="0.2">
      <c r="B20644" s="1168"/>
    </row>
    <row r="20645" spans="2:2" s="221" customFormat="1" ht="12.75" x14ac:dyDescent="0.2">
      <c r="B20645" s="1168"/>
    </row>
    <row r="20646" spans="2:2" s="221" customFormat="1" ht="12.75" x14ac:dyDescent="0.2">
      <c r="B20646" s="1168"/>
    </row>
    <row r="20647" spans="2:2" s="221" customFormat="1" ht="12.75" x14ac:dyDescent="0.2">
      <c r="B20647" s="1168"/>
    </row>
    <row r="20648" spans="2:2" s="221" customFormat="1" ht="12.75" x14ac:dyDescent="0.2">
      <c r="B20648" s="1168"/>
    </row>
    <row r="20649" spans="2:2" s="221" customFormat="1" ht="12.75" x14ac:dyDescent="0.2">
      <c r="B20649" s="1168"/>
    </row>
    <row r="20650" spans="2:2" s="221" customFormat="1" ht="12.75" x14ac:dyDescent="0.2">
      <c r="B20650" s="1168"/>
    </row>
    <row r="20651" spans="2:2" s="221" customFormat="1" ht="12.75" x14ac:dyDescent="0.2">
      <c r="B20651" s="1168"/>
    </row>
    <row r="20652" spans="2:2" s="221" customFormat="1" ht="12.75" x14ac:dyDescent="0.2">
      <c r="B20652" s="1168"/>
    </row>
    <row r="20653" spans="2:2" s="221" customFormat="1" ht="12.75" x14ac:dyDescent="0.2">
      <c r="B20653" s="1168"/>
    </row>
    <row r="20654" spans="2:2" s="221" customFormat="1" ht="12.75" x14ac:dyDescent="0.2">
      <c r="B20654" s="1168"/>
    </row>
    <row r="20655" spans="2:2" s="221" customFormat="1" ht="12.75" x14ac:dyDescent="0.2">
      <c r="B20655" s="1168"/>
    </row>
    <row r="20656" spans="2:2" s="221" customFormat="1" ht="12.75" x14ac:dyDescent="0.2">
      <c r="B20656" s="1168"/>
    </row>
    <row r="20657" spans="2:2" s="221" customFormat="1" ht="12.75" x14ac:dyDescent="0.2">
      <c r="B20657" s="1168"/>
    </row>
    <row r="20658" spans="2:2" s="221" customFormat="1" ht="12.75" x14ac:dyDescent="0.2">
      <c r="B20658" s="1168"/>
    </row>
    <row r="20659" spans="2:2" s="221" customFormat="1" ht="12.75" x14ac:dyDescent="0.2">
      <c r="B20659" s="1168"/>
    </row>
    <row r="20660" spans="2:2" s="221" customFormat="1" ht="12.75" x14ac:dyDescent="0.2">
      <c r="B20660" s="1168"/>
    </row>
    <row r="20661" spans="2:2" s="221" customFormat="1" ht="12.75" x14ac:dyDescent="0.2">
      <c r="B20661" s="1168"/>
    </row>
    <row r="20662" spans="2:2" s="221" customFormat="1" ht="12.75" x14ac:dyDescent="0.2">
      <c r="B20662" s="1168"/>
    </row>
    <row r="20663" spans="2:2" s="221" customFormat="1" ht="12.75" x14ac:dyDescent="0.2">
      <c r="B20663" s="1168"/>
    </row>
    <row r="20664" spans="2:2" s="221" customFormat="1" ht="12.75" x14ac:dyDescent="0.2">
      <c r="B20664" s="1168"/>
    </row>
    <row r="20665" spans="2:2" s="221" customFormat="1" ht="12.75" x14ac:dyDescent="0.2">
      <c r="B20665" s="1168"/>
    </row>
    <row r="20666" spans="2:2" s="221" customFormat="1" ht="12.75" x14ac:dyDescent="0.2">
      <c r="B20666" s="1168"/>
    </row>
    <row r="20667" spans="2:2" s="221" customFormat="1" ht="12.75" x14ac:dyDescent="0.2">
      <c r="B20667" s="1168"/>
    </row>
    <row r="20668" spans="2:2" s="221" customFormat="1" ht="12.75" x14ac:dyDescent="0.2">
      <c r="B20668" s="1168"/>
    </row>
    <row r="20669" spans="2:2" s="221" customFormat="1" ht="12.75" x14ac:dyDescent="0.2">
      <c r="B20669" s="1168"/>
    </row>
    <row r="20670" spans="2:2" s="221" customFormat="1" ht="12.75" x14ac:dyDescent="0.2">
      <c r="B20670" s="1168"/>
    </row>
    <row r="20671" spans="2:2" s="221" customFormat="1" ht="12.75" x14ac:dyDescent="0.2">
      <c r="B20671" s="1168"/>
    </row>
    <row r="20672" spans="2:2" s="221" customFormat="1" ht="12.75" x14ac:dyDescent="0.2">
      <c r="B20672" s="1168"/>
    </row>
    <row r="20673" spans="2:2" s="221" customFormat="1" ht="12.75" x14ac:dyDescent="0.2">
      <c r="B20673" s="1168"/>
    </row>
    <row r="20674" spans="2:2" s="221" customFormat="1" ht="12.75" x14ac:dyDescent="0.2">
      <c r="B20674" s="1168"/>
    </row>
    <row r="20675" spans="2:2" s="221" customFormat="1" ht="12.75" x14ac:dyDescent="0.2">
      <c r="B20675" s="1168"/>
    </row>
    <row r="20676" spans="2:2" s="221" customFormat="1" ht="12.75" x14ac:dyDescent="0.2">
      <c r="B20676" s="1168"/>
    </row>
    <row r="20677" spans="2:2" s="221" customFormat="1" ht="12.75" x14ac:dyDescent="0.2">
      <c r="B20677" s="1168"/>
    </row>
    <row r="20678" spans="2:2" s="221" customFormat="1" ht="12.75" x14ac:dyDescent="0.2">
      <c r="B20678" s="1168"/>
    </row>
    <row r="20679" spans="2:2" s="221" customFormat="1" ht="12.75" x14ac:dyDescent="0.2">
      <c r="B20679" s="1168"/>
    </row>
    <row r="20680" spans="2:2" s="221" customFormat="1" ht="12.75" x14ac:dyDescent="0.2">
      <c r="B20680" s="1168"/>
    </row>
    <row r="20681" spans="2:2" s="221" customFormat="1" ht="12.75" x14ac:dyDescent="0.2">
      <c r="B20681" s="1168"/>
    </row>
    <row r="20682" spans="2:2" s="221" customFormat="1" ht="12.75" x14ac:dyDescent="0.2">
      <c r="B20682" s="1168"/>
    </row>
    <row r="20683" spans="2:2" s="221" customFormat="1" ht="12.75" x14ac:dyDescent="0.2">
      <c r="B20683" s="1168"/>
    </row>
    <row r="20684" spans="2:2" s="221" customFormat="1" ht="12.75" x14ac:dyDescent="0.2">
      <c r="B20684" s="1168"/>
    </row>
    <row r="20685" spans="2:2" s="221" customFormat="1" ht="12.75" x14ac:dyDescent="0.2">
      <c r="B20685" s="1168"/>
    </row>
    <row r="20686" spans="2:2" s="221" customFormat="1" ht="12.75" x14ac:dyDescent="0.2">
      <c r="B20686" s="1168"/>
    </row>
    <row r="20687" spans="2:2" s="221" customFormat="1" ht="12.75" x14ac:dyDescent="0.2">
      <c r="B20687" s="1168"/>
    </row>
    <row r="20688" spans="2:2" s="221" customFormat="1" ht="12.75" x14ac:dyDescent="0.2">
      <c r="B20688" s="1168"/>
    </row>
    <row r="20689" spans="2:2" s="221" customFormat="1" ht="12.75" x14ac:dyDescent="0.2">
      <c r="B20689" s="1168"/>
    </row>
    <row r="20690" spans="2:2" s="221" customFormat="1" ht="12.75" x14ac:dyDescent="0.2">
      <c r="B20690" s="1168"/>
    </row>
    <row r="20691" spans="2:2" s="221" customFormat="1" ht="12.75" x14ac:dyDescent="0.2">
      <c r="B20691" s="1168"/>
    </row>
    <row r="20692" spans="2:2" s="221" customFormat="1" ht="12.75" x14ac:dyDescent="0.2">
      <c r="B20692" s="1168"/>
    </row>
    <row r="20693" spans="2:2" s="221" customFormat="1" ht="12.75" x14ac:dyDescent="0.2">
      <c r="B20693" s="1168"/>
    </row>
    <row r="20694" spans="2:2" s="221" customFormat="1" ht="12.75" x14ac:dyDescent="0.2">
      <c r="B20694" s="1168"/>
    </row>
    <row r="20695" spans="2:2" s="221" customFormat="1" ht="12.75" x14ac:dyDescent="0.2">
      <c r="B20695" s="1168"/>
    </row>
    <row r="20696" spans="2:2" s="221" customFormat="1" ht="12.75" x14ac:dyDescent="0.2">
      <c r="B20696" s="1168"/>
    </row>
    <row r="20697" spans="2:2" s="221" customFormat="1" ht="12.75" x14ac:dyDescent="0.2">
      <c r="B20697" s="1168"/>
    </row>
    <row r="20698" spans="2:2" s="221" customFormat="1" ht="12.75" x14ac:dyDescent="0.2">
      <c r="B20698" s="1168"/>
    </row>
    <row r="20699" spans="2:2" s="221" customFormat="1" ht="12.75" x14ac:dyDescent="0.2">
      <c r="B20699" s="1168"/>
    </row>
    <row r="20700" spans="2:2" s="221" customFormat="1" ht="12.75" x14ac:dyDescent="0.2">
      <c r="B20700" s="1168"/>
    </row>
    <row r="20701" spans="2:2" s="221" customFormat="1" ht="12.75" x14ac:dyDescent="0.2">
      <c r="B20701" s="1168"/>
    </row>
    <row r="20702" spans="2:2" s="221" customFormat="1" ht="12.75" x14ac:dyDescent="0.2">
      <c r="B20702" s="1168"/>
    </row>
    <row r="20703" spans="2:2" s="221" customFormat="1" ht="12.75" x14ac:dyDescent="0.2">
      <c r="B20703" s="1168"/>
    </row>
    <row r="20704" spans="2:2" s="221" customFormat="1" ht="12.75" x14ac:dyDescent="0.2">
      <c r="B20704" s="1168"/>
    </row>
    <row r="20705" spans="2:2" s="221" customFormat="1" ht="12.75" x14ac:dyDescent="0.2">
      <c r="B20705" s="1168"/>
    </row>
    <row r="20706" spans="2:2" s="221" customFormat="1" ht="12.75" x14ac:dyDescent="0.2">
      <c r="B20706" s="1168"/>
    </row>
    <row r="20707" spans="2:2" s="221" customFormat="1" ht="12.75" x14ac:dyDescent="0.2">
      <c r="B20707" s="1168"/>
    </row>
    <row r="20708" spans="2:2" s="221" customFormat="1" ht="12.75" x14ac:dyDescent="0.2">
      <c r="B20708" s="1168"/>
    </row>
    <row r="20709" spans="2:2" s="221" customFormat="1" ht="12.75" x14ac:dyDescent="0.2">
      <c r="B20709" s="1168"/>
    </row>
    <row r="20710" spans="2:2" s="221" customFormat="1" ht="12.75" x14ac:dyDescent="0.2">
      <c r="B20710" s="1168"/>
    </row>
    <row r="20711" spans="2:2" s="221" customFormat="1" ht="12.75" x14ac:dyDescent="0.2">
      <c r="B20711" s="1168"/>
    </row>
    <row r="20712" spans="2:2" s="221" customFormat="1" ht="12.75" x14ac:dyDescent="0.2">
      <c r="B20712" s="1168"/>
    </row>
    <row r="20713" spans="2:2" s="221" customFormat="1" ht="12.75" x14ac:dyDescent="0.2">
      <c r="B20713" s="1168"/>
    </row>
    <row r="20714" spans="2:2" s="221" customFormat="1" ht="12.75" x14ac:dyDescent="0.2">
      <c r="B20714" s="1168"/>
    </row>
    <row r="20715" spans="2:2" s="221" customFormat="1" ht="12.75" x14ac:dyDescent="0.2">
      <c r="B20715" s="1168"/>
    </row>
    <row r="20716" spans="2:2" s="221" customFormat="1" ht="12.75" x14ac:dyDescent="0.2">
      <c r="B20716" s="1168"/>
    </row>
    <row r="20717" spans="2:2" s="221" customFormat="1" ht="12.75" x14ac:dyDescent="0.2">
      <c r="B20717" s="1168"/>
    </row>
    <row r="20718" spans="2:2" s="221" customFormat="1" ht="12.75" x14ac:dyDescent="0.2">
      <c r="B20718" s="1168"/>
    </row>
    <row r="20719" spans="2:2" s="221" customFormat="1" ht="12.75" x14ac:dyDescent="0.2">
      <c r="B20719" s="1168"/>
    </row>
    <row r="20720" spans="2:2" s="221" customFormat="1" ht="12.75" x14ac:dyDescent="0.2">
      <c r="B20720" s="1168"/>
    </row>
    <row r="20721" spans="2:2" s="221" customFormat="1" ht="12.75" x14ac:dyDescent="0.2">
      <c r="B20721" s="1168"/>
    </row>
    <row r="20722" spans="2:2" s="221" customFormat="1" ht="12.75" x14ac:dyDescent="0.2">
      <c r="B20722" s="1168"/>
    </row>
    <row r="20723" spans="2:2" s="221" customFormat="1" ht="12.75" x14ac:dyDescent="0.2">
      <c r="B20723" s="1168"/>
    </row>
    <row r="20724" spans="2:2" s="221" customFormat="1" ht="12.75" x14ac:dyDescent="0.2">
      <c r="B20724" s="1168"/>
    </row>
    <row r="20725" spans="2:2" s="221" customFormat="1" ht="12.75" x14ac:dyDescent="0.2">
      <c r="B20725" s="1168"/>
    </row>
    <row r="20726" spans="2:2" s="221" customFormat="1" ht="12.75" x14ac:dyDescent="0.2">
      <c r="B20726" s="1168"/>
    </row>
    <row r="20727" spans="2:2" s="221" customFormat="1" ht="12.75" x14ac:dyDescent="0.2">
      <c r="B20727" s="1168"/>
    </row>
    <row r="20728" spans="2:2" s="221" customFormat="1" ht="12.75" x14ac:dyDescent="0.2">
      <c r="B20728" s="1168"/>
    </row>
    <row r="20729" spans="2:2" s="221" customFormat="1" ht="12.75" x14ac:dyDescent="0.2">
      <c r="B20729" s="1168"/>
    </row>
    <row r="20730" spans="2:2" s="221" customFormat="1" ht="12.75" x14ac:dyDescent="0.2">
      <c r="B20730" s="1168"/>
    </row>
    <row r="20731" spans="2:2" s="221" customFormat="1" ht="12.75" x14ac:dyDescent="0.2">
      <c r="B20731" s="1168"/>
    </row>
    <row r="20732" spans="2:2" s="221" customFormat="1" ht="12.75" x14ac:dyDescent="0.2">
      <c r="B20732" s="1168"/>
    </row>
    <row r="20733" spans="2:2" s="221" customFormat="1" ht="12.75" x14ac:dyDescent="0.2">
      <c r="B20733" s="1168"/>
    </row>
    <row r="20734" spans="2:2" s="221" customFormat="1" ht="12.75" x14ac:dyDescent="0.2">
      <c r="B20734" s="1168"/>
    </row>
    <row r="20735" spans="2:2" s="221" customFormat="1" ht="12.75" x14ac:dyDescent="0.2">
      <c r="B20735" s="1168"/>
    </row>
    <row r="20736" spans="2:2" s="221" customFormat="1" ht="12.75" x14ac:dyDescent="0.2">
      <c r="B20736" s="1168"/>
    </row>
    <row r="20737" spans="2:2" s="221" customFormat="1" ht="12.75" x14ac:dyDescent="0.2">
      <c r="B20737" s="1168"/>
    </row>
    <row r="20738" spans="2:2" s="221" customFormat="1" ht="12.75" x14ac:dyDescent="0.2">
      <c r="B20738" s="1168"/>
    </row>
    <row r="20739" spans="2:2" s="221" customFormat="1" ht="12.75" x14ac:dyDescent="0.2">
      <c r="B20739" s="1168"/>
    </row>
    <row r="20740" spans="2:2" s="221" customFormat="1" ht="12.75" x14ac:dyDescent="0.2">
      <c r="B20740" s="1168"/>
    </row>
    <row r="20741" spans="2:2" s="221" customFormat="1" ht="12.75" x14ac:dyDescent="0.2">
      <c r="B20741" s="1168"/>
    </row>
    <row r="20742" spans="2:2" s="221" customFormat="1" ht="12.75" x14ac:dyDescent="0.2">
      <c r="B20742" s="1168"/>
    </row>
    <row r="20743" spans="2:2" s="221" customFormat="1" ht="12.75" x14ac:dyDescent="0.2">
      <c r="B20743" s="1168"/>
    </row>
    <row r="20744" spans="2:2" s="221" customFormat="1" ht="12.75" x14ac:dyDescent="0.2">
      <c r="B20744" s="1168"/>
    </row>
    <row r="20745" spans="2:2" s="221" customFormat="1" ht="12.75" x14ac:dyDescent="0.2">
      <c r="B20745" s="1168"/>
    </row>
    <row r="20746" spans="2:2" s="221" customFormat="1" ht="12.75" x14ac:dyDescent="0.2">
      <c r="B20746" s="1168"/>
    </row>
    <row r="20747" spans="2:2" s="221" customFormat="1" ht="12.75" x14ac:dyDescent="0.2">
      <c r="B20747" s="1168"/>
    </row>
    <row r="20748" spans="2:2" s="221" customFormat="1" ht="12.75" x14ac:dyDescent="0.2">
      <c r="B20748" s="1168"/>
    </row>
    <row r="20749" spans="2:2" s="221" customFormat="1" ht="12.75" x14ac:dyDescent="0.2">
      <c r="B20749" s="1168"/>
    </row>
    <row r="20750" spans="2:2" s="221" customFormat="1" ht="12.75" x14ac:dyDescent="0.2">
      <c r="B20750" s="1168"/>
    </row>
    <row r="20751" spans="2:2" s="221" customFormat="1" ht="12.75" x14ac:dyDescent="0.2">
      <c r="B20751" s="1168"/>
    </row>
    <row r="20752" spans="2:2" s="221" customFormat="1" ht="12.75" x14ac:dyDescent="0.2">
      <c r="B20752" s="1168"/>
    </row>
    <row r="20753" spans="2:2" s="221" customFormat="1" ht="12.75" x14ac:dyDescent="0.2">
      <c r="B20753" s="1168"/>
    </row>
    <row r="20754" spans="2:2" s="221" customFormat="1" ht="12.75" x14ac:dyDescent="0.2">
      <c r="B20754" s="1168"/>
    </row>
    <row r="20755" spans="2:2" s="221" customFormat="1" ht="12.75" x14ac:dyDescent="0.2">
      <c r="B20755" s="1168"/>
    </row>
    <row r="20756" spans="2:2" s="221" customFormat="1" ht="12.75" x14ac:dyDescent="0.2">
      <c r="B20756" s="1168"/>
    </row>
    <row r="20757" spans="2:2" s="221" customFormat="1" ht="12.75" x14ac:dyDescent="0.2">
      <c r="B20757" s="1168"/>
    </row>
    <row r="20758" spans="2:2" s="221" customFormat="1" ht="12.75" x14ac:dyDescent="0.2">
      <c r="B20758" s="1168"/>
    </row>
    <row r="20759" spans="2:2" s="221" customFormat="1" ht="12.75" x14ac:dyDescent="0.2">
      <c r="B20759" s="1168"/>
    </row>
    <row r="20760" spans="2:2" s="221" customFormat="1" ht="12.75" x14ac:dyDescent="0.2">
      <c r="B20760" s="1168"/>
    </row>
    <row r="20761" spans="2:2" s="221" customFormat="1" ht="12.75" x14ac:dyDescent="0.2">
      <c r="B20761" s="1168"/>
    </row>
    <row r="20762" spans="2:2" s="221" customFormat="1" ht="12.75" x14ac:dyDescent="0.2">
      <c r="B20762" s="1168"/>
    </row>
    <row r="20763" spans="2:2" s="221" customFormat="1" ht="12.75" x14ac:dyDescent="0.2">
      <c r="B20763" s="1168"/>
    </row>
    <row r="20764" spans="2:2" s="221" customFormat="1" ht="12.75" x14ac:dyDescent="0.2">
      <c r="B20764" s="1168"/>
    </row>
    <row r="20765" spans="2:2" s="221" customFormat="1" ht="12.75" x14ac:dyDescent="0.2">
      <c r="B20765" s="1168"/>
    </row>
    <row r="20766" spans="2:2" s="221" customFormat="1" ht="12.75" x14ac:dyDescent="0.2">
      <c r="B20766" s="1168"/>
    </row>
    <row r="20767" spans="2:2" s="221" customFormat="1" ht="12.75" x14ac:dyDescent="0.2">
      <c r="B20767" s="1168"/>
    </row>
    <row r="20768" spans="2:2" s="221" customFormat="1" ht="12.75" x14ac:dyDescent="0.2">
      <c r="B20768" s="1168"/>
    </row>
    <row r="20769" spans="2:2" s="221" customFormat="1" ht="12.75" x14ac:dyDescent="0.2">
      <c r="B20769" s="1168"/>
    </row>
    <row r="20770" spans="2:2" s="221" customFormat="1" ht="12.75" x14ac:dyDescent="0.2">
      <c r="B20770" s="1168"/>
    </row>
    <row r="20771" spans="2:2" s="221" customFormat="1" ht="12.75" x14ac:dyDescent="0.2">
      <c r="B20771" s="1168"/>
    </row>
    <row r="20772" spans="2:2" s="221" customFormat="1" ht="12.75" x14ac:dyDescent="0.2">
      <c r="B20772" s="1168"/>
    </row>
    <row r="20773" spans="2:2" s="221" customFormat="1" ht="12.75" x14ac:dyDescent="0.2">
      <c r="B20773" s="1168"/>
    </row>
    <row r="20774" spans="2:2" s="221" customFormat="1" ht="12.75" x14ac:dyDescent="0.2">
      <c r="B20774" s="1168"/>
    </row>
    <row r="20775" spans="2:2" s="221" customFormat="1" ht="12.75" x14ac:dyDescent="0.2">
      <c r="B20775" s="1168"/>
    </row>
    <row r="20776" spans="2:2" s="221" customFormat="1" ht="12.75" x14ac:dyDescent="0.2">
      <c r="B20776" s="1168"/>
    </row>
    <row r="20777" spans="2:2" s="221" customFormat="1" ht="12.75" x14ac:dyDescent="0.2">
      <c r="B20777" s="1168"/>
    </row>
    <row r="20778" spans="2:2" s="221" customFormat="1" ht="12.75" x14ac:dyDescent="0.2">
      <c r="B20778" s="1168"/>
    </row>
    <row r="20779" spans="2:2" s="221" customFormat="1" ht="12.75" x14ac:dyDescent="0.2">
      <c r="B20779" s="1168"/>
    </row>
    <row r="20780" spans="2:2" s="221" customFormat="1" ht="12.75" x14ac:dyDescent="0.2">
      <c r="B20780" s="1168"/>
    </row>
    <row r="20781" spans="2:2" s="221" customFormat="1" ht="12.75" x14ac:dyDescent="0.2">
      <c r="B20781" s="1168"/>
    </row>
    <row r="20782" spans="2:2" s="221" customFormat="1" ht="12.75" x14ac:dyDescent="0.2">
      <c r="B20782" s="1168"/>
    </row>
    <row r="20783" spans="2:2" s="221" customFormat="1" ht="12.75" x14ac:dyDescent="0.2">
      <c r="B20783" s="1168"/>
    </row>
    <row r="20784" spans="2:2" s="221" customFormat="1" ht="12.75" x14ac:dyDescent="0.2">
      <c r="B20784" s="1168"/>
    </row>
    <row r="20785" spans="2:2" s="221" customFormat="1" ht="12.75" x14ac:dyDescent="0.2">
      <c r="B20785" s="1168"/>
    </row>
    <row r="20786" spans="2:2" s="221" customFormat="1" ht="12.75" x14ac:dyDescent="0.2">
      <c r="B20786" s="1168"/>
    </row>
    <row r="20787" spans="2:2" s="221" customFormat="1" ht="12.75" x14ac:dyDescent="0.2">
      <c r="B20787" s="1168"/>
    </row>
    <row r="20788" spans="2:2" s="221" customFormat="1" ht="12.75" x14ac:dyDescent="0.2">
      <c r="B20788" s="1168"/>
    </row>
    <row r="20789" spans="2:2" s="221" customFormat="1" ht="12.75" x14ac:dyDescent="0.2">
      <c r="B20789" s="1168"/>
    </row>
    <row r="20790" spans="2:2" s="221" customFormat="1" ht="12.75" x14ac:dyDescent="0.2">
      <c r="B20790" s="1168"/>
    </row>
    <row r="20791" spans="2:2" s="221" customFormat="1" ht="12.75" x14ac:dyDescent="0.2">
      <c r="B20791" s="1168"/>
    </row>
    <row r="20792" spans="2:2" s="221" customFormat="1" ht="12.75" x14ac:dyDescent="0.2">
      <c r="B20792" s="1168"/>
    </row>
    <row r="20793" spans="2:2" s="221" customFormat="1" ht="12.75" x14ac:dyDescent="0.2">
      <c r="B20793" s="1168"/>
    </row>
    <row r="20794" spans="2:2" s="221" customFormat="1" ht="12.75" x14ac:dyDescent="0.2">
      <c r="B20794" s="1168"/>
    </row>
    <row r="20795" spans="2:2" s="221" customFormat="1" ht="12.75" x14ac:dyDescent="0.2">
      <c r="B20795" s="1168"/>
    </row>
    <row r="20796" spans="2:2" s="221" customFormat="1" ht="12.75" x14ac:dyDescent="0.2">
      <c r="B20796" s="1168"/>
    </row>
    <row r="20797" spans="2:2" s="221" customFormat="1" ht="12.75" x14ac:dyDescent="0.2">
      <c r="B20797" s="1168"/>
    </row>
    <row r="20798" spans="2:2" s="221" customFormat="1" ht="12.75" x14ac:dyDescent="0.2">
      <c r="B20798" s="1168"/>
    </row>
    <row r="20799" spans="2:2" s="221" customFormat="1" ht="12.75" x14ac:dyDescent="0.2">
      <c r="B20799" s="1168"/>
    </row>
    <row r="20800" spans="2:2" s="221" customFormat="1" ht="12.75" x14ac:dyDescent="0.2">
      <c r="B20800" s="1168"/>
    </row>
    <row r="20801" spans="2:2" s="221" customFormat="1" ht="12.75" x14ac:dyDescent="0.2">
      <c r="B20801" s="1168"/>
    </row>
    <row r="20802" spans="2:2" s="221" customFormat="1" ht="12.75" x14ac:dyDescent="0.2">
      <c r="B20802" s="1168"/>
    </row>
    <row r="20803" spans="2:2" s="221" customFormat="1" ht="12.75" x14ac:dyDescent="0.2">
      <c r="B20803" s="1168"/>
    </row>
    <row r="20804" spans="2:2" s="221" customFormat="1" ht="12.75" x14ac:dyDescent="0.2">
      <c r="B20804" s="1168"/>
    </row>
    <row r="20805" spans="2:2" s="221" customFormat="1" ht="12.75" x14ac:dyDescent="0.2">
      <c r="B20805" s="1168"/>
    </row>
    <row r="20806" spans="2:2" s="221" customFormat="1" ht="12.75" x14ac:dyDescent="0.2">
      <c r="B20806" s="1168"/>
    </row>
    <row r="20807" spans="2:2" s="221" customFormat="1" ht="12.75" x14ac:dyDescent="0.2">
      <c r="B20807" s="1168"/>
    </row>
    <row r="20808" spans="2:2" s="221" customFormat="1" ht="12.75" x14ac:dyDescent="0.2">
      <c r="B20808" s="1168"/>
    </row>
    <row r="20809" spans="2:2" s="221" customFormat="1" ht="12.75" x14ac:dyDescent="0.2">
      <c r="B20809" s="1168"/>
    </row>
    <row r="20810" spans="2:2" s="221" customFormat="1" ht="12.75" x14ac:dyDescent="0.2">
      <c r="B20810" s="1168"/>
    </row>
    <row r="20811" spans="2:2" s="221" customFormat="1" ht="12.75" x14ac:dyDescent="0.2">
      <c r="B20811" s="1168"/>
    </row>
    <row r="20812" spans="2:2" s="221" customFormat="1" ht="12.75" x14ac:dyDescent="0.2">
      <c r="B20812" s="1168"/>
    </row>
    <row r="20813" spans="2:2" s="221" customFormat="1" ht="12.75" x14ac:dyDescent="0.2">
      <c r="B20813" s="1168"/>
    </row>
    <row r="20814" spans="2:2" s="221" customFormat="1" ht="12.75" x14ac:dyDescent="0.2">
      <c r="B20814" s="1168"/>
    </row>
    <row r="20815" spans="2:2" s="221" customFormat="1" ht="12.75" x14ac:dyDescent="0.2">
      <c r="B20815" s="1168"/>
    </row>
    <row r="20816" spans="2:2" s="221" customFormat="1" ht="12.75" x14ac:dyDescent="0.2">
      <c r="B20816" s="1168"/>
    </row>
    <row r="20817" spans="2:2" s="221" customFormat="1" ht="12.75" x14ac:dyDescent="0.2">
      <c r="B20817" s="1168"/>
    </row>
    <row r="20818" spans="2:2" s="221" customFormat="1" ht="12.75" x14ac:dyDescent="0.2">
      <c r="B20818" s="1168"/>
    </row>
    <row r="20819" spans="2:2" s="221" customFormat="1" ht="12.75" x14ac:dyDescent="0.2">
      <c r="B20819" s="1168"/>
    </row>
    <row r="20820" spans="2:2" s="221" customFormat="1" ht="12.75" x14ac:dyDescent="0.2">
      <c r="B20820" s="1168"/>
    </row>
    <row r="20821" spans="2:2" s="221" customFormat="1" ht="12.75" x14ac:dyDescent="0.2">
      <c r="B20821" s="1168"/>
    </row>
    <row r="20822" spans="2:2" s="221" customFormat="1" ht="12.75" x14ac:dyDescent="0.2">
      <c r="B20822" s="1168"/>
    </row>
    <row r="20823" spans="2:2" s="221" customFormat="1" ht="12.75" x14ac:dyDescent="0.2">
      <c r="B20823" s="1168"/>
    </row>
    <row r="20824" spans="2:2" s="221" customFormat="1" ht="12.75" x14ac:dyDescent="0.2">
      <c r="B20824" s="1168"/>
    </row>
    <row r="20825" spans="2:2" s="221" customFormat="1" ht="12.75" x14ac:dyDescent="0.2">
      <c r="B20825" s="1168"/>
    </row>
    <row r="20826" spans="2:2" s="221" customFormat="1" ht="12.75" x14ac:dyDescent="0.2">
      <c r="B20826" s="1168"/>
    </row>
    <row r="20827" spans="2:2" s="221" customFormat="1" ht="12.75" x14ac:dyDescent="0.2">
      <c r="B20827" s="1168"/>
    </row>
    <row r="20828" spans="2:2" s="221" customFormat="1" ht="12.75" x14ac:dyDescent="0.2">
      <c r="B20828" s="1168"/>
    </row>
    <row r="20829" spans="2:2" s="221" customFormat="1" ht="12.75" x14ac:dyDescent="0.2">
      <c r="B20829" s="1168"/>
    </row>
    <row r="20830" spans="2:2" s="221" customFormat="1" ht="12.75" x14ac:dyDescent="0.2">
      <c r="B20830" s="1168"/>
    </row>
    <row r="20831" spans="2:2" s="221" customFormat="1" ht="12.75" x14ac:dyDescent="0.2">
      <c r="B20831" s="1168"/>
    </row>
    <row r="20832" spans="2:2" s="221" customFormat="1" ht="12.75" x14ac:dyDescent="0.2">
      <c r="B20832" s="1168"/>
    </row>
    <row r="20833" spans="2:2" s="221" customFormat="1" ht="12.75" x14ac:dyDescent="0.2">
      <c r="B20833" s="1168"/>
    </row>
    <row r="20834" spans="2:2" s="221" customFormat="1" ht="12.75" x14ac:dyDescent="0.2">
      <c r="B20834" s="1168"/>
    </row>
    <row r="20835" spans="2:2" s="221" customFormat="1" ht="12.75" x14ac:dyDescent="0.2">
      <c r="B20835" s="1168"/>
    </row>
    <row r="20836" spans="2:2" s="221" customFormat="1" ht="12.75" x14ac:dyDescent="0.2">
      <c r="B20836" s="1168"/>
    </row>
    <row r="20837" spans="2:2" s="221" customFormat="1" ht="12.75" x14ac:dyDescent="0.2">
      <c r="B20837" s="1168"/>
    </row>
    <row r="20838" spans="2:2" s="221" customFormat="1" ht="12.75" x14ac:dyDescent="0.2">
      <c r="B20838" s="1168"/>
    </row>
    <row r="20839" spans="2:2" s="221" customFormat="1" ht="12.75" x14ac:dyDescent="0.2">
      <c r="B20839" s="1168"/>
    </row>
    <row r="20840" spans="2:2" s="221" customFormat="1" ht="12.75" x14ac:dyDescent="0.2">
      <c r="B20840" s="1168"/>
    </row>
    <row r="20841" spans="2:2" s="221" customFormat="1" ht="12.75" x14ac:dyDescent="0.2">
      <c r="B20841" s="1168"/>
    </row>
    <row r="20842" spans="2:2" s="221" customFormat="1" ht="12.75" x14ac:dyDescent="0.2">
      <c r="B20842" s="1168"/>
    </row>
    <row r="20843" spans="2:2" s="221" customFormat="1" ht="12.75" x14ac:dyDescent="0.2">
      <c r="B20843" s="1168"/>
    </row>
    <row r="20844" spans="2:2" s="221" customFormat="1" ht="12.75" x14ac:dyDescent="0.2">
      <c r="B20844" s="1168"/>
    </row>
    <row r="20845" spans="2:2" s="221" customFormat="1" ht="12.75" x14ac:dyDescent="0.2">
      <c r="B20845" s="1168"/>
    </row>
    <row r="20846" spans="2:2" s="221" customFormat="1" ht="12.75" x14ac:dyDescent="0.2">
      <c r="B20846" s="1168"/>
    </row>
    <row r="20847" spans="2:2" s="221" customFormat="1" ht="12.75" x14ac:dyDescent="0.2">
      <c r="B20847" s="1168"/>
    </row>
    <row r="20848" spans="2:2" s="221" customFormat="1" ht="12.75" x14ac:dyDescent="0.2">
      <c r="B20848" s="1168"/>
    </row>
    <row r="20849" spans="2:2" s="221" customFormat="1" ht="12.75" x14ac:dyDescent="0.2">
      <c r="B20849" s="1168"/>
    </row>
    <row r="20850" spans="2:2" s="221" customFormat="1" ht="12.75" x14ac:dyDescent="0.2">
      <c r="B20850" s="1168"/>
    </row>
    <row r="20851" spans="2:2" s="221" customFormat="1" ht="12.75" x14ac:dyDescent="0.2">
      <c r="B20851" s="1168"/>
    </row>
    <row r="20852" spans="2:2" s="221" customFormat="1" ht="12.75" x14ac:dyDescent="0.2">
      <c r="B20852" s="1168"/>
    </row>
    <row r="20853" spans="2:2" s="221" customFormat="1" ht="12.75" x14ac:dyDescent="0.2">
      <c r="B20853" s="1168"/>
    </row>
    <row r="20854" spans="2:2" s="221" customFormat="1" ht="12.75" x14ac:dyDescent="0.2">
      <c r="B20854" s="1168"/>
    </row>
    <row r="20855" spans="2:2" s="221" customFormat="1" ht="12.75" x14ac:dyDescent="0.2">
      <c r="B20855" s="1168"/>
    </row>
    <row r="20856" spans="2:2" s="221" customFormat="1" ht="12.75" x14ac:dyDescent="0.2">
      <c r="B20856" s="1168"/>
    </row>
    <row r="20857" spans="2:2" s="221" customFormat="1" ht="12.75" x14ac:dyDescent="0.2">
      <c r="B20857" s="1168"/>
    </row>
    <row r="20858" spans="2:2" s="221" customFormat="1" ht="12.75" x14ac:dyDescent="0.2">
      <c r="B20858" s="1168"/>
    </row>
    <row r="20859" spans="2:2" s="221" customFormat="1" ht="12.75" x14ac:dyDescent="0.2">
      <c r="B20859" s="1168"/>
    </row>
    <row r="20860" spans="2:2" s="221" customFormat="1" ht="12.75" x14ac:dyDescent="0.2">
      <c r="B20860" s="1168"/>
    </row>
    <row r="20861" spans="2:2" s="221" customFormat="1" ht="12.75" x14ac:dyDescent="0.2">
      <c r="B20861" s="1168"/>
    </row>
    <row r="20862" spans="2:2" s="221" customFormat="1" ht="12.75" x14ac:dyDescent="0.2">
      <c r="B20862" s="1168"/>
    </row>
    <row r="20863" spans="2:2" s="221" customFormat="1" ht="12.75" x14ac:dyDescent="0.2">
      <c r="B20863" s="1168"/>
    </row>
    <row r="20864" spans="2:2" s="221" customFormat="1" ht="12.75" x14ac:dyDescent="0.2">
      <c r="B20864" s="1168"/>
    </row>
    <row r="20865" spans="2:2" s="221" customFormat="1" ht="12.75" x14ac:dyDescent="0.2">
      <c r="B20865" s="1168"/>
    </row>
    <row r="20866" spans="2:2" s="221" customFormat="1" ht="12.75" x14ac:dyDescent="0.2">
      <c r="B20866" s="1168"/>
    </row>
    <row r="20867" spans="2:2" s="221" customFormat="1" ht="12.75" x14ac:dyDescent="0.2">
      <c r="B20867" s="1168"/>
    </row>
    <row r="20868" spans="2:2" s="221" customFormat="1" ht="12.75" x14ac:dyDescent="0.2">
      <c r="B20868" s="1168"/>
    </row>
    <row r="20869" spans="2:2" s="221" customFormat="1" ht="12.75" x14ac:dyDescent="0.2">
      <c r="B20869" s="1168"/>
    </row>
    <row r="20870" spans="2:2" s="221" customFormat="1" ht="12.75" x14ac:dyDescent="0.2">
      <c r="B20870" s="1168"/>
    </row>
    <row r="20871" spans="2:2" s="221" customFormat="1" ht="12.75" x14ac:dyDescent="0.2">
      <c r="B20871" s="1168"/>
    </row>
    <row r="20872" spans="2:2" s="221" customFormat="1" ht="12.75" x14ac:dyDescent="0.2">
      <c r="B20872" s="1168"/>
    </row>
    <row r="20873" spans="2:2" s="221" customFormat="1" ht="12.75" x14ac:dyDescent="0.2">
      <c r="B20873" s="1168"/>
    </row>
    <row r="20874" spans="2:2" s="221" customFormat="1" ht="12.75" x14ac:dyDescent="0.2">
      <c r="B20874" s="1168"/>
    </row>
    <row r="20875" spans="2:2" s="221" customFormat="1" ht="12.75" x14ac:dyDescent="0.2">
      <c r="B20875" s="1168"/>
    </row>
    <row r="20876" spans="2:2" s="221" customFormat="1" ht="12.75" x14ac:dyDescent="0.2">
      <c r="B20876" s="1168"/>
    </row>
    <row r="20877" spans="2:2" s="221" customFormat="1" ht="12.75" x14ac:dyDescent="0.2">
      <c r="B20877" s="1168"/>
    </row>
    <row r="20878" spans="2:2" s="221" customFormat="1" ht="12.75" x14ac:dyDescent="0.2">
      <c r="B20878" s="1168"/>
    </row>
    <row r="20879" spans="2:2" s="221" customFormat="1" ht="12.75" x14ac:dyDescent="0.2">
      <c r="B20879" s="1168"/>
    </row>
    <row r="20880" spans="2:2" s="221" customFormat="1" ht="12.75" x14ac:dyDescent="0.2">
      <c r="B20880" s="1168"/>
    </row>
    <row r="20881" spans="2:2" s="221" customFormat="1" ht="12.75" x14ac:dyDescent="0.2">
      <c r="B20881" s="1168"/>
    </row>
    <row r="20882" spans="2:2" s="221" customFormat="1" ht="12.75" x14ac:dyDescent="0.2">
      <c r="B20882" s="1168"/>
    </row>
    <row r="20883" spans="2:2" s="221" customFormat="1" ht="12.75" x14ac:dyDescent="0.2">
      <c r="B20883" s="1168"/>
    </row>
    <row r="20884" spans="2:2" s="221" customFormat="1" ht="12.75" x14ac:dyDescent="0.2">
      <c r="B20884" s="1168"/>
    </row>
    <row r="20885" spans="2:2" s="221" customFormat="1" ht="12.75" x14ac:dyDescent="0.2">
      <c r="B20885" s="1168"/>
    </row>
    <row r="20886" spans="2:2" s="221" customFormat="1" ht="12.75" x14ac:dyDescent="0.2">
      <c r="B20886" s="1168"/>
    </row>
    <row r="20887" spans="2:2" s="221" customFormat="1" ht="12.75" x14ac:dyDescent="0.2">
      <c r="B20887" s="1168"/>
    </row>
    <row r="20888" spans="2:2" s="221" customFormat="1" ht="12.75" x14ac:dyDescent="0.2">
      <c r="B20888" s="1168"/>
    </row>
    <row r="20889" spans="2:2" s="221" customFormat="1" ht="12.75" x14ac:dyDescent="0.2">
      <c r="B20889" s="1168"/>
    </row>
    <row r="20890" spans="2:2" s="221" customFormat="1" ht="12.75" x14ac:dyDescent="0.2">
      <c r="B20890" s="1168"/>
    </row>
    <row r="20891" spans="2:2" s="221" customFormat="1" ht="12.75" x14ac:dyDescent="0.2">
      <c r="B20891" s="1168"/>
    </row>
    <row r="20892" spans="2:2" s="221" customFormat="1" ht="12.75" x14ac:dyDescent="0.2">
      <c r="B20892" s="1168"/>
    </row>
    <row r="20893" spans="2:2" s="221" customFormat="1" ht="12.75" x14ac:dyDescent="0.2">
      <c r="B20893" s="1168"/>
    </row>
    <row r="20894" spans="2:2" s="221" customFormat="1" ht="12.75" x14ac:dyDescent="0.2">
      <c r="B20894" s="1168"/>
    </row>
    <row r="20895" spans="2:2" s="221" customFormat="1" ht="12.75" x14ac:dyDescent="0.2">
      <c r="B20895" s="1168"/>
    </row>
    <row r="20896" spans="2:2" s="221" customFormat="1" ht="12.75" x14ac:dyDescent="0.2">
      <c r="B20896" s="1168"/>
    </row>
    <row r="20897" spans="2:2" s="221" customFormat="1" ht="12.75" x14ac:dyDescent="0.2">
      <c r="B20897" s="1168"/>
    </row>
    <row r="20898" spans="2:2" s="221" customFormat="1" ht="12.75" x14ac:dyDescent="0.2">
      <c r="B20898" s="1168"/>
    </row>
    <row r="20899" spans="2:2" s="221" customFormat="1" ht="12.75" x14ac:dyDescent="0.2">
      <c r="B20899" s="1168"/>
    </row>
    <row r="20900" spans="2:2" s="221" customFormat="1" ht="12.75" x14ac:dyDescent="0.2">
      <c r="B20900" s="1168"/>
    </row>
    <row r="20901" spans="2:2" s="221" customFormat="1" ht="12.75" x14ac:dyDescent="0.2">
      <c r="B20901" s="1168"/>
    </row>
    <row r="20902" spans="2:2" s="221" customFormat="1" ht="12.75" x14ac:dyDescent="0.2">
      <c r="B20902" s="1168"/>
    </row>
    <row r="20903" spans="2:2" s="221" customFormat="1" ht="12.75" x14ac:dyDescent="0.2">
      <c r="B20903" s="1168"/>
    </row>
    <row r="20904" spans="2:2" s="221" customFormat="1" ht="12.75" x14ac:dyDescent="0.2">
      <c r="B20904" s="1168"/>
    </row>
    <row r="20905" spans="2:2" s="221" customFormat="1" ht="12.75" x14ac:dyDescent="0.2">
      <c r="B20905" s="1168"/>
    </row>
    <row r="20906" spans="2:2" s="221" customFormat="1" ht="12.75" x14ac:dyDescent="0.2">
      <c r="B20906" s="1168"/>
    </row>
    <row r="20907" spans="2:2" s="221" customFormat="1" ht="12.75" x14ac:dyDescent="0.2">
      <c r="B20907" s="1168"/>
    </row>
    <row r="20908" spans="2:2" s="221" customFormat="1" ht="12.75" x14ac:dyDescent="0.2">
      <c r="B20908" s="1168"/>
    </row>
    <row r="20909" spans="2:2" s="221" customFormat="1" ht="12.75" x14ac:dyDescent="0.2">
      <c r="B20909" s="1168"/>
    </row>
    <row r="20910" spans="2:2" s="221" customFormat="1" ht="12.75" x14ac:dyDescent="0.2">
      <c r="B20910" s="1168"/>
    </row>
    <row r="20911" spans="2:2" s="221" customFormat="1" ht="12.75" x14ac:dyDescent="0.2">
      <c r="B20911" s="1168"/>
    </row>
    <row r="20912" spans="2:2" s="221" customFormat="1" ht="12.75" x14ac:dyDescent="0.2">
      <c r="B20912" s="1168"/>
    </row>
    <row r="20913" spans="2:2" s="221" customFormat="1" ht="12.75" x14ac:dyDescent="0.2">
      <c r="B20913" s="1168"/>
    </row>
    <row r="20914" spans="2:2" s="221" customFormat="1" ht="12.75" x14ac:dyDescent="0.2">
      <c r="B20914" s="1168"/>
    </row>
    <row r="20915" spans="2:2" s="221" customFormat="1" ht="12.75" x14ac:dyDescent="0.2">
      <c r="B20915" s="1168"/>
    </row>
    <row r="20916" spans="2:2" s="221" customFormat="1" ht="12.75" x14ac:dyDescent="0.2">
      <c r="B20916" s="1168"/>
    </row>
    <row r="20917" spans="2:2" s="221" customFormat="1" ht="12.75" x14ac:dyDescent="0.2">
      <c r="B20917" s="1168"/>
    </row>
    <row r="20918" spans="2:2" s="221" customFormat="1" ht="12.75" x14ac:dyDescent="0.2">
      <c r="B20918" s="1168"/>
    </row>
    <row r="20919" spans="2:2" s="221" customFormat="1" ht="12.75" x14ac:dyDescent="0.2">
      <c r="B20919" s="1168"/>
    </row>
    <row r="20920" spans="2:2" s="221" customFormat="1" ht="12.75" x14ac:dyDescent="0.2">
      <c r="B20920" s="1168"/>
    </row>
    <row r="20921" spans="2:2" s="221" customFormat="1" ht="12.75" x14ac:dyDescent="0.2">
      <c r="B20921" s="1168"/>
    </row>
    <row r="20922" spans="2:2" s="221" customFormat="1" ht="12.75" x14ac:dyDescent="0.2">
      <c r="B20922" s="1168"/>
    </row>
    <row r="20923" spans="2:2" s="221" customFormat="1" ht="12.75" x14ac:dyDescent="0.2">
      <c r="B20923" s="1168"/>
    </row>
    <row r="20924" spans="2:2" s="221" customFormat="1" ht="12.75" x14ac:dyDescent="0.2">
      <c r="B20924" s="1168"/>
    </row>
    <row r="20925" spans="2:2" s="221" customFormat="1" ht="12.75" x14ac:dyDescent="0.2">
      <c r="B20925" s="1168"/>
    </row>
    <row r="20926" spans="2:2" s="221" customFormat="1" ht="12.75" x14ac:dyDescent="0.2">
      <c r="B20926" s="1168"/>
    </row>
    <row r="20927" spans="2:2" s="221" customFormat="1" ht="12.75" x14ac:dyDescent="0.2">
      <c r="B20927" s="1168"/>
    </row>
    <row r="20928" spans="2:2" s="221" customFormat="1" ht="12.75" x14ac:dyDescent="0.2">
      <c r="B20928" s="1168"/>
    </row>
    <row r="20929" spans="2:2" s="221" customFormat="1" ht="12.75" x14ac:dyDescent="0.2">
      <c r="B20929" s="1168"/>
    </row>
    <row r="20930" spans="2:2" s="221" customFormat="1" ht="12.75" x14ac:dyDescent="0.2">
      <c r="B20930" s="1168"/>
    </row>
    <row r="20931" spans="2:2" s="221" customFormat="1" ht="12.75" x14ac:dyDescent="0.2">
      <c r="B20931" s="1168"/>
    </row>
    <row r="20932" spans="2:2" s="221" customFormat="1" ht="12.75" x14ac:dyDescent="0.2">
      <c r="B20932" s="1168"/>
    </row>
    <row r="20933" spans="2:2" s="221" customFormat="1" ht="12.75" x14ac:dyDescent="0.2">
      <c r="B20933" s="1168"/>
    </row>
    <row r="20934" spans="2:2" s="221" customFormat="1" ht="12.75" x14ac:dyDescent="0.2">
      <c r="B20934" s="1168"/>
    </row>
    <row r="20935" spans="2:2" s="221" customFormat="1" ht="12.75" x14ac:dyDescent="0.2">
      <c r="B20935" s="1168"/>
    </row>
    <row r="20936" spans="2:2" s="221" customFormat="1" ht="12.75" x14ac:dyDescent="0.2">
      <c r="B20936" s="1168"/>
    </row>
    <row r="20937" spans="2:2" s="221" customFormat="1" ht="12.75" x14ac:dyDescent="0.2">
      <c r="B20937" s="1168"/>
    </row>
    <row r="20938" spans="2:2" s="221" customFormat="1" ht="12.75" x14ac:dyDescent="0.2">
      <c r="B20938" s="1168"/>
    </row>
    <row r="20939" spans="2:2" s="221" customFormat="1" ht="12.75" x14ac:dyDescent="0.2">
      <c r="B20939" s="1168"/>
    </row>
    <row r="20940" spans="2:2" s="221" customFormat="1" ht="12.75" x14ac:dyDescent="0.2">
      <c r="B20940" s="1168"/>
    </row>
    <row r="20941" spans="2:2" s="221" customFormat="1" ht="12.75" x14ac:dyDescent="0.2">
      <c r="B20941" s="1168"/>
    </row>
    <row r="20942" spans="2:2" s="221" customFormat="1" ht="12.75" x14ac:dyDescent="0.2">
      <c r="B20942" s="1168"/>
    </row>
    <row r="20943" spans="2:2" s="221" customFormat="1" ht="12.75" x14ac:dyDescent="0.2">
      <c r="B20943" s="1168"/>
    </row>
    <row r="20944" spans="2:2" s="221" customFormat="1" ht="12.75" x14ac:dyDescent="0.2">
      <c r="B20944" s="1168"/>
    </row>
    <row r="20945" spans="2:2" s="221" customFormat="1" ht="12.75" x14ac:dyDescent="0.2">
      <c r="B20945" s="1168"/>
    </row>
    <row r="20946" spans="2:2" s="221" customFormat="1" ht="12.75" x14ac:dyDescent="0.2">
      <c r="B20946" s="1168"/>
    </row>
    <row r="20947" spans="2:2" s="221" customFormat="1" ht="12.75" x14ac:dyDescent="0.2">
      <c r="B20947" s="1168"/>
    </row>
    <row r="20948" spans="2:2" s="221" customFormat="1" ht="12.75" x14ac:dyDescent="0.2">
      <c r="B20948" s="1168"/>
    </row>
    <row r="20949" spans="2:2" s="221" customFormat="1" ht="12.75" x14ac:dyDescent="0.2">
      <c r="B20949" s="1168"/>
    </row>
    <row r="20950" spans="2:2" s="221" customFormat="1" ht="12.75" x14ac:dyDescent="0.2">
      <c r="B20950" s="1168"/>
    </row>
    <row r="20951" spans="2:2" s="221" customFormat="1" ht="12.75" x14ac:dyDescent="0.2">
      <c r="B20951" s="1168"/>
    </row>
    <row r="20952" spans="2:2" s="221" customFormat="1" ht="12.75" x14ac:dyDescent="0.2">
      <c r="B20952" s="1168"/>
    </row>
    <row r="20953" spans="2:2" s="221" customFormat="1" ht="12.75" x14ac:dyDescent="0.2">
      <c r="B20953" s="1168"/>
    </row>
    <row r="20954" spans="2:2" s="221" customFormat="1" ht="12.75" x14ac:dyDescent="0.2">
      <c r="B20954" s="1168"/>
    </row>
    <row r="20955" spans="2:2" s="221" customFormat="1" ht="12.75" x14ac:dyDescent="0.2">
      <c r="B20955" s="1168"/>
    </row>
    <row r="20956" spans="2:2" s="221" customFormat="1" ht="12.75" x14ac:dyDescent="0.2">
      <c r="B20956" s="1168"/>
    </row>
    <row r="20957" spans="2:2" s="221" customFormat="1" ht="12.75" x14ac:dyDescent="0.2">
      <c r="B20957" s="1168"/>
    </row>
    <row r="20958" spans="2:2" s="221" customFormat="1" ht="12.75" x14ac:dyDescent="0.2">
      <c r="B20958" s="1168"/>
    </row>
    <row r="20959" spans="2:2" s="221" customFormat="1" ht="12.75" x14ac:dyDescent="0.2">
      <c r="B20959" s="1168"/>
    </row>
    <row r="20960" spans="2:2" s="221" customFormat="1" ht="12.75" x14ac:dyDescent="0.2">
      <c r="B20960" s="1168"/>
    </row>
    <row r="20961" spans="2:2" s="221" customFormat="1" ht="12.75" x14ac:dyDescent="0.2">
      <c r="B20961" s="1168"/>
    </row>
    <row r="20962" spans="2:2" s="221" customFormat="1" ht="12.75" x14ac:dyDescent="0.2">
      <c r="B20962" s="1168"/>
    </row>
    <row r="20963" spans="2:2" s="221" customFormat="1" ht="12.75" x14ac:dyDescent="0.2">
      <c r="B20963" s="1168"/>
    </row>
    <row r="20964" spans="2:2" s="221" customFormat="1" ht="12.75" x14ac:dyDescent="0.2">
      <c r="B20964" s="1168"/>
    </row>
    <row r="20965" spans="2:2" s="221" customFormat="1" ht="12.75" x14ac:dyDescent="0.2">
      <c r="B20965" s="1168"/>
    </row>
    <row r="20966" spans="2:2" s="221" customFormat="1" ht="12.75" x14ac:dyDescent="0.2">
      <c r="B20966" s="1168"/>
    </row>
    <row r="20967" spans="2:2" s="221" customFormat="1" ht="12.75" x14ac:dyDescent="0.2">
      <c r="B20967" s="1168"/>
    </row>
    <row r="20968" spans="2:2" s="221" customFormat="1" ht="12.75" x14ac:dyDescent="0.2">
      <c r="B20968" s="1168"/>
    </row>
    <row r="20969" spans="2:2" s="221" customFormat="1" ht="12.75" x14ac:dyDescent="0.2">
      <c r="B20969" s="1168"/>
    </row>
    <row r="20970" spans="2:2" s="221" customFormat="1" ht="12.75" x14ac:dyDescent="0.2">
      <c r="B20970" s="1168"/>
    </row>
    <row r="20971" spans="2:2" s="221" customFormat="1" ht="12.75" x14ac:dyDescent="0.2">
      <c r="B20971" s="1168"/>
    </row>
    <row r="20972" spans="2:2" s="221" customFormat="1" ht="12.75" x14ac:dyDescent="0.2">
      <c r="B20972" s="1168"/>
    </row>
    <row r="20973" spans="2:2" s="221" customFormat="1" ht="12.75" x14ac:dyDescent="0.2">
      <c r="B20973" s="1168"/>
    </row>
    <row r="20974" spans="2:2" s="221" customFormat="1" ht="12.75" x14ac:dyDescent="0.2">
      <c r="B20974" s="1168"/>
    </row>
    <row r="20975" spans="2:2" s="221" customFormat="1" ht="12.75" x14ac:dyDescent="0.2">
      <c r="B20975" s="1168"/>
    </row>
    <row r="20976" spans="2:2" s="221" customFormat="1" ht="12.75" x14ac:dyDescent="0.2">
      <c r="B20976" s="1168"/>
    </row>
    <row r="20977" spans="2:2" s="221" customFormat="1" ht="12.75" x14ac:dyDescent="0.2">
      <c r="B20977" s="1168"/>
    </row>
    <row r="20978" spans="2:2" s="221" customFormat="1" ht="12.75" x14ac:dyDescent="0.2">
      <c r="B20978" s="1168"/>
    </row>
    <row r="20979" spans="2:2" s="221" customFormat="1" ht="12.75" x14ac:dyDescent="0.2">
      <c r="B20979" s="1168"/>
    </row>
    <row r="20980" spans="2:2" s="221" customFormat="1" ht="12.75" x14ac:dyDescent="0.2">
      <c r="B20980" s="1168"/>
    </row>
    <row r="20981" spans="2:2" s="221" customFormat="1" ht="12.75" x14ac:dyDescent="0.2">
      <c r="B20981" s="1168"/>
    </row>
    <row r="20982" spans="2:2" s="221" customFormat="1" ht="12.75" x14ac:dyDescent="0.2">
      <c r="B20982" s="1168"/>
    </row>
    <row r="20983" spans="2:2" s="221" customFormat="1" ht="12.75" x14ac:dyDescent="0.2">
      <c r="B20983" s="1168"/>
    </row>
    <row r="20984" spans="2:2" s="221" customFormat="1" ht="12.75" x14ac:dyDescent="0.2">
      <c r="B20984" s="1168"/>
    </row>
    <row r="20985" spans="2:2" s="221" customFormat="1" ht="12.75" x14ac:dyDescent="0.2">
      <c r="B20985" s="1168"/>
    </row>
    <row r="20986" spans="2:2" s="221" customFormat="1" ht="12.75" x14ac:dyDescent="0.2">
      <c r="B20986" s="1168"/>
    </row>
    <row r="20987" spans="2:2" s="221" customFormat="1" ht="12.75" x14ac:dyDescent="0.2">
      <c r="B20987" s="1168"/>
    </row>
    <row r="20988" spans="2:2" s="221" customFormat="1" ht="12.75" x14ac:dyDescent="0.2">
      <c r="B20988" s="1168"/>
    </row>
    <row r="20989" spans="2:2" s="221" customFormat="1" ht="12.75" x14ac:dyDescent="0.2">
      <c r="B20989" s="1168"/>
    </row>
    <row r="20990" spans="2:2" s="221" customFormat="1" ht="12.75" x14ac:dyDescent="0.2">
      <c r="B20990" s="1168"/>
    </row>
    <row r="20991" spans="2:2" s="221" customFormat="1" ht="12.75" x14ac:dyDescent="0.2">
      <c r="B20991" s="1168"/>
    </row>
    <row r="20992" spans="2:2" s="221" customFormat="1" ht="12.75" x14ac:dyDescent="0.2">
      <c r="B20992" s="1168"/>
    </row>
    <row r="20993" spans="2:2" s="221" customFormat="1" ht="12.75" x14ac:dyDescent="0.2">
      <c r="B20993" s="1168"/>
    </row>
    <row r="20994" spans="2:2" s="221" customFormat="1" ht="12.75" x14ac:dyDescent="0.2">
      <c r="B20994" s="1168"/>
    </row>
    <row r="20995" spans="2:2" s="221" customFormat="1" ht="12.75" x14ac:dyDescent="0.2">
      <c r="B20995" s="1168"/>
    </row>
    <row r="20996" spans="2:2" s="221" customFormat="1" ht="12.75" x14ac:dyDescent="0.2">
      <c r="B20996" s="1168"/>
    </row>
    <row r="20997" spans="2:2" s="221" customFormat="1" ht="12.75" x14ac:dyDescent="0.2">
      <c r="B20997" s="1168"/>
    </row>
    <row r="20998" spans="2:2" s="221" customFormat="1" ht="12.75" x14ac:dyDescent="0.2">
      <c r="B20998" s="1168"/>
    </row>
    <row r="20999" spans="2:2" s="221" customFormat="1" ht="12.75" x14ac:dyDescent="0.2">
      <c r="B20999" s="1168"/>
    </row>
    <row r="21000" spans="2:2" s="221" customFormat="1" ht="12.75" x14ac:dyDescent="0.2">
      <c r="B21000" s="1168"/>
    </row>
    <row r="21001" spans="2:2" s="221" customFormat="1" ht="12.75" x14ac:dyDescent="0.2">
      <c r="B21001" s="1168"/>
    </row>
    <row r="21002" spans="2:2" s="221" customFormat="1" ht="12.75" x14ac:dyDescent="0.2">
      <c r="B21002" s="1168"/>
    </row>
    <row r="21003" spans="2:2" s="221" customFormat="1" ht="12.75" x14ac:dyDescent="0.2">
      <c r="B21003" s="1168"/>
    </row>
    <row r="21004" spans="2:2" s="221" customFormat="1" ht="12.75" x14ac:dyDescent="0.2">
      <c r="B21004" s="1168"/>
    </row>
    <row r="21005" spans="2:2" s="221" customFormat="1" ht="12.75" x14ac:dyDescent="0.2">
      <c r="B21005" s="1168"/>
    </row>
    <row r="21006" spans="2:2" s="221" customFormat="1" ht="12.75" x14ac:dyDescent="0.2">
      <c r="B21006" s="1168"/>
    </row>
    <row r="21007" spans="2:2" s="221" customFormat="1" ht="12.75" x14ac:dyDescent="0.2">
      <c r="B21007" s="1168"/>
    </row>
    <row r="21008" spans="2:2" s="221" customFormat="1" ht="12.75" x14ac:dyDescent="0.2">
      <c r="B21008" s="1168"/>
    </row>
    <row r="21009" spans="2:2" s="221" customFormat="1" ht="12.75" x14ac:dyDescent="0.2">
      <c r="B21009" s="1168"/>
    </row>
    <row r="21010" spans="2:2" s="221" customFormat="1" ht="12.75" x14ac:dyDescent="0.2">
      <c r="B21010" s="1168"/>
    </row>
    <row r="21011" spans="2:2" s="221" customFormat="1" ht="12.75" x14ac:dyDescent="0.2">
      <c r="B21011" s="1168"/>
    </row>
    <row r="21012" spans="2:2" s="221" customFormat="1" ht="12.75" x14ac:dyDescent="0.2">
      <c r="B21012" s="1168"/>
    </row>
    <row r="21013" spans="2:2" s="221" customFormat="1" ht="12.75" x14ac:dyDescent="0.2">
      <c r="B21013" s="1168"/>
    </row>
    <row r="21014" spans="2:2" s="221" customFormat="1" ht="12.75" x14ac:dyDescent="0.2">
      <c r="B21014" s="1168"/>
    </row>
    <row r="21015" spans="2:2" s="221" customFormat="1" ht="12.75" x14ac:dyDescent="0.2">
      <c r="B21015" s="1168"/>
    </row>
    <row r="21016" spans="2:2" s="221" customFormat="1" ht="12.75" x14ac:dyDescent="0.2">
      <c r="B21016" s="1168"/>
    </row>
    <row r="21017" spans="2:2" s="221" customFormat="1" ht="12.75" x14ac:dyDescent="0.2">
      <c r="B21017" s="1168"/>
    </row>
    <row r="21018" spans="2:2" s="221" customFormat="1" ht="12.75" x14ac:dyDescent="0.2">
      <c r="B21018" s="1168"/>
    </row>
    <row r="21019" spans="2:2" s="221" customFormat="1" ht="12.75" x14ac:dyDescent="0.2">
      <c r="B21019" s="1168"/>
    </row>
    <row r="21020" spans="2:2" s="221" customFormat="1" ht="12.75" x14ac:dyDescent="0.2">
      <c r="B21020" s="1168"/>
    </row>
    <row r="21021" spans="2:2" s="221" customFormat="1" ht="12.75" x14ac:dyDescent="0.2">
      <c r="B21021" s="1168"/>
    </row>
    <row r="21022" spans="2:2" s="221" customFormat="1" ht="12.75" x14ac:dyDescent="0.2">
      <c r="B21022" s="1168"/>
    </row>
    <row r="21023" spans="2:2" s="221" customFormat="1" ht="12.75" x14ac:dyDescent="0.2">
      <c r="B21023" s="1168"/>
    </row>
    <row r="21024" spans="2:2" s="221" customFormat="1" ht="12.75" x14ac:dyDescent="0.2">
      <c r="B21024" s="1168"/>
    </row>
    <row r="21025" spans="2:2" s="221" customFormat="1" ht="12.75" x14ac:dyDescent="0.2">
      <c r="B21025" s="1168"/>
    </row>
    <row r="21026" spans="2:2" s="221" customFormat="1" ht="12.75" x14ac:dyDescent="0.2">
      <c r="B21026" s="1168"/>
    </row>
    <row r="21027" spans="2:2" s="221" customFormat="1" ht="12.75" x14ac:dyDescent="0.2">
      <c r="B21027" s="1168"/>
    </row>
    <row r="21028" spans="2:2" s="221" customFormat="1" ht="12.75" x14ac:dyDescent="0.2">
      <c r="B21028" s="1168"/>
    </row>
    <row r="21029" spans="2:2" s="221" customFormat="1" ht="12.75" x14ac:dyDescent="0.2">
      <c r="B21029" s="1168"/>
    </row>
    <row r="21030" spans="2:2" s="221" customFormat="1" ht="12.75" x14ac:dyDescent="0.2">
      <c r="B21030" s="1168"/>
    </row>
    <row r="21031" spans="2:2" s="221" customFormat="1" ht="12.75" x14ac:dyDescent="0.2">
      <c r="B21031" s="1168"/>
    </row>
    <row r="21032" spans="2:2" s="221" customFormat="1" ht="12.75" x14ac:dyDescent="0.2">
      <c r="B21032" s="1168"/>
    </row>
    <row r="21033" spans="2:2" s="221" customFormat="1" ht="12.75" x14ac:dyDescent="0.2">
      <c r="B21033" s="1168"/>
    </row>
    <row r="21034" spans="2:2" s="221" customFormat="1" ht="12.75" x14ac:dyDescent="0.2">
      <c r="B21034" s="1168"/>
    </row>
    <row r="21035" spans="2:2" s="221" customFormat="1" ht="12.75" x14ac:dyDescent="0.2">
      <c r="B21035" s="1168"/>
    </row>
    <row r="21036" spans="2:2" s="221" customFormat="1" ht="12.75" x14ac:dyDescent="0.2">
      <c r="B21036" s="1168"/>
    </row>
    <row r="21037" spans="2:2" s="221" customFormat="1" ht="12.75" x14ac:dyDescent="0.2">
      <c r="B21037" s="1168"/>
    </row>
    <row r="21038" spans="2:2" s="221" customFormat="1" ht="12.75" x14ac:dyDescent="0.2">
      <c r="B21038" s="1168"/>
    </row>
    <row r="21039" spans="2:2" s="221" customFormat="1" ht="12.75" x14ac:dyDescent="0.2">
      <c r="B21039" s="1168"/>
    </row>
    <row r="21040" spans="2:2" s="221" customFormat="1" ht="12.75" x14ac:dyDescent="0.2">
      <c r="B21040" s="1168"/>
    </row>
    <row r="21041" spans="2:2" s="221" customFormat="1" ht="12.75" x14ac:dyDescent="0.2">
      <c r="B21041" s="1168"/>
    </row>
    <row r="21042" spans="2:2" s="221" customFormat="1" ht="12.75" x14ac:dyDescent="0.2">
      <c r="B21042" s="1168"/>
    </row>
    <row r="21043" spans="2:2" s="221" customFormat="1" ht="12.75" x14ac:dyDescent="0.2">
      <c r="B21043" s="1168"/>
    </row>
    <row r="21044" spans="2:2" s="221" customFormat="1" ht="12.75" x14ac:dyDescent="0.2">
      <c r="B21044" s="1168"/>
    </row>
    <row r="21045" spans="2:2" s="221" customFormat="1" ht="12.75" x14ac:dyDescent="0.2">
      <c r="B21045" s="1168"/>
    </row>
    <row r="21046" spans="2:2" s="221" customFormat="1" ht="12.75" x14ac:dyDescent="0.2">
      <c r="B21046" s="1168"/>
    </row>
    <row r="21047" spans="2:2" s="221" customFormat="1" ht="12.75" x14ac:dyDescent="0.2">
      <c r="B21047" s="1168"/>
    </row>
    <row r="21048" spans="2:2" s="221" customFormat="1" ht="12.75" x14ac:dyDescent="0.2">
      <c r="B21048" s="1168"/>
    </row>
    <row r="21049" spans="2:2" s="221" customFormat="1" ht="12.75" x14ac:dyDescent="0.2">
      <c r="B21049" s="1168"/>
    </row>
    <row r="21050" spans="2:2" s="221" customFormat="1" ht="12.75" x14ac:dyDescent="0.2">
      <c r="B21050" s="1168"/>
    </row>
    <row r="21051" spans="2:2" s="221" customFormat="1" ht="12.75" x14ac:dyDescent="0.2">
      <c r="B21051" s="1168"/>
    </row>
    <row r="21052" spans="2:2" s="221" customFormat="1" ht="12.75" x14ac:dyDescent="0.2">
      <c r="B21052" s="1168"/>
    </row>
    <row r="21053" spans="2:2" s="221" customFormat="1" ht="12.75" x14ac:dyDescent="0.2">
      <c r="B21053" s="1168"/>
    </row>
    <row r="21054" spans="2:2" s="221" customFormat="1" ht="12.75" x14ac:dyDescent="0.2">
      <c r="B21054" s="1168"/>
    </row>
    <row r="21055" spans="2:2" s="221" customFormat="1" ht="12.75" x14ac:dyDescent="0.2">
      <c r="B21055" s="1168"/>
    </row>
    <row r="21056" spans="2:2" s="221" customFormat="1" ht="12.75" x14ac:dyDescent="0.2">
      <c r="B21056" s="1168"/>
    </row>
    <row r="21057" spans="2:2" s="221" customFormat="1" ht="12.75" x14ac:dyDescent="0.2">
      <c r="B21057" s="1168"/>
    </row>
    <row r="21058" spans="2:2" s="221" customFormat="1" ht="12.75" x14ac:dyDescent="0.2">
      <c r="B21058" s="1168"/>
    </row>
    <row r="21059" spans="2:2" s="221" customFormat="1" ht="12.75" x14ac:dyDescent="0.2">
      <c r="B21059" s="1168"/>
    </row>
    <row r="21060" spans="2:2" s="221" customFormat="1" ht="12.75" x14ac:dyDescent="0.2">
      <c r="B21060" s="1168"/>
    </row>
    <row r="21061" spans="2:2" s="221" customFormat="1" ht="12.75" x14ac:dyDescent="0.2">
      <c r="B21061" s="1168"/>
    </row>
    <row r="21062" spans="2:2" s="221" customFormat="1" ht="12.75" x14ac:dyDescent="0.2">
      <c r="B21062" s="1168"/>
    </row>
    <row r="21063" spans="2:2" s="221" customFormat="1" ht="12.75" x14ac:dyDescent="0.2">
      <c r="B21063" s="1168"/>
    </row>
    <row r="21064" spans="2:2" s="221" customFormat="1" ht="12.75" x14ac:dyDescent="0.2">
      <c r="B21064" s="1168"/>
    </row>
    <row r="21065" spans="2:2" s="221" customFormat="1" ht="12.75" x14ac:dyDescent="0.2">
      <c r="B21065" s="1168"/>
    </row>
    <row r="21066" spans="2:2" s="221" customFormat="1" ht="12.75" x14ac:dyDescent="0.2">
      <c r="B21066" s="1168"/>
    </row>
    <row r="21067" spans="2:2" s="221" customFormat="1" ht="12.75" x14ac:dyDescent="0.2">
      <c r="B21067" s="1168"/>
    </row>
    <row r="21068" spans="2:2" s="221" customFormat="1" ht="12.75" x14ac:dyDescent="0.2">
      <c r="B21068" s="1168"/>
    </row>
    <row r="21069" spans="2:2" s="221" customFormat="1" ht="12.75" x14ac:dyDescent="0.2">
      <c r="B21069" s="1168"/>
    </row>
    <row r="21070" spans="2:2" s="221" customFormat="1" ht="12.75" x14ac:dyDescent="0.2">
      <c r="B21070" s="1168"/>
    </row>
    <row r="21071" spans="2:2" s="221" customFormat="1" ht="12.75" x14ac:dyDescent="0.2">
      <c r="B21071" s="1168"/>
    </row>
    <row r="21072" spans="2:2" s="221" customFormat="1" ht="12.75" x14ac:dyDescent="0.2">
      <c r="B21072" s="1168"/>
    </row>
    <row r="21073" spans="2:2" s="221" customFormat="1" ht="12.75" x14ac:dyDescent="0.2">
      <c r="B21073" s="1168"/>
    </row>
    <row r="21074" spans="2:2" s="221" customFormat="1" ht="12.75" x14ac:dyDescent="0.2">
      <c r="B21074" s="1168"/>
    </row>
    <row r="21075" spans="2:2" s="221" customFormat="1" ht="12.75" x14ac:dyDescent="0.2">
      <c r="B21075" s="1168"/>
    </row>
    <row r="21076" spans="2:2" s="221" customFormat="1" ht="12.75" x14ac:dyDescent="0.2">
      <c r="B21076" s="1168"/>
    </row>
    <row r="21077" spans="2:2" s="221" customFormat="1" ht="12.75" x14ac:dyDescent="0.2">
      <c r="B21077" s="1168"/>
    </row>
    <row r="21078" spans="2:2" s="221" customFormat="1" ht="12.75" x14ac:dyDescent="0.2">
      <c r="B21078" s="1168"/>
    </row>
    <row r="21079" spans="2:2" s="221" customFormat="1" ht="12.75" x14ac:dyDescent="0.2">
      <c r="B21079" s="1168"/>
    </row>
    <row r="21080" spans="2:2" s="221" customFormat="1" ht="12.75" x14ac:dyDescent="0.2">
      <c r="B21080" s="1168"/>
    </row>
    <row r="21081" spans="2:2" s="221" customFormat="1" ht="12.75" x14ac:dyDescent="0.2">
      <c r="B21081" s="1168"/>
    </row>
    <row r="21082" spans="2:2" s="221" customFormat="1" ht="12.75" x14ac:dyDescent="0.2">
      <c r="B21082" s="1168"/>
    </row>
    <row r="21083" spans="2:2" s="221" customFormat="1" ht="12.75" x14ac:dyDescent="0.2">
      <c r="B21083" s="1168"/>
    </row>
    <row r="21084" spans="2:2" s="221" customFormat="1" ht="12.75" x14ac:dyDescent="0.2">
      <c r="B21084" s="1168"/>
    </row>
    <row r="21085" spans="2:2" s="221" customFormat="1" ht="12.75" x14ac:dyDescent="0.2">
      <c r="B21085" s="1168"/>
    </row>
    <row r="21086" spans="2:2" s="221" customFormat="1" ht="12.75" x14ac:dyDescent="0.2">
      <c r="B21086" s="1168"/>
    </row>
    <row r="21087" spans="2:2" s="221" customFormat="1" ht="12.75" x14ac:dyDescent="0.2">
      <c r="B21087" s="1168"/>
    </row>
    <row r="21088" spans="2:2" s="221" customFormat="1" ht="12.75" x14ac:dyDescent="0.2">
      <c r="B21088" s="1168"/>
    </row>
    <row r="21089" spans="2:2" s="221" customFormat="1" ht="12.75" x14ac:dyDescent="0.2">
      <c r="B21089" s="1168"/>
    </row>
    <row r="21090" spans="2:2" s="221" customFormat="1" ht="12.75" x14ac:dyDescent="0.2">
      <c r="B21090" s="1168"/>
    </row>
    <row r="21091" spans="2:2" s="221" customFormat="1" ht="12.75" x14ac:dyDescent="0.2">
      <c r="B21091" s="1168"/>
    </row>
    <row r="21092" spans="2:2" s="221" customFormat="1" ht="12.75" x14ac:dyDescent="0.2">
      <c r="B21092" s="1168"/>
    </row>
    <row r="21093" spans="2:2" s="221" customFormat="1" ht="12.75" x14ac:dyDescent="0.2">
      <c r="B21093" s="1168"/>
    </row>
    <row r="21094" spans="2:2" s="221" customFormat="1" ht="12.75" x14ac:dyDescent="0.2">
      <c r="B21094" s="1168"/>
    </row>
    <row r="21095" spans="2:2" s="221" customFormat="1" ht="12.75" x14ac:dyDescent="0.2">
      <c r="B21095" s="1168"/>
    </row>
    <row r="21096" spans="2:2" s="221" customFormat="1" ht="12.75" x14ac:dyDescent="0.2">
      <c r="B21096" s="1168"/>
    </row>
    <row r="21097" spans="2:2" s="221" customFormat="1" ht="12.75" x14ac:dyDescent="0.2">
      <c r="B21097" s="1168"/>
    </row>
    <row r="21098" spans="2:2" s="221" customFormat="1" ht="12.75" x14ac:dyDescent="0.2">
      <c r="B21098" s="1168"/>
    </row>
    <row r="21099" spans="2:2" s="221" customFormat="1" ht="12.75" x14ac:dyDescent="0.2">
      <c r="B21099" s="1168"/>
    </row>
    <row r="21100" spans="2:2" s="221" customFormat="1" ht="12.75" x14ac:dyDescent="0.2">
      <c r="B21100" s="1168"/>
    </row>
    <row r="21101" spans="2:2" s="221" customFormat="1" ht="12.75" x14ac:dyDescent="0.2">
      <c r="B21101" s="1168"/>
    </row>
    <row r="21102" spans="2:2" s="221" customFormat="1" ht="12.75" x14ac:dyDescent="0.2">
      <c r="B21102" s="1168"/>
    </row>
    <row r="21103" spans="2:2" s="221" customFormat="1" ht="12.75" x14ac:dyDescent="0.2">
      <c r="B21103" s="1168"/>
    </row>
    <row r="21104" spans="2:2" s="221" customFormat="1" ht="12.75" x14ac:dyDescent="0.2">
      <c r="B21104" s="1168"/>
    </row>
    <row r="21105" spans="2:2" s="221" customFormat="1" ht="12.75" x14ac:dyDescent="0.2">
      <c r="B21105" s="1168"/>
    </row>
    <row r="21106" spans="2:2" s="221" customFormat="1" ht="12.75" x14ac:dyDescent="0.2">
      <c r="B21106" s="1168"/>
    </row>
    <row r="21107" spans="2:2" s="221" customFormat="1" ht="12.75" x14ac:dyDescent="0.2">
      <c r="B21107" s="1168"/>
    </row>
    <row r="21108" spans="2:2" s="221" customFormat="1" ht="12.75" x14ac:dyDescent="0.2">
      <c r="B21108" s="1168"/>
    </row>
    <row r="21109" spans="2:2" s="221" customFormat="1" ht="12.75" x14ac:dyDescent="0.2">
      <c r="B21109" s="1168"/>
    </row>
    <row r="21110" spans="2:2" s="221" customFormat="1" ht="12.75" x14ac:dyDescent="0.2">
      <c r="B21110" s="1168"/>
    </row>
    <row r="21111" spans="2:2" s="221" customFormat="1" ht="12.75" x14ac:dyDescent="0.2">
      <c r="B21111" s="1168"/>
    </row>
    <row r="21112" spans="2:2" s="221" customFormat="1" ht="12.75" x14ac:dyDescent="0.2">
      <c r="B21112" s="1168"/>
    </row>
    <row r="21113" spans="2:2" s="221" customFormat="1" ht="12.75" x14ac:dyDescent="0.2">
      <c r="B21113" s="1168"/>
    </row>
    <row r="21114" spans="2:2" s="221" customFormat="1" ht="12.75" x14ac:dyDescent="0.2">
      <c r="B21114" s="1168"/>
    </row>
    <row r="21115" spans="2:2" s="221" customFormat="1" ht="12.75" x14ac:dyDescent="0.2">
      <c r="B21115" s="1168"/>
    </row>
    <row r="21116" spans="2:2" s="221" customFormat="1" ht="12.75" x14ac:dyDescent="0.2">
      <c r="B21116" s="1168"/>
    </row>
    <row r="21117" spans="2:2" s="221" customFormat="1" ht="12.75" x14ac:dyDescent="0.2">
      <c r="B21117" s="1168"/>
    </row>
    <row r="21118" spans="2:2" s="221" customFormat="1" ht="12.75" x14ac:dyDescent="0.2">
      <c r="B21118" s="1168"/>
    </row>
    <row r="21119" spans="2:2" s="221" customFormat="1" ht="12.75" x14ac:dyDescent="0.2">
      <c r="B21119" s="1168"/>
    </row>
    <row r="21120" spans="2:2" s="221" customFormat="1" ht="12.75" x14ac:dyDescent="0.2">
      <c r="B21120" s="1168"/>
    </row>
    <row r="21121" spans="2:2" s="221" customFormat="1" ht="12.75" x14ac:dyDescent="0.2">
      <c r="B21121" s="1168"/>
    </row>
    <row r="21122" spans="2:2" s="221" customFormat="1" ht="12.75" x14ac:dyDescent="0.2">
      <c r="B21122" s="1168"/>
    </row>
    <row r="21123" spans="2:2" s="221" customFormat="1" ht="12.75" x14ac:dyDescent="0.2">
      <c r="B21123" s="1168"/>
    </row>
    <row r="21124" spans="2:2" s="221" customFormat="1" ht="12.75" x14ac:dyDescent="0.2">
      <c r="B21124" s="1168"/>
    </row>
    <row r="21125" spans="2:2" s="221" customFormat="1" ht="12.75" x14ac:dyDescent="0.2">
      <c r="B21125" s="1168"/>
    </row>
    <row r="21126" spans="2:2" s="221" customFormat="1" ht="12.75" x14ac:dyDescent="0.2">
      <c r="B21126" s="1168"/>
    </row>
    <row r="21127" spans="2:2" s="221" customFormat="1" ht="12.75" x14ac:dyDescent="0.2">
      <c r="B21127" s="1168"/>
    </row>
    <row r="21128" spans="2:2" s="221" customFormat="1" ht="12.75" x14ac:dyDescent="0.2">
      <c r="B21128" s="1168"/>
    </row>
    <row r="21129" spans="2:2" s="221" customFormat="1" ht="12.75" x14ac:dyDescent="0.2">
      <c r="B21129" s="1168"/>
    </row>
    <row r="21130" spans="2:2" s="221" customFormat="1" ht="12.75" x14ac:dyDescent="0.2">
      <c r="B21130" s="1168"/>
    </row>
    <row r="21131" spans="2:2" s="221" customFormat="1" ht="12.75" x14ac:dyDescent="0.2">
      <c r="B21131" s="1168"/>
    </row>
    <row r="21132" spans="2:2" s="221" customFormat="1" ht="12.75" x14ac:dyDescent="0.2">
      <c r="B21132" s="1168"/>
    </row>
    <row r="21133" spans="2:2" s="221" customFormat="1" ht="12.75" x14ac:dyDescent="0.2">
      <c r="B21133" s="1168"/>
    </row>
    <row r="21134" spans="2:2" s="221" customFormat="1" ht="12.75" x14ac:dyDescent="0.2">
      <c r="B21134" s="1168"/>
    </row>
    <row r="21135" spans="2:2" s="221" customFormat="1" ht="12.75" x14ac:dyDescent="0.2">
      <c r="B21135" s="1168"/>
    </row>
    <row r="21136" spans="2:2" s="221" customFormat="1" ht="12.75" x14ac:dyDescent="0.2">
      <c r="B21136" s="1168"/>
    </row>
    <row r="21137" spans="2:2" s="221" customFormat="1" ht="12.75" x14ac:dyDescent="0.2">
      <c r="B21137" s="1168"/>
    </row>
    <row r="21138" spans="2:2" s="221" customFormat="1" ht="12.75" x14ac:dyDescent="0.2">
      <c r="B21138" s="1168"/>
    </row>
    <row r="21139" spans="2:2" s="221" customFormat="1" ht="12.75" x14ac:dyDescent="0.2">
      <c r="B21139" s="1168"/>
    </row>
    <row r="21140" spans="2:2" s="221" customFormat="1" ht="12.75" x14ac:dyDescent="0.2">
      <c r="B21140" s="1168"/>
    </row>
    <row r="21141" spans="2:2" s="221" customFormat="1" ht="12.75" x14ac:dyDescent="0.2">
      <c r="B21141" s="1168"/>
    </row>
    <row r="21142" spans="2:2" s="221" customFormat="1" ht="12.75" x14ac:dyDescent="0.2">
      <c r="B21142" s="1168"/>
    </row>
    <row r="21143" spans="2:2" s="221" customFormat="1" ht="12.75" x14ac:dyDescent="0.2">
      <c r="B21143" s="1168"/>
    </row>
    <row r="21144" spans="2:2" s="221" customFormat="1" ht="12.75" x14ac:dyDescent="0.2">
      <c r="B21144" s="1168"/>
    </row>
    <row r="21145" spans="2:2" s="221" customFormat="1" ht="12.75" x14ac:dyDescent="0.2">
      <c r="B21145" s="1168"/>
    </row>
    <row r="21146" spans="2:2" s="221" customFormat="1" ht="12.75" x14ac:dyDescent="0.2">
      <c r="B21146" s="1168"/>
    </row>
    <row r="21147" spans="2:2" s="221" customFormat="1" ht="12.75" x14ac:dyDescent="0.2">
      <c r="B21147" s="1168"/>
    </row>
    <row r="21148" spans="2:2" s="221" customFormat="1" ht="12.75" x14ac:dyDescent="0.2">
      <c r="B21148" s="1168"/>
    </row>
    <row r="21149" spans="2:2" s="221" customFormat="1" ht="12.75" x14ac:dyDescent="0.2">
      <c r="B21149" s="1168"/>
    </row>
    <row r="21150" spans="2:2" s="221" customFormat="1" ht="12.75" x14ac:dyDescent="0.2">
      <c r="B21150" s="1168"/>
    </row>
    <row r="21151" spans="2:2" s="221" customFormat="1" ht="12.75" x14ac:dyDescent="0.2">
      <c r="B21151" s="1168"/>
    </row>
    <row r="21152" spans="2:2" s="221" customFormat="1" ht="12.75" x14ac:dyDescent="0.2">
      <c r="B21152" s="1168"/>
    </row>
    <row r="21153" spans="2:2" s="221" customFormat="1" ht="12.75" x14ac:dyDescent="0.2">
      <c r="B21153" s="1168"/>
    </row>
    <row r="21154" spans="2:2" s="221" customFormat="1" ht="12.75" x14ac:dyDescent="0.2">
      <c r="B21154" s="1168"/>
    </row>
    <row r="21155" spans="2:2" s="221" customFormat="1" ht="12.75" x14ac:dyDescent="0.2">
      <c r="B21155" s="1168"/>
    </row>
    <row r="21156" spans="2:2" s="221" customFormat="1" ht="12.75" x14ac:dyDescent="0.2">
      <c r="B21156" s="1168"/>
    </row>
    <row r="21157" spans="2:2" s="221" customFormat="1" ht="12.75" x14ac:dyDescent="0.2">
      <c r="B21157" s="1168"/>
    </row>
    <row r="21158" spans="2:2" s="221" customFormat="1" ht="12.75" x14ac:dyDescent="0.2">
      <c r="B21158" s="1168"/>
    </row>
    <row r="21159" spans="2:2" s="221" customFormat="1" ht="12.75" x14ac:dyDescent="0.2">
      <c r="B21159" s="1168"/>
    </row>
    <row r="21160" spans="2:2" s="221" customFormat="1" ht="12.75" x14ac:dyDescent="0.2">
      <c r="B21160" s="1168"/>
    </row>
    <row r="21161" spans="2:2" s="221" customFormat="1" ht="12.75" x14ac:dyDescent="0.2">
      <c r="B21161" s="1168"/>
    </row>
    <row r="21162" spans="2:2" s="221" customFormat="1" ht="12.75" x14ac:dyDescent="0.2">
      <c r="B21162" s="1168"/>
    </row>
    <row r="21163" spans="2:2" s="221" customFormat="1" ht="12.75" x14ac:dyDescent="0.2">
      <c r="B21163" s="1168"/>
    </row>
    <row r="21164" spans="2:2" s="221" customFormat="1" ht="12.75" x14ac:dyDescent="0.2">
      <c r="B21164" s="1168"/>
    </row>
    <row r="21165" spans="2:2" s="221" customFormat="1" ht="12.75" x14ac:dyDescent="0.2">
      <c r="B21165" s="1168"/>
    </row>
    <row r="21166" spans="2:2" s="221" customFormat="1" ht="12.75" x14ac:dyDescent="0.2">
      <c r="B21166" s="1168"/>
    </row>
    <row r="21167" spans="2:2" s="221" customFormat="1" ht="12.75" x14ac:dyDescent="0.2">
      <c r="B21167" s="1168"/>
    </row>
    <row r="21168" spans="2:2" s="221" customFormat="1" ht="12.75" x14ac:dyDescent="0.2">
      <c r="B21168" s="1168"/>
    </row>
    <row r="21169" spans="2:2" s="221" customFormat="1" ht="12.75" x14ac:dyDescent="0.2">
      <c r="B21169" s="1168"/>
    </row>
    <row r="21170" spans="2:2" s="221" customFormat="1" ht="12.75" x14ac:dyDescent="0.2">
      <c r="B21170" s="1168"/>
    </row>
    <row r="21171" spans="2:2" s="221" customFormat="1" ht="12.75" x14ac:dyDescent="0.2">
      <c r="B21171" s="1168"/>
    </row>
    <row r="21172" spans="2:2" s="221" customFormat="1" ht="12.75" x14ac:dyDescent="0.2">
      <c r="B21172" s="1168"/>
    </row>
    <row r="21173" spans="2:2" s="221" customFormat="1" ht="12.75" x14ac:dyDescent="0.2">
      <c r="B21173" s="1168"/>
    </row>
    <row r="21174" spans="2:2" s="221" customFormat="1" ht="12.75" x14ac:dyDescent="0.2">
      <c r="B21174" s="1168"/>
    </row>
    <row r="21175" spans="2:2" s="221" customFormat="1" ht="12.75" x14ac:dyDescent="0.2">
      <c r="B21175" s="1168"/>
    </row>
    <row r="21176" spans="2:2" s="221" customFormat="1" ht="12.75" x14ac:dyDescent="0.2">
      <c r="B21176" s="1168"/>
    </row>
    <row r="21177" spans="2:2" s="221" customFormat="1" ht="12.75" x14ac:dyDescent="0.2">
      <c r="B21177" s="1168"/>
    </row>
    <row r="21178" spans="2:2" s="221" customFormat="1" ht="12.75" x14ac:dyDescent="0.2">
      <c r="B21178" s="1168"/>
    </row>
    <row r="21179" spans="2:2" s="221" customFormat="1" ht="12.75" x14ac:dyDescent="0.2">
      <c r="B21179" s="1168"/>
    </row>
    <row r="21180" spans="2:2" s="221" customFormat="1" ht="12.75" x14ac:dyDescent="0.2">
      <c r="B21180" s="1168"/>
    </row>
    <row r="21181" spans="2:2" s="221" customFormat="1" ht="12.75" x14ac:dyDescent="0.2">
      <c r="B21181" s="1168"/>
    </row>
    <row r="21182" spans="2:2" s="221" customFormat="1" ht="12.75" x14ac:dyDescent="0.2">
      <c r="B21182" s="1168"/>
    </row>
    <row r="21183" spans="2:2" s="221" customFormat="1" ht="12.75" x14ac:dyDescent="0.2">
      <c r="B21183" s="1168"/>
    </row>
    <row r="21184" spans="2:2" s="221" customFormat="1" ht="12.75" x14ac:dyDescent="0.2">
      <c r="B21184" s="1168"/>
    </row>
    <row r="21185" spans="2:2" s="221" customFormat="1" ht="12.75" x14ac:dyDescent="0.2">
      <c r="B21185" s="1168"/>
    </row>
    <row r="21186" spans="2:2" s="221" customFormat="1" ht="12.75" x14ac:dyDescent="0.2">
      <c r="B21186" s="1168"/>
    </row>
    <row r="21187" spans="2:2" s="221" customFormat="1" ht="12.75" x14ac:dyDescent="0.2">
      <c r="B21187" s="1168"/>
    </row>
    <row r="21188" spans="2:2" s="221" customFormat="1" ht="12.75" x14ac:dyDescent="0.2">
      <c r="B21188" s="1168"/>
    </row>
    <row r="21189" spans="2:2" s="221" customFormat="1" ht="12.75" x14ac:dyDescent="0.2">
      <c r="B21189" s="1168"/>
    </row>
    <row r="21190" spans="2:2" s="221" customFormat="1" ht="12.75" x14ac:dyDescent="0.2">
      <c r="B21190" s="1168"/>
    </row>
    <row r="21191" spans="2:2" s="221" customFormat="1" ht="12.75" x14ac:dyDescent="0.2">
      <c r="B21191" s="1168"/>
    </row>
    <row r="21192" spans="2:2" s="221" customFormat="1" ht="12.75" x14ac:dyDescent="0.2">
      <c r="B21192" s="1168"/>
    </row>
    <row r="21193" spans="2:2" s="221" customFormat="1" ht="12.75" x14ac:dyDescent="0.2">
      <c r="B21193" s="1168"/>
    </row>
    <row r="21194" spans="2:2" s="221" customFormat="1" ht="12.75" x14ac:dyDescent="0.2">
      <c r="B21194" s="1168"/>
    </row>
    <row r="21195" spans="2:2" s="221" customFormat="1" ht="12.75" x14ac:dyDescent="0.2">
      <c r="B21195" s="1168"/>
    </row>
    <row r="21196" spans="2:2" s="221" customFormat="1" ht="12.75" x14ac:dyDescent="0.2">
      <c r="B21196" s="1168"/>
    </row>
    <row r="21197" spans="2:2" s="221" customFormat="1" ht="12.75" x14ac:dyDescent="0.2">
      <c r="B21197" s="1168"/>
    </row>
    <row r="21198" spans="2:2" s="221" customFormat="1" ht="12.75" x14ac:dyDescent="0.2">
      <c r="B21198" s="1168"/>
    </row>
    <row r="21199" spans="2:2" s="221" customFormat="1" ht="12.75" x14ac:dyDescent="0.2">
      <c r="B21199" s="1168"/>
    </row>
    <row r="21200" spans="2:2" s="221" customFormat="1" ht="12.75" x14ac:dyDescent="0.2">
      <c r="B21200" s="1168"/>
    </row>
    <row r="21201" spans="2:2" s="221" customFormat="1" ht="12.75" x14ac:dyDescent="0.2">
      <c r="B21201" s="1168"/>
    </row>
    <row r="21202" spans="2:2" s="221" customFormat="1" ht="12.75" x14ac:dyDescent="0.2">
      <c r="B21202" s="1168"/>
    </row>
    <row r="21203" spans="2:2" s="221" customFormat="1" ht="12.75" x14ac:dyDescent="0.2">
      <c r="B21203" s="1168"/>
    </row>
    <row r="21204" spans="2:2" s="221" customFormat="1" ht="12.75" x14ac:dyDescent="0.2">
      <c r="B21204" s="1168"/>
    </row>
    <row r="21205" spans="2:2" s="221" customFormat="1" ht="12.75" x14ac:dyDescent="0.2">
      <c r="B21205" s="1168"/>
    </row>
    <row r="21206" spans="2:2" s="221" customFormat="1" ht="12.75" x14ac:dyDescent="0.2">
      <c r="B21206" s="1168"/>
    </row>
    <row r="21207" spans="2:2" s="221" customFormat="1" ht="12.75" x14ac:dyDescent="0.2">
      <c r="B21207" s="1168"/>
    </row>
    <row r="21208" spans="2:2" s="221" customFormat="1" ht="12.75" x14ac:dyDescent="0.2">
      <c r="B21208" s="1168"/>
    </row>
    <row r="21209" spans="2:2" s="221" customFormat="1" ht="12.75" x14ac:dyDescent="0.2">
      <c r="B21209" s="1168"/>
    </row>
    <row r="21210" spans="2:2" s="221" customFormat="1" ht="12.75" x14ac:dyDescent="0.2">
      <c r="B21210" s="1168"/>
    </row>
    <row r="21211" spans="2:2" s="221" customFormat="1" ht="12.75" x14ac:dyDescent="0.2">
      <c r="B21211" s="1168"/>
    </row>
    <row r="21212" spans="2:2" s="221" customFormat="1" ht="12.75" x14ac:dyDescent="0.2">
      <c r="B21212" s="1168"/>
    </row>
    <row r="21213" spans="2:2" s="221" customFormat="1" ht="12.75" x14ac:dyDescent="0.2">
      <c r="B21213" s="1168"/>
    </row>
    <row r="21214" spans="2:2" s="221" customFormat="1" ht="12.75" x14ac:dyDescent="0.2">
      <c r="B21214" s="1168"/>
    </row>
    <row r="21215" spans="2:2" s="221" customFormat="1" ht="12.75" x14ac:dyDescent="0.2">
      <c r="B21215" s="1168"/>
    </row>
    <row r="21216" spans="2:2" s="221" customFormat="1" ht="12.75" x14ac:dyDescent="0.2">
      <c r="B21216" s="1168"/>
    </row>
    <row r="21217" spans="2:2" s="221" customFormat="1" ht="12.75" x14ac:dyDescent="0.2">
      <c r="B21217" s="1168"/>
    </row>
    <row r="21218" spans="2:2" s="221" customFormat="1" ht="12.75" x14ac:dyDescent="0.2">
      <c r="B21218" s="1168"/>
    </row>
    <row r="21219" spans="2:2" s="221" customFormat="1" ht="12.75" x14ac:dyDescent="0.2">
      <c r="B21219" s="1168"/>
    </row>
    <row r="21220" spans="2:2" s="221" customFormat="1" ht="12.75" x14ac:dyDescent="0.2">
      <c r="B21220" s="1168"/>
    </row>
    <row r="21221" spans="2:2" s="221" customFormat="1" ht="12.75" x14ac:dyDescent="0.2">
      <c r="B21221" s="1168"/>
    </row>
    <row r="21222" spans="2:2" s="221" customFormat="1" ht="12.75" x14ac:dyDescent="0.2">
      <c r="B21222" s="1168"/>
    </row>
    <row r="21223" spans="2:2" s="221" customFormat="1" ht="12.75" x14ac:dyDescent="0.2">
      <c r="B21223" s="1168"/>
    </row>
    <row r="21224" spans="2:2" s="221" customFormat="1" ht="12.75" x14ac:dyDescent="0.2">
      <c r="B21224" s="1168"/>
    </row>
    <row r="21225" spans="2:2" s="221" customFormat="1" ht="12.75" x14ac:dyDescent="0.2">
      <c r="B21225" s="1168"/>
    </row>
    <row r="21226" spans="2:2" s="221" customFormat="1" ht="12.75" x14ac:dyDescent="0.2">
      <c r="B21226" s="1168"/>
    </row>
    <row r="21227" spans="2:2" s="221" customFormat="1" ht="12.75" x14ac:dyDescent="0.2">
      <c r="B21227" s="1168"/>
    </row>
    <row r="21228" spans="2:2" s="221" customFormat="1" ht="12.75" x14ac:dyDescent="0.2">
      <c r="B21228" s="1168"/>
    </row>
    <row r="21229" spans="2:2" s="221" customFormat="1" ht="12.75" x14ac:dyDescent="0.2">
      <c r="B21229" s="1168"/>
    </row>
    <row r="21230" spans="2:2" s="221" customFormat="1" ht="12.75" x14ac:dyDescent="0.2">
      <c r="B21230" s="1168"/>
    </row>
    <row r="21231" spans="2:2" s="221" customFormat="1" ht="12.75" x14ac:dyDescent="0.2">
      <c r="B21231" s="1168"/>
    </row>
    <row r="21232" spans="2:2" s="221" customFormat="1" ht="12.75" x14ac:dyDescent="0.2">
      <c r="B21232" s="1168"/>
    </row>
    <row r="21233" spans="2:2" s="221" customFormat="1" ht="12.75" x14ac:dyDescent="0.2">
      <c r="B21233" s="1168"/>
    </row>
    <row r="21234" spans="2:2" s="221" customFormat="1" ht="12.75" x14ac:dyDescent="0.2">
      <c r="B21234" s="1168"/>
    </row>
    <row r="21235" spans="2:2" s="221" customFormat="1" ht="12.75" x14ac:dyDescent="0.2">
      <c r="B21235" s="1168"/>
    </row>
    <row r="21236" spans="2:2" s="221" customFormat="1" ht="12.75" x14ac:dyDescent="0.2">
      <c r="B21236" s="1168"/>
    </row>
    <row r="21237" spans="2:2" s="221" customFormat="1" ht="12.75" x14ac:dyDescent="0.2">
      <c r="B21237" s="1168"/>
    </row>
    <row r="21238" spans="2:2" s="221" customFormat="1" ht="12.75" x14ac:dyDescent="0.2">
      <c r="B21238" s="1168"/>
    </row>
    <row r="21239" spans="2:2" s="221" customFormat="1" ht="12.75" x14ac:dyDescent="0.2">
      <c r="B21239" s="1168"/>
    </row>
    <row r="21240" spans="2:2" s="221" customFormat="1" ht="12.75" x14ac:dyDescent="0.2">
      <c r="B21240" s="1168"/>
    </row>
    <row r="21241" spans="2:2" s="221" customFormat="1" ht="12.75" x14ac:dyDescent="0.2">
      <c r="B21241" s="1168"/>
    </row>
    <row r="21242" spans="2:2" s="221" customFormat="1" ht="12.75" x14ac:dyDescent="0.2">
      <c r="B21242" s="1168"/>
    </row>
    <row r="21243" spans="2:2" s="221" customFormat="1" ht="12.75" x14ac:dyDescent="0.2">
      <c r="B21243" s="1168"/>
    </row>
    <row r="21244" spans="2:2" s="221" customFormat="1" ht="12.75" x14ac:dyDescent="0.2">
      <c r="B21244" s="1168"/>
    </row>
    <row r="21245" spans="2:2" s="221" customFormat="1" ht="12.75" x14ac:dyDescent="0.2">
      <c r="B21245" s="1168"/>
    </row>
    <row r="21246" spans="2:2" s="221" customFormat="1" ht="12.75" x14ac:dyDescent="0.2">
      <c r="B21246" s="1168"/>
    </row>
    <row r="21247" spans="2:2" s="221" customFormat="1" ht="12.75" x14ac:dyDescent="0.2">
      <c r="B21247" s="1168"/>
    </row>
    <row r="21248" spans="2:2" s="221" customFormat="1" ht="12.75" x14ac:dyDescent="0.2">
      <c r="B21248" s="1168"/>
    </row>
    <row r="21249" spans="2:2" s="221" customFormat="1" ht="12.75" x14ac:dyDescent="0.2">
      <c r="B21249" s="1168"/>
    </row>
    <row r="21250" spans="2:2" s="221" customFormat="1" ht="12.75" x14ac:dyDescent="0.2">
      <c r="B21250" s="1168"/>
    </row>
    <row r="21251" spans="2:2" s="221" customFormat="1" ht="12.75" x14ac:dyDescent="0.2">
      <c r="B21251" s="1168"/>
    </row>
    <row r="21252" spans="2:2" s="221" customFormat="1" ht="12.75" x14ac:dyDescent="0.2">
      <c r="B21252" s="1168"/>
    </row>
    <row r="21253" spans="2:2" s="221" customFormat="1" ht="12.75" x14ac:dyDescent="0.2">
      <c r="B21253" s="1168"/>
    </row>
    <row r="21254" spans="2:2" s="221" customFormat="1" ht="12.75" x14ac:dyDescent="0.2">
      <c r="B21254" s="1168"/>
    </row>
    <row r="21255" spans="2:2" s="221" customFormat="1" ht="12.75" x14ac:dyDescent="0.2">
      <c r="B21255" s="1168"/>
    </row>
    <row r="21256" spans="2:2" s="221" customFormat="1" ht="12.75" x14ac:dyDescent="0.2">
      <c r="B21256" s="1168"/>
    </row>
    <row r="21257" spans="2:2" s="221" customFormat="1" ht="12.75" x14ac:dyDescent="0.2">
      <c r="B21257" s="1168"/>
    </row>
    <row r="21258" spans="2:2" s="221" customFormat="1" ht="12.75" x14ac:dyDescent="0.2">
      <c r="B21258" s="1168"/>
    </row>
    <row r="21259" spans="2:2" s="221" customFormat="1" ht="12.75" x14ac:dyDescent="0.2">
      <c r="B21259" s="1168"/>
    </row>
    <row r="21260" spans="2:2" s="221" customFormat="1" ht="12.75" x14ac:dyDescent="0.2">
      <c r="B21260" s="1168"/>
    </row>
    <row r="21261" spans="2:2" s="221" customFormat="1" ht="12.75" x14ac:dyDescent="0.2">
      <c r="B21261" s="1168"/>
    </row>
    <row r="21262" spans="2:2" s="221" customFormat="1" ht="12.75" x14ac:dyDescent="0.2">
      <c r="B21262" s="1168"/>
    </row>
    <row r="21263" spans="2:2" s="221" customFormat="1" ht="12.75" x14ac:dyDescent="0.2">
      <c r="B21263" s="1168"/>
    </row>
    <row r="21264" spans="2:2" s="221" customFormat="1" ht="12.75" x14ac:dyDescent="0.2">
      <c r="B21264" s="1168"/>
    </row>
    <row r="21265" spans="2:2" s="221" customFormat="1" ht="12.75" x14ac:dyDescent="0.2">
      <c r="B21265" s="1168"/>
    </row>
    <row r="21266" spans="2:2" s="221" customFormat="1" ht="12.75" x14ac:dyDescent="0.2">
      <c r="B21266" s="1168"/>
    </row>
    <row r="21267" spans="2:2" s="221" customFormat="1" ht="12.75" x14ac:dyDescent="0.2">
      <c r="B21267" s="1168"/>
    </row>
    <row r="21268" spans="2:2" s="221" customFormat="1" ht="12.75" x14ac:dyDescent="0.2">
      <c r="B21268" s="1168"/>
    </row>
    <row r="21269" spans="2:2" s="221" customFormat="1" ht="12.75" x14ac:dyDescent="0.2">
      <c r="B21269" s="1168"/>
    </row>
    <row r="21270" spans="2:2" s="221" customFormat="1" ht="12.75" x14ac:dyDescent="0.2">
      <c r="B21270" s="1168"/>
    </row>
    <row r="21271" spans="2:2" s="221" customFormat="1" ht="12.75" x14ac:dyDescent="0.2">
      <c r="B21271" s="1168"/>
    </row>
    <row r="21272" spans="2:2" s="221" customFormat="1" ht="12.75" x14ac:dyDescent="0.2">
      <c r="B21272" s="1168"/>
    </row>
    <row r="21273" spans="2:2" s="221" customFormat="1" ht="12.75" x14ac:dyDescent="0.2">
      <c r="B21273" s="1168"/>
    </row>
    <row r="21274" spans="2:2" s="221" customFormat="1" ht="12.75" x14ac:dyDescent="0.2">
      <c r="B21274" s="1168"/>
    </row>
    <row r="21275" spans="2:2" s="221" customFormat="1" ht="12.75" x14ac:dyDescent="0.2">
      <c r="B21275" s="1168"/>
    </row>
    <row r="21276" spans="2:2" s="221" customFormat="1" ht="12.75" x14ac:dyDescent="0.2">
      <c r="B21276" s="1168"/>
    </row>
    <row r="21277" spans="2:2" s="221" customFormat="1" ht="12.75" x14ac:dyDescent="0.2">
      <c r="B21277" s="1168"/>
    </row>
    <row r="21278" spans="2:2" s="221" customFormat="1" ht="12.75" x14ac:dyDescent="0.2">
      <c r="B21278" s="1168"/>
    </row>
    <row r="21279" spans="2:2" s="221" customFormat="1" ht="12.75" x14ac:dyDescent="0.2">
      <c r="B21279" s="1168"/>
    </row>
    <row r="21280" spans="2:2" s="221" customFormat="1" ht="12.75" x14ac:dyDescent="0.2">
      <c r="B21280" s="1168"/>
    </row>
    <row r="21281" spans="2:2" s="221" customFormat="1" ht="12.75" x14ac:dyDescent="0.2">
      <c r="B21281" s="1168"/>
    </row>
    <row r="21282" spans="2:2" s="221" customFormat="1" ht="12.75" x14ac:dyDescent="0.2">
      <c r="B21282" s="1168"/>
    </row>
    <row r="21283" spans="2:2" s="221" customFormat="1" ht="12.75" x14ac:dyDescent="0.2">
      <c r="B21283" s="1168"/>
    </row>
    <row r="21284" spans="2:2" s="221" customFormat="1" ht="12.75" x14ac:dyDescent="0.2">
      <c r="B21284" s="1168"/>
    </row>
    <row r="21285" spans="2:2" s="221" customFormat="1" ht="12.75" x14ac:dyDescent="0.2">
      <c r="B21285" s="1168"/>
    </row>
    <row r="21286" spans="2:2" s="221" customFormat="1" ht="12.75" x14ac:dyDescent="0.2">
      <c r="B21286" s="1168"/>
    </row>
    <row r="21287" spans="2:2" s="221" customFormat="1" ht="12.75" x14ac:dyDescent="0.2">
      <c r="B21287" s="1168"/>
    </row>
    <row r="21288" spans="2:2" s="221" customFormat="1" ht="12.75" x14ac:dyDescent="0.2">
      <c r="B21288" s="1168"/>
    </row>
    <row r="21289" spans="2:2" s="221" customFormat="1" ht="12.75" x14ac:dyDescent="0.2">
      <c r="B21289" s="1168"/>
    </row>
    <row r="21290" spans="2:2" s="221" customFormat="1" ht="12.75" x14ac:dyDescent="0.2">
      <c r="B21290" s="1168"/>
    </row>
    <row r="21291" spans="2:2" s="221" customFormat="1" ht="12.75" x14ac:dyDescent="0.2">
      <c r="B21291" s="1168"/>
    </row>
    <row r="21292" spans="2:2" s="221" customFormat="1" ht="12.75" x14ac:dyDescent="0.2">
      <c r="B21292" s="1168"/>
    </row>
    <row r="21293" spans="2:2" s="221" customFormat="1" ht="12.75" x14ac:dyDescent="0.2">
      <c r="B21293" s="1168"/>
    </row>
    <row r="21294" spans="2:2" s="221" customFormat="1" ht="12.75" x14ac:dyDescent="0.2">
      <c r="B21294" s="1168"/>
    </row>
    <row r="21295" spans="2:2" s="221" customFormat="1" ht="12.75" x14ac:dyDescent="0.2">
      <c r="B21295" s="1168"/>
    </row>
    <row r="21296" spans="2:2" s="221" customFormat="1" ht="12.75" x14ac:dyDescent="0.2">
      <c r="B21296" s="1168"/>
    </row>
    <row r="21297" spans="2:2" s="221" customFormat="1" ht="12.75" x14ac:dyDescent="0.2">
      <c r="B21297" s="1168"/>
    </row>
    <row r="21298" spans="2:2" s="221" customFormat="1" ht="12.75" x14ac:dyDescent="0.2">
      <c r="B21298" s="1168"/>
    </row>
    <row r="21299" spans="2:2" s="221" customFormat="1" ht="12.75" x14ac:dyDescent="0.2">
      <c r="B21299" s="1168"/>
    </row>
    <row r="21300" spans="2:2" s="221" customFormat="1" ht="12.75" x14ac:dyDescent="0.2">
      <c r="B21300" s="1168"/>
    </row>
    <row r="21301" spans="2:2" s="221" customFormat="1" ht="12.75" x14ac:dyDescent="0.2">
      <c r="B21301" s="1168"/>
    </row>
    <row r="21302" spans="2:2" s="221" customFormat="1" ht="12.75" x14ac:dyDescent="0.2">
      <c r="B21302" s="1168"/>
    </row>
    <row r="21303" spans="2:2" s="221" customFormat="1" ht="12.75" x14ac:dyDescent="0.2">
      <c r="B21303" s="1168"/>
    </row>
    <row r="21304" spans="2:2" s="221" customFormat="1" ht="12.75" x14ac:dyDescent="0.2">
      <c r="B21304" s="1168"/>
    </row>
    <row r="21305" spans="2:2" s="221" customFormat="1" ht="12.75" x14ac:dyDescent="0.2">
      <c r="B21305" s="1168"/>
    </row>
    <row r="21306" spans="2:2" s="221" customFormat="1" ht="12.75" x14ac:dyDescent="0.2">
      <c r="B21306" s="1168"/>
    </row>
    <row r="21307" spans="2:2" s="221" customFormat="1" ht="12.75" x14ac:dyDescent="0.2">
      <c r="B21307" s="1168"/>
    </row>
    <row r="21308" spans="2:2" s="221" customFormat="1" ht="12.75" x14ac:dyDescent="0.2">
      <c r="B21308" s="1168"/>
    </row>
    <row r="21309" spans="2:2" s="221" customFormat="1" ht="12.75" x14ac:dyDescent="0.2">
      <c r="B21309" s="1168"/>
    </row>
    <row r="21310" spans="2:2" s="221" customFormat="1" ht="12.75" x14ac:dyDescent="0.2">
      <c r="B21310" s="1168"/>
    </row>
    <row r="21311" spans="2:2" s="221" customFormat="1" ht="12.75" x14ac:dyDescent="0.2">
      <c r="B21311" s="1168"/>
    </row>
    <row r="21312" spans="2:2" s="221" customFormat="1" ht="12.75" x14ac:dyDescent="0.2">
      <c r="B21312" s="1168"/>
    </row>
    <row r="21313" spans="2:2" s="221" customFormat="1" ht="12.75" x14ac:dyDescent="0.2">
      <c r="B21313" s="1168"/>
    </row>
    <row r="21314" spans="2:2" s="221" customFormat="1" ht="12.75" x14ac:dyDescent="0.2">
      <c r="B21314" s="1168"/>
    </row>
    <row r="21315" spans="2:2" s="221" customFormat="1" ht="12.75" x14ac:dyDescent="0.2">
      <c r="B21315" s="1168"/>
    </row>
    <row r="21316" spans="2:2" s="221" customFormat="1" ht="12.75" x14ac:dyDescent="0.2">
      <c r="B21316" s="1168"/>
    </row>
    <row r="21317" spans="2:2" s="221" customFormat="1" ht="12.75" x14ac:dyDescent="0.2">
      <c r="B21317" s="1168"/>
    </row>
    <row r="21318" spans="2:2" s="221" customFormat="1" ht="12.75" x14ac:dyDescent="0.2">
      <c r="B21318" s="1168"/>
    </row>
    <row r="21319" spans="2:2" s="221" customFormat="1" ht="12.75" x14ac:dyDescent="0.2">
      <c r="B21319" s="1168"/>
    </row>
    <row r="21320" spans="2:2" s="221" customFormat="1" ht="12.75" x14ac:dyDescent="0.2">
      <c r="B21320" s="1168"/>
    </row>
    <row r="21321" spans="2:2" s="221" customFormat="1" ht="12.75" x14ac:dyDescent="0.2">
      <c r="B21321" s="1168"/>
    </row>
    <row r="21322" spans="2:2" s="221" customFormat="1" ht="12.75" x14ac:dyDescent="0.2">
      <c r="B21322" s="1168"/>
    </row>
    <row r="21323" spans="2:2" s="221" customFormat="1" ht="12.75" x14ac:dyDescent="0.2">
      <c r="B21323" s="1168"/>
    </row>
    <row r="21324" spans="2:2" s="221" customFormat="1" ht="12.75" x14ac:dyDescent="0.2">
      <c r="B21324" s="1168"/>
    </row>
    <row r="21325" spans="2:2" s="221" customFormat="1" ht="12.75" x14ac:dyDescent="0.2">
      <c r="B21325" s="1168"/>
    </row>
    <row r="21326" spans="2:2" s="221" customFormat="1" ht="12.75" x14ac:dyDescent="0.2">
      <c r="B21326" s="1168"/>
    </row>
    <row r="21327" spans="2:2" s="221" customFormat="1" ht="12.75" x14ac:dyDescent="0.2">
      <c r="B21327" s="1168"/>
    </row>
    <row r="21328" spans="2:2" s="221" customFormat="1" ht="12.75" x14ac:dyDescent="0.2">
      <c r="B21328" s="1168"/>
    </row>
    <row r="21329" spans="2:2" s="221" customFormat="1" ht="12.75" x14ac:dyDescent="0.2">
      <c r="B21329" s="1168"/>
    </row>
    <row r="21330" spans="2:2" s="221" customFormat="1" ht="12.75" x14ac:dyDescent="0.2">
      <c r="B21330" s="1168"/>
    </row>
    <row r="21331" spans="2:2" s="221" customFormat="1" ht="12.75" x14ac:dyDescent="0.2">
      <c r="B21331" s="1168"/>
    </row>
    <row r="21332" spans="2:2" s="221" customFormat="1" ht="12.75" x14ac:dyDescent="0.2">
      <c r="B21332" s="1168"/>
    </row>
    <row r="21333" spans="2:2" s="221" customFormat="1" ht="12.75" x14ac:dyDescent="0.2">
      <c r="B21333" s="1168"/>
    </row>
    <row r="21334" spans="2:2" s="221" customFormat="1" ht="12.75" x14ac:dyDescent="0.2">
      <c r="B21334" s="1168"/>
    </row>
    <row r="21335" spans="2:2" s="221" customFormat="1" ht="12.75" x14ac:dyDescent="0.2">
      <c r="B21335" s="1168"/>
    </row>
    <row r="21336" spans="2:2" s="221" customFormat="1" ht="12.75" x14ac:dyDescent="0.2">
      <c r="B21336" s="1168"/>
    </row>
    <row r="21337" spans="2:2" s="221" customFormat="1" ht="12.75" x14ac:dyDescent="0.2">
      <c r="B21337" s="1168"/>
    </row>
    <row r="21338" spans="2:2" s="221" customFormat="1" ht="12.75" x14ac:dyDescent="0.2">
      <c r="B21338" s="1168"/>
    </row>
    <row r="21339" spans="2:2" s="221" customFormat="1" ht="12.75" x14ac:dyDescent="0.2">
      <c r="B21339" s="1168"/>
    </row>
    <row r="21340" spans="2:2" s="221" customFormat="1" ht="12.75" x14ac:dyDescent="0.2">
      <c r="B21340" s="1168"/>
    </row>
    <row r="21341" spans="2:2" s="221" customFormat="1" ht="12.75" x14ac:dyDescent="0.2">
      <c r="B21341" s="1168"/>
    </row>
    <row r="21342" spans="2:2" s="221" customFormat="1" ht="12.75" x14ac:dyDescent="0.2">
      <c r="B21342" s="1168"/>
    </row>
    <row r="21343" spans="2:2" s="221" customFormat="1" ht="12.75" x14ac:dyDescent="0.2">
      <c r="B21343" s="1168"/>
    </row>
    <row r="21344" spans="2:2" s="221" customFormat="1" ht="12.75" x14ac:dyDescent="0.2">
      <c r="B21344" s="1168"/>
    </row>
    <row r="21345" spans="2:2" s="221" customFormat="1" ht="12.75" x14ac:dyDescent="0.2">
      <c r="B21345" s="1168"/>
    </row>
    <row r="21346" spans="2:2" s="221" customFormat="1" ht="12.75" x14ac:dyDescent="0.2">
      <c r="B21346" s="1168"/>
    </row>
    <row r="21347" spans="2:2" s="221" customFormat="1" ht="12.75" x14ac:dyDescent="0.2">
      <c r="B21347" s="1168"/>
    </row>
    <row r="21348" spans="2:2" s="221" customFormat="1" ht="12.75" x14ac:dyDescent="0.2">
      <c r="B21348" s="1168"/>
    </row>
    <row r="21349" spans="2:2" s="221" customFormat="1" ht="12.75" x14ac:dyDescent="0.2">
      <c r="B21349" s="1168"/>
    </row>
    <row r="21350" spans="2:2" s="221" customFormat="1" ht="12.75" x14ac:dyDescent="0.2">
      <c r="B21350" s="1168"/>
    </row>
    <row r="21351" spans="2:2" s="221" customFormat="1" ht="12.75" x14ac:dyDescent="0.2">
      <c r="B21351" s="1168"/>
    </row>
    <row r="21352" spans="2:2" s="221" customFormat="1" ht="12.75" x14ac:dyDescent="0.2">
      <c r="B21352" s="1168"/>
    </row>
    <row r="21353" spans="2:2" s="221" customFormat="1" ht="12.75" x14ac:dyDescent="0.2">
      <c r="B21353" s="1168"/>
    </row>
    <row r="21354" spans="2:2" s="221" customFormat="1" ht="12.75" x14ac:dyDescent="0.2">
      <c r="B21354" s="1168"/>
    </row>
    <row r="21355" spans="2:2" s="221" customFormat="1" ht="12.75" x14ac:dyDescent="0.2">
      <c r="B21355" s="1168"/>
    </row>
    <row r="21356" spans="2:2" s="221" customFormat="1" ht="12.75" x14ac:dyDescent="0.2">
      <c r="B21356" s="1168"/>
    </row>
    <row r="21357" spans="2:2" s="221" customFormat="1" ht="12.75" x14ac:dyDescent="0.2">
      <c r="B21357" s="1168"/>
    </row>
    <row r="21358" spans="2:2" s="221" customFormat="1" ht="12.75" x14ac:dyDescent="0.2">
      <c r="B21358" s="1168"/>
    </row>
    <row r="21359" spans="2:2" s="221" customFormat="1" ht="12.75" x14ac:dyDescent="0.2">
      <c r="B21359" s="1168"/>
    </row>
    <row r="21360" spans="2:2" s="221" customFormat="1" ht="12.75" x14ac:dyDescent="0.2">
      <c r="B21360" s="1168"/>
    </row>
    <row r="21361" spans="2:2" s="221" customFormat="1" ht="12.75" x14ac:dyDescent="0.2">
      <c r="B21361" s="1168"/>
    </row>
    <row r="21362" spans="2:2" s="221" customFormat="1" ht="12.75" x14ac:dyDescent="0.2">
      <c r="B21362" s="1168"/>
    </row>
    <row r="21363" spans="2:2" s="221" customFormat="1" ht="12.75" x14ac:dyDescent="0.2">
      <c r="B21363" s="1168"/>
    </row>
    <row r="21364" spans="2:2" s="221" customFormat="1" ht="12.75" x14ac:dyDescent="0.2">
      <c r="B21364" s="1168"/>
    </row>
    <row r="21365" spans="2:2" s="221" customFormat="1" ht="12.75" x14ac:dyDescent="0.2">
      <c r="B21365" s="1168"/>
    </row>
    <row r="21366" spans="2:2" s="221" customFormat="1" ht="12.75" x14ac:dyDescent="0.2">
      <c r="B21366" s="1168"/>
    </row>
    <row r="21367" spans="2:2" s="221" customFormat="1" ht="12.75" x14ac:dyDescent="0.2">
      <c r="B21367" s="1168"/>
    </row>
    <row r="21368" spans="2:2" s="221" customFormat="1" ht="12.75" x14ac:dyDescent="0.2">
      <c r="B21368" s="1168"/>
    </row>
    <row r="21369" spans="2:2" s="221" customFormat="1" ht="12.75" x14ac:dyDescent="0.2">
      <c r="B21369" s="1168"/>
    </row>
    <row r="21370" spans="2:2" s="221" customFormat="1" ht="12.75" x14ac:dyDescent="0.2">
      <c r="B21370" s="1168"/>
    </row>
    <row r="21371" spans="2:2" s="221" customFormat="1" ht="12.75" x14ac:dyDescent="0.2">
      <c r="B21371" s="1168"/>
    </row>
    <row r="21372" spans="2:2" s="221" customFormat="1" ht="12.75" x14ac:dyDescent="0.2">
      <c r="B21372" s="1168"/>
    </row>
    <row r="21373" spans="2:2" s="221" customFormat="1" ht="12.75" x14ac:dyDescent="0.2">
      <c r="B21373" s="1168"/>
    </row>
    <row r="21374" spans="2:2" s="221" customFormat="1" ht="12.75" x14ac:dyDescent="0.2">
      <c r="B21374" s="1168"/>
    </row>
    <row r="21375" spans="2:2" s="221" customFormat="1" ht="12.75" x14ac:dyDescent="0.2">
      <c r="B21375" s="1168"/>
    </row>
    <row r="21376" spans="2:2" s="221" customFormat="1" ht="12.75" x14ac:dyDescent="0.2">
      <c r="B21376" s="1168"/>
    </row>
    <row r="21377" spans="2:2" s="221" customFormat="1" ht="12.75" x14ac:dyDescent="0.2">
      <c r="B21377" s="1168"/>
    </row>
    <row r="21378" spans="2:2" s="221" customFormat="1" ht="12.75" x14ac:dyDescent="0.2">
      <c r="B21378" s="1168"/>
    </row>
    <row r="21379" spans="2:2" s="221" customFormat="1" ht="12.75" x14ac:dyDescent="0.2">
      <c r="B21379" s="1168"/>
    </row>
    <row r="21380" spans="2:2" s="221" customFormat="1" ht="12.75" x14ac:dyDescent="0.2">
      <c r="B21380" s="1168"/>
    </row>
    <row r="21381" spans="2:2" s="221" customFormat="1" ht="12.75" x14ac:dyDescent="0.2">
      <c r="B21381" s="1168"/>
    </row>
    <row r="21382" spans="2:2" s="221" customFormat="1" ht="12.75" x14ac:dyDescent="0.2">
      <c r="B21382" s="1168"/>
    </row>
    <row r="21383" spans="2:2" s="221" customFormat="1" ht="12.75" x14ac:dyDescent="0.2">
      <c r="B21383" s="1168"/>
    </row>
    <row r="21384" spans="2:2" s="221" customFormat="1" ht="12.75" x14ac:dyDescent="0.2">
      <c r="B21384" s="1168"/>
    </row>
    <row r="21385" spans="2:2" s="221" customFormat="1" ht="12.75" x14ac:dyDescent="0.2">
      <c r="B21385" s="1168"/>
    </row>
    <row r="21386" spans="2:2" s="221" customFormat="1" ht="12.75" x14ac:dyDescent="0.2">
      <c r="B21386" s="1168"/>
    </row>
    <row r="21387" spans="2:2" s="221" customFormat="1" ht="12.75" x14ac:dyDescent="0.2">
      <c r="B21387" s="1168"/>
    </row>
    <row r="21388" spans="2:2" s="221" customFormat="1" ht="12.75" x14ac:dyDescent="0.2">
      <c r="B21388" s="1168"/>
    </row>
    <row r="21389" spans="2:2" s="221" customFormat="1" ht="12.75" x14ac:dyDescent="0.2">
      <c r="B21389" s="1168"/>
    </row>
    <row r="21390" spans="2:2" s="221" customFormat="1" ht="12.75" x14ac:dyDescent="0.2">
      <c r="B21390" s="1168"/>
    </row>
    <row r="21391" spans="2:2" s="221" customFormat="1" ht="12.75" x14ac:dyDescent="0.2">
      <c r="B21391" s="1168"/>
    </row>
    <row r="21392" spans="2:2" s="221" customFormat="1" ht="12.75" x14ac:dyDescent="0.2">
      <c r="B21392" s="1168"/>
    </row>
    <row r="21393" spans="2:2" s="221" customFormat="1" ht="12.75" x14ac:dyDescent="0.2">
      <c r="B21393" s="1168"/>
    </row>
    <row r="21394" spans="2:2" s="221" customFormat="1" ht="12.75" x14ac:dyDescent="0.2">
      <c r="B21394" s="1168"/>
    </row>
    <row r="21395" spans="2:2" s="221" customFormat="1" ht="12.75" x14ac:dyDescent="0.2">
      <c r="B21395" s="1168"/>
    </row>
    <row r="21396" spans="2:2" s="221" customFormat="1" ht="12.75" x14ac:dyDescent="0.2">
      <c r="B21396" s="1168"/>
    </row>
    <row r="21397" spans="2:2" s="221" customFormat="1" ht="12.75" x14ac:dyDescent="0.2">
      <c r="B21397" s="1168"/>
    </row>
    <row r="21398" spans="2:2" s="221" customFormat="1" ht="12.75" x14ac:dyDescent="0.2">
      <c r="B21398" s="1168"/>
    </row>
    <row r="21399" spans="2:2" s="221" customFormat="1" ht="12.75" x14ac:dyDescent="0.2">
      <c r="B21399" s="1168"/>
    </row>
    <row r="21400" spans="2:2" s="221" customFormat="1" ht="12.75" x14ac:dyDescent="0.2">
      <c r="B21400" s="1168"/>
    </row>
    <row r="21401" spans="2:2" s="221" customFormat="1" ht="12.75" x14ac:dyDescent="0.2">
      <c r="B21401" s="1168"/>
    </row>
    <row r="21402" spans="2:2" s="221" customFormat="1" ht="12.75" x14ac:dyDescent="0.2">
      <c r="B21402" s="1168"/>
    </row>
    <row r="21403" spans="2:2" s="221" customFormat="1" ht="12.75" x14ac:dyDescent="0.2">
      <c r="B21403" s="1168"/>
    </row>
    <row r="21404" spans="2:2" s="221" customFormat="1" ht="12.75" x14ac:dyDescent="0.2">
      <c r="B21404" s="1168"/>
    </row>
    <row r="21405" spans="2:2" s="221" customFormat="1" ht="12.75" x14ac:dyDescent="0.2">
      <c r="B21405" s="1168"/>
    </row>
    <row r="21406" spans="2:2" s="221" customFormat="1" ht="12.75" x14ac:dyDescent="0.2">
      <c r="B21406" s="1168"/>
    </row>
    <row r="21407" spans="2:2" s="221" customFormat="1" ht="12.75" x14ac:dyDescent="0.2">
      <c r="B21407" s="1168"/>
    </row>
    <row r="21408" spans="2:2" s="221" customFormat="1" ht="12.75" x14ac:dyDescent="0.2">
      <c r="B21408" s="1168"/>
    </row>
    <row r="21409" spans="2:2" s="221" customFormat="1" ht="12.75" x14ac:dyDescent="0.2">
      <c r="B21409" s="1168"/>
    </row>
    <row r="21410" spans="2:2" s="221" customFormat="1" ht="12.75" x14ac:dyDescent="0.2">
      <c r="B21410" s="1168"/>
    </row>
    <row r="21411" spans="2:2" s="221" customFormat="1" ht="12.75" x14ac:dyDescent="0.2">
      <c r="B21411" s="1168"/>
    </row>
    <row r="21412" spans="2:2" s="221" customFormat="1" ht="12.75" x14ac:dyDescent="0.2">
      <c r="B21412" s="1168"/>
    </row>
    <row r="21413" spans="2:2" s="221" customFormat="1" ht="12.75" x14ac:dyDescent="0.2">
      <c r="B21413" s="1168"/>
    </row>
    <row r="21414" spans="2:2" s="221" customFormat="1" ht="12.75" x14ac:dyDescent="0.2">
      <c r="B21414" s="1168"/>
    </row>
    <row r="21415" spans="2:2" s="221" customFormat="1" ht="12.75" x14ac:dyDescent="0.2">
      <c r="B21415" s="1168"/>
    </row>
    <row r="21416" spans="2:2" s="221" customFormat="1" ht="12.75" x14ac:dyDescent="0.2">
      <c r="B21416" s="1168"/>
    </row>
    <row r="21417" spans="2:2" s="221" customFormat="1" ht="12.75" x14ac:dyDescent="0.2">
      <c r="B21417" s="1168"/>
    </row>
    <row r="21418" spans="2:2" s="221" customFormat="1" ht="12.75" x14ac:dyDescent="0.2">
      <c r="B21418" s="1168"/>
    </row>
    <row r="21419" spans="2:2" s="221" customFormat="1" ht="12.75" x14ac:dyDescent="0.2">
      <c r="B21419" s="1168"/>
    </row>
    <row r="21420" spans="2:2" s="221" customFormat="1" ht="12.75" x14ac:dyDescent="0.2">
      <c r="B21420" s="1168"/>
    </row>
    <row r="21421" spans="2:2" s="221" customFormat="1" ht="12.75" x14ac:dyDescent="0.2">
      <c r="B21421" s="1168"/>
    </row>
    <row r="21422" spans="2:2" s="221" customFormat="1" ht="12.75" x14ac:dyDescent="0.2">
      <c r="B21422" s="1168"/>
    </row>
    <row r="21423" spans="2:2" s="221" customFormat="1" ht="12.75" x14ac:dyDescent="0.2">
      <c r="B21423" s="1168"/>
    </row>
    <row r="21424" spans="2:2" s="221" customFormat="1" ht="12.75" x14ac:dyDescent="0.2">
      <c r="B21424" s="1168"/>
    </row>
    <row r="21425" spans="2:2" s="221" customFormat="1" ht="12.75" x14ac:dyDescent="0.2">
      <c r="B21425" s="1168"/>
    </row>
    <row r="21426" spans="2:2" s="221" customFormat="1" ht="12.75" x14ac:dyDescent="0.2">
      <c r="B21426" s="1168"/>
    </row>
    <row r="21427" spans="2:2" s="221" customFormat="1" ht="12.75" x14ac:dyDescent="0.2">
      <c r="B21427" s="1168"/>
    </row>
    <row r="21428" spans="2:2" s="221" customFormat="1" ht="12.75" x14ac:dyDescent="0.2">
      <c r="B21428" s="1168"/>
    </row>
    <row r="21429" spans="2:2" s="221" customFormat="1" ht="12.75" x14ac:dyDescent="0.2">
      <c r="B21429" s="1168"/>
    </row>
    <row r="21430" spans="2:2" s="221" customFormat="1" ht="12.75" x14ac:dyDescent="0.2">
      <c r="B21430" s="1168"/>
    </row>
    <row r="21431" spans="2:2" s="221" customFormat="1" ht="12.75" x14ac:dyDescent="0.2">
      <c r="B21431" s="1168"/>
    </row>
    <row r="21432" spans="2:2" s="221" customFormat="1" ht="12.75" x14ac:dyDescent="0.2">
      <c r="B21432" s="1168"/>
    </row>
    <row r="21433" spans="2:2" s="221" customFormat="1" ht="12.75" x14ac:dyDescent="0.2">
      <c r="B21433" s="1168"/>
    </row>
    <row r="21434" spans="2:2" s="221" customFormat="1" ht="12.75" x14ac:dyDescent="0.2">
      <c r="B21434" s="1168"/>
    </row>
    <row r="21435" spans="2:2" s="221" customFormat="1" ht="12.75" x14ac:dyDescent="0.2">
      <c r="B21435" s="1168"/>
    </row>
    <row r="21436" spans="2:2" s="221" customFormat="1" ht="12.75" x14ac:dyDescent="0.2">
      <c r="B21436" s="1168"/>
    </row>
    <row r="21437" spans="2:2" s="221" customFormat="1" ht="12.75" x14ac:dyDescent="0.2">
      <c r="B21437" s="1168"/>
    </row>
    <row r="21438" spans="2:2" s="221" customFormat="1" ht="12.75" x14ac:dyDescent="0.2">
      <c r="B21438" s="1168"/>
    </row>
    <row r="21439" spans="2:2" s="221" customFormat="1" ht="12.75" x14ac:dyDescent="0.2">
      <c r="B21439" s="1168"/>
    </row>
    <row r="21440" spans="2:2" s="221" customFormat="1" ht="12.75" x14ac:dyDescent="0.2">
      <c r="B21440" s="1168"/>
    </row>
    <row r="21441" spans="2:2" s="221" customFormat="1" ht="12.75" x14ac:dyDescent="0.2">
      <c r="B21441" s="1168"/>
    </row>
    <row r="21442" spans="2:2" s="221" customFormat="1" ht="12.75" x14ac:dyDescent="0.2">
      <c r="B21442" s="1168"/>
    </row>
    <row r="21443" spans="2:2" s="221" customFormat="1" ht="12.75" x14ac:dyDescent="0.2">
      <c r="B21443" s="1168"/>
    </row>
    <row r="21444" spans="2:2" s="221" customFormat="1" ht="12.75" x14ac:dyDescent="0.2">
      <c r="B21444" s="1168"/>
    </row>
    <row r="21445" spans="2:2" s="221" customFormat="1" ht="12.75" x14ac:dyDescent="0.2">
      <c r="B21445" s="1168"/>
    </row>
    <row r="21446" spans="2:2" s="221" customFormat="1" ht="12.75" x14ac:dyDescent="0.2">
      <c r="B21446" s="1168"/>
    </row>
    <row r="21447" spans="2:2" s="221" customFormat="1" ht="12.75" x14ac:dyDescent="0.2">
      <c r="B21447" s="1168"/>
    </row>
    <row r="21448" spans="2:2" s="221" customFormat="1" ht="12.75" x14ac:dyDescent="0.2">
      <c r="B21448" s="1168"/>
    </row>
    <row r="21449" spans="2:2" s="221" customFormat="1" ht="12.75" x14ac:dyDescent="0.2">
      <c r="B21449" s="1168"/>
    </row>
    <row r="21450" spans="2:2" s="221" customFormat="1" ht="12.75" x14ac:dyDescent="0.2">
      <c r="B21450" s="1168"/>
    </row>
    <row r="21451" spans="2:2" s="221" customFormat="1" ht="12.75" x14ac:dyDescent="0.2">
      <c r="B21451" s="1168"/>
    </row>
    <row r="21452" spans="2:2" s="221" customFormat="1" ht="12.75" x14ac:dyDescent="0.2">
      <c r="B21452" s="1168"/>
    </row>
    <row r="21453" spans="2:2" s="221" customFormat="1" ht="12.75" x14ac:dyDescent="0.2">
      <c r="B21453" s="1168"/>
    </row>
    <row r="21454" spans="2:2" s="221" customFormat="1" ht="12.75" x14ac:dyDescent="0.2">
      <c r="B21454" s="1168"/>
    </row>
    <row r="21455" spans="2:2" s="221" customFormat="1" ht="12.75" x14ac:dyDescent="0.2">
      <c r="B21455" s="1168"/>
    </row>
    <row r="21456" spans="2:2" s="221" customFormat="1" ht="12.75" x14ac:dyDescent="0.2">
      <c r="B21456" s="1168"/>
    </row>
    <row r="21457" spans="2:2" s="221" customFormat="1" ht="12.75" x14ac:dyDescent="0.2">
      <c r="B21457" s="1168"/>
    </row>
    <row r="21458" spans="2:2" s="221" customFormat="1" ht="12.75" x14ac:dyDescent="0.2">
      <c r="B21458" s="1168"/>
    </row>
    <row r="21459" spans="2:2" s="221" customFormat="1" ht="12.75" x14ac:dyDescent="0.2">
      <c r="B21459" s="1168"/>
    </row>
    <row r="21460" spans="2:2" s="221" customFormat="1" ht="12.75" x14ac:dyDescent="0.2">
      <c r="B21460" s="1168"/>
    </row>
    <row r="21461" spans="2:2" s="221" customFormat="1" ht="12.75" x14ac:dyDescent="0.2">
      <c r="B21461" s="1168"/>
    </row>
    <row r="21462" spans="2:2" s="221" customFormat="1" ht="12.75" x14ac:dyDescent="0.2">
      <c r="B21462" s="1168"/>
    </row>
    <row r="21463" spans="2:2" s="221" customFormat="1" ht="12.75" x14ac:dyDescent="0.2">
      <c r="B21463" s="1168"/>
    </row>
    <row r="21464" spans="2:2" s="221" customFormat="1" ht="12.75" x14ac:dyDescent="0.2">
      <c r="B21464" s="1168"/>
    </row>
    <row r="21465" spans="2:2" s="221" customFormat="1" ht="12.75" x14ac:dyDescent="0.2">
      <c r="B21465" s="1168"/>
    </row>
    <row r="21466" spans="2:2" s="221" customFormat="1" ht="12.75" x14ac:dyDescent="0.2">
      <c r="B21466" s="1168"/>
    </row>
    <row r="21467" spans="2:2" s="221" customFormat="1" ht="12.75" x14ac:dyDescent="0.2">
      <c r="B21467" s="1168"/>
    </row>
    <row r="21468" spans="2:2" s="221" customFormat="1" ht="12.75" x14ac:dyDescent="0.2">
      <c r="B21468" s="1168"/>
    </row>
    <row r="21469" spans="2:2" s="221" customFormat="1" ht="12.75" x14ac:dyDescent="0.2">
      <c r="B21469" s="1168"/>
    </row>
    <row r="21470" spans="2:2" s="221" customFormat="1" ht="12.75" x14ac:dyDescent="0.2">
      <c r="B21470" s="1168"/>
    </row>
    <row r="21471" spans="2:2" s="221" customFormat="1" ht="12.75" x14ac:dyDescent="0.2">
      <c r="B21471" s="1168"/>
    </row>
    <row r="21472" spans="2:2" s="221" customFormat="1" ht="12.75" x14ac:dyDescent="0.2">
      <c r="B21472" s="1168"/>
    </row>
    <row r="21473" spans="2:2" s="221" customFormat="1" ht="12.75" x14ac:dyDescent="0.2">
      <c r="B21473" s="1168"/>
    </row>
    <row r="21474" spans="2:2" s="221" customFormat="1" ht="12.75" x14ac:dyDescent="0.2">
      <c r="B21474" s="1168"/>
    </row>
    <row r="21475" spans="2:2" s="221" customFormat="1" ht="12.75" x14ac:dyDescent="0.2">
      <c r="B21475" s="1168"/>
    </row>
    <row r="21476" spans="2:2" s="221" customFormat="1" ht="12.75" x14ac:dyDescent="0.2">
      <c r="B21476" s="1168"/>
    </row>
    <row r="21477" spans="2:2" s="221" customFormat="1" ht="12.75" x14ac:dyDescent="0.2">
      <c r="B21477" s="1168"/>
    </row>
    <row r="21478" spans="2:2" s="221" customFormat="1" ht="12.75" x14ac:dyDescent="0.2">
      <c r="B21478" s="1168"/>
    </row>
    <row r="21479" spans="2:2" s="221" customFormat="1" ht="12.75" x14ac:dyDescent="0.2">
      <c r="B21479" s="1168"/>
    </row>
    <row r="21480" spans="2:2" s="221" customFormat="1" ht="12.75" x14ac:dyDescent="0.2">
      <c r="B21480" s="1168"/>
    </row>
    <row r="21481" spans="2:2" s="221" customFormat="1" ht="12.75" x14ac:dyDescent="0.2">
      <c r="B21481" s="1168"/>
    </row>
    <row r="21482" spans="2:2" s="221" customFormat="1" ht="12.75" x14ac:dyDescent="0.2">
      <c r="B21482" s="1168"/>
    </row>
    <row r="21483" spans="2:2" s="221" customFormat="1" ht="12.75" x14ac:dyDescent="0.2">
      <c r="B21483" s="1168"/>
    </row>
    <row r="21484" spans="2:2" s="221" customFormat="1" ht="12.75" x14ac:dyDescent="0.2">
      <c r="B21484" s="1168"/>
    </row>
    <row r="21485" spans="2:2" s="221" customFormat="1" ht="12.75" x14ac:dyDescent="0.2">
      <c r="B21485" s="1168"/>
    </row>
    <row r="21486" spans="2:2" s="221" customFormat="1" ht="12.75" x14ac:dyDescent="0.2">
      <c r="B21486" s="1168"/>
    </row>
    <row r="21487" spans="2:2" s="221" customFormat="1" ht="12.75" x14ac:dyDescent="0.2">
      <c r="B21487" s="1168"/>
    </row>
    <row r="21488" spans="2:2" s="221" customFormat="1" ht="12.75" x14ac:dyDescent="0.2">
      <c r="B21488" s="1168"/>
    </row>
    <row r="21489" spans="2:2" s="221" customFormat="1" ht="12.75" x14ac:dyDescent="0.2">
      <c r="B21489" s="1168"/>
    </row>
    <row r="21490" spans="2:2" s="221" customFormat="1" ht="12.75" x14ac:dyDescent="0.2">
      <c r="B21490" s="1168"/>
    </row>
    <row r="21491" spans="2:2" s="221" customFormat="1" ht="12.75" x14ac:dyDescent="0.2">
      <c r="B21491" s="1168"/>
    </row>
    <row r="21492" spans="2:2" s="221" customFormat="1" ht="12.75" x14ac:dyDescent="0.2">
      <c r="B21492" s="1168"/>
    </row>
    <row r="21493" spans="2:2" s="221" customFormat="1" ht="12.75" x14ac:dyDescent="0.2">
      <c r="B21493" s="1168"/>
    </row>
    <row r="21494" spans="2:2" s="221" customFormat="1" ht="12.75" x14ac:dyDescent="0.2">
      <c r="B21494" s="1168"/>
    </row>
    <row r="21495" spans="2:2" s="221" customFormat="1" ht="12.75" x14ac:dyDescent="0.2">
      <c r="B21495" s="1168"/>
    </row>
    <row r="21496" spans="2:2" s="221" customFormat="1" ht="12.75" x14ac:dyDescent="0.2">
      <c r="B21496" s="1168"/>
    </row>
    <row r="21497" spans="2:2" s="221" customFormat="1" ht="12.75" x14ac:dyDescent="0.2">
      <c r="B21497" s="1168"/>
    </row>
    <row r="21498" spans="2:2" s="221" customFormat="1" ht="12.75" x14ac:dyDescent="0.2">
      <c r="B21498" s="1168"/>
    </row>
    <row r="21499" spans="2:2" s="221" customFormat="1" ht="12.75" x14ac:dyDescent="0.2">
      <c r="B21499" s="1168"/>
    </row>
    <row r="21500" spans="2:2" s="221" customFormat="1" ht="12.75" x14ac:dyDescent="0.2">
      <c r="B21500" s="1168"/>
    </row>
    <row r="21501" spans="2:2" s="221" customFormat="1" ht="12.75" x14ac:dyDescent="0.2">
      <c r="B21501" s="1168"/>
    </row>
    <row r="21502" spans="2:2" s="221" customFormat="1" ht="12.75" x14ac:dyDescent="0.2">
      <c r="B21502" s="1168"/>
    </row>
    <row r="21503" spans="2:2" s="221" customFormat="1" ht="12.75" x14ac:dyDescent="0.2">
      <c r="B21503" s="1168"/>
    </row>
    <row r="21504" spans="2:2" s="221" customFormat="1" ht="12.75" x14ac:dyDescent="0.2">
      <c r="B21504" s="1168"/>
    </row>
    <row r="21505" spans="2:2" s="221" customFormat="1" ht="12.75" x14ac:dyDescent="0.2">
      <c r="B21505" s="1168"/>
    </row>
    <row r="21506" spans="2:2" s="221" customFormat="1" ht="12.75" x14ac:dyDescent="0.2">
      <c r="B21506" s="1168"/>
    </row>
    <row r="21507" spans="2:2" s="221" customFormat="1" ht="12.75" x14ac:dyDescent="0.2">
      <c r="B21507" s="1168"/>
    </row>
    <row r="21508" spans="2:2" s="221" customFormat="1" ht="12.75" x14ac:dyDescent="0.2">
      <c r="B21508" s="1168"/>
    </row>
    <row r="21509" spans="2:2" s="221" customFormat="1" ht="12.75" x14ac:dyDescent="0.2">
      <c r="B21509" s="1168"/>
    </row>
    <row r="21510" spans="2:2" s="221" customFormat="1" ht="12.75" x14ac:dyDescent="0.2">
      <c r="B21510" s="1168"/>
    </row>
    <row r="21511" spans="2:2" s="221" customFormat="1" ht="12.75" x14ac:dyDescent="0.2">
      <c r="B21511" s="1168"/>
    </row>
    <row r="21512" spans="2:2" s="221" customFormat="1" ht="12.75" x14ac:dyDescent="0.2">
      <c r="B21512" s="1168"/>
    </row>
    <row r="21513" spans="2:2" s="221" customFormat="1" ht="12.75" x14ac:dyDescent="0.2">
      <c r="B21513" s="1168"/>
    </row>
    <row r="21514" spans="2:2" s="221" customFormat="1" ht="12.75" x14ac:dyDescent="0.2">
      <c r="B21514" s="1168"/>
    </row>
    <row r="21515" spans="2:2" s="221" customFormat="1" ht="12.75" x14ac:dyDescent="0.2">
      <c r="B21515" s="1168"/>
    </row>
    <row r="21516" spans="2:2" s="221" customFormat="1" ht="12.75" x14ac:dyDescent="0.2">
      <c r="B21516" s="1168"/>
    </row>
    <row r="21517" spans="2:2" s="221" customFormat="1" ht="12.75" x14ac:dyDescent="0.2">
      <c r="B21517" s="1168"/>
    </row>
    <row r="21518" spans="2:2" s="221" customFormat="1" ht="12.75" x14ac:dyDescent="0.2">
      <c r="B21518" s="1168"/>
    </row>
    <row r="21519" spans="2:2" s="221" customFormat="1" ht="12.75" x14ac:dyDescent="0.2">
      <c r="B21519" s="1168"/>
    </row>
    <row r="21520" spans="2:2" s="221" customFormat="1" ht="12.75" x14ac:dyDescent="0.2">
      <c r="B21520" s="1168"/>
    </row>
    <row r="21521" spans="2:2" s="221" customFormat="1" ht="12.75" x14ac:dyDescent="0.2">
      <c r="B21521" s="1168"/>
    </row>
    <row r="21522" spans="2:2" s="221" customFormat="1" ht="12.75" x14ac:dyDescent="0.2">
      <c r="B21522" s="1168"/>
    </row>
    <row r="21523" spans="2:2" s="221" customFormat="1" ht="12.75" x14ac:dyDescent="0.2">
      <c r="B21523" s="1168"/>
    </row>
    <row r="21524" spans="2:2" s="221" customFormat="1" ht="12.75" x14ac:dyDescent="0.2">
      <c r="B21524" s="1168"/>
    </row>
    <row r="21525" spans="2:2" s="221" customFormat="1" ht="12.75" x14ac:dyDescent="0.2">
      <c r="B21525" s="1168"/>
    </row>
    <row r="21526" spans="2:2" s="221" customFormat="1" ht="12.75" x14ac:dyDescent="0.2">
      <c r="B21526" s="1168"/>
    </row>
    <row r="21527" spans="2:2" s="221" customFormat="1" ht="12.75" x14ac:dyDescent="0.2">
      <c r="B21527" s="1168"/>
    </row>
    <row r="21528" spans="2:2" s="221" customFormat="1" ht="12.75" x14ac:dyDescent="0.2">
      <c r="B21528" s="1168"/>
    </row>
    <row r="21529" spans="2:2" s="221" customFormat="1" ht="12.75" x14ac:dyDescent="0.2">
      <c r="B21529" s="1168"/>
    </row>
    <row r="21530" spans="2:2" s="221" customFormat="1" ht="12.75" x14ac:dyDescent="0.2">
      <c r="B21530" s="1168"/>
    </row>
    <row r="21531" spans="2:2" s="221" customFormat="1" ht="12.75" x14ac:dyDescent="0.2">
      <c r="B21531" s="1168"/>
    </row>
    <row r="21532" spans="2:2" s="221" customFormat="1" ht="12.75" x14ac:dyDescent="0.2">
      <c r="B21532" s="1168"/>
    </row>
    <row r="21533" spans="2:2" s="221" customFormat="1" ht="12.75" x14ac:dyDescent="0.2">
      <c r="B21533" s="1168"/>
    </row>
    <row r="21534" spans="2:2" s="221" customFormat="1" ht="12.75" x14ac:dyDescent="0.2">
      <c r="B21534" s="1168"/>
    </row>
    <row r="21535" spans="2:2" s="221" customFormat="1" ht="12.75" x14ac:dyDescent="0.2">
      <c r="B21535" s="1168"/>
    </row>
    <row r="21536" spans="2:2" s="221" customFormat="1" ht="12.75" x14ac:dyDescent="0.2">
      <c r="B21536" s="1168"/>
    </row>
    <row r="21537" spans="2:2" s="221" customFormat="1" ht="12.75" x14ac:dyDescent="0.2">
      <c r="B21537" s="1168"/>
    </row>
    <row r="21538" spans="2:2" s="221" customFormat="1" ht="12.75" x14ac:dyDescent="0.2">
      <c r="B21538" s="1168"/>
    </row>
    <row r="21539" spans="2:2" s="221" customFormat="1" ht="12.75" x14ac:dyDescent="0.2">
      <c r="B21539" s="1168"/>
    </row>
    <row r="21540" spans="2:2" s="221" customFormat="1" ht="12.75" x14ac:dyDescent="0.2">
      <c r="B21540" s="1168"/>
    </row>
    <row r="21541" spans="2:2" s="221" customFormat="1" ht="12.75" x14ac:dyDescent="0.2">
      <c r="B21541" s="1168"/>
    </row>
    <row r="21542" spans="2:2" s="221" customFormat="1" ht="12.75" x14ac:dyDescent="0.2">
      <c r="B21542" s="1168"/>
    </row>
    <row r="21543" spans="2:2" s="221" customFormat="1" ht="12.75" x14ac:dyDescent="0.2">
      <c r="B21543" s="1168"/>
    </row>
    <row r="21544" spans="2:2" s="221" customFormat="1" ht="12.75" x14ac:dyDescent="0.2">
      <c r="B21544" s="1168"/>
    </row>
    <row r="21545" spans="2:2" s="221" customFormat="1" ht="12.75" x14ac:dyDescent="0.2">
      <c r="B21545" s="1168"/>
    </row>
    <row r="21546" spans="2:2" s="221" customFormat="1" ht="12.75" x14ac:dyDescent="0.2">
      <c r="B21546" s="1168"/>
    </row>
    <row r="21547" spans="2:2" s="221" customFormat="1" ht="12.75" x14ac:dyDescent="0.2">
      <c r="B21547" s="1168"/>
    </row>
    <row r="21548" spans="2:2" s="221" customFormat="1" ht="12.75" x14ac:dyDescent="0.2">
      <c r="B21548" s="1168"/>
    </row>
    <row r="21549" spans="2:2" s="221" customFormat="1" ht="12.75" x14ac:dyDescent="0.2">
      <c r="B21549" s="1168"/>
    </row>
    <row r="21550" spans="2:2" s="221" customFormat="1" ht="12.75" x14ac:dyDescent="0.2">
      <c r="B21550" s="1168"/>
    </row>
    <row r="21551" spans="2:2" s="221" customFormat="1" ht="12.75" x14ac:dyDescent="0.2">
      <c r="B21551" s="1168"/>
    </row>
    <row r="21552" spans="2:2" s="221" customFormat="1" ht="12.75" x14ac:dyDescent="0.2">
      <c r="B21552" s="1168"/>
    </row>
    <row r="21553" spans="2:2" s="221" customFormat="1" ht="12.75" x14ac:dyDescent="0.2">
      <c r="B21553" s="1168"/>
    </row>
    <row r="21554" spans="2:2" s="221" customFormat="1" ht="12.75" x14ac:dyDescent="0.2">
      <c r="B21554" s="1168"/>
    </row>
    <row r="21555" spans="2:2" s="221" customFormat="1" ht="12.75" x14ac:dyDescent="0.2">
      <c r="B21555" s="1168"/>
    </row>
    <row r="21556" spans="2:2" s="221" customFormat="1" ht="12.75" x14ac:dyDescent="0.2">
      <c r="B21556" s="1168"/>
    </row>
    <row r="21557" spans="2:2" s="221" customFormat="1" ht="12.75" x14ac:dyDescent="0.2">
      <c r="B21557" s="1168"/>
    </row>
    <row r="21558" spans="2:2" s="221" customFormat="1" ht="12.75" x14ac:dyDescent="0.2">
      <c r="B21558" s="1168"/>
    </row>
    <row r="21559" spans="2:2" s="221" customFormat="1" ht="12.75" x14ac:dyDescent="0.2">
      <c r="B21559" s="1168"/>
    </row>
    <row r="21560" spans="2:2" s="221" customFormat="1" ht="12.75" x14ac:dyDescent="0.2">
      <c r="B21560" s="1168"/>
    </row>
    <row r="21561" spans="2:2" s="221" customFormat="1" ht="12.75" x14ac:dyDescent="0.2">
      <c r="B21561" s="1168"/>
    </row>
    <row r="21562" spans="2:2" s="221" customFormat="1" ht="12.75" x14ac:dyDescent="0.2">
      <c r="B21562" s="1168"/>
    </row>
    <row r="21563" spans="2:2" s="221" customFormat="1" ht="12.75" x14ac:dyDescent="0.2">
      <c r="B21563" s="1168"/>
    </row>
    <row r="21564" spans="2:2" s="221" customFormat="1" ht="12.75" x14ac:dyDescent="0.2">
      <c r="B21564" s="1168"/>
    </row>
    <row r="21565" spans="2:2" s="221" customFormat="1" ht="12.75" x14ac:dyDescent="0.2">
      <c r="B21565" s="1168"/>
    </row>
    <row r="21566" spans="2:2" s="221" customFormat="1" ht="12.75" x14ac:dyDescent="0.2">
      <c r="B21566" s="1168"/>
    </row>
    <row r="21567" spans="2:2" s="221" customFormat="1" ht="12.75" x14ac:dyDescent="0.2">
      <c r="B21567" s="1168"/>
    </row>
    <row r="21568" spans="2:2" s="221" customFormat="1" ht="12.75" x14ac:dyDescent="0.2">
      <c r="B21568" s="1168"/>
    </row>
    <row r="21569" spans="2:2" s="221" customFormat="1" ht="12.75" x14ac:dyDescent="0.2">
      <c r="B21569" s="1168"/>
    </row>
    <row r="21570" spans="2:2" s="221" customFormat="1" ht="12.75" x14ac:dyDescent="0.2">
      <c r="B21570" s="1168"/>
    </row>
    <row r="21571" spans="2:2" s="221" customFormat="1" ht="12.75" x14ac:dyDescent="0.2">
      <c r="B21571" s="1168"/>
    </row>
    <row r="21572" spans="2:2" s="221" customFormat="1" ht="12.75" x14ac:dyDescent="0.2">
      <c r="B21572" s="1168"/>
    </row>
    <row r="21573" spans="2:2" s="221" customFormat="1" ht="12.75" x14ac:dyDescent="0.2">
      <c r="B21573" s="1168"/>
    </row>
    <row r="21574" spans="2:2" s="221" customFormat="1" ht="12.75" x14ac:dyDescent="0.2">
      <c r="B21574" s="1168"/>
    </row>
    <row r="21575" spans="2:2" s="221" customFormat="1" ht="12.75" x14ac:dyDescent="0.2">
      <c r="B21575" s="1168"/>
    </row>
    <row r="21576" spans="2:2" s="221" customFormat="1" ht="12.75" x14ac:dyDescent="0.2">
      <c r="B21576" s="1168"/>
    </row>
    <row r="21577" spans="2:2" s="221" customFormat="1" ht="12.75" x14ac:dyDescent="0.2">
      <c r="B21577" s="1168"/>
    </row>
    <row r="21578" spans="2:2" s="221" customFormat="1" ht="12.75" x14ac:dyDescent="0.2">
      <c r="B21578" s="1168"/>
    </row>
    <row r="21579" spans="2:2" s="221" customFormat="1" ht="12.75" x14ac:dyDescent="0.2">
      <c r="B21579" s="1168"/>
    </row>
    <row r="21580" spans="2:2" s="221" customFormat="1" ht="12.75" x14ac:dyDescent="0.2">
      <c r="B21580" s="1168"/>
    </row>
    <row r="21581" spans="2:2" s="221" customFormat="1" ht="12.75" x14ac:dyDescent="0.2">
      <c r="B21581" s="1168"/>
    </row>
    <row r="21582" spans="2:2" s="221" customFormat="1" ht="12.75" x14ac:dyDescent="0.2">
      <c r="B21582" s="1168"/>
    </row>
    <row r="21583" spans="2:2" s="221" customFormat="1" ht="12.75" x14ac:dyDescent="0.2">
      <c r="B21583" s="1168"/>
    </row>
    <row r="21584" spans="2:2" s="221" customFormat="1" ht="12.75" x14ac:dyDescent="0.2">
      <c r="B21584" s="1168"/>
    </row>
    <row r="21585" spans="2:2" s="221" customFormat="1" ht="12.75" x14ac:dyDescent="0.2">
      <c r="B21585" s="1168"/>
    </row>
    <row r="21586" spans="2:2" s="221" customFormat="1" ht="12.75" x14ac:dyDescent="0.2">
      <c r="B21586" s="1168"/>
    </row>
    <row r="21587" spans="2:2" s="221" customFormat="1" ht="12.75" x14ac:dyDescent="0.2">
      <c r="B21587" s="1168"/>
    </row>
    <row r="21588" spans="2:2" s="221" customFormat="1" ht="12.75" x14ac:dyDescent="0.2">
      <c r="B21588" s="1168"/>
    </row>
    <row r="21589" spans="2:2" s="221" customFormat="1" ht="12.75" x14ac:dyDescent="0.2">
      <c r="B21589" s="1168"/>
    </row>
    <row r="21590" spans="2:2" s="221" customFormat="1" ht="12.75" x14ac:dyDescent="0.2">
      <c r="B21590" s="1168"/>
    </row>
    <row r="21591" spans="2:2" s="221" customFormat="1" ht="12.75" x14ac:dyDescent="0.2">
      <c r="B21591" s="1168"/>
    </row>
    <row r="21592" spans="2:2" s="221" customFormat="1" ht="12.75" x14ac:dyDescent="0.2">
      <c r="B21592" s="1168"/>
    </row>
    <row r="21593" spans="2:2" s="221" customFormat="1" ht="12.75" x14ac:dyDescent="0.2">
      <c r="B21593" s="1168"/>
    </row>
    <row r="21594" spans="2:2" s="221" customFormat="1" ht="12.75" x14ac:dyDescent="0.2">
      <c r="B21594" s="1168"/>
    </row>
    <row r="21595" spans="2:2" s="221" customFormat="1" ht="12.75" x14ac:dyDescent="0.2">
      <c r="B21595" s="1168"/>
    </row>
    <row r="21596" spans="2:2" s="221" customFormat="1" ht="12.75" x14ac:dyDescent="0.2">
      <c r="B21596" s="1168"/>
    </row>
    <row r="21597" spans="2:2" s="221" customFormat="1" ht="12.75" x14ac:dyDescent="0.2">
      <c r="B21597" s="1168"/>
    </row>
    <row r="21598" spans="2:2" s="221" customFormat="1" ht="12.75" x14ac:dyDescent="0.2">
      <c r="B21598" s="1168"/>
    </row>
    <row r="21599" spans="2:2" s="221" customFormat="1" ht="12.75" x14ac:dyDescent="0.2">
      <c r="B21599" s="1168"/>
    </row>
    <row r="21600" spans="2:2" s="221" customFormat="1" ht="12.75" x14ac:dyDescent="0.2">
      <c r="B21600" s="1168"/>
    </row>
    <row r="21601" spans="2:2" s="221" customFormat="1" ht="12.75" x14ac:dyDescent="0.2">
      <c r="B21601" s="1168"/>
    </row>
    <row r="21602" spans="2:2" s="221" customFormat="1" ht="12.75" x14ac:dyDescent="0.2">
      <c r="B21602" s="1168"/>
    </row>
    <row r="21603" spans="2:2" s="221" customFormat="1" ht="12.75" x14ac:dyDescent="0.2">
      <c r="B21603" s="1168"/>
    </row>
    <row r="21604" spans="2:2" s="221" customFormat="1" ht="12.75" x14ac:dyDescent="0.2">
      <c r="B21604" s="1168"/>
    </row>
    <row r="21605" spans="2:2" s="221" customFormat="1" ht="12.75" x14ac:dyDescent="0.2">
      <c r="B21605" s="1168"/>
    </row>
    <row r="21606" spans="2:2" s="221" customFormat="1" ht="12.75" x14ac:dyDescent="0.2">
      <c r="B21606" s="1168"/>
    </row>
    <row r="21607" spans="2:2" s="221" customFormat="1" ht="12.75" x14ac:dyDescent="0.2">
      <c r="B21607" s="1168"/>
    </row>
    <row r="21608" spans="2:2" s="221" customFormat="1" ht="12.75" x14ac:dyDescent="0.2">
      <c r="B21608" s="1168"/>
    </row>
    <row r="21609" spans="2:2" s="221" customFormat="1" ht="12.75" x14ac:dyDescent="0.2">
      <c r="B21609" s="1168"/>
    </row>
    <row r="21610" spans="2:2" s="221" customFormat="1" ht="12.75" x14ac:dyDescent="0.2">
      <c r="B21610" s="1168"/>
    </row>
    <row r="21611" spans="2:2" s="221" customFormat="1" ht="12.75" x14ac:dyDescent="0.2">
      <c r="B21611" s="1168"/>
    </row>
    <row r="21612" spans="2:2" s="221" customFormat="1" ht="12.75" x14ac:dyDescent="0.2">
      <c r="B21612" s="1168"/>
    </row>
    <row r="21613" spans="2:2" s="221" customFormat="1" ht="12.75" x14ac:dyDescent="0.2">
      <c r="B21613" s="1168"/>
    </row>
    <row r="21614" spans="2:2" s="221" customFormat="1" ht="12.75" x14ac:dyDescent="0.2">
      <c r="B21614" s="1168"/>
    </row>
    <row r="21615" spans="2:2" s="221" customFormat="1" ht="12.75" x14ac:dyDescent="0.2">
      <c r="B21615" s="1168"/>
    </row>
    <row r="21616" spans="2:2" s="221" customFormat="1" ht="12.75" x14ac:dyDescent="0.2">
      <c r="B21616" s="1168"/>
    </row>
    <row r="21617" spans="2:2" s="221" customFormat="1" ht="12.75" x14ac:dyDescent="0.2">
      <c r="B21617" s="1168"/>
    </row>
    <row r="21618" spans="2:2" s="221" customFormat="1" ht="12.75" x14ac:dyDescent="0.2">
      <c r="B21618" s="1168"/>
    </row>
    <row r="21619" spans="2:2" s="221" customFormat="1" ht="12.75" x14ac:dyDescent="0.2">
      <c r="B21619" s="1168"/>
    </row>
    <row r="21620" spans="2:2" s="221" customFormat="1" ht="12.75" x14ac:dyDescent="0.2">
      <c r="B21620" s="1168"/>
    </row>
    <row r="21621" spans="2:2" s="221" customFormat="1" ht="12.75" x14ac:dyDescent="0.2">
      <c r="B21621" s="1168"/>
    </row>
    <row r="21622" spans="2:2" s="221" customFormat="1" ht="12.75" x14ac:dyDescent="0.2">
      <c r="B21622" s="1168"/>
    </row>
    <row r="21623" spans="2:2" s="221" customFormat="1" ht="12.75" x14ac:dyDescent="0.2">
      <c r="B21623" s="1168"/>
    </row>
    <row r="21624" spans="2:2" s="221" customFormat="1" ht="12.75" x14ac:dyDescent="0.2">
      <c r="B21624" s="1168"/>
    </row>
    <row r="21625" spans="2:2" s="221" customFormat="1" ht="12.75" x14ac:dyDescent="0.2">
      <c r="B21625" s="1168"/>
    </row>
    <row r="21626" spans="2:2" s="221" customFormat="1" ht="12.75" x14ac:dyDescent="0.2">
      <c r="B21626" s="1168"/>
    </row>
    <row r="21627" spans="2:2" s="221" customFormat="1" ht="12.75" x14ac:dyDescent="0.2">
      <c r="B21627" s="1168"/>
    </row>
    <row r="21628" spans="2:2" s="221" customFormat="1" ht="12.75" x14ac:dyDescent="0.2">
      <c r="B21628" s="1168"/>
    </row>
    <row r="21629" spans="2:2" s="221" customFormat="1" ht="12.75" x14ac:dyDescent="0.2">
      <c r="B21629" s="1168"/>
    </row>
    <row r="21630" spans="2:2" s="221" customFormat="1" ht="12.75" x14ac:dyDescent="0.2">
      <c r="B21630" s="1168"/>
    </row>
    <row r="21631" spans="2:2" s="221" customFormat="1" ht="12.75" x14ac:dyDescent="0.2">
      <c r="B21631" s="1168"/>
    </row>
    <row r="21632" spans="2:2" s="221" customFormat="1" ht="12.75" x14ac:dyDescent="0.2">
      <c r="B21632" s="1168"/>
    </row>
    <row r="21633" spans="2:2" s="221" customFormat="1" ht="12.75" x14ac:dyDescent="0.2">
      <c r="B21633" s="1168"/>
    </row>
    <row r="21634" spans="2:2" s="221" customFormat="1" ht="12.75" x14ac:dyDescent="0.2">
      <c r="B21634" s="1168"/>
    </row>
    <row r="21635" spans="2:2" s="221" customFormat="1" ht="12.75" x14ac:dyDescent="0.2">
      <c r="B21635" s="1168"/>
    </row>
    <row r="21636" spans="2:2" s="221" customFormat="1" ht="12.75" x14ac:dyDescent="0.2">
      <c r="B21636" s="1168"/>
    </row>
    <row r="21637" spans="2:2" s="221" customFormat="1" ht="12.75" x14ac:dyDescent="0.2">
      <c r="B21637" s="1168"/>
    </row>
    <row r="21638" spans="2:2" s="221" customFormat="1" ht="12.75" x14ac:dyDescent="0.2">
      <c r="B21638" s="1168"/>
    </row>
    <row r="21639" spans="2:2" s="221" customFormat="1" ht="12.75" x14ac:dyDescent="0.2">
      <c r="B21639" s="1168"/>
    </row>
    <row r="21640" spans="2:2" s="221" customFormat="1" ht="12.75" x14ac:dyDescent="0.2">
      <c r="B21640" s="1168"/>
    </row>
    <row r="21641" spans="2:2" s="221" customFormat="1" ht="12.75" x14ac:dyDescent="0.2">
      <c r="B21641" s="1168"/>
    </row>
    <row r="21642" spans="2:2" s="221" customFormat="1" ht="12.75" x14ac:dyDescent="0.2">
      <c r="B21642" s="1168"/>
    </row>
    <row r="21643" spans="2:2" s="221" customFormat="1" ht="12.75" x14ac:dyDescent="0.2">
      <c r="B21643" s="1168"/>
    </row>
    <row r="21644" spans="2:2" s="221" customFormat="1" ht="12.75" x14ac:dyDescent="0.2">
      <c r="B21644" s="1168"/>
    </row>
    <row r="21645" spans="2:2" s="221" customFormat="1" ht="12.75" x14ac:dyDescent="0.2">
      <c r="B21645" s="1168"/>
    </row>
    <row r="21646" spans="2:2" s="221" customFormat="1" ht="12.75" x14ac:dyDescent="0.2">
      <c r="B21646" s="1168"/>
    </row>
    <row r="21647" spans="2:2" s="221" customFormat="1" ht="12.75" x14ac:dyDescent="0.2">
      <c r="B21647" s="1168"/>
    </row>
    <row r="21648" spans="2:2" s="221" customFormat="1" ht="12.75" x14ac:dyDescent="0.2">
      <c r="B21648" s="1168"/>
    </row>
    <row r="21649" spans="2:2" s="221" customFormat="1" ht="12.75" x14ac:dyDescent="0.2">
      <c r="B21649" s="1168"/>
    </row>
    <row r="21650" spans="2:2" s="221" customFormat="1" ht="12.75" x14ac:dyDescent="0.2">
      <c r="B21650" s="1168"/>
    </row>
    <row r="21651" spans="2:2" s="221" customFormat="1" ht="12.75" x14ac:dyDescent="0.2">
      <c r="B21651" s="1168"/>
    </row>
    <row r="21652" spans="2:2" s="221" customFormat="1" ht="12.75" x14ac:dyDescent="0.2">
      <c r="B21652" s="1168"/>
    </row>
    <row r="21653" spans="2:2" s="221" customFormat="1" ht="12.75" x14ac:dyDescent="0.2">
      <c r="B21653" s="1168"/>
    </row>
    <row r="21654" spans="2:2" s="221" customFormat="1" ht="12.75" x14ac:dyDescent="0.2">
      <c r="B21654" s="1168"/>
    </row>
    <row r="21655" spans="2:2" s="221" customFormat="1" ht="12.75" x14ac:dyDescent="0.2">
      <c r="B21655" s="1168"/>
    </row>
    <row r="21656" spans="2:2" s="221" customFormat="1" ht="12.75" x14ac:dyDescent="0.2">
      <c r="B21656" s="1168"/>
    </row>
    <row r="21657" spans="2:2" s="221" customFormat="1" ht="12.75" x14ac:dyDescent="0.2">
      <c r="B21657" s="1168"/>
    </row>
    <row r="21658" spans="2:2" s="221" customFormat="1" ht="12.75" x14ac:dyDescent="0.2">
      <c r="B21658" s="1168"/>
    </row>
    <row r="21659" spans="2:2" s="221" customFormat="1" ht="12.75" x14ac:dyDescent="0.2">
      <c r="B21659" s="1168"/>
    </row>
    <row r="21660" spans="2:2" s="221" customFormat="1" ht="12.75" x14ac:dyDescent="0.2">
      <c r="B21660" s="1168"/>
    </row>
    <row r="21661" spans="2:2" s="221" customFormat="1" ht="12.75" x14ac:dyDescent="0.2">
      <c r="B21661" s="1168"/>
    </row>
    <row r="21662" spans="2:2" s="221" customFormat="1" ht="12.75" x14ac:dyDescent="0.2">
      <c r="B21662" s="1168"/>
    </row>
    <row r="21663" spans="2:2" s="221" customFormat="1" ht="12.75" x14ac:dyDescent="0.2">
      <c r="B21663" s="1168"/>
    </row>
    <row r="21664" spans="2:2" s="221" customFormat="1" ht="12.75" x14ac:dyDescent="0.2">
      <c r="B21664" s="1168"/>
    </row>
    <row r="21665" spans="2:2" s="221" customFormat="1" ht="12.75" x14ac:dyDescent="0.2">
      <c r="B21665" s="1168"/>
    </row>
    <row r="21666" spans="2:2" s="221" customFormat="1" ht="12.75" x14ac:dyDescent="0.2">
      <c r="B21666" s="1168"/>
    </row>
    <row r="21667" spans="2:2" s="221" customFormat="1" ht="12.75" x14ac:dyDescent="0.2">
      <c r="B21667" s="1168"/>
    </row>
    <row r="21668" spans="2:2" s="221" customFormat="1" ht="12.75" x14ac:dyDescent="0.2">
      <c r="B21668" s="1168"/>
    </row>
    <row r="21669" spans="2:2" s="221" customFormat="1" ht="12.75" x14ac:dyDescent="0.2">
      <c r="B21669" s="1168"/>
    </row>
    <row r="21670" spans="2:2" s="221" customFormat="1" ht="12.75" x14ac:dyDescent="0.2">
      <c r="B21670" s="1168"/>
    </row>
    <row r="21671" spans="2:2" s="221" customFormat="1" ht="12.75" x14ac:dyDescent="0.2">
      <c r="B21671" s="1168"/>
    </row>
    <row r="21672" spans="2:2" s="221" customFormat="1" ht="12.75" x14ac:dyDescent="0.2">
      <c r="B21672" s="1168"/>
    </row>
    <row r="21673" spans="2:2" s="221" customFormat="1" ht="12.75" x14ac:dyDescent="0.2">
      <c r="B21673" s="1168"/>
    </row>
    <row r="21674" spans="2:2" s="221" customFormat="1" ht="12.75" x14ac:dyDescent="0.2">
      <c r="B21674" s="1168"/>
    </row>
    <row r="21675" spans="2:2" s="221" customFormat="1" ht="12.75" x14ac:dyDescent="0.2">
      <c r="B21675" s="1168"/>
    </row>
    <row r="21676" spans="2:2" s="221" customFormat="1" ht="12.75" x14ac:dyDescent="0.2">
      <c r="B21676" s="1168"/>
    </row>
    <row r="21677" spans="2:2" s="221" customFormat="1" ht="12.75" x14ac:dyDescent="0.2">
      <c r="B21677" s="1168"/>
    </row>
    <row r="21678" spans="2:2" s="221" customFormat="1" ht="12.75" x14ac:dyDescent="0.2">
      <c r="B21678" s="1168"/>
    </row>
    <row r="21679" spans="2:2" s="221" customFormat="1" ht="12.75" x14ac:dyDescent="0.2">
      <c r="B21679" s="1168"/>
    </row>
    <row r="21680" spans="2:2" s="221" customFormat="1" ht="12.75" x14ac:dyDescent="0.2">
      <c r="B21680" s="1168"/>
    </row>
    <row r="21681" spans="2:2" s="221" customFormat="1" ht="12.75" x14ac:dyDescent="0.2">
      <c r="B21681" s="1168"/>
    </row>
    <row r="21682" spans="2:2" s="221" customFormat="1" ht="12.75" x14ac:dyDescent="0.2">
      <c r="B21682" s="1168"/>
    </row>
    <row r="21683" spans="2:2" s="221" customFormat="1" ht="12.75" x14ac:dyDescent="0.2">
      <c r="B21683" s="1168"/>
    </row>
    <row r="21684" spans="2:2" s="221" customFormat="1" ht="12.75" x14ac:dyDescent="0.2">
      <c r="B21684" s="1168"/>
    </row>
    <row r="21685" spans="2:2" s="221" customFormat="1" ht="12.75" x14ac:dyDescent="0.2">
      <c r="B21685" s="1168"/>
    </row>
    <row r="21686" spans="2:2" s="221" customFormat="1" ht="12.75" x14ac:dyDescent="0.2">
      <c r="B21686" s="1168"/>
    </row>
    <row r="21687" spans="2:2" s="221" customFormat="1" ht="12.75" x14ac:dyDescent="0.2">
      <c r="B21687" s="1168"/>
    </row>
    <row r="21688" spans="2:2" s="221" customFormat="1" ht="12.75" x14ac:dyDescent="0.2">
      <c r="B21688" s="1168"/>
    </row>
    <row r="21689" spans="2:2" s="221" customFormat="1" ht="12.75" x14ac:dyDescent="0.2">
      <c r="B21689" s="1168"/>
    </row>
    <row r="21690" spans="2:2" s="221" customFormat="1" ht="12.75" x14ac:dyDescent="0.2">
      <c r="B21690" s="1168"/>
    </row>
    <row r="21691" spans="2:2" s="221" customFormat="1" ht="12.75" x14ac:dyDescent="0.2">
      <c r="B21691" s="1168"/>
    </row>
    <row r="21692" spans="2:2" s="221" customFormat="1" ht="12.75" x14ac:dyDescent="0.2">
      <c r="B21692" s="1168"/>
    </row>
    <row r="21693" spans="2:2" s="221" customFormat="1" ht="12.75" x14ac:dyDescent="0.2">
      <c r="B21693" s="1168"/>
    </row>
    <row r="21694" spans="2:2" s="221" customFormat="1" ht="12.75" x14ac:dyDescent="0.2">
      <c r="B21694" s="1168"/>
    </row>
    <row r="21695" spans="2:2" s="221" customFormat="1" ht="12.75" x14ac:dyDescent="0.2">
      <c r="B21695" s="1168"/>
    </row>
    <row r="21696" spans="2:2" s="221" customFormat="1" ht="12.75" x14ac:dyDescent="0.2">
      <c r="B21696" s="1168"/>
    </row>
    <row r="21697" spans="2:2" s="221" customFormat="1" ht="12.75" x14ac:dyDescent="0.2">
      <c r="B21697" s="1168"/>
    </row>
    <row r="21698" spans="2:2" s="221" customFormat="1" ht="12.75" x14ac:dyDescent="0.2">
      <c r="B21698" s="1168"/>
    </row>
    <row r="21699" spans="2:2" s="221" customFormat="1" ht="12.75" x14ac:dyDescent="0.2">
      <c r="B21699" s="1168"/>
    </row>
    <row r="21700" spans="2:2" s="221" customFormat="1" ht="12.75" x14ac:dyDescent="0.2">
      <c r="B21700" s="1168"/>
    </row>
    <row r="21701" spans="2:2" s="221" customFormat="1" ht="12.75" x14ac:dyDescent="0.2">
      <c r="B21701" s="1168"/>
    </row>
    <row r="21702" spans="2:2" s="221" customFormat="1" ht="12.75" x14ac:dyDescent="0.2">
      <c r="B21702" s="1168"/>
    </row>
    <row r="21703" spans="2:2" s="221" customFormat="1" ht="12.75" x14ac:dyDescent="0.2">
      <c r="B21703" s="1168"/>
    </row>
    <row r="21704" spans="2:2" s="221" customFormat="1" ht="12.75" x14ac:dyDescent="0.2">
      <c r="B21704" s="1168"/>
    </row>
    <row r="21705" spans="2:2" s="221" customFormat="1" ht="12.75" x14ac:dyDescent="0.2">
      <c r="B21705" s="1168"/>
    </row>
    <row r="21706" spans="2:2" s="221" customFormat="1" ht="12.75" x14ac:dyDescent="0.2">
      <c r="B21706" s="1168"/>
    </row>
    <row r="21707" spans="2:2" s="221" customFormat="1" ht="12.75" x14ac:dyDescent="0.2">
      <c r="B21707" s="1168"/>
    </row>
    <row r="21708" spans="2:2" s="221" customFormat="1" ht="12.75" x14ac:dyDescent="0.2">
      <c r="B21708" s="1168"/>
    </row>
    <row r="21709" spans="2:2" s="221" customFormat="1" ht="12.75" x14ac:dyDescent="0.2">
      <c r="B21709" s="1168"/>
    </row>
    <row r="21710" spans="2:2" s="221" customFormat="1" ht="12.75" x14ac:dyDescent="0.2">
      <c r="B21710" s="1168"/>
    </row>
    <row r="21711" spans="2:2" s="221" customFormat="1" ht="12.75" x14ac:dyDescent="0.2">
      <c r="B21711" s="1168"/>
    </row>
    <row r="21712" spans="2:2" s="221" customFormat="1" ht="12.75" x14ac:dyDescent="0.2">
      <c r="B21712" s="1168"/>
    </row>
    <row r="21713" spans="2:2" s="221" customFormat="1" ht="12.75" x14ac:dyDescent="0.2">
      <c r="B21713" s="1168"/>
    </row>
    <row r="21714" spans="2:2" s="221" customFormat="1" ht="12.75" x14ac:dyDescent="0.2">
      <c r="B21714" s="1168"/>
    </row>
    <row r="21715" spans="2:2" s="221" customFormat="1" ht="12.75" x14ac:dyDescent="0.2">
      <c r="B21715" s="1168"/>
    </row>
    <row r="21716" spans="2:2" s="221" customFormat="1" ht="12.75" x14ac:dyDescent="0.2">
      <c r="B21716" s="1168"/>
    </row>
    <row r="21717" spans="2:2" s="221" customFormat="1" ht="12.75" x14ac:dyDescent="0.2">
      <c r="B21717" s="1168"/>
    </row>
    <row r="21718" spans="2:2" s="221" customFormat="1" ht="12.75" x14ac:dyDescent="0.2">
      <c r="B21718" s="1168"/>
    </row>
    <row r="21719" spans="2:2" s="221" customFormat="1" ht="12.75" x14ac:dyDescent="0.2">
      <c r="B21719" s="1168"/>
    </row>
    <row r="21720" spans="2:2" s="221" customFormat="1" ht="12.75" x14ac:dyDescent="0.2">
      <c r="B21720" s="1168"/>
    </row>
    <row r="21721" spans="2:2" s="221" customFormat="1" ht="12.75" x14ac:dyDescent="0.2">
      <c r="B21721" s="1168"/>
    </row>
    <row r="21722" spans="2:2" s="221" customFormat="1" ht="12.75" x14ac:dyDescent="0.2">
      <c r="B21722" s="1168"/>
    </row>
    <row r="21723" spans="2:2" s="221" customFormat="1" ht="12.75" x14ac:dyDescent="0.2">
      <c r="B21723" s="1168"/>
    </row>
    <row r="21724" spans="2:2" s="221" customFormat="1" ht="12.75" x14ac:dyDescent="0.2">
      <c r="B21724" s="1168"/>
    </row>
    <row r="21725" spans="2:2" s="221" customFormat="1" ht="12.75" x14ac:dyDescent="0.2">
      <c r="B21725" s="1168"/>
    </row>
    <row r="21726" spans="2:2" s="221" customFormat="1" ht="12.75" x14ac:dyDescent="0.2">
      <c r="B21726" s="1168"/>
    </row>
    <row r="21727" spans="2:2" s="221" customFormat="1" ht="12.75" x14ac:dyDescent="0.2">
      <c r="B21727" s="1168"/>
    </row>
    <row r="21728" spans="2:2" s="221" customFormat="1" ht="12.75" x14ac:dyDescent="0.2">
      <c r="B21728" s="1168"/>
    </row>
    <row r="21729" spans="2:2" s="221" customFormat="1" ht="12.75" x14ac:dyDescent="0.2">
      <c r="B21729" s="1168"/>
    </row>
    <row r="21730" spans="2:2" s="221" customFormat="1" ht="12.75" x14ac:dyDescent="0.2">
      <c r="B21730" s="1168"/>
    </row>
    <row r="21731" spans="2:2" s="221" customFormat="1" ht="12.75" x14ac:dyDescent="0.2">
      <c r="B21731" s="1168"/>
    </row>
    <row r="21732" spans="2:2" s="221" customFormat="1" ht="12.75" x14ac:dyDescent="0.2">
      <c r="B21732" s="1168"/>
    </row>
    <row r="21733" spans="2:2" s="221" customFormat="1" ht="12.75" x14ac:dyDescent="0.2">
      <c r="B21733" s="1168"/>
    </row>
    <row r="21734" spans="2:2" s="221" customFormat="1" ht="12.75" x14ac:dyDescent="0.2">
      <c r="B21734" s="1168"/>
    </row>
    <row r="21735" spans="2:2" s="221" customFormat="1" ht="12.75" x14ac:dyDescent="0.2">
      <c r="B21735" s="1168"/>
    </row>
    <row r="21736" spans="2:2" s="221" customFormat="1" ht="12.75" x14ac:dyDescent="0.2">
      <c r="B21736" s="1168"/>
    </row>
    <row r="21737" spans="2:2" s="221" customFormat="1" ht="12.75" x14ac:dyDescent="0.2">
      <c r="B21737" s="1168"/>
    </row>
    <row r="21738" spans="2:2" s="221" customFormat="1" ht="12.75" x14ac:dyDescent="0.2">
      <c r="B21738" s="1168"/>
    </row>
    <row r="21739" spans="2:2" s="221" customFormat="1" ht="12.75" x14ac:dyDescent="0.2">
      <c r="B21739" s="1168"/>
    </row>
    <row r="21740" spans="2:2" s="221" customFormat="1" ht="12.75" x14ac:dyDescent="0.2">
      <c r="B21740" s="1168"/>
    </row>
    <row r="21741" spans="2:2" s="221" customFormat="1" ht="12.75" x14ac:dyDescent="0.2">
      <c r="B21741" s="1168"/>
    </row>
    <row r="21742" spans="2:2" s="221" customFormat="1" ht="12.75" x14ac:dyDescent="0.2">
      <c r="B21742" s="1168"/>
    </row>
    <row r="21743" spans="2:2" s="221" customFormat="1" ht="12.75" x14ac:dyDescent="0.2">
      <c r="B21743" s="1168"/>
    </row>
    <row r="21744" spans="2:2" s="221" customFormat="1" ht="12.75" x14ac:dyDescent="0.2">
      <c r="B21744" s="1168"/>
    </row>
    <row r="21745" spans="2:2" s="221" customFormat="1" ht="12.75" x14ac:dyDescent="0.2">
      <c r="B21745" s="1168"/>
    </row>
    <row r="21746" spans="2:2" s="221" customFormat="1" ht="12.75" x14ac:dyDescent="0.2">
      <c r="B21746" s="1168"/>
    </row>
    <row r="21747" spans="2:2" s="221" customFormat="1" ht="12.75" x14ac:dyDescent="0.2">
      <c r="B21747" s="1168"/>
    </row>
    <row r="21748" spans="2:2" s="221" customFormat="1" ht="12.75" x14ac:dyDescent="0.2">
      <c r="B21748" s="1168"/>
    </row>
    <row r="21749" spans="2:2" s="221" customFormat="1" ht="12.75" x14ac:dyDescent="0.2">
      <c r="B21749" s="1168"/>
    </row>
    <row r="21750" spans="2:2" s="221" customFormat="1" ht="12.75" x14ac:dyDescent="0.2">
      <c r="B21750" s="1168"/>
    </row>
    <row r="21751" spans="2:2" s="221" customFormat="1" ht="12.75" x14ac:dyDescent="0.2">
      <c r="B21751" s="1168"/>
    </row>
    <row r="21752" spans="2:2" s="221" customFormat="1" ht="12.75" x14ac:dyDescent="0.2">
      <c r="B21752" s="1168"/>
    </row>
    <row r="21753" spans="2:2" s="221" customFormat="1" ht="12.75" x14ac:dyDescent="0.2">
      <c r="B21753" s="1168"/>
    </row>
    <row r="21754" spans="2:2" s="221" customFormat="1" ht="12.75" x14ac:dyDescent="0.2">
      <c r="B21754" s="1168"/>
    </row>
    <row r="21755" spans="2:2" s="221" customFormat="1" ht="12.75" x14ac:dyDescent="0.2">
      <c r="B21755" s="1168"/>
    </row>
    <row r="21756" spans="2:2" s="221" customFormat="1" ht="12.75" x14ac:dyDescent="0.2">
      <c r="B21756" s="1168"/>
    </row>
    <row r="21757" spans="2:2" s="221" customFormat="1" ht="12.75" x14ac:dyDescent="0.2">
      <c r="B21757" s="1168"/>
    </row>
    <row r="21758" spans="2:2" s="221" customFormat="1" ht="12.75" x14ac:dyDescent="0.2">
      <c r="B21758" s="1168"/>
    </row>
    <row r="21759" spans="2:2" s="221" customFormat="1" ht="12.75" x14ac:dyDescent="0.2">
      <c r="B21759" s="1168"/>
    </row>
    <row r="21760" spans="2:2" s="221" customFormat="1" ht="12.75" x14ac:dyDescent="0.2">
      <c r="B21760" s="1168"/>
    </row>
    <row r="21761" spans="2:2" s="221" customFormat="1" ht="12.75" x14ac:dyDescent="0.2">
      <c r="B21761" s="1168"/>
    </row>
    <row r="21762" spans="2:2" s="221" customFormat="1" ht="12.75" x14ac:dyDescent="0.2">
      <c r="B21762" s="1168"/>
    </row>
    <row r="21763" spans="2:2" s="221" customFormat="1" ht="12.75" x14ac:dyDescent="0.2">
      <c r="B21763" s="1168"/>
    </row>
    <row r="21764" spans="2:2" s="221" customFormat="1" ht="12.75" x14ac:dyDescent="0.2">
      <c r="B21764" s="1168"/>
    </row>
    <row r="21765" spans="2:2" s="221" customFormat="1" ht="12.75" x14ac:dyDescent="0.2">
      <c r="B21765" s="1168"/>
    </row>
    <row r="21766" spans="2:2" s="221" customFormat="1" ht="12.75" x14ac:dyDescent="0.2">
      <c r="B21766" s="1168"/>
    </row>
    <row r="21767" spans="2:2" s="221" customFormat="1" ht="12.75" x14ac:dyDescent="0.2">
      <c r="B21767" s="1168"/>
    </row>
    <row r="21768" spans="2:2" s="221" customFormat="1" ht="12.75" x14ac:dyDescent="0.2">
      <c r="B21768" s="1168"/>
    </row>
    <row r="21769" spans="2:2" s="221" customFormat="1" ht="12.75" x14ac:dyDescent="0.2">
      <c r="B21769" s="1168"/>
    </row>
    <row r="21770" spans="2:2" s="221" customFormat="1" ht="12.75" x14ac:dyDescent="0.2">
      <c r="B21770" s="1168"/>
    </row>
    <row r="21771" spans="2:2" s="221" customFormat="1" ht="12.75" x14ac:dyDescent="0.2">
      <c r="B21771" s="1168"/>
    </row>
    <row r="21772" spans="2:2" s="221" customFormat="1" ht="12.75" x14ac:dyDescent="0.2">
      <c r="B21772" s="1168"/>
    </row>
    <row r="21773" spans="2:2" s="221" customFormat="1" ht="12.75" x14ac:dyDescent="0.2">
      <c r="B21773" s="1168"/>
    </row>
    <row r="21774" spans="2:2" s="221" customFormat="1" ht="12.75" x14ac:dyDescent="0.2">
      <c r="B21774" s="1168"/>
    </row>
    <row r="21775" spans="2:2" s="221" customFormat="1" ht="12.75" x14ac:dyDescent="0.2">
      <c r="B21775" s="1168"/>
    </row>
    <row r="21776" spans="2:2" s="221" customFormat="1" ht="12.75" x14ac:dyDescent="0.2">
      <c r="B21776" s="1168"/>
    </row>
    <row r="21777" spans="2:2" s="221" customFormat="1" ht="12.75" x14ac:dyDescent="0.2">
      <c r="B21777" s="1168"/>
    </row>
    <row r="21778" spans="2:2" s="221" customFormat="1" ht="12.75" x14ac:dyDescent="0.2">
      <c r="B21778" s="1168"/>
    </row>
    <row r="21779" spans="2:2" s="221" customFormat="1" ht="12.75" x14ac:dyDescent="0.2">
      <c r="B21779" s="1168"/>
    </row>
    <row r="21780" spans="2:2" s="221" customFormat="1" ht="12.75" x14ac:dyDescent="0.2">
      <c r="B21780" s="1168"/>
    </row>
    <row r="21781" spans="2:2" s="221" customFormat="1" ht="12.75" x14ac:dyDescent="0.2">
      <c r="B21781" s="1168"/>
    </row>
    <row r="21782" spans="2:2" s="221" customFormat="1" ht="12.75" x14ac:dyDescent="0.2">
      <c r="B21782" s="1168"/>
    </row>
    <row r="21783" spans="2:2" s="221" customFormat="1" ht="12.75" x14ac:dyDescent="0.2">
      <c r="B21783" s="1168"/>
    </row>
    <row r="21784" spans="2:2" s="221" customFormat="1" ht="12.75" x14ac:dyDescent="0.2">
      <c r="B21784" s="1168"/>
    </row>
    <row r="21785" spans="2:2" s="221" customFormat="1" ht="12.75" x14ac:dyDescent="0.2">
      <c r="B21785" s="1168"/>
    </row>
    <row r="21786" spans="2:2" s="221" customFormat="1" ht="12.75" x14ac:dyDescent="0.2">
      <c r="B21786" s="1168"/>
    </row>
    <row r="21787" spans="2:2" s="221" customFormat="1" ht="12.75" x14ac:dyDescent="0.2">
      <c r="B21787" s="1168"/>
    </row>
    <row r="21788" spans="2:2" s="221" customFormat="1" ht="12.75" x14ac:dyDescent="0.2">
      <c r="B21788" s="1168"/>
    </row>
    <row r="21789" spans="2:2" s="221" customFormat="1" ht="12.75" x14ac:dyDescent="0.2">
      <c r="B21789" s="1168"/>
    </row>
    <row r="21790" spans="2:2" s="221" customFormat="1" ht="12.75" x14ac:dyDescent="0.2">
      <c r="B21790" s="1168"/>
    </row>
    <row r="21791" spans="2:2" s="221" customFormat="1" ht="12.75" x14ac:dyDescent="0.2">
      <c r="B21791" s="1168"/>
    </row>
    <row r="21792" spans="2:2" s="221" customFormat="1" ht="12.75" x14ac:dyDescent="0.2">
      <c r="B21792" s="1168"/>
    </row>
    <row r="21793" spans="2:2" s="221" customFormat="1" ht="12.75" x14ac:dyDescent="0.2">
      <c r="B21793" s="1168"/>
    </row>
    <row r="21794" spans="2:2" s="221" customFormat="1" ht="12.75" x14ac:dyDescent="0.2">
      <c r="B21794" s="1168"/>
    </row>
    <row r="21795" spans="2:2" s="221" customFormat="1" ht="12.75" x14ac:dyDescent="0.2">
      <c r="B21795" s="1168"/>
    </row>
    <row r="21796" spans="2:2" s="221" customFormat="1" ht="12.75" x14ac:dyDescent="0.2">
      <c r="B21796" s="1168"/>
    </row>
    <row r="21797" spans="2:2" s="221" customFormat="1" ht="12.75" x14ac:dyDescent="0.2">
      <c r="B21797" s="1168"/>
    </row>
    <row r="21798" spans="2:2" s="221" customFormat="1" ht="12.75" x14ac:dyDescent="0.2">
      <c r="B21798" s="1168"/>
    </row>
    <row r="21799" spans="2:2" s="221" customFormat="1" ht="12.75" x14ac:dyDescent="0.2">
      <c r="B21799" s="1168"/>
    </row>
    <row r="21800" spans="2:2" s="221" customFormat="1" ht="12.75" x14ac:dyDescent="0.2">
      <c r="B21800" s="1168"/>
    </row>
    <row r="21801" spans="2:2" s="221" customFormat="1" ht="12.75" x14ac:dyDescent="0.2">
      <c r="B21801" s="1168"/>
    </row>
    <row r="21802" spans="2:2" s="221" customFormat="1" ht="12.75" x14ac:dyDescent="0.2">
      <c r="B21802" s="1168"/>
    </row>
    <row r="21803" spans="2:2" s="221" customFormat="1" ht="12.75" x14ac:dyDescent="0.2">
      <c r="B21803" s="1168"/>
    </row>
    <row r="21804" spans="2:2" s="221" customFormat="1" ht="12.75" x14ac:dyDescent="0.2">
      <c r="B21804" s="1168"/>
    </row>
    <row r="21805" spans="2:2" s="221" customFormat="1" ht="12.75" x14ac:dyDescent="0.2">
      <c r="B21805" s="1168"/>
    </row>
    <row r="21806" spans="2:2" s="221" customFormat="1" ht="12.75" x14ac:dyDescent="0.2">
      <c r="B21806" s="1168"/>
    </row>
    <row r="21807" spans="2:2" s="221" customFormat="1" ht="12.75" x14ac:dyDescent="0.2">
      <c r="B21807" s="1168"/>
    </row>
    <row r="21808" spans="2:2" s="221" customFormat="1" ht="12.75" x14ac:dyDescent="0.2">
      <c r="B21808" s="1168"/>
    </row>
    <row r="21809" spans="2:2" s="221" customFormat="1" ht="12.75" x14ac:dyDescent="0.2">
      <c r="B21809" s="1168"/>
    </row>
    <row r="21810" spans="2:2" s="221" customFormat="1" ht="12.75" x14ac:dyDescent="0.2">
      <c r="B21810" s="1168"/>
    </row>
    <row r="21811" spans="2:2" s="221" customFormat="1" ht="12.75" x14ac:dyDescent="0.2">
      <c r="B21811" s="1168"/>
    </row>
    <row r="21812" spans="2:2" s="221" customFormat="1" ht="12.75" x14ac:dyDescent="0.2">
      <c r="B21812" s="1168"/>
    </row>
    <row r="21813" spans="2:2" s="221" customFormat="1" ht="12.75" x14ac:dyDescent="0.2">
      <c r="B21813" s="1168"/>
    </row>
    <row r="21814" spans="2:2" s="221" customFormat="1" ht="12.75" x14ac:dyDescent="0.2">
      <c r="B21814" s="1168"/>
    </row>
    <row r="21815" spans="2:2" s="221" customFormat="1" ht="12.75" x14ac:dyDescent="0.2">
      <c r="B21815" s="1168"/>
    </row>
    <row r="21816" spans="2:2" s="221" customFormat="1" ht="12.75" x14ac:dyDescent="0.2">
      <c r="B21816" s="1168"/>
    </row>
    <row r="21817" spans="2:2" s="221" customFormat="1" ht="12.75" x14ac:dyDescent="0.2">
      <c r="B21817" s="1168"/>
    </row>
    <row r="21818" spans="2:2" s="221" customFormat="1" ht="12.75" x14ac:dyDescent="0.2">
      <c r="B21818" s="1168"/>
    </row>
    <row r="21819" spans="2:2" s="221" customFormat="1" ht="12.75" x14ac:dyDescent="0.2">
      <c r="B21819" s="1168"/>
    </row>
    <row r="21820" spans="2:2" s="221" customFormat="1" ht="12.75" x14ac:dyDescent="0.2">
      <c r="B21820" s="1168"/>
    </row>
    <row r="21821" spans="2:2" s="221" customFormat="1" ht="12.75" x14ac:dyDescent="0.2">
      <c r="B21821" s="1168"/>
    </row>
    <row r="21822" spans="2:2" s="221" customFormat="1" ht="12.75" x14ac:dyDescent="0.2">
      <c r="B21822" s="1168"/>
    </row>
    <row r="21823" spans="2:2" s="221" customFormat="1" ht="12.75" x14ac:dyDescent="0.2">
      <c r="B21823" s="1168"/>
    </row>
    <row r="21824" spans="2:2" s="221" customFormat="1" ht="12.75" x14ac:dyDescent="0.2">
      <c r="B21824" s="1168"/>
    </row>
    <row r="21825" spans="2:2" s="221" customFormat="1" ht="12.75" x14ac:dyDescent="0.2">
      <c r="B21825" s="1168"/>
    </row>
    <row r="21826" spans="2:2" s="221" customFormat="1" ht="12.75" x14ac:dyDescent="0.2">
      <c r="B21826" s="1168"/>
    </row>
    <row r="21827" spans="2:2" s="221" customFormat="1" ht="12.75" x14ac:dyDescent="0.2">
      <c r="B21827" s="1168"/>
    </row>
    <row r="21828" spans="2:2" s="221" customFormat="1" ht="12.75" x14ac:dyDescent="0.2">
      <c r="B21828" s="1168"/>
    </row>
    <row r="21829" spans="2:2" s="221" customFormat="1" ht="12.75" x14ac:dyDescent="0.2">
      <c r="B21829" s="1168"/>
    </row>
    <row r="21830" spans="2:2" s="221" customFormat="1" ht="12.75" x14ac:dyDescent="0.2">
      <c r="B21830" s="1168"/>
    </row>
    <row r="21831" spans="2:2" s="221" customFormat="1" ht="12.75" x14ac:dyDescent="0.2">
      <c r="B21831" s="1168"/>
    </row>
    <row r="21832" spans="2:2" s="221" customFormat="1" ht="12.75" x14ac:dyDescent="0.2">
      <c r="B21832" s="1168"/>
    </row>
    <row r="21833" spans="2:2" s="221" customFormat="1" ht="12.75" x14ac:dyDescent="0.2">
      <c r="B21833" s="1168"/>
    </row>
    <row r="21834" spans="2:2" s="221" customFormat="1" ht="12.75" x14ac:dyDescent="0.2">
      <c r="B21834" s="1168"/>
    </row>
    <row r="21835" spans="2:2" s="221" customFormat="1" ht="12.75" x14ac:dyDescent="0.2">
      <c r="B21835" s="1168"/>
    </row>
    <row r="21836" spans="2:2" s="221" customFormat="1" ht="12.75" x14ac:dyDescent="0.2">
      <c r="B21836" s="1168"/>
    </row>
    <row r="21837" spans="2:2" s="221" customFormat="1" ht="12.75" x14ac:dyDescent="0.2">
      <c r="B21837" s="1168"/>
    </row>
    <row r="21838" spans="2:2" s="221" customFormat="1" ht="12.75" x14ac:dyDescent="0.2">
      <c r="B21838" s="1168"/>
    </row>
    <row r="21839" spans="2:2" s="221" customFormat="1" ht="12.75" x14ac:dyDescent="0.2">
      <c r="B21839" s="1168"/>
    </row>
    <row r="21840" spans="2:2" s="221" customFormat="1" ht="12.75" x14ac:dyDescent="0.2">
      <c r="B21840" s="1168"/>
    </row>
    <row r="21841" spans="2:2" s="221" customFormat="1" ht="12.75" x14ac:dyDescent="0.2">
      <c r="B21841" s="1168"/>
    </row>
    <row r="21842" spans="2:2" s="221" customFormat="1" ht="12.75" x14ac:dyDescent="0.2">
      <c r="B21842" s="1168"/>
    </row>
    <row r="21843" spans="2:2" s="221" customFormat="1" ht="12.75" x14ac:dyDescent="0.2">
      <c r="B21843" s="1168"/>
    </row>
    <row r="21844" spans="2:2" s="221" customFormat="1" ht="12.75" x14ac:dyDescent="0.2">
      <c r="B21844" s="1168"/>
    </row>
    <row r="21845" spans="2:2" s="221" customFormat="1" ht="12.75" x14ac:dyDescent="0.2">
      <c r="B21845" s="1168"/>
    </row>
    <row r="21846" spans="2:2" s="221" customFormat="1" ht="12.75" x14ac:dyDescent="0.2">
      <c r="B21846" s="1168"/>
    </row>
    <row r="21847" spans="2:2" s="221" customFormat="1" ht="12.75" x14ac:dyDescent="0.2">
      <c r="B21847" s="1168"/>
    </row>
    <row r="21848" spans="2:2" s="221" customFormat="1" ht="12.75" x14ac:dyDescent="0.2">
      <c r="B21848" s="1168"/>
    </row>
    <row r="21849" spans="2:2" s="221" customFormat="1" ht="12.75" x14ac:dyDescent="0.2">
      <c r="B21849" s="1168"/>
    </row>
    <row r="21850" spans="2:2" s="221" customFormat="1" ht="12.75" x14ac:dyDescent="0.2">
      <c r="B21850" s="1168"/>
    </row>
    <row r="21851" spans="2:2" s="221" customFormat="1" ht="12.75" x14ac:dyDescent="0.2">
      <c r="B21851" s="1168"/>
    </row>
    <row r="21852" spans="2:2" s="221" customFormat="1" ht="12.75" x14ac:dyDescent="0.2">
      <c r="B21852" s="1168"/>
    </row>
    <row r="21853" spans="2:2" s="221" customFormat="1" ht="12.75" x14ac:dyDescent="0.2">
      <c r="B21853" s="1168"/>
    </row>
    <row r="21854" spans="2:2" s="221" customFormat="1" ht="12.75" x14ac:dyDescent="0.2">
      <c r="B21854" s="1168"/>
    </row>
    <row r="21855" spans="2:2" s="221" customFormat="1" ht="12.75" x14ac:dyDescent="0.2">
      <c r="B21855" s="1168"/>
    </row>
    <row r="21856" spans="2:2" s="221" customFormat="1" ht="12.75" x14ac:dyDescent="0.2">
      <c r="B21856" s="1168"/>
    </row>
    <row r="21857" spans="2:2" s="221" customFormat="1" ht="12.75" x14ac:dyDescent="0.2">
      <c r="B21857" s="1168"/>
    </row>
    <row r="21858" spans="2:2" s="221" customFormat="1" ht="12.75" x14ac:dyDescent="0.2">
      <c r="B21858" s="1168"/>
    </row>
    <row r="21859" spans="2:2" s="221" customFormat="1" ht="12.75" x14ac:dyDescent="0.2">
      <c r="B21859" s="1168"/>
    </row>
    <row r="21860" spans="2:2" s="221" customFormat="1" ht="12.75" x14ac:dyDescent="0.2">
      <c r="B21860" s="1168"/>
    </row>
    <row r="21861" spans="2:2" s="221" customFormat="1" ht="12.75" x14ac:dyDescent="0.2">
      <c r="B21861" s="1168"/>
    </row>
    <row r="21862" spans="2:2" s="221" customFormat="1" ht="12.75" x14ac:dyDescent="0.2">
      <c r="B21862" s="1168"/>
    </row>
    <row r="21863" spans="2:2" s="221" customFormat="1" ht="12.75" x14ac:dyDescent="0.2">
      <c r="B21863" s="1168"/>
    </row>
    <row r="21864" spans="2:2" s="221" customFormat="1" ht="12.75" x14ac:dyDescent="0.2">
      <c r="B21864" s="1168"/>
    </row>
    <row r="21865" spans="2:2" s="221" customFormat="1" ht="12.75" x14ac:dyDescent="0.2">
      <c r="B21865" s="1168"/>
    </row>
    <row r="21866" spans="2:2" s="221" customFormat="1" ht="12.75" x14ac:dyDescent="0.2">
      <c r="B21866" s="1168"/>
    </row>
    <row r="21867" spans="2:2" s="221" customFormat="1" ht="12.75" x14ac:dyDescent="0.2">
      <c r="B21867" s="1168"/>
    </row>
    <row r="21868" spans="2:2" s="221" customFormat="1" ht="12.75" x14ac:dyDescent="0.2">
      <c r="B21868" s="1168"/>
    </row>
    <row r="21869" spans="2:2" s="221" customFormat="1" ht="12.75" x14ac:dyDescent="0.2">
      <c r="B21869" s="1168"/>
    </row>
    <row r="21870" spans="2:2" s="221" customFormat="1" ht="12.75" x14ac:dyDescent="0.2">
      <c r="B21870" s="1168"/>
    </row>
    <row r="21871" spans="2:2" s="221" customFormat="1" ht="12.75" x14ac:dyDescent="0.2">
      <c r="B21871" s="1168"/>
    </row>
    <row r="21872" spans="2:2" s="221" customFormat="1" ht="12.75" x14ac:dyDescent="0.2">
      <c r="B21872" s="1168"/>
    </row>
    <row r="21873" spans="2:2" s="221" customFormat="1" ht="12.75" x14ac:dyDescent="0.2">
      <c r="B21873" s="1168"/>
    </row>
    <row r="21874" spans="2:2" s="221" customFormat="1" ht="12.75" x14ac:dyDescent="0.2">
      <c r="B21874" s="1168"/>
    </row>
    <row r="21875" spans="2:2" s="221" customFormat="1" ht="12.75" x14ac:dyDescent="0.2">
      <c r="B21875" s="1168"/>
    </row>
    <row r="21876" spans="2:2" s="221" customFormat="1" ht="12.75" x14ac:dyDescent="0.2">
      <c r="B21876" s="1168"/>
    </row>
    <row r="21877" spans="2:2" s="221" customFormat="1" ht="12.75" x14ac:dyDescent="0.2">
      <c r="B21877" s="1168"/>
    </row>
    <row r="21878" spans="2:2" s="221" customFormat="1" ht="12.75" x14ac:dyDescent="0.2">
      <c r="B21878" s="1168"/>
    </row>
    <row r="21879" spans="2:2" s="221" customFormat="1" ht="12.75" x14ac:dyDescent="0.2">
      <c r="B21879" s="1168"/>
    </row>
    <row r="21880" spans="2:2" s="221" customFormat="1" ht="12.75" x14ac:dyDescent="0.2">
      <c r="B21880" s="1168"/>
    </row>
    <row r="21881" spans="2:2" s="221" customFormat="1" ht="12.75" x14ac:dyDescent="0.2">
      <c r="B21881" s="1168"/>
    </row>
    <row r="21882" spans="2:2" s="221" customFormat="1" ht="12.75" x14ac:dyDescent="0.2">
      <c r="B21882" s="1168"/>
    </row>
    <row r="21883" spans="2:2" s="221" customFormat="1" ht="12.75" x14ac:dyDescent="0.2">
      <c r="B21883" s="1168"/>
    </row>
    <row r="21884" spans="2:2" s="221" customFormat="1" ht="12.75" x14ac:dyDescent="0.2">
      <c r="B21884" s="1168"/>
    </row>
    <row r="21885" spans="2:2" s="221" customFormat="1" ht="12.75" x14ac:dyDescent="0.2">
      <c r="B21885" s="1168"/>
    </row>
    <row r="21886" spans="2:2" s="221" customFormat="1" ht="12.75" x14ac:dyDescent="0.2">
      <c r="B21886" s="1168"/>
    </row>
    <row r="21887" spans="2:2" s="221" customFormat="1" ht="12.75" x14ac:dyDescent="0.2">
      <c r="B21887" s="1168"/>
    </row>
    <row r="21888" spans="2:2" s="221" customFormat="1" ht="12.75" x14ac:dyDescent="0.2">
      <c r="B21888" s="1168"/>
    </row>
    <row r="21889" spans="2:2" s="221" customFormat="1" ht="12.75" x14ac:dyDescent="0.2">
      <c r="B21889" s="1168"/>
    </row>
    <row r="21890" spans="2:2" s="221" customFormat="1" ht="12.75" x14ac:dyDescent="0.2">
      <c r="B21890" s="1168"/>
    </row>
    <row r="21891" spans="2:2" s="221" customFormat="1" ht="12.75" x14ac:dyDescent="0.2">
      <c r="B21891" s="1168"/>
    </row>
    <row r="21892" spans="2:2" s="221" customFormat="1" ht="12.75" x14ac:dyDescent="0.2">
      <c r="B21892" s="1168"/>
    </row>
    <row r="21893" spans="2:2" s="221" customFormat="1" ht="12.75" x14ac:dyDescent="0.2">
      <c r="B21893" s="1168"/>
    </row>
    <row r="21894" spans="2:2" s="221" customFormat="1" ht="12.75" x14ac:dyDescent="0.2">
      <c r="B21894" s="1168"/>
    </row>
    <row r="21895" spans="2:2" s="221" customFormat="1" ht="12.75" x14ac:dyDescent="0.2">
      <c r="B21895" s="1168"/>
    </row>
    <row r="21896" spans="2:2" s="221" customFormat="1" ht="12.75" x14ac:dyDescent="0.2">
      <c r="B21896" s="1168"/>
    </row>
    <row r="21897" spans="2:2" s="221" customFormat="1" ht="12.75" x14ac:dyDescent="0.2">
      <c r="B21897" s="1168"/>
    </row>
    <row r="21898" spans="2:2" s="221" customFormat="1" ht="12.75" x14ac:dyDescent="0.2">
      <c r="B21898" s="1168"/>
    </row>
    <row r="21899" spans="2:2" s="221" customFormat="1" ht="12.75" x14ac:dyDescent="0.2">
      <c r="B21899" s="1168"/>
    </row>
    <row r="21900" spans="2:2" s="221" customFormat="1" ht="12.75" x14ac:dyDescent="0.2">
      <c r="B21900" s="1168"/>
    </row>
    <row r="21901" spans="2:2" s="221" customFormat="1" ht="12.75" x14ac:dyDescent="0.2">
      <c r="B21901" s="1168"/>
    </row>
    <row r="21902" spans="2:2" s="221" customFormat="1" ht="12.75" x14ac:dyDescent="0.2">
      <c r="B21902" s="1168"/>
    </row>
    <row r="21903" spans="2:2" s="221" customFormat="1" ht="12.75" x14ac:dyDescent="0.2">
      <c r="B21903" s="1168"/>
    </row>
    <row r="21904" spans="2:2" s="221" customFormat="1" ht="12.75" x14ac:dyDescent="0.2">
      <c r="B21904" s="1168"/>
    </row>
    <row r="21905" spans="2:2" s="221" customFormat="1" ht="12.75" x14ac:dyDescent="0.2">
      <c r="B21905" s="1168"/>
    </row>
    <row r="21906" spans="2:2" s="221" customFormat="1" ht="12.75" x14ac:dyDescent="0.2">
      <c r="B21906" s="1168"/>
    </row>
    <row r="21907" spans="2:2" s="221" customFormat="1" ht="12.75" x14ac:dyDescent="0.2">
      <c r="B21907" s="1168"/>
    </row>
    <row r="21908" spans="2:2" s="221" customFormat="1" ht="12.75" x14ac:dyDescent="0.2">
      <c r="B21908" s="1168"/>
    </row>
    <row r="21909" spans="2:2" s="221" customFormat="1" ht="12.75" x14ac:dyDescent="0.2">
      <c r="B21909" s="1168"/>
    </row>
    <row r="21910" spans="2:2" s="221" customFormat="1" ht="12.75" x14ac:dyDescent="0.2">
      <c r="B21910" s="1168"/>
    </row>
    <row r="21911" spans="2:2" s="221" customFormat="1" ht="12.75" x14ac:dyDescent="0.2">
      <c r="B21911" s="1168"/>
    </row>
    <row r="21912" spans="2:2" s="221" customFormat="1" ht="12.75" x14ac:dyDescent="0.2">
      <c r="B21912" s="1168"/>
    </row>
    <row r="21913" spans="2:2" s="221" customFormat="1" ht="12.75" x14ac:dyDescent="0.2">
      <c r="B21913" s="1168"/>
    </row>
    <row r="21914" spans="2:2" s="221" customFormat="1" ht="12.75" x14ac:dyDescent="0.2">
      <c r="B21914" s="1168"/>
    </row>
    <row r="21915" spans="2:2" s="221" customFormat="1" ht="12.75" x14ac:dyDescent="0.2">
      <c r="B21915" s="1168"/>
    </row>
    <row r="21916" spans="2:2" s="221" customFormat="1" ht="12.75" x14ac:dyDescent="0.2">
      <c r="B21916" s="1168"/>
    </row>
    <row r="21917" spans="2:2" s="221" customFormat="1" ht="12.75" x14ac:dyDescent="0.2">
      <c r="B21917" s="1168"/>
    </row>
    <row r="21918" spans="2:2" s="221" customFormat="1" ht="12.75" x14ac:dyDescent="0.2">
      <c r="B21918" s="1168"/>
    </row>
    <row r="21919" spans="2:2" s="221" customFormat="1" ht="12.75" x14ac:dyDescent="0.2">
      <c r="B21919" s="1168"/>
    </row>
    <row r="21920" spans="2:2" s="221" customFormat="1" ht="12.75" x14ac:dyDescent="0.2">
      <c r="B21920" s="1168"/>
    </row>
    <row r="21921" spans="2:2" s="221" customFormat="1" ht="12.75" x14ac:dyDescent="0.2">
      <c r="B21921" s="1168"/>
    </row>
    <row r="21922" spans="2:2" s="221" customFormat="1" ht="12.75" x14ac:dyDescent="0.2">
      <c r="B21922" s="1168"/>
    </row>
    <row r="21923" spans="2:2" s="221" customFormat="1" ht="12.75" x14ac:dyDescent="0.2">
      <c r="B21923" s="1168"/>
    </row>
    <row r="21924" spans="2:2" s="221" customFormat="1" ht="12.75" x14ac:dyDescent="0.2">
      <c r="B21924" s="1168"/>
    </row>
    <row r="21925" spans="2:2" s="221" customFormat="1" ht="12.75" x14ac:dyDescent="0.2">
      <c r="B21925" s="1168"/>
    </row>
    <row r="21926" spans="2:2" s="221" customFormat="1" ht="12.75" x14ac:dyDescent="0.2">
      <c r="B21926" s="1168"/>
    </row>
    <row r="21927" spans="2:2" s="221" customFormat="1" ht="12.75" x14ac:dyDescent="0.2">
      <c r="B21927" s="1168"/>
    </row>
    <row r="21928" spans="2:2" s="221" customFormat="1" ht="12.75" x14ac:dyDescent="0.2">
      <c r="B21928" s="1168"/>
    </row>
    <row r="21929" spans="2:2" s="221" customFormat="1" ht="12.75" x14ac:dyDescent="0.2">
      <c r="B21929" s="1168"/>
    </row>
    <row r="21930" spans="2:2" s="221" customFormat="1" ht="12.75" x14ac:dyDescent="0.2">
      <c r="B21930" s="1168"/>
    </row>
    <row r="21931" spans="2:2" s="221" customFormat="1" ht="12.75" x14ac:dyDescent="0.2">
      <c r="B21931" s="1168"/>
    </row>
    <row r="21932" spans="2:2" s="221" customFormat="1" ht="12.75" x14ac:dyDescent="0.2">
      <c r="B21932" s="1168"/>
    </row>
    <row r="21933" spans="2:2" s="221" customFormat="1" ht="12.75" x14ac:dyDescent="0.2">
      <c r="B21933" s="1168"/>
    </row>
    <row r="21934" spans="2:2" s="221" customFormat="1" ht="12.75" x14ac:dyDescent="0.2">
      <c r="B21934" s="1168"/>
    </row>
    <row r="21935" spans="2:2" s="221" customFormat="1" ht="12.75" x14ac:dyDescent="0.2">
      <c r="B21935" s="1168"/>
    </row>
    <row r="21936" spans="2:2" s="221" customFormat="1" ht="12.75" x14ac:dyDescent="0.2">
      <c r="B21936" s="1168"/>
    </row>
    <row r="21937" spans="2:2" s="221" customFormat="1" ht="12.75" x14ac:dyDescent="0.2">
      <c r="B21937" s="1168"/>
    </row>
    <row r="21938" spans="2:2" s="221" customFormat="1" ht="12.75" x14ac:dyDescent="0.2">
      <c r="B21938" s="1168"/>
    </row>
    <row r="21939" spans="2:2" s="221" customFormat="1" ht="12.75" x14ac:dyDescent="0.2">
      <c r="B21939" s="1168"/>
    </row>
    <row r="21940" spans="2:2" s="221" customFormat="1" ht="12.75" x14ac:dyDescent="0.2">
      <c r="B21940" s="1168"/>
    </row>
    <row r="21941" spans="2:2" s="221" customFormat="1" ht="12.75" x14ac:dyDescent="0.2">
      <c r="B21941" s="1168"/>
    </row>
    <row r="21942" spans="2:2" s="221" customFormat="1" ht="12.75" x14ac:dyDescent="0.2">
      <c r="B21942" s="1168"/>
    </row>
    <row r="21943" spans="2:2" s="221" customFormat="1" ht="12.75" x14ac:dyDescent="0.2">
      <c r="B21943" s="1168"/>
    </row>
    <row r="21944" spans="2:2" s="221" customFormat="1" ht="12.75" x14ac:dyDescent="0.2">
      <c r="B21944" s="1168"/>
    </row>
    <row r="21945" spans="2:2" s="221" customFormat="1" ht="12.75" x14ac:dyDescent="0.2">
      <c r="B21945" s="1168"/>
    </row>
    <row r="21946" spans="2:2" s="221" customFormat="1" ht="12.75" x14ac:dyDescent="0.2">
      <c r="B21946" s="1168"/>
    </row>
    <row r="21947" spans="2:2" s="221" customFormat="1" ht="12.75" x14ac:dyDescent="0.2">
      <c r="B21947" s="1168"/>
    </row>
    <row r="21948" spans="2:2" s="221" customFormat="1" ht="12.75" x14ac:dyDescent="0.2">
      <c r="B21948" s="1168"/>
    </row>
    <row r="21949" spans="2:2" s="221" customFormat="1" ht="12.75" x14ac:dyDescent="0.2">
      <c r="B21949" s="1168"/>
    </row>
    <row r="21950" spans="2:2" s="221" customFormat="1" ht="12.75" x14ac:dyDescent="0.2">
      <c r="B21950" s="1168"/>
    </row>
    <row r="21951" spans="2:2" s="221" customFormat="1" ht="12.75" x14ac:dyDescent="0.2">
      <c r="B21951" s="1168"/>
    </row>
    <row r="21952" spans="2:2" s="221" customFormat="1" ht="12.75" x14ac:dyDescent="0.2">
      <c r="B21952" s="1168"/>
    </row>
    <row r="21953" spans="2:2" s="221" customFormat="1" ht="12.75" x14ac:dyDescent="0.2">
      <c r="B21953" s="1168"/>
    </row>
    <row r="21954" spans="2:2" s="221" customFormat="1" ht="12.75" x14ac:dyDescent="0.2">
      <c r="B21954" s="1168"/>
    </row>
    <row r="21955" spans="2:2" s="221" customFormat="1" ht="12.75" x14ac:dyDescent="0.2">
      <c r="B21955" s="1168"/>
    </row>
    <row r="21956" spans="2:2" s="221" customFormat="1" ht="12.75" x14ac:dyDescent="0.2">
      <c r="B21956" s="1168"/>
    </row>
    <row r="21957" spans="2:2" s="221" customFormat="1" ht="12.75" x14ac:dyDescent="0.2">
      <c r="B21957" s="1168"/>
    </row>
    <row r="21958" spans="2:2" s="221" customFormat="1" ht="12.75" x14ac:dyDescent="0.2">
      <c r="B21958" s="1168"/>
    </row>
    <row r="21959" spans="2:2" s="221" customFormat="1" ht="12.75" x14ac:dyDescent="0.2">
      <c r="B21959" s="1168"/>
    </row>
    <row r="21960" spans="2:2" s="221" customFormat="1" ht="12.75" x14ac:dyDescent="0.2">
      <c r="B21960" s="1168"/>
    </row>
    <row r="21961" spans="2:2" s="221" customFormat="1" ht="12.75" x14ac:dyDescent="0.2">
      <c r="B21961" s="1168"/>
    </row>
    <row r="21962" spans="2:2" s="221" customFormat="1" ht="12.75" x14ac:dyDescent="0.2">
      <c r="B21962" s="1168"/>
    </row>
    <row r="21963" spans="2:2" s="221" customFormat="1" ht="12.75" x14ac:dyDescent="0.2">
      <c r="B21963" s="1168"/>
    </row>
    <row r="21964" spans="2:2" s="221" customFormat="1" ht="12.75" x14ac:dyDescent="0.2">
      <c r="B21964" s="1168"/>
    </row>
    <row r="21965" spans="2:2" s="221" customFormat="1" ht="12.75" x14ac:dyDescent="0.2">
      <c r="B21965" s="1168"/>
    </row>
    <row r="21966" spans="2:2" s="221" customFormat="1" ht="12.75" x14ac:dyDescent="0.2">
      <c r="B21966" s="1168"/>
    </row>
    <row r="21967" spans="2:2" s="221" customFormat="1" ht="12.75" x14ac:dyDescent="0.2">
      <c r="B21967" s="1168"/>
    </row>
    <row r="21968" spans="2:2" s="221" customFormat="1" ht="12.75" x14ac:dyDescent="0.2">
      <c r="B21968" s="1168"/>
    </row>
    <row r="21969" spans="2:2" s="221" customFormat="1" ht="12.75" x14ac:dyDescent="0.2">
      <c r="B21969" s="1168"/>
    </row>
    <row r="21970" spans="2:2" s="221" customFormat="1" ht="12.75" x14ac:dyDescent="0.2">
      <c r="B21970" s="1168"/>
    </row>
    <row r="21971" spans="2:2" s="221" customFormat="1" ht="12.75" x14ac:dyDescent="0.2">
      <c r="B21971" s="1168"/>
    </row>
    <row r="21972" spans="2:2" s="221" customFormat="1" ht="12.75" x14ac:dyDescent="0.2">
      <c r="B21972" s="1168"/>
    </row>
    <row r="21973" spans="2:2" s="221" customFormat="1" ht="12.75" x14ac:dyDescent="0.2">
      <c r="B21973" s="1168"/>
    </row>
    <row r="21974" spans="2:2" s="221" customFormat="1" ht="12.75" x14ac:dyDescent="0.2">
      <c r="B21974" s="1168"/>
    </row>
    <row r="21975" spans="2:2" s="221" customFormat="1" ht="12.75" x14ac:dyDescent="0.2">
      <c r="B21975" s="1168"/>
    </row>
    <row r="21976" spans="2:2" s="221" customFormat="1" ht="12.75" x14ac:dyDescent="0.2">
      <c r="B21976" s="1168"/>
    </row>
    <row r="21977" spans="2:2" s="221" customFormat="1" ht="12.75" x14ac:dyDescent="0.2">
      <c r="B21977" s="1168"/>
    </row>
    <row r="21978" spans="2:2" s="221" customFormat="1" ht="12.75" x14ac:dyDescent="0.2">
      <c r="B21978" s="1168"/>
    </row>
    <row r="21979" spans="2:2" s="221" customFormat="1" ht="12.75" x14ac:dyDescent="0.2">
      <c r="B21979" s="1168"/>
    </row>
    <row r="21980" spans="2:2" s="221" customFormat="1" ht="12.75" x14ac:dyDescent="0.2">
      <c r="B21980" s="1168"/>
    </row>
    <row r="21981" spans="2:2" s="221" customFormat="1" ht="12.75" x14ac:dyDescent="0.2">
      <c r="B21981" s="1168"/>
    </row>
    <row r="21982" spans="2:2" s="221" customFormat="1" ht="12.75" x14ac:dyDescent="0.2">
      <c r="B21982" s="1168"/>
    </row>
    <row r="21983" spans="2:2" s="221" customFormat="1" ht="12.75" x14ac:dyDescent="0.2">
      <c r="B21983" s="1168"/>
    </row>
    <row r="21984" spans="2:2" s="221" customFormat="1" ht="12.75" x14ac:dyDescent="0.2">
      <c r="B21984" s="1168"/>
    </row>
    <row r="21985" spans="2:2" s="221" customFormat="1" ht="12.75" x14ac:dyDescent="0.2">
      <c r="B21985" s="1168"/>
    </row>
    <row r="21986" spans="2:2" s="221" customFormat="1" ht="12.75" x14ac:dyDescent="0.2">
      <c r="B21986" s="1168"/>
    </row>
    <row r="21987" spans="2:2" s="221" customFormat="1" ht="12.75" x14ac:dyDescent="0.2">
      <c r="B21987" s="1168"/>
    </row>
    <row r="21988" spans="2:2" s="221" customFormat="1" ht="12.75" x14ac:dyDescent="0.2">
      <c r="B21988" s="1168"/>
    </row>
    <row r="21989" spans="2:2" s="221" customFormat="1" ht="12.75" x14ac:dyDescent="0.2">
      <c r="B21989" s="1168"/>
    </row>
    <row r="21990" spans="2:2" s="221" customFormat="1" ht="12.75" x14ac:dyDescent="0.2">
      <c r="B21990" s="1168"/>
    </row>
    <row r="21991" spans="2:2" s="221" customFormat="1" ht="12.75" x14ac:dyDescent="0.2">
      <c r="B21991" s="1168"/>
    </row>
    <row r="21992" spans="2:2" s="221" customFormat="1" ht="12.75" x14ac:dyDescent="0.2">
      <c r="B21992" s="1168"/>
    </row>
    <row r="21993" spans="2:2" s="221" customFormat="1" ht="12.75" x14ac:dyDescent="0.2">
      <c r="B21993" s="1168"/>
    </row>
    <row r="21994" spans="2:2" s="221" customFormat="1" ht="12.75" x14ac:dyDescent="0.2">
      <c r="B21994" s="1168"/>
    </row>
    <row r="21995" spans="2:2" s="221" customFormat="1" ht="12.75" x14ac:dyDescent="0.2">
      <c r="B21995" s="1168"/>
    </row>
    <row r="21996" spans="2:2" s="221" customFormat="1" ht="12.75" x14ac:dyDescent="0.2">
      <c r="B21996" s="1168"/>
    </row>
    <row r="21997" spans="2:2" s="221" customFormat="1" ht="12.75" x14ac:dyDescent="0.2">
      <c r="B21997" s="1168"/>
    </row>
    <row r="21998" spans="2:2" s="221" customFormat="1" ht="12.75" x14ac:dyDescent="0.2">
      <c r="B21998" s="1168"/>
    </row>
    <row r="21999" spans="2:2" s="221" customFormat="1" ht="12.75" x14ac:dyDescent="0.2">
      <c r="B21999" s="1168"/>
    </row>
    <row r="22000" spans="2:2" s="221" customFormat="1" ht="12.75" x14ac:dyDescent="0.2">
      <c r="B22000" s="1168"/>
    </row>
    <row r="22001" spans="2:2" s="221" customFormat="1" ht="12.75" x14ac:dyDescent="0.2">
      <c r="B22001" s="1168"/>
    </row>
    <row r="22002" spans="2:2" s="221" customFormat="1" ht="12.75" x14ac:dyDescent="0.2">
      <c r="B22002" s="1168"/>
    </row>
    <row r="22003" spans="2:2" s="221" customFormat="1" ht="12.75" x14ac:dyDescent="0.2">
      <c r="B22003" s="1168"/>
    </row>
    <row r="22004" spans="2:2" s="221" customFormat="1" ht="12.75" x14ac:dyDescent="0.2">
      <c r="B22004" s="1168"/>
    </row>
    <row r="22005" spans="2:2" s="221" customFormat="1" ht="12.75" x14ac:dyDescent="0.2">
      <c r="B22005" s="1168"/>
    </row>
    <row r="22006" spans="2:2" s="221" customFormat="1" ht="12.75" x14ac:dyDescent="0.2">
      <c r="B22006" s="1168"/>
    </row>
    <row r="22007" spans="2:2" s="221" customFormat="1" ht="12.75" x14ac:dyDescent="0.2">
      <c r="B22007" s="1168"/>
    </row>
    <row r="22008" spans="2:2" s="221" customFormat="1" ht="12.75" x14ac:dyDescent="0.2">
      <c r="B22008" s="1168"/>
    </row>
    <row r="22009" spans="2:2" s="221" customFormat="1" ht="12.75" x14ac:dyDescent="0.2">
      <c r="B22009" s="1168"/>
    </row>
    <row r="22010" spans="2:2" s="221" customFormat="1" ht="12.75" x14ac:dyDescent="0.2">
      <c r="B22010" s="1168"/>
    </row>
    <row r="22011" spans="2:2" s="221" customFormat="1" ht="12.75" x14ac:dyDescent="0.2">
      <c r="B22011" s="1168"/>
    </row>
    <row r="22012" spans="2:2" s="221" customFormat="1" ht="12.75" x14ac:dyDescent="0.2">
      <c r="B22012" s="1168"/>
    </row>
    <row r="22013" spans="2:2" s="221" customFormat="1" ht="12.75" x14ac:dyDescent="0.2">
      <c r="B22013" s="1168"/>
    </row>
    <row r="22014" spans="2:2" s="221" customFormat="1" ht="12.75" x14ac:dyDescent="0.2">
      <c r="B22014" s="1168"/>
    </row>
    <row r="22015" spans="2:2" s="221" customFormat="1" ht="12.75" x14ac:dyDescent="0.2">
      <c r="B22015" s="1168"/>
    </row>
    <row r="22016" spans="2:2" s="221" customFormat="1" ht="12.75" x14ac:dyDescent="0.2">
      <c r="B22016" s="1168"/>
    </row>
    <row r="22017" spans="2:2" s="221" customFormat="1" ht="12.75" x14ac:dyDescent="0.2">
      <c r="B22017" s="1168"/>
    </row>
    <row r="22018" spans="2:2" s="221" customFormat="1" ht="12.75" x14ac:dyDescent="0.2">
      <c r="B22018" s="1168"/>
    </row>
    <row r="22019" spans="2:2" s="221" customFormat="1" ht="12.75" x14ac:dyDescent="0.2">
      <c r="B22019" s="1168"/>
    </row>
    <row r="22020" spans="2:2" s="221" customFormat="1" ht="12.75" x14ac:dyDescent="0.2">
      <c r="B22020" s="1168"/>
    </row>
    <row r="22021" spans="2:2" s="221" customFormat="1" ht="12.75" x14ac:dyDescent="0.2">
      <c r="B22021" s="1168"/>
    </row>
    <row r="22022" spans="2:2" s="221" customFormat="1" ht="12.75" x14ac:dyDescent="0.2">
      <c r="B22022" s="1168"/>
    </row>
    <row r="22023" spans="2:2" s="221" customFormat="1" ht="12.75" x14ac:dyDescent="0.2">
      <c r="B22023" s="1168"/>
    </row>
    <row r="22024" spans="2:2" s="221" customFormat="1" ht="12.75" x14ac:dyDescent="0.2">
      <c r="B22024" s="1168"/>
    </row>
    <row r="22025" spans="2:2" s="221" customFormat="1" ht="12.75" x14ac:dyDescent="0.2">
      <c r="B22025" s="1168"/>
    </row>
    <row r="22026" spans="2:2" s="221" customFormat="1" ht="12.75" x14ac:dyDescent="0.2">
      <c r="B22026" s="1168"/>
    </row>
    <row r="22027" spans="2:2" s="221" customFormat="1" ht="12.75" x14ac:dyDescent="0.2">
      <c r="B22027" s="1168"/>
    </row>
    <row r="22028" spans="2:2" s="221" customFormat="1" ht="12.75" x14ac:dyDescent="0.2">
      <c r="B22028" s="1168"/>
    </row>
    <row r="22029" spans="2:2" s="221" customFormat="1" ht="12.75" x14ac:dyDescent="0.2">
      <c r="B22029" s="1168"/>
    </row>
    <row r="22030" spans="2:2" s="221" customFormat="1" ht="12.75" x14ac:dyDescent="0.2">
      <c r="B22030" s="1168"/>
    </row>
    <row r="22031" spans="2:2" s="221" customFormat="1" ht="12.75" x14ac:dyDescent="0.2">
      <c r="B22031" s="1168"/>
    </row>
    <row r="22032" spans="2:2" s="221" customFormat="1" ht="12.75" x14ac:dyDescent="0.2">
      <c r="B22032" s="1168"/>
    </row>
    <row r="22033" spans="2:2" s="221" customFormat="1" ht="12.75" x14ac:dyDescent="0.2">
      <c r="B22033" s="1168"/>
    </row>
    <row r="22034" spans="2:2" s="221" customFormat="1" ht="12.75" x14ac:dyDescent="0.2">
      <c r="B22034" s="1168"/>
    </row>
    <row r="22035" spans="2:2" s="221" customFormat="1" ht="12.75" x14ac:dyDescent="0.2">
      <c r="B22035" s="1168"/>
    </row>
    <row r="22036" spans="2:2" s="221" customFormat="1" ht="12.75" x14ac:dyDescent="0.2">
      <c r="B22036" s="1168"/>
    </row>
    <row r="22037" spans="2:2" s="221" customFormat="1" ht="12.75" x14ac:dyDescent="0.2">
      <c r="B22037" s="1168"/>
    </row>
    <row r="22038" spans="2:2" s="221" customFormat="1" ht="12.75" x14ac:dyDescent="0.2">
      <c r="B22038" s="1168"/>
    </row>
    <row r="22039" spans="2:2" s="221" customFormat="1" ht="12.75" x14ac:dyDescent="0.2">
      <c r="B22039" s="1168"/>
    </row>
    <row r="22040" spans="2:2" s="221" customFormat="1" ht="12.75" x14ac:dyDescent="0.2">
      <c r="B22040" s="1168"/>
    </row>
    <row r="22041" spans="2:2" s="221" customFormat="1" ht="12.75" x14ac:dyDescent="0.2">
      <c r="B22041" s="1168"/>
    </row>
    <row r="22042" spans="2:2" s="221" customFormat="1" ht="12.75" x14ac:dyDescent="0.2">
      <c r="B22042" s="1168"/>
    </row>
    <row r="22043" spans="2:2" s="221" customFormat="1" ht="12.75" x14ac:dyDescent="0.2">
      <c r="B22043" s="1168"/>
    </row>
    <row r="22044" spans="2:2" s="221" customFormat="1" ht="12.75" x14ac:dyDescent="0.2">
      <c r="B22044" s="1168"/>
    </row>
    <row r="22045" spans="2:2" s="221" customFormat="1" ht="12.75" x14ac:dyDescent="0.2">
      <c r="B22045" s="1168"/>
    </row>
    <row r="22046" spans="2:2" s="221" customFormat="1" ht="12.75" x14ac:dyDescent="0.2">
      <c r="B22046" s="1168"/>
    </row>
    <row r="22047" spans="2:2" s="221" customFormat="1" ht="12.75" x14ac:dyDescent="0.2">
      <c r="B22047" s="1168"/>
    </row>
    <row r="22048" spans="2:2" s="221" customFormat="1" ht="12.75" x14ac:dyDescent="0.2">
      <c r="B22048" s="1168"/>
    </row>
    <row r="22049" spans="2:2" s="221" customFormat="1" ht="12.75" x14ac:dyDescent="0.2">
      <c r="B22049" s="1168"/>
    </row>
    <row r="22050" spans="2:2" s="221" customFormat="1" ht="12.75" x14ac:dyDescent="0.2">
      <c r="B22050" s="1168"/>
    </row>
    <row r="22051" spans="2:2" s="221" customFormat="1" ht="12.75" x14ac:dyDescent="0.2">
      <c r="B22051" s="1168"/>
    </row>
    <row r="22052" spans="2:2" s="221" customFormat="1" ht="12.75" x14ac:dyDescent="0.2">
      <c r="B22052" s="1168"/>
    </row>
    <row r="22053" spans="2:2" s="221" customFormat="1" ht="12.75" x14ac:dyDescent="0.2">
      <c r="B22053" s="1168"/>
    </row>
    <row r="22054" spans="2:2" s="221" customFormat="1" ht="12.75" x14ac:dyDescent="0.2">
      <c r="B22054" s="1168"/>
    </row>
    <row r="22055" spans="2:2" s="221" customFormat="1" ht="12.75" x14ac:dyDescent="0.2">
      <c r="B22055" s="1168"/>
    </row>
    <row r="22056" spans="2:2" s="221" customFormat="1" ht="12.75" x14ac:dyDescent="0.2">
      <c r="B22056" s="1168"/>
    </row>
    <row r="22057" spans="2:2" s="221" customFormat="1" ht="12.75" x14ac:dyDescent="0.2">
      <c r="B22057" s="1168"/>
    </row>
    <row r="22058" spans="2:2" s="221" customFormat="1" ht="12.75" x14ac:dyDescent="0.2">
      <c r="B22058" s="1168"/>
    </row>
    <row r="22059" spans="2:2" s="221" customFormat="1" ht="12.75" x14ac:dyDescent="0.2">
      <c r="B22059" s="1168"/>
    </row>
    <row r="22060" spans="2:2" s="221" customFormat="1" ht="12.75" x14ac:dyDescent="0.2">
      <c r="B22060" s="1168"/>
    </row>
    <row r="22061" spans="2:2" s="221" customFormat="1" ht="12.75" x14ac:dyDescent="0.2">
      <c r="B22061" s="1168"/>
    </row>
    <row r="22062" spans="2:2" s="221" customFormat="1" ht="12.75" x14ac:dyDescent="0.2">
      <c r="B22062" s="1168"/>
    </row>
    <row r="22063" spans="2:2" s="221" customFormat="1" ht="12.75" x14ac:dyDescent="0.2">
      <c r="B22063" s="1168"/>
    </row>
    <row r="22064" spans="2:2" s="221" customFormat="1" ht="12.75" x14ac:dyDescent="0.2">
      <c r="B22064" s="1168"/>
    </row>
    <row r="22065" spans="2:2" s="221" customFormat="1" ht="12.75" x14ac:dyDescent="0.2">
      <c r="B22065" s="1168"/>
    </row>
    <row r="22066" spans="2:2" s="221" customFormat="1" ht="12.75" x14ac:dyDescent="0.2">
      <c r="B22066" s="1168"/>
    </row>
    <row r="22067" spans="2:2" s="221" customFormat="1" ht="12.75" x14ac:dyDescent="0.2">
      <c r="B22067" s="1168"/>
    </row>
    <row r="22068" spans="2:2" s="221" customFormat="1" ht="12.75" x14ac:dyDescent="0.2">
      <c r="B22068" s="1168"/>
    </row>
    <row r="22069" spans="2:2" s="221" customFormat="1" ht="12.75" x14ac:dyDescent="0.2">
      <c r="B22069" s="1168"/>
    </row>
    <row r="22070" spans="2:2" s="221" customFormat="1" ht="12.75" x14ac:dyDescent="0.2">
      <c r="B22070" s="1168"/>
    </row>
    <row r="22071" spans="2:2" s="221" customFormat="1" ht="12.75" x14ac:dyDescent="0.2">
      <c r="B22071" s="1168"/>
    </row>
    <row r="22072" spans="2:2" s="221" customFormat="1" ht="12.75" x14ac:dyDescent="0.2">
      <c r="B22072" s="1168"/>
    </row>
    <row r="22073" spans="2:2" s="221" customFormat="1" ht="12.75" x14ac:dyDescent="0.2">
      <c r="B22073" s="1168"/>
    </row>
    <row r="22074" spans="2:2" s="221" customFormat="1" ht="12.75" x14ac:dyDescent="0.2">
      <c r="B22074" s="1168"/>
    </row>
    <row r="22075" spans="2:2" s="221" customFormat="1" ht="12.75" x14ac:dyDescent="0.2">
      <c r="B22075" s="1168"/>
    </row>
    <row r="22076" spans="2:2" s="221" customFormat="1" ht="12.75" x14ac:dyDescent="0.2">
      <c r="B22076" s="1168"/>
    </row>
    <row r="22077" spans="2:2" s="221" customFormat="1" ht="12.75" x14ac:dyDescent="0.2">
      <c r="B22077" s="1168"/>
    </row>
    <row r="22078" spans="2:2" s="221" customFormat="1" ht="12.75" x14ac:dyDescent="0.2">
      <c r="B22078" s="1168"/>
    </row>
    <row r="22079" spans="2:2" s="221" customFormat="1" ht="12.75" x14ac:dyDescent="0.2">
      <c r="B22079" s="1168"/>
    </row>
    <row r="22080" spans="2:2" s="221" customFormat="1" ht="12.75" x14ac:dyDescent="0.2">
      <c r="B22080" s="1168"/>
    </row>
    <row r="22081" spans="2:2" s="221" customFormat="1" ht="12.75" x14ac:dyDescent="0.2">
      <c r="B22081" s="1168"/>
    </row>
    <row r="22082" spans="2:2" s="221" customFormat="1" ht="12.75" x14ac:dyDescent="0.2">
      <c r="B22082" s="1168"/>
    </row>
    <row r="22083" spans="2:2" s="221" customFormat="1" ht="12.75" x14ac:dyDescent="0.2">
      <c r="B22083" s="1168"/>
    </row>
    <row r="22084" spans="2:2" s="221" customFormat="1" ht="12.75" x14ac:dyDescent="0.2">
      <c r="B22084" s="1168"/>
    </row>
    <row r="22085" spans="2:2" s="221" customFormat="1" ht="12.75" x14ac:dyDescent="0.2">
      <c r="B22085" s="1168"/>
    </row>
    <row r="22086" spans="2:2" s="221" customFormat="1" ht="12.75" x14ac:dyDescent="0.2">
      <c r="B22086" s="1168"/>
    </row>
    <row r="22087" spans="2:2" s="221" customFormat="1" ht="12.75" x14ac:dyDescent="0.2">
      <c r="B22087" s="1168"/>
    </row>
    <row r="22088" spans="2:2" s="221" customFormat="1" ht="12.75" x14ac:dyDescent="0.2">
      <c r="B22088" s="1168"/>
    </row>
    <row r="22089" spans="2:2" s="221" customFormat="1" ht="12.75" x14ac:dyDescent="0.2">
      <c r="B22089" s="1168"/>
    </row>
    <row r="22090" spans="2:2" s="221" customFormat="1" ht="12.75" x14ac:dyDescent="0.2">
      <c r="B22090" s="1168"/>
    </row>
    <row r="22091" spans="2:2" s="221" customFormat="1" ht="12.75" x14ac:dyDescent="0.2">
      <c r="B22091" s="1168"/>
    </row>
    <row r="22092" spans="2:2" s="221" customFormat="1" ht="12.75" x14ac:dyDescent="0.2">
      <c r="B22092" s="1168"/>
    </row>
    <row r="22093" spans="2:2" s="221" customFormat="1" ht="12.75" x14ac:dyDescent="0.2">
      <c r="B22093" s="1168"/>
    </row>
    <row r="22094" spans="2:2" s="221" customFormat="1" ht="12.75" x14ac:dyDescent="0.2">
      <c r="B22094" s="1168"/>
    </row>
    <row r="22095" spans="2:2" s="221" customFormat="1" ht="12.75" x14ac:dyDescent="0.2">
      <c r="B22095" s="1168"/>
    </row>
    <row r="22096" spans="2:2" s="221" customFormat="1" ht="12.75" x14ac:dyDescent="0.2">
      <c r="B22096" s="1168"/>
    </row>
    <row r="22097" spans="2:2" s="221" customFormat="1" ht="12.75" x14ac:dyDescent="0.2">
      <c r="B22097" s="1168"/>
    </row>
    <row r="22098" spans="2:2" s="221" customFormat="1" ht="12.75" x14ac:dyDescent="0.2">
      <c r="B22098" s="1168"/>
    </row>
    <row r="22099" spans="2:2" s="221" customFormat="1" ht="12.75" x14ac:dyDescent="0.2">
      <c r="B22099" s="1168"/>
    </row>
    <row r="22100" spans="2:2" s="221" customFormat="1" ht="12.75" x14ac:dyDescent="0.2">
      <c r="B22100" s="1168"/>
    </row>
    <row r="22101" spans="2:2" s="221" customFormat="1" ht="12.75" x14ac:dyDescent="0.2">
      <c r="B22101" s="1168"/>
    </row>
    <row r="22102" spans="2:2" s="221" customFormat="1" ht="12.75" x14ac:dyDescent="0.2">
      <c r="B22102" s="1168"/>
    </row>
    <row r="22103" spans="2:2" s="221" customFormat="1" ht="12.75" x14ac:dyDescent="0.2">
      <c r="B22103" s="1168"/>
    </row>
    <row r="22104" spans="2:2" s="221" customFormat="1" ht="12.75" x14ac:dyDescent="0.2">
      <c r="B22104" s="1168"/>
    </row>
    <row r="22105" spans="2:2" s="221" customFormat="1" ht="12.75" x14ac:dyDescent="0.2">
      <c r="B22105" s="1168"/>
    </row>
    <row r="22106" spans="2:2" s="221" customFormat="1" ht="12.75" x14ac:dyDescent="0.2">
      <c r="B22106" s="1168"/>
    </row>
    <row r="22107" spans="2:2" s="221" customFormat="1" ht="12.75" x14ac:dyDescent="0.2">
      <c r="B22107" s="1168"/>
    </row>
    <row r="22108" spans="2:2" s="221" customFormat="1" ht="12.75" x14ac:dyDescent="0.2">
      <c r="B22108" s="1168"/>
    </row>
    <row r="22109" spans="2:2" s="221" customFormat="1" ht="12.75" x14ac:dyDescent="0.2">
      <c r="B22109" s="1168"/>
    </row>
    <row r="22110" spans="2:2" s="221" customFormat="1" ht="12.75" x14ac:dyDescent="0.2">
      <c r="B22110" s="1168"/>
    </row>
    <row r="22111" spans="2:2" s="221" customFormat="1" ht="12.75" x14ac:dyDescent="0.2">
      <c r="B22111" s="1168"/>
    </row>
    <row r="22112" spans="2:2" s="221" customFormat="1" ht="12.75" x14ac:dyDescent="0.2">
      <c r="B22112" s="1168"/>
    </row>
    <row r="22113" spans="2:2" s="221" customFormat="1" ht="12.75" x14ac:dyDescent="0.2">
      <c r="B22113" s="1168"/>
    </row>
    <row r="22114" spans="2:2" s="221" customFormat="1" ht="12.75" x14ac:dyDescent="0.2">
      <c r="B22114" s="1168"/>
    </row>
    <row r="22115" spans="2:2" s="221" customFormat="1" ht="12.75" x14ac:dyDescent="0.2">
      <c r="B22115" s="1168"/>
    </row>
    <row r="22116" spans="2:2" s="221" customFormat="1" ht="12.75" x14ac:dyDescent="0.2">
      <c r="B22116" s="1168"/>
    </row>
    <row r="22117" spans="2:2" s="221" customFormat="1" ht="12.75" x14ac:dyDescent="0.2">
      <c r="B22117" s="1168"/>
    </row>
    <row r="22118" spans="2:2" s="221" customFormat="1" ht="12.75" x14ac:dyDescent="0.2">
      <c r="B22118" s="1168"/>
    </row>
    <row r="22119" spans="2:2" s="221" customFormat="1" ht="12.75" x14ac:dyDescent="0.2">
      <c r="B22119" s="1168"/>
    </row>
    <row r="22120" spans="2:2" s="221" customFormat="1" ht="12.75" x14ac:dyDescent="0.2">
      <c r="B22120" s="1168"/>
    </row>
    <row r="22121" spans="2:2" s="221" customFormat="1" ht="12.75" x14ac:dyDescent="0.2">
      <c r="B22121" s="1168"/>
    </row>
    <row r="22122" spans="2:2" s="221" customFormat="1" ht="12.75" x14ac:dyDescent="0.2">
      <c r="B22122" s="1168"/>
    </row>
    <row r="22123" spans="2:2" s="221" customFormat="1" ht="12.75" x14ac:dyDescent="0.2">
      <c r="B22123" s="1168"/>
    </row>
    <row r="22124" spans="2:2" s="221" customFormat="1" ht="12.75" x14ac:dyDescent="0.2">
      <c r="B22124" s="1168"/>
    </row>
    <row r="22125" spans="2:2" s="221" customFormat="1" ht="12.75" x14ac:dyDescent="0.2">
      <c r="B22125" s="1168"/>
    </row>
    <row r="22126" spans="2:2" s="221" customFormat="1" ht="12.75" x14ac:dyDescent="0.2">
      <c r="B22126" s="1168"/>
    </row>
    <row r="22127" spans="2:2" s="221" customFormat="1" ht="12.75" x14ac:dyDescent="0.2">
      <c r="B22127" s="1168"/>
    </row>
    <row r="22128" spans="2:2" s="221" customFormat="1" ht="12.75" x14ac:dyDescent="0.2">
      <c r="B22128" s="1168"/>
    </row>
    <row r="22129" spans="2:2" s="221" customFormat="1" ht="12.75" x14ac:dyDescent="0.2">
      <c r="B22129" s="1168"/>
    </row>
    <row r="22130" spans="2:2" s="221" customFormat="1" ht="12.75" x14ac:dyDescent="0.2">
      <c r="B22130" s="1168"/>
    </row>
    <row r="22131" spans="2:2" s="221" customFormat="1" ht="12.75" x14ac:dyDescent="0.2">
      <c r="B22131" s="1168"/>
    </row>
    <row r="22132" spans="2:2" s="221" customFormat="1" ht="12.75" x14ac:dyDescent="0.2">
      <c r="B22132" s="1168"/>
    </row>
    <row r="22133" spans="2:2" s="221" customFormat="1" ht="12.75" x14ac:dyDescent="0.2">
      <c r="B22133" s="1168"/>
    </row>
    <row r="22134" spans="2:2" s="221" customFormat="1" ht="12.75" x14ac:dyDescent="0.2">
      <c r="B22134" s="1168"/>
    </row>
    <row r="22135" spans="2:2" s="221" customFormat="1" ht="12.75" x14ac:dyDescent="0.2">
      <c r="B22135" s="1168"/>
    </row>
    <row r="22136" spans="2:2" s="221" customFormat="1" ht="12.75" x14ac:dyDescent="0.2">
      <c r="B22136" s="1168"/>
    </row>
    <row r="22137" spans="2:2" s="221" customFormat="1" ht="12.75" x14ac:dyDescent="0.2">
      <c r="B22137" s="1168"/>
    </row>
    <row r="22138" spans="2:2" s="221" customFormat="1" ht="12.75" x14ac:dyDescent="0.2">
      <c r="B22138" s="1168"/>
    </row>
    <row r="22139" spans="2:2" s="221" customFormat="1" ht="12.75" x14ac:dyDescent="0.2">
      <c r="B22139" s="1168"/>
    </row>
    <row r="22140" spans="2:2" s="221" customFormat="1" ht="12.75" x14ac:dyDescent="0.2">
      <c r="B22140" s="1168"/>
    </row>
    <row r="22141" spans="2:2" s="221" customFormat="1" ht="12.75" x14ac:dyDescent="0.2">
      <c r="B22141" s="1168"/>
    </row>
    <row r="22142" spans="2:2" s="221" customFormat="1" ht="12.75" x14ac:dyDescent="0.2">
      <c r="B22142" s="1168"/>
    </row>
    <row r="22143" spans="2:2" s="221" customFormat="1" ht="12.75" x14ac:dyDescent="0.2">
      <c r="B22143" s="1168"/>
    </row>
    <row r="22144" spans="2:2" s="221" customFormat="1" ht="12.75" x14ac:dyDescent="0.2">
      <c r="B22144" s="1168"/>
    </row>
    <row r="22145" spans="2:2" s="221" customFormat="1" ht="12.75" x14ac:dyDescent="0.2">
      <c r="B22145" s="1168"/>
    </row>
    <row r="22146" spans="2:2" s="221" customFormat="1" ht="12.75" x14ac:dyDescent="0.2">
      <c r="B22146" s="1168"/>
    </row>
    <row r="22147" spans="2:2" s="221" customFormat="1" ht="12.75" x14ac:dyDescent="0.2">
      <c r="B22147" s="1168"/>
    </row>
    <row r="22148" spans="2:2" s="221" customFormat="1" ht="12.75" x14ac:dyDescent="0.2">
      <c r="B22148" s="1168"/>
    </row>
    <row r="22149" spans="2:2" s="221" customFormat="1" ht="12.75" x14ac:dyDescent="0.2">
      <c r="B22149" s="1168"/>
    </row>
    <row r="22150" spans="2:2" s="221" customFormat="1" ht="12.75" x14ac:dyDescent="0.2">
      <c r="B22150" s="1168"/>
    </row>
    <row r="22151" spans="2:2" s="221" customFormat="1" ht="12.75" x14ac:dyDescent="0.2">
      <c r="B22151" s="1168"/>
    </row>
    <row r="22152" spans="2:2" s="221" customFormat="1" ht="12.75" x14ac:dyDescent="0.2">
      <c r="B22152" s="1168"/>
    </row>
    <row r="22153" spans="2:2" s="221" customFormat="1" ht="12.75" x14ac:dyDescent="0.2">
      <c r="B22153" s="1168"/>
    </row>
    <row r="22154" spans="2:2" s="221" customFormat="1" ht="12.75" x14ac:dyDescent="0.2">
      <c r="B22154" s="1168"/>
    </row>
    <row r="22155" spans="2:2" s="221" customFormat="1" ht="12.75" x14ac:dyDescent="0.2">
      <c r="B22155" s="1168"/>
    </row>
    <row r="22156" spans="2:2" s="221" customFormat="1" ht="12.75" x14ac:dyDescent="0.2">
      <c r="B22156" s="1168"/>
    </row>
    <row r="22157" spans="2:2" s="221" customFormat="1" ht="12.75" x14ac:dyDescent="0.2">
      <c r="B22157" s="1168"/>
    </row>
    <row r="22158" spans="2:2" s="221" customFormat="1" ht="12.75" x14ac:dyDescent="0.2">
      <c r="B22158" s="1168"/>
    </row>
    <row r="22159" spans="2:2" s="221" customFormat="1" ht="12.75" x14ac:dyDescent="0.2">
      <c r="B22159" s="1168"/>
    </row>
    <row r="22160" spans="2:2" s="221" customFormat="1" ht="12.75" x14ac:dyDescent="0.2">
      <c r="B22160" s="1168"/>
    </row>
    <row r="22161" spans="2:2" s="221" customFormat="1" ht="12.75" x14ac:dyDescent="0.2">
      <c r="B22161" s="1168"/>
    </row>
    <row r="22162" spans="2:2" s="221" customFormat="1" ht="12.75" x14ac:dyDescent="0.2">
      <c r="B22162" s="1168"/>
    </row>
    <row r="22163" spans="2:2" s="221" customFormat="1" ht="12.75" x14ac:dyDescent="0.2">
      <c r="B22163" s="1168"/>
    </row>
    <row r="22164" spans="2:2" s="221" customFormat="1" ht="12.75" x14ac:dyDescent="0.2">
      <c r="B22164" s="1168"/>
    </row>
    <row r="22165" spans="2:2" s="221" customFormat="1" ht="12.75" x14ac:dyDescent="0.2">
      <c r="B22165" s="1168"/>
    </row>
    <row r="22166" spans="2:2" s="221" customFormat="1" ht="12.75" x14ac:dyDescent="0.2">
      <c r="B22166" s="1168"/>
    </row>
    <row r="22167" spans="2:2" s="221" customFormat="1" ht="12.75" x14ac:dyDescent="0.2">
      <c r="B22167" s="1168"/>
    </row>
    <row r="22168" spans="2:2" s="221" customFormat="1" ht="12.75" x14ac:dyDescent="0.2">
      <c r="B22168" s="1168"/>
    </row>
    <row r="22169" spans="2:2" s="221" customFormat="1" ht="12.75" x14ac:dyDescent="0.2">
      <c r="B22169" s="1168"/>
    </row>
    <row r="22170" spans="2:2" s="221" customFormat="1" ht="12.75" x14ac:dyDescent="0.2">
      <c r="B22170" s="1168"/>
    </row>
    <row r="22171" spans="2:2" s="221" customFormat="1" ht="12.75" x14ac:dyDescent="0.2">
      <c r="B22171" s="1168"/>
    </row>
    <row r="22172" spans="2:2" s="221" customFormat="1" ht="12.75" x14ac:dyDescent="0.2">
      <c r="B22172" s="1168"/>
    </row>
    <row r="22173" spans="2:2" s="221" customFormat="1" ht="12.75" x14ac:dyDescent="0.2">
      <c r="B22173" s="1168"/>
    </row>
    <row r="22174" spans="2:2" s="221" customFormat="1" ht="12.75" x14ac:dyDescent="0.2">
      <c r="B22174" s="1168"/>
    </row>
    <row r="22175" spans="2:2" s="221" customFormat="1" ht="12.75" x14ac:dyDescent="0.2">
      <c r="B22175" s="1168"/>
    </row>
    <row r="22176" spans="2:2" s="221" customFormat="1" ht="12.75" x14ac:dyDescent="0.2">
      <c r="B22176" s="1168"/>
    </row>
    <row r="22177" spans="2:2" s="221" customFormat="1" ht="12.75" x14ac:dyDescent="0.2">
      <c r="B22177" s="1168"/>
    </row>
    <row r="22178" spans="2:2" s="221" customFormat="1" ht="12.75" x14ac:dyDescent="0.2">
      <c r="B22178" s="1168"/>
    </row>
    <row r="22179" spans="2:2" s="221" customFormat="1" ht="12.75" x14ac:dyDescent="0.2">
      <c r="B22179" s="1168"/>
    </row>
    <row r="22180" spans="2:2" s="221" customFormat="1" ht="12.75" x14ac:dyDescent="0.2">
      <c r="B22180" s="1168"/>
    </row>
    <row r="22181" spans="2:2" s="221" customFormat="1" ht="12.75" x14ac:dyDescent="0.2">
      <c r="B22181" s="1168"/>
    </row>
    <row r="22182" spans="2:2" s="221" customFormat="1" ht="12.75" x14ac:dyDescent="0.2">
      <c r="B22182" s="1168"/>
    </row>
    <row r="22183" spans="2:2" s="221" customFormat="1" ht="12.75" x14ac:dyDescent="0.2">
      <c r="B22183" s="1168"/>
    </row>
    <row r="22184" spans="2:2" s="221" customFormat="1" ht="12.75" x14ac:dyDescent="0.2">
      <c r="B22184" s="1168"/>
    </row>
    <row r="22185" spans="2:2" s="221" customFormat="1" ht="12.75" x14ac:dyDescent="0.2">
      <c r="B22185" s="1168"/>
    </row>
    <row r="22186" spans="2:2" s="221" customFormat="1" ht="12.75" x14ac:dyDescent="0.2">
      <c r="B22186" s="1168"/>
    </row>
    <row r="22187" spans="2:2" s="221" customFormat="1" ht="12.75" x14ac:dyDescent="0.2">
      <c r="B22187" s="1168"/>
    </row>
    <row r="22188" spans="2:2" s="221" customFormat="1" ht="12.75" x14ac:dyDescent="0.2">
      <c r="B22188" s="1168"/>
    </row>
    <row r="22189" spans="2:2" s="221" customFormat="1" ht="12.75" x14ac:dyDescent="0.2">
      <c r="B22189" s="1168"/>
    </row>
    <row r="22190" spans="2:2" s="221" customFormat="1" ht="12.75" x14ac:dyDescent="0.2">
      <c r="B22190" s="1168"/>
    </row>
    <row r="22191" spans="2:2" s="221" customFormat="1" ht="12.75" x14ac:dyDescent="0.2">
      <c r="B22191" s="1168"/>
    </row>
    <row r="22192" spans="2:2" s="221" customFormat="1" ht="12.75" x14ac:dyDescent="0.2">
      <c r="B22192" s="1168"/>
    </row>
    <row r="22193" spans="2:2" s="221" customFormat="1" ht="12.75" x14ac:dyDescent="0.2">
      <c r="B22193" s="1168"/>
    </row>
    <row r="22194" spans="2:2" s="221" customFormat="1" ht="12.75" x14ac:dyDescent="0.2">
      <c r="B22194" s="1168"/>
    </row>
    <row r="22195" spans="2:2" s="221" customFormat="1" ht="12.75" x14ac:dyDescent="0.2">
      <c r="B22195" s="1168"/>
    </row>
    <row r="22196" spans="2:2" s="221" customFormat="1" ht="12.75" x14ac:dyDescent="0.2">
      <c r="B22196" s="1168"/>
    </row>
    <row r="22197" spans="2:2" s="221" customFormat="1" ht="12.75" x14ac:dyDescent="0.2">
      <c r="B22197" s="1168"/>
    </row>
    <row r="22198" spans="2:2" s="221" customFormat="1" ht="12.75" x14ac:dyDescent="0.2">
      <c r="B22198" s="1168"/>
    </row>
    <row r="22199" spans="2:2" s="221" customFormat="1" ht="12.75" x14ac:dyDescent="0.2">
      <c r="B22199" s="1168"/>
    </row>
    <row r="22200" spans="2:2" s="221" customFormat="1" ht="12.75" x14ac:dyDescent="0.2">
      <c r="B22200" s="1168"/>
    </row>
    <row r="22201" spans="2:2" s="221" customFormat="1" ht="12.75" x14ac:dyDescent="0.2">
      <c r="B22201" s="1168"/>
    </row>
    <row r="22202" spans="2:2" s="221" customFormat="1" ht="12.75" x14ac:dyDescent="0.2">
      <c r="B22202" s="1168"/>
    </row>
    <row r="22203" spans="2:2" s="221" customFormat="1" ht="12.75" x14ac:dyDescent="0.2">
      <c r="B22203" s="1168"/>
    </row>
    <row r="22204" spans="2:2" s="221" customFormat="1" ht="12.75" x14ac:dyDescent="0.2">
      <c r="B22204" s="1168"/>
    </row>
    <row r="22205" spans="2:2" s="221" customFormat="1" ht="12.75" x14ac:dyDescent="0.2">
      <c r="B22205" s="1168"/>
    </row>
    <row r="22206" spans="2:2" s="221" customFormat="1" ht="12.75" x14ac:dyDescent="0.2">
      <c r="B22206" s="1168"/>
    </row>
    <row r="22207" spans="2:2" s="221" customFormat="1" ht="12.75" x14ac:dyDescent="0.2">
      <c r="B22207" s="1168"/>
    </row>
    <row r="22208" spans="2:2" s="221" customFormat="1" ht="12.75" x14ac:dyDescent="0.2">
      <c r="B22208" s="1168"/>
    </row>
    <row r="22209" spans="2:2" s="221" customFormat="1" ht="12.75" x14ac:dyDescent="0.2">
      <c r="B22209" s="1168"/>
    </row>
    <row r="22210" spans="2:2" s="221" customFormat="1" ht="12.75" x14ac:dyDescent="0.2">
      <c r="B22210" s="1168"/>
    </row>
    <row r="22211" spans="2:2" s="221" customFormat="1" ht="12.75" x14ac:dyDescent="0.2">
      <c r="B22211" s="1168"/>
    </row>
    <row r="22212" spans="2:2" s="221" customFormat="1" ht="12.75" x14ac:dyDescent="0.2">
      <c r="B22212" s="1168"/>
    </row>
    <row r="22213" spans="2:2" s="221" customFormat="1" ht="12.75" x14ac:dyDescent="0.2">
      <c r="B22213" s="1168"/>
    </row>
    <row r="22214" spans="2:2" s="221" customFormat="1" ht="12.75" x14ac:dyDescent="0.2">
      <c r="B22214" s="1168"/>
    </row>
    <row r="22215" spans="2:2" s="221" customFormat="1" ht="12.75" x14ac:dyDescent="0.2">
      <c r="B22215" s="1168"/>
    </row>
    <row r="22216" spans="2:2" s="221" customFormat="1" ht="12.75" x14ac:dyDescent="0.2">
      <c r="B22216" s="1168"/>
    </row>
    <row r="22217" spans="2:2" s="221" customFormat="1" ht="12.75" x14ac:dyDescent="0.2">
      <c r="B22217" s="1168"/>
    </row>
    <row r="22218" spans="2:2" s="221" customFormat="1" ht="12.75" x14ac:dyDescent="0.2">
      <c r="B22218" s="1168"/>
    </row>
    <row r="22219" spans="2:2" s="221" customFormat="1" ht="12.75" x14ac:dyDescent="0.2">
      <c r="B22219" s="1168"/>
    </row>
    <row r="22220" spans="2:2" s="221" customFormat="1" ht="12.75" x14ac:dyDescent="0.2">
      <c r="B22220" s="1168"/>
    </row>
    <row r="22221" spans="2:2" s="221" customFormat="1" ht="12.75" x14ac:dyDescent="0.2">
      <c r="B22221" s="1168"/>
    </row>
    <row r="22222" spans="2:2" s="221" customFormat="1" ht="12.75" x14ac:dyDescent="0.2">
      <c r="B22222" s="1168"/>
    </row>
    <row r="22223" spans="2:2" s="221" customFormat="1" ht="12.75" x14ac:dyDescent="0.2">
      <c r="B22223" s="1168"/>
    </row>
    <row r="22224" spans="2:2" s="221" customFormat="1" ht="12.75" x14ac:dyDescent="0.2">
      <c r="B22224" s="1168"/>
    </row>
    <row r="22225" spans="2:2" s="221" customFormat="1" ht="12.75" x14ac:dyDescent="0.2">
      <c r="B22225" s="1168"/>
    </row>
    <row r="22226" spans="2:2" s="221" customFormat="1" ht="12.75" x14ac:dyDescent="0.2">
      <c r="B22226" s="1168"/>
    </row>
    <row r="22227" spans="2:2" s="221" customFormat="1" ht="12.75" x14ac:dyDescent="0.2">
      <c r="B22227" s="1168"/>
    </row>
    <row r="22228" spans="2:2" s="221" customFormat="1" ht="12.75" x14ac:dyDescent="0.2">
      <c r="B22228" s="1168"/>
    </row>
    <row r="22229" spans="2:2" s="221" customFormat="1" ht="12.75" x14ac:dyDescent="0.2">
      <c r="B22229" s="1168"/>
    </row>
    <row r="22230" spans="2:2" s="221" customFormat="1" ht="12.75" x14ac:dyDescent="0.2">
      <c r="B22230" s="1168"/>
    </row>
    <row r="22231" spans="2:2" s="221" customFormat="1" ht="12.75" x14ac:dyDescent="0.2">
      <c r="B22231" s="1168"/>
    </row>
    <row r="22232" spans="2:2" s="221" customFormat="1" ht="12.75" x14ac:dyDescent="0.2">
      <c r="B22232" s="1168"/>
    </row>
    <row r="22233" spans="2:2" s="221" customFormat="1" ht="12.75" x14ac:dyDescent="0.2">
      <c r="B22233" s="1168"/>
    </row>
    <row r="22234" spans="2:2" s="221" customFormat="1" ht="12.75" x14ac:dyDescent="0.2">
      <c r="B22234" s="1168"/>
    </row>
    <row r="22235" spans="2:2" s="221" customFormat="1" ht="12.75" x14ac:dyDescent="0.2">
      <c r="B22235" s="1168"/>
    </row>
    <row r="22236" spans="2:2" s="221" customFormat="1" ht="12.75" x14ac:dyDescent="0.2">
      <c r="B22236" s="1168"/>
    </row>
    <row r="22237" spans="2:2" s="221" customFormat="1" ht="12.75" x14ac:dyDescent="0.2">
      <c r="B22237" s="1168"/>
    </row>
    <row r="22238" spans="2:2" s="221" customFormat="1" ht="12.75" x14ac:dyDescent="0.2">
      <c r="B22238" s="1168"/>
    </row>
    <row r="22239" spans="2:2" s="221" customFormat="1" ht="12.75" x14ac:dyDescent="0.2">
      <c r="B22239" s="1168"/>
    </row>
    <row r="22240" spans="2:2" s="221" customFormat="1" ht="12.75" x14ac:dyDescent="0.2">
      <c r="B22240" s="1168"/>
    </row>
    <row r="22241" spans="2:2" s="221" customFormat="1" ht="12.75" x14ac:dyDescent="0.2">
      <c r="B22241" s="1168"/>
    </row>
    <row r="22242" spans="2:2" s="221" customFormat="1" ht="12.75" x14ac:dyDescent="0.2">
      <c r="B22242" s="1168"/>
    </row>
    <row r="22243" spans="2:2" s="221" customFormat="1" ht="12.75" x14ac:dyDescent="0.2">
      <c r="B22243" s="1168"/>
    </row>
    <row r="22244" spans="2:2" s="221" customFormat="1" ht="12.75" x14ac:dyDescent="0.2">
      <c r="B22244" s="1168"/>
    </row>
    <row r="22245" spans="2:2" s="221" customFormat="1" ht="12.75" x14ac:dyDescent="0.2">
      <c r="B22245" s="1168"/>
    </row>
    <row r="22246" spans="2:2" s="221" customFormat="1" ht="12.75" x14ac:dyDescent="0.2">
      <c r="B22246" s="1168"/>
    </row>
    <row r="22247" spans="2:2" s="221" customFormat="1" ht="12.75" x14ac:dyDescent="0.2">
      <c r="B22247" s="1168"/>
    </row>
    <row r="22248" spans="2:2" s="221" customFormat="1" ht="12.75" x14ac:dyDescent="0.2">
      <c r="B22248" s="1168"/>
    </row>
    <row r="22249" spans="2:2" s="221" customFormat="1" ht="12.75" x14ac:dyDescent="0.2">
      <c r="B22249" s="1168"/>
    </row>
    <row r="22250" spans="2:2" s="221" customFormat="1" ht="12.75" x14ac:dyDescent="0.2">
      <c r="B22250" s="1168"/>
    </row>
    <row r="22251" spans="2:2" s="221" customFormat="1" ht="12.75" x14ac:dyDescent="0.2">
      <c r="B22251" s="1168"/>
    </row>
    <row r="22252" spans="2:2" s="221" customFormat="1" ht="12.75" x14ac:dyDescent="0.2">
      <c r="B22252" s="1168"/>
    </row>
    <row r="22253" spans="2:2" s="221" customFormat="1" ht="12.75" x14ac:dyDescent="0.2">
      <c r="B22253" s="1168"/>
    </row>
    <row r="22254" spans="2:2" s="221" customFormat="1" ht="12.75" x14ac:dyDescent="0.2">
      <c r="B22254" s="1168"/>
    </row>
    <row r="22255" spans="2:2" s="221" customFormat="1" ht="12.75" x14ac:dyDescent="0.2">
      <c r="B22255" s="1168"/>
    </row>
    <row r="22256" spans="2:2" s="221" customFormat="1" ht="12.75" x14ac:dyDescent="0.2">
      <c r="B22256" s="1168"/>
    </row>
    <row r="22257" spans="2:2" s="221" customFormat="1" ht="12.75" x14ac:dyDescent="0.2">
      <c r="B22257" s="1168"/>
    </row>
    <row r="22258" spans="2:2" s="221" customFormat="1" ht="12.75" x14ac:dyDescent="0.2">
      <c r="B22258" s="1168"/>
    </row>
    <row r="22259" spans="2:2" s="221" customFormat="1" ht="12.75" x14ac:dyDescent="0.2">
      <c r="B22259" s="1168"/>
    </row>
    <row r="22260" spans="2:2" s="221" customFormat="1" ht="12.75" x14ac:dyDescent="0.2">
      <c r="B22260" s="1168"/>
    </row>
    <row r="22261" spans="2:2" s="221" customFormat="1" ht="12.75" x14ac:dyDescent="0.2">
      <c r="B22261" s="1168"/>
    </row>
    <row r="22262" spans="2:2" s="221" customFormat="1" ht="12.75" x14ac:dyDescent="0.2">
      <c r="B22262" s="1168"/>
    </row>
    <row r="22263" spans="2:2" s="221" customFormat="1" ht="12.75" x14ac:dyDescent="0.2">
      <c r="B22263" s="1168"/>
    </row>
    <row r="22264" spans="2:2" s="221" customFormat="1" ht="12.75" x14ac:dyDescent="0.2">
      <c r="B22264" s="1168"/>
    </row>
    <row r="22265" spans="2:2" s="221" customFormat="1" ht="12.75" x14ac:dyDescent="0.2">
      <c r="B22265" s="1168"/>
    </row>
    <row r="22266" spans="2:2" s="221" customFormat="1" ht="12.75" x14ac:dyDescent="0.2">
      <c r="B22266" s="1168"/>
    </row>
    <row r="22267" spans="2:2" s="221" customFormat="1" ht="12.75" x14ac:dyDescent="0.2">
      <c r="B22267" s="1168"/>
    </row>
    <row r="22268" spans="2:2" s="221" customFormat="1" ht="12.75" x14ac:dyDescent="0.2">
      <c r="B22268" s="1168"/>
    </row>
    <row r="22269" spans="2:2" s="221" customFormat="1" ht="12.75" x14ac:dyDescent="0.2">
      <c r="B22269" s="1168"/>
    </row>
    <row r="22270" spans="2:2" s="221" customFormat="1" ht="12.75" x14ac:dyDescent="0.2">
      <c r="B22270" s="1168"/>
    </row>
    <row r="22271" spans="2:2" s="221" customFormat="1" ht="12.75" x14ac:dyDescent="0.2">
      <c r="B22271" s="1168"/>
    </row>
    <row r="22272" spans="2:2" s="221" customFormat="1" ht="12.75" x14ac:dyDescent="0.2">
      <c r="B22272" s="1168"/>
    </row>
    <row r="22273" spans="2:2" s="221" customFormat="1" ht="12.75" x14ac:dyDescent="0.2">
      <c r="B22273" s="1168"/>
    </row>
    <row r="22274" spans="2:2" s="221" customFormat="1" ht="12.75" x14ac:dyDescent="0.2">
      <c r="B22274" s="1168"/>
    </row>
    <row r="22275" spans="2:2" s="221" customFormat="1" ht="12.75" x14ac:dyDescent="0.2">
      <c r="B22275" s="1168"/>
    </row>
    <row r="22276" spans="2:2" s="221" customFormat="1" ht="12.75" x14ac:dyDescent="0.2">
      <c r="B22276" s="1168"/>
    </row>
    <row r="22277" spans="2:2" s="221" customFormat="1" ht="12.75" x14ac:dyDescent="0.2">
      <c r="B22277" s="1168"/>
    </row>
    <row r="22278" spans="2:2" s="221" customFormat="1" ht="12.75" x14ac:dyDescent="0.2">
      <c r="B22278" s="1168"/>
    </row>
    <row r="22279" spans="2:2" s="221" customFormat="1" ht="12.75" x14ac:dyDescent="0.2">
      <c r="B22279" s="1168"/>
    </row>
    <row r="22280" spans="2:2" s="221" customFormat="1" ht="12.75" x14ac:dyDescent="0.2">
      <c r="B22280" s="1168"/>
    </row>
    <row r="22281" spans="2:2" s="221" customFormat="1" ht="12.75" x14ac:dyDescent="0.2">
      <c r="B22281" s="1168"/>
    </row>
    <row r="22282" spans="2:2" s="221" customFormat="1" ht="12.75" x14ac:dyDescent="0.2">
      <c r="B22282" s="1168"/>
    </row>
    <row r="22283" spans="2:2" s="221" customFormat="1" ht="12.75" x14ac:dyDescent="0.2">
      <c r="B22283" s="1168"/>
    </row>
    <row r="22284" spans="2:2" s="221" customFormat="1" ht="12.75" x14ac:dyDescent="0.2">
      <c r="B22284" s="1168"/>
    </row>
    <row r="22285" spans="2:2" s="221" customFormat="1" ht="12.75" x14ac:dyDescent="0.2">
      <c r="B22285" s="1168"/>
    </row>
    <row r="22286" spans="2:2" s="221" customFormat="1" ht="12.75" x14ac:dyDescent="0.2">
      <c r="B22286" s="1168"/>
    </row>
    <row r="22287" spans="2:2" s="221" customFormat="1" ht="12.75" x14ac:dyDescent="0.2">
      <c r="B22287" s="1168"/>
    </row>
    <row r="22288" spans="2:2" s="221" customFormat="1" ht="12.75" x14ac:dyDescent="0.2">
      <c r="B22288" s="1168"/>
    </row>
    <row r="22289" spans="2:2" s="221" customFormat="1" ht="12.75" x14ac:dyDescent="0.2">
      <c r="B22289" s="1168"/>
    </row>
    <row r="22290" spans="2:2" s="221" customFormat="1" ht="12.75" x14ac:dyDescent="0.2">
      <c r="B22290" s="1168"/>
    </row>
    <row r="22291" spans="2:2" s="221" customFormat="1" ht="12.75" x14ac:dyDescent="0.2">
      <c r="B22291" s="1168"/>
    </row>
    <row r="22292" spans="2:2" s="221" customFormat="1" ht="12.75" x14ac:dyDescent="0.2">
      <c r="B22292" s="1168"/>
    </row>
    <row r="22293" spans="2:2" s="221" customFormat="1" ht="12.75" x14ac:dyDescent="0.2">
      <c r="B22293" s="1168"/>
    </row>
    <row r="22294" spans="2:2" s="221" customFormat="1" ht="12.75" x14ac:dyDescent="0.2">
      <c r="B22294" s="1168"/>
    </row>
    <row r="22295" spans="2:2" s="221" customFormat="1" ht="12.75" x14ac:dyDescent="0.2">
      <c r="B22295" s="1168"/>
    </row>
    <row r="22296" spans="2:2" s="221" customFormat="1" ht="12.75" x14ac:dyDescent="0.2">
      <c r="B22296" s="1168"/>
    </row>
    <row r="22297" spans="2:2" s="221" customFormat="1" ht="12.75" x14ac:dyDescent="0.2">
      <c r="B22297" s="1168"/>
    </row>
    <row r="22298" spans="2:2" s="221" customFormat="1" ht="12.75" x14ac:dyDescent="0.2">
      <c r="B22298" s="1168"/>
    </row>
    <row r="22299" spans="2:2" s="221" customFormat="1" ht="12.75" x14ac:dyDescent="0.2">
      <c r="B22299" s="1168"/>
    </row>
    <row r="22300" spans="2:2" s="221" customFormat="1" ht="12.75" x14ac:dyDescent="0.2">
      <c r="B22300" s="1168"/>
    </row>
    <row r="22301" spans="2:2" s="221" customFormat="1" ht="12.75" x14ac:dyDescent="0.2">
      <c r="B22301" s="1168"/>
    </row>
    <row r="22302" spans="2:2" s="221" customFormat="1" ht="12.75" x14ac:dyDescent="0.2">
      <c r="B22302" s="1168"/>
    </row>
    <row r="22303" spans="2:2" s="221" customFormat="1" ht="12.75" x14ac:dyDescent="0.2">
      <c r="B22303" s="1168"/>
    </row>
    <row r="22304" spans="2:2" s="221" customFormat="1" ht="12.75" x14ac:dyDescent="0.2">
      <c r="B22304" s="1168"/>
    </row>
    <row r="22305" spans="2:2" s="221" customFormat="1" ht="12.75" x14ac:dyDescent="0.2">
      <c r="B22305" s="1168"/>
    </row>
    <row r="22306" spans="2:2" s="221" customFormat="1" ht="12.75" x14ac:dyDescent="0.2">
      <c r="B22306" s="1168"/>
    </row>
    <row r="22307" spans="2:2" s="221" customFormat="1" ht="12.75" x14ac:dyDescent="0.2">
      <c r="B22307" s="1168"/>
    </row>
    <row r="22308" spans="2:2" s="221" customFormat="1" ht="12.75" x14ac:dyDescent="0.2">
      <c r="B22308" s="1168"/>
    </row>
    <row r="22309" spans="2:2" s="221" customFormat="1" ht="12.75" x14ac:dyDescent="0.2">
      <c r="B22309" s="1168"/>
    </row>
    <row r="22310" spans="2:2" s="221" customFormat="1" ht="12.75" x14ac:dyDescent="0.2">
      <c r="B22310" s="1168"/>
    </row>
    <row r="22311" spans="2:2" s="221" customFormat="1" ht="12.75" x14ac:dyDescent="0.2">
      <c r="B22311" s="1168"/>
    </row>
    <row r="22312" spans="2:2" s="221" customFormat="1" ht="12.75" x14ac:dyDescent="0.2">
      <c r="B22312" s="1168"/>
    </row>
    <row r="22313" spans="2:2" s="221" customFormat="1" ht="12.75" x14ac:dyDescent="0.2">
      <c r="B22313" s="1168"/>
    </row>
    <row r="22314" spans="2:2" s="221" customFormat="1" ht="12.75" x14ac:dyDescent="0.2">
      <c r="B22314" s="1168"/>
    </row>
    <row r="22315" spans="2:2" s="221" customFormat="1" ht="12.75" x14ac:dyDescent="0.2">
      <c r="B22315" s="1168"/>
    </row>
    <row r="22316" spans="2:2" s="221" customFormat="1" ht="12.75" x14ac:dyDescent="0.2">
      <c r="B22316" s="1168"/>
    </row>
    <row r="22317" spans="2:2" s="221" customFormat="1" ht="12.75" x14ac:dyDescent="0.2">
      <c r="B22317" s="1168"/>
    </row>
    <row r="22318" spans="2:2" s="221" customFormat="1" ht="12.75" x14ac:dyDescent="0.2">
      <c r="B22318" s="1168"/>
    </row>
    <row r="22319" spans="2:2" s="221" customFormat="1" ht="12.75" x14ac:dyDescent="0.2">
      <c r="B22319" s="1168"/>
    </row>
    <row r="22320" spans="2:2" s="221" customFormat="1" ht="12.75" x14ac:dyDescent="0.2">
      <c r="B22320" s="1168"/>
    </row>
    <row r="22321" spans="2:2" s="221" customFormat="1" ht="12.75" x14ac:dyDescent="0.2">
      <c r="B22321" s="1168"/>
    </row>
    <row r="22322" spans="2:2" s="221" customFormat="1" ht="12.75" x14ac:dyDescent="0.2">
      <c r="B22322" s="1168"/>
    </row>
    <row r="22323" spans="2:2" s="221" customFormat="1" ht="12.75" x14ac:dyDescent="0.2">
      <c r="B22323" s="1168"/>
    </row>
    <row r="22324" spans="2:2" s="221" customFormat="1" ht="12.75" x14ac:dyDescent="0.2">
      <c r="B22324" s="1168"/>
    </row>
    <row r="22325" spans="2:2" s="221" customFormat="1" ht="12.75" x14ac:dyDescent="0.2">
      <c r="B22325" s="1168"/>
    </row>
    <row r="22326" spans="2:2" s="221" customFormat="1" ht="12.75" x14ac:dyDescent="0.2">
      <c r="B22326" s="1168"/>
    </row>
    <row r="22327" spans="2:2" s="221" customFormat="1" ht="12.75" x14ac:dyDescent="0.2">
      <c r="B22327" s="1168"/>
    </row>
    <row r="22328" spans="2:2" s="221" customFormat="1" ht="12.75" x14ac:dyDescent="0.2">
      <c r="B22328" s="1168"/>
    </row>
    <row r="22329" spans="2:2" s="221" customFormat="1" ht="12.75" x14ac:dyDescent="0.2">
      <c r="B22329" s="1168"/>
    </row>
    <row r="22330" spans="2:2" s="221" customFormat="1" ht="12.75" x14ac:dyDescent="0.2">
      <c r="B22330" s="1168"/>
    </row>
    <row r="22331" spans="2:2" s="221" customFormat="1" ht="12.75" x14ac:dyDescent="0.2">
      <c r="B22331" s="1168"/>
    </row>
    <row r="22332" spans="2:2" s="221" customFormat="1" ht="12.75" x14ac:dyDescent="0.2">
      <c r="B22332" s="1168"/>
    </row>
    <row r="22333" spans="2:2" s="221" customFormat="1" ht="12.75" x14ac:dyDescent="0.2">
      <c r="B22333" s="1168"/>
    </row>
    <row r="22334" spans="2:2" s="221" customFormat="1" ht="12.75" x14ac:dyDescent="0.2">
      <c r="B22334" s="1168"/>
    </row>
    <row r="22335" spans="2:2" s="221" customFormat="1" ht="12.75" x14ac:dyDescent="0.2">
      <c r="B22335" s="1168"/>
    </row>
    <row r="22336" spans="2:2" s="221" customFormat="1" ht="12.75" x14ac:dyDescent="0.2">
      <c r="B22336" s="1168"/>
    </row>
    <row r="22337" spans="2:2" s="221" customFormat="1" ht="12.75" x14ac:dyDescent="0.2">
      <c r="B22337" s="1168"/>
    </row>
    <row r="22338" spans="2:2" s="221" customFormat="1" ht="12.75" x14ac:dyDescent="0.2">
      <c r="B22338" s="1168"/>
    </row>
    <row r="22339" spans="2:2" s="221" customFormat="1" ht="12.75" x14ac:dyDescent="0.2">
      <c r="B22339" s="1168"/>
    </row>
    <row r="22340" spans="2:2" s="221" customFormat="1" ht="12.75" x14ac:dyDescent="0.2">
      <c r="B22340" s="1168"/>
    </row>
    <row r="22341" spans="2:2" s="221" customFormat="1" ht="12.75" x14ac:dyDescent="0.2">
      <c r="B22341" s="1168"/>
    </row>
    <row r="22342" spans="2:2" s="221" customFormat="1" ht="12.75" x14ac:dyDescent="0.2">
      <c r="B22342" s="1168"/>
    </row>
    <row r="22343" spans="2:2" s="221" customFormat="1" ht="12.75" x14ac:dyDescent="0.2">
      <c r="B22343" s="1168"/>
    </row>
    <row r="22344" spans="2:2" s="221" customFormat="1" ht="12.75" x14ac:dyDescent="0.2">
      <c r="B22344" s="1168"/>
    </row>
    <row r="22345" spans="2:2" s="221" customFormat="1" ht="12.75" x14ac:dyDescent="0.2">
      <c r="B22345" s="1168"/>
    </row>
    <row r="22346" spans="2:2" s="221" customFormat="1" ht="12.75" x14ac:dyDescent="0.2">
      <c r="B22346" s="1168"/>
    </row>
    <row r="22347" spans="2:2" s="221" customFormat="1" ht="12.75" x14ac:dyDescent="0.2">
      <c r="B22347" s="1168"/>
    </row>
    <row r="22348" spans="2:2" s="221" customFormat="1" ht="12.75" x14ac:dyDescent="0.2">
      <c r="B22348" s="1168"/>
    </row>
    <row r="22349" spans="2:2" s="221" customFormat="1" ht="12.75" x14ac:dyDescent="0.2">
      <c r="B22349" s="1168"/>
    </row>
    <row r="22350" spans="2:2" s="221" customFormat="1" ht="12.75" x14ac:dyDescent="0.2">
      <c r="B22350" s="1168"/>
    </row>
    <row r="22351" spans="2:2" s="221" customFormat="1" ht="12.75" x14ac:dyDescent="0.2">
      <c r="B22351" s="1168"/>
    </row>
    <row r="22352" spans="2:2" s="221" customFormat="1" ht="12.75" x14ac:dyDescent="0.2">
      <c r="B22352" s="1168"/>
    </row>
    <row r="22353" spans="2:2" s="221" customFormat="1" ht="12.75" x14ac:dyDescent="0.2">
      <c r="B22353" s="1168"/>
    </row>
    <row r="22354" spans="2:2" s="221" customFormat="1" ht="12.75" x14ac:dyDescent="0.2">
      <c r="B22354" s="1168"/>
    </row>
    <row r="22355" spans="2:2" s="221" customFormat="1" ht="12.75" x14ac:dyDescent="0.2">
      <c r="B22355" s="1168"/>
    </row>
    <row r="22356" spans="2:2" s="221" customFormat="1" ht="12.75" x14ac:dyDescent="0.2">
      <c r="B22356" s="1168"/>
    </row>
    <row r="22357" spans="2:2" s="221" customFormat="1" ht="12.75" x14ac:dyDescent="0.2">
      <c r="B22357" s="1168"/>
    </row>
    <row r="22358" spans="2:2" s="221" customFormat="1" ht="12.75" x14ac:dyDescent="0.2">
      <c r="B22358" s="1168"/>
    </row>
    <row r="22359" spans="2:2" s="221" customFormat="1" ht="12.75" x14ac:dyDescent="0.2">
      <c r="B22359" s="1168"/>
    </row>
    <row r="22360" spans="2:2" s="221" customFormat="1" ht="12.75" x14ac:dyDescent="0.2">
      <c r="B22360" s="1168"/>
    </row>
    <row r="22361" spans="2:2" s="221" customFormat="1" ht="12.75" x14ac:dyDescent="0.2">
      <c r="B22361" s="1168"/>
    </row>
    <row r="22362" spans="2:2" s="221" customFormat="1" ht="12.75" x14ac:dyDescent="0.2">
      <c r="B22362" s="1168"/>
    </row>
    <row r="22363" spans="2:2" s="221" customFormat="1" ht="12.75" x14ac:dyDescent="0.2">
      <c r="B22363" s="1168"/>
    </row>
    <row r="22364" spans="2:2" s="221" customFormat="1" ht="12.75" x14ac:dyDescent="0.2">
      <c r="B22364" s="1168"/>
    </row>
    <row r="22365" spans="2:2" s="221" customFormat="1" ht="12.75" x14ac:dyDescent="0.2">
      <c r="B22365" s="1168"/>
    </row>
    <row r="22366" spans="2:2" s="221" customFormat="1" ht="12.75" x14ac:dyDescent="0.2">
      <c r="B22366" s="1168"/>
    </row>
    <row r="22367" spans="2:2" s="221" customFormat="1" ht="12.75" x14ac:dyDescent="0.2">
      <c r="B22367" s="1168"/>
    </row>
    <row r="22368" spans="2:2" s="221" customFormat="1" ht="12.75" x14ac:dyDescent="0.2">
      <c r="B22368" s="1168"/>
    </row>
    <row r="22369" spans="2:2" s="221" customFormat="1" ht="12.75" x14ac:dyDescent="0.2">
      <c r="B22369" s="1168"/>
    </row>
    <row r="22370" spans="2:2" s="221" customFormat="1" ht="12.75" x14ac:dyDescent="0.2">
      <c r="B22370" s="1168"/>
    </row>
    <row r="22371" spans="2:2" s="221" customFormat="1" ht="12.75" x14ac:dyDescent="0.2">
      <c r="B22371" s="1168"/>
    </row>
    <row r="22372" spans="2:2" s="221" customFormat="1" ht="12.75" x14ac:dyDescent="0.2">
      <c r="B22372" s="1168"/>
    </row>
    <row r="22373" spans="2:2" s="221" customFormat="1" ht="12.75" x14ac:dyDescent="0.2">
      <c r="B22373" s="1168"/>
    </row>
    <row r="22374" spans="2:2" s="221" customFormat="1" ht="12.75" x14ac:dyDescent="0.2">
      <c r="B22374" s="1168"/>
    </row>
    <row r="22375" spans="2:2" s="221" customFormat="1" ht="12.75" x14ac:dyDescent="0.2">
      <c r="B22375" s="1168"/>
    </row>
    <row r="22376" spans="2:2" s="221" customFormat="1" ht="12.75" x14ac:dyDescent="0.2">
      <c r="B22376" s="1168"/>
    </row>
    <row r="22377" spans="2:2" s="221" customFormat="1" ht="12.75" x14ac:dyDescent="0.2">
      <c r="B22377" s="1168"/>
    </row>
    <row r="22378" spans="2:2" s="221" customFormat="1" ht="12.75" x14ac:dyDescent="0.2">
      <c r="B22378" s="1168"/>
    </row>
    <row r="22379" spans="2:2" s="221" customFormat="1" ht="12.75" x14ac:dyDescent="0.2">
      <c r="B22379" s="1168"/>
    </row>
    <row r="22380" spans="2:2" s="221" customFormat="1" ht="12.75" x14ac:dyDescent="0.2">
      <c r="B22380" s="1168"/>
    </row>
    <row r="22381" spans="2:2" s="221" customFormat="1" ht="12.75" x14ac:dyDescent="0.2">
      <c r="B22381" s="1168"/>
    </row>
    <row r="22382" spans="2:2" s="221" customFormat="1" ht="12.75" x14ac:dyDescent="0.2">
      <c r="B22382" s="1168"/>
    </row>
    <row r="22383" spans="2:2" s="221" customFormat="1" ht="12.75" x14ac:dyDescent="0.2">
      <c r="B22383" s="1168"/>
    </row>
    <row r="22384" spans="2:2" s="221" customFormat="1" ht="12.75" x14ac:dyDescent="0.2">
      <c r="B22384" s="1168"/>
    </row>
    <row r="22385" spans="2:2" s="221" customFormat="1" ht="12.75" x14ac:dyDescent="0.2">
      <c r="B22385" s="1168"/>
    </row>
    <row r="22386" spans="2:2" s="221" customFormat="1" ht="12.75" x14ac:dyDescent="0.2">
      <c r="B22386" s="1168"/>
    </row>
    <row r="22387" spans="2:2" s="221" customFormat="1" ht="12.75" x14ac:dyDescent="0.2">
      <c r="B22387" s="1168"/>
    </row>
    <row r="22388" spans="2:2" s="221" customFormat="1" ht="12.75" x14ac:dyDescent="0.2">
      <c r="B22388" s="1168"/>
    </row>
    <row r="22389" spans="2:2" s="221" customFormat="1" ht="12.75" x14ac:dyDescent="0.2">
      <c r="B22389" s="1168"/>
    </row>
    <row r="22390" spans="2:2" s="221" customFormat="1" ht="12.75" x14ac:dyDescent="0.2">
      <c r="B22390" s="1168"/>
    </row>
    <row r="22391" spans="2:2" s="221" customFormat="1" ht="12.75" x14ac:dyDescent="0.2">
      <c r="B22391" s="1168"/>
    </row>
    <row r="22392" spans="2:2" s="221" customFormat="1" ht="12.75" x14ac:dyDescent="0.2">
      <c r="B22392" s="1168"/>
    </row>
    <row r="22393" spans="2:2" s="221" customFormat="1" ht="12.75" x14ac:dyDescent="0.2">
      <c r="B22393" s="1168"/>
    </row>
    <row r="22394" spans="2:2" s="221" customFormat="1" ht="12.75" x14ac:dyDescent="0.2">
      <c r="B22394" s="1168"/>
    </row>
    <row r="22395" spans="2:2" s="221" customFormat="1" ht="12.75" x14ac:dyDescent="0.2">
      <c r="B22395" s="1168"/>
    </row>
    <row r="22396" spans="2:2" s="221" customFormat="1" ht="12.75" x14ac:dyDescent="0.2">
      <c r="B22396" s="1168"/>
    </row>
    <row r="22397" spans="2:2" s="221" customFormat="1" ht="12.75" x14ac:dyDescent="0.2">
      <c r="B22397" s="1168"/>
    </row>
    <row r="22398" spans="2:2" s="221" customFormat="1" ht="12.75" x14ac:dyDescent="0.2">
      <c r="B22398" s="1168"/>
    </row>
    <row r="22399" spans="2:2" s="221" customFormat="1" ht="12.75" x14ac:dyDescent="0.2">
      <c r="B22399" s="1168"/>
    </row>
    <row r="22400" spans="2:2" s="221" customFormat="1" ht="12.75" x14ac:dyDescent="0.2">
      <c r="B22400" s="1168"/>
    </row>
    <row r="22401" spans="2:2" s="221" customFormat="1" ht="12.75" x14ac:dyDescent="0.2">
      <c r="B22401" s="1168"/>
    </row>
    <row r="22402" spans="2:2" s="221" customFormat="1" ht="12.75" x14ac:dyDescent="0.2">
      <c r="B22402" s="1168"/>
    </row>
    <row r="22403" spans="2:2" s="221" customFormat="1" ht="12.75" x14ac:dyDescent="0.2">
      <c r="B22403" s="1168"/>
    </row>
    <row r="22404" spans="2:2" s="221" customFormat="1" ht="12.75" x14ac:dyDescent="0.2">
      <c r="B22404" s="1168"/>
    </row>
    <row r="22405" spans="2:2" s="221" customFormat="1" ht="12.75" x14ac:dyDescent="0.2">
      <c r="B22405" s="1168"/>
    </row>
    <row r="22406" spans="2:2" s="221" customFormat="1" ht="12.75" x14ac:dyDescent="0.2">
      <c r="B22406" s="1168"/>
    </row>
    <row r="22407" spans="2:2" s="221" customFormat="1" ht="12.75" x14ac:dyDescent="0.2">
      <c r="B22407" s="1168"/>
    </row>
    <row r="22408" spans="2:2" s="221" customFormat="1" ht="12.75" x14ac:dyDescent="0.2">
      <c r="B22408" s="1168"/>
    </row>
    <row r="22409" spans="2:2" s="221" customFormat="1" ht="12.75" x14ac:dyDescent="0.2">
      <c r="B22409" s="1168"/>
    </row>
    <row r="22410" spans="2:2" s="221" customFormat="1" ht="12.75" x14ac:dyDescent="0.2">
      <c r="B22410" s="1168"/>
    </row>
    <row r="22411" spans="2:2" s="221" customFormat="1" ht="12.75" x14ac:dyDescent="0.2">
      <c r="B22411" s="1168"/>
    </row>
    <row r="22412" spans="2:2" s="221" customFormat="1" ht="12.75" x14ac:dyDescent="0.2">
      <c r="B22412" s="1168"/>
    </row>
    <row r="22413" spans="2:2" s="221" customFormat="1" ht="12.75" x14ac:dyDescent="0.2">
      <c r="B22413" s="1168"/>
    </row>
    <row r="22414" spans="2:2" s="221" customFormat="1" ht="12.75" x14ac:dyDescent="0.2">
      <c r="B22414" s="1168"/>
    </row>
    <row r="22415" spans="2:2" s="221" customFormat="1" ht="12.75" x14ac:dyDescent="0.2">
      <c r="B22415" s="1168"/>
    </row>
    <row r="22416" spans="2:2" s="221" customFormat="1" ht="12.75" x14ac:dyDescent="0.2">
      <c r="B22416" s="1168"/>
    </row>
    <row r="22417" spans="2:2" s="221" customFormat="1" ht="12.75" x14ac:dyDescent="0.2">
      <c r="B22417" s="1168"/>
    </row>
    <row r="22418" spans="2:2" s="221" customFormat="1" ht="12.75" x14ac:dyDescent="0.2">
      <c r="B22418" s="1168"/>
    </row>
    <row r="22419" spans="2:2" s="221" customFormat="1" ht="12.75" x14ac:dyDescent="0.2">
      <c r="B22419" s="1168"/>
    </row>
    <row r="22420" spans="2:2" s="221" customFormat="1" ht="12.75" x14ac:dyDescent="0.2">
      <c r="B22420" s="1168"/>
    </row>
    <row r="22421" spans="2:2" s="221" customFormat="1" ht="12.75" x14ac:dyDescent="0.2">
      <c r="B22421" s="1168"/>
    </row>
    <row r="22422" spans="2:2" s="221" customFormat="1" ht="12.75" x14ac:dyDescent="0.2">
      <c r="B22422" s="1168"/>
    </row>
    <row r="22423" spans="2:2" s="221" customFormat="1" ht="12.75" x14ac:dyDescent="0.2">
      <c r="B22423" s="1168"/>
    </row>
    <row r="22424" spans="2:2" s="221" customFormat="1" ht="12.75" x14ac:dyDescent="0.2">
      <c r="B22424" s="1168"/>
    </row>
    <row r="22425" spans="2:2" s="221" customFormat="1" ht="12.75" x14ac:dyDescent="0.2">
      <c r="B22425" s="1168"/>
    </row>
    <row r="22426" spans="2:2" s="221" customFormat="1" ht="12.75" x14ac:dyDescent="0.2">
      <c r="B22426" s="1168"/>
    </row>
    <row r="22427" spans="2:2" s="221" customFormat="1" ht="12.75" x14ac:dyDescent="0.2">
      <c r="B22427" s="1168"/>
    </row>
    <row r="22428" spans="2:2" s="221" customFormat="1" ht="12.75" x14ac:dyDescent="0.2">
      <c r="B22428" s="1168"/>
    </row>
    <row r="22429" spans="2:2" s="221" customFormat="1" ht="12.75" x14ac:dyDescent="0.2">
      <c r="B22429" s="1168"/>
    </row>
    <row r="22430" spans="2:2" s="221" customFormat="1" ht="12.75" x14ac:dyDescent="0.2">
      <c r="B22430" s="1168"/>
    </row>
    <row r="22431" spans="2:2" s="221" customFormat="1" ht="12.75" x14ac:dyDescent="0.2">
      <c r="B22431" s="1168"/>
    </row>
    <row r="22432" spans="2:2" s="221" customFormat="1" ht="12.75" x14ac:dyDescent="0.2">
      <c r="B22432" s="1168"/>
    </row>
    <row r="22433" spans="2:2" s="221" customFormat="1" ht="12.75" x14ac:dyDescent="0.2">
      <c r="B22433" s="1168"/>
    </row>
    <row r="22434" spans="2:2" s="221" customFormat="1" ht="12.75" x14ac:dyDescent="0.2">
      <c r="B22434" s="1168"/>
    </row>
    <row r="22435" spans="2:2" s="221" customFormat="1" ht="12.75" x14ac:dyDescent="0.2">
      <c r="B22435" s="1168"/>
    </row>
    <row r="22436" spans="2:2" s="221" customFormat="1" ht="12.75" x14ac:dyDescent="0.2">
      <c r="B22436" s="1168"/>
    </row>
    <row r="22437" spans="2:2" s="221" customFormat="1" ht="12.75" x14ac:dyDescent="0.2">
      <c r="B22437" s="1168"/>
    </row>
    <row r="22438" spans="2:2" s="221" customFormat="1" ht="12.75" x14ac:dyDescent="0.2">
      <c r="B22438" s="1168"/>
    </row>
    <row r="22439" spans="2:2" s="221" customFormat="1" ht="12.75" x14ac:dyDescent="0.2">
      <c r="B22439" s="1168"/>
    </row>
    <row r="22440" spans="2:2" s="221" customFormat="1" ht="12.75" x14ac:dyDescent="0.2">
      <c r="B22440" s="1168"/>
    </row>
    <row r="22441" spans="2:2" s="221" customFormat="1" ht="12.75" x14ac:dyDescent="0.2">
      <c r="B22441" s="1168"/>
    </row>
    <row r="22442" spans="2:2" s="221" customFormat="1" ht="12.75" x14ac:dyDescent="0.2">
      <c r="B22442" s="1168"/>
    </row>
    <row r="22443" spans="2:2" s="221" customFormat="1" ht="12.75" x14ac:dyDescent="0.2">
      <c r="B22443" s="1168"/>
    </row>
    <row r="22444" spans="2:2" s="221" customFormat="1" ht="12.75" x14ac:dyDescent="0.2">
      <c r="B22444" s="1168"/>
    </row>
    <row r="22445" spans="2:2" s="221" customFormat="1" ht="12.75" x14ac:dyDescent="0.2">
      <c r="B22445" s="1168"/>
    </row>
    <row r="22446" spans="2:2" s="221" customFormat="1" ht="12.75" x14ac:dyDescent="0.2">
      <c r="B22446" s="1168"/>
    </row>
    <row r="22447" spans="2:2" s="221" customFormat="1" ht="12.75" x14ac:dyDescent="0.2">
      <c r="B22447" s="1168"/>
    </row>
    <row r="22448" spans="2:2" s="221" customFormat="1" ht="12.75" x14ac:dyDescent="0.2">
      <c r="B22448" s="1168"/>
    </row>
    <row r="22449" spans="2:2" s="221" customFormat="1" ht="12.75" x14ac:dyDescent="0.2">
      <c r="B22449" s="1168"/>
    </row>
    <row r="22450" spans="2:2" s="221" customFormat="1" ht="12.75" x14ac:dyDescent="0.2">
      <c r="B22450" s="1168"/>
    </row>
    <row r="22451" spans="2:2" s="221" customFormat="1" ht="12.75" x14ac:dyDescent="0.2">
      <c r="B22451" s="1168"/>
    </row>
    <row r="22452" spans="2:2" s="221" customFormat="1" ht="12.75" x14ac:dyDescent="0.2">
      <c r="B22452" s="1168"/>
    </row>
    <row r="22453" spans="2:2" s="221" customFormat="1" ht="12.75" x14ac:dyDescent="0.2">
      <c r="B22453" s="1168"/>
    </row>
    <row r="22454" spans="2:2" s="221" customFormat="1" ht="12.75" x14ac:dyDescent="0.2">
      <c r="B22454" s="1168"/>
    </row>
    <row r="22455" spans="2:2" s="221" customFormat="1" ht="12.75" x14ac:dyDescent="0.2">
      <c r="B22455" s="1168"/>
    </row>
    <row r="22456" spans="2:2" s="221" customFormat="1" ht="12.75" x14ac:dyDescent="0.2">
      <c r="B22456" s="1168"/>
    </row>
    <row r="22457" spans="2:2" s="221" customFormat="1" ht="12.75" x14ac:dyDescent="0.2">
      <c r="B22457" s="1168"/>
    </row>
    <row r="22458" spans="2:2" s="221" customFormat="1" ht="12.75" x14ac:dyDescent="0.2">
      <c r="B22458" s="1168"/>
    </row>
    <row r="22459" spans="2:2" s="221" customFormat="1" ht="12.75" x14ac:dyDescent="0.2">
      <c r="B22459" s="1168"/>
    </row>
    <row r="22460" spans="2:2" s="221" customFormat="1" ht="12.75" x14ac:dyDescent="0.2">
      <c r="B22460" s="1168"/>
    </row>
    <row r="22461" spans="2:2" s="221" customFormat="1" ht="12.75" x14ac:dyDescent="0.2">
      <c r="B22461" s="1168"/>
    </row>
    <row r="22462" spans="2:2" s="221" customFormat="1" ht="12.75" x14ac:dyDescent="0.2">
      <c r="B22462" s="1168"/>
    </row>
    <row r="22463" spans="2:2" s="221" customFormat="1" ht="12.75" x14ac:dyDescent="0.2">
      <c r="B22463" s="1168"/>
    </row>
    <row r="22464" spans="2:2" s="221" customFormat="1" ht="12.75" x14ac:dyDescent="0.2">
      <c r="B22464" s="1168"/>
    </row>
    <row r="22465" spans="2:2" s="221" customFormat="1" ht="12.75" x14ac:dyDescent="0.2">
      <c r="B22465" s="1168"/>
    </row>
    <row r="22466" spans="2:2" s="221" customFormat="1" ht="12.75" x14ac:dyDescent="0.2">
      <c r="B22466" s="1168"/>
    </row>
    <row r="22467" spans="2:2" s="221" customFormat="1" ht="12.75" x14ac:dyDescent="0.2">
      <c r="B22467" s="1168"/>
    </row>
    <row r="22468" spans="2:2" s="221" customFormat="1" ht="12.75" x14ac:dyDescent="0.2">
      <c r="B22468" s="1168"/>
    </row>
    <row r="22469" spans="2:2" s="221" customFormat="1" ht="12.75" x14ac:dyDescent="0.2">
      <c r="B22469" s="1168"/>
    </row>
    <row r="22470" spans="2:2" s="221" customFormat="1" ht="12.75" x14ac:dyDescent="0.2">
      <c r="B22470" s="1168"/>
    </row>
    <row r="22471" spans="2:2" s="221" customFormat="1" ht="12.75" x14ac:dyDescent="0.2">
      <c r="B22471" s="1168"/>
    </row>
    <row r="22472" spans="2:2" s="221" customFormat="1" ht="12.75" x14ac:dyDescent="0.2">
      <c r="B22472" s="1168"/>
    </row>
    <row r="22473" spans="2:2" s="221" customFormat="1" ht="12.75" x14ac:dyDescent="0.2">
      <c r="B22473" s="1168"/>
    </row>
    <row r="22474" spans="2:2" s="221" customFormat="1" ht="12.75" x14ac:dyDescent="0.2">
      <c r="B22474" s="1168"/>
    </row>
    <row r="22475" spans="2:2" s="221" customFormat="1" ht="12.75" x14ac:dyDescent="0.2">
      <c r="B22475" s="1168"/>
    </row>
    <row r="22476" spans="2:2" s="221" customFormat="1" ht="12.75" x14ac:dyDescent="0.2">
      <c r="B22476" s="1168"/>
    </row>
    <row r="22477" spans="2:2" s="221" customFormat="1" ht="12.75" x14ac:dyDescent="0.2">
      <c r="B22477" s="1168"/>
    </row>
    <row r="22478" spans="2:2" s="221" customFormat="1" ht="12.75" x14ac:dyDescent="0.2">
      <c r="B22478" s="1168"/>
    </row>
    <row r="22479" spans="2:2" s="221" customFormat="1" ht="12.75" x14ac:dyDescent="0.2">
      <c r="B22479" s="1168"/>
    </row>
    <row r="22480" spans="2:2" s="221" customFormat="1" ht="12.75" x14ac:dyDescent="0.2">
      <c r="B22480" s="1168"/>
    </row>
    <row r="22481" spans="2:2" s="221" customFormat="1" ht="12.75" x14ac:dyDescent="0.2">
      <c r="B22481" s="1168"/>
    </row>
    <row r="22482" spans="2:2" s="221" customFormat="1" ht="12.75" x14ac:dyDescent="0.2">
      <c r="B22482" s="1168"/>
    </row>
    <row r="22483" spans="2:2" s="221" customFormat="1" ht="12.75" x14ac:dyDescent="0.2">
      <c r="B22483" s="1168"/>
    </row>
    <row r="22484" spans="2:2" s="221" customFormat="1" ht="12.75" x14ac:dyDescent="0.2">
      <c r="B22484" s="1168"/>
    </row>
    <row r="22485" spans="2:2" s="221" customFormat="1" ht="12.75" x14ac:dyDescent="0.2">
      <c r="B22485" s="1168"/>
    </row>
    <row r="22486" spans="2:2" s="221" customFormat="1" ht="12.75" x14ac:dyDescent="0.2">
      <c r="B22486" s="1168"/>
    </row>
    <row r="22487" spans="2:2" s="221" customFormat="1" ht="12.75" x14ac:dyDescent="0.2">
      <c r="B22487" s="1168"/>
    </row>
    <row r="22488" spans="2:2" s="221" customFormat="1" ht="12.75" x14ac:dyDescent="0.2">
      <c r="B22488" s="1168"/>
    </row>
    <row r="22489" spans="2:2" s="221" customFormat="1" ht="12.75" x14ac:dyDescent="0.2">
      <c r="B22489" s="1168"/>
    </row>
    <row r="22490" spans="2:2" s="221" customFormat="1" ht="12.75" x14ac:dyDescent="0.2">
      <c r="B22490" s="1168"/>
    </row>
    <row r="22491" spans="2:2" s="221" customFormat="1" ht="12.75" x14ac:dyDescent="0.2">
      <c r="B22491" s="1168"/>
    </row>
    <row r="22492" spans="2:2" s="221" customFormat="1" ht="12.75" x14ac:dyDescent="0.2">
      <c r="B22492" s="1168"/>
    </row>
    <row r="22493" spans="2:2" s="221" customFormat="1" ht="12.75" x14ac:dyDescent="0.2">
      <c r="B22493" s="1168"/>
    </row>
    <row r="22494" spans="2:2" s="221" customFormat="1" ht="12.75" x14ac:dyDescent="0.2">
      <c r="B22494" s="1168"/>
    </row>
    <row r="22495" spans="2:2" s="221" customFormat="1" ht="12.75" x14ac:dyDescent="0.2">
      <c r="B22495" s="1168"/>
    </row>
    <row r="22496" spans="2:2" s="221" customFormat="1" ht="12.75" x14ac:dyDescent="0.2">
      <c r="B22496" s="1168"/>
    </row>
    <row r="22497" spans="2:2" s="221" customFormat="1" ht="12.75" x14ac:dyDescent="0.2">
      <c r="B22497" s="1168"/>
    </row>
    <row r="22498" spans="2:2" s="221" customFormat="1" ht="12.75" x14ac:dyDescent="0.2">
      <c r="B22498" s="1168"/>
    </row>
    <row r="22499" spans="2:2" s="221" customFormat="1" ht="12.75" x14ac:dyDescent="0.2">
      <c r="B22499" s="1168"/>
    </row>
    <row r="22500" spans="2:2" s="221" customFormat="1" ht="12.75" x14ac:dyDescent="0.2">
      <c r="B22500" s="1168"/>
    </row>
    <row r="22501" spans="2:2" s="221" customFormat="1" ht="12.75" x14ac:dyDescent="0.2">
      <c r="B22501" s="1168"/>
    </row>
    <row r="22502" spans="2:2" s="221" customFormat="1" ht="12.75" x14ac:dyDescent="0.2">
      <c r="B22502" s="1168"/>
    </row>
    <row r="22503" spans="2:2" s="221" customFormat="1" ht="12.75" x14ac:dyDescent="0.2">
      <c r="B22503" s="1168"/>
    </row>
    <row r="22504" spans="2:2" s="221" customFormat="1" ht="12.75" x14ac:dyDescent="0.2">
      <c r="B22504" s="1168"/>
    </row>
    <row r="22505" spans="2:2" s="221" customFormat="1" ht="12.75" x14ac:dyDescent="0.2">
      <c r="B22505" s="1168"/>
    </row>
    <row r="22506" spans="2:2" s="221" customFormat="1" ht="12.75" x14ac:dyDescent="0.2">
      <c r="B22506" s="1168"/>
    </row>
    <row r="22507" spans="2:2" s="221" customFormat="1" ht="12.75" x14ac:dyDescent="0.2">
      <c r="B22507" s="1168"/>
    </row>
    <row r="22508" spans="2:2" s="221" customFormat="1" ht="12.75" x14ac:dyDescent="0.2">
      <c r="B22508" s="1168"/>
    </row>
    <row r="22509" spans="2:2" s="221" customFormat="1" ht="12.75" x14ac:dyDescent="0.2">
      <c r="B22509" s="1168"/>
    </row>
    <row r="22510" spans="2:2" s="221" customFormat="1" ht="12.75" x14ac:dyDescent="0.2">
      <c r="B22510" s="1168"/>
    </row>
    <row r="22511" spans="2:2" s="221" customFormat="1" ht="12.75" x14ac:dyDescent="0.2">
      <c r="B22511" s="1168"/>
    </row>
    <row r="22512" spans="2:2" s="221" customFormat="1" ht="12.75" x14ac:dyDescent="0.2">
      <c r="B22512" s="1168"/>
    </row>
    <row r="22513" spans="2:2" s="221" customFormat="1" ht="12.75" x14ac:dyDescent="0.2">
      <c r="B22513" s="1168"/>
    </row>
    <row r="22514" spans="2:2" s="221" customFormat="1" ht="12.75" x14ac:dyDescent="0.2">
      <c r="B22514" s="1168"/>
    </row>
    <row r="22515" spans="2:2" s="221" customFormat="1" ht="12.75" x14ac:dyDescent="0.2">
      <c r="B22515" s="1168"/>
    </row>
    <row r="22516" spans="2:2" s="221" customFormat="1" ht="12.75" x14ac:dyDescent="0.2">
      <c r="B22516" s="1168"/>
    </row>
    <row r="22517" spans="2:2" s="221" customFormat="1" ht="12.75" x14ac:dyDescent="0.2">
      <c r="B22517" s="1168"/>
    </row>
    <row r="22518" spans="2:2" s="221" customFormat="1" ht="12.75" x14ac:dyDescent="0.2">
      <c r="B22518" s="1168"/>
    </row>
    <row r="22519" spans="2:2" s="221" customFormat="1" ht="12.75" x14ac:dyDescent="0.2">
      <c r="B22519" s="1168"/>
    </row>
    <row r="22520" spans="2:2" s="221" customFormat="1" ht="12.75" x14ac:dyDescent="0.2">
      <c r="B22520" s="1168"/>
    </row>
    <row r="22521" spans="2:2" s="221" customFormat="1" ht="12.75" x14ac:dyDescent="0.2">
      <c r="B22521" s="1168"/>
    </row>
    <row r="22522" spans="2:2" s="221" customFormat="1" ht="12.75" x14ac:dyDescent="0.2">
      <c r="B22522" s="1168"/>
    </row>
    <row r="22523" spans="2:2" s="221" customFormat="1" ht="12.75" x14ac:dyDescent="0.2">
      <c r="B22523" s="1168"/>
    </row>
    <row r="22524" spans="2:2" s="221" customFormat="1" ht="12.75" x14ac:dyDescent="0.2">
      <c r="B22524" s="1168"/>
    </row>
    <row r="22525" spans="2:2" s="221" customFormat="1" ht="12.75" x14ac:dyDescent="0.2">
      <c r="B22525" s="1168"/>
    </row>
    <row r="22526" spans="2:2" s="221" customFormat="1" ht="12.75" x14ac:dyDescent="0.2">
      <c r="B22526" s="1168"/>
    </row>
    <row r="22527" spans="2:2" s="221" customFormat="1" ht="12.75" x14ac:dyDescent="0.2">
      <c r="B22527" s="1168"/>
    </row>
    <row r="22528" spans="2:2" s="221" customFormat="1" ht="12.75" x14ac:dyDescent="0.2">
      <c r="B22528" s="1168"/>
    </row>
    <row r="22529" spans="2:2" s="221" customFormat="1" ht="12.75" x14ac:dyDescent="0.2">
      <c r="B22529" s="1168"/>
    </row>
    <row r="22530" spans="2:2" s="221" customFormat="1" ht="12.75" x14ac:dyDescent="0.2">
      <c r="B22530" s="1168"/>
    </row>
    <row r="22531" spans="2:2" s="221" customFormat="1" ht="12.75" x14ac:dyDescent="0.2">
      <c r="B22531" s="1168"/>
    </row>
    <row r="22532" spans="2:2" s="221" customFormat="1" ht="12.75" x14ac:dyDescent="0.2">
      <c r="B22532" s="1168"/>
    </row>
    <row r="22533" spans="2:2" s="221" customFormat="1" ht="12.75" x14ac:dyDescent="0.2">
      <c r="B22533" s="1168"/>
    </row>
    <row r="22534" spans="2:2" s="221" customFormat="1" ht="12.75" x14ac:dyDescent="0.2">
      <c r="B22534" s="1168"/>
    </row>
    <row r="22535" spans="2:2" s="221" customFormat="1" ht="12.75" x14ac:dyDescent="0.2">
      <c r="B22535" s="1168"/>
    </row>
    <row r="22536" spans="2:2" s="221" customFormat="1" ht="12.75" x14ac:dyDescent="0.2">
      <c r="B22536" s="1168"/>
    </row>
    <row r="22537" spans="2:2" s="221" customFormat="1" ht="12.75" x14ac:dyDescent="0.2">
      <c r="B22537" s="1168"/>
    </row>
    <row r="22538" spans="2:2" s="221" customFormat="1" ht="12.75" x14ac:dyDescent="0.2">
      <c r="B22538" s="1168"/>
    </row>
    <row r="22539" spans="2:2" s="221" customFormat="1" ht="12.75" x14ac:dyDescent="0.2">
      <c r="B22539" s="1168"/>
    </row>
    <row r="22540" spans="2:2" s="221" customFormat="1" ht="12.75" x14ac:dyDescent="0.2">
      <c r="B22540" s="1168"/>
    </row>
    <row r="22541" spans="2:2" s="221" customFormat="1" ht="12.75" x14ac:dyDescent="0.2">
      <c r="B22541" s="1168"/>
    </row>
    <row r="22542" spans="2:2" s="221" customFormat="1" ht="12.75" x14ac:dyDescent="0.2">
      <c r="B22542" s="1168"/>
    </row>
    <row r="22543" spans="2:2" s="221" customFormat="1" ht="12.75" x14ac:dyDescent="0.2">
      <c r="B22543" s="1168"/>
    </row>
    <row r="22544" spans="2:2" s="221" customFormat="1" ht="12.75" x14ac:dyDescent="0.2">
      <c r="B22544" s="1168"/>
    </row>
    <row r="22545" spans="2:2" s="221" customFormat="1" ht="12.75" x14ac:dyDescent="0.2">
      <c r="B22545" s="1168"/>
    </row>
    <row r="22546" spans="2:2" s="221" customFormat="1" ht="12.75" x14ac:dyDescent="0.2">
      <c r="B22546" s="1168"/>
    </row>
    <row r="22547" spans="2:2" s="221" customFormat="1" ht="12.75" x14ac:dyDescent="0.2">
      <c r="B22547" s="1168"/>
    </row>
    <row r="22548" spans="2:2" s="221" customFormat="1" ht="12.75" x14ac:dyDescent="0.2">
      <c r="B22548" s="1168"/>
    </row>
    <row r="22549" spans="2:2" s="221" customFormat="1" ht="12.75" x14ac:dyDescent="0.2">
      <c r="B22549" s="1168"/>
    </row>
    <row r="22550" spans="2:2" s="221" customFormat="1" ht="12.75" x14ac:dyDescent="0.2">
      <c r="B22550" s="1168"/>
    </row>
    <row r="22551" spans="2:2" s="221" customFormat="1" ht="12.75" x14ac:dyDescent="0.2">
      <c r="B22551" s="1168"/>
    </row>
    <row r="22552" spans="2:2" s="221" customFormat="1" ht="12.75" x14ac:dyDescent="0.2">
      <c r="B22552" s="1168"/>
    </row>
    <row r="22553" spans="2:2" s="221" customFormat="1" ht="12.75" x14ac:dyDescent="0.2">
      <c r="B22553" s="1168"/>
    </row>
    <row r="22554" spans="2:2" s="221" customFormat="1" ht="12.75" x14ac:dyDescent="0.2">
      <c r="B22554" s="1168"/>
    </row>
    <row r="22555" spans="2:2" s="221" customFormat="1" ht="12.75" x14ac:dyDescent="0.2">
      <c r="B22555" s="1168"/>
    </row>
    <row r="22556" spans="2:2" s="221" customFormat="1" ht="12.75" x14ac:dyDescent="0.2">
      <c r="B22556" s="1168"/>
    </row>
    <row r="22557" spans="2:2" s="221" customFormat="1" ht="12.75" x14ac:dyDescent="0.2">
      <c r="B22557" s="1168"/>
    </row>
    <row r="22558" spans="2:2" s="221" customFormat="1" ht="12.75" x14ac:dyDescent="0.2">
      <c r="B22558" s="1168"/>
    </row>
    <row r="22559" spans="2:2" s="221" customFormat="1" ht="12.75" x14ac:dyDescent="0.2">
      <c r="B22559" s="1168"/>
    </row>
    <row r="22560" spans="2:2" s="221" customFormat="1" ht="12.75" x14ac:dyDescent="0.2">
      <c r="B22560" s="1168"/>
    </row>
    <row r="22561" spans="2:2" s="221" customFormat="1" ht="12.75" x14ac:dyDescent="0.2">
      <c r="B22561" s="1168"/>
    </row>
    <row r="22562" spans="2:2" s="221" customFormat="1" ht="12.75" x14ac:dyDescent="0.2">
      <c r="B22562" s="1168"/>
    </row>
    <row r="22563" spans="2:2" s="221" customFormat="1" ht="12.75" x14ac:dyDescent="0.2">
      <c r="B22563" s="1168"/>
    </row>
    <row r="22564" spans="2:2" s="221" customFormat="1" ht="12.75" x14ac:dyDescent="0.2">
      <c r="B22564" s="1168"/>
    </row>
    <row r="22565" spans="2:2" s="221" customFormat="1" ht="12.75" x14ac:dyDescent="0.2">
      <c r="B22565" s="1168"/>
    </row>
    <row r="22566" spans="2:2" s="221" customFormat="1" ht="12.75" x14ac:dyDescent="0.2">
      <c r="B22566" s="1168"/>
    </row>
    <row r="22567" spans="2:2" s="221" customFormat="1" ht="12.75" x14ac:dyDescent="0.2">
      <c r="B22567" s="1168"/>
    </row>
    <row r="22568" spans="2:2" s="221" customFormat="1" ht="12.75" x14ac:dyDescent="0.2">
      <c r="B22568" s="1168"/>
    </row>
    <row r="22569" spans="2:2" s="221" customFormat="1" ht="12.75" x14ac:dyDescent="0.2">
      <c r="B22569" s="1168"/>
    </row>
    <row r="22570" spans="2:2" s="221" customFormat="1" ht="12.75" x14ac:dyDescent="0.2">
      <c r="B22570" s="1168"/>
    </row>
    <row r="22571" spans="2:2" s="221" customFormat="1" ht="12.75" x14ac:dyDescent="0.2">
      <c r="B22571" s="1168"/>
    </row>
    <row r="22572" spans="2:2" s="221" customFormat="1" ht="12.75" x14ac:dyDescent="0.2">
      <c r="B22572" s="1168"/>
    </row>
    <row r="22573" spans="2:2" s="221" customFormat="1" ht="12.75" x14ac:dyDescent="0.2">
      <c r="B22573" s="1168"/>
    </row>
    <row r="22574" spans="2:2" s="221" customFormat="1" ht="12.75" x14ac:dyDescent="0.2">
      <c r="B22574" s="1168"/>
    </row>
    <row r="22575" spans="2:2" s="221" customFormat="1" ht="12.75" x14ac:dyDescent="0.2">
      <c r="B22575" s="1168"/>
    </row>
    <row r="22576" spans="2:2" s="221" customFormat="1" ht="12.75" x14ac:dyDescent="0.2">
      <c r="B22576" s="1168"/>
    </row>
    <row r="22577" spans="2:2" s="221" customFormat="1" ht="12.75" x14ac:dyDescent="0.2">
      <c r="B22577" s="1168"/>
    </row>
    <row r="22578" spans="2:2" s="221" customFormat="1" ht="12.75" x14ac:dyDescent="0.2">
      <c r="B22578" s="1168"/>
    </row>
    <row r="22579" spans="2:2" s="221" customFormat="1" ht="12.75" x14ac:dyDescent="0.2">
      <c r="B22579" s="1168"/>
    </row>
    <row r="22580" spans="2:2" s="221" customFormat="1" ht="12.75" x14ac:dyDescent="0.2">
      <c r="B22580" s="1168"/>
    </row>
    <row r="22581" spans="2:2" s="221" customFormat="1" ht="12.75" x14ac:dyDescent="0.2">
      <c r="B22581" s="1168"/>
    </row>
    <row r="22582" spans="2:2" s="221" customFormat="1" ht="12.75" x14ac:dyDescent="0.2">
      <c r="B22582" s="1168"/>
    </row>
    <row r="22583" spans="2:2" s="221" customFormat="1" ht="12.75" x14ac:dyDescent="0.2">
      <c r="B22583" s="1168"/>
    </row>
    <row r="22584" spans="2:2" s="221" customFormat="1" ht="12.75" x14ac:dyDescent="0.2">
      <c r="B22584" s="1168"/>
    </row>
    <row r="22585" spans="2:2" s="221" customFormat="1" ht="12.75" x14ac:dyDescent="0.2">
      <c r="B22585" s="1168"/>
    </row>
    <row r="22586" spans="2:2" s="221" customFormat="1" ht="12.75" x14ac:dyDescent="0.2">
      <c r="B22586" s="1168"/>
    </row>
    <row r="22587" spans="2:2" s="221" customFormat="1" ht="12.75" x14ac:dyDescent="0.2">
      <c r="B22587" s="1168"/>
    </row>
    <row r="22588" spans="2:2" s="221" customFormat="1" ht="12.75" x14ac:dyDescent="0.2">
      <c r="B22588" s="1168"/>
    </row>
    <row r="22589" spans="2:2" s="221" customFormat="1" ht="12.75" x14ac:dyDescent="0.2">
      <c r="B22589" s="1168"/>
    </row>
    <row r="22590" spans="2:2" s="221" customFormat="1" ht="12.75" x14ac:dyDescent="0.2">
      <c r="B22590" s="1168"/>
    </row>
    <row r="22591" spans="2:2" s="221" customFormat="1" ht="12.75" x14ac:dyDescent="0.2">
      <c r="B22591" s="1168"/>
    </row>
    <row r="22592" spans="2:2" s="221" customFormat="1" ht="12.75" x14ac:dyDescent="0.2">
      <c r="B22592" s="1168"/>
    </row>
    <row r="22593" spans="2:2" s="221" customFormat="1" ht="12.75" x14ac:dyDescent="0.2">
      <c r="B22593" s="1168"/>
    </row>
    <row r="22594" spans="2:2" s="221" customFormat="1" ht="12.75" x14ac:dyDescent="0.2">
      <c r="B22594" s="1168"/>
    </row>
    <row r="22595" spans="2:2" s="221" customFormat="1" ht="12.75" x14ac:dyDescent="0.2">
      <c r="B22595" s="1168"/>
    </row>
    <row r="22596" spans="2:2" s="221" customFormat="1" ht="12.75" x14ac:dyDescent="0.2">
      <c r="B22596" s="1168"/>
    </row>
    <row r="22597" spans="2:2" s="221" customFormat="1" ht="12.75" x14ac:dyDescent="0.2">
      <c r="B22597" s="1168"/>
    </row>
    <row r="22598" spans="2:2" s="221" customFormat="1" ht="12.75" x14ac:dyDescent="0.2">
      <c r="B22598" s="1168"/>
    </row>
    <row r="22599" spans="2:2" s="221" customFormat="1" ht="12.75" x14ac:dyDescent="0.2">
      <c r="B22599" s="1168"/>
    </row>
    <row r="22600" spans="2:2" s="221" customFormat="1" ht="12.75" x14ac:dyDescent="0.2">
      <c r="B22600" s="1168"/>
    </row>
    <row r="22601" spans="2:2" s="221" customFormat="1" ht="12.75" x14ac:dyDescent="0.2">
      <c r="B22601" s="1168"/>
    </row>
    <row r="22602" spans="2:2" s="221" customFormat="1" ht="12.75" x14ac:dyDescent="0.2">
      <c r="B22602" s="1168"/>
    </row>
    <row r="22603" spans="2:2" s="221" customFormat="1" ht="12.75" x14ac:dyDescent="0.2">
      <c r="B22603" s="1168"/>
    </row>
    <row r="22604" spans="2:2" s="221" customFormat="1" ht="12.75" x14ac:dyDescent="0.2">
      <c r="B22604" s="1168"/>
    </row>
    <row r="22605" spans="2:2" s="221" customFormat="1" ht="12.75" x14ac:dyDescent="0.2">
      <c r="B22605" s="1168"/>
    </row>
    <row r="22606" spans="2:2" s="221" customFormat="1" ht="12.75" x14ac:dyDescent="0.2">
      <c r="B22606" s="1168"/>
    </row>
    <row r="22607" spans="2:2" s="221" customFormat="1" ht="12.75" x14ac:dyDescent="0.2">
      <c r="B22607" s="1168"/>
    </row>
    <row r="22608" spans="2:2" s="221" customFormat="1" ht="12.75" x14ac:dyDescent="0.2">
      <c r="B22608" s="1168"/>
    </row>
    <row r="22609" spans="2:2" s="221" customFormat="1" ht="12.75" x14ac:dyDescent="0.2">
      <c r="B22609" s="1168"/>
    </row>
    <row r="22610" spans="2:2" s="221" customFormat="1" ht="12.75" x14ac:dyDescent="0.2">
      <c r="B22610" s="1168"/>
    </row>
    <row r="22611" spans="2:2" s="221" customFormat="1" ht="12.75" x14ac:dyDescent="0.2">
      <c r="B22611" s="1168"/>
    </row>
    <row r="22612" spans="2:2" s="221" customFormat="1" ht="12.75" x14ac:dyDescent="0.2">
      <c r="B22612" s="1168"/>
    </row>
    <row r="22613" spans="2:2" s="221" customFormat="1" ht="12.75" x14ac:dyDescent="0.2">
      <c r="B22613" s="1168"/>
    </row>
    <row r="22614" spans="2:2" s="221" customFormat="1" ht="12.75" x14ac:dyDescent="0.2">
      <c r="B22614" s="1168"/>
    </row>
    <row r="22615" spans="2:2" s="221" customFormat="1" ht="12.75" x14ac:dyDescent="0.2">
      <c r="B22615" s="1168"/>
    </row>
    <row r="22616" spans="2:2" s="221" customFormat="1" ht="12.75" x14ac:dyDescent="0.2">
      <c r="B22616" s="1168"/>
    </row>
    <row r="22617" spans="2:2" s="221" customFormat="1" ht="12.75" x14ac:dyDescent="0.2">
      <c r="B22617" s="1168"/>
    </row>
    <row r="22618" spans="2:2" s="221" customFormat="1" ht="12.75" x14ac:dyDescent="0.2">
      <c r="B22618" s="1168"/>
    </row>
    <row r="22619" spans="2:2" s="221" customFormat="1" ht="12.75" x14ac:dyDescent="0.2">
      <c r="B22619" s="1168"/>
    </row>
    <row r="22620" spans="2:2" s="221" customFormat="1" ht="12.75" x14ac:dyDescent="0.2">
      <c r="B22620" s="1168"/>
    </row>
    <row r="22621" spans="2:2" s="221" customFormat="1" ht="12.75" x14ac:dyDescent="0.2">
      <c r="B22621" s="1168"/>
    </row>
    <row r="22622" spans="2:2" s="221" customFormat="1" ht="12.75" x14ac:dyDescent="0.2">
      <c r="B22622" s="1168"/>
    </row>
    <row r="22623" spans="2:2" s="221" customFormat="1" ht="12.75" x14ac:dyDescent="0.2">
      <c r="B22623" s="1168"/>
    </row>
    <row r="22624" spans="2:2" s="221" customFormat="1" ht="12.75" x14ac:dyDescent="0.2">
      <c r="B22624" s="1168"/>
    </row>
    <row r="22625" spans="2:2" s="221" customFormat="1" ht="12.75" x14ac:dyDescent="0.2">
      <c r="B22625" s="1168"/>
    </row>
    <row r="22626" spans="2:2" s="221" customFormat="1" ht="12.75" x14ac:dyDescent="0.2">
      <c r="B22626" s="1168"/>
    </row>
    <row r="22627" spans="2:2" s="221" customFormat="1" ht="12.75" x14ac:dyDescent="0.2">
      <c r="B22627" s="1168"/>
    </row>
    <row r="22628" spans="2:2" s="221" customFormat="1" ht="12.75" x14ac:dyDescent="0.2">
      <c r="B22628" s="1168"/>
    </row>
    <row r="22629" spans="2:2" s="221" customFormat="1" ht="12.75" x14ac:dyDescent="0.2">
      <c r="B22629" s="1168"/>
    </row>
    <row r="22630" spans="2:2" s="221" customFormat="1" ht="12.75" x14ac:dyDescent="0.2">
      <c r="B22630" s="1168"/>
    </row>
    <row r="22631" spans="2:2" s="221" customFormat="1" ht="12.75" x14ac:dyDescent="0.2">
      <c r="B22631" s="1168"/>
    </row>
    <row r="22632" spans="2:2" s="221" customFormat="1" ht="12.75" x14ac:dyDescent="0.2">
      <c r="B22632" s="1168"/>
    </row>
    <row r="22633" spans="2:2" s="221" customFormat="1" ht="12.75" x14ac:dyDescent="0.2">
      <c r="B22633" s="1168"/>
    </row>
    <row r="22634" spans="2:2" s="221" customFormat="1" ht="12.75" x14ac:dyDescent="0.2">
      <c r="B22634" s="1168"/>
    </row>
    <row r="22635" spans="2:2" s="221" customFormat="1" ht="12.75" x14ac:dyDescent="0.2">
      <c r="B22635" s="1168"/>
    </row>
    <row r="22636" spans="2:2" s="221" customFormat="1" ht="12.75" x14ac:dyDescent="0.2">
      <c r="B22636" s="1168"/>
    </row>
    <row r="22637" spans="2:2" s="221" customFormat="1" ht="12.75" x14ac:dyDescent="0.2">
      <c r="B22637" s="1168"/>
    </row>
    <row r="22638" spans="2:2" s="221" customFormat="1" ht="12.75" x14ac:dyDescent="0.2">
      <c r="B22638" s="1168"/>
    </row>
    <row r="22639" spans="2:2" s="221" customFormat="1" ht="12.75" x14ac:dyDescent="0.2">
      <c r="B22639" s="1168"/>
    </row>
    <row r="22640" spans="2:2" s="221" customFormat="1" ht="12.75" x14ac:dyDescent="0.2">
      <c r="B22640" s="1168"/>
    </row>
    <row r="22641" spans="2:2" s="221" customFormat="1" ht="12.75" x14ac:dyDescent="0.2">
      <c r="B22641" s="1168"/>
    </row>
    <row r="22642" spans="2:2" s="221" customFormat="1" ht="12.75" x14ac:dyDescent="0.2">
      <c r="B22642" s="1168"/>
    </row>
    <row r="22643" spans="2:2" s="221" customFormat="1" ht="12.75" x14ac:dyDescent="0.2">
      <c r="B22643" s="1168"/>
    </row>
    <row r="22644" spans="2:2" s="221" customFormat="1" ht="12.75" x14ac:dyDescent="0.2">
      <c r="B22644" s="1168"/>
    </row>
    <row r="22645" spans="2:2" s="221" customFormat="1" ht="12.75" x14ac:dyDescent="0.2">
      <c r="B22645" s="1168"/>
    </row>
    <row r="22646" spans="2:2" s="221" customFormat="1" ht="12.75" x14ac:dyDescent="0.2">
      <c r="B22646" s="1168"/>
    </row>
    <row r="22647" spans="2:2" s="221" customFormat="1" ht="12.75" x14ac:dyDescent="0.2">
      <c r="B22647" s="1168"/>
    </row>
    <row r="22648" spans="2:2" s="221" customFormat="1" ht="12.75" x14ac:dyDescent="0.2">
      <c r="B22648" s="1168"/>
    </row>
    <row r="22649" spans="2:2" s="221" customFormat="1" ht="12.75" x14ac:dyDescent="0.2">
      <c r="B22649" s="1168"/>
    </row>
    <row r="22650" spans="2:2" s="221" customFormat="1" ht="12.75" x14ac:dyDescent="0.2">
      <c r="B22650" s="1168"/>
    </row>
    <row r="22651" spans="2:2" s="221" customFormat="1" ht="12.75" x14ac:dyDescent="0.2">
      <c r="B22651" s="1168"/>
    </row>
    <row r="22652" spans="2:2" s="221" customFormat="1" ht="12.75" x14ac:dyDescent="0.2">
      <c r="B22652" s="1168"/>
    </row>
    <row r="22653" spans="2:2" s="221" customFormat="1" ht="12.75" x14ac:dyDescent="0.2">
      <c r="B22653" s="1168"/>
    </row>
    <row r="22654" spans="2:2" s="221" customFormat="1" ht="12.75" x14ac:dyDescent="0.2">
      <c r="B22654" s="1168"/>
    </row>
    <row r="22655" spans="2:2" s="221" customFormat="1" ht="12.75" x14ac:dyDescent="0.2">
      <c r="B22655" s="1168"/>
    </row>
    <row r="22656" spans="2:2" s="221" customFormat="1" ht="12.75" x14ac:dyDescent="0.2">
      <c r="B22656" s="1168"/>
    </row>
    <row r="22657" spans="2:2" s="221" customFormat="1" ht="12.75" x14ac:dyDescent="0.2">
      <c r="B22657" s="1168"/>
    </row>
    <row r="22658" spans="2:2" s="221" customFormat="1" ht="12.75" x14ac:dyDescent="0.2">
      <c r="B22658" s="1168"/>
    </row>
    <row r="22659" spans="2:2" s="221" customFormat="1" ht="12.75" x14ac:dyDescent="0.2">
      <c r="B22659" s="1168"/>
    </row>
    <row r="22660" spans="2:2" s="221" customFormat="1" ht="12.75" x14ac:dyDescent="0.2">
      <c r="B22660" s="1168"/>
    </row>
    <row r="22661" spans="2:2" s="221" customFormat="1" ht="12.75" x14ac:dyDescent="0.2">
      <c r="B22661" s="1168"/>
    </row>
    <row r="22662" spans="2:2" s="221" customFormat="1" ht="12.75" x14ac:dyDescent="0.2">
      <c r="B22662" s="1168"/>
    </row>
    <row r="22663" spans="2:2" s="221" customFormat="1" ht="12.75" x14ac:dyDescent="0.2">
      <c r="B22663" s="1168"/>
    </row>
    <row r="22664" spans="2:2" s="221" customFormat="1" ht="12.75" x14ac:dyDescent="0.2">
      <c r="B22664" s="1168"/>
    </row>
    <row r="22665" spans="2:2" s="221" customFormat="1" ht="12.75" x14ac:dyDescent="0.2">
      <c r="B22665" s="1168"/>
    </row>
    <row r="22666" spans="2:2" s="221" customFormat="1" ht="12.75" x14ac:dyDescent="0.2">
      <c r="B22666" s="1168"/>
    </row>
    <row r="22667" spans="2:2" s="221" customFormat="1" ht="12.75" x14ac:dyDescent="0.2">
      <c r="B22667" s="1168"/>
    </row>
    <row r="22668" spans="2:2" s="221" customFormat="1" ht="12.75" x14ac:dyDescent="0.2">
      <c r="B22668" s="1168"/>
    </row>
    <row r="22669" spans="2:2" s="221" customFormat="1" ht="12.75" x14ac:dyDescent="0.2">
      <c r="B22669" s="1168"/>
    </row>
    <row r="22670" spans="2:2" s="221" customFormat="1" ht="12.75" x14ac:dyDescent="0.2">
      <c r="B22670" s="1168"/>
    </row>
    <row r="22671" spans="2:2" s="221" customFormat="1" ht="12.75" x14ac:dyDescent="0.2">
      <c r="B22671" s="1168"/>
    </row>
    <row r="22672" spans="2:2" s="221" customFormat="1" ht="12.75" x14ac:dyDescent="0.2">
      <c r="B22672" s="1168"/>
    </row>
    <row r="22673" spans="2:2" s="221" customFormat="1" ht="12.75" x14ac:dyDescent="0.2">
      <c r="B22673" s="1168"/>
    </row>
    <row r="22674" spans="2:2" s="221" customFormat="1" ht="12.75" x14ac:dyDescent="0.2">
      <c r="B22674" s="1168"/>
    </row>
    <row r="22675" spans="2:2" s="221" customFormat="1" ht="12.75" x14ac:dyDescent="0.2">
      <c r="B22675" s="1168"/>
    </row>
    <row r="22676" spans="2:2" s="221" customFormat="1" ht="12.75" x14ac:dyDescent="0.2">
      <c r="B22676" s="1168"/>
    </row>
    <row r="22677" spans="2:2" s="221" customFormat="1" ht="12.75" x14ac:dyDescent="0.2">
      <c r="B22677" s="1168"/>
    </row>
    <row r="22678" spans="2:2" s="221" customFormat="1" ht="12.75" x14ac:dyDescent="0.2">
      <c r="B22678" s="1168"/>
    </row>
    <row r="22679" spans="2:2" s="221" customFormat="1" ht="12.75" x14ac:dyDescent="0.2">
      <c r="B22679" s="1168"/>
    </row>
    <row r="22680" spans="2:2" s="221" customFormat="1" ht="12.75" x14ac:dyDescent="0.2">
      <c r="B22680" s="1168"/>
    </row>
    <row r="22681" spans="2:2" s="221" customFormat="1" ht="12.75" x14ac:dyDescent="0.2">
      <c r="B22681" s="1168"/>
    </row>
    <row r="22682" spans="2:2" s="221" customFormat="1" ht="12.75" x14ac:dyDescent="0.2">
      <c r="B22682" s="1168"/>
    </row>
    <row r="22683" spans="2:2" s="221" customFormat="1" ht="12.75" x14ac:dyDescent="0.2">
      <c r="B22683" s="1168"/>
    </row>
    <row r="22684" spans="2:2" s="221" customFormat="1" ht="12.75" x14ac:dyDescent="0.2">
      <c r="B22684" s="1168"/>
    </row>
    <row r="22685" spans="2:2" s="221" customFormat="1" ht="12.75" x14ac:dyDescent="0.2">
      <c r="B22685" s="1168"/>
    </row>
    <row r="22686" spans="2:2" s="221" customFormat="1" ht="12.75" x14ac:dyDescent="0.2">
      <c r="B22686" s="1168"/>
    </row>
    <row r="22687" spans="2:2" s="221" customFormat="1" ht="12.75" x14ac:dyDescent="0.2">
      <c r="B22687" s="1168"/>
    </row>
    <row r="22688" spans="2:2" s="221" customFormat="1" ht="12.75" x14ac:dyDescent="0.2">
      <c r="B22688" s="1168"/>
    </row>
    <row r="22689" spans="2:2" s="221" customFormat="1" ht="12.75" x14ac:dyDescent="0.2">
      <c r="B22689" s="1168"/>
    </row>
    <row r="22690" spans="2:2" s="221" customFormat="1" ht="12.75" x14ac:dyDescent="0.2">
      <c r="B22690" s="1168"/>
    </row>
    <row r="22691" spans="2:2" s="221" customFormat="1" ht="12.75" x14ac:dyDescent="0.2">
      <c r="B22691" s="1168"/>
    </row>
    <row r="22692" spans="2:2" s="221" customFormat="1" ht="12.75" x14ac:dyDescent="0.2">
      <c r="B22692" s="1168"/>
    </row>
    <row r="22693" spans="2:2" s="221" customFormat="1" ht="12.75" x14ac:dyDescent="0.2">
      <c r="B22693" s="1168"/>
    </row>
    <row r="22694" spans="2:2" s="221" customFormat="1" ht="12.75" x14ac:dyDescent="0.2">
      <c r="B22694" s="1168"/>
    </row>
    <row r="22695" spans="2:2" s="221" customFormat="1" ht="12.75" x14ac:dyDescent="0.2">
      <c r="B22695" s="1168"/>
    </row>
    <row r="22696" spans="2:2" s="221" customFormat="1" ht="12.75" x14ac:dyDescent="0.2">
      <c r="B22696" s="1168"/>
    </row>
    <row r="22697" spans="2:2" s="221" customFormat="1" ht="12.75" x14ac:dyDescent="0.2">
      <c r="B22697" s="1168"/>
    </row>
    <row r="22698" spans="2:2" s="221" customFormat="1" ht="12.75" x14ac:dyDescent="0.2">
      <c r="B22698" s="1168"/>
    </row>
    <row r="22699" spans="2:2" s="221" customFormat="1" ht="12.75" x14ac:dyDescent="0.2">
      <c r="B22699" s="1168"/>
    </row>
    <row r="22700" spans="2:2" s="221" customFormat="1" ht="12.75" x14ac:dyDescent="0.2">
      <c r="B22700" s="1168"/>
    </row>
    <row r="22701" spans="2:2" s="221" customFormat="1" ht="12.75" x14ac:dyDescent="0.2">
      <c r="B22701" s="1168"/>
    </row>
    <row r="22702" spans="2:2" s="221" customFormat="1" ht="12.75" x14ac:dyDescent="0.2">
      <c r="B22702" s="1168"/>
    </row>
    <row r="22703" spans="2:2" s="221" customFormat="1" ht="12.75" x14ac:dyDescent="0.2">
      <c r="B22703" s="1168"/>
    </row>
    <row r="22704" spans="2:2" s="221" customFormat="1" ht="12.75" x14ac:dyDescent="0.2">
      <c r="B22704" s="1168"/>
    </row>
    <row r="22705" spans="2:2" s="221" customFormat="1" ht="12.75" x14ac:dyDescent="0.2">
      <c r="B22705" s="1168"/>
    </row>
    <row r="22706" spans="2:2" s="221" customFormat="1" ht="12.75" x14ac:dyDescent="0.2">
      <c r="B22706" s="1168"/>
    </row>
    <row r="22707" spans="2:2" s="221" customFormat="1" ht="12.75" x14ac:dyDescent="0.2">
      <c r="B22707" s="1168"/>
    </row>
    <row r="22708" spans="2:2" s="221" customFormat="1" ht="12.75" x14ac:dyDescent="0.2">
      <c r="B22708" s="1168"/>
    </row>
    <row r="22709" spans="2:2" s="221" customFormat="1" ht="12.75" x14ac:dyDescent="0.2">
      <c r="B22709" s="1168"/>
    </row>
    <row r="22710" spans="2:2" s="221" customFormat="1" ht="12.75" x14ac:dyDescent="0.2">
      <c r="B22710" s="1168"/>
    </row>
    <row r="22711" spans="2:2" s="221" customFormat="1" ht="12.75" x14ac:dyDescent="0.2">
      <c r="B22711" s="1168"/>
    </row>
    <row r="22712" spans="2:2" s="221" customFormat="1" ht="12.75" x14ac:dyDescent="0.2">
      <c r="B22712" s="1168"/>
    </row>
    <row r="22713" spans="2:2" s="221" customFormat="1" ht="12.75" x14ac:dyDescent="0.2">
      <c r="B22713" s="1168"/>
    </row>
    <row r="22714" spans="2:2" s="221" customFormat="1" ht="12.75" x14ac:dyDescent="0.2">
      <c r="B22714" s="1168"/>
    </row>
    <row r="22715" spans="2:2" s="221" customFormat="1" ht="12.75" x14ac:dyDescent="0.2">
      <c r="B22715" s="1168"/>
    </row>
    <row r="22716" spans="2:2" s="221" customFormat="1" ht="12.75" x14ac:dyDescent="0.2">
      <c r="B22716" s="1168"/>
    </row>
    <row r="22717" spans="2:2" s="221" customFormat="1" ht="12.75" x14ac:dyDescent="0.2">
      <c r="B22717" s="1168"/>
    </row>
    <row r="22718" spans="2:2" s="221" customFormat="1" ht="12.75" x14ac:dyDescent="0.2">
      <c r="B22718" s="1168"/>
    </row>
    <row r="22719" spans="2:2" s="221" customFormat="1" ht="12.75" x14ac:dyDescent="0.2">
      <c r="B22719" s="1168"/>
    </row>
    <row r="22720" spans="2:2" s="221" customFormat="1" ht="12.75" x14ac:dyDescent="0.2">
      <c r="B22720" s="1168"/>
    </row>
    <row r="22721" spans="2:2" s="221" customFormat="1" ht="12.75" x14ac:dyDescent="0.2">
      <c r="B22721" s="1168"/>
    </row>
    <row r="22722" spans="2:2" s="221" customFormat="1" ht="12.75" x14ac:dyDescent="0.2">
      <c r="B22722" s="1168"/>
    </row>
    <row r="22723" spans="2:2" s="221" customFormat="1" ht="12.75" x14ac:dyDescent="0.2">
      <c r="B22723" s="1168"/>
    </row>
    <row r="22724" spans="2:2" s="221" customFormat="1" ht="12.75" x14ac:dyDescent="0.2">
      <c r="B22724" s="1168"/>
    </row>
    <row r="22725" spans="2:2" s="221" customFormat="1" ht="12.75" x14ac:dyDescent="0.2">
      <c r="B22725" s="1168"/>
    </row>
    <row r="22726" spans="2:2" s="221" customFormat="1" ht="12.75" x14ac:dyDescent="0.2">
      <c r="B22726" s="1168"/>
    </row>
    <row r="22727" spans="2:2" s="221" customFormat="1" ht="12.75" x14ac:dyDescent="0.2">
      <c r="B22727" s="1168"/>
    </row>
    <row r="22728" spans="2:2" s="221" customFormat="1" ht="12.75" x14ac:dyDescent="0.2">
      <c r="B22728" s="1168"/>
    </row>
    <row r="22729" spans="2:2" s="221" customFormat="1" ht="12.75" x14ac:dyDescent="0.2">
      <c r="B22729" s="1168"/>
    </row>
    <row r="22730" spans="2:2" s="221" customFormat="1" ht="12.75" x14ac:dyDescent="0.2">
      <c r="B22730" s="1168"/>
    </row>
    <row r="22731" spans="2:2" s="221" customFormat="1" ht="12.75" x14ac:dyDescent="0.2">
      <c r="B22731" s="1168"/>
    </row>
    <row r="22732" spans="2:2" s="221" customFormat="1" ht="12.75" x14ac:dyDescent="0.2">
      <c r="B22732" s="1168"/>
    </row>
    <row r="22733" spans="2:2" s="221" customFormat="1" ht="12.75" x14ac:dyDescent="0.2">
      <c r="B22733" s="1168"/>
    </row>
    <row r="22734" spans="2:2" s="221" customFormat="1" ht="12.75" x14ac:dyDescent="0.2">
      <c r="B22734" s="1168"/>
    </row>
    <row r="22735" spans="2:2" s="221" customFormat="1" ht="12.75" x14ac:dyDescent="0.2">
      <c r="B22735" s="1168"/>
    </row>
    <row r="22736" spans="2:2" s="221" customFormat="1" ht="12.75" x14ac:dyDescent="0.2">
      <c r="B22736" s="1168"/>
    </row>
    <row r="22737" spans="2:2" s="221" customFormat="1" ht="12.75" x14ac:dyDescent="0.2">
      <c r="B22737" s="1168"/>
    </row>
    <row r="22738" spans="2:2" s="221" customFormat="1" ht="12.75" x14ac:dyDescent="0.2">
      <c r="B22738" s="1168"/>
    </row>
    <row r="22739" spans="2:2" s="221" customFormat="1" ht="12.75" x14ac:dyDescent="0.2">
      <c r="B22739" s="1168"/>
    </row>
    <row r="22740" spans="2:2" s="221" customFormat="1" ht="12.75" x14ac:dyDescent="0.2">
      <c r="B22740" s="1168"/>
    </row>
    <row r="22741" spans="2:2" s="221" customFormat="1" ht="12.75" x14ac:dyDescent="0.2">
      <c r="B22741" s="1168"/>
    </row>
    <row r="22742" spans="2:2" s="221" customFormat="1" ht="12.75" x14ac:dyDescent="0.2">
      <c r="B22742" s="1168"/>
    </row>
    <row r="22743" spans="2:2" s="221" customFormat="1" ht="12.75" x14ac:dyDescent="0.2">
      <c r="B22743" s="1168"/>
    </row>
    <row r="22744" spans="2:2" s="221" customFormat="1" ht="12.75" x14ac:dyDescent="0.2">
      <c r="B22744" s="1168"/>
    </row>
    <row r="22745" spans="2:2" s="221" customFormat="1" ht="12.75" x14ac:dyDescent="0.2">
      <c r="B22745" s="1168"/>
    </row>
    <row r="22746" spans="2:2" s="221" customFormat="1" ht="12.75" x14ac:dyDescent="0.2">
      <c r="B22746" s="1168"/>
    </row>
    <row r="22747" spans="2:2" s="221" customFormat="1" ht="12.75" x14ac:dyDescent="0.2">
      <c r="B22747" s="1168"/>
    </row>
    <row r="22748" spans="2:2" s="221" customFormat="1" ht="12.75" x14ac:dyDescent="0.2">
      <c r="B22748" s="1168"/>
    </row>
    <row r="22749" spans="2:2" s="221" customFormat="1" ht="12.75" x14ac:dyDescent="0.2">
      <c r="B22749" s="1168"/>
    </row>
    <row r="22750" spans="2:2" s="221" customFormat="1" ht="12.75" x14ac:dyDescent="0.2">
      <c r="B22750" s="1168"/>
    </row>
    <row r="22751" spans="2:2" s="221" customFormat="1" ht="12.75" x14ac:dyDescent="0.2">
      <c r="B22751" s="1168"/>
    </row>
    <row r="22752" spans="2:2" s="221" customFormat="1" ht="12.75" x14ac:dyDescent="0.2">
      <c r="B22752" s="1168"/>
    </row>
    <row r="22753" spans="2:2" s="221" customFormat="1" ht="12.75" x14ac:dyDescent="0.2">
      <c r="B22753" s="1168"/>
    </row>
    <row r="22754" spans="2:2" s="221" customFormat="1" ht="12.75" x14ac:dyDescent="0.2">
      <c r="B22754" s="1168"/>
    </row>
    <row r="22755" spans="2:2" s="221" customFormat="1" ht="12.75" x14ac:dyDescent="0.2">
      <c r="B22755" s="1168"/>
    </row>
    <row r="22756" spans="2:2" s="221" customFormat="1" ht="12.75" x14ac:dyDescent="0.2">
      <c r="B22756" s="1168"/>
    </row>
    <row r="22757" spans="2:2" s="221" customFormat="1" ht="12.75" x14ac:dyDescent="0.2">
      <c r="B22757" s="1168"/>
    </row>
    <row r="22758" spans="2:2" s="221" customFormat="1" ht="12.75" x14ac:dyDescent="0.2">
      <c r="B22758" s="1168"/>
    </row>
    <row r="22759" spans="2:2" s="221" customFormat="1" ht="12.75" x14ac:dyDescent="0.2">
      <c r="B22759" s="1168"/>
    </row>
    <row r="22760" spans="2:2" s="221" customFormat="1" ht="12.75" x14ac:dyDescent="0.2">
      <c r="B22760" s="1168"/>
    </row>
    <row r="22761" spans="2:2" s="221" customFormat="1" ht="12.75" x14ac:dyDescent="0.2">
      <c r="B22761" s="1168"/>
    </row>
    <row r="22762" spans="2:2" s="221" customFormat="1" ht="12.75" x14ac:dyDescent="0.2">
      <c r="B22762" s="1168"/>
    </row>
    <row r="22763" spans="2:2" s="221" customFormat="1" ht="12.75" x14ac:dyDescent="0.2">
      <c r="B22763" s="1168"/>
    </row>
    <row r="22764" spans="2:2" s="221" customFormat="1" ht="12.75" x14ac:dyDescent="0.2">
      <c r="B22764" s="1168"/>
    </row>
    <row r="22765" spans="2:2" s="221" customFormat="1" ht="12.75" x14ac:dyDescent="0.2">
      <c r="B22765" s="1168"/>
    </row>
    <row r="22766" spans="2:2" s="221" customFormat="1" ht="12.75" x14ac:dyDescent="0.2">
      <c r="B22766" s="1168"/>
    </row>
    <row r="22767" spans="2:2" s="221" customFormat="1" ht="12.75" x14ac:dyDescent="0.2">
      <c r="B22767" s="1168"/>
    </row>
    <row r="22768" spans="2:2" s="221" customFormat="1" ht="12.75" x14ac:dyDescent="0.2">
      <c r="B22768" s="1168"/>
    </row>
    <row r="22769" spans="2:2" s="221" customFormat="1" ht="12.75" x14ac:dyDescent="0.2">
      <c r="B22769" s="1168"/>
    </row>
    <row r="22770" spans="2:2" s="221" customFormat="1" ht="12.75" x14ac:dyDescent="0.2">
      <c r="B22770" s="1168"/>
    </row>
    <row r="22771" spans="2:2" s="221" customFormat="1" ht="12.75" x14ac:dyDescent="0.2">
      <c r="B22771" s="1168"/>
    </row>
    <row r="22772" spans="2:2" s="221" customFormat="1" ht="12.75" x14ac:dyDescent="0.2">
      <c r="B22772" s="1168"/>
    </row>
    <row r="22773" spans="2:2" s="221" customFormat="1" ht="12.75" x14ac:dyDescent="0.2">
      <c r="B22773" s="1168"/>
    </row>
    <row r="22774" spans="2:2" s="221" customFormat="1" ht="12.75" x14ac:dyDescent="0.2">
      <c r="B22774" s="1168"/>
    </row>
    <row r="22775" spans="2:2" s="221" customFormat="1" ht="12.75" x14ac:dyDescent="0.2">
      <c r="B22775" s="1168"/>
    </row>
    <row r="22776" spans="2:2" s="221" customFormat="1" ht="12.75" x14ac:dyDescent="0.2">
      <c r="B22776" s="1168"/>
    </row>
    <row r="22777" spans="2:2" s="221" customFormat="1" ht="12.75" x14ac:dyDescent="0.2">
      <c r="B22777" s="1168"/>
    </row>
    <row r="22778" spans="2:2" s="221" customFormat="1" ht="12.75" x14ac:dyDescent="0.2">
      <c r="B22778" s="1168"/>
    </row>
    <row r="22779" spans="2:2" s="221" customFormat="1" ht="12.75" x14ac:dyDescent="0.2">
      <c r="B22779" s="1168"/>
    </row>
    <row r="22780" spans="2:2" s="221" customFormat="1" ht="12.75" x14ac:dyDescent="0.2">
      <c r="B22780" s="1168"/>
    </row>
    <row r="22781" spans="2:2" s="221" customFormat="1" ht="12.75" x14ac:dyDescent="0.2">
      <c r="B22781" s="1168"/>
    </row>
    <row r="22782" spans="2:2" s="221" customFormat="1" ht="12.75" x14ac:dyDescent="0.2">
      <c r="B22782" s="1168"/>
    </row>
    <row r="22783" spans="2:2" s="221" customFormat="1" ht="12.75" x14ac:dyDescent="0.2">
      <c r="B22783" s="1168"/>
    </row>
    <row r="22784" spans="2:2" s="221" customFormat="1" ht="12.75" x14ac:dyDescent="0.2">
      <c r="B22784" s="1168"/>
    </row>
    <row r="22785" spans="2:2" s="221" customFormat="1" ht="12.75" x14ac:dyDescent="0.2">
      <c r="B22785" s="1168"/>
    </row>
    <row r="22786" spans="2:2" s="221" customFormat="1" ht="12.75" x14ac:dyDescent="0.2">
      <c r="B22786" s="1168"/>
    </row>
    <row r="22787" spans="2:2" s="221" customFormat="1" ht="12.75" x14ac:dyDescent="0.2">
      <c r="B22787" s="1168"/>
    </row>
    <row r="22788" spans="2:2" s="221" customFormat="1" ht="12.75" x14ac:dyDescent="0.2">
      <c r="B22788" s="1168"/>
    </row>
    <row r="22789" spans="2:2" s="221" customFormat="1" ht="12.75" x14ac:dyDescent="0.2">
      <c r="B22789" s="1168"/>
    </row>
    <row r="22790" spans="2:2" s="221" customFormat="1" ht="12.75" x14ac:dyDescent="0.2">
      <c r="B22790" s="1168"/>
    </row>
    <row r="22791" spans="2:2" s="221" customFormat="1" ht="12.75" x14ac:dyDescent="0.2">
      <c r="B22791" s="1168"/>
    </row>
    <row r="22792" spans="2:2" s="221" customFormat="1" ht="12.75" x14ac:dyDescent="0.2">
      <c r="B22792" s="1168"/>
    </row>
    <row r="22793" spans="2:2" s="221" customFormat="1" ht="12.75" x14ac:dyDescent="0.2">
      <c r="B22793" s="1168"/>
    </row>
    <row r="22794" spans="2:2" s="221" customFormat="1" ht="12.75" x14ac:dyDescent="0.2">
      <c r="B22794" s="1168"/>
    </row>
    <row r="22795" spans="2:2" s="221" customFormat="1" ht="12.75" x14ac:dyDescent="0.2">
      <c r="B22795" s="1168"/>
    </row>
    <row r="22796" spans="2:2" s="221" customFormat="1" ht="12.75" x14ac:dyDescent="0.2">
      <c r="B22796" s="1168"/>
    </row>
    <row r="22797" spans="2:2" s="221" customFormat="1" ht="12.75" x14ac:dyDescent="0.2">
      <c r="B22797" s="1168"/>
    </row>
    <row r="22798" spans="2:2" s="221" customFormat="1" ht="12.75" x14ac:dyDescent="0.2">
      <c r="B22798" s="1168"/>
    </row>
    <row r="22799" spans="2:2" s="221" customFormat="1" ht="12.75" x14ac:dyDescent="0.2">
      <c r="B22799" s="1168"/>
    </row>
    <row r="22800" spans="2:2" s="221" customFormat="1" ht="12.75" x14ac:dyDescent="0.2">
      <c r="B22800" s="1168"/>
    </row>
    <row r="22801" spans="2:2" s="221" customFormat="1" ht="12.75" x14ac:dyDescent="0.2">
      <c r="B22801" s="1168"/>
    </row>
    <row r="22802" spans="2:2" s="221" customFormat="1" ht="12.75" x14ac:dyDescent="0.2">
      <c r="B22802" s="1168"/>
    </row>
    <row r="22803" spans="2:2" s="221" customFormat="1" ht="12.75" x14ac:dyDescent="0.2">
      <c r="B22803" s="1168"/>
    </row>
    <row r="22804" spans="2:2" s="221" customFormat="1" ht="12.75" x14ac:dyDescent="0.2">
      <c r="B22804" s="1168"/>
    </row>
    <row r="22805" spans="2:2" s="221" customFormat="1" ht="12.75" x14ac:dyDescent="0.2">
      <c r="B22805" s="1168"/>
    </row>
    <row r="22806" spans="2:2" s="221" customFormat="1" ht="12.75" x14ac:dyDescent="0.2">
      <c r="B22806" s="1168"/>
    </row>
    <row r="22807" spans="2:2" s="221" customFormat="1" ht="12.75" x14ac:dyDescent="0.2">
      <c r="B22807" s="1168"/>
    </row>
    <row r="22808" spans="2:2" s="221" customFormat="1" ht="12.75" x14ac:dyDescent="0.2">
      <c r="B22808" s="1168"/>
    </row>
    <row r="22809" spans="2:2" s="221" customFormat="1" ht="12.75" x14ac:dyDescent="0.2">
      <c r="B22809" s="1168"/>
    </row>
    <row r="22810" spans="2:2" s="221" customFormat="1" ht="12.75" x14ac:dyDescent="0.2">
      <c r="B22810" s="1168"/>
    </row>
    <row r="22811" spans="2:2" s="221" customFormat="1" ht="12.75" x14ac:dyDescent="0.2">
      <c r="B22811" s="1168"/>
    </row>
    <row r="22812" spans="2:2" s="221" customFormat="1" ht="12.75" x14ac:dyDescent="0.2">
      <c r="B22812" s="1168"/>
    </row>
    <row r="22813" spans="2:2" s="221" customFormat="1" ht="12.75" x14ac:dyDescent="0.2">
      <c r="B22813" s="1168"/>
    </row>
    <row r="22814" spans="2:2" s="221" customFormat="1" ht="12.75" x14ac:dyDescent="0.2">
      <c r="B22814" s="1168"/>
    </row>
    <row r="22815" spans="2:2" s="221" customFormat="1" ht="12.75" x14ac:dyDescent="0.2">
      <c r="B22815" s="1168"/>
    </row>
    <row r="22816" spans="2:2" s="221" customFormat="1" ht="12.75" x14ac:dyDescent="0.2">
      <c r="B22816" s="1168"/>
    </row>
    <row r="22817" spans="2:2" s="221" customFormat="1" ht="12.75" x14ac:dyDescent="0.2">
      <c r="B22817" s="1168"/>
    </row>
    <row r="22818" spans="2:2" s="221" customFormat="1" ht="12.75" x14ac:dyDescent="0.2">
      <c r="B22818" s="1168"/>
    </row>
    <row r="22819" spans="2:2" s="221" customFormat="1" ht="12.75" x14ac:dyDescent="0.2">
      <c r="B22819" s="1168"/>
    </row>
    <row r="22820" spans="2:2" s="221" customFormat="1" ht="12.75" x14ac:dyDescent="0.2">
      <c r="B22820" s="1168"/>
    </row>
    <row r="22821" spans="2:2" s="221" customFormat="1" ht="12.75" x14ac:dyDescent="0.2">
      <c r="B22821" s="1168"/>
    </row>
    <row r="22822" spans="2:2" s="221" customFormat="1" ht="12.75" x14ac:dyDescent="0.2">
      <c r="B22822" s="1168"/>
    </row>
    <row r="22823" spans="2:2" s="221" customFormat="1" ht="12.75" x14ac:dyDescent="0.2">
      <c r="B22823" s="1168"/>
    </row>
    <row r="22824" spans="2:2" s="221" customFormat="1" ht="12.75" x14ac:dyDescent="0.2">
      <c r="B22824" s="1168"/>
    </row>
    <row r="22825" spans="2:2" s="221" customFormat="1" ht="12.75" x14ac:dyDescent="0.2">
      <c r="B22825" s="1168"/>
    </row>
    <row r="22826" spans="2:2" s="221" customFormat="1" ht="12.75" x14ac:dyDescent="0.2">
      <c r="B22826" s="1168"/>
    </row>
    <row r="22827" spans="2:2" s="221" customFormat="1" ht="12.75" x14ac:dyDescent="0.2">
      <c r="B22827" s="1168"/>
    </row>
    <row r="22828" spans="2:2" s="221" customFormat="1" ht="12.75" x14ac:dyDescent="0.2">
      <c r="B22828" s="1168"/>
    </row>
    <row r="22829" spans="2:2" s="221" customFormat="1" ht="12.75" x14ac:dyDescent="0.2">
      <c r="B22829" s="1168"/>
    </row>
    <row r="22830" spans="2:2" s="221" customFormat="1" ht="12.75" x14ac:dyDescent="0.2">
      <c r="B22830" s="1168"/>
    </row>
    <row r="22831" spans="2:2" s="221" customFormat="1" ht="12.75" x14ac:dyDescent="0.2">
      <c r="B22831" s="1168"/>
    </row>
    <row r="22832" spans="2:2" s="221" customFormat="1" ht="12.75" x14ac:dyDescent="0.2">
      <c r="B22832" s="1168"/>
    </row>
    <row r="22833" spans="2:2" s="221" customFormat="1" ht="12.75" x14ac:dyDescent="0.2">
      <c r="B22833" s="1168"/>
    </row>
    <row r="22834" spans="2:2" s="221" customFormat="1" ht="12.75" x14ac:dyDescent="0.2">
      <c r="B22834" s="1168"/>
    </row>
    <row r="22835" spans="2:2" s="221" customFormat="1" ht="12.75" x14ac:dyDescent="0.2">
      <c r="B22835" s="1168"/>
    </row>
    <row r="22836" spans="2:2" s="221" customFormat="1" ht="12.75" x14ac:dyDescent="0.2">
      <c r="B22836" s="1168"/>
    </row>
    <row r="22837" spans="2:2" s="221" customFormat="1" ht="12.75" x14ac:dyDescent="0.2">
      <c r="B22837" s="1168"/>
    </row>
    <row r="22838" spans="2:2" s="221" customFormat="1" ht="12.75" x14ac:dyDescent="0.2">
      <c r="B22838" s="1168"/>
    </row>
    <row r="22839" spans="2:2" s="221" customFormat="1" ht="12.75" x14ac:dyDescent="0.2">
      <c r="B22839" s="1168"/>
    </row>
    <row r="22840" spans="2:2" s="221" customFormat="1" ht="12.75" x14ac:dyDescent="0.2">
      <c r="B22840" s="1168"/>
    </row>
    <row r="22841" spans="2:2" s="221" customFormat="1" ht="12.75" x14ac:dyDescent="0.2">
      <c r="B22841" s="1168"/>
    </row>
    <row r="22842" spans="2:2" s="221" customFormat="1" ht="12.75" x14ac:dyDescent="0.2">
      <c r="B22842" s="1168"/>
    </row>
    <row r="22843" spans="2:2" s="221" customFormat="1" ht="12.75" x14ac:dyDescent="0.2">
      <c r="B22843" s="1168"/>
    </row>
    <row r="22844" spans="2:2" s="221" customFormat="1" ht="12.75" x14ac:dyDescent="0.2">
      <c r="B22844" s="1168"/>
    </row>
    <row r="22845" spans="2:2" s="221" customFormat="1" ht="12.75" x14ac:dyDescent="0.2">
      <c r="B22845" s="1168"/>
    </row>
    <row r="22846" spans="2:2" s="221" customFormat="1" ht="12.75" x14ac:dyDescent="0.2">
      <c r="B22846" s="1168"/>
    </row>
    <row r="22847" spans="2:2" s="221" customFormat="1" ht="12.75" x14ac:dyDescent="0.2">
      <c r="B22847" s="1168"/>
    </row>
    <row r="22848" spans="2:2" s="221" customFormat="1" ht="12.75" x14ac:dyDescent="0.2">
      <c r="B22848" s="1168"/>
    </row>
    <row r="22849" spans="2:2" s="221" customFormat="1" ht="12.75" x14ac:dyDescent="0.2">
      <c r="B22849" s="1168"/>
    </row>
    <row r="22850" spans="2:2" s="221" customFormat="1" ht="12.75" x14ac:dyDescent="0.2">
      <c r="B22850" s="1168"/>
    </row>
    <row r="22851" spans="2:2" s="221" customFormat="1" ht="12.75" x14ac:dyDescent="0.2">
      <c r="B22851" s="1168"/>
    </row>
    <row r="22852" spans="2:2" s="221" customFormat="1" ht="12.75" x14ac:dyDescent="0.2">
      <c r="B22852" s="1168"/>
    </row>
    <row r="22853" spans="2:2" s="221" customFormat="1" ht="12.75" x14ac:dyDescent="0.2">
      <c r="B22853" s="1168"/>
    </row>
    <row r="22854" spans="2:2" s="221" customFormat="1" ht="12.75" x14ac:dyDescent="0.2">
      <c r="B22854" s="1168"/>
    </row>
    <row r="22855" spans="2:2" s="221" customFormat="1" ht="12.75" x14ac:dyDescent="0.2">
      <c r="B22855" s="1168"/>
    </row>
    <row r="22856" spans="2:2" s="221" customFormat="1" ht="12.75" x14ac:dyDescent="0.2">
      <c r="B22856" s="1168"/>
    </row>
    <row r="22857" spans="2:2" s="221" customFormat="1" ht="12.75" x14ac:dyDescent="0.2">
      <c r="B22857" s="1168"/>
    </row>
    <row r="22858" spans="2:2" s="221" customFormat="1" ht="12.75" x14ac:dyDescent="0.2">
      <c r="B22858" s="1168"/>
    </row>
    <row r="22859" spans="2:2" s="221" customFormat="1" ht="12.75" x14ac:dyDescent="0.2">
      <c r="B22859" s="1168"/>
    </row>
    <row r="22860" spans="2:2" s="221" customFormat="1" ht="12.75" x14ac:dyDescent="0.2">
      <c r="B22860" s="1168"/>
    </row>
    <row r="22861" spans="2:2" s="221" customFormat="1" ht="12.75" x14ac:dyDescent="0.2">
      <c r="B22861" s="1168"/>
    </row>
    <row r="22862" spans="2:2" s="221" customFormat="1" ht="12.75" x14ac:dyDescent="0.2">
      <c r="B22862" s="1168"/>
    </row>
    <row r="22863" spans="2:2" s="221" customFormat="1" ht="12.75" x14ac:dyDescent="0.2">
      <c r="B22863" s="1168"/>
    </row>
    <row r="22864" spans="2:2" s="221" customFormat="1" ht="12.75" x14ac:dyDescent="0.2">
      <c r="B22864" s="1168"/>
    </row>
    <row r="22865" spans="2:2" s="221" customFormat="1" ht="12.75" x14ac:dyDescent="0.2">
      <c r="B22865" s="1168"/>
    </row>
    <row r="22866" spans="2:2" s="221" customFormat="1" ht="12.75" x14ac:dyDescent="0.2">
      <c r="B22866" s="1168"/>
    </row>
    <row r="22867" spans="2:2" s="221" customFormat="1" ht="12.75" x14ac:dyDescent="0.2">
      <c r="B22867" s="1168"/>
    </row>
    <row r="22868" spans="2:2" s="221" customFormat="1" ht="12.75" x14ac:dyDescent="0.2">
      <c r="B22868" s="1168"/>
    </row>
    <row r="22869" spans="2:2" s="221" customFormat="1" ht="12.75" x14ac:dyDescent="0.2">
      <c r="B22869" s="1168"/>
    </row>
    <row r="22870" spans="2:2" s="221" customFormat="1" ht="12.75" x14ac:dyDescent="0.2">
      <c r="B22870" s="1168"/>
    </row>
    <row r="22871" spans="2:2" s="221" customFormat="1" ht="12.75" x14ac:dyDescent="0.2">
      <c r="B22871" s="1168"/>
    </row>
    <row r="22872" spans="2:2" s="221" customFormat="1" ht="12.75" x14ac:dyDescent="0.2">
      <c r="B22872" s="1168"/>
    </row>
    <row r="22873" spans="2:2" s="221" customFormat="1" ht="12.75" x14ac:dyDescent="0.2">
      <c r="B22873" s="1168"/>
    </row>
    <row r="22874" spans="2:2" s="221" customFormat="1" ht="12.75" x14ac:dyDescent="0.2">
      <c r="B22874" s="1168"/>
    </row>
    <row r="22875" spans="2:2" s="221" customFormat="1" ht="12.75" x14ac:dyDescent="0.2">
      <c r="B22875" s="1168"/>
    </row>
    <row r="22876" spans="2:2" s="221" customFormat="1" ht="12.75" x14ac:dyDescent="0.2">
      <c r="B22876" s="1168"/>
    </row>
    <row r="22877" spans="2:2" s="221" customFormat="1" ht="12.75" x14ac:dyDescent="0.2">
      <c r="B22877" s="1168"/>
    </row>
    <row r="22878" spans="2:2" s="221" customFormat="1" ht="12.75" x14ac:dyDescent="0.2">
      <c r="B22878" s="1168"/>
    </row>
    <row r="22879" spans="2:2" s="221" customFormat="1" ht="12.75" x14ac:dyDescent="0.2">
      <c r="B22879" s="1168"/>
    </row>
    <row r="22880" spans="2:2" s="221" customFormat="1" ht="12.75" x14ac:dyDescent="0.2">
      <c r="B22880" s="1168"/>
    </row>
    <row r="22881" spans="2:2" s="221" customFormat="1" ht="12.75" x14ac:dyDescent="0.2">
      <c r="B22881" s="1168"/>
    </row>
    <row r="22882" spans="2:2" s="221" customFormat="1" ht="12.75" x14ac:dyDescent="0.2">
      <c r="B22882" s="1168"/>
    </row>
    <row r="22883" spans="2:2" s="221" customFormat="1" ht="12.75" x14ac:dyDescent="0.2">
      <c r="B22883" s="1168"/>
    </row>
    <row r="22884" spans="2:2" s="221" customFormat="1" ht="12.75" x14ac:dyDescent="0.2">
      <c r="B22884" s="1168"/>
    </row>
    <row r="22885" spans="2:2" s="221" customFormat="1" ht="12.75" x14ac:dyDescent="0.2">
      <c r="B22885" s="1168"/>
    </row>
    <row r="22886" spans="2:2" s="221" customFormat="1" ht="12.75" x14ac:dyDescent="0.2">
      <c r="B22886" s="1168"/>
    </row>
    <row r="22887" spans="2:2" s="221" customFormat="1" ht="12.75" x14ac:dyDescent="0.2">
      <c r="B22887" s="1168"/>
    </row>
    <row r="22888" spans="2:2" s="221" customFormat="1" ht="12.75" x14ac:dyDescent="0.2">
      <c r="B22888" s="1168"/>
    </row>
    <row r="22889" spans="2:2" s="221" customFormat="1" ht="12.75" x14ac:dyDescent="0.2">
      <c r="B22889" s="1168"/>
    </row>
    <row r="22890" spans="2:2" s="221" customFormat="1" ht="12.75" x14ac:dyDescent="0.2">
      <c r="B22890" s="1168"/>
    </row>
    <row r="22891" spans="2:2" s="221" customFormat="1" ht="12.75" x14ac:dyDescent="0.2">
      <c r="B22891" s="1168"/>
    </row>
    <row r="22892" spans="2:2" s="221" customFormat="1" ht="12.75" x14ac:dyDescent="0.2">
      <c r="B22892" s="1168"/>
    </row>
    <row r="22893" spans="2:2" s="221" customFormat="1" ht="12.75" x14ac:dyDescent="0.2">
      <c r="B22893" s="1168"/>
    </row>
    <row r="22894" spans="2:2" s="221" customFormat="1" ht="12.75" x14ac:dyDescent="0.2">
      <c r="B22894" s="1168"/>
    </row>
    <row r="22895" spans="2:2" s="221" customFormat="1" ht="12.75" x14ac:dyDescent="0.2">
      <c r="B22895" s="1168"/>
    </row>
    <row r="22896" spans="2:2" s="221" customFormat="1" ht="12.75" x14ac:dyDescent="0.2">
      <c r="B22896" s="1168"/>
    </row>
    <row r="22897" spans="2:2" s="221" customFormat="1" ht="12.75" x14ac:dyDescent="0.2">
      <c r="B22897" s="1168"/>
    </row>
    <row r="22898" spans="2:2" s="221" customFormat="1" ht="12.75" x14ac:dyDescent="0.2">
      <c r="B22898" s="1168"/>
    </row>
    <row r="22899" spans="2:2" s="221" customFormat="1" ht="12.75" x14ac:dyDescent="0.2">
      <c r="B22899" s="1168"/>
    </row>
    <row r="22900" spans="2:2" s="221" customFormat="1" ht="12.75" x14ac:dyDescent="0.2">
      <c r="B22900" s="1168"/>
    </row>
    <row r="22901" spans="2:2" s="221" customFormat="1" ht="12.75" x14ac:dyDescent="0.2">
      <c r="B22901" s="1168"/>
    </row>
    <row r="22902" spans="2:2" s="221" customFormat="1" ht="12.75" x14ac:dyDescent="0.2">
      <c r="B22902" s="1168"/>
    </row>
    <row r="22903" spans="2:2" s="221" customFormat="1" ht="12.75" x14ac:dyDescent="0.2">
      <c r="B22903" s="1168"/>
    </row>
    <row r="22904" spans="2:2" s="221" customFormat="1" ht="12.75" x14ac:dyDescent="0.2">
      <c r="B22904" s="1168"/>
    </row>
    <row r="22905" spans="2:2" s="221" customFormat="1" ht="12.75" x14ac:dyDescent="0.2">
      <c r="B22905" s="1168"/>
    </row>
    <row r="22906" spans="2:2" s="221" customFormat="1" ht="12.75" x14ac:dyDescent="0.2">
      <c r="B22906" s="1168"/>
    </row>
    <row r="22907" spans="2:2" s="221" customFormat="1" ht="12.75" x14ac:dyDescent="0.2">
      <c r="B22907" s="1168"/>
    </row>
    <row r="22908" spans="2:2" s="221" customFormat="1" ht="12.75" x14ac:dyDescent="0.2">
      <c r="B22908" s="1168"/>
    </row>
    <row r="22909" spans="2:2" s="221" customFormat="1" ht="12.75" x14ac:dyDescent="0.2">
      <c r="B22909" s="1168"/>
    </row>
    <row r="22910" spans="2:2" s="221" customFormat="1" ht="12.75" x14ac:dyDescent="0.2">
      <c r="B22910" s="1168"/>
    </row>
    <row r="22911" spans="2:2" s="221" customFormat="1" ht="12.75" x14ac:dyDescent="0.2">
      <c r="B22911" s="1168"/>
    </row>
    <row r="22912" spans="2:2" s="221" customFormat="1" ht="12.75" x14ac:dyDescent="0.2">
      <c r="B22912" s="1168"/>
    </row>
    <row r="22913" spans="2:2" s="221" customFormat="1" ht="12.75" x14ac:dyDescent="0.2">
      <c r="B22913" s="1168"/>
    </row>
    <row r="22914" spans="2:2" s="221" customFormat="1" ht="12.75" x14ac:dyDescent="0.2">
      <c r="B22914" s="1168"/>
    </row>
    <row r="22915" spans="2:2" s="221" customFormat="1" ht="12.75" x14ac:dyDescent="0.2">
      <c r="B22915" s="1168"/>
    </row>
    <row r="22916" spans="2:2" s="221" customFormat="1" ht="12.75" x14ac:dyDescent="0.2">
      <c r="B22916" s="1168"/>
    </row>
    <row r="22917" spans="2:2" s="221" customFormat="1" ht="12.75" x14ac:dyDescent="0.2">
      <c r="B22917" s="1168"/>
    </row>
    <row r="22918" spans="2:2" s="221" customFormat="1" ht="12.75" x14ac:dyDescent="0.2">
      <c r="B22918" s="1168"/>
    </row>
    <row r="22919" spans="2:2" s="221" customFormat="1" ht="12.75" x14ac:dyDescent="0.2">
      <c r="B22919" s="1168"/>
    </row>
    <row r="22920" spans="2:2" s="221" customFormat="1" ht="12.75" x14ac:dyDescent="0.2">
      <c r="B22920" s="1168"/>
    </row>
    <row r="22921" spans="2:2" s="221" customFormat="1" ht="12.75" x14ac:dyDescent="0.2">
      <c r="B22921" s="1168"/>
    </row>
    <row r="22922" spans="2:2" s="221" customFormat="1" ht="12.75" x14ac:dyDescent="0.2">
      <c r="B22922" s="1168"/>
    </row>
    <row r="22923" spans="2:2" s="221" customFormat="1" ht="12.75" x14ac:dyDescent="0.2">
      <c r="B22923" s="1168"/>
    </row>
    <row r="22924" spans="2:2" s="221" customFormat="1" ht="12.75" x14ac:dyDescent="0.2">
      <c r="B22924" s="1168"/>
    </row>
    <row r="22925" spans="2:2" s="221" customFormat="1" ht="12.75" x14ac:dyDescent="0.2">
      <c r="B22925" s="1168"/>
    </row>
    <row r="22926" spans="2:2" s="221" customFormat="1" ht="12.75" x14ac:dyDescent="0.2">
      <c r="B22926" s="1168"/>
    </row>
    <row r="22927" spans="2:2" s="221" customFormat="1" ht="12.75" x14ac:dyDescent="0.2">
      <c r="B22927" s="1168"/>
    </row>
    <row r="22928" spans="2:2" s="221" customFormat="1" ht="12.75" x14ac:dyDescent="0.2">
      <c r="B22928" s="1168"/>
    </row>
    <row r="22929" spans="2:2" s="221" customFormat="1" ht="12.75" x14ac:dyDescent="0.2">
      <c r="B22929" s="1168"/>
    </row>
    <row r="22930" spans="2:2" s="221" customFormat="1" ht="12.75" x14ac:dyDescent="0.2">
      <c r="B22930" s="1168"/>
    </row>
    <row r="22931" spans="2:2" s="221" customFormat="1" ht="12.75" x14ac:dyDescent="0.2">
      <c r="B22931" s="1168"/>
    </row>
    <row r="22932" spans="2:2" s="221" customFormat="1" ht="12.75" x14ac:dyDescent="0.2">
      <c r="B22932" s="1168"/>
    </row>
    <row r="22933" spans="2:2" s="221" customFormat="1" ht="12.75" x14ac:dyDescent="0.2">
      <c r="B22933" s="1168"/>
    </row>
    <row r="22934" spans="2:2" s="221" customFormat="1" ht="12.75" x14ac:dyDescent="0.2">
      <c r="B22934" s="1168"/>
    </row>
    <row r="22935" spans="2:2" s="221" customFormat="1" ht="12.75" x14ac:dyDescent="0.2">
      <c r="B22935" s="1168"/>
    </row>
    <row r="22936" spans="2:2" s="221" customFormat="1" ht="12.75" x14ac:dyDescent="0.2">
      <c r="B22936" s="1168"/>
    </row>
    <row r="22937" spans="2:2" s="221" customFormat="1" ht="12.75" x14ac:dyDescent="0.2">
      <c r="B22937" s="1168"/>
    </row>
    <row r="22938" spans="2:2" s="221" customFormat="1" ht="12.75" x14ac:dyDescent="0.2">
      <c r="B22938" s="1168"/>
    </row>
    <row r="22939" spans="2:2" s="221" customFormat="1" ht="12.75" x14ac:dyDescent="0.2">
      <c r="B22939" s="1168"/>
    </row>
    <row r="22940" spans="2:2" s="221" customFormat="1" ht="12.75" x14ac:dyDescent="0.2">
      <c r="B22940" s="1168"/>
    </row>
    <row r="22941" spans="2:2" s="221" customFormat="1" ht="12.75" x14ac:dyDescent="0.2">
      <c r="B22941" s="1168"/>
    </row>
    <row r="22942" spans="2:2" s="221" customFormat="1" ht="12.75" x14ac:dyDescent="0.2">
      <c r="B22942" s="1168"/>
    </row>
    <row r="22943" spans="2:2" s="221" customFormat="1" ht="12.75" x14ac:dyDescent="0.2">
      <c r="B22943" s="1168"/>
    </row>
    <row r="22944" spans="2:2" s="221" customFormat="1" ht="12.75" x14ac:dyDescent="0.2">
      <c r="B22944" s="1168"/>
    </row>
    <row r="22945" spans="2:2" s="221" customFormat="1" ht="12.75" x14ac:dyDescent="0.2">
      <c r="B22945" s="1168"/>
    </row>
    <row r="22946" spans="2:2" s="221" customFormat="1" ht="12.75" x14ac:dyDescent="0.2">
      <c r="B22946" s="1168"/>
    </row>
    <row r="22947" spans="2:2" s="221" customFormat="1" ht="12.75" x14ac:dyDescent="0.2">
      <c r="B22947" s="1168"/>
    </row>
    <row r="22948" spans="2:2" s="221" customFormat="1" ht="12.75" x14ac:dyDescent="0.2">
      <c r="B22948" s="1168"/>
    </row>
    <row r="22949" spans="2:2" s="221" customFormat="1" ht="12.75" x14ac:dyDescent="0.2">
      <c r="B22949" s="1168"/>
    </row>
    <row r="22950" spans="2:2" s="221" customFormat="1" ht="12.75" x14ac:dyDescent="0.2">
      <c r="B22950" s="1168"/>
    </row>
    <row r="22951" spans="2:2" s="221" customFormat="1" ht="12.75" x14ac:dyDescent="0.2">
      <c r="B22951" s="1168"/>
    </row>
    <row r="22952" spans="2:2" s="221" customFormat="1" ht="12.75" x14ac:dyDescent="0.2">
      <c r="B22952" s="1168"/>
    </row>
    <row r="22953" spans="2:2" s="221" customFormat="1" ht="12.75" x14ac:dyDescent="0.2">
      <c r="B22953" s="1168"/>
    </row>
    <row r="22954" spans="2:2" s="221" customFormat="1" ht="12.75" x14ac:dyDescent="0.2">
      <c r="B22954" s="1168"/>
    </row>
    <row r="22955" spans="2:2" s="221" customFormat="1" ht="12.75" x14ac:dyDescent="0.2">
      <c r="B22955" s="1168"/>
    </row>
    <row r="22956" spans="2:2" s="221" customFormat="1" ht="12.75" x14ac:dyDescent="0.2">
      <c r="B22956" s="1168"/>
    </row>
    <row r="22957" spans="2:2" s="221" customFormat="1" ht="12.75" x14ac:dyDescent="0.2">
      <c r="B22957" s="1168"/>
    </row>
    <row r="22958" spans="2:2" s="221" customFormat="1" ht="12.75" x14ac:dyDescent="0.2">
      <c r="B22958" s="1168"/>
    </row>
    <row r="22959" spans="2:2" s="221" customFormat="1" ht="12.75" x14ac:dyDescent="0.2">
      <c r="B22959" s="1168"/>
    </row>
    <row r="22960" spans="2:2" s="221" customFormat="1" ht="12.75" x14ac:dyDescent="0.2">
      <c r="B22960" s="1168"/>
    </row>
    <row r="22961" spans="2:2" s="221" customFormat="1" ht="12.75" x14ac:dyDescent="0.2">
      <c r="B22961" s="1168"/>
    </row>
    <row r="22962" spans="2:2" s="221" customFormat="1" ht="12.75" x14ac:dyDescent="0.2">
      <c r="B22962" s="1168"/>
    </row>
    <row r="22963" spans="2:2" s="221" customFormat="1" ht="12.75" x14ac:dyDescent="0.2">
      <c r="B22963" s="1168"/>
    </row>
    <row r="22964" spans="2:2" s="221" customFormat="1" ht="12.75" x14ac:dyDescent="0.2">
      <c r="B22964" s="1168"/>
    </row>
    <row r="22965" spans="2:2" s="221" customFormat="1" ht="12.75" x14ac:dyDescent="0.2">
      <c r="B22965" s="1168"/>
    </row>
    <row r="22966" spans="2:2" s="221" customFormat="1" ht="12.75" x14ac:dyDescent="0.2">
      <c r="B22966" s="1168"/>
    </row>
    <row r="22967" spans="2:2" s="221" customFormat="1" ht="12.75" x14ac:dyDescent="0.2">
      <c r="B22967" s="1168"/>
    </row>
    <row r="22968" spans="2:2" s="221" customFormat="1" ht="12.75" x14ac:dyDescent="0.2">
      <c r="B22968" s="1168"/>
    </row>
    <row r="22969" spans="2:2" s="221" customFormat="1" ht="12.75" x14ac:dyDescent="0.2">
      <c r="B22969" s="1168"/>
    </row>
    <row r="22970" spans="2:2" s="221" customFormat="1" ht="12.75" x14ac:dyDescent="0.2">
      <c r="B22970" s="1168"/>
    </row>
    <row r="22971" spans="2:2" s="221" customFormat="1" ht="12.75" x14ac:dyDescent="0.2">
      <c r="B22971" s="1168"/>
    </row>
    <row r="22972" spans="2:2" s="221" customFormat="1" ht="12.75" x14ac:dyDescent="0.2">
      <c r="B22972" s="1168"/>
    </row>
    <row r="22973" spans="2:2" s="221" customFormat="1" ht="12.75" x14ac:dyDescent="0.2">
      <c r="B22973" s="1168"/>
    </row>
    <row r="22974" spans="2:2" s="221" customFormat="1" ht="12.75" x14ac:dyDescent="0.2">
      <c r="B22974" s="1168"/>
    </row>
    <row r="22975" spans="2:2" s="221" customFormat="1" ht="12.75" x14ac:dyDescent="0.2">
      <c r="B22975" s="1168"/>
    </row>
    <row r="22976" spans="2:2" s="221" customFormat="1" ht="12.75" x14ac:dyDescent="0.2">
      <c r="B22976" s="1168"/>
    </row>
    <row r="22977" spans="2:2" s="221" customFormat="1" ht="12.75" x14ac:dyDescent="0.2">
      <c r="B22977" s="1168"/>
    </row>
    <row r="22978" spans="2:2" s="221" customFormat="1" ht="12.75" x14ac:dyDescent="0.2">
      <c r="B22978" s="1168"/>
    </row>
    <row r="22979" spans="2:2" s="221" customFormat="1" ht="12.75" x14ac:dyDescent="0.2">
      <c r="B22979" s="1168"/>
    </row>
    <row r="22980" spans="2:2" s="221" customFormat="1" ht="12.75" x14ac:dyDescent="0.2">
      <c r="B22980" s="1168"/>
    </row>
    <row r="22981" spans="2:2" s="221" customFormat="1" ht="12.75" x14ac:dyDescent="0.2">
      <c r="B22981" s="1168"/>
    </row>
    <row r="22982" spans="2:2" s="221" customFormat="1" ht="12.75" x14ac:dyDescent="0.2">
      <c r="B22982" s="1168"/>
    </row>
    <row r="22983" spans="2:2" s="221" customFormat="1" ht="12.75" x14ac:dyDescent="0.2">
      <c r="B22983" s="1168"/>
    </row>
    <row r="22984" spans="2:2" s="221" customFormat="1" ht="12.75" x14ac:dyDescent="0.2">
      <c r="B22984" s="1168"/>
    </row>
    <row r="22985" spans="2:2" s="221" customFormat="1" ht="12.75" x14ac:dyDescent="0.2">
      <c r="B22985" s="1168"/>
    </row>
    <row r="22986" spans="2:2" s="221" customFormat="1" ht="12.75" x14ac:dyDescent="0.2">
      <c r="B22986" s="1168"/>
    </row>
    <row r="22987" spans="2:2" s="221" customFormat="1" ht="12.75" x14ac:dyDescent="0.2">
      <c r="B22987" s="1168"/>
    </row>
    <row r="22988" spans="2:2" s="221" customFormat="1" ht="12.75" x14ac:dyDescent="0.2">
      <c r="B22988" s="1168"/>
    </row>
    <row r="22989" spans="2:2" s="221" customFormat="1" ht="12.75" x14ac:dyDescent="0.2">
      <c r="B22989" s="1168"/>
    </row>
    <row r="22990" spans="2:2" s="221" customFormat="1" ht="12.75" x14ac:dyDescent="0.2">
      <c r="B22990" s="1168"/>
    </row>
    <row r="22991" spans="2:2" s="221" customFormat="1" ht="12.75" x14ac:dyDescent="0.2">
      <c r="B22991" s="1168"/>
    </row>
    <row r="22992" spans="2:2" s="221" customFormat="1" ht="12.75" x14ac:dyDescent="0.2">
      <c r="B22992" s="1168"/>
    </row>
    <row r="22993" spans="2:2" s="221" customFormat="1" ht="12.75" x14ac:dyDescent="0.2">
      <c r="B22993" s="1168"/>
    </row>
    <row r="22994" spans="2:2" s="221" customFormat="1" ht="12.75" x14ac:dyDescent="0.2">
      <c r="B22994" s="1168"/>
    </row>
    <row r="22995" spans="2:2" s="221" customFormat="1" ht="12.75" x14ac:dyDescent="0.2">
      <c r="B22995" s="1168"/>
    </row>
    <row r="22996" spans="2:2" s="221" customFormat="1" ht="12.75" x14ac:dyDescent="0.2">
      <c r="B22996" s="1168"/>
    </row>
    <row r="22997" spans="2:2" s="221" customFormat="1" ht="12.75" x14ac:dyDescent="0.2">
      <c r="B22997" s="1168"/>
    </row>
    <row r="22998" spans="2:2" s="221" customFormat="1" ht="12.75" x14ac:dyDescent="0.2">
      <c r="B22998" s="1168"/>
    </row>
    <row r="22999" spans="2:2" s="221" customFormat="1" ht="12.75" x14ac:dyDescent="0.2">
      <c r="B22999" s="1168"/>
    </row>
    <row r="23000" spans="2:2" s="221" customFormat="1" ht="12.75" x14ac:dyDescent="0.2">
      <c r="B23000" s="1168"/>
    </row>
    <row r="23001" spans="2:2" s="221" customFormat="1" ht="12.75" x14ac:dyDescent="0.2">
      <c r="B23001" s="1168"/>
    </row>
    <row r="23002" spans="2:2" s="221" customFormat="1" ht="12.75" x14ac:dyDescent="0.2">
      <c r="B23002" s="1168"/>
    </row>
    <row r="23003" spans="2:2" s="221" customFormat="1" ht="12.75" x14ac:dyDescent="0.2">
      <c r="B23003" s="1168"/>
    </row>
    <row r="23004" spans="2:2" s="221" customFormat="1" ht="12.75" x14ac:dyDescent="0.2">
      <c r="B23004" s="1168"/>
    </row>
    <row r="23005" spans="2:2" s="221" customFormat="1" ht="12.75" x14ac:dyDescent="0.2">
      <c r="B23005" s="1168"/>
    </row>
    <row r="23006" spans="2:2" s="221" customFormat="1" ht="12.75" x14ac:dyDescent="0.2">
      <c r="B23006" s="1168"/>
    </row>
    <row r="23007" spans="2:2" s="221" customFormat="1" ht="12.75" x14ac:dyDescent="0.2">
      <c r="B23007" s="1168"/>
    </row>
    <row r="23008" spans="2:2" s="221" customFormat="1" ht="12.75" x14ac:dyDescent="0.2">
      <c r="B23008" s="1168"/>
    </row>
    <row r="23009" spans="2:2" s="221" customFormat="1" ht="12.75" x14ac:dyDescent="0.2">
      <c r="B23009" s="1168"/>
    </row>
    <row r="23010" spans="2:2" s="221" customFormat="1" ht="12.75" x14ac:dyDescent="0.2">
      <c r="B23010" s="1168"/>
    </row>
    <row r="23011" spans="2:2" s="221" customFormat="1" ht="12.75" x14ac:dyDescent="0.2">
      <c r="B23011" s="1168"/>
    </row>
    <row r="23012" spans="2:2" s="221" customFormat="1" ht="12.75" x14ac:dyDescent="0.2">
      <c r="B23012" s="1168"/>
    </row>
    <row r="23013" spans="2:2" s="221" customFormat="1" ht="12.75" x14ac:dyDescent="0.2">
      <c r="B23013" s="1168"/>
    </row>
    <row r="23014" spans="2:2" s="221" customFormat="1" ht="12.75" x14ac:dyDescent="0.2">
      <c r="B23014" s="1168"/>
    </row>
    <row r="23015" spans="2:2" s="221" customFormat="1" ht="12.75" x14ac:dyDescent="0.2">
      <c r="B23015" s="1168"/>
    </row>
    <row r="23016" spans="2:2" s="221" customFormat="1" ht="12.75" x14ac:dyDescent="0.2">
      <c r="B23016" s="1168"/>
    </row>
    <row r="23017" spans="2:2" s="221" customFormat="1" ht="12.75" x14ac:dyDescent="0.2">
      <c r="B23017" s="1168"/>
    </row>
    <row r="23018" spans="2:2" s="221" customFormat="1" ht="12.75" x14ac:dyDescent="0.2">
      <c r="B23018" s="1168"/>
    </row>
    <row r="23019" spans="2:2" s="221" customFormat="1" ht="12.75" x14ac:dyDescent="0.2">
      <c r="B23019" s="1168"/>
    </row>
    <row r="23020" spans="2:2" s="221" customFormat="1" ht="12.75" x14ac:dyDescent="0.2">
      <c r="B23020" s="1168"/>
    </row>
    <row r="23021" spans="2:2" s="221" customFormat="1" ht="12.75" x14ac:dyDescent="0.2">
      <c r="B23021" s="1168"/>
    </row>
    <row r="23022" spans="2:2" s="221" customFormat="1" ht="12.75" x14ac:dyDescent="0.2">
      <c r="B23022" s="1168"/>
    </row>
    <row r="23023" spans="2:2" s="221" customFormat="1" ht="12.75" x14ac:dyDescent="0.2">
      <c r="B23023" s="1168"/>
    </row>
    <row r="23024" spans="2:2" s="221" customFormat="1" ht="12.75" x14ac:dyDescent="0.2">
      <c r="B23024" s="1168"/>
    </row>
    <row r="23025" spans="2:2" s="221" customFormat="1" ht="12.75" x14ac:dyDescent="0.2">
      <c r="B23025" s="1168"/>
    </row>
    <row r="23026" spans="2:2" s="221" customFormat="1" ht="12.75" x14ac:dyDescent="0.2">
      <c r="B23026" s="1168"/>
    </row>
    <row r="23027" spans="2:2" s="221" customFormat="1" ht="12.75" x14ac:dyDescent="0.2">
      <c r="B23027" s="1168"/>
    </row>
    <row r="23028" spans="2:2" s="221" customFormat="1" ht="12.75" x14ac:dyDescent="0.2">
      <c r="B23028" s="1168"/>
    </row>
    <row r="23029" spans="2:2" s="221" customFormat="1" ht="12.75" x14ac:dyDescent="0.2">
      <c r="B23029" s="1168"/>
    </row>
    <row r="23030" spans="2:2" s="221" customFormat="1" ht="12.75" x14ac:dyDescent="0.2">
      <c r="B23030" s="1168"/>
    </row>
    <row r="23031" spans="2:2" s="221" customFormat="1" ht="12.75" x14ac:dyDescent="0.2">
      <c r="B23031" s="1168"/>
    </row>
    <row r="23032" spans="2:2" s="221" customFormat="1" ht="12.75" x14ac:dyDescent="0.2">
      <c r="B23032" s="1168"/>
    </row>
    <row r="23033" spans="2:2" s="221" customFormat="1" ht="12.75" x14ac:dyDescent="0.2">
      <c r="B23033" s="1168"/>
    </row>
    <row r="23034" spans="2:2" s="221" customFormat="1" ht="12.75" x14ac:dyDescent="0.2">
      <c r="B23034" s="1168"/>
    </row>
    <row r="23035" spans="2:2" s="221" customFormat="1" ht="12.75" x14ac:dyDescent="0.2">
      <c r="B23035" s="1168"/>
    </row>
    <row r="23036" spans="2:2" s="221" customFormat="1" ht="12.75" x14ac:dyDescent="0.2">
      <c r="B23036" s="1168"/>
    </row>
    <row r="23037" spans="2:2" s="221" customFormat="1" ht="12.75" x14ac:dyDescent="0.2">
      <c r="B23037" s="1168"/>
    </row>
    <row r="23038" spans="2:2" s="221" customFormat="1" ht="12.75" x14ac:dyDescent="0.2">
      <c r="B23038" s="1168"/>
    </row>
    <row r="23039" spans="2:2" s="221" customFormat="1" ht="12.75" x14ac:dyDescent="0.2">
      <c r="B23039" s="1168"/>
    </row>
    <row r="23040" spans="2:2" s="221" customFormat="1" ht="12.75" x14ac:dyDescent="0.2">
      <c r="B23040" s="1168"/>
    </row>
    <row r="23041" spans="2:2" s="221" customFormat="1" ht="12.75" x14ac:dyDescent="0.2">
      <c r="B23041" s="1168"/>
    </row>
    <row r="23042" spans="2:2" s="221" customFormat="1" ht="12.75" x14ac:dyDescent="0.2">
      <c r="B23042" s="1168"/>
    </row>
    <row r="23043" spans="2:2" s="221" customFormat="1" ht="12.75" x14ac:dyDescent="0.2">
      <c r="B23043" s="1168"/>
    </row>
    <row r="23044" spans="2:2" s="221" customFormat="1" ht="12.75" x14ac:dyDescent="0.2">
      <c r="B23044" s="1168"/>
    </row>
    <row r="23045" spans="2:2" s="221" customFormat="1" ht="12.75" x14ac:dyDescent="0.2">
      <c r="B23045" s="1168"/>
    </row>
    <row r="23046" spans="2:2" s="221" customFormat="1" ht="12.75" x14ac:dyDescent="0.2">
      <c r="B23046" s="1168"/>
    </row>
    <row r="23047" spans="2:2" s="221" customFormat="1" ht="12.75" x14ac:dyDescent="0.2">
      <c r="B23047" s="1168"/>
    </row>
    <row r="23048" spans="2:2" s="221" customFormat="1" ht="12.75" x14ac:dyDescent="0.2">
      <c r="B23048" s="1168"/>
    </row>
    <row r="23049" spans="2:2" s="221" customFormat="1" ht="12.75" x14ac:dyDescent="0.2">
      <c r="B23049" s="1168"/>
    </row>
    <row r="23050" spans="2:2" s="221" customFormat="1" ht="12.75" x14ac:dyDescent="0.2">
      <c r="B23050" s="1168"/>
    </row>
    <row r="23051" spans="2:2" s="221" customFormat="1" ht="12.75" x14ac:dyDescent="0.2">
      <c r="B23051" s="1168"/>
    </row>
    <row r="23052" spans="2:2" s="221" customFormat="1" ht="12.75" x14ac:dyDescent="0.2">
      <c r="B23052" s="1168"/>
    </row>
    <row r="23053" spans="2:2" s="221" customFormat="1" ht="12.75" x14ac:dyDescent="0.2">
      <c r="B23053" s="1168"/>
    </row>
    <row r="23054" spans="2:2" s="221" customFormat="1" ht="12.75" x14ac:dyDescent="0.2">
      <c r="B23054" s="1168"/>
    </row>
    <row r="23055" spans="2:2" s="221" customFormat="1" ht="12.75" x14ac:dyDescent="0.2">
      <c r="B23055" s="1168"/>
    </row>
    <row r="23056" spans="2:2" s="221" customFormat="1" ht="12.75" x14ac:dyDescent="0.2">
      <c r="B23056" s="1168"/>
    </row>
    <row r="23057" spans="2:2" s="221" customFormat="1" ht="12.75" x14ac:dyDescent="0.2">
      <c r="B23057" s="1168"/>
    </row>
    <row r="23058" spans="2:2" s="221" customFormat="1" ht="12.75" x14ac:dyDescent="0.2">
      <c r="B23058" s="1168"/>
    </row>
    <row r="23059" spans="2:2" s="221" customFormat="1" ht="12.75" x14ac:dyDescent="0.2">
      <c r="B23059" s="1168"/>
    </row>
    <row r="23060" spans="2:2" s="221" customFormat="1" ht="12.75" x14ac:dyDescent="0.2">
      <c r="B23060" s="1168"/>
    </row>
    <row r="23061" spans="2:2" s="221" customFormat="1" ht="12.75" x14ac:dyDescent="0.2">
      <c r="B23061" s="1168"/>
    </row>
    <row r="23062" spans="2:2" s="221" customFormat="1" ht="12.75" x14ac:dyDescent="0.2">
      <c r="B23062" s="1168"/>
    </row>
    <row r="23063" spans="2:2" s="221" customFormat="1" ht="12.75" x14ac:dyDescent="0.2">
      <c r="B23063" s="1168"/>
    </row>
    <row r="23064" spans="2:2" s="221" customFormat="1" ht="12.75" x14ac:dyDescent="0.2">
      <c r="B23064" s="1168"/>
    </row>
    <row r="23065" spans="2:2" s="221" customFormat="1" ht="12.75" x14ac:dyDescent="0.2">
      <c r="B23065" s="1168"/>
    </row>
    <row r="23066" spans="2:2" s="221" customFormat="1" ht="12.75" x14ac:dyDescent="0.2">
      <c r="B23066" s="1168"/>
    </row>
    <row r="23067" spans="2:2" s="221" customFormat="1" ht="12.75" x14ac:dyDescent="0.2">
      <c r="B23067" s="1168"/>
    </row>
    <row r="23068" spans="2:2" s="221" customFormat="1" ht="12.75" x14ac:dyDescent="0.2">
      <c r="B23068" s="1168"/>
    </row>
    <row r="23069" spans="2:2" s="221" customFormat="1" ht="12.75" x14ac:dyDescent="0.2">
      <c r="B23069" s="1168"/>
    </row>
    <row r="23070" spans="2:2" s="221" customFormat="1" ht="12.75" x14ac:dyDescent="0.2">
      <c r="B23070" s="1168"/>
    </row>
    <row r="23071" spans="2:2" s="221" customFormat="1" ht="12.75" x14ac:dyDescent="0.2">
      <c r="B23071" s="1168"/>
    </row>
    <row r="23072" spans="2:2" s="221" customFormat="1" ht="12.75" x14ac:dyDescent="0.2">
      <c r="B23072" s="1168"/>
    </row>
    <row r="23073" spans="2:2" s="221" customFormat="1" ht="12.75" x14ac:dyDescent="0.2">
      <c r="B23073" s="1168"/>
    </row>
    <row r="23074" spans="2:2" s="221" customFormat="1" ht="12.75" x14ac:dyDescent="0.2">
      <c r="B23074" s="1168"/>
    </row>
    <row r="23075" spans="2:2" s="221" customFormat="1" ht="12.75" x14ac:dyDescent="0.2">
      <c r="B23075" s="1168"/>
    </row>
    <row r="23076" spans="2:2" s="221" customFormat="1" ht="12.75" x14ac:dyDescent="0.2">
      <c r="B23076" s="1168"/>
    </row>
    <row r="23077" spans="2:2" s="221" customFormat="1" ht="12.75" x14ac:dyDescent="0.2">
      <c r="B23077" s="1168"/>
    </row>
    <row r="23078" spans="2:2" s="221" customFormat="1" ht="12.75" x14ac:dyDescent="0.2">
      <c r="B23078" s="1168"/>
    </row>
    <row r="23079" spans="2:2" s="221" customFormat="1" ht="12.75" x14ac:dyDescent="0.2">
      <c r="B23079" s="1168"/>
    </row>
    <row r="23080" spans="2:2" s="221" customFormat="1" ht="12.75" x14ac:dyDescent="0.2">
      <c r="B23080" s="1168"/>
    </row>
    <row r="23081" spans="2:2" s="221" customFormat="1" ht="12.75" x14ac:dyDescent="0.2">
      <c r="B23081" s="1168"/>
    </row>
    <row r="23082" spans="2:2" s="221" customFormat="1" ht="12.75" x14ac:dyDescent="0.2">
      <c r="B23082" s="1168"/>
    </row>
    <row r="23083" spans="2:2" s="221" customFormat="1" ht="12.75" x14ac:dyDescent="0.2">
      <c r="B23083" s="1168"/>
    </row>
    <row r="23084" spans="2:2" s="221" customFormat="1" ht="12.75" x14ac:dyDescent="0.2">
      <c r="B23084" s="1168"/>
    </row>
    <row r="23085" spans="2:2" s="221" customFormat="1" ht="12.75" x14ac:dyDescent="0.2">
      <c r="B23085" s="1168"/>
    </row>
    <row r="23086" spans="2:2" s="221" customFormat="1" ht="12.75" x14ac:dyDescent="0.2">
      <c r="B23086" s="1168"/>
    </row>
    <row r="23087" spans="2:2" s="221" customFormat="1" ht="12.75" x14ac:dyDescent="0.2">
      <c r="B23087" s="1168"/>
    </row>
    <row r="23088" spans="2:2" s="221" customFormat="1" ht="12.75" x14ac:dyDescent="0.2">
      <c r="B23088" s="1168"/>
    </row>
    <row r="23089" spans="2:2" s="221" customFormat="1" ht="12.75" x14ac:dyDescent="0.2">
      <c r="B23089" s="1168"/>
    </row>
    <row r="23090" spans="2:2" s="221" customFormat="1" ht="12.75" x14ac:dyDescent="0.2">
      <c r="B23090" s="1168"/>
    </row>
    <row r="23091" spans="2:2" s="221" customFormat="1" ht="12.75" x14ac:dyDescent="0.2">
      <c r="B23091" s="1168"/>
    </row>
    <row r="23092" spans="2:2" s="221" customFormat="1" ht="12.75" x14ac:dyDescent="0.2">
      <c r="B23092" s="1168"/>
    </row>
    <row r="23093" spans="2:2" s="221" customFormat="1" ht="12.75" x14ac:dyDescent="0.2">
      <c r="B23093" s="1168"/>
    </row>
    <row r="23094" spans="2:2" s="221" customFormat="1" ht="12.75" x14ac:dyDescent="0.2">
      <c r="B23094" s="1168"/>
    </row>
    <row r="23095" spans="2:2" s="221" customFormat="1" ht="12.75" x14ac:dyDescent="0.2">
      <c r="B23095" s="1168"/>
    </row>
    <row r="23096" spans="2:2" s="221" customFormat="1" ht="12.75" x14ac:dyDescent="0.2">
      <c r="B23096" s="1168"/>
    </row>
    <row r="23097" spans="2:2" s="221" customFormat="1" ht="12.75" x14ac:dyDescent="0.2">
      <c r="B23097" s="1168"/>
    </row>
    <row r="23098" spans="2:2" s="221" customFormat="1" ht="12.75" x14ac:dyDescent="0.2">
      <c r="B23098" s="1168"/>
    </row>
    <row r="23099" spans="2:2" s="221" customFormat="1" ht="12.75" x14ac:dyDescent="0.2">
      <c r="B23099" s="1168"/>
    </row>
    <row r="23100" spans="2:2" s="221" customFormat="1" ht="12.75" x14ac:dyDescent="0.2">
      <c r="B23100" s="1168"/>
    </row>
    <row r="23101" spans="2:2" s="221" customFormat="1" ht="12.75" x14ac:dyDescent="0.2">
      <c r="B23101" s="1168"/>
    </row>
    <row r="23102" spans="2:2" s="221" customFormat="1" ht="12.75" x14ac:dyDescent="0.2">
      <c r="B23102" s="1168"/>
    </row>
    <row r="23103" spans="2:2" s="221" customFormat="1" ht="12.75" x14ac:dyDescent="0.2">
      <c r="B23103" s="1168"/>
    </row>
    <row r="23104" spans="2:2" s="221" customFormat="1" ht="12.75" x14ac:dyDescent="0.2">
      <c r="B23104" s="1168"/>
    </row>
    <row r="23105" spans="2:2" s="221" customFormat="1" ht="12.75" x14ac:dyDescent="0.2">
      <c r="B23105" s="1168"/>
    </row>
    <row r="23106" spans="2:2" s="221" customFormat="1" ht="12.75" x14ac:dyDescent="0.2">
      <c r="B23106" s="1168"/>
    </row>
    <row r="23107" spans="2:2" s="221" customFormat="1" ht="12.75" x14ac:dyDescent="0.2">
      <c r="B23107" s="1168"/>
    </row>
    <row r="23108" spans="2:2" s="221" customFormat="1" ht="12.75" x14ac:dyDescent="0.2">
      <c r="B23108" s="1168"/>
    </row>
    <row r="23109" spans="2:2" s="221" customFormat="1" ht="12.75" x14ac:dyDescent="0.2">
      <c r="B23109" s="1168"/>
    </row>
    <row r="23110" spans="2:2" s="221" customFormat="1" ht="12.75" x14ac:dyDescent="0.2">
      <c r="B23110" s="1168"/>
    </row>
    <row r="23111" spans="2:2" s="221" customFormat="1" ht="12.75" x14ac:dyDescent="0.2">
      <c r="B23111" s="1168"/>
    </row>
    <row r="23112" spans="2:2" s="221" customFormat="1" ht="12.75" x14ac:dyDescent="0.2">
      <c r="B23112" s="1168"/>
    </row>
    <row r="23113" spans="2:2" s="221" customFormat="1" ht="12.75" x14ac:dyDescent="0.2">
      <c r="B23113" s="1168"/>
    </row>
    <row r="23114" spans="2:2" s="221" customFormat="1" ht="12.75" x14ac:dyDescent="0.2">
      <c r="B23114" s="1168"/>
    </row>
    <row r="23115" spans="2:2" s="221" customFormat="1" ht="12.75" x14ac:dyDescent="0.2">
      <c r="B23115" s="1168"/>
    </row>
    <row r="23116" spans="2:2" s="221" customFormat="1" ht="12.75" x14ac:dyDescent="0.2">
      <c r="B23116" s="1168"/>
    </row>
    <row r="23117" spans="2:2" s="221" customFormat="1" ht="12.75" x14ac:dyDescent="0.2">
      <c r="B23117" s="1168"/>
    </row>
    <row r="23118" spans="2:2" s="221" customFormat="1" ht="12.75" x14ac:dyDescent="0.2">
      <c r="B23118" s="1168"/>
    </row>
    <row r="23119" spans="2:2" s="221" customFormat="1" ht="12.75" x14ac:dyDescent="0.2">
      <c r="B23119" s="1168"/>
    </row>
    <row r="23120" spans="2:2" s="221" customFormat="1" ht="12.75" x14ac:dyDescent="0.2">
      <c r="B23120" s="1168"/>
    </row>
    <row r="23121" spans="2:2" s="221" customFormat="1" ht="12.75" x14ac:dyDescent="0.2">
      <c r="B23121" s="1168"/>
    </row>
    <row r="23122" spans="2:2" s="221" customFormat="1" ht="12.75" x14ac:dyDescent="0.2">
      <c r="B23122" s="1168"/>
    </row>
    <row r="23123" spans="2:2" s="221" customFormat="1" ht="12.75" x14ac:dyDescent="0.2">
      <c r="B23123" s="1168"/>
    </row>
    <row r="23124" spans="2:2" s="221" customFormat="1" ht="12.75" x14ac:dyDescent="0.2">
      <c r="B23124" s="1168"/>
    </row>
    <row r="23125" spans="2:2" s="221" customFormat="1" ht="12.75" x14ac:dyDescent="0.2">
      <c r="B23125" s="1168"/>
    </row>
    <row r="23126" spans="2:2" s="221" customFormat="1" ht="12.75" x14ac:dyDescent="0.2">
      <c r="B23126" s="1168"/>
    </row>
    <row r="23127" spans="2:2" s="221" customFormat="1" ht="12.75" x14ac:dyDescent="0.2">
      <c r="B23127" s="1168"/>
    </row>
    <row r="23128" spans="2:2" s="221" customFormat="1" ht="12.75" x14ac:dyDescent="0.2">
      <c r="B23128" s="1168"/>
    </row>
    <row r="23129" spans="2:2" s="221" customFormat="1" ht="12.75" x14ac:dyDescent="0.2">
      <c r="B23129" s="1168"/>
    </row>
    <row r="23130" spans="2:2" s="221" customFormat="1" ht="12.75" x14ac:dyDescent="0.2">
      <c r="B23130" s="1168"/>
    </row>
    <row r="23131" spans="2:2" s="221" customFormat="1" ht="12.75" x14ac:dyDescent="0.2">
      <c r="B23131" s="1168"/>
    </row>
    <row r="23132" spans="2:2" s="221" customFormat="1" ht="12.75" x14ac:dyDescent="0.2">
      <c r="B23132" s="1168"/>
    </row>
    <row r="23133" spans="2:2" s="221" customFormat="1" ht="12.75" x14ac:dyDescent="0.2">
      <c r="B23133" s="1168"/>
    </row>
    <row r="23134" spans="2:2" s="221" customFormat="1" ht="12.75" x14ac:dyDescent="0.2">
      <c r="B23134" s="1168"/>
    </row>
    <row r="23135" spans="2:2" s="221" customFormat="1" ht="12.75" x14ac:dyDescent="0.2">
      <c r="B23135" s="1168"/>
    </row>
    <row r="23136" spans="2:2" s="221" customFormat="1" ht="12.75" x14ac:dyDescent="0.2">
      <c r="B23136" s="1168"/>
    </row>
    <row r="23137" spans="2:2" s="221" customFormat="1" ht="12.75" x14ac:dyDescent="0.2">
      <c r="B23137" s="1168"/>
    </row>
    <row r="23138" spans="2:2" s="221" customFormat="1" ht="12.75" x14ac:dyDescent="0.2">
      <c r="B23138" s="1168"/>
    </row>
    <row r="23139" spans="2:2" s="221" customFormat="1" ht="12.75" x14ac:dyDescent="0.2">
      <c r="B23139" s="1168"/>
    </row>
    <row r="23140" spans="2:2" s="221" customFormat="1" ht="12.75" x14ac:dyDescent="0.2">
      <c r="B23140" s="1168"/>
    </row>
    <row r="23141" spans="2:2" s="221" customFormat="1" ht="12.75" x14ac:dyDescent="0.2">
      <c r="B23141" s="1168"/>
    </row>
    <row r="23142" spans="2:2" s="221" customFormat="1" ht="12.75" x14ac:dyDescent="0.2">
      <c r="B23142" s="1168"/>
    </row>
    <row r="23143" spans="2:2" s="221" customFormat="1" ht="12.75" x14ac:dyDescent="0.2">
      <c r="B23143" s="1168"/>
    </row>
    <row r="23144" spans="2:2" s="221" customFormat="1" ht="12.75" x14ac:dyDescent="0.2">
      <c r="B23144" s="1168"/>
    </row>
    <row r="23145" spans="2:2" s="221" customFormat="1" ht="12.75" x14ac:dyDescent="0.2">
      <c r="B23145" s="1168"/>
    </row>
    <row r="23146" spans="2:2" s="221" customFormat="1" ht="12.75" x14ac:dyDescent="0.2">
      <c r="B23146" s="1168"/>
    </row>
    <row r="23147" spans="2:2" s="221" customFormat="1" ht="12.75" x14ac:dyDescent="0.2">
      <c r="B23147" s="1168"/>
    </row>
    <row r="23148" spans="2:2" s="221" customFormat="1" ht="12.75" x14ac:dyDescent="0.2">
      <c r="B23148" s="1168"/>
    </row>
    <row r="23149" spans="2:2" s="221" customFormat="1" ht="12.75" x14ac:dyDescent="0.2">
      <c r="B23149" s="1168"/>
    </row>
    <row r="23150" spans="2:2" s="221" customFormat="1" ht="12.75" x14ac:dyDescent="0.2">
      <c r="B23150" s="1168"/>
    </row>
    <row r="23151" spans="2:2" s="221" customFormat="1" ht="12.75" x14ac:dyDescent="0.2">
      <c r="B23151" s="1168"/>
    </row>
    <row r="23152" spans="2:2" s="221" customFormat="1" ht="12.75" x14ac:dyDescent="0.2">
      <c r="B23152" s="1168"/>
    </row>
    <row r="23153" spans="2:2" s="221" customFormat="1" ht="12.75" x14ac:dyDescent="0.2">
      <c r="B23153" s="1168"/>
    </row>
    <row r="23154" spans="2:2" s="221" customFormat="1" ht="12.75" x14ac:dyDescent="0.2">
      <c r="B23154" s="1168"/>
    </row>
    <row r="23155" spans="2:2" s="221" customFormat="1" ht="12.75" x14ac:dyDescent="0.2">
      <c r="B23155" s="1168"/>
    </row>
    <row r="23156" spans="2:2" s="221" customFormat="1" ht="12.75" x14ac:dyDescent="0.2">
      <c r="B23156" s="1168"/>
    </row>
    <row r="23157" spans="2:2" s="221" customFormat="1" ht="12.75" x14ac:dyDescent="0.2">
      <c r="B23157" s="1168"/>
    </row>
    <row r="23158" spans="2:2" s="221" customFormat="1" ht="12.75" x14ac:dyDescent="0.2">
      <c r="B23158" s="1168"/>
    </row>
    <row r="23159" spans="2:2" s="221" customFormat="1" ht="12.75" x14ac:dyDescent="0.2">
      <c r="B23159" s="1168"/>
    </row>
    <row r="23160" spans="2:2" s="221" customFormat="1" ht="12.75" x14ac:dyDescent="0.2">
      <c r="B23160" s="1168"/>
    </row>
    <row r="23161" spans="2:2" s="221" customFormat="1" ht="12.75" x14ac:dyDescent="0.2">
      <c r="B23161" s="1168"/>
    </row>
    <row r="23162" spans="2:2" s="221" customFormat="1" ht="12.75" x14ac:dyDescent="0.2">
      <c r="B23162" s="1168"/>
    </row>
    <row r="23163" spans="2:2" s="221" customFormat="1" ht="12.75" x14ac:dyDescent="0.2">
      <c r="B23163" s="1168"/>
    </row>
    <row r="23164" spans="2:2" s="221" customFormat="1" ht="12.75" x14ac:dyDescent="0.2">
      <c r="B23164" s="1168"/>
    </row>
    <row r="23165" spans="2:2" s="221" customFormat="1" ht="12.75" x14ac:dyDescent="0.2">
      <c r="B23165" s="1168"/>
    </row>
    <row r="23166" spans="2:2" s="221" customFormat="1" ht="12.75" x14ac:dyDescent="0.2">
      <c r="B23166" s="1168"/>
    </row>
    <row r="23167" spans="2:2" s="221" customFormat="1" ht="12.75" x14ac:dyDescent="0.2">
      <c r="B23167" s="1168"/>
    </row>
    <row r="23168" spans="2:2" s="221" customFormat="1" ht="12.75" x14ac:dyDescent="0.2">
      <c r="B23168" s="1168"/>
    </row>
    <row r="23169" spans="2:2" s="221" customFormat="1" ht="12.75" x14ac:dyDescent="0.2">
      <c r="B23169" s="1168"/>
    </row>
    <row r="23170" spans="2:2" s="221" customFormat="1" ht="12.75" x14ac:dyDescent="0.2">
      <c r="B23170" s="1168"/>
    </row>
    <row r="23171" spans="2:2" s="221" customFormat="1" ht="12.75" x14ac:dyDescent="0.2">
      <c r="B23171" s="1168"/>
    </row>
    <row r="23172" spans="2:2" s="221" customFormat="1" ht="12.75" x14ac:dyDescent="0.2">
      <c r="B23172" s="1168"/>
    </row>
    <row r="23173" spans="2:2" s="221" customFormat="1" ht="12.75" x14ac:dyDescent="0.2">
      <c r="B23173" s="1168"/>
    </row>
    <row r="23174" spans="2:2" s="221" customFormat="1" ht="12.75" x14ac:dyDescent="0.2">
      <c r="B23174" s="1168"/>
    </row>
    <row r="23175" spans="2:2" s="221" customFormat="1" ht="12.75" x14ac:dyDescent="0.2">
      <c r="B23175" s="1168"/>
    </row>
    <row r="23176" spans="2:2" s="221" customFormat="1" ht="12.75" x14ac:dyDescent="0.2">
      <c r="B23176" s="1168"/>
    </row>
    <row r="23177" spans="2:2" s="221" customFormat="1" ht="12.75" x14ac:dyDescent="0.2">
      <c r="B23177" s="1168"/>
    </row>
    <row r="23178" spans="2:2" s="221" customFormat="1" ht="12.75" x14ac:dyDescent="0.2">
      <c r="B23178" s="1168"/>
    </row>
    <row r="23179" spans="2:2" s="221" customFormat="1" ht="12.75" x14ac:dyDescent="0.2">
      <c r="B23179" s="1168"/>
    </row>
    <row r="23180" spans="2:2" s="221" customFormat="1" ht="12.75" x14ac:dyDescent="0.2">
      <c r="B23180" s="1168"/>
    </row>
    <row r="23181" spans="2:2" s="221" customFormat="1" ht="12.75" x14ac:dyDescent="0.2">
      <c r="B23181" s="1168"/>
    </row>
    <row r="23182" spans="2:2" s="221" customFormat="1" ht="12.75" x14ac:dyDescent="0.2">
      <c r="B23182" s="1168"/>
    </row>
    <row r="23183" spans="2:2" s="221" customFormat="1" ht="12.75" x14ac:dyDescent="0.2">
      <c r="B23183" s="1168"/>
    </row>
    <row r="23184" spans="2:2" s="221" customFormat="1" ht="12.75" x14ac:dyDescent="0.2">
      <c r="B23184" s="1168"/>
    </row>
    <row r="23185" spans="2:2" s="221" customFormat="1" ht="12.75" x14ac:dyDescent="0.2">
      <c r="B23185" s="1168"/>
    </row>
    <row r="23186" spans="2:2" s="221" customFormat="1" ht="12.75" x14ac:dyDescent="0.2">
      <c r="B23186" s="1168"/>
    </row>
    <row r="23187" spans="2:2" s="221" customFormat="1" ht="12.75" x14ac:dyDescent="0.2">
      <c r="B23187" s="1168"/>
    </row>
    <row r="23188" spans="2:2" s="221" customFormat="1" ht="12.75" x14ac:dyDescent="0.2">
      <c r="B23188" s="1168"/>
    </row>
    <row r="23189" spans="2:2" s="221" customFormat="1" ht="12.75" x14ac:dyDescent="0.2">
      <c r="B23189" s="1168"/>
    </row>
    <row r="23190" spans="2:2" s="221" customFormat="1" ht="12.75" x14ac:dyDescent="0.2">
      <c r="B23190" s="1168"/>
    </row>
    <row r="23191" spans="2:2" s="221" customFormat="1" ht="12.75" x14ac:dyDescent="0.2">
      <c r="B23191" s="1168"/>
    </row>
    <row r="23192" spans="2:2" s="221" customFormat="1" ht="12.75" x14ac:dyDescent="0.2">
      <c r="B23192" s="1168"/>
    </row>
    <row r="23193" spans="2:2" s="221" customFormat="1" ht="12.75" x14ac:dyDescent="0.2">
      <c r="B23193" s="1168"/>
    </row>
    <row r="23194" spans="2:2" s="221" customFormat="1" ht="12.75" x14ac:dyDescent="0.2">
      <c r="B23194" s="1168"/>
    </row>
    <row r="23195" spans="2:2" s="221" customFormat="1" ht="12.75" x14ac:dyDescent="0.2">
      <c r="B23195" s="1168"/>
    </row>
    <row r="23196" spans="2:2" s="221" customFormat="1" ht="12.75" x14ac:dyDescent="0.2">
      <c r="B23196" s="1168"/>
    </row>
    <row r="23197" spans="2:2" s="221" customFormat="1" ht="12.75" x14ac:dyDescent="0.2">
      <c r="B23197" s="1168"/>
    </row>
    <row r="23198" spans="2:2" s="221" customFormat="1" ht="12.75" x14ac:dyDescent="0.2">
      <c r="B23198" s="1168"/>
    </row>
    <row r="23199" spans="2:2" s="221" customFormat="1" ht="12.75" x14ac:dyDescent="0.2">
      <c r="B23199" s="1168"/>
    </row>
    <row r="23200" spans="2:2" s="221" customFormat="1" ht="12.75" x14ac:dyDescent="0.2">
      <c r="B23200" s="1168"/>
    </row>
    <row r="23201" spans="2:2" s="221" customFormat="1" ht="12.75" x14ac:dyDescent="0.2">
      <c r="B23201" s="1168"/>
    </row>
    <row r="23202" spans="2:2" s="221" customFormat="1" ht="12.75" x14ac:dyDescent="0.2">
      <c r="B23202" s="1168"/>
    </row>
    <row r="23203" spans="2:2" s="221" customFormat="1" ht="12.75" x14ac:dyDescent="0.2">
      <c r="B23203" s="1168"/>
    </row>
    <row r="23204" spans="2:2" s="221" customFormat="1" ht="12.75" x14ac:dyDescent="0.2">
      <c r="B23204" s="1168"/>
    </row>
    <row r="23205" spans="2:2" s="221" customFormat="1" ht="12.75" x14ac:dyDescent="0.2">
      <c r="B23205" s="1168"/>
    </row>
    <row r="23206" spans="2:2" s="221" customFormat="1" ht="12.75" x14ac:dyDescent="0.2">
      <c r="B23206" s="1168"/>
    </row>
    <row r="23207" spans="2:2" s="221" customFormat="1" ht="12.75" x14ac:dyDescent="0.2">
      <c r="B23207" s="1168"/>
    </row>
    <row r="23208" spans="2:2" s="221" customFormat="1" ht="12.75" x14ac:dyDescent="0.2">
      <c r="B23208" s="1168"/>
    </row>
    <row r="23209" spans="2:2" s="221" customFormat="1" ht="12.75" x14ac:dyDescent="0.2">
      <c r="B23209" s="1168"/>
    </row>
    <row r="23210" spans="2:2" s="221" customFormat="1" ht="12.75" x14ac:dyDescent="0.2">
      <c r="B23210" s="1168"/>
    </row>
    <row r="23211" spans="2:2" s="221" customFormat="1" ht="12.75" x14ac:dyDescent="0.2">
      <c r="B23211" s="1168"/>
    </row>
    <row r="23212" spans="2:2" s="221" customFormat="1" ht="12.75" x14ac:dyDescent="0.2">
      <c r="B23212" s="1168"/>
    </row>
    <row r="23213" spans="2:2" s="221" customFormat="1" ht="12.75" x14ac:dyDescent="0.2">
      <c r="B23213" s="1168"/>
    </row>
    <row r="23214" spans="2:2" s="221" customFormat="1" ht="12.75" x14ac:dyDescent="0.2">
      <c r="B23214" s="1168"/>
    </row>
    <row r="23215" spans="2:2" s="221" customFormat="1" ht="12.75" x14ac:dyDescent="0.2">
      <c r="B23215" s="1168"/>
    </row>
    <row r="23216" spans="2:2" s="221" customFormat="1" ht="12.75" x14ac:dyDescent="0.2">
      <c r="B23216" s="1168"/>
    </row>
    <row r="23217" spans="2:2" s="221" customFormat="1" ht="12.75" x14ac:dyDescent="0.2">
      <c r="B23217" s="1168"/>
    </row>
    <row r="23218" spans="2:2" s="221" customFormat="1" ht="12.75" x14ac:dyDescent="0.2">
      <c r="B23218" s="1168"/>
    </row>
    <row r="23219" spans="2:2" s="221" customFormat="1" ht="12.75" x14ac:dyDescent="0.2">
      <c r="B23219" s="1168"/>
    </row>
    <row r="23220" spans="2:2" s="221" customFormat="1" ht="12.75" x14ac:dyDescent="0.2">
      <c r="B23220" s="1168"/>
    </row>
    <row r="23221" spans="2:2" s="221" customFormat="1" ht="12.75" x14ac:dyDescent="0.2">
      <c r="B23221" s="1168"/>
    </row>
    <row r="23222" spans="2:2" s="221" customFormat="1" ht="12.75" x14ac:dyDescent="0.2">
      <c r="B23222" s="1168"/>
    </row>
    <row r="23223" spans="2:2" s="221" customFormat="1" ht="12.75" x14ac:dyDescent="0.2">
      <c r="B23223" s="1168"/>
    </row>
    <row r="23224" spans="2:2" s="221" customFormat="1" ht="12.75" x14ac:dyDescent="0.2">
      <c r="B23224" s="1168"/>
    </row>
    <row r="23225" spans="2:2" s="221" customFormat="1" ht="12.75" x14ac:dyDescent="0.2">
      <c r="B23225" s="1168"/>
    </row>
    <row r="23226" spans="2:2" s="221" customFormat="1" ht="12.75" x14ac:dyDescent="0.2">
      <c r="B23226" s="1168"/>
    </row>
    <row r="23227" spans="2:2" s="221" customFormat="1" ht="12.75" x14ac:dyDescent="0.2">
      <c r="B23227" s="1168"/>
    </row>
    <row r="23228" spans="2:2" s="221" customFormat="1" ht="12.75" x14ac:dyDescent="0.2">
      <c r="B23228" s="1168"/>
    </row>
    <row r="23229" spans="2:2" s="221" customFormat="1" ht="12.75" x14ac:dyDescent="0.2">
      <c r="B23229" s="1168"/>
    </row>
    <row r="23230" spans="2:2" s="221" customFormat="1" ht="12.75" x14ac:dyDescent="0.2">
      <c r="B23230" s="1168"/>
    </row>
    <row r="23231" spans="2:2" s="221" customFormat="1" ht="12.75" x14ac:dyDescent="0.2">
      <c r="B23231" s="1168"/>
    </row>
    <row r="23232" spans="2:2" s="221" customFormat="1" ht="12.75" x14ac:dyDescent="0.2">
      <c r="B23232" s="1168"/>
    </row>
    <row r="23233" spans="2:2" s="221" customFormat="1" ht="12.75" x14ac:dyDescent="0.2">
      <c r="B23233" s="1168"/>
    </row>
    <row r="23234" spans="2:2" s="221" customFormat="1" ht="12.75" x14ac:dyDescent="0.2">
      <c r="B23234" s="1168"/>
    </row>
    <row r="23235" spans="2:2" s="221" customFormat="1" ht="12.75" x14ac:dyDescent="0.2">
      <c r="B23235" s="1168"/>
    </row>
    <row r="23236" spans="2:2" s="221" customFormat="1" ht="12.75" x14ac:dyDescent="0.2">
      <c r="B23236" s="1168"/>
    </row>
    <row r="23237" spans="2:2" s="221" customFormat="1" ht="12.75" x14ac:dyDescent="0.2">
      <c r="B23237" s="1168"/>
    </row>
    <row r="23238" spans="2:2" s="221" customFormat="1" ht="12.75" x14ac:dyDescent="0.2">
      <c r="B23238" s="1168"/>
    </row>
    <row r="23239" spans="2:2" s="221" customFormat="1" ht="12.75" x14ac:dyDescent="0.2">
      <c r="B23239" s="1168"/>
    </row>
    <row r="23240" spans="2:2" s="221" customFormat="1" ht="12.75" x14ac:dyDescent="0.2">
      <c r="B23240" s="1168"/>
    </row>
    <row r="23241" spans="2:2" s="221" customFormat="1" ht="12.75" x14ac:dyDescent="0.2">
      <c r="B23241" s="1168"/>
    </row>
    <row r="23242" spans="2:2" s="221" customFormat="1" ht="12.75" x14ac:dyDescent="0.2">
      <c r="B23242" s="1168"/>
    </row>
    <row r="23243" spans="2:2" s="221" customFormat="1" ht="12.75" x14ac:dyDescent="0.2">
      <c r="B23243" s="1168"/>
    </row>
    <row r="23244" spans="2:2" s="221" customFormat="1" ht="12.75" x14ac:dyDescent="0.2">
      <c r="B23244" s="1168"/>
    </row>
    <row r="23245" spans="2:2" s="221" customFormat="1" ht="12.75" x14ac:dyDescent="0.2">
      <c r="B23245" s="1168"/>
    </row>
    <row r="23246" spans="2:2" s="221" customFormat="1" ht="12.75" x14ac:dyDescent="0.2">
      <c r="B23246" s="1168"/>
    </row>
    <row r="23247" spans="2:2" s="221" customFormat="1" ht="12.75" x14ac:dyDescent="0.2">
      <c r="B23247" s="1168"/>
    </row>
    <row r="23248" spans="2:2" s="221" customFormat="1" ht="12.75" x14ac:dyDescent="0.2">
      <c r="B23248" s="1168"/>
    </row>
    <row r="23249" spans="2:2" s="221" customFormat="1" ht="12.75" x14ac:dyDescent="0.2">
      <c r="B23249" s="1168"/>
    </row>
    <row r="23250" spans="2:2" s="221" customFormat="1" ht="12.75" x14ac:dyDescent="0.2">
      <c r="B23250" s="1168"/>
    </row>
    <row r="23251" spans="2:2" s="221" customFormat="1" ht="12.75" x14ac:dyDescent="0.2">
      <c r="B23251" s="1168"/>
    </row>
    <row r="23252" spans="2:2" s="221" customFormat="1" ht="12.75" x14ac:dyDescent="0.2">
      <c r="B23252" s="1168"/>
    </row>
    <row r="23253" spans="2:2" s="221" customFormat="1" ht="12.75" x14ac:dyDescent="0.2">
      <c r="B23253" s="1168"/>
    </row>
    <row r="23254" spans="2:2" s="221" customFormat="1" ht="12.75" x14ac:dyDescent="0.2">
      <c r="B23254" s="1168"/>
    </row>
    <row r="23255" spans="2:2" s="221" customFormat="1" ht="12.75" x14ac:dyDescent="0.2">
      <c r="B23255" s="1168"/>
    </row>
    <row r="23256" spans="2:2" s="221" customFormat="1" ht="12.75" x14ac:dyDescent="0.2">
      <c r="B23256" s="1168"/>
    </row>
    <row r="23257" spans="2:2" s="221" customFormat="1" ht="12.75" x14ac:dyDescent="0.2">
      <c r="B23257" s="1168"/>
    </row>
    <row r="23258" spans="2:2" s="221" customFormat="1" ht="12.75" x14ac:dyDescent="0.2">
      <c r="B23258" s="1168"/>
    </row>
    <row r="23259" spans="2:2" s="221" customFormat="1" ht="12.75" x14ac:dyDescent="0.2">
      <c r="B23259" s="1168"/>
    </row>
    <row r="23260" spans="2:2" s="221" customFormat="1" ht="12.75" x14ac:dyDescent="0.2">
      <c r="B23260" s="1168"/>
    </row>
    <row r="23261" spans="2:2" s="221" customFormat="1" ht="12.75" x14ac:dyDescent="0.2">
      <c r="B23261" s="1168"/>
    </row>
    <row r="23262" spans="2:2" s="221" customFormat="1" ht="12.75" x14ac:dyDescent="0.2">
      <c r="B23262" s="1168"/>
    </row>
    <row r="23263" spans="2:2" s="221" customFormat="1" ht="12.75" x14ac:dyDescent="0.2">
      <c r="B23263" s="1168"/>
    </row>
    <row r="23264" spans="2:2" s="221" customFormat="1" ht="12.75" x14ac:dyDescent="0.2">
      <c r="B23264" s="1168"/>
    </row>
    <row r="23265" spans="2:2" s="221" customFormat="1" ht="12.75" x14ac:dyDescent="0.2">
      <c r="B23265" s="1168"/>
    </row>
    <row r="23266" spans="2:2" s="221" customFormat="1" ht="12.75" x14ac:dyDescent="0.2">
      <c r="B23266" s="1168"/>
    </row>
    <row r="23267" spans="2:2" s="221" customFormat="1" ht="12.75" x14ac:dyDescent="0.2">
      <c r="B23267" s="1168"/>
    </row>
    <row r="23268" spans="2:2" s="221" customFormat="1" ht="12.75" x14ac:dyDescent="0.2">
      <c r="B23268" s="1168"/>
    </row>
    <row r="23269" spans="2:2" s="221" customFormat="1" ht="12.75" x14ac:dyDescent="0.2">
      <c r="B23269" s="1168"/>
    </row>
    <row r="23270" spans="2:2" s="221" customFormat="1" ht="12.75" x14ac:dyDescent="0.2">
      <c r="B23270" s="1168"/>
    </row>
    <row r="23271" spans="2:2" s="221" customFormat="1" ht="12.75" x14ac:dyDescent="0.2">
      <c r="B23271" s="1168"/>
    </row>
    <row r="23272" spans="2:2" s="221" customFormat="1" ht="12.75" x14ac:dyDescent="0.2">
      <c r="B23272" s="1168"/>
    </row>
    <row r="23273" spans="2:2" s="221" customFormat="1" ht="12.75" x14ac:dyDescent="0.2">
      <c r="B23273" s="1168"/>
    </row>
    <row r="23274" spans="2:2" s="221" customFormat="1" ht="12.75" x14ac:dyDescent="0.2">
      <c r="B23274" s="1168"/>
    </row>
    <row r="23275" spans="2:2" s="221" customFormat="1" ht="12.75" x14ac:dyDescent="0.2">
      <c r="B23275" s="1168"/>
    </row>
    <row r="23276" spans="2:2" s="221" customFormat="1" ht="12.75" x14ac:dyDescent="0.2">
      <c r="B23276" s="1168"/>
    </row>
    <row r="23277" spans="2:2" s="221" customFormat="1" ht="12.75" x14ac:dyDescent="0.2">
      <c r="B23277" s="1168"/>
    </row>
    <row r="23278" spans="2:2" s="221" customFormat="1" ht="12.75" x14ac:dyDescent="0.2">
      <c r="B23278" s="1168"/>
    </row>
    <row r="23279" spans="2:2" s="221" customFormat="1" ht="12.75" x14ac:dyDescent="0.2">
      <c r="B23279" s="1168"/>
    </row>
    <row r="23280" spans="2:2" s="221" customFormat="1" ht="12.75" x14ac:dyDescent="0.2">
      <c r="B23280" s="1168"/>
    </row>
    <row r="23281" spans="2:2" s="221" customFormat="1" ht="12.75" x14ac:dyDescent="0.2">
      <c r="B23281" s="1168"/>
    </row>
    <row r="23282" spans="2:2" s="221" customFormat="1" ht="12.75" x14ac:dyDescent="0.2">
      <c r="B23282" s="1168"/>
    </row>
    <row r="23283" spans="2:2" s="221" customFormat="1" ht="12.75" x14ac:dyDescent="0.2">
      <c r="B23283" s="1168"/>
    </row>
    <row r="23284" spans="2:2" s="221" customFormat="1" ht="12.75" x14ac:dyDescent="0.2">
      <c r="B23284" s="1168"/>
    </row>
    <row r="23285" spans="2:2" s="221" customFormat="1" ht="12.75" x14ac:dyDescent="0.2">
      <c r="B23285" s="1168"/>
    </row>
    <row r="23286" spans="2:2" s="221" customFormat="1" ht="12.75" x14ac:dyDescent="0.2">
      <c r="B23286" s="1168"/>
    </row>
    <row r="23287" spans="2:2" s="221" customFormat="1" ht="12.75" x14ac:dyDescent="0.2">
      <c r="B23287" s="1168"/>
    </row>
    <row r="23288" spans="2:2" s="221" customFormat="1" ht="12.75" x14ac:dyDescent="0.2">
      <c r="B23288" s="1168"/>
    </row>
    <row r="23289" spans="2:2" s="221" customFormat="1" ht="12.75" x14ac:dyDescent="0.2">
      <c r="B23289" s="1168"/>
    </row>
    <row r="23290" spans="2:2" s="221" customFormat="1" ht="12.75" x14ac:dyDescent="0.2">
      <c r="B23290" s="1168"/>
    </row>
    <row r="23291" spans="2:2" s="221" customFormat="1" ht="12.75" x14ac:dyDescent="0.2">
      <c r="B23291" s="1168"/>
    </row>
    <row r="23292" spans="2:2" s="221" customFormat="1" ht="12.75" x14ac:dyDescent="0.2">
      <c r="B23292" s="1168"/>
    </row>
    <row r="23293" spans="2:2" s="221" customFormat="1" ht="12.75" x14ac:dyDescent="0.2">
      <c r="B23293" s="1168"/>
    </row>
    <row r="23294" spans="2:2" s="221" customFormat="1" ht="12.75" x14ac:dyDescent="0.2">
      <c r="B23294" s="1168"/>
    </row>
    <row r="23295" spans="2:2" s="221" customFormat="1" ht="12.75" x14ac:dyDescent="0.2">
      <c r="B23295" s="1168"/>
    </row>
    <row r="23296" spans="2:2" s="221" customFormat="1" ht="12.75" x14ac:dyDescent="0.2">
      <c r="B23296" s="1168"/>
    </row>
    <row r="23297" spans="2:2" s="221" customFormat="1" ht="12.75" x14ac:dyDescent="0.2">
      <c r="B23297" s="1168"/>
    </row>
    <row r="23298" spans="2:2" s="221" customFormat="1" ht="12.75" x14ac:dyDescent="0.2">
      <c r="B23298" s="1168"/>
    </row>
    <row r="23299" spans="2:2" s="221" customFormat="1" ht="12.75" x14ac:dyDescent="0.2">
      <c r="B23299" s="1168"/>
    </row>
    <row r="23300" spans="2:2" s="221" customFormat="1" ht="12.75" x14ac:dyDescent="0.2">
      <c r="B23300" s="1168"/>
    </row>
    <row r="23301" spans="2:2" s="221" customFormat="1" ht="12.75" x14ac:dyDescent="0.2">
      <c r="B23301" s="1168"/>
    </row>
    <row r="23302" spans="2:2" s="221" customFormat="1" ht="12.75" x14ac:dyDescent="0.2">
      <c r="B23302" s="1168"/>
    </row>
    <row r="23303" spans="2:2" s="221" customFormat="1" ht="12.75" x14ac:dyDescent="0.2">
      <c r="B23303" s="1168"/>
    </row>
    <row r="23304" spans="2:2" s="221" customFormat="1" ht="12.75" x14ac:dyDescent="0.2">
      <c r="B23304" s="1168"/>
    </row>
    <row r="23305" spans="2:2" s="221" customFormat="1" ht="12.75" x14ac:dyDescent="0.2">
      <c r="B23305" s="1168"/>
    </row>
    <row r="23306" spans="2:2" s="221" customFormat="1" ht="12.75" x14ac:dyDescent="0.2">
      <c r="B23306" s="1168"/>
    </row>
    <row r="23307" spans="2:2" s="221" customFormat="1" ht="12.75" x14ac:dyDescent="0.2">
      <c r="B23307" s="1168"/>
    </row>
    <row r="23308" spans="2:2" s="221" customFormat="1" ht="12.75" x14ac:dyDescent="0.2">
      <c r="B23308" s="1168"/>
    </row>
    <row r="23309" spans="2:2" s="221" customFormat="1" ht="12.75" x14ac:dyDescent="0.2">
      <c r="B23309" s="1168"/>
    </row>
    <row r="23310" spans="2:2" s="221" customFormat="1" ht="12.75" x14ac:dyDescent="0.2">
      <c r="B23310" s="1168"/>
    </row>
    <row r="23311" spans="2:2" s="221" customFormat="1" ht="12.75" x14ac:dyDescent="0.2">
      <c r="B23311" s="1168"/>
    </row>
    <row r="23312" spans="2:2" s="221" customFormat="1" ht="12.75" x14ac:dyDescent="0.2">
      <c r="B23312" s="1168"/>
    </row>
    <row r="23313" spans="2:2" s="221" customFormat="1" ht="12.75" x14ac:dyDescent="0.2">
      <c r="B23313" s="1168"/>
    </row>
    <row r="23314" spans="2:2" s="221" customFormat="1" ht="12.75" x14ac:dyDescent="0.2">
      <c r="B23314" s="1168"/>
    </row>
    <row r="23315" spans="2:2" s="221" customFormat="1" ht="12.75" x14ac:dyDescent="0.2">
      <c r="B23315" s="1168"/>
    </row>
    <row r="23316" spans="2:2" s="221" customFormat="1" ht="12.75" x14ac:dyDescent="0.2">
      <c r="B23316" s="1168"/>
    </row>
    <row r="23317" spans="2:2" s="221" customFormat="1" ht="12.75" x14ac:dyDescent="0.2">
      <c r="B23317" s="1168"/>
    </row>
    <row r="23318" spans="2:2" s="221" customFormat="1" ht="12.75" x14ac:dyDescent="0.2">
      <c r="B23318" s="1168"/>
    </row>
    <row r="23319" spans="2:2" s="221" customFormat="1" ht="12.75" x14ac:dyDescent="0.2">
      <c r="B23319" s="1168"/>
    </row>
    <row r="23320" spans="2:2" s="221" customFormat="1" ht="12.75" x14ac:dyDescent="0.2">
      <c r="B23320" s="1168"/>
    </row>
    <row r="23321" spans="2:2" s="221" customFormat="1" ht="12.75" x14ac:dyDescent="0.2">
      <c r="B23321" s="1168"/>
    </row>
    <row r="23322" spans="2:2" s="221" customFormat="1" ht="12.75" x14ac:dyDescent="0.2">
      <c r="B23322" s="1168"/>
    </row>
    <row r="23323" spans="2:2" s="221" customFormat="1" ht="12.75" x14ac:dyDescent="0.2">
      <c r="B23323" s="1168"/>
    </row>
    <row r="23324" spans="2:2" s="221" customFormat="1" ht="12.75" x14ac:dyDescent="0.2">
      <c r="B23324" s="1168"/>
    </row>
    <row r="23325" spans="2:2" s="221" customFormat="1" ht="12.75" x14ac:dyDescent="0.2">
      <c r="B23325" s="1168"/>
    </row>
    <row r="23326" spans="2:2" s="221" customFormat="1" ht="12.75" x14ac:dyDescent="0.2">
      <c r="B23326" s="1168"/>
    </row>
    <row r="23327" spans="2:2" s="221" customFormat="1" ht="12.75" x14ac:dyDescent="0.2">
      <c r="B23327" s="1168"/>
    </row>
    <row r="23328" spans="2:2" s="221" customFormat="1" ht="12.75" x14ac:dyDescent="0.2">
      <c r="B23328" s="1168"/>
    </row>
    <row r="23329" spans="2:2" s="221" customFormat="1" ht="12.75" x14ac:dyDescent="0.2">
      <c r="B23329" s="1168"/>
    </row>
    <row r="23330" spans="2:2" s="221" customFormat="1" ht="12.75" x14ac:dyDescent="0.2">
      <c r="B23330" s="1168"/>
    </row>
    <row r="23331" spans="2:2" s="221" customFormat="1" ht="12.75" x14ac:dyDescent="0.2">
      <c r="B23331" s="1168"/>
    </row>
    <row r="23332" spans="2:2" s="221" customFormat="1" ht="12.75" x14ac:dyDescent="0.2">
      <c r="B23332" s="1168"/>
    </row>
    <row r="23333" spans="2:2" s="221" customFormat="1" ht="12.75" x14ac:dyDescent="0.2">
      <c r="B23333" s="1168"/>
    </row>
    <row r="23334" spans="2:2" s="221" customFormat="1" ht="12.75" x14ac:dyDescent="0.2">
      <c r="B23334" s="1168"/>
    </row>
    <row r="23335" spans="2:2" s="221" customFormat="1" ht="12.75" x14ac:dyDescent="0.2">
      <c r="B23335" s="1168"/>
    </row>
    <row r="23336" spans="2:2" s="221" customFormat="1" ht="12.75" x14ac:dyDescent="0.2">
      <c r="B23336" s="1168"/>
    </row>
    <row r="23337" spans="2:2" s="221" customFormat="1" ht="12.75" x14ac:dyDescent="0.2">
      <c r="B23337" s="1168"/>
    </row>
    <row r="23338" spans="2:2" s="221" customFormat="1" ht="12.75" x14ac:dyDescent="0.2">
      <c r="B23338" s="1168"/>
    </row>
    <row r="23339" spans="2:2" s="221" customFormat="1" ht="12.75" x14ac:dyDescent="0.2">
      <c r="B23339" s="1168"/>
    </row>
    <row r="23340" spans="2:2" s="221" customFormat="1" ht="12.75" x14ac:dyDescent="0.2">
      <c r="B23340" s="1168"/>
    </row>
    <row r="23341" spans="2:2" s="221" customFormat="1" ht="12.75" x14ac:dyDescent="0.2">
      <c r="B23341" s="1168"/>
    </row>
    <row r="23342" spans="2:2" s="221" customFormat="1" ht="12.75" x14ac:dyDescent="0.2">
      <c r="B23342" s="1168"/>
    </row>
    <row r="23343" spans="2:2" s="221" customFormat="1" ht="12.75" x14ac:dyDescent="0.2">
      <c r="B23343" s="1168"/>
    </row>
    <row r="23344" spans="2:2" s="221" customFormat="1" ht="12.75" x14ac:dyDescent="0.2">
      <c r="B23344" s="1168"/>
    </row>
    <row r="23345" spans="2:2" s="221" customFormat="1" ht="12.75" x14ac:dyDescent="0.2">
      <c r="B23345" s="1168"/>
    </row>
    <row r="23346" spans="2:2" s="221" customFormat="1" ht="12.75" x14ac:dyDescent="0.2">
      <c r="B23346" s="1168"/>
    </row>
    <row r="23347" spans="2:2" s="221" customFormat="1" ht="12.75" x14ac:dyDescent="0.2">
      <c r="B23347" s="1168"/>
    </row>
    <row r="23348" spans="2:2" s="221" customFormat="1" ht="12.75" x14ac:dyDescent="0.2">
      <c r="B23348" s="1168"/>
    </row>
    <row r="23349" spans="2:2" s="221" customFormat="1" ht="12.75" x14ac:dyDescent="0.2">
      <c r="B23349" s="1168"/>
    </row>
    <row r="23350" spans="2:2" s="221" customFormat="1" ht="12.75" x14ac:dyDescent="0.2">
      <c r="B23350" s="1168"/>
    </row>
    <row r="23351" spans="2:2" s="221" customFormat="1" ht="12.75" x14ac:dyDescent="0.2">
      <c r="B23351" s="1168"/>
    </row>
    <row r="23352" spans="2:2" s="221" customFormat="1" ht="12.75" x14ac:dyDescent="0.2">
      <c r="B23352" s="1168"/>
    </row>
    <row r="23353" spans="2:2" s="221" customFormat="1" ht="12.75" x14ac:dyDescent="0.2">
      <c r="B23353" s="1168"/>
    </row>
    <row r="23354" spans="2:2" s="221" customFormat="1" ht="12.75" x14ac:dyDescent="0.2">
      <c r="B23354" s="1168"/>
    </row>
    <row r="23355" spans="2:2" s="221" customFormat="1" ht="12.75" x14ac:dyDescent="0.2">
      <c r="B23355" s="1168"/>
    </row>
    <row r="23356" spans="2:2" s="221" customFormat="1" ht="12.75" x14ac:dyDescent="0.2">
      <c r="B23356" s="1168"/>
    </row>
    <row r="23357" spans="2:2" s="221" customFormat="1" ht="12.75" x14ac:dyDescent="0.2">
      <c r="B23357" s="1168"/>
    </row>
    <row r="23358" spans="2:2" s="221" customFormat="1" ht="12.75" x14ac:dyDescent="0.2">
      <c r="B23358" s="1168"/>
    </row>
    <row r="23359" spans="2:2" s="221" customFormat="1" ht="12.75" x14ac:dyDescent="0.2">
      <c r="B23359" s="1168"/>
    </row>
    <row r="23360" spans="2:2" s="221" customFormat="1" ht="12.75" x14ac:dyDescent="0.2">
      <c r="B23360" s="1168"/>
    </row>
    <row r="23361" spans="2:2" s="221" customFormat="1" ht="12.75" x14ac:dyDescent="0.2">
      <c r="B23361" s="1168"/>
    </row>
    <row r="23362" spans="2:2" s="221" customFormat="1" ht="12.75" x14ac:dyDescent="0.2">
      <c r="B23362" s="1168"/>
    </row>
    <row r="23363" spans="2:2" s="221" customFormat="1" ht="12.75" x14ac:dyDescent="0.2">
      <c r="B23363" s="1168"/>
    </row>
    <row r="23364" spans="2:2" s="221" customFormat="1" ht="12.75" x14ac:dyDescent="0.2">
      <c r="B23364" s="1168"/>
    </row>
    <row r="23365" spans="2:2" s="221" customFormat="1" ht="12.75" x14ac:dyDescent="0.2">
      <c r="B23365" s="1168"/>
    </row>
    <row r="23366" spans="2:2" s="221" customFormat="1" ht="12.75" x14ac:dyDescent="0.2">
      <c r="B23366" s="1168"/>
    </row>
    <row r="23367" spans="2:2" s="221" customFormat="1" ht="12.75" x14ac:dyDescent="0.2">
      <c r="B23367" s="1168"/>
    </row>
    <row r="23368" spans="2:2" s="221" customFormat="1" ht="12.75" x14ac:dyDescent="0.2">
      <c r="B23368" s="1168"/>
    </row>
    <row r="23369" spans="2:2" s="221" customFormat="1" ht="12.75" x14ac:dyDescent="0.2">
      <c r="B23369" s="1168"/>
    </row>
    <row r="23370" spans="2:2" s="221" customFormat="1" ht="12.75" x14ac:dyDescent="0.2">
      <c r="B23370" s="1168"/>
    </row>
    <row r="23371" spans="2:2" s="221" customFormat="1" ht="12.75" x14ac:dyDescent="0.2">
      <c r="B23371" s="1168"/>
    </row>
    <row r="23372" spans="2:2" s="221" customFormat="1" ht="12.75" x14ac:dyDescent="0.2">
      <c r="B23372" s="1168"/>
    </row>
    <row r="23373" spans="2:2" s="221" customFormat="1" ht="12.75" x14ac:dyDescent="0.2">
      <c r="B23373" s="1168"/>
    </row>
    <row r="23374" spans="2:2" s="221" customFormat="1" ht="12.75" x14ac:dyDescent="0.2">
      <c r="B23374" s="1168"/>
    </row>
    <row r="23375" spans="2:2" s="221" customFormat="1" ht="12.75" x14ac:dyDescent="0.2">
      <c r="B23375" s="1168"/>
    </row>
    <row r="23376" spans="2:2" s="221" customFormat="1" ht="12.75" x14ac:dyDescent="0.2">
      <c r="B23376" s="1168"/>
    </row>
    <row r="23377" spans="2:2" s="221" customFormat="1" ht="12.75" x14ac:dyDescent="0.2">
      <c r="B23377" s="1168"/>
    </row>
    <row r="23378" spans="2:2" s="221" customFormat="1" ht="12.75" x14ac:dyDescent="0.2">
      <c r="B23378" s="1168"/>
    </row>
    <row r="23379" spans="2:2" s="221" customFormat="1" ht="12.75" x14ac:dyDescent="0.2">
      <c r="B23379" s="1168"/>
    </row>
    <row r="23380" spans="2:2" s="221" customFormat="1" ht="12.75" x14ac:dyDescent="0.2">
      <c r="B23380" s="1168"/>
    </row>
    <row r="23381" spans="2:2" s="221" customFormat="1" ht="12.75" x14ac:dyDescent="0.2">
      <c r="B23381" s="1168"/>
    </row>
    <row r="23382" spans="2:2" s="221" customFormat="1" ht="12.75" x14ac:dyDescent="0.2">
      <c r="B23382" s="1168"/>
    </row>
    <row r="23383" spans="2:2" s="221" customFormat="1" ht="12.75" x14ac:dyDescent="0.2">
      <c r="B23383" s="1168"/>
    </row>
    <row r="23384" spans="2:2" s="221" customFormat="1" ht="12.75" x14ac:dyDescent="0.2">
      <c r="B23384" s="1168"/>
    </row>
    <row r="23385" spans="2:2" s="221" customFormat="1" ht="12.75" x14ac:dyDescent="0.2">
      <c r="B23385" s="1168"/>
    </row>
    <row r="23386" spans="2:2" s="221" customFormat="1" ht="12.75" x14ac:dyDescent="0.2">
      <c r="B23386" s="1168"/>
    </row>
    <row r="23387" spans="2:2" s="221" customFormat="1" ht="12.75" x14ac:dyDescent="0.2">
      <c r="B23387" s="1168"/>
    </row>
    <row r="23388" spans="2:2" s="221" customFormat="1" ht="12.75" x14ac:dyDescent="0.2">
      <c r="B23388" s="1168"/>
    </row>
    <row r="23389" spans="2:2" s="221" customFormat="1" ht="12.75" x14ac:dyDescent="0.2">
      <c r="B23389" s="1168"/>
    </row>
    <row r="23390" spans="2:2" s="221" customFormat="1" ht="12.75" x14ac:dyDescent="0.2">
      <c r="B23390" s="1168"/>
    </row>
    <row r="23391" spans="2:2" s="221" customFormat="1" ht="12.75" x14ac:dyDescent="0.2">
      <c r="B23391" s="1168"/>
    </row>
    <row r="23392" spans="2:2" s="221" customFormat="1" ht="12.75" x14ac:dyDescent="0.2">
      <c r="B23392" s="1168"/>
    </row>
    <row r="23393" spans="2:2" s="221" customFormat="1" ht="12.75" x14ac:dyDescent="0.2">
      <c r="B23393" s="1168"/>
    </row>
    <row r="23394" spans="2:2" s="221" customFormat="1" ht="12.75" x14ac:dyDescent="0.2">
      <c r="B23394" s="1168"/>
    </row>
    <row r="23395" spans="2:2" s="221" customFormat="1" ht="12.75" x14ac:dyDescent="0.2">
      <c r="B23395" s="1168"/>
    </row>
    <row r="23396" spans="2:2" s="221" customFormat="1" ht="12.75" x14ac:dyDescent="0.2">
      <c r="B23396" s="1168"/>
    </row>
    <row r="23397" spans="2:2" s="221" customFormat="1" ht="12.75" x14ac:dyDescent="0.2">
      <c r="B23397" s="1168"/>
    </row>
    <row r="23398" spans="2:2" s="221" customFormat="1" ht="12.75" x14ac:dyDescent="0.2">
      <c r="B23398" s="1168"/>
    </row>
    <row r="23399" spans="2:2" s="221" customFormat="1" ht="12.75" x14ac:dyDescent="0.2">
      <c r="B23399" s="1168"/>
    </row>
    <row r="23400" spans="2:2" s="221" customFormat="1" ht="12.75" x14ac:dyDescent="0.2">
      <c r="B23400" s="1168"/>
    </row>
    <row r="23401" spans="2:2" s="221" customFormat="1" ht="12.75" x14ac:dyDescent="0.2">
      <c r="B23401" s="1168"/>
    </row>
    <row r="23402" spans="2:2" s="221" customFormat="1" ht="12.75" x14ac:dyDescent="0.2">
      <c r="B23402" s="1168"/>
    </row>
    <row r="23403" spans="2:2" s="221" customFormat="1" ht="12.75" x14ac:dyDescent="0.2">
      <c r="B23403" s="1168"/>
    </row>
    <row r="23404" spans="2:2" s="221" customFormat="1" ht="12.75" x14ac:dyDescent="0.2">
      <c r="B23404" s="1168"/>
    </row>
    <row r="23405" spans="2:2" s="221" customFormat="1" ht="12.75" x14ac:dyDescent="0.2">
      <c r="B23405" s="1168"/>
    </row>
    <row r="23406" spans="2:2" s="221" customFormat="1" ht="12.75" x14ac:dyDescent="0.2">
      <c r="B23406" s="1168"/>
    </row>
    <row r="23407" spans="2:2" s="221" customFormat="1" ht="12.75" x14ac:dyDescent="0.2">
      <c r="B23407" s="1168"/>
    </row>
    <row r="23408" spans="2:2" s="221" customFormat="1" ht="12.75" x14ac:dyDescent="0.2">
      <c r="B23408" s="1168"/>
    </row>
    <row r="23409" spans="2:2" s="221" customFormat="1" ht="12.75" x14ac:dyDescent="0.2">
      <c r="B23409" s="1168"/>
    </row>
    <row r="23410" spans="2:2" s="221" customFormat="1" ht="12.75" x14ac:dyDescent="0.2">
      <c r="B23410" s="1168"/>
    </row>
    <row r="23411" spans="2:2" s="221" customFormat="1" ht="12.75" x14ac:dyDescent="0.2">
      <c r="B23411" s="1168"/>
    </row>
    <row r="23412" spans="2:2" s="221" customFormat="1" ht="12.75" x14ac:dyDescent="0.2">
      <c r="B23412" s="1168"/>
    </row>
    <row r="23413" spans="2:2" s="221" customFormat="1" ht="12.75" x14ac:dyDescent="0.2">
      <c r="B23413" s="1168"/>
    </row>
    <row r="23414" spans="2:2" s="221" customFormat="1" ht="12.75" x14ac:dyDescent="0.2">
      <c r="B23414" s="1168"/>
    </row>
    <row r="23415" spans="2:2" s="221" customFormat="1" ht="12.75" x14ac:dyDescent="0.2">
      <c r="B23415" s="1168"/>
    </row>
    <row r="23416" spans="2:2" s="221" customFormat="1" ht="12.75" x14ac:dyDescent="0.2">
      <c r="B23416" s="1168"/>
    </row>
    <row r="23417" spans="2:2" s="221" customFormat="1" ht="12.75" x14ac:dyDescent="0.2">
      <c r="B23417" s="1168"/>
    </row>
    <row r="23418" spans="2:2" s="221" customFormat="1" ht="12.75" x14ac:dyDescent="0.2">
      <c r="B23418" s="1168"/>
    </row>
    <row r="23419" spans="2:2" s="221" customFormat="1" ht="12.75" x14ac:dyDescent="0.2">
      <c r="B23419" s="1168"/>
    </row>
    <row r="23420" spans="2:2" s="221" customFormat="1" ht="12.75" x14ac:dyDescent="0.2">
      <c r="B23420" s="1168"/>
    </row>
    <row r="23421" spans="2:2" s="221" customFormat="1" ht="12.75" x14ac:dyDescent="0.2">
      <c r="B23421" s="1168"/>
    </row>
    <row r="23422" spans="2:2" s="221" customFormat="1" ht="12.75" x14ac:dyDescent="0.2">
      <c r="B23422" s="1168"/>
    </row>
    <row r="23423" spans="2:2" s="221" customFormat="1" ht="12.75" x14ac:dyDescent="0.2">
      <c r="B23423" s="1168"/>
    </row>
    <row r="23424" spans="2:2" s="221" customFormat="1" ht="12.75" x14ac:dyDescent="0.2">
      <c r="B23424" s="1168"/>
    </row>
    <row r="23425" spans="2:2" s="221" customFormat="1" ht="12.75" x14ac:dyDescent="0.2">
      <c r="B23425" s="1168"/>
    </row>
    <row r="23426" spans="2:2" s="221" customFormat="1" ht="12.75" x14ac:dyDescent="0.2">
      <c r="B23426" s="1168"/>
    </row>
    <row r="23427" spans="2:2" s="221" customFormat="1" ht="12.75" x14ac:dyDescent="0.2">
      <c r="B23427" s="1168"/>
    </row>
    <row r="23428" spans="2:2" s="221" customFormat="1" ht="12.75" x14ac:dyDescent="0.2">
      <c r="B23428" s="1168"/>
    </row>
    <row r="23429" spans="2:2" s="221" customFormat="1" ht="12.75" x14ac:dyDescent="0.2">
      <c r="B23429" s="1168"/>
    </row>
    <row r="23430" spans="2:2" s="221" customFormat="1" ht="12.75" x14ac:dyDescent="0.2">
      <c r="B23430" s="1168"/>
    </row>
    <row r="23431" spans="2:2" s="221" customFormat="1" ht="12.75" x14ac:dyDescent="0.2">
      <c r="B23431" s="1168"/>
    </row>
    <row r="23432" spans="2:2" s="221" customFormat="1" ht="12.75" x14ac:dyDescent="0.2">
      <c r="B23432" s="1168"/>
    </row>
    <row r="23433" spans="2:2" s="221" customFormat="1" ht="12.75" x14ac:dyDescent="0.2">
      <c r="B23433" s="1168"/>
    </row>
    <row r="23434" spans="2:2" s="221" customFormat="1" ht="12.75" x14ac:dyDescent="0.2">
      <c r="B23434" s="1168"/>
    </row>
    <row r="23435" spans="2:2" s="221" customFormat="1" ht="12.75" x14ac:dyDescent="0.2">
      <c r="B23435" s="1168"/>
    </row>
    <row r="23436" spans="2:2" s="221" customFormat="1" ht="12.75" x14ac:dyDescent="0.2">
      <c r="B23436" s="1168"/>
    </row>
    <row r="23437" spans="2:2" s="221" customFormat="1" ht="12.75" x14ac:dyDescent="0.2">
      <c r="B23437" s="1168"/>
    </row>
    <row r="23438" spans="2:2" s="221" customFormat="1" ht="12.75" x14ac:dyDescent="0.2">
      <c r="B23438" s="1168"/>
    </row>
    <row r="23439" spans="2:2" s="221" customFormat="1" ht="12.75" x14ac:dyDescent="0.2">
      <c r="B23439" s="1168"/>
    </row>
    <row r="23440" spans="2:2" s="221" customFormat="1" ht="12.75" x14ac:dyDescent="0.2">
      <c r="B23440" s="1168"/>
    </row>
    <row r="23441" spans="2:2" s="221" customFormat="1" ht="12.75" x14ac:dyDescent="0.2">
      <c r="B23441" s="1168"/>
    </row>
    <row r="23442" spans="2:2" s="221" customFormat="1" ht="12.75" x14ac:dyDescent="0.2">
      <c r="B23442" s="1168"/>
    </row>
    <row r="23443" spans="2:2" s="221" customFormat="1" ht="12.75" x14ac:dyDescent="0.2">
      <c r="B23443" s="1168"/>
    </row>
    <row r="23444" spans="2:2" s="221" customFormat="1" ht="12.75" x14ac:dyDescent="0.2">
      <c r="B23444" s="1168"/>
    </row>
    <row r="23445" spans="2:2" s="221" customFormat="1" ht="12.75" x14ac:dyDescent="0.2">
      <c r="B23445" s="1168"/>
    </row>
    <row r="23446" spans="2:2" s="221" customFormat="1" ht="12.75" x14ac:dyDescent="0.2">
      <c r="B23446" s="1168"/>
    </row>
    <row r="23447" spans="2:2" s="221" customFormat="1" ht="12.75" x14ac:dyDescent="0.2">
      <c r="B23447" s="1168"/>
    </row>
    <row r="23448" spans="2:2" s="221" customFormat="1" ht="12.75" x14ac:dyDescent="0.2">
      <c r="B23448" s="1168"/>
    </row>
    <row r="23449" spans="2:2" s="221" customFormat="1" ht="12.75" x14ac:dyDescent="0.2">
      <c r="B23449" s="1168"/>
    </row>
    <row r="23450" spans="2:2" s="221" customFormat="1" ht="12.75" x14ac:dyDescent="0.2">
      <c r="B23450" s="1168"/>
    </row>
    <row r="23451" spans="2:2" s="221" customFormat="1" ht="12.75" x14ac:dyDescent="0.2">
      <c r="B23451" s="1168"/>
    </row>
    <row r="23452" spans="2:2" s="221" customFormat="1" ht="12.75" x14ac:dyDescent="0.2">
      <c r="B23452" s="1168"/>
    </row>
    <row r="23453" spans="2:2" s="221" customFormat="1" ht="12.75" x14ac:dyDescent="0.2">
      <c r="B23453" s="1168"/>
    </row>
    <row r="23454" spans="2:2" s="221" customFormat="1" ht="12.75" x14ac:dyDescent="0.2">
      <c r="B23454" s="1168"/>
    </row>
    <row r="23455" spans="2:2" s="221" customFormat="1" ht="12.75" x14ac:dyDescent="0.2">
      <c r="B23455" s="1168"/>
    </row>
    <row r="23456" spans="2:2" s="221" customFormat="1" ht="12.75" x14ac:dyDescent="0.2">
      <c r="B23456" s="1168"/>
    </row>
    <row r="23457" spans="2:2" s="221" customFormat="1" ht="12.75" x14ac:dyDescent="0.2">
      <c r="B23457" s="1168"/>
    </row>
    <row r="23458" spans="2:2" s="221" customFormat="1" ht="12.75" x14ac:dyDescent="0.2">
      <c r="B23458" s="1168"/>
    </row>
    <row r="23459" spans="2:2" s="221" customFormat="1" ht="12.75" x14ac:dyDescent="0.2">
      <c r="B23459" s="1168"/>
    </row>
    <row r="23460" spans="2:2" s="221" customFormat="1" ht="12.75" x14ac:dyDescent="0.2">
      <c r="B23460" s="1168"/>
    </row>
    <row r="23461" spans="2:2" s="221" customFormat="1" ht="12.75" x14ac:dyDescent="0.2">
      <c r="B23461" s="1168"/>
    </row>
    <row r="23462" spans="2:2" s="221" customFormat="1" ht="12.75" x14ac:dyDescent="0.2">
      <c r="B23462" s="1168"/>
    </row>
    <row r="23463" spans="2:2" s="221" customFormat="1" ht="12.75" x14ac:dyDescent="0.2">
      <c r="B23463" s="1168"/>
    </row>
    <row r="23464" spans="2:2" s="221" customFormat="1" ht="12.75" x14ac:dyDescent="0.2">
      <c r="B23464" s="1168"/>
    </row>
    <row r="23465" spans="2:2" s="221" customFormat="1" ht="12.75" x14ac:dyDescent="0.2">
      <c r="B23465" s="1168"/>
    </row>
    <row r="23466" spans="2:2" s="221" customFormat="1" ht="12.75" x14ac:dyDescent="0.2">
      <c r="B23466" s="1168"/>
    </row>
    <row r="23467" spans="2:2" s="221" customFormat="1" ht="12.75" x14ac:dyDescent="0.2">
      <c r="B23467" s="1168"/>
    </row>
    <row r="23468" spans="2:2" s="221" customFormat="1" ht="12.75" x14ac:dyDescent="0.2">
      <c r="B23468" s="1168"/>
    </row>
    <row r="23469" spans="2:2" s="221" customFormat="1" ht="12.75" x14ac:dyDescent="0.2">
      <c r="B23469" s="1168"/>
    </row>
    <row r="23470" spans="2:2" s="221" customFormat="1" ht="12.75" x14ac:dyDescent="0.2">
      <c r="B23470" s="1168"/>
    </row>
    <row r="23471" spans="2:2" s="221" customFormat="1" ht="12.75" x14ac:dyDescent="0.2">
      <c r="B23471" s="1168"/>
    </row>
    <row r="23472" spans="2:2" s="221" customFormat="1" ht="12.75" x14ac:dyDescent="0.2">
      <c r="B23472" s="1168"/>
    </row>
    <row r="23473" spans="2:2" s="221" customFormat="1" ht="12.75" x14ac:dyDescent="0.2">
      <c r="B23473" s="1168"/>
    </row>
    <row r="23474" spans="2:2" s="221" customFormat="1" ht="12.75" x14ac:dyDescent="0.2">
      <c r="B23474" s="1168"/>
    </row>
    <row r="23475" spans="2:2" s="221" customFormat="1" ht="12.75" x14ac:dyDescent="0.2">
      <c r="B23475" s="1168"/>
    </row>
    <row r="23476" spans="2:2" s="221" customFormat="1" ht="12.75" x14ac:dyDescent="0.2">
      <c r="B23476" s="1168"/>
    </row>
    <row r="23477" spans="2:2" s="221" customFormat="1" ht="12.75" x14ac:dyDescent="0.2">
      <c r="B23477" s="1168"/>
    </row>
    <row r="23478" spans="2:2" s="221" customFormat="1" ht="12.75" x14ac:dyDescent="0.2">
      <c r="B23478" s="1168"/>
    </row>
    <row r="23479" spans="2:2" s="221" customFormat="1" ht="12.75" x14ac:dyDescent="0.2">
      <c r="B23479" s="1168"/>
    </row>
    <row r="23480" spans="2:2" s="221" customFormat="1" ht="12.75" x14ac:dyDescent="0.2">
      <c r="B23480" s="1168"/>
    </row>
    <row r="23481" spans="2:2" s="221" customFormat="1" ht="12.75" x14ac:dyDescent="0.2">
      <c r="B23481" s="1168"/>
    </row>
    <row r="23482" spans="2:2" s="221" customFormat="1" ht="12.75" x14ac:dyDescent="0.2">
      <c r="B23482" s="1168"/>
    </row>
    <row r="23483" spans="2:2" s="221" customFormat="1" ht="12.75" x14ac:dyDescent="0.2">
      <c r="B23483" s="1168"/>
    </row>
    <row r="23484" spans="2:2" s="221" customFormat="1" ht="12.75" x14ac:dyDescent="0.2">
      <c r="B23484" s="1168"/>
    </row>
    <row r="23485" spans="2:2" s="221" customFormat="1" ht="12.75" x14ac:dyDescent="0.2">
      <c r="B23485" s="1168"/>
    </row>
    <row r="23486" spans="2:2" s="221" customFormat="1" ht="12.75" x14ac:dyDescent="0.2">
      <c r="B23486" s="1168"/>
    </row>
    <row r="23487" spans="2:2" s="221" customFormat="1" ht="12.75" x14ac:dyDescent="0.2">
      <c r="B23487" s="1168"/>
    </row>
    <row r="23488" spans="2:2" s="221" customFormat="1" ht="12.75" x14ac:dyDescent="0.2">
      <c r="B23488" s="1168"/>
    </row>
    <row r="23489" spans="2:2" s="221" customFormat="1" ht="12.75" x14ac:dyDescent="0.2">
      <c r="B23489" s="1168"/>
    </row>
    <row r="23490" spans="2:2" s="221" customFormat="1" ht="12.75" x14ac:dyDescent="0.2">
      <c r="B23490" s="1168"/>
    </row>
    <row r="23491" spans="2:2" s="221" customFormat="1" ht="12.75" x14ac:dyDescent="0.2">
      <c r="B23491" s="1168"/>
    </row>
    <row r="23492" spans="2:2" s="221" customFormat="1" ht="12.75" x14ac:dyDescent="0.2">
      <c r="B23492" s="1168"/>
    </row>
    <row r="23493" spans="2:2" s="221" customFormat="1" ht="12.75" x14ac:dyDescent="0.2">
      <c r="B23493" s="1168"/>
    </row>
    <row r="23494" spans="2:2" s="221" customFormat="1" ht="12.75" x14ac:dyDescent="0.2">
      <c r="B23494" s="1168"/>
    </row>
    <row r="23495" spans="2:2" s="221" customFormat="1" ht="12.75" x14ac:dyDescent="0.2">
      <c r="B23495" s="1168"/>
    </row>
    <row r="23496" spans="2:2" s="221" customFormat="1" ht="12.75" x14ac:dyDescent="0.2">
      <c r="B23496" s="1168"/>
    </row>
    <row r="23497" spans="2:2" s="221" customFormat="1" ht="12.75" x14ac:dyDescent="0.2">
      <c r="B23497" s="1168"/>
    </row>
    <row r="23498" spans="2:2" s="221" customFormat="1" ht="12.75" x14ac:dyDescent="0.2">
      <c r="B23498" s="1168"/>
    </row>
    <row r="23499" spans="2:2" s="221" customFormat="1" ht="12.75" x14ac:dyDescent="0.2">
      <c r="B23499" s="1168"/>
    </row>
    <row r="23500" spans="2:2" s="221" customFormat="1" ht="12.75" x14ac:dyDescent="0.2">
      <c r="B23500" s="1168"/>
    </row>
    <row r="23501" spans="2:2" s="221" customFormat="1" ht="12.75" x14ac:dyDescent="0.2">
      <c r="B23501" s="1168"/>
    </row>
    <row r="23502" spans="2:2" s="221" customFormat="1" ht="12.75" x14ac:dyDescent="0.2">
      <c r="B23502" s="1168"/>
    </row>
    <row r="23503" spans="2:2" s="221" customFormat="1" ht="12.75" x14ac:dyDescent="0.2">
      <c r="B23503" s="1168"/>
    </row>
    <row r="23504" spans="2:2" s="221" customFormat="1" ht="12.75" x14ac:dyDescent="0.2">
      <c r="B23504" s="1168"/>
    </row>
    <row r="23505" spans="2:2" s="221" customFormat="1" ht="12.75" x14ac:dyDescent="0.2">
      <c r="B23505" s="1168"/>
    </row>
    <row r="23506" spans="2:2" s="221" customFormat="1" ht="12.75" x14ac:dyDescent="0.2">
      <c r="B23506" s="1168"/>
    </row>
    <row r="23507" spans="2:2" s="221" customFormat="1" ht="12.75" x14ac:dyDescent="0.2">
      <c r="B23507" s="1168"/>
    </row>
    <row r="23508" spans="2:2" s="221" customFormat="1" ht="12.75" x14ac:dyDescent="0.2">
      <c r="B23508" s="1168"/>
    </row>
    <row r="23509" spans="2:2" s="221" customFormat="1" ht="12.75" x14ac:dyDescent="0.2">
      <c r="B23509" s="1168"/>
    </row>
    <row r="23510" spans="2:2" s="221" customFormat="1" ht="12.75" x14ac:dyDescent="0.2">
      <c r="B23510" s="1168"/>
    </row>
    <row r="23511" spans="2:2" s="221" customFormat="1" ht="12.75" x14ac:dyDescent="0.2">
      <c r="B23511" s="1168"/>
    </row>
    <row r="23512" spans="2:2" s="221" customFormat="1" ht="12.75" x14ac:dyDescent="0.2">
      <c r="B23512" s="1168"/>
    </row>
    <row r="23513" spans="2:2" s="221" customFormat="1" ht="12.75" x14ac:dyDescent="0.2">
      <c r="B23513" s="1168"/>
    </row>
    <row r="23514" spans="2:2" s="221" customFormat="1" ht="12.75" x14ac:dyDescent="0.2">
      <c r="B23514" s="1168"/>
    </row>
    <row r="23515" spans="2:2" s="221" customFormat="1" ht="12.75" x14ac:dyDescent="0.2">
      <c r="B23515" s="1168"/>
    </row>
    <row r="23516" spans="2:2" s="221" customFormat="1" ht="12.75" x14ac:dyDescent="0.2">
      <c r="B23516" s="1168"/>
    </row>
    <row r="23517" spans="2:2" s="221" customFormat="1" ht="12.75" x14ac:dyDescent="0.2">
      <c r="B23517" s="1168"/>
    </row>
    <row r="23518" spans="2:2" s="221" customFormat="1" ht="12.75" x14ac:dyDescent="0.2">
      <c r="B23518" s="1168"/>
    </row>
    <row r="23519" spans="2:2" s="221" customFormat="1" ht="12.75" x14ac:dyDescent="0.2">
      <c r="B23519" s="1168"/>
    </row>
    <row r="23520" spans="2:2" s="221" customFormat="1" ht="12.75" x14ac:dyDescent="0.2">
      <c r="B23520" s="1168"/>
    </row>
    <row r="23521" spans="2:2" s="221" customFormat="1" ht="12.75" x14ac:dyDescent="0.2">
      <c r="B23521" s="1168"/>
    </row>
    <row r="23522" spans="2:2" s="221" customFormat="1" ht="12.75" x14ac:dyDescent="0.2">
      <c r="B23522" s="1168"/>
    </row>
    <row r="23523" spans="2:2" s="221" customFormat="1" ht="12.75" x14ac:dyDescent="0.2">
      <c r="B23523" s="1168"/>
    </row>
    <row r="23524" spans="2:2" s="221" customFormat="1" ht="12.75" x14ac:dyDescent="0.2">
      <c r="B23524" s="1168"/>
    </row>
    <row r="23525" spans="2:2" s="221" customFormat="1" ht="12.75" x14ac:dyDescent="0.2">
      <c r="B23525" s="1168"/>
    </row>
    <row r="23526" spans="2:2" s="221" customFormat="1" ht="12.75" x14ac:dyDescent="0.2">
      <c r="B23526" s="1168"/>
    </row>
    <row r="23527" spans="2:2" s="221" customFormat="1" ht="12.75" x14ac:dyDescent="0.2">
      <c r="B23527" s="1168"/>
    </row>
    <row r="23528" spans="2:2" s="221" customFormat="1" ht="12.75" x14ac:dyDescent="0.2">
      <c r="B23528" s="1168"/>
    </row>
    <row r="23529" spans="2:2" s="221" customFormat="1" ht="12.75" x14ac:dyDescent="0.2">
      <c r="B23529" s="1168"/>
    </row>
    <row r="23530" spans="2:2" s="221" customFormat="1" ht="12.75" x14ac:dyDescent="0.2">
      <c r="B23530" s="1168"/>
    </row>
    <row r="23531" spans="2:2" s="221" customFormat="1" ht="12.75" x14ac:dyDescent="0.2">
      <c r="B23531" s="1168"/>
    </row>
    <row r="23532" spans="2:2" s="221" customFormat="1" ht="12.75" x14ac:dyDescent="0.2">
      <c r="B23532" s="1168"/>
    </row>
    <row r="23533" spans="2:2" s="221" customFormat="1" ht="12.75" x14ac:dyDescent="0.2">
      <c r="B23533" s="1168"/>
    </row>
    <row r="23534" spans="2:2" s="221" customFormat="1" ht="12.75" x14ac:dyDescent="0.2">
      <c r="B23534" s="1168"/>
    </row>
    <row r="23535" spans="2:2" s="221" customFormat="1" ht="12.75" x14ac:dyDescent="0.2">
      <c r="B23535" s="1168"/>
    </row>
    <row r="23536" spans="2:2" s="221" customFormat="1" ht="12.75" x14ac:dyDescent="0.2">
      <c r="B23536" s="1168"/>
    </row>
    <row r="23537" spans="2:2" s="221" customFormat="1" ht="12.75" x14ac:dyDescent="0.2">
      <c r="B23537" s="1168"/>
    </row>
    <row r="23538" spans="2:2" s="221" customFormat="1" ht="12.75" x14ac:dyDescent="0.2">
      <c r="B23538" s="1168"/>
    </row>
    <row r="23539" spans="2:2" s="221" customFormat="1" ht="12.75" x14ac:dyDescent="0.2">
      <c r="B23539" s="1168"/>
    </row>
    <row r="23540" spans="2:2" s="221" customFormat="1" ht="12.75" x14ac:dyDescent="0.2">
      <c r="B23540" s="1168"/>
    </row>
    <row r="23541" spans="2:2" s="221" customFormat="1" ht="12.75" x14ac:dyDescent="0.2">
      <c r="B23541" s="1168"/>
    </row>
    <row r="23542" spans="2:2" s="221" customFormat="1" ht="12.75" x14ac:dyDescent="0.2">
      <c r="B23542" s="1168"/>
    </row>
    <row r="23543" spans="2:2" s="221" customFormat="1" ht="12.75" x14ac:dyDescent="0.2">
      <c r="B23543" s="1168"/>
    </row>
    <row r="23544" spans="2:2" s="221" customFormat="1" ht="12.75" x14ac:dyDescent="0.2">
      <c r="B23544" s="1168"/>
    </row>
    <row r="23545" spans="2:2" s="221" customFormat="1" ht="12.75" x14ac:dyDescent="0.2">
      <c r="B23545" s="1168"/>
    </row>
    <row r="23546" spans="2:2" s="221" customFormat="1" ht="12.75" x14ac:dyDescent="0.2">
      <c r="B23546" s="1168"/>
    </row>
    <row r="23547" spans="2:2" s="221" customFormat="1" ht="12.75" x14ac:dyDescent="0.2">
      <c r="B23547" s="1168"/>
    </row>
    <row r="23548" spans="2:2" s="221" customFormat="1" ht="12.75" x14ac:dyDescent="0.2">
      <c r="B23548" s="1168"/>
    </row>
    <row r="23549" spans="2:2" s="221" customFormat="1" ht="12.75" x14ac:dyDescent="0.2">
      <c r="B23549" s="1168"/>
    </row>
    <row r="23550" spans="2:2" s="221" customFormat="1" ht="12.75" x14ac:dyDescent="0.2">
      <c r="B23550" s="1168"/>
    </row>
    <row r="23551" spans="2:2" s="221" customFormat="1" ht="12.75" x14ac:dyDescent="0.2">
      <c r="B23551" s="1168"/>
    </row>
    <row r="23552" spans="2:2" s="221" customFormat="1" ht="12.75" x14ac:dyDescent="0.2">
      <c r="B23552" s="1168"/>
    </row>
    <row r="23553" spans="2:2" s="221" customFormat="1" ht="12.75" x14ac:dyDescent="0.2">
      <c r="B23553" s="1168"/>
    </row>
    <row r="23554" spans="2:2" s="221" customFormat="1" ht="12.75" x14ac:dyDescent="0.2">
      <c r="B23554" s="1168"/>
    </row>
    <row r="23555" spans="2:2" s="221" customFormat="1" ht="12.75" x14ac:dyDescent="0.2">
      <c r="B23555" s="1168"/>
    </row>
    <row r="23556" spans="2:2" s="221" customFormat="1" ht="12.75" x14ac:dyDescent="0.2">
      <c r="B23556" s="1168"/>
    </row>
    <row r="23557" spans="2:2" s="221" customFormat="1" ht="12.75" x14ac:dyDescent="0.2">
      <c r="B23557" s="1168"/>
    </row>
    <row r="23558" spans="2:2" s="221" customFormat="1" ht="12.75" x14ac:dyDescent="0.2">
      <c r="B23558" s="1168"/>
    </row>
    <row r="23559" spans="2:2" s="221" customFormat="1" ht="12.75" x14ac:dyDescent="0.2">
      <c r="B23559" s="1168"/>
    </row>
    <row r="23560" spans="2:2" s="221" customFormat="1" ht="12.75" x14ac:dyDescent="0.2">
      <c r="B23560" s="1168"/>
    </row>
    <row r="23561" spans="2:2" s="221" customFormat="1" ht="12.75" x14ac:dyDescent="0.2">
      <c r="B23561" s="1168"/>
    </row>
    <row r="23562" spans="2:2" s="221" customFormat="1" ht="12.75" x14ac:dyDescent="0.2">
      <c r="B23562" s="1168"/>
    </row>
    <row r="23563" spans="2:2" s="221" customFormat="1" ht="12.75" x14ac:dyDescent="0.2">
      <c r="B23563" s="1168"/>
    </row>
    <row r="23564" spans="2:2" s="221" customFormat="1" ht="12.75" x14ac:dyDescent="0.2">
      <c r="B23564" s="1168"/>
    </row>
    <row r="23565" spans="2:2" s="221" customFormat="1" ht="12.75" x14ac:dyDescent="0.2">
      <c r="B23565" s="1168"/>
    </row>
    <row r="23566" spans="2:2" s="221" customFormat="1" ht="12.75" x14ac:dyDescent="0.2">
      <c r="B23566" s="1168"/>
    </row>
    <row r="23567" spans="2:2" s="221" customFormat="1" ht="12.75" x14ac:dyDescent="0.2">
      <c r="B23567" s="1168"/>
    </row>
    <row r="23568" spans="2:2" s="221" customFormat="1" ht="12.75" x14ac:dyDescent="0.2">
      <c r="B23568" s="1168"/>
    </row>
    <row r="23569" spans="2:2" s="221" customFormat="1" ht="12.75" x14ac:dyDescent="0.2">
      <c r="B23569" s="1168"/>
    </row>
    <row r="23570" spans="2:2" s="221" customFormat="1" ht="12.75" x14ac:dyDescent="0.2">
      <c r="B23570" s="1168"/>
    </row>
    <row r="23571" spans="2:2" s="221" customFormat="1" ht="12.75" x14ac:dyDescent="0.2">
      <c r="B23571" s="1168"/>
    </row>
    <row r="23572" spans="2:2" s="221" customFormat="1" ht="12.75" x14ac:dyDescent="0.2">
      <c r="B23572" s="1168"/>
    </row>
    <row r="23573" spans="2:2" s="221" customFormat="1" ht="12.75" x14ac:dyDescent="0.2">
      <c r="B23573" s="1168"/>
    </row>
    <row r="23574" spans="2:2" s="221" customFormat="1" ht="12.75" x14ac:dyDescent="0.2">
      <c r="B23574" s="1168"/>
    </row>
    <row r="23575" spans="2:2" s="221" customFormat="1" ht="12.75" x14ac:dyDescent="0.2">
      <c r="B23575" s="1168"/>
    </row>
    <row r="23576" spans="2:2" s="221" customFormat="1" ht="12.75" x14ac:dyDescent="0.2">
      <c r="B23576" s="1168"/>
    </row>
    <row r="23577" spans="2:2" s="221" customFormat="1" ht="12.75" x14ac:dyDescent="0.2">
      <c r="B23577" s="1168"/>
    </row>
    <row r="23578" spans="2:2" s="221" customFormat="1" ht="12.75" x14ac:dyDescent="0.2">
      <c r="B23578" s="1168"/>
    </row>
    <row r="23579" spans="2:2" s="221" customFormat="1" ht="12.75" x14ac:dyDescent="0.2">
      <c r="B23579" s="1168"/>
    </row>
    <row r="23580" spans="2:2" s="221" customFormat="1" ht="12.75" x14ac:dyDescent="0.2">
      <c r="B23580" s="1168"/>
    </row>
    <row r="23581" spans="2:2" s="221" customFormat="1" ht="12.75" x14ac:dyDescent="0.2">
      <c r="B23581" s="1168"/>
    </row>
    <row r="23582" spans="2:2" s="221" customFormat="1" ht="12.75" x14ac:dyDescent="0.2">
      <c r="B23582" s="1168"/>
    </row>
    <row r="23583" spans="2:2" s="221" customFormat="1" ht="12.75" x14ac:dyDescent="0.2">
      <c r="B23583" s="1168"/>
    </row>
    <row r="23584" spans="2:2" s="221" customFormat="1" ht="12.75" x14ac:dyDescent="0.2">
      <c r="B23584" s="1168"/>
    </row>
    <row r="23585" spans="2:2" s="221" customFormat="1" ht="12.75" x14ac:dyDescent="0.2">
      <c r="B23585" s="1168"/>
    </row>
    <row r="23586" spans="2:2" s="221" customFormat="1" ht="12.75" x14ac:dyDescent="0.2">
      <c r="B23586" s="1168"/>
    </row>
    <row r="23587" spans="2:2" s="221" customFormat="1" ht="12.75" x14ac:dyDescent="0.2">
      <c r="B23587" s="1168"/>
    </row>
    <row r="23588" spans="2:2" s="221" customFormat="1" ht="12.75" x14ac:dyDescent="0.2">
      <c r="B23588" s="1168"/>
    </row>
    <row r="23589" spans="2:2" s="221" customFormat="1" ht="12.75" x14ac:dyDescent="0.2">
      <c r="B23589" s="1168"/>
    </row>
    <row r="23590" spans="2:2" s="221" customFormat="1" ht="12.75" x14ac:dyDescent="0.2">
      <c r="B23590" s="1168"/>
    </row>
    <row r="23591" spans="2:2" s="221" customFormat="1" ht="12.75" x14ac:dyDescent="0.2">
      <c r="B23591" s="1168"/>
    </row>
    <row r="23592" spans="2:2" s="221" customFormat="1" ht="12.75" x14ac:dyDescent="0.2">
      <c r="B23592" s="1168"/>
    </row>
    <row r="23593" spans="2:2" s="221" customFormat="1" ht="12.75" x14ac:dyDescent="0.2">
      <c r="B23593" s="1168"/>
    </row>
    <row r="23594" spans="2:2" s="221" customFormat="1" ht="12.75" x14ac:dyDescent="0.2">
      <c r="B23594" s="1168"/>
    </row>
    <row r="23595" spans="2:2" s="221" customFormat="1" ht="12.75" x14ac:dyDescent="0.2">
      <c r="B23595" s="1168"/>
    </row>
    <row r="23596" spans="2:2" s="221" customFormat="1" ht="12.75" x14ac:dyDescent="0.2">
      <c r="B23596" s="1168"/>
    </row>
    <row r="23597" spans="2:2" s="221" customFormat="1" ht="12.75" x14ac:dyDescent="0.2">
      <c r="B23597" s="1168"/>
    </row>
    <row r="23598" spans="2:2" s="221" customFormat="1" ht="12.75" x14ac:dyDescent="0.2">
      <c r="B23598" s="1168"/>
    </row>
    <row r="23599" spans="2:2" s="221" customFormat="1" ht="12.75" x14ac:dyDescent="0.2">
      <c r="B23599" s="1168"/>
    </row>
    <row r="23600" spans="2:2" s="221" customFormat="1" ht="12.75" x14ac:dyDescent="0.2">
      <c r="B23600" s="1168"/>
    </row>
    <row r="23601" spans="2:2" s="221" customFormat="1" ht="12.75" x14ac:dyDescent="0.2">
      <c r="B23601" s="1168"/>
    </row>
    <row r="23602" spans="2:2" s="221" customFormat="1" ht="12.75" x14ac:dyDescent="0.2">
      <c r="B23602" s="1168"/>
    </row>
    <row r="23603" spans="2:2" s="221" customFormat="1" ht="12.75" x14ac:dyDescent="0.2">
      <c r="B23603" s="1168"/>
    </row>
    <row r="23604" spans="2:2" s="221" customFormat="1" ht="12.75" x14ac:dyDescent="0.2">
      <c r="B23604" s="1168"/>
    </row>
    <row r="23605" spans="2:2" s="221" customFormat="1" ht="12.75" x14ac:dyDescent="0.2">
      <c r="B23605" s="1168"/>
    </row>
    <row r="23606" spans="2:2" s="221" customFormat="1" ht="12.75" x14ac:dyDescent="0.2">
      <c r="B23606" s="1168"/>
    </row>
    <row r="23607" spans="2:2" s="221" customFormat="1" ht="12.75" x14ac:dyDescent="0.2">
      <c r="B23607" s="1168"/>
    </row>
    <row r="23608" spans="2:2" s="221" customFormat="1" ht="12.75" x14ac:dyDescent="0.2">
      <c r="B23608" s="1168"/>
    </row>
    <row r="23609" spans="2:2" s="221" customFormat="1" ht="12.75" x14ac:dyDescent="0.2">
      <c r="B23609" s="1168"/>
    </row>
    <row r="23610" spans="2:2" s="221" customFormat="1" ht="12.75" x14ac:dyDescent="0.2">
      <c r="B23610" s="1168"/>
    </row>
    <row r="23611" spans="2:2" s="221" customFormat="1" ht="12.75" x14ac:dyDescent="0.2">
      <c r="B23611" s="1168"/>
    </row>
    <row r="23612" spans="2:2" s="221" customFormat="1" ht="12.75" x14ac:dyDescent="0.2">
      <c r="B23612" s="1168"/>
    </row>
    <row r="23613" spans="2:2" s="221" customFormat="1" ht="12.75" x14ac:dyDescent="0.2">
      <c r="B23613" s="1168"/>
    </row>
    <row r="23614" spans="2:2" s="221" customFormat="1" ht="12.75" x14ac:dyDescent="0.2">
      <c r="B23614" s="1168"/>
    </row>
    <row r="23615" spans="2:2" s="221" customFormat="1" ht="12.75" x14ac:dyDescent="0.2">
      <c r="B23615" s="1168"/>
    </row>
    <row r="23616" spans="2:2" s="221" customFormat="1" ht="12.75" x14ac:dyDescent="0.2">
      <c r="B23616" s="1168"/>
    </row>
    <row r="23617" spans="2:2" s="221" customFormat="1" ht="12.75" x14ac:dyDescent="0.2">
      <c r="B23617" s="1168"/>
    </row>
    <row r="23618" spans="2:2" s="221" customFormat="1" ht="12.75" x14ac:dyDescent="0.2">
      <c r="B23618" s="1168"/>
    </row>
    <row r="23619" spans="2:2" s="221" customFormat="1" ht="12.75" x14ac:dyDescent="0.2">
      <c r="B23619" s="1168"/>
    </row>
    <row r="23620" spans="2:2" s="221" customFormat="1" ht="12.75" x14ac:dyDescent="0.2">
      <c r="B23620" s="1168"/>
    </row>
    <row r="23621" spans="2:2" s="221" customFormat="1" ht="12.75" x14ac:dyDescent="0.2">
      <c r="B23621" s="1168"/>
    </row>
    <row r="23622" spans="2:2" s="221" customFormat="1" ht="12.75" x14ac:dyDescent="0.2">
      <c r="B23622" s="1168"/>
    </row>
    <row r="23623" spans="2:2" s="221" customFormat="1" ht="12.75" x14ac:dyDescent="0.2">
      <c r="B23623" s="1168"/>
    </row>
    <row r="23624" spans="2:2" s="221" customFormat="1" ht="12.75" x14ac:dyDescent="0.2">
      <c r="B23624" s="1168"/>
    </row>
    <row r="23625" spans="2:2" s="221" customFormat="1" ht="12.75" x14ac:dyDescent="0.2">
      <c r="B23625" s="1168"/>
    </row>
    <row r="23626" spans="2:2" s="221" customFormat="1" ht="12.75" x14ac:dyDescent="0.2">
      <c r="B23626" s="1168"/>
    </row>
    <row r="23627" spans="2:2" s="221" customFormat="1" ht="12.75" x14ac:dyDescent="0.2">
      <c r="B23627" s="1168"/>
    </row>
    <row r="23628" spans="2:2" s="221" customFormat="1" ht="12.75" x14ac:dyDescent="0.2">
      <c r="B23628" s="1168"/>
    </row>
    <row r="23629" spans="2:2" s="221" customFormat="1" ht="12.75" x14ac:dyDescent="0.2">
      <c r="B23629" s="1168"/>
    </row>
    <row r="23630" spans="2:2" s="221" customFormat="1" ht="12.75" x14ac:dyDescent="0.2">
      <c r="B23630" s="1168"/>
    </row>
    <row r="23631" spans="2:2" s="221" customFormat="1" ht="12.75" x14ac:dyDescent="0.2">
      <c r="B23631" s="1168"/>
    </row>
    <row r="23632" spans="2:2" s="221" customFormat="1" ht="12.75" x14ac:dyDescent="0.2">
      <c r="B23632" s="1168"/>
    </row>
    <row r="23633" spans="2:2" s="221" customFormat="1" ht="12.75" x14ac:dyDescent="0.2">
      <c r="B23633" s="1168"/>
    </row>
    <row r="23634" spans="2:2" s="221" customFormat="1" ht="12.75" x14ac:dyDescent="0.2">
      <c r="B23634" s="1168"/>
    </row>
    <row r="23635" spans="2:2" s="221" customFormat="1" ht="12.75" x14ac:dyDescent="0.2">
      <c r="B23635" s="1168"/>
    </row>
    <row r="23636" spans="2:2" s="221" customFormat="1" ht="12.75" x14ac:dyDescent="0.2">
      <c r="B23636" s="1168"/>
    </row>
    <row r="23637" spans="2:2" s="221" customFormat="1" ht="12.75" x14ac:dyDescent="0.2">
      <c r="B23637" s="1168"/>
    </row>
    <row r="23638" spans="2:2" s="221" customFormat="1" ht="12.75" x14ac:dyDescent="0.2">
      <c r="B23638" s="1168"/>
    </row>
    <row r="23639" spans="2:2" s="221" customFormat="1" ht="12.75" x14ac:dyDescent="0.2">
      <c r="B23639" s="1168"/>
    </row>
    <row r="23640" spans="2:2" s="221" customFormat="1" ht="12.75" x14ac:dyDescent="0.2">
      <c r="B23640" s="1168"/>
    </row>
    <row r="23641" spans="2:2" s="221" customFormat="1" ht="12.75" x14ac:dyDescent="0.2">
      <c r="B23641" s="1168"/>
    </row>
    <row r="23642" spans="2:2" s="221" customFormat="1" ht="12.75" x14ac:dyDescent="0.2">
      <c r="B23642" s="1168"/>
    </row>
    <row r="23643" spans="2:2" s="221" customFormat="1" ht="12.75" x14ac:dyDescent="0.2">
      <c r="B23643" s="1168"/>
    </row>
    <row r="23644" spans="2:2" s="221" customFormat="1" ht="12.75" x14ac:dyDescent="0.2">
      <c r="B23644" s="1168"/>
    </row>
    <row r="23645" spans="2:2" s="221" customFormat="1" ht="12.75" x14ac:dyDescent="0.2">
      <c r="B23645" s="1168"/>
    </row>
    <row r="23646" spans="2:2" s="221" customFormat="1" ht="12.75" x14ac:dyDescent="0.2">
      <c r="B23646" s="1168"/>
    </row>
    <row r="23647" spans="2:2" s="221" customFormat="1" ht="12.75" x14ac:dyDescent="0.2">
      <c r="B23647" s="1168"/>
    </row>
    <row r="23648" spans="2:2" s="221" customFormat="1" ht="12.75" x14ac:dyDescent="0.2">
      <c r="B23648" s="1168"/>
    </row>
    <row r="23649" spans="2:2" s="221" customFormat="1" ht="12.75" x14ac:dyDescent="0.2">
      <c r="B23649" s="1168"/>
    </row>
    <row r="23650" spans="2:2" s="221" customFormat="1" ht="12.75" x14ac:dyDescent="0.2">
      <c r="B23650" s="1168"/>
    </row>
    <row r="23651" spans="2:2" s="221" customFormat="1" ht="12.75" x14ac:dyDescent="0.2">
      <c r="B23651" s="1168"/>
    </row>
    <row r="23652" spans="2:2" s="221" customFormat="1" ht="12.75" x14ac:dyDescent="0.2">
      <c r="B23652" s="1168"/>
    </row>
    <row r="23653" spans="2:2" s="221" customFormat="1" ht="12.75" x14ac:dyDescent="0.2">
      <c r="B23653" s="1168"/>
    </row>
    <row r="23654" spans="2:2" s="221" customFormat="1" ht="12.75" x14ac:dyDescent="0.2">
      <c r="B23654" s="1168"/>
    </row>
    <row r="23655" spans="2:2" s="221" customFormat="1" ht="12.75" x14ac:dyDescent="0.2">
      <c r="B23655" s="1168"/>
    </row>
    <row r="23656" spans="2:2" s="221" customFormat="1" ht="12.75" x14ac:dyDescent="0.2">
      <c r="B23656" s="1168"/>
    </row>
    <row r="23657" spans="2:2" s="221" customFormat="1" ht="12.75" x14ac:dyDescent="0.2">
      <c r="B23657" s="1168"/>
    </row>
    <row r="23658" spans="2:2" s="221" customFormat="1" ht="12.75" x14ac:dyDescent="0.2">
      <c r="B23658" s="1168"/>
    </row>
    <row r="23659" spans="2:2" s="221" customFormat="1" ht="12.75" x14ac:dyDescent="0.2">
      <c r="B23659" s="1168"/>
    </row>
    <row r="23660" spans="2:2" s="221" customFormat="1" ht="12.75" x14ac:dyDescent="0.2">
      <c r="B23660" s="1168"/>
    </row>
    <row r="23661" spans="2:2" s="221" customFormat="1" ht="12.75" x14ac:dyDescent="0.2">
      <c r="B23661" s="1168"/>
    </row>
    <row r="23662" spans="2:2" s="221" customFormat="1" ht="12.75" x14ac:dyDescent="0.2">
      <c r="B23662" s="1168"/>
    </row>
    <row r="23663" spans="2:2" s="221" customFormat="1" ht="12.75" x14ac:dyDescent="0.2">
      <c r="B23663" s="1168"/>
    </row>
    <row r="23664" spans="2:2" s="221" customFormat="1" ht="12.75" x14ac:dyDescent="0.2">
      <c r="B23664" s="1168"/>
    </row>
    <row r="23665" spans="2:2" s="221" customFormat="1" ht="12.75" x14ac:dyDescent="0.2">
      <c r="B23665" s="1168"/>
    </row>
    <row r="23666" spans="2:2" s="221" customFormat="1" ht="12.75" x14ac:dyDescent="0.2">
      <c r="B23666" s="1168"/>
    </row>
    <row r="23667" spans="2:2" s="221" customFormat="1" ht="12.75" x14ac:dyDescent="0.2">
      <c r="B23667" s="1168"/>
    </row>
    <row r="23668" spans="2:2" s="221" customFormat="1" ht="12.75" x14ac:dyDescent="0.2">
      <c r="B23668" s="1168"/>
    </row>
    <row r="23669" spans="2:2" s="221" customFormat="1" ht="12.75" x14ac:dyDescent="0.2">
      <c r="B23669" s="1168"/>
    </row>
    <row r="23670" spans="2:2" s="221" customFormat="1" ht="12.75" x14ac:dyDescent="0.2">
      <c r="B23670" s="1168"/>
    </row>
    <row r="23671" spans="2:2" s="221" customFormat="1" ht="12.75" x14ac:dyDescent="0.2">
      <c r="B23671" s="1168"/>
    </row>
    <row r="23672" spans="2:2" s="221" customFormat="1" ht="12.75" x14ac:dyDescent="0.2">
      <c r="B23672" s="1168"/>
    </row>
    <row r="23673" spans="2:2" s="221" customFormat="1" ht="12.75" x14ac:dyDescent="0.2">
      <c r="B23673" s="1168"/>
    </row>
    <row r="23674" spans="2:2" s="221" customFormat="1" ht="12.75" x14ac:dyDescent="0.2">
      <c r="B23674" s="1168"/>
    </row>
    <row r="23675" spans="2:2" s="221" customFormat="1" ht="12.75" x14ac:dyDescent="0.2">
      <c r="B23675" s="1168"/>
    </row>
    <row r="23676" spans="2:2" s="221" customFormat="1" ht="12.75" x14ac:dyDescent="0.2">
      <c r="B23676" s="1168"/>
    </row>
    <row r="23677" spans="2:2" s="221" customFormat="1" ht="12.75" x14ac:dyDescent="0.2">
      <c r="B23677" s="1168"/>
    </row>
    <row r="23678" spans="2:2" s="221" customFormat="1" ht="12.75" x14ac:dyDescent="0.2">
      <c r="B23678" s="1168"/>
    </row>
    <row r="23679" spans="2:2" s="221" customFormat="1" ht="12.75" x14ac:dyDescent="0.2">
      <c r="B23679" s="1168"/>
    </row>
    <row r="23680" spans="2:2" s="221" customFormat="1" ht="12.75" x14ac:dyDescent="0.2">
      <c r="B23680" s="1168"/>
    </row>
    <row r="23681" spans="2:2" s="221" customFormat="1" ht="12.75" x14ac:dyDescent="0.2">
      <c r="B23681" s="1168"/>
    </row>
    <row r="23682" spans="2:2" s="221" customFormat="1" ht="12.75" x14ac:dyDescent="0.2">
      <c r="B23682" s="1168"/>
    </row>
    <row r="23683" spans="2:2" s="221" customFormat="1" ht="12.75" x14ac:dyDescent="0.2">
      <c r="B23683" s="1168"/>
    </row>
    <row r="23684" spans="2:2" s="221" customFormat="1" ht="12.75" x14ac:dyDescent="0.2">
      <c r="B23684" s="1168"/>
    </row>
    <row r="23685" spans="2:2" s="221" customFormat="1" ht="12.75" x14ac:dyDescent="0.2">
      <c r="B23685" s="1168"/>
    </row>
    <row r="23686" spans="2:2" s="221" customFormat="1" ht="12.75" x14ac:dyDescent="0.2">
      <c r="B23686" s="1168"/>
    </row>
    <row r="23687" spans="2:2" s="221" customFormat="1" ht="12.75" x14ac:dyDescent="0.2">
      <c r="B23687" s="1168"/>
    </row>
    <row r="23688" spans="2:2" s="221" customFormat="1" ht="12.75" x14ac:dyDescent="0.2">
      <c r="B23688" s="1168"/>
    </row>
    <row r="23689" spans="2:2" s="221" customFormat="1" ht="12.75" x14ac:dyDescent="0.2">
      <c r="B23689" s="1168"/>
    </row>
    <row r="23690" spans="2:2" s="221" customFormat="1" ht="12.75" x14ac:dyDescent="0.2">
      <c r="B23690" s="1168"/>
    </row>
    <row r="23691" spans="2:2" s="221" customFormat="1" ht="12.75" x14ac:dyDescent="0.2">
      <c r="B23691" s="1168"/>
    </row>
    <row r="23692" spans="2:2" s="221" customFormat="1" ht="12.75" x14ac:dyDescent="0.2">
      <c r="B23692" s="1168"/>
    </row>
    <row r="23693" spans="2:2" s="221" customFormat="1" ht="12.75" x14ac:dyDescent="0.2">
      <c r="B23693" s="1168"/>
    </row>
    <row r="23694" spans="2:2" s="221" customFormat="1" ht="12.75" x14ac:dyDescent="0.2">
      <c r="B23694" s="1168"/>
    </row>
    <row r="23695" spans="2:2" s="221" customFormat="1" ht="12.75" x14ac:dyDescent="0.2">
      <c r="B23695" s="1168"/>
    </row>
    <row r="23696" spans="2:2" s="221" customFormat="1" ht="12.75" x14ac:dyDescent="0.2">
      <c r="B23696" s="1168"/>
    </row>
    <row r="23697" spans="2:2" s="221" customFormat="1" ht="12.75" x14ac:dyDescent="0.2">
      <c r="B23697" s="1168"/>
    </row>
    <row r="23698" spans="2:2" s="221" customFormat="1" ht="12.75" x14ac:dyDescent="0.2">
      <c r="B23698" s="1168"/>
    </row>
    <row r="23699" spans="2:2" s="221" customFormat="1" ht="12.75" x14ac:dyDescent="0.2">
      <c r="B23699" s="1168"/>
    </row>
    <row r="23700" spans="2:2" s="221" customFormat="1" ht="12.75" x14ac:dyDescent="0.2">
      <c r="B23700" s="1168"/>
    </row>
    <row r="23701" spans="2:2" s="221" customFormat="1" ht="12.75" x14ac:dyDescent="0.2">
      <c r="B23701" s="1168"/>
    </row>
    <row r="23702" spans="2:2" s="221" customFormat="1" ht="12.75" x14ac:dyDescent="0.2">
      <c r="B23702" s="1168"/>
    </row>
    <row r="23703" spans="2:2" s="221" customFormat="1" ht="12.75" x14ac:dyDescent="0.2">
      <c r="B23703" s="1168"/>
    </row>
    <row r="23704" spans="2:2" s="221" customFormat="1" ht="12.75" x14ac:dyDescent="0.2">
      <c r="B23704" s="1168"/>
    </row>
    <row r="23705" spans="2:2" s="221" customFormat="1" ht="12.75" x14ac:dyDescent="0.2">
      <c r="B23705" s="1168"/>
    </row>
    <row r="23706" spans="2:2" s="221" customFormat="1" ht="12.75" x14ac:dyDescent="0.2">
      <c r="B23706" s="1168"/>
    </row>
    <row r="23707" spans="2:2" s="221" customFormat="1" ht="12.75" x14ac:dyDescent="0.2">
      <c r="B23707" s="1168"/>
    </row>
    <row r="23708" spans="2:2" s="221" customFormat="1" ht="12.75" x14ac:dyDescent="0.2">
      <c r="B23708" s="1168"/>
    </row>
    <row r="23709" spans="2:2" s="221" customFormat="1" ht="12.75" x14ac:dyDescent="0.2">
      <c r="B23709" s="1168"/>
    </row>
    <row r="23710" spans="2:2" s="221" customFormat="1" ht="12.75" x14ac:dyDescent="0.2">
      <c r="B23710" s="1168"/>
    </row>
    <row r="23711" spans="2:2" s="221" customFormat="1" ht="12.75" x14ac:dyDescent="0.2">
      <c r="B23711" s="1168"/>
    </row>
    <row r="23712" spans="2:2" s="221" customFormat="1" ht="12.75" x14ac:dyDescent="0.2">
      <c r="B23712" s="1168"/>
    </row>
    <row r="23713" spans="2:2" s="221" customFormat="1" ht="12.75" x14ac:dyDescent="0.2">
      <c r="B23713" s="1168"/>
    </row>
    <row r="23714" spans="2:2" s="221" customFormat="1" ht="12.75" x14ac:dyDescent="0.2">
      <c r="B23714" s="1168"/>
    </row>
    <row r="23715" spans="2:2" s="221" customFormat="1" ht="12.75" x14ac:dyDescent="0.2">
      <c r="B23715" s="1168"/>
    </row>
    <row r="23716" spans="2:2" s="221" customFormat="1" ht="12.75" x14ac:dyDescent="0.2">
      <c r="B23716" s="1168"/>
    </row>
    <row r="23717" spans="2:2" s="221" customFormat="1" ht="12.75" x14ac:dyDescent="0.2">
      <c r="B23717" s="1168"/>
    </row>
    <row r="23718" spans="2:2" s="221" customFormat="1" ht="12.75" x14ac:dyDescent="0.2">
      <c r="B23718" s="1168"/>
    </row>
    <row r="23719" spans="2:2" s="221" customFormat="1" ht="12.75" x14ac:dyDescent="0.2">
      <c r="B23719" s="1168"/>
    </row>
    <row r="23720" spans="2:2" s="221" customFormat="1" ht="12.75" x14ac:dyDescent="0.2">
      <c r="B23720" s="1168"/>
    </row>
    <row r="23721" spans="2:2" s="221" customFormat="1" ht="12.75" x14ac:dyDescent="0.2">
      <c r="B23721" s="1168"/>
    </row>
    <row r="23722" spans="2:2" s="221" customFormat="1" ht="12.75" x14ac:dyDescent="0.2">
      <c r="B23722" s="1168"/>
    </row>
    <row r="23723" spans="2:2" s="221" customFormat="1" ht="12.75" x14ac:dyDescent="0.2">
      <c r="B23723" s="1168"/>
    </row>
    <row r="23724" spans="2:2" s="221" customFormat="1" ht="12.75" x14ac:dyDescent="0.2">
      <c r="B23724" s="1168"/>
    </row>
    <row r="23725" spans="2:2" s="221" customFormat="1" ht="12.75" x14ac:dyDescent="0.2">
      <c r="B23725" s="1168"/>
    </row>
    <row r="23726" spans="2:2" s="221" customFormat="1" ht="12.75" x14ac:dyDescent="0.2">
      <c r="B23726" s="1168"/>
    </row>
    <row r="23727" spans="2:2" s="221" customFormat="1" ht="12.75" x14ac:dyDescent="0.2">
      <c r="B23727" s="1168"/>
    </row>
    <row r="23728" spans="2:2" s="221" customFormat="1" ht="12.75" x14ac:dyDescent="0.2">
      <c r="B23728" s="1168"/>
    </row>
    <row r="23729" spans="2:2" s="221" customFormat="1" ht="12.75" x14ac:dyDescent="0.2">
      <c r="B23729" s="1168"/>
    </row>
    <row r="23730" spans="2:2" s="221" customFormat="1" ht="12.75" x14ac:dyDescent="0.2">
      <c r="B23730" s="1168"/>
    </row>
    <row r="23731" spans="2:2" s="221" customFormat="1" ht="12.75" x14ac:dyDescent="0.2">
      <c r="B23731" s="1168"/>
    </row>
    <row r="23732" spans="2:2" s="221" customFormat="1" ht="12.75" x14ac:dyDescent="0.2">
      <c r="B23732" s="1168"/>
    </row>
    <row r="23733" spans="2:2" s="221" customFormat="1" ht="12.75" x14ac:dyDescent="0.2">
      <c r="B23733" s="1168"/>
    </row>
    <row r="23734" spans="2:2" s="221" customFormat="1" ht="12.75" x14ac:dyDescent="0.2">
      <c r="B23734" s="1168"/>
    </row>
    <row r="23735" spans="2:2" s="221" customFormat="1" ht="12.75" x14ac:dyDescent="0.2">
      <c r="B23735" s="1168"/>
    </row>
    <row r="23736" spans="2:2" s="221" customFormat="1" ht="12.75" x14ac:dyDescent="0.2">
      <c r="B23736" s="1168"/>
    </row>
    <row r="23737" spans="2:2" s="221" customFormat="1" ht="12.75" x14ac:dyDescent="0.2">
      <c r="B23737" s="1168"/>
    </row>
    <row r="23738" spans="2:2" s="221" customFormat="1" ht="12.75" x14ac:dyDescent="0.2">
      <c r="B23738" s="1168"/>
    </row>
    <row r="23739" spans="2:2" s="221" customFormat="1" ht="12.75" x14ac:dyDescent="0.2">
      <c r="B23739" s="1168"/>
    </row>
    <row r="23740" spans="2:2" s="221" customFormat="1" ht="12.75" x14ac:dyDescent="0.2">
      <c r="B23740" s="1168"/>
    </row>
    <row r="23741" spans="2:2" s="221" customFormat="1" ht="12.75" x14ac:dyDescent="0.2">
      <c r="B23741" s="1168"/>
    </row>
    <row r="23742" spans="2:2" s="221" customFormat="1" ht="12.75" x14ac:dyDescent="0.2">
      <c r="B23742" s="1168"/>
    </row>
    <row r="23743" spans="2:2" s="221" customFormat="1" ht="12.75" x14ac:dyDescent="0.2">
      <c r="B23743" s="1168"/>
    </row>
    <row r="23744" spans="2:2" s="221" customFormat="1" ht="12.75" x14ac:dyDescent="0.2">
      <c r="B23744" s="1168"/>
    </row>
    <row r="23745" spans="2:2" s="221" customFormat="1" ht="12.75" x14ac:dyDescent="0.2">
      <c r="B23745" s="1168"/>
    </row>
    <row r="23746" spans="2:2" s="221" customFormat="1" ht="12.75" x14ac:dyDescent="0.2">
      <c r="B23746" s="1168"/>
    </row>
    <row r="23747" spans="2:2" s="221" customFormat="1" ht="12.75" x14ac:dyDescent="0.2">
      <c r="B23747" s="1168"/>
    </row>
    <row r="23748" spans="2:2" s="221" customFormat="1" ht="12.75" x14ac:dyDescent="0.2">
      <c r="B23748" s="1168"/>
    </row>
    <row r="23749" spans="2:2" s="221" customFormat="1" ht="12.75" x14ac:dyDescent="0.2">
      <c r="B23749" s="1168"/>
    </row>
    <row r="23750" spans="2:2" s="221" customFormat="1" ht="12.75" x14ac:dyDescent="0.2">
      <c r="B23750" s="1168"/>
    </row>
    <row r="23751" spans="2:2" s="221" customFormat="1" ht="12.75" x14ac:dyDescent="0.2">
      <c r="B23751" s="1168"/>
    </row>
    <row r="23752" spans="2:2" s="221" customFormat="1" ht="12.75" x14ac:dyDescent="0.2">
      <c r="B23752" s="1168"/>
    </row>
    <row r="23753" spans="2:2" s="221" customFormat="1" ht="12.75" x14ac:dyDescent="0.2">
      <c r="B23753" s="1168"/>
    </row>
    <row r="23754" spans="2:2" s="221" customFormat="1" ht="12.75" x14ac:dyDescent="0.2">
      <c r="B23754" s="1168"/>
    </row>
    <row r="23755" spans="2:2" s="221" customFormat="1" ht="12.75" x14ac:dyDescent="0.2">
      <c r="B23755" s="1168"/>
    </row>
    <row r="23756" spans="2:2" s="221" customFormat="1" ht="12.75" x14ac:dyDescent="0.2">
      <c r="B23756" s="1168"/>
    </row>
    <row r="23757" spans="2:2" s="221" customFormat="1" ht="12.75" x14ac:dyDescent="0.2">
      <c r="B23757" s="1168"/>
    </row>
    <row r="23758" spans="2:2" s="221" customFormat="1" ht="12.75" x14ac:dyDescent="0.2">
      <c r="B23758" s="1168"/>
    </row>
    <row r="23759" spans="2:2" s="221" customFormat="1" ht="12.75" x14ac:dyDescent="0.2">
      <c r="B23759" s="1168"/>
    </row>
    <row r="23760" spans="2:2" s="221" customFormat="1" ht="12.75" x14ac:dyDescent="0.2">
      <c r="B23760" s="1168"/>
    </row>
    <row r="23761" spans="2:2" s="221" customFormat="1" ht="12.75" x14ac:dyDescent="0.2">
      <c r="B23761" s="1168"/>
    </row>
    <row r="23762" spans="2:2" s="221" customFormat="1" ht="12.75" x14ac:dyDescent="0.2">
      <c r="B23762" s="1168"/>
    </row>
    <row r="23763" spans="2:2" s="221" customFormat="1" ht="12.75" x14ac:dyDescent="0.2">
      <c r="B23763" s="1168"/>
    </row>
    <row r="23764" spans="2:2" s="221" customFormat="1" ht="12.75" x14ac:dyDescent="0.2">
      <c r="B23764" s="1168"/>
    </row>
    <row r="23765" spans="2:2" s="221" customFormat="1" ht="12.75" x14ac:dyDescent="0.2">
      <c r="B23765" s="1168"/>
    </row>
    <row r="23766" spans="2:2" s="221" customFormat="1" ht="12.75" x14ac:dyDescent="0.2">
      <c r="B23766" s="1168"/>
    </row>
    <row r="23767" spans="2:2" s="221" customFormat="1" ht="12.75" x14ac:dyDescent="0.2">
      <c r="B23767" s="1168"/>
    </row>
    <row r="23768" spans="2:2" s="221" customFormat="1" ht="12.75" x14ac:dyDescent="0.2">
      <c r="B23768" s="1168"/>
    </row>
    <row r="23769" spans="2:2" s="221" customFormat="1" ht="12.75" x14ac:dyDescent="0.2">
      <c r="B23769" s="1168"/>
    </row>
    <row r="23770" spans="2:2" s="221" customFormat="1" ht="12.75" x14ac:dyDescent="0.2">
      <c r="B23770" s="1168"/>
    </row>
    <row r="23771" spans="2:2" s="221" customFormat="1" ht="12.75" x14ac:dyDescent="0.2">
      <c r="B23771" s="1168"/>
    </row>
    <row r="23772" spans="2:2" s="221" customFormat="1" ht="12.75" x14ac:dyDescent="0.2">
      <c r="B23772" s="1168"/>
    </row>
    <row r="23773" spans="2:2" s="221" customFormat="1" ht="12.75" x14ac:dyDescent="0.2">
      <c r="B23773" s="1168"/>
    </row>
    <row r="23774" spans="2:2" s="221" customFormat="1" ht="12.75" x14ac:dyDescent="0.2">
      <c r="B23774" s="1168"/>
    </row>
    <row r="23775" spans="2:2" s="221" customFormat="1" ht="12.75" x14ac:dyDescent="0.2">
      <c r="B23775" s="1168"/>
    </row>
    <row r="23776" spans="2:2" s="221" customFormat="1" ht="12.75" x14ac:dyDescent="0.2">
      <c r="B23776" s="1168"/>
    </row>
    <row r="23777" spans="2:2" s="221" customFormat="1" ht="12.75" x14ac:dyDescent="0.2">
      <c r="B23777" s="1168"/>
    </row>
    <row r="23778" spans="2:2" s="221" customFormat="1" ht="12.75" x14ac:dyDescent="0.2">
      <c r="B23778" s="1168"/>
    </row>
    <row r="23779" spans="2:2" s="221" customFormat="1" ht="12.75" x14ac:dyDescent="0.2">
      <c r="B23779" s="1168"/>
    </row>
    <row r="23780" spans="2:2" s="221" customFormat="1" ht="12.75" x14ac:dyDescent="0.2">
      <c r="B23780" s="1168"/>
    </row>
    <row r="23781" spans="2:2" s="221" customFormat="1" ht="12.75" x14ac:dyDescent="0.2">
      <c r="B23781" s="1168"/>
    </row>
    <row r="23782" spans="2:2" s="221" customFormat="1" ht="12.75" x14ac:dyDescent="0.2">
      <c r="B23782" s="1168"/>
    </row>
    <row r="23783" spans="2:2" s="221" customFormat="1" ht="12.75" x14ac:dyDescent="0.2">
      <c r="B23783" s="1168"/>
    </row>
    <row r="23784" spans="2:2" s="221" customFormat="1" ht="12.75" x14ac:dyDescent="0.2">
      <c r="B23784" s="1168"/>
    </row>
    <row r="23785" spans="2:2" s="221" customFormat="1" ht="12.75" x14ac:dyDescent="0.2">
      <c r="B23785" s="1168"/>
    </row>
    <row r="23786" spans="2:2" s="221" customFormat="1" ht="12.75" x14ac:dyDescent="0.2">
      <c r="B23786" s="1168"/>
    </row>
    <row r="23787" spans="2:2" s="221" customFormat="1" ht="12.75" x14ac:dyDescent="0.2">
      <c r="B23787" s="1168"/>
    </row>
    <row r="23788" spans="2:2" s="221" customFormat="1" ht="12.75" x14ac:dyDescent="0.2">
      <c r="B23788" s="1168"/>
    </row>
    <row r="23789" spans="2:2" s="221" customFormat="1" ht="12.75" x14ac:dyDescent="0.2">
      <c r="B23789" s="1168"/>
    </row>
    <row r="23790" spans="2:2" s="221" customFormat="1" ht="12.75" x14ac:dyDescent="0.2">
      <c r="B23790" s="1168"/>
    </row>
    <row r="23791" spans="2:2" s="221" customFormat="1" ht="12.75" x14ac:dyDescent="0.2">
      <c r="B23791" s="1168"/>
    </row>
    <row r="23792" spans="2:2" s="221" customFormat="1" ht="12.75" x14ac:dyDescent="0.2">
      <c r="B23792" s="1168"/>
    </row>
    <row r="23793" spans="2:2" s="221" customFormat="1" ht="12.75" x14ac:dyDescent="0.2">
      <c r="B23793" s="1168"/>
    </row>
    <row r="23794" spans="2:2" s="221" customFormat="1" ht="12.75" x14ac:dyDescent="0.2">
      <c r="B23794" s="1168"/>
    </row>
    <row r="23795" spans="2:2" s="221" customFormat="1" ht="12.75" x14ac:dyDescent="0.2">
      <c r="B23795" s="1168"/>
    </row>
    <row r="23796" spans="2:2" s="221" customFormat="1" ht="12.75" x14ac:dyDescent="0.2">
      <c r="B23796" s="1168"/>
    </row>
    <row r="23797" spans="2:2" s="221" customFormat="1" ht="12.75" x14ac:dyDescent="0.2">
      <c r="B23797" s="1168"/>
    </row>
    <row r="23798" spans="2:2" s="221" customFormat="1" ht="12.75" x14ac:dyDescent="0.2">
      <c r="B23798" s="1168"/>
    </row>
    <row r="23799" spans="2:2" s="221" customFormat="1" ht="12.75" x14ac:dyDescent="0.2">
      <c r="B23799" s="1168"/>
    </row>
    <row r="23800" spans="2:2" s="221" customFormat="1" ht="12.75" x14ac:dyDescent="0.2">
      <c r="B23800" s="1168"/>
    </row>
    <row r="23801" spans="2:2" s="221" customFormat="1" ht="12.75" x14ac:dyDescent="0.2">
      <c r="B23801" s="1168"/>
    </row>
    <row r="23802" spans="2:2" s="221" customFormat="1" ht="12.75" x14ac:dyDescent="0.2">
      <c r="B23802" s="1168"/>
    </row>
    <row r="23803" spans="2:2" s="221" customFormat="1" ht="12.75" x14ac:dyDescent="0.2">
      <c r="B23803" s="1168"/>
    </row>
    <row r="23804" spans="2:2" s="221" customFormat="1" ht="12.75" x14ac:dyDescent="0.2">
      <c r="B23804" s="1168"/>
    </row>
    <row r="23805" spans="2:2" s="221" customFormat="1" ht="12.75" x14ac:dyDescent="0.2">
      <c r="B23805" s="1168"/>
    </row>
    <row r="23806" spans="2:2" s="221" customFormat="1" ht="12.75" x14ac:dyDescent="0.2">
      <c r="B23806" s="1168"/>
    </row>
    <row r="23807" spans="2:2" s="221" customFormat="1" ht="12.75" x14ac:dyDescent="0.2">
      <c r="B23807" s="1168"/>
    </row>
    <row r="23808" spans="2:2" s="221" customFormat="1" ht="12.75" x14ac:dyDescent="0.2">
      <c r="B23808" s="1168"/>
    </row>
    <row r="23809" spans="2:2" s="221" customFormat="1" ht="12.75" x14ac:dyDescent="0.2">
      <c r="B23809" s="1168"/>
    </row>
    <row r="23810" spans="2:2" s="221" customFormat="1" ht="12.75" x14ac:dyDescent="0.2">
      <c r="B23810" s="1168"/>
    </row>
    <row r="23811" spans="2:2" s="221" customFormat="1" ht="12.75" x14ac:dyDescent="0.2">
      <c r="B23811" s="1168"/>
    </row>
    <row r="23812" spans="2:2" s="221" customFormat="1" ht="12.75" x14ac:dyDescent="0.2">
      <c r="B23812" s="1168"/>
    </row>
    <row r="23813" spans="2:2" s="221" customFormat="1" ht="12.75" x14ac:dyDescent="0.2">
      <c r="B23813" s="1168"/>
    </row>
    <row r="23814" spans="2:2" s="221" customFormat="1" ht="12.75" x14ac:dyDescent="0.2">
      <c r="B23814" s="1168"/>
    </row>
    <row r="23815" spans="2:2" s="221" customFormat="1" ht="12.75" x14ac:dyDescent="0.2">
      <c r="B23815" s="1168"/>
    </row>
    <row r="23816" spans="2:2" s="221" customFormat="1" ht="12.75" x14ac:dyDescent="0.2">
      <c r="B23816" s="1168"/>
    </row>
    <row r="23817" spans="2:2" s="221" customFormat="1" ht="12.75" x14ac:dyDescent="0.2">
      <c r="B23817" s="1168"/>
    </row>
    <row r="23818" spans="2:2" s="221" customFormat="1" ht="12.75" x14ac:dyDescent="0.2">
      <c r="B23818" s="1168"/>
    </row>
    <row r="23819" spans="2:2" s="221" customFormat="1" ht="12.75" x14ac:dyDescent="0.2">
      <c r="B23819" s="1168"/>
    </row>
    <row r="23820" spans="2:2" s="221" customFormat="1" ht="12.75" x14ac:dyDescent="0.2">
      <c r="B23820" s="1168"/>
    </row>
    <row r="23821" spans="2:2" s="221" customFormat="1" ht="12.75" x14ac:dyDescent="0.2">
      <c r="B23821" s="1168"/>
    </row>
    <row r="23822" spans="2:2" s="221" customFormat="1" ht="12.75" x14ac:dyDescent="0.2">
      <c r="B23822" s="1168"/>
    </row>
    <row r="23823" spans="2:2" s="221" customFormat="1" ht="12.75" x14ac:dyDescent="0.2">
      <c r="B23823" s="1168"/>
    </row>
    <row r="23824" spans="2:2" s="221" customFormat="1" ht="12.75" x14ac:dyDescent="0.2">
      <c r="B23824" s="1168"/>
    </row>
    <row r="23825" spans="2:2" s="221" customFormat="1" ht="12.75" x14ac:dyDescent="0.2">
      <c r="B23825" s="1168"/>
    </row>
    <row r="23826" spans="2:2" s="221" customFormat="1" ht="12.75" x14ac:dyDescent="0.2">
      <c r="B23826" s="1168"/>
    </row>
    <row r="23827" spans="2:2" s="221" customFormat="1" ht="12.75" x14ac:dyDescent="0.2">
      <c r="B23827" s="1168"/>
    </row>
    <row r="23828" spans="2:2" s="221" customFormat="1" ht="12.75" x14ac:dyDescent="0.2">
      <c r="B23828" s="1168"/>
    </row>
    <row r="23829" spans="2:2" s="221" customFormat="1" ht="12.75" x14ac:dyDescent="0.2">
      <c r="B23829" s="1168"/>
    </row>
    <row r="23830" spans="2:2" s="221" customFormat="1" ht="12.75" x14ac:dyDescent="0.2">
      <c r="B23830" s="1168"/>
    </row>
    <row r="23831" spans="2:2" s="221" customFormat="1" ht="12.75" x14ac:dyDescent="0.2">
      <c r="B23831" s="1168"/>
    </row>
    <row r="23832" spans="2:2" s="221" customFormat="1" ht="12.75" x14ac:dyDescent="0.2">
      <c r="B23832" s="1168"/>
    </row>
    <row r="23833" spans="2:2" s="221" customFormat="1" ht="12.75" x14ac:dyDescent="0.2">
      <c r="B23833" s="1168"/>
    </row>
    <row r="23834" spans="2:2" s="221" customFormat="1" ht="12.75" x14ac:dyDescent="0.2">
      <c r="B23834" s="1168"/>
    </row>
    <row r="23835" spans="2:2" s="221" customFormat="1" ht="12.75" x14ac:dyDescent="0.2">
      <c r="B23835" s="1168"/>
    </row>
    <row r="23836" spans="2:2" s="221" customFormat="1" ht="12.75" x14ac:dyDescent="0.2">
      <c r="B23836" s="1168"/>
    </row>
    <row r="23837" spans="2:2" s="221" customFormat="1" ht="12.75" x14ac:dyDescent="0.2">
      <c r="B23837" s="1168"/>
    </row>
    <row r="23838" spans="2:2" s="221" customFormat="1" ht="12.75" x14ac:dyDescent="0.2">
      <c r="B23838" s="1168"/>
    </row>
    <row r="23839" spans="2:2" s="221" customFormat="1" ht="12.75" x14ac:dyDescent="0.2">
      <c r="B23839" s="1168"/>
    </row>
    <row r="23840" spans="2:2" s="221" customFormat="1" ht="12.75" x14ac:dyDescent="0.2">
      <c r="B23840" s="1168"/>
    </row>
    <row r="23841" spans="2:2" s="221" customFormat="1" ht="12.75" x14ac:dyDescent="0.2">
      <c r="B23841" s="1168"/>
    </row>
    <row r="23842" spans="2:2" s="221" customFormat="1" ht="12.75" x14ac:dyDescent="0.2">
      <c r="B23842" s="1168"/>
    </row>
    <row r="23843" spans="2:2" s="221" customFormat="1" ht="12.75" x14ac:dyDescent="0.2">
      <c r="B23843" s="1168"/>
    </row>
    <row r="23844" spans="2:2" s="221" customFormat="1" ht="12.75" x14ac:dyDescent="0.2">
      <c r="B23844" s="1168"/>
    </row>
    <row r="23845" spans="2:2" s="221" customFormat="1" ht="12.75" x14ac:dyDescent="0.2">
      <c r="B23845" s="1168"/>
    </row>
    <row r="23846" spans="2:2" s="221" customFormat="1" ht="12.75" x14ac:dyDescent="0.2">
      <c r="B23846" s="1168"/>
    </row>
    <row r="23847" spans="2:2" s="221" customFormat="1" ht="12.75" x14ac:dyDescent="0.2">
      <c r="B23847" s="1168"/>
    </row>
    <row r="23848" spans="2:2" s="221" customFormat="1" ht="12.75" x14ac:dyDescent="0.2">
      <c r="B23848" s="1168"/>
    </row>
    <row r="23849" spans="2:2" s="221" customFormat="1" ht="12.75" x14ac:dyDescent="0.2">
      <c r="B23849" s="1168"/>
    </row>
    <row r="23850" spans="2:2" s="221" customFormat="1" ht="12.75" x14ac:dyDescent="0.2">
      <c r="B23850" s="1168"/>
    </row>
    <row r="23851" spans="2:2" s="221" customFormat="1" ht="12.75" x14ac:dyDescent="0.2">
      <c r="B23851" s="1168"/>
    </row>
    <row r="23852" spans="2:2" s="221" customFormat="1" ht="12.75" x14ac:dyDescent="0.2">
      <c r="B23852" s="1168"/>
    </row>
    <row r="23853" spans="2:2" s="221" customFormat="1" ht="12.75" x14ac:dyDescent="0.2">
      <c r="B23853" s="1168"/>
    </row>
    <row r="23854" spans="2:2" s="221" customFormat="1" ht="12.75" x14ac:dyDescent="0.2">
      <c r="B23854" s="1168"/>
    </row>
    <row r="23855" spans="2:2" s="221" customFormat="1" ht="12.75" x14ac:dyDescent="0.2">
      <c r="B23855" s="1168"/>
    </row>
    <row r="23856" spans="2:2" s="221" customFormat="1" ht="12.75" x14ac:dyDescent="0.2">
      <c r="B23856" s="1168"/>
    </row>
    <row r="23857" spans="2:2" s="221" customFormat="1" ht="12.75" x14ac:dyDescent="0.2">
      <c r="B23857" s="1168"/>
    </row>
    <row r="23858" spans="2:2" s="221" customFormat="1" ht="12.75" x14ac:dyDescent="0.2">
      <c r="B23858" s="1168"/>
    </row>
    <row r="23859" spans="2:2" s="221" customFormat="1" ht="12.75" x14ac:dyDescent="0.2">
      <c r="B23859" s="1168"/>
    </row>
    <row r="23860" spans="2:2" s="221" customFormat="1" ht="12.75" x14ac:dyDescent="0.2">
      <c r="B23860" s="1168"/>
    </row>
    <row r="23861" spans="2:2" s="221" customFormat="1" ht="12.75" x14ac:dyDescent="0.2">
      <c r="B23861" s="1168"/>
    </row>
    <row r="23862" spans="2:2" s="221" customFormat="1" ht="12.75" x14ac:dyDescent="0.2">
      <c r="B23862" s="1168"/>
    </row>
    <row r="23863" spans="2:2" s="221" customFormat="1" ht="12.75" x14ac:dyDescent="0.2">
      <c r="B23863" s="1168"/>
    </row>
    <row r="23864" spans="2:2" s="221" customFormat="1" ht="12.75" x14ac:dyDescent="0.2">
      <c r="B23864" s="1168"/>
    </row>
    <row r="23865" spans="2:2" s="221" customFormat="1" ht="12.75" x14ac:dyDescent="0.2">
      <c r="B23865" s="1168"/>
    </row>
    <row r="23866" spans="2:2" s="221" customFormat="1" ht="12.75" x14ac:dyDescent="0.2">
      <c r="B23866" s="1168"/>
    </row>
    <row r="23867" spans="2:2" s="221" customFormat="1" ht="12.75" x14ac:dyDescent="0.2">
      <c r="B23867" s="1168"/>
    </row>
    <row r="23868" spans="2:2" s="221" customFormat="1" ht="12.75" x14ac:dyDescent="0.2">
      <c r="B23868" s="1168"/>
    </row>
    <row r="23869" spans="2:2" s="221" customFormat="1" ht="12.75" x14ac:dyDescent="0.2">
      <c r="B23869" s="1168"/>
    </row>
    <row r="23870" spans="2:2" s="221" customFormat="1" ht="12.75" x14ac:dyDescent="0.2">
      <c r="B23870" s="1168"/>
    </row>
    <row r="23871" spans="2:2" s="221" customFormat="1" ht="12.75" x14ac:dyDescent="0.2">
      <c r="B23871" s="1168"/>
    </row>
    <row r="23872" spans="2:2" s="221" customFormat="1" ht="12.75" x14ac:dyDescent="0.2">
      <c r="B23872" s="1168"/>
    </row>
    <row r="23873" spans="2:2" s="221" customFormat="1" ht="12.75" x14ac:dyDescent="0.2">
      <c r="B23873" s="1168"/>
    </row>
    <row r="23874" spans="2:2" s="221" customFormat="1" ht="12.75" x14ac:dyDescent="0.2">
      <c r="B23874" s="1168"/>
    </row>
    <row r="23875" spans="2:2" s="221" customFormat="1" ht="12.75" x14ac:dyDescent="0.2">
      <c r="B23875" s="1168"/>
    </row>
    <row r="23876" spans="2:2" s="221" customFormat="1" ht="12.75" x14ac:dyDescent="0.2">
      <c r="B23876" s="1168"/>
    </row>
    <row r="23877" spans="2:2" s="221" customFormat="1" ht="12.75" x14ac:dyDescent="0.2">
      <c r="B23877" s="1168"/>
    </row>
    <row r="23878" spans="2:2" s="221" customFormat="1" ht="12.75" x14ac:dyDescent="0.2">
      <c r="B23878" s="1168"/>
    </row>
    <row r="23879" spans="2:2" s="221" customFormat="1" ht="12.75" x14ac:dyDescent="0.2">
      <c r="B23879" s="1168"/>
    </row>
    <row r="23880" spans="2:2" s="221" customFormat="1" ht="12.75" x14ac:dyDescent="0.2">
      <c r="B23880" s="1168"/>
    </row>
    <row r="23881" spans="2:2" s="221" customFormat="1" ht="12.75" x14ac:dyDescent="0.2">
      <c r="B23881" s="1168"/>
    </row>
    <row r="23882" spans="2:2" s="221" customFormat="1" ht="12.75" x14ac:dyDescent="0.2">
      <c r="B23882" s="1168"/>
    </row>
    <row r="23883" spans="2:2" s="221" customFormat="1" ht="12.75" x14ac:dyDescent="0.2">
      <c r="B23883" s="1168"/>
    </row>
    <row r="23884" spans="2:2" s="221" customFormat="1" ht="12.75" x14ac:dyDescent="0.2">
      <c r="B23884" s="1168"/>
    </row>
    <row r="23885" spans="2:2" s="221" customFormat="1" ht="12.75" x14ac:dyDescent="0.2">
      <c r="B23885" s="1168"/>
    </row>
    <row r="23886" spans="2:2" s="221" customFormat="1" ht="12.75" x14ac:dyDescent="0.2">
      <c r="B23886" s="1168"/>
    </row>
    <row r="23887" spans="2:2" s="221" customFormat="1" ht="12.75" x14ac:dyDescent="0.2">
      <c r="B23887" s="1168"/>
    </row>
    <row r="23888" spans="2:2" s="221" customFormat="1" ht="12.75" x14ac:dyDescent="0.2">
      <c r="B23888" s="1168"/>
    </row>
    <row r="23889" spans="2:2" s="221" customFormat="1" ht="12.75" x14ac:dyDescent="0.2">
      <c r="B23889" s="1168"/>
    </row>
    <row r="23890" spans="2:2" s="221" customFormat="1" ht="12.75" x14ac:dyDescent="0.2">
      <c r="B23890" s="1168"/>
    </row>
    <row r="23891" spans="2:2" s="221" customFormat="1" ht="12.75" x14ac:dyDescent="0.2">
      <c r="B23891" s="1168"/>
    </row>
    <row r="23892" spans="2:2" s="221" customFormat="1" ht="12.75" x14ac:dyDescent="0.2">
      <c r="B23892" s="1168"/>
    </row>
    <row r="23893" spans="2:2" s="221" customFormat="1" ht="12.75" x14ac:dyDescent="0.2">
      <c r="B23893" s="1168"/>
    </row>
    <row r="23894" spans="2:2" s="221" customFormat="1" ht="12.75" x14ac:dyDescent="0.2">
      <c r="B23894" s="1168"/>
    </row>
    <row r="23895" spans="2:2" s="221" customFormat="1" ht="12.75" x14ac:dyDescent="0.2">
      <c r="B23895" s="1168"/>
    </row>
    <row r="23896" spans="2:2" s="221" customFormat="1" ht="12.75" x14ac:dyDescent="0.2">
      <c r="B23896" s="1168"/>
    </row>
    <row r="23897" spans="2:2" s="221" customFormat="1" ht="12.75" x14ac:dyDescent="0.2">
      <c r="B23897" s="1168"/>
    </row>
    <row r="23898" spans="2:2" s="221" customFormat="1" ht="12.75" x14ac:dyDescent="0.2">
      <c r="B23898" s="1168"/>
    </row>
    <row r="23899" spans="2:2" s="221" customFormat="1" ht="12.75" x14ac:dyDescent="0.2">
      <c r="B23899" s="1168"/>
    </row>
    <row r="23900" spans="2:2" s="221" customFormat="1" ht="12.75" x14ac:dyDescent="0.2">
      <c r="B23900" s="1168"/>
    </row>
    <row r="23901" spans="2:2" s="221" customFormat="1" ht="12.75" x14ac:dyDescent="0.2">
      <c r="B23901" s="1168"/>
    </row>
    <row r="23902" spans="2:2" s="221" customFormat="1" ht="12.75" x14ac:dyDescent="0.2">
      <c r="B23902" s="1168"/>
    </row>
    <row r="23903" spans="2:2" s="221" customFormat="1" ht="12.75" x14ac:dyDescent="0.2">
      <c r="B23903" s="1168"/>
    </row>
    <row r="23904" spans="2:2" s="221" customFormat="1" ht="12.75" x14ac:dyDescent="0.2">
      <c r="B23904" s="1168"/>
    </row>
    <row r="23905" spans="2:2" s="221" customFormat="1" ht="12.75" x14ac:dyDescent="0.2">
      <c r="B23905" s="1168"/>
    </row>
    <row r="23906" spans="2:2" s="221" customFormat="1" ht="12.75" x14ac:dyDescent="0.2">
      <c r="B23906" s="1168"/>
    </row>
    <row r="23907" spans="2:2" s="221" customFormat="1" ht="12.75" x14ac:dyDescent="0.2">
      <c r="B23907" s="1168"/>
    </row>
    <row r="23908" spans="2:2" s="221" customFormat="1" ht="12.75" x14ac:dyDescent="0.2">
      <c r="B23908" s="1168"/>
    </row>
    <row r="23909" spans="2:2" s="221" customFormat="1" ht="12.75" x14ac:dyDescent="0.2">
      <c r="B23909" s="1168"/>
    </row>
    <row r="23910" spans="2:2" s="221" customFormat="1" ht="12.75" x14ac:dyDescent="0.2">
      <c r="B23910" s="1168"/>
    </row>
    <row r="23911" spans="2:2" s="221" customFormat="1" ht="12.75" x14ac:dyDescent="0.2">
      <c r="B23911" s="1168"/>
    </row>
    <row r="23912" spans="2:2" s="221" customFormat="1" ht="12.75" x14ac:dyDescent="0.2">
      <c r="B23912" s="1168"/>
    </row>
    <row r="23913" spans="2:2" s="221" customFormat="1" ht="12.75" x14ac:dyDescent="0.2">
      <c r="B23913" s="1168"/>
    </row>
    <row r="23914" spans="2:2" s="221" customFormat="1" ht="12.75" x14ac:dyDescent="0.2">
      <c r="B23914" s="1168"/>
    </row>
    <row r="23915" spans="2:2" s="221" customFormat="1" ht="12.75" x14ac:dyDescent="0.2">
      <c r="B23915" s="1168"/>
    </row>
    <row r="23916" spans="2:2" s="221" customFormat="1" ht="12.75" x14ac:dyDescent="0.2">
      <c r="B23916" s="1168"/>
    </row>
    <row r="23917" spans="2:2" s="221" customFormat="1" ht="12.75" x14ac:dyDescent="0.2">
      <c r="B23917" s="1168"/>
    </row>
    <row r="23918" spans="2:2" s="221" customFormat="1" ht="12.75" x14ac:dyDescent="0.2">
      <c r="B23918" s="1168"/>
    </row>
    <row r="23919" spans="2:2" s="221" customFormat="1" ht="12.75" x14ac:dyDescent="0.2">
      <c r="B23919" s="1168"/>
    </row>
    <row r="23920" spans="2:2" s="221" customFormat="1" ht="12.75" x14ac:dyDescent="0.2">
      <c r="B23920" s="1168"/>
    </row>
    <row r="23921" spans="2:2" s="221" customFormat="1" ht="12.75" x14ac:dyDescent="0.2">
      <c r="B23921" s="1168"/>
    </row>
    <row r="23922" spans="2:2" s="221" customFormat="1" ht="12.75" x14ac:dyDescent="0.2">
      <c r="B23922" s="1168"/>
    </row>
    <row r="23923" spans="2:2" s="221" customFormat="1" ht="12.75" x14ac:dyDescent="0.2">
      <c r="B23923" s="1168"/>
    </row>
    <row r="23924" spans="2:2" s="221" customFormat="1" ht="12.75" x14ac:dyDescent="0.2">
      <c r="B23924" s="1168"/>
    </row>
    <row r="23925" spans="2:2" s="221" customFormat="1" ht="12.75" x14ac:dyDescent="0.2">
      <c r="B23925" s="1168"/>
    </row>
    <row r="23926" spans="2:2" s="221" customFormat="1" ht="12.75" x14ac:dyDescent="0.2">
      <c r="B23926" s="1168"/>
    </row>
    <row r="23927" spans="2:2" s="221" customFormat="1" ht="12.75" x14ac:dyDescent="0.2">
      <c r="B23927" s="1168"/>
    </row>
    <row r="23928" spans="2:2" s="221" customFormat="1" ht="12.75" x14ac:dyDescent="0.2">
      <c r="B23928" s="1168"/>
    </row>
    <row r="23929" spans="2:2" s="221" customFormat="1" ht="12.75" x14ac:dyDescent="0.2">
      <c r="B23929" s="1168"/>
    </row>
    <row r="23930" spans="2:2" s="221" customFormat="1" ht="12.75" x14ac:dyDescent="0.2">
      <c r="B23930" s="1168"/>
    </row>
    <row r="23931" spans="2:2" s="221" customFormat="1" ht="12.75" x14ac:dyDescent="0.2">
      <c r="B23931" s="1168"/>
    </row>
    <row r="23932" spans="2:2" s="221" customFormat="1" ht="12.75" x14ac:dyDescent="0.2">
      <c r="B23932" s="1168"/>
    </row>
    <row r="23933" spans="2:2" s="221" customFormat="1" ht="12.75" x14ac:dyDescent="0.2">
      <c r="B23933" s="1168"/>
    </row>
    <row r="23934" spans="2:2" s="221" customFormat="1" ht="12.75" x14ac:dyDescent="0.2">
      <c r="B23934" s="1168"/>
    </row>
    <row r="23935" spans="2:2" s="221" customFormat="1" ht="12.75" x14ac:dyDescent="0.2">
      <c r="B23935" s="1168"/>
    </row>
    <row r="23936" spans="2:2" s="221" customFormat="1" ht="12.75" x14ac:dyDescent="0.2">
      <c r="B23936" s="1168"/>
    </row>
    <row r="23937" spans="2:2" s="221" customFormat="1" ht="12.75" x14ac:dyDescent="0.2">
      <c r="B23937" s="1168"/>
    </row>
    <row r="23938" spans="2:2" s="221" customFormat="1" ht="12.75" x14ac:dyDescent="0.2">
      <c r="B23938" s="1168"/>
    </row>
    <row r="23939" spans="2:2" s="221" customFormat="1" ht="12.75" x14ac:dyDescent="0.2">
      <c r="B23939" s="1168"/>
    </row>
    <row r="23940" spans="2:2" s="221" customFormat="1" ht="12.75" x14ac:dyDescent="0.2">
      <c r="B23940" s="1168"/>
    </row>
    <row r="23941" spans="2:2" s="221" customFormat="1" ht="12.75" x14ac:dyDescent="0.2">
      <c r="B23941" s="1168"/>
    </row>
    <row r="23942" spans="2:2" s="221" customFormat="1" ht="12.75" x14ac:dyDescent="0.2">
      <c r="B23942" s="1168"/>
    </row>
    <row r="23943" spans="2:2" s="221" customFormat="1" ht="12.75" x14ac:dyDescent="0.2">
      <c r="B23943" s="1168"/>
    </row>
    <row r="23944" spans="2:2" s="221" customFormat="1" ht="12.75" x14ac:dyDescent="0.2">
      <c r="B23944" s="1168"/>
    </row>
    <row r="23945" spans="2:2" s="221" customFormat="1" ht="12.75" x14ac:dyDescent="0.2">
      <c r="B23945" s="1168"/>
    </row>
    <row r="23946" spans="2:2" s="221" customFormat="1" ht="12.75" x14ac:dyDescent="0.2">
      <c r="B23946" s="1168"/>
    </row>
    <row r="23947" spans="2:2" s="221" customFormat="1" ht="12.75" x14ac:dyDescent="0.2">
      <c r="B23947" s="1168"/>
    </row>
    <row r="23948" spans="2:2" s="221" customFormat="1" ht="12.75" x14ac:dyDescent="0.2">
      <c r="B23948" s="1168"/>
    </row>
    <row r="23949" spans="2:2" s="221" customFormat="1" ht="12.75" x14ac:dyDescent="0.2">
      <c r="B23949" s="1168"/>
    </row>
    <row r="23950" spans="2:2" s="221" customFormat="1" ht="12.75" x14ac:dyDescent="0.2">
      <c r="B23950" s="1168"/>
    </row>
    <row r="23951" spans="2:2" s="221" customFormat="1" ht="12.75" x14ac:dyDescent="0.2">
      <c r="B23951" s="1168"/>
    </row>
    <row r="23952" spans="2:2" s="221" customFormat="1" ht="12.75" x14ac:dyDescent="0.2">
      <c r="B23952" s="1168"/>
    </row>
    <row r="23953" spans="2:2" s="221" customFormat="1" ht="12.75" x14ac:dyDescent="0.2">
      <c r="B23953" s="1168"/>
    </row>
    <row r="23954" spans="2:2" s="221" customFormat="1" ht="12.75" x14ac:dyDescent="0.2">
      <c r="B23954" s="1168"/>
    </row>
    <row r="23955" spans="2:2" s="221" customFormat="1" ht="12.75" x14ac:dyDescent="0.2">
      <c r="B23955" s="1168"/>
    </row>
    <row r="23956" spans="2:2" s="221" customFormat="1" ht="12.75" x14ac:dyDescent="0.2">
      <c r="B23956" s="1168"/>
    </row>
    <row r="23957" spans="2:2" s="221" customFormat="1" ht="12.75" x14ac:dyDescent="0.2">
      <c r="B23957" s="1168"/>
    </row>
    <row r="23958" spans="2:2" s="221" customFormat="1" ht="12.75" x14ac:dyDescent="0.2">
      <c r="B23958" s="1168"/>
    </row>
    <row r="23959" spans="2:2" s="221" customFormat="1" ht="12.75" x14ac:dyDescent="0.2">
      <c r="B23959" s="1168"/>
    </row>
    <row r="23960" spans="2:2" s="221" customFormat="1" ht="12.75" x14ac:dyDescent="0.2">
      <c r="B23960" s="1168"/>
    </row>
    <row r="23961" spans="2:2" s="221" customFormat="1" ht="12.75" x14ac:dyDescent="0.2">
      <c r="B23961" s="1168"/>
    </row>
    <row r="23962" spans="2:2" s="221" customFormat="1" ht="12.75" x14ac:dyDescent="0.2">
      <c r="B23962" s="1168"/>
    </row>
    <row r="23963" spans="2:2" s="221" customFormat="1" ht="12.75" x14ac:dyDescent="0.2">
      <c r="B23963" s="1168"/>
    </row>
    <row r="23964" spans="2:2" s="221" customFormat="1" ht="12.75" x14ac:dyDescent="0.2">
      <c r="B23964" s="1168"/>
    </row>
    <row r="23965" spans="2:2" s="221" customFormat="1" ht="12.75" x14ac:dyDescent="0.2">
      <c r="B23965" s="1168"/>
    </row>
    <row r="23966" spans="2:2" s="221" customFormat="1" ht="12.75" x14ac:dyDescent="0.2">
      <c r="B23966" s="1168"/>
    </row>
    <row r="23967" spans="2:2" s="221" customFormat="1" ht="12.75" x14ac:dyDescent="0.2">
      <c r="B23967" s="1168"/>
    </row>
    <row r="23968" spans="2:2" s="221" customFormat="1" ht="12.75" x14ac:dyDescent="0.2">
      <c r="B23968" s="1168"/>
    </row>
    <row r="23969" spans="2:2" s="221" customFormat="1" ht="12.75" x14ac:dyDescent="0.2">
      <c r="B23969" s="1168"/>
    </row>
    <row r="23970" spans="2:2" s="221" customFormat="1" ht="12.75" x14ac:dyDescent="0.2">
      <c r="B23970" s="1168"/>
    </row>
    <row r="23971" spans="2:2" s="221" customFormat="1" ht="12.75" x14ac:dyDescent="0.2">
      <c r="B23971" s="1168"/>
    </row>
    <row r="23972" spans="2:2" s="221" customFormat="1" ht="12.75" x14ac:dyDescent="0.2">
      <c r="B23972" s="1168"/>
    </row>
    <row r="23973" spans="2:2" s="221" customFormat="1" ht="12.75" x14ac:dyDescent="0.2">
      <c r="B23973" s="1168"/>
    </row>
    <row r="23974" spans="2:2" s="221" customFormat="1" ht="12.75" x14ac:dyDescent="0.2">
      <c r="B23974" s="1168"/>
    </row>
    <row r="23975" spans="2:2" s="221" customFormat="1" ht="12.75" x14ac:dyDescent="0.2">
      <c r="B23975" s="1168"/>
    </row>
    <row r="23976" spans="2:2" s="221" customFormat="1" ht="12.75" x14ac:dyDescent="0.2">
      <c r="B23976" s="1168"/>
    </row>
    <row r="23977" spans="2:2" s="221" customFormat="1" ht="12.75" x14ac:dyDescent="0.2">
      <c r="B23977" s="1168"/>
    </row>
    <row r="23978" spans="2:2" s="221" customFormat="1" ht="12.75" x14ac:dyDescent="0.2">
      <c r="B23978" s="1168"/>
    </row>
    <row r="23979" spans="2:2" s="221" customFormat="1" ht="12.75" x14ac:dyDescent="0.2">
      <c r="B23979" s="1168"/>
    </row>
    <row r="23980" spans="2:2" s="221" customFormat="1" ht="12.75" x14ac:dyDescent="0.2">
      <c r="B23980" s="1168"/>
    </row>
    <row r="23981" spans="2:2" s="221" customFormat="1" ht="12.75" x14ac:dyDescent="0.2">
      <c r="B23981" s="1168"/>
    </row>
    <row r="23982" spans="2:2" s="221" customFormat="1" ht="12.75" x14ac:dyDescent="0.2">
      <c r="B23982" s="1168"/>
    </row>
    <row r="23983" spans="2:2" s="221" customFormat="1" ht="12.75" x14ac:dyDescent="0.2">
      <c r="B23983" s="1168"/>
    </row>
    <row r="23984" spans="2:2" s="221" customFormat="1" ht="12.75" x14ac:dyDescent="0.2">
      <c r="B23984" s="1168"/>
    </row>
    <row r="23985" spans="2:2" s="221" customFormat="1" ht="12.75" x14ac:dyDescent="0.2">
      <c r="B23985" s="1168"/>
    </row>
    <row r="23986" spans="2:2" s="221" customFormat="1" ht="12.75" x14ac:dyDescent="0.2">
      <c r="B23986" s="1168"/>
    </row>
    <row r="23987" spans="2:2" s="221" customFormat="1" ht="12.75" x14ac:dyDescent="0.2">
      <c r="B23987" s="1168"/>
    </row>
    <row r="23988" spans="2:2" s="221" customFormat="1" ht="12.75" x14ac:dyDescent="0.2">
      <c r="B23988" s="1168"/>
    </row>
    <row r="23989" spans="2:2" s="221" customFormat="1" ht="12.75" x14ac:dyDescent="0.2">
      <c r="B23989" s="1168"/>
    </row>
    <row r="23990" spans="2:2" s="221" customFormat="1" ht="12.75" x14ac:dyDescent="0.2">
      <c r="B23990" s="1168"/>
    </row>
    <row r="23991" spans="2:2" s="221" customFormat="1" ht="12.75" x14ac:dyDescent="0.2">
      <c r="B23991" s="1168"/>
    </row>
    <row r="23992" spans="2:2" s="221" customFormat="1" ht="12.75" x14ac:dyDescent="0.2">
      <c r="B23992" s="1168"/>
    </row>
    <row r="23993" spans="2:2" s="221" customFormat="1" ht="12.75" x14ac:dyDescent="0.2">
      <c r="B23993" s="1168"/>
    </row>
    <row r="23994" spans="2:2" s="221" customFormat="1" ht="12.75" x14ac:dyDescent="0.2">
      <c r="B23994" s="1168"/>
    </row>
    <row r="23995" spans="2:2" s="221" customFormat="1" ht="12.75" x14ac:dyDescent="0.2">
      <c r="B23995" s="1168"/>
    </row>
    <row r="23996" spans="2:2" s="221" customFormat="1" ht="12.75" x14ac:dyDescent="0.2">
      <c r="B23996" s="1168"/>
    </row>
    <row r="23997" spans="2:2" s="221" customFormat="1" ht="12.75" x14ac:dyDescent="0.2">
      <c r="B23997" s="1168"/>
    </row>
    <row r="23998" spans="2:2" s="221" customFormat="1" ht="12.75" x14ac:dyDescent="0.2">
      <c r="B23998" s="1168"/>
    </row>
    <row r="23999" spans="2:2" s="221" customFormat="1" ht="12.75" x14ac:dyDescent="0.2">
      <c r="B23999" s="1168"/>
    </row>
    <row r="24000" spans="2:2" s="221" customFormat="1" ht="12.75" x14ac:dyDescent="0.2">
      <c r="B24000" s="1168"/>
    </row>
    <row r="24001" spans="2:2" s="221" customFormat="1" ht="12.75" x14ac:dyDescent="0.2">
      <c r="B24001" s="1168"/>
    </row>
    <row r="24002" spans="2:2" s="221" customFormat="1" ht="12.75" x14ac:dyDescent="0.2">
      <c r="B24002" s="1168"/>
    </row>
    <row r="24003" spans="2:2" s="221" customFormat="1" ht="12.75" x14ac:dyDescent="0.2">
      <c r="B24003" s="1168"/>
    </row>
    <row r="24004" spans="2:2" s="221" customFormat="1" ht="12.75" x14ac:dyDescent="0.2">
      <c r="B24004" s="1168"/>
    </row>
    <row r="24005" spans="2:2" s="221" customFormat="1" ht="12.75" x14ac:dyDescent="0.2">
      <c r="B24005" s="1168"/>
    </row>
    <row r="24006" spans="2:2" s="221" customFormat="1" ht="12.75" x14ac:dyDescent="0.2">
      <c r="B24006" s="1168"/>
    </row>
    <row r="24007" spans="2:2" s="221" customFormat="1" ht="12.75" x14ac:dyDescent="0.2">
      <c r="B24007" s="1168"/>
    </row>
    <row r="24008" spans="2:2" s="221" customFormat="1" ht="12.75" x14ac:dyDescent="0.2">
      <c r="B24008" s="1168"/>
    </row>
    <row r="24009" spans="2:2" s="221" customFormat="1" ht="12.75" x14ac:dyDescent="0.2">
      <c r="B24009" s="1168"/>
    </row>
    <row r="24010" spans="2:2" s="221" customFormat="1" ht="12.75" x14ac:dyDescent="0.2">
      <c r="B24010" s="1168"/>
    </row>
    <row r="24011" spans="2:2" s="221" customFormat="1" ht="12.75" x14ac:dyDescent="0.2">
      <c r="B24011" s="1168"/>
    </row>
    <row r="24012" spans="2:2" s="221" customFormat="1" ht="12.75" x14ac:dyDescent="0.2">
      <c r="B24012" s="1168"/>
    </row>
    <row r="24013" spans="2:2" s="221" customFormat="1" ht="12.75" x14ac:dyDescent="0.2">
      <c r="B24013" s="1168"/>
    </row>
    <row r="24014" spans="2:2" s="221" customFormat="1" ht="12.75" x14ac:dyDescent="0.2">
      <c r="B24014" s="1168"/>
    </row>
    <row r="24015" spans="2:2" s="221" customFormat="1" ht="12.75" x14ac:dyDescent="0.2">
      <c r="B24015" s="1168"/>
    </row>
    <row r="24016" spans="2:2" s="221" customFormat="1" ht="12.75" x14ac:dyDescent="0.2">
      <c r="B24016" s="1168"/>
    </row>
    <row r="24017" spans="2:2" s="221" customFormat="1" ht="12.75" x14ac:dyDescent="0.2">
      <c r="B24017" s="1168"/>
    </row>
    <row r="24018" spans="2:2" s="221" customFormat="1" ht="12.75" x14ac:dyDescent="0.2">
      <c r="B24018" s="1168"/>
    </row>
    <row r="24019" spans="2:2" s="221" customFormat="1" ht="12.75" x14ac:dyDescent="0.2">
      <c r="B24019" s="1168"/>
    </row>
    <row r="24020" spans="2:2" s="221" customFormat="1" ht="12.75" x14ac:dyDescent="0.2">
      <c r="B24020" s="1168"/>
    </row>
    <row r="24021" spans="2:2" s="221" customFormat="1" ht="12.75" x14ac:dyDescent="0.2">
      <c r="B24021" s="1168"/>
    </row>
    <row r="24022" spans="2:2" s="221" customFormat="1" ht="12.75" x14ac:dyDescent="0.2">
      <c r="B24022" s="1168"/>
    </row>
    <row r="24023" spans="2:2" s="221" customFormat="1" ht="12.75" x14ac:dyDescent="0.2">
      <c r="B24023" s="1168"/>
    </row>
    <row r="24024" spans="2:2" s="221" customFormat="1" ht="12.75" x14ac:dyDescent="0.2">
      <c r="B24024" s="1168"/>
    </row>
    <row r="24025" spans="2:2" s="221" customFormat="1" ht="12.75" x14ac:dyDescent="0.2">
      <c r="B24025" s="1168"/>
    </row>
    <row r="24026" spans="2:2" s="221" customFormat="1" ht="12.75" x14ac:dyDescent="0.2">
      <c r="B24026" s="1168"/>
    </row>
    <row r="24027" spans="2:2" s="221" customFormat="1" ht="12.75" x14ac:dyDescent="0.2">
      <c r="B24027" s="1168"/>
    </row>
    <row r="24028" spans="2:2" s="221" customFormat="1" ht="12.75" x14ac:dyDescent="0.2">
      <c r="B24028" s="1168"/>
    </row>
    <row r="24029" spans="2:2" s="221" customFormat="1" ht="12.75" x14ac:dyDescent="0.2">
      <c r="B24029" s="1168"/>
    </row>
    <row r="24030" spans="2:2" s="221" customFormat="1" ht="12.75" x14ac:dyDescent="0.2">
      <c r="B24030" s="1168"/>
    </row>
    <row r="24031" spans="2:2" s="221" customFormat="1" ht="12.75" x14ac:dyDescent="0.2">
      <c r="B24031" s="1168"/>
    </row>
    <row r="24032" spans="2:2" s="221" customFormat="1" ht="12.75" x14ac:dyDescent="0.2">
      <c r="B24032" s="1168"/>
    </row>
    <row r="24033" spans="2:2" s="221" customFormat="1" ht="12.75" x14ac:dyDescent="0.2">
      <c r="B24033" s="1168"/>
    </row>
    <row r="24034" spans="2:2" s="221" customFormat="1" ht="12.75" x14ac:dyDescent="0.2">
      <c r="B24034" s="1168"/>
    </row>
    <row r="24035" spans="2:2" s="221" customFormat="1" ht="12.75" x14ac:dyDescent="0.2">
      <c r="B24035" s="1168"/>
    </row>
    <row r="24036" spans="2:2" s="221" customFormat="1" ht="12.75" x14ac:dyDescent="0.2">
      <c r="B24036" s="1168"/>
    </row>
    <row r="24037" spans="2:2" s="221" customFormat="1" ht="12.75" x14ac:dyDescent="0.2">
      <c r="B24037" s="1168"/>
    </row>
    <row r="24038" spans="2:2" s="221" customFormat="1" ht="12.75" x14ac:dyDescent="0.2">
      <c r="B24038" s="1168"/>
    </row>
    <row r="24039" spans="2:2" s="221" customFormat="1" ht="12.75" x14ac:dyDescent="0.2">
      <c r="B24039" s="1168"/>
    </row>
    <row r="24040" spans="2:2" s="221" customFormat="1" ht="12.75" x14ac:dyDescent="0.2">
      <c r="B24040" s="1168"/>
    </row>
    <row r="24041" spans="2:2" s="221" customFormat="1" ht="12.75" x14ac:dyDescent="0.2">
      <c r="B24041" s="1168"/>
    </row>
    <row r="24042" spans="2:2" s="221" customFormat="1" ht="12.75" x14ac:dyDescent="0.2">
      <c r="B24042" s="1168"/>
    </row>
    <row r="24043" spans="2:2" s="221" customFormat="1" ht="12.75" x14ac:dyDescent="0.2">
      <c r="B24043" s="1168"/>
    </row>
    <row r="24044" spans="2:2" s="221" customFormat="1" ht="12.75" x14ac:dyDescent="0.2">
      <c r="B24044" s="1168"/>
    </row>
    <row r="24045" spans="2:2" s="221" customFormat="1" ht="12.75" x14ac:dyDescent="0.2">
      <c r="B24045" s="1168"/>
    </row>
    <row r="24046" spans="2:2" s="221" customFormat="1" ht="12.75" x14ac:dyDescent="0.2">
      <c r="B24046" s="1168"/>
    </row>
    <row r="24047" spans="2:2" s="221" customFormat="1" ht="12.75" x14ac:dyDescent="0.2">
      <c r="B24047" s="1168"/>
    </row>
    <row r="24048" spans="2:2" s="221" customFormat="1" ht="12.75" x14ac:dyDescent="0.2">
      <c r="B24048" s="1168"/>
    </row>
    <row r="24049" spans="2:2" s="221" customFormat="1" ht="12.75" x14ac:dyDescent="0.2">
      <c r="B24049" s="1168"/>
    </row>
    <row r="24050" spans="2:2" s="221" customFormat="1" ht="12.75" x14ac:dyDescent="0.2">
      <c r="B24050" s="1168"/>
    </row>
    <row r="24051" spans="2:2" s="221" customFormat="1" ht="12.75" x14ac:dyDescent="0.2">
      <c r="B24051" s="1168"/>
    </row>
    <row r="24052" spans="2:2" s="221" customFormat="1" ht="12.75" x14ac:dyDescent="0.2">
      <c r="B24052" s="1168"/>
    </row>
    <row r="24053" spans="2:2" s="221" customFormat="1" ht="12.75" x14ac:dyDescent="0.2">
      <c r="B24053" s="1168"/>
    </row>
    <row r="24054" spans="2:2" s="221" customFormat="1" ht="12.75" x14ac:dyDescent="0.2">
      <c r="B24054" s="1168"/>
    </row>
    <row r="24055" spans="2:2" s="221" customFormat="1" ht="12.75" x14ac:dyDescent="0.2">
      <c r="B24055" s="1168"/>
    </row>
    <row r="24056" spans="2:2" s="221" customFormat="1" ht="12.75" x14ac:dyDescent="0.2">
      <c r="B24056" s="1168"/>
    </row>
    <row r="24057" spans="2:2" s="221" customFormat="1" ht="12.75" x14ac:dyDescent="0.2">
      <c r="B24057" s="1168"/>
    </row>
    <row r="24058" spans="2:2" s="221" customFormat="1" ht="12.75" x14ac:dyDescent="0.2">
      <c r="B24058" s="1168"/>
    </row>
    <row r="24059" spans="2:2" s="221" customFormat="1" ht="12.75" x14ac:dyDescent="0.2">
      <c r="B24059" s="1168"/>
    </row>
    <row r="24060" spans="2:2" s="221" customFormat="1" ht="12.75" x14ac:dyDescent="0.2">
      <c r="B24060" s="1168"/>
    </row>
    <row r="24061" spans="2:2" s="221" customFormat="1" ht="12.75" x14ac:dyDescent="0.2">
      <c r="B24061" s="1168"/>
    </row>
    <row r="24062" spans="2:2" s="221" customFormat="1" ht="12.75" x14ac:dyDescent="0.2">
      <c r="B24062" s="1168"/>
    </row>
    <row r="24063" spans="2:2" s="221" customFormat="1" ht="12.75" x14ac:dyDescent="0.2">
      <c r="B24063" s="1168"/>
    </row>
    <row r="24064" spans="2:2" s="221" customFormat="1" ht="12.75" x14ac:dyDescent="0.2">
      <c r="B24064" s="1168"/>
    </row>
    <row r="24065" spans="2:2" s="221" customFormat="1" ht="12.75" x14ac:dyDescent="0.2">
      <c r="B24065" s="1168"/>
    </row>
    <row r="24066" spans="2:2" s="221" customFormat="1" ht="12.75" x14ac:dyDescent="0.2">
      <c r="B24066" s="1168"/>
    </row>
    <row r="24067" spans="2:2" s="221" customFormat="1" ht="12.75" x14ac:dyDescent="0.2">
      <c r="B24067" s="1168"/>
    </row>
    <row r="24068" spans="2:2" s="221" customFormat="1" ht="12.75" x14ac:dyDescent="0.2">
      <c r="B24068" s="1168"/>
    </row>
    <row r="24069" spans="2:2" s="221" customFormat="1" ht="12.75" x14ac:dyDescent="0.2">
      <c r="B24069" s="1168"/>
    </row>
    <row r="24070" spans="2:2" s="221" customFormat="1" ht="12.75" x14ac:dyDescent="0.2">
      <c r="B24070" s="1168"/>
    </row>
    <row r="24071" spans="2:2" s="221" customFormat="1" ht="12.75" x14ac:dyDescent="0.2">
      <c r="B24071" s="1168"/>
    </row>
    <row r="24072" spans="2:2" s="221" customFormat="1" ht="12.75" x14ac:dyDescent="0.2">
      <c r="B24072" s="1168"/>
    </row>
    <row r="24073" spans="2:2" s="221" customFormat="1" ht="12.75" x14ac:dyDescent="0.2">
      <c r="B24073" s="1168"/>
    </row>
    <row r="24074" spans="2:2" s="221" customFormat="1" ht="12.75" x14ac:dyDescent="0.2">
      <c r="B24074" s="1168"/>
    </row>
    <row r="24075" spans="2:2" s="221" customFormat="1" ht="12.75" x14ac:dyDescent="0.2">
      <c r="B24075" s="1168"/>
    </row>
    <row r="24076" spans="2:2" s="221" customFormat="1" ht="12.75" x14ac:dyDescent="0.2">
      <c r="B24076" s="1168"/>
    </row>
    <row r="24077" spans="2:2" s="221" customFormat="1" ht="12.75" x14ac:dyDescent="0.2">
      <c r="B24077" s="1168"/>
    </row>
    <row r="24078" spans="2:2" s="221" customFormat="1" ht="12.75" x14ac:dyDescent="0.2">
      <c r="B24078" s="1168"/>
    </row>
    <row r="24079" spans="2:2" s="221" customFormat="1" ht="12.75" x14ac:dyDescent="0.2">
      <c r="B24079" s="1168"/>
    </row>
    <row r="24080" spans="2:2" s="221" customFormat="1" ht="12.75" x14ac:dyDescent="0.2">
      <c r="B24080" s="1168"/>
    </row>
    <row r="24081" spans="2:2" s="221" customFormat="1" ht="12.75" x14ac:dyDescent="0.2">
      <c r="B24081" s="1168"/>
    </row>
    <row r="24082" spans="2:2" s="221" customFormat="1" ht="12.75" x14ac:dyDescent="0.2">
      <c r="B24082" s="1168"/>
    </row>
    <row r="24083" spans="2:2" s="221" customFormat="1" ht="12.75" x14ac:dyDescent="0.2">
      <c r="B24083" s="1168"/>
    </row>
    <row r="24084" spans="2:2" s="221" customFormat="1" ht="12.75" x14ac:dyDescent="0.2">
      <c r="B24084" s="1168"/>
    </row>
    <row r="24085" spans="2:2" s="221" customFormat="1" ht="12.75" x14ac:dyDescent="0.2">
      <c r="B24085" s="1168"/>
    </row>
    <row r="24086" spans="2:2" s="221" customFormat="1" ht="12.75" x14ac:dyDescent="0.2">
      <c r="B24086" s="1168"/>
    </row>
    <row r="24087" spans="2:2" s="221" customFormat="1" ht="12.75" x14ac:dyDescent="0.2">
      <c r="B24087" s="1168"/>
    </row>
    <row r="24088" spans="2:2" s="221" customFormat="1" ht="12.75" x14ac:dyDescent="0.2">
      <c r="B24088" s="1168"/>
    </row>
    <row r="24089" spans="2:2" s="221" customFormat="1" ht="12.75" x14ac:dyDescent="0.2">
      <c r="B24089" s="1168"/>
    </row>
    <row r="24090" spans="2:2" s="221" customFormat="1" ht="12.75" x14ac:dyDescent="0.2">
      <c r="B24090" s="1168"/>
    </row>
    <row r="24091" spans="2:2" s="221" customFormat="1" ht="12.75" x14ac:dyDescent="0.2">
      <c r="B24091" s="1168"/>
    </row>
    <row r="24092" spans="2:2" s="221" customFormat="1" ht="12.75" x14ac:dyDescent="0.2">
      <c r="B24092" s="1168"/>
    </row>
    <row r="24093" spans="2:2" s="221" customFormat="1" ht="12.75" x14ac:dyDescent="0.2">
      <c r="B24093" s="1168"/>
    </row>
    <row r="24094" spans="2:2" s="221" customFormat="1" ht="12.75" x14ac:dyDescent="0.2">
      <c r="B24094" s="1168"/>
    </row>
    <row r="24095" spans="2:2" s="221" customFormat="1" ht="12.75" x14ac:dyDescent="0.2">
      <c r="B24095" s="1168"/>
    </row>
    <row r="24096" spans="2:2" s="221" customFormat="1" ht="12.75" x14ac:dyDescent="0.2">
      <c r="B24096" s="1168"/>
    </row>
    <row r="24097" spans="2:2" s="221" customFormat="1" ht="12.75" x14ac:dyDescent="0.2">
      <c r="B24097" s="1168"/>
    </row>
    <row r="24098" spans="2:2" s="221" customFormat="1" ht="12.75" x14ac:dyDescent="0.2">
      <c r="B24098" s="1168"/>
    </row>
    <row r="24099" spans="2:2" s="221" customFormat="1" ht="12.75" x14ac:dyDescent="0.2">
      <c r="B24099" s="1168"/>
    </row>
    <row r="24100" spans="2:2" s="221" customFormat="1" ht="12.75" x14ac:dyDescent="0.2">
      <c r="B24100" s="1168"/>
    </row>
    <row r="24101" spans="2:2" s="221" customFormat="1" ht="12.75" x14ac:dyDescent="0.2">
      <c r="B24101" s="1168"/>
    </row>
    <row r="24102" spans="2:2" s="221" customFormat="1" ht="12.75" x14ac:dyDescent="0.2">
      <c r="B24102" s="1168"/>
    </row>
    <row r="24103" spans="2:2" s="221" customFormat="1" ht="12.75" x14ac:dyDescent="0.2">
      <c r="B24103" s="1168"/>
    </row>
    <row r="24104" spans="2:2" s="221" customFormat="1" ht="12.75" x14ac:dyDescent="0.2">
      <c r="B24104" s="1168"/>
    </row>
    <row r="24105" spans="2:2" s="221" customFormat="1" ht="12.75" x14ac:dyDescent="0.2">
      <c r="B24105" s="1168"/>
    </row>
    <row r="24106" spans="2:2" s="221" customFormat="1" ht="12.75" x14ac:dyDescent="0.2">
      <c r="B24106" s="1168"/>
    </row>
    <row r="24107" spans="2:2" s="221" customFormat="1" ht="12.75" x14ac:dyDescent="0.2">
      <c r="B24107" s="1168"/>
    </row>
    <row r="24108" spans="2:2" s="221" customFormat="1" ht="12.75" x14ac:dyDescent="0.2">
      <c r="B24108" s="1168"/>
    </row>
    <row r="24109" spans="2:2" s="221" customFormat="1" ht="12.75" x14ac:dyDescent="0.2">
      <c r="B24109" s="1168"/>
    </row>
    <row r="24110" spans="2:2" s="221" customFormat="1" ht="12.75" x14ac:dyDescent="0.2">
      <c r="B24110" s="1168"/>
    </row>
    <row r="24111" spans="2:2" s="221" customFormat="1" ht="12.75" x14ac:dyDescent="0.2">
      <c r="B24111" s="1168"/>
    </row>
    <row r="24112" spans="2:2" s="221" customFormat="1" ht="12.75" x14ac:dyDescent="0.2">
      <c r="B24112" s="1168"/>
    </row>
    <row r="24113" spans="2:2" s="221" customFormat="1" ht="12.75" x14ac:dyDescent="0.2">
      <c r="B24113" s="1168"/>
    </row>
    <row r="24114" spans="2:2" s="221" customFormat="1" ht="12.75" x14ac:dyDescent="0.2">
      <c r="B24114" s="1168"/>
    </row>
    <row r="24115" spans="2:2" s="221" customFormat="1" ht="12.75" x14ac:dyDescent="0.2">
      <c r="B24115" s="1168"/>
    </row>
    <row r="24116" spans="2:2" s="221" customFormat="1" ht="12.75" x14ac:dyDescent="0.2">
      <c r="B24116" s="1168"/>
    </row>
    <row r="24117" spans="2:2" s="221" customFormat="1" ht="12.75" x14ac:dyDescent="0.2">
      <c r="B24117" s="1168"/>
    </row>
    <row r="24118" spans="2:2" s="221" customFormat="1" ht="12.75" x14ac:dyDescent="0.2">
      <c r="B24118" s="1168"/>
    </row>
    <row r="24119" spans="2:2" s="221" customFormat="1" ht="12.75" x14ac:dyDescent="0.2">
      <c r="B24119" s="1168"/>
    </row>
    <row r="24120" spans="2:2" s="221" customFormat="1" ht="12.75" x14ac:dyDescent="0.2">
      <c r="B24120" s="1168"/>
    </row>
    <row r="24121" spans="2:2" s="221" customFormat="1" ht="12.75" x14ac:dyDescent="0.2">
      <c r="B24121" s="1168"/>
    </row>
    <row r="24122" spans="2:2" s="221" customFormat="1" ht="12.75" x14ac:dyDescent="0.2">
      <c r="B24122" s="1168"/>
    </row>
    <row r="24123" spans="2:2" s="221" customFormat="1" ht="12.75" x14ac:dyDescent="0.2">
      <c r="B24123" s="1168"/>
    </row>
    <row r="24124" spans="2:2" s="221" customFormat="1" ht="12.75" x14ac:dyDescent="0.2">
      <c r="B24124" s="1168"/>
    </row>
    <row r="24125" spans="2:2" s="221" customFormat="1" ht="12.75" x14ac:dyDescent="0.2">
      <c r="B24125" s="1168"/>
    </row>
    <row r="24126" spans="2:2" s="221" customFormat="1" ht="12.75" x14ac:dyDescent="0.2">
      <c r="B24126" s="1168"/>
    </row>
    <row r="24127" spans="2:2" s="221" customFormat="1" ht="12.75" x14ac:dyDescent="0.2">
      <c r="B24127" s="1168"/>
    </row>
    <row r="24128" spans="2:2" s="221" customFormat="1" ht="12.75" x14ac:dyDescent="0.2">
      <c r="B24128" s="1168"/>
    </row>
    <row r="24129" spans="2:2" s="221" customFormat="1" ht="12.75" x14ac:dyDescent="0.2">
      <c r="B24129" s="1168"/>
    </row>
    <row r="24130" spans="2:2" s="221" customFormat="1" ht="12.75" x14ac:dyDescent="0.2">
      <c r="B24130" s="1168"/>
    </row>
    <row r="24131" spans="2:2" s="221" customFormat="1" ht="12.75" x14ac:dyDescent="0.2">
      <c r="B24131" s="1168"/>
    </row>
    <row r="24132" spans="2:2" s="221" customFormat="1" ht="12.75" x14ac:dyDescent="0.2">
      <c r="B24132" s="1168"/>
    </row>
    <row r="24133" spans="2:2" s="221" customFormat="1" ht="12.75" x14ac:dyDescent="0.2">
      <c r="B24133" s="1168"/>
    </row>
    <row r="24134" spans="2:2" s="221" customFormat="1" ht="12.75" x14ac:dyDescent="0.2">
      <c r="B24134" s="1168"/>
    </row>
    <row r="24135" spans="2:2" s="221" customFormat="1" ht="12.75" x14ac:dyDescent="0.2">
      <c r="B24135" s="1168"/>
    </row>
    <row r="24136" spans="2:2" s="221" customFormat="1" ht="12.75" x14ac:dyDescent="0.2">
      <c r="B24136" s="1168"/>
    </row>
    <row r="24137" spans="2:2" s="221" customFormat="1" ht="12.75" x14ac:dyDescent="0.2">
      <c r="B24137" s="1168"/>
    </row>
    <row r="24138" spans="2:2" s="221" customFormat="1" ht="12.75" x14ac:dyDescent="0.2">
      <c r="B24138" s="1168"/>
    </row>
    <row r="24139" spans="2:2" s="221" customFormat="1" ht="12.75" x14ac:dyDescent="0.2">
      <c r="B24139" s="1168"/>
    </row>
    <row r="24140" spans="2:2" s="221" customFormat="1" ht="12.75" x14ac:dyDescent="0.2">
      <c r="B24140" s="1168"/>
    </row>
    <row r="24141" spans="2:2" s="221" customFormat="1" ht="12.75" x14ac:dyDescent="0.2">
      <c r="B24141" s="1168"/>
    </row>
    <row r="24142" spans="2:2" s="221" customFormat="1" ht="12.75" x14ac:dyDescent="0.2">
      <c r="B24142" s="1168"/>
    </row>
    <row r="24143" spans="2:2" s="221" customFormat="1" ht="12.75" x14ac:dyDescent="0.2">
      <c r="B24143" s="1168"/>
    </row>
    <row r="24144" spans="2:2" s="221" customFormat="1" ht="12.75" x14ac:dyDescent="0.2">
      <c r="B24144" s="1168"/>
    </row>
    <row r="24145" spans="2:2" s="221" customFormat="1" ht="12.75" x14ac:dyDescent="0.2">
      <c r="B24145" s="1168"/>
    </row>
    <row r="24146" spans="2:2" s="221" customFormat="1" ht="12.75" x14ac:dyDescent="0.2">
      <c r="B24146" s="1168"/>
    </row>
    <row r="24147" spans="2:2" s="221" customFormat="1" ht="12.75" x14ac:dyDescent="0.2">
      <c r="B24147" s="1168"/>
    </row>
    <row r="24148" spans="2:2" s="221" customFormat="1" ht="12.75" x14ac:dyDescent="0.2">
      <c r="B24148" s="1168"/>
    </row>
    <row r="24149" spans="2:2" s="221" customFormat="1" ht="12.75" x14ac:dyDescent="0.2">
      <c r="B24149" s="1168"/>
    </row>
    <row r="24150" spans="2:2" s="221" customFormat="1" ht="12.75" x14ac:dyDescent="0.2">
      <c r="B24150" s="1168"/>
    </row>
    <row r="24151" spans="2:2" s="221" customFormat="1" ht="12.75" x14ac:dyDescent="0.2">
      <c r="B24151" s="1168"/>
    </row>
    <row r="24152" spans="2:2" s="221" customFormat="1" ht="12.75" x14ac:dyDescent="0.2">
      <c r="B24152" s="1168"/>
    </row>
    <row r="24153" spans="2:2" s="221" customFormat="1" ht="12.75" x14ac:dyDescent="0.2">
      <c r="B24153" s="1168"/>
    </row>
    <row r="24154" spans="2:2" s="221" customFormat="1" ht="12.75" x14ac:dyDescent="0.2">
      <c r="B24154" s="1168"/>
    </row>
    <row r="24155" spans="2:2" s="221" customFormat="1" ht="12.75" x14ac:dyDescent="0.2">
      <c r="B24155" s="1168"/>
    </row>
    <row r="24156" spans="2:2" s="221" customFormat="1" ht="12.75" x14ac:dyDescent="0.2">
      <c r="B24156" s="1168"/>
    </row>
    <row r="24157" spans="2:2" s="221" customFormat="1" ht="12.75" x14ac:dyDescent="0.2">
      <c r="B24157" s="1168"/>
    </row>
    <row r="24158" spans="2:2" s="221" customFormat="1" ht="12.75" x14ac:dyDescent="0.2">
      <c r="B24158" s="1168"/>
    </row>
    <row r="24159" spans="2:2" s="221" customFormat="1" ht="12.75" x14ac:dyDescent="0.2">
      <c r="B24159" s="1168"/>
    </row>
    <row r="24160" spans="2:2" s="221" customFormat="1" ht="12.75" x14ac:dyDescent="0.2">
      <c r="B24160" s="1168"/>
    </row>
    <row r="24161" spans="2:2" s="221" customFormat="1" ht="12.75" x14ac:dyDescent="0.2">
      <c r="B24161" s="1168"/>
    </row>
    <row r="24162" spans="2:2" s="221" customFormat="1" ht="12.75" x14ac:dyDescent="0.2">
      <c r="B24162" s="1168"/>
    </row>
    <row r="24163" spans="2:2" s="221" customFormat="1" ht="12.75" x14ac:dyDescent="0.2">
      <c r="B24163" s="1168"/>
    </row>
    <row r="24164" spans="2:2" s="221" customFormat="1" ht="12.75" x14ac:dyDescent="0.2">
      <c r="B24164" s="1168"/>
    </row>
    <row r="24165" spans="2:2" s="221" customFormat="1" ht="12.75" x14ac:dyDescent="0.2">
      <c r="B24165" s="1168"/>
    </row>
    <row r="24166" spans="2:2" s="221" customFormat="1" ht="12.75" x14ac:dyDescent="0.2">
      <c r="B24166" s="1168"/>
    </row>
    <row r="24167" spans="2:2" s="221" customFormat="1" ht="12.75" x14ac:dyDescent="0.2">
      <c r="B24167" s="1168"/>
    </row>
    <row r="24168" spans="2:2" s="221" customFormat="1" ht="12.75" x14ac:dyDescent="0.2">
      <c r="B24168" s="1168"/>
    </row>
    <row r="24169" spans="2:2" s="221" customFormat="1" ht="12.75" x14ac:dyDescent="0.2">
      <c r="B24169" s="1168"/>
    </row>
    <row r="24170" spans="2:2" s="221" customFormat="1" ht="12.75" x14ac:dyDescent="0.2">
      <c r="B24170" s="1168"/>
    </row>
    <row r="24171" spans="2:2" s="221" customFormat="1" ht="12.75" x14ac:dyDescent="0.2">
      <c r="B24171" s="1168"/>
    </row>
    <row r="24172" spans="2:2" s="221" customFormat="1" ht="12.75" x14ac:dyDescent="0.2">
      <c r="B24172" s="1168"/>
    </row>
    <row r="24173" spans="2:2" s="221" customFormat="1" ht="12.75" x14ac:dyDescent="0.2">
      <c r="B24173" s="1168"/>
    </row>
    <row r="24174" spans="2:2" s="221" customFormat="1" ht="12.75" x14ac:dyDescent="0.2">
      <c r="B24174" s="1168"/>
    </row>
    <row r="24175" spans="2:2" s="221" customFormat="1" ht="12.75" x14ac:dyDescent="0.2">
      <c r="B24175" s="1168"/>
    </row>
    <row r="24176" spans="2:2" s="221" customFormat="1" ht="12.75" x14ac:dyDescent="0.2">
      <c r="B24176" s="1168"/>
    </row>
    <row r="24177" spans="2:2" s="221" customFormat="1" ht="12.75" x14ac:dyDescent="0.2">
      <c r="B24177" s="1168"/>
    </row>
    <row r="24178" spans="2:2" s="221" customFormat="1" ht="12.75" x14ac:dyDescent="0.2">
      <c r="B24178" s="1168"/>
    </row>
    <row r="24179" spans="2:2" s="221" customFormat="1" ht="12.75" x14ac:dyDescent="0.2">
      <c r="B24179" s="1168"/>
    </row>
    <row r="24180" spans="2:2" s="221" customFormat="1" ht="12.75" x14ac:dyDescent="0.2">
      <c r="B24180" s="1168"/>
    </row>
    <row r="24181" spans="2:2" s="221" customFormat="1" ht="12.75" x14ac:dyDescent="0.2">
      <c r="B24181" s="1168"/>
    </row>
    <row r="24182" spans="2:2" s="221" customFormat="1" ht="12.75" x14ac:dyDescent="0.2">
      <c r="B24182" s="1168"/>
    </row>
    <row r="24183" spans="2:2" s="221" customFormat="1" ht="12.75" x14ac:dyDescent="0.2">
      <c r="B24183" s="1168"/>
    </row>
    <row r="24184" spans="2:2" s="221" customFormat="1" ht="12.75" x14ac:dyDescent="0.2">
      <c r="B24184" s="1168"/>
    </row>
    <row r="24185" spans="2:2" s="221" customFormat="1" ht="12.75" x14ac:dyDescent="0.2">
      <c r="B24185" s="1168"/>
    </row>
    <row r="24186" spans="2:2" s="221" customFormat="1" ht="12.75" x14ac:dyDescent="0.2">
      <c r="B24186" s="1168"/>
    </row>
    <row r="24187" spans="2:2" s="221" customFormat="1" ht="12.75" x14ac:dyDescent="0.2">
      <c r="B24187" s="1168"/>
    </row>
    <row r="24188" spans="2:2" s="221" customFormat="1" ht="12.75" x14ac:dyDescent="0.2">
      <c r="B24188" s="1168"/>
    </row>
    <row r="24189" spans="2:2" s="221" customFormat="1" ht="12.75" x14ac:dyDescent="0.2">
      <c r="B24189" s="1168"/>
    </row>
    <row r="24190" spans="2:2" s="221" customFormat="1" ht="12.75" x14ac:dyDescent="0.2">
      <c r="B24190" s="1168"/>
    </row>
    <row r="24191" spans="2:2" s="221" customFormat="1" ht="12.75" x14ac:dyDescent="0.2">
      <c r="B24191" s="1168"/>
    </row>
    <row r="24192" spans="2:2" s="221" customFormat="1" ht="12.75" x14ac:dyDescent="0.2">
      <c r="B24192" s="1168"/>
    </row>
    <row r="24193" spans="2:2" s="221" customFormat="1" ht="12.75" x14ac:dyDescent="0.2">
      <c r="B24193" s="1168"/>
    </row>
    <row r="24194" spans="2:2" s="221" customFormat="1" ht="12.75" x14ac:dyDescent="0.2">
      <c r="B24194" s="1168"/>
    </row>
    <row r="24195" spans="2:2" s="221" customFormat="1" ht="12.75" x14ac:dyDescent="0.2">
      <c r="B24195" s="1168"/>
    </row>
    <row r="24196" spans="2:2" s="221" customFormat="1" ht="12.75" x14ac:dyDescent="0.2">
      <c r="B24196" s="1168"/>
    </row>
    <row r="24197" spans="2:2" s="221" customFormat="1" ht="12.75" x14ac:dyDescent="0.2">
      <c r="B24197" s="1168"/>
    </row>
    <row r="24198" spans="2:2" s="221" customFormat="1" ht="12.75" x14ac:dyDescent="0.2">
      <c r="B24198" s="1168"/>
    </row>
    <row r="24199" spans="2:2" s="221" customFormat="1" ht="12.75" x14ac:dyDescent="0.2">
      <c r="B24199" s="1168"/>
    </row>
    <row r="24200" spans="2:2" s="221" customFormat="1" ht="12.75" x14ac:dyDescent="0.2">
      <c r="B24200" s="1168"/>
    </row>
    <row r="24201" spans="2:2" s="221" customFormat="1" ht="12.75" x14ac:dyDescent="0.2">
      <c r="B24201" s="1168"/>
    </row>
    <row r="24202" spans="2:2" s="221" customFormat="1" ht="12.75" x14ac:dyDescent="0.2">
      <c r="B24202" s="1168"/>
    </row>
    <row r="24203" spans="2:2" s="221" customFormat="1" ht="12.75" x14ac:dyDescent="0.2">
      <c r="B24203" s="1168"/>
    </row>
    <row r="24204" spans="2:2" s="221" customFormat="1" ht="12.75" x14ac:dyDescent="0.2">
      <c r="B24204" s="1168"/>
    </row>
    <row r="24205" spans="2:2" s="221" customFormat="1" ht="12.75" x14ac:dyDescent="0.2">
      <c r="B24205" s="1168"/>
    </row>
    <row r="24206" spans="2:2" s="221" customFormat="1" ht="12.75" x14ac:dyDescent="0.2">
      <c r="B24206" s="1168"/>
    </row>
    <row r="24207" spans="2:2" s="221" customFormat="1" ht="12.75" x14ac:dyDescent="0.2">
      <c r="B24207" s="1168"/>
    </row>
    <row r="24208" spans="2:2" s="221" customFormat="1" ht="12.75" x14ac:dyDescent="0.2">
      <c r="B24208" s="1168"/>
    </row>
    <row r="24209" spans="2:2" s="221" customFormat="1" ht="12.75" x14ac:dyDescent="0.2">
      <c r="B24209" s="1168"/>
    </row>
    <row r="24210" spans="2:2" s="221" customFormat="1" ht="12.75" x14ac:dyDescent="0.2">
      <c r="B24210" s="1168"/>
    </row>
    <row r="24211" spans="2:2" s="221" customFormat="1" ht="12.75" x14ac:dyDescent="0.2">
      <c r="B24211" s="1168"/>
    </row>
    <row r="24212" spans="2:2" s="221" customFormat="1" ht="12.75" x14ac:dyDescent="0.2">
      <c r="B24212" s="1168"/>
    </row>
    <row r="24213" spans="2:2" s="221" customFormat="1" ht="12.75" x14ac:dyDescent="0.2">
      <c r="B24213" s="1168"/>
    </row>
    <row r="24214" spans="2:2" s="221" customFormat="1" ht="12.75" x14ac:dyDescent="0.2">
      <c r="B24214" s="1168"/>
    </row>
    <row r="24215" spans="2:2" s="221" customFormat="1" ht="12.75" x14ac:dyDescent="0.2">
      <c r="B24215" s="1168"/>
    </row>
    <row r="24216" spans="2:2" s="221" customFormat="1" ht="12.75" x14ac:dyDescent="0.2">
      <c r="B24216" s="1168"/>
    </row>
    <row r="24217" spans="2:2" s="221" customFormat="1" ht="12.75" x14ac:dyDescent="0.2">
      <c r="B24217" s="1168"/>
    </row>
    <row r="24218" spans="2:2" s="221" customFormat="1" ht="12.75" x14ac:dyDescent="0.2">
      <c r="B24218" s="1168"/>
    </row>
    <row r="24219" spans="2:2" s="221" customFormat="1" ht="12.75" x14ac:dyDescent="0.2">
      <c r="B24219" s="1168"/>
    </row>
    <row r="24220" spans="2:2" s="221" customFormat="1" ht="12.75" x14ac:dyDescent="0.2">
      <c r="B24220" s="1168"/>
    </row>
    <row r="24221" spans="2:2" s="221" customFormat="1" ht="12.75" x14ac:dyDescent="0.2">
      <c r="B24221" s="1168"/>
    </row>
    <row r="24222" spans="2:2" s="221" customFormat="1" ht="12.75" x14ac:dyDescent="0.2">
      <c r="B24222" s="1168"/>
    </row>
    <row r="24223" spans="2:2" s="221" customFormat="1" ht="12.75" x14ac:dyDescent="0.2">
      <c r="B24223" s="1168"/>
    </row>
    <row r="24224" spans="2:2" s="221" customFormat="1" ht="12.75" x14ac:dyDescent="0.2">
      <c r="B24224" s="1168"/>
    </row>
    <row r="24225" spans="2:2" s="221" customFormat="1" ht="12.75" x14ac:dyDescent="0.2">
      <c r="B24225" s="1168"/>
    </row>
    <row r="24226" spans="2:2" s="221" customFormat="1" ht="12.75" x14ac:dyDescent="0.2">
      <c r="B24226" s="1168"/>
    </row>
    <row r="24227" spans="2:2" s="221" customFormat="1" ht="12.75" x14ac:dyDescent="0.2">
      <c r="B24227" s="1168"/>
    </row>
    <row r="24228" spans="2:2" s="221" customFormat="1" ht="12.75" x14ac:dyDescent="0.2">
      <c r="B24228" s="1168"/>
    </row>
    <row r="24229" spans="2:2" s="221" customFormat="1" ht="12.75" x14ac:dyDescent="0.2">
      <c r="B24229" s="1168"/>
    </row>
    <row r="24230" spans="2:2" s="221" customFormat="1" ht="12.75" x14ac:dyDescent="0.2">
      <c r="B24230" s="1168"/>
    </row>
    <row r="24231" spans="2:2" s="221" customFormat="1" ht="12.75" x14ac:dyDescent="0.2">
      <c r="B24231" s="1168"/>
    </row>
    <row r="24232" spans="2:2" s="221" customFormat="1" ht="12.75" x14ac:dyDescent="0.2">
      <c r="B24232" s="1168"/>
    </row>
    <row r="24233" spans="2:2" s="221" customFormat="1" ht="12.75" x14ac:dyDescent="0.2">
      <c r="B24233" s="1168"/>
    </row>
    <row r="24234" spans="2:2" s="221" customFormat="1" ht="12.75" x14ac:dyDescent="0.2">
      <c r="B24234" s="1168"/>
    </row>
    <row r="24235" spans="2:2" s="221" customFormat="1" ht="12.75" x14ac:dyDescent="0.2">
      <c r="B24235" s="1168"/>
    </row>
    <row r="24236" spans="2:2" s="221" customFormat="1" ht="12.75" x14ac:dyDescent="0.2">
      <c r="B24236" s="1168"/>
    </row>
    <row r="24237" spans="2:2" s="221" customFormat="1" ht="12.75" x14ac:dyDescent="0.2">
      <c r="B24237" s="1168"/>
    </row>
    <row r="24238" spans="2:2" s="221" customFormat="1" ht="12.75" x14ac:dyDescent="0.2">
      <c r="B24238" s="1168"/>
    </row>
    <row r="24239" spans="2:2" s="221" customFormat="1" ht="12.75" x14ac:dyDescent="0.2">
      <c r="B24239" s="1168"/>
    </row>
    <row r="24240" spans="2:2" s="221" customFormat="1" ht="12.75" x14ac:dyDescent="0.2">
      <c r="B24240" s="1168"/>
    </row>
    <row r="24241" spans="2:2" s="221" customFormat="1" ht="12.75" x14ac:dyDescent="0.2">
      <c r="B24241" s="1168"/>
    </row>
    <row r="24242" spans="2:2" s="221" customFormat="1" ht="12.75" x14ac:dyDescent="0.2">
      <c r="B24242" s="1168"/>
    </row>
    <row r="24243" spans="2:2" s="221" customFormat="1" ht="12.75" x14ac:dyDescent="0.2">
      <c r="B24243" s="1168"/>
    </row>
    <row r="24244" spans="2:2" s="221" customFormat="1" ht="12.75" x14ac:dyDescent="0.2">
      <c r="B24244" s="1168"/>
    </row>
    <row r="24245" spans="2:2" s="221" customFormat="1" ht="12.75" x14ac:dyDescent="0.2">
      <c r="B24245" s="1168"/>
    </row>
    <row r="24246" spans="2:2" s="221" customFormat="1" ht="12.75" x14ac:dyDescent="0.2">
      <c r="B24246" s="1168"/>
    </row>
    <row r="24247" spans="2:2" s="221" customFormat="1" ht="12.75" x14ac:dyDescent="0.2">
      <c r="B24247" s="1168"/>
    </row>
    <row r="24248" spans="2:2" s="221" customFormat="1" ht="12.75" x14ac:dyDescent="0.2">
      <c r="B24248" s="1168"/>
    </row>
    <row r="24249" spans="2:2" s="221" customFormat="1" ht="12.75" x14ac:dyDescent="0.2">
      <c r="B24249" s="1168"/>
    </row>
    <row r="24250" spans="2:2" s="221" customFormat="1" ht="12.75" x14ac:dyDescent="0.2">
      <c r="B24250" s="1168"/>
    </row>
    <row r="24251" spans="2:2" s="221" customFormat="1" ht="12.75" x14ac:dyDescent="0.2">
      <c r="B24251" s="1168"/>
    </row>
    <row r="24252" spans="2:2" s="221" customFormat="1" ht="12.75" x14ac:dyDescent="0.2">
      <c r="B24252" s="1168"/>
    </row>
    <row r="24253" spans="2:2" s="221" customFormat="1" ht="12.75" x14ac:dyDescent="0.2">
      <c r="B24253" s="1168"/>
    </row>
    <row r="24254" spans="2:2" s="221" customFormat="1" ht="12.75" x14ac:dyDescent="0.2">
      <c r="B24254" s="1168"/>
    </row>
    <row r="24255" spans="2:2" s="221" customFormat="1" ht="12.75" x14ac:dyDescent="0.2">
      <c r="B24255" s="1168"/>
    </row>
    <row r="24256" spans="2:2" s="221" customFormat="1" ht="12.75" x14ac:dyDescent="0.2">
      <c r="B24256" s="1168"/>
    </row>
    <row r="24257" spans="2:2" s="221" customFormat="1" ht="12.75" x14ac:dyDescent="0.2">
      <c r="B24257" s="1168"/>
    </row>
    <row r="24258" spans="2:2" s="221" customFormat="1" ht="12.75" x14ac:dyDescent="0.2">
      <c r="B24258" s="1168"/>
    </row>
    <row r="24259" spans="2:2" s="221" customFormat="1" ht="12.75" x14ac:dyDescent="0.2">
      <c r="B24259" s="1168"/>
    </row>
    <row r="24260" spans="2:2" s="221" customFormat="1" ht="12.75" x14ac:dyDescent="0.2">
      <c r="B24260" s="1168"/>
    </row>
    <row r="24261" spans="2:2" s="221" customFormat="1" ht="12.75" x14ac:dyDescent="0.2">
      <c r="B24261" s="1168"/>
    </row>
    <row r="24262" spans="2:2" s="221" customFormat="1" ht="12.75" x14ac:dyDescent="0.2">
      <c r="B24262" s="1168"/>
    </row>
    <row r="24263" spans="2:2" s="221" customFormat="1" ht="12.75" x14ac:dyDescent="0.2">
      <c r="B24263" s="1168"/>
    </row>
    <row r="24264" spans="2:2" s="221" customFormat="1" ht="12.75" x14ac:dyDescent="0.2">
      <c r="B24264" s="1168"/>
    </row>
    <row r="24265" spans="2:2" s="221" customFormat="1" ht="12.75" x14ac:dyDescent="0.2">
      <c r="B24265" s="1168"/>
    </row>
    <row r="24266" spans="2:2" s="221" customFormat="1" ht="12.75" x14ac:dyDescent="0.2">
      <c r="B24266" s="1168"/>
    </row>
    <row r="24267" spans="2:2" s="221" customFormat="1" ht="12.75" x14ac:dyDescent="0.2">
      <c r="B24267" s="1168"/>
    </row>
    <row r="24268" spans="2:2" s="221" customFormat="1" ht="12.75" x14ac:dyDescent="0.2">
      <c r="B24268" s="1168"/>
    </row>
    <row r="24269" spans="2:2" s="221" customFormat="1" ht="12.75" x14ac:dyDescent="0.2">
      <c r="B24269" s="1168"/>
    </row>
    <row r="24270" spans="2:2" s="221" customFormat="1" ht="12.75" x14ac:dyDescent="0.2">
      <c r="B24270" s="1168"/>
    </row>
    <row r="24271" spans="2:2" s="221" customFormat="1" ht="12.75" x14ac:dyDescent="0.2">
      <c r="B24271" s="1168"/>
    </row>
    <row r="24272" spans="2:2" s="221" customFormat="1" ht="12.75" x14ac:dyDescent="0.2">
      <c r="B24272" s="1168"/>
    </row>
    <row r="24273" spans="2:2" s="221" customFormat="1" ht="12.75" x14ac:dyDescent="0.2">
      <c r="B24273" s="1168"/>
    </row>
    <row r="24274" spans="2:2" s="221" customFormat="1" ht="12.75" x14ac:dyDescent="0.2">
      <c r="B24274" s="1168"/>
    </row>
    <row r="24275" spans="2:2" s="221" customFormat="1" ht="12.75" x14ac:dyDescent="0.2">
      <c r="B24275" s="1168"/>
    </row>
    <row r="24276" spans="2:2" s="221" customFormat="1" ht="12.75" x14ac:dyDescent="0.2">
      <c r="B24276" s="1168"/>
    </row>
    <row r="24277" spans="2:2" s="221" customFormat="1" ht="12.75" x14ac:dyDescent="0.2">
      <c r="B24277" s="1168"/>
    </row>
    <row r="24278" spans="2:2" s="221" customFormat="1" ht="12.75" x14ac:dyDescent="0.2">
      <c r="B24278" s="1168"/>
    </row>
    <row r="24279" spans="2:2" s="221" customFormat="1" ht="12.75" x14ac:dyDescent="0.2">
      <c r="B24279" s="1168"/>
    </row>
    <row r="24280" spans="2:2" s="221" customFormat="1" ht="12.75" x14ac:dyDescent="0.2">
      <c r="B24280" s="1168"/>
    </row>
    <row r="24281" spans="2:2" s="221" customFormat="1" ht="12.75" x14ac:dyDescent="0.2">
      <c r="B24281" s="1168"/>
    </row>
    <row r="24282" spans="2:2" s="221" customFormat="1" ht="12.75" x14ac:dyDescent="0.2">
      <c r="B24282" s="1168"/>
    </row>
    <row r="24283" spans="2:2" s="221" customFormat="1" ht="12.75" x14ac:dyDescent="0.2">
      <c r="B24283" s="1168"/>
    </row>
    <row r="24284" spans="2:2" s="221" customFormat="1" ht="12.75" x14ac:dyDescent="0.2">
      <c r="B24284" s="1168"/>
    </row>
    <row r="24285" spans="2:2" s="221" customFormat="1" ht="12.75" x14ac:dyDescent="0.2">
      <c r="B24285" s="1168"/>
    </row>
    <row r="24286" spans="2:2" s="221" customFormat="1" ht="12.75" x14ac:dyDescent="0.2">
      <c r="B24286" s="1168"/>
    </row>
    <row r="24287" spans="2:2" s="221" customFormat="1" ht="12.75" x14ac:dyDescent="0.2">
      <c r="B24287" s="1168"/>
    </row>
    <row r="24288" spans="2:2" s="221" customFormat="1" ht="12.75" x14ac:dyDescent="0.2">
      <c r="B24288" s="1168"/>
    </row>
    <row r="24289" spans="2:2" s="221" customFormat="1" ht="12.75" x14ac:dyDescent="0.2">
      <c r="B24289" s="1168"/>
    </row>
    <row r="24290" spans="2:2" s="221" customFormat="1" ht="12.75" x14ac:dyDescent="0.2">
      <c r="B24290" s="1168"/>
    </row>
    <row r="24291" spans="2:2" s="221" customFormat="1" ht="12.75" x14ac:dyDescent="0.2">
      <c r="B24291" s="1168"/>
    </row>
    <row r="24292" spans="2:2" s="221" customFormat="1" ht="12.75" x14ac:dyDescent="0.2">
      <c r="B24292" s="1168"/>
    </row>
    <row r="24293" spans="2:2" s="221" customFormat="1" ht="12.75" x14ac:dyDescent="0.2">
      <c r="B24293" s="1168"/>
    </row>
    <row r="24294" spans="2:2" s="221" customFormat="1" ht="12.75" x14ac:dyDescent="0.2">
      <c r="B24294" s="1168"/>
    </row>
    <row r="24295" spans="2:2" s="221" customFormat="1" ht="12.75" x14ac:dyDescent="0.2">
      <c r="B24295" s="1168"/>
    </row>
    <row r="24296" spans="2:2" s="221" customFormat="1" ht="12.75" x14ac:dyDescent="0.2">
      <c r="B24296" s="1168"/>
    </row>
    <row r="24297" spans="2:2" s="221" customFormat="1" ht="12.75" x14ac:dyDescent="0.2">
      <c r="B24297" s="1168"/>
    </row>
    <row r="24298" spans="2:2" s="221" customFormat="1" ht="12.75" x14ac:dyDescent="0.2">
      <c r="B24298" s="1168"/>
    </row>
    <row r="24299" spans="2:2" s="221" customFormat="1" ht="12.75" x14ac:dyDescent="0.2">
      <c r="B24299" s="1168"/>
    </row>
    <row r="24300" spans="2:2" s="221" customFormat="1" ht="12.75" x14ac:dyDescent="0.2">
      <c r="B24300" s="1168"/>
    </row>
    <row r="24301" spans="2:2" s="221" customFormat="1" ht="12.75" x14ac:dyDescent="0.2">
      <c r="B24301" s="1168"/>
    </row>
    <row r="24302" spans="2:2" s="221" customFormat="1" ht="12.75" x14ac:dyDescent="0.2">
      <c r="B24302" s="1168"/>
    </row>
    <row r="24303" spans="2:2" s="221" customFormat="1" ht="12.75" x14ac:dyDescent="0.2">
      <c r="B24303" s="1168"/>
    </row>
    <row r="24304" spans="2:2" s="221" customFormat="1" ht="12.75" x14ac:dyDescent="0.2">
      <c r="B24304" s="1168"/>
    </row>
    <row r="24305" spans="2:2" s="221" customFormat="1" ht="12.75" x14ac:dyDescent="0.2">
      <c r="B24305" s="1168"/>
    </row>
    <row r="24306" spans="2:2" s="221" customFormat="1" ht="12.75" x14ac:dyDescent="0.2">
      <c r="B24306" s="1168"/>
    </row>
    <row r="24307" spans="2:2" s="221" customFormat="1" ht="12.75" x14ac:dyDescent="0.2">
      <c r="B24307" s="1168"/>
    </row>
    <row r="24308" spans="2:2" s="221" customFormat="1" ht="12.75" x14ac:dyDescent="0.2">
      <c r="B24308" s="1168"/>
    </row>
    <row r="24309" spans="2:2" s="221" customFormat="1" ht="12.75" x14ac:dyDescent="0.2">
      <c r="B24309" s="1168"/>
    </row>
    <row r="24310" spans="2:2" s="221" customFormat="1" ht="12.75" x14ac:dyDescent="0.2">
      <c r="B24310" s="1168"/>
    </row>
    <row r="24311" spans="2:2" s="221" customFormat="1" ht="12.75" x14ac:dyDescent="0.2">
      <c r="B24311" s="1168"/>
    </row>
    <row r="24312" spans="2:2" s="221" customFormat="1" ht="12.75" x14ac:dyDescent="0.2">
      <c r="B24312" s="1168"/>
    </row>
    <row r="24313" spans="2:2" s="221" customFormat="1" ht="12.75" x14ac:dyDescent="0.2">
      <c r="B24313" s="1168"/>
    </row>
    <row r="24314" spans="2:2" s="221" customFormat="1" ht="12.75" x14ac:dyDescent="0.2">
      <c r="B24314" s="1168"/>
    </row>
    <row r="24315" spans="2:2" s="221" customFormat="1" ht="12.75" x14ac:dyDescent="0.2">
      <c r="B24315" s="1168"/>
    </row>
    <row r="24316" spans="2:2" s="221" customFormat="1" ht="12.75" x14ac:dyDescent="0.2">
      <c r="B24316" s="1168"/>
    </row>
    <row r="24317" spans="2:2" s="221" customFormat="1" ht="12.75" x14ac:dyDescent="0.2">
      <c r="B24317" s="1168"/>
    </row>
    <row r="24318" spans="2:2" s="221" customFormat="1" ht="12.75" x14ac:dyDescent="0.2">
      <c r="B24318" s="1168"/>
    </row>
    <row r="24319" spans="2:2" s="221" customFormat="1" ht="12.75" x14ac:dyDescent="0.2">
      <c r="B24319" s="1168"/>
    </row>
    <row r="24320" spans="2:2" s="221" customFormat="1" ht="12.75" x14ac:dyDescent="0.2">
      <c r="B24320" s="1168"/>
    </row>
    <row r="24321" spans="2:2" s="221" customFormat="1" ht="12.75" x14ac:dyDescent="0.2">
      <c r="B24321" s="1168"/>
    </row>
    <row r="24322" spans="2:2" s="221" customFormat="1" ht="12.75" x14ac:dyDescent="0.2">
      <c r="B24322" s="1168"/>
    </row>
    <row r="24323" spans="2:2" s="221" customFormat="1" ht="12.75" x14ac:dyDescent="0.2">
      <c r="B24323" s="1168"/>
    </row>
    <row r="24324" spans="2:2" s="221" customFormat="1" ht="12.75" x14ac:dyDescent="0.2">
      <c r="B24324" s="1168"/>
    </row>
    <row r="24325" spans="2:2" s="221" customFormat="1" ht="12.75" x14ac:dyDescent="0.2">
      <c r="B24325" s="1168"/>
    </row>
    <row r="24326" spans="2:2" s="221" customFormat="1" ht="12.75" x14ac:dyDescent="0.2">
      <c r="B24326" s="1168"/>
    </row>
    <row r="24327" spans="2:2" s="221" customFormat="1" ht="12.75" x14ac:dyDescent="0.2">
      <c r="B24327" s="1168"/>
    </row>
    <row r="24328" spans="2:2" s="221" customFormat="1" ht="12.75" x14ac:dyDescent="0.2">
      <c r="B24328" s="1168"/>
    </row>
    <row r="24329" spans="2:2" s="221" customFormat="1" ht="12.75" x14ac:dyDescent="0.2">
      <c r="B24329" s="1168"/>
    </row>
    <row r="24330" spans="2:2" s="221" customFormat="1" ht="12.75" x14ac:dyDescent="0.2">
      <c r="B24330" s="1168"/>
    </row>
    <row r="24331" spans="2:2" s="221" customFormat="1" ht="12.75" x14ac:dyDescent="0.2">
      <c r="B24331" s="1168"/>
    </row>
    <row r="24332" spans="2:2" s="221" customFormat="1" ht="12.75" x14ac:dyDescent="0.2">
      <c r="B24332" s="1168"/>
    </row>
    <row r="24333" spans="2:2" s="221" customFormat="1" ht="12.75" x14ac:dyDescent="0.2">
      <c r="B24333" s="1168"/>
    </row>
    <row r="24334" spans="2:2" s="221" customFormat="1" ht="12.75" x14ac:dyDescent="0.2">
      <c r="B24334" s="1168"/>
    </row>
    <row r="24335" spans="2:2" s="221" customFormat="1" ht="12.75" x14ac:dyDescent="0.2">
      <c r="B24335" s="1168"/>
    </row>
    <row r="24336" spans="2:2" s="221" customFormat="1" ht="12.75" x14ac:dyDescent="0.2">
      <c r="B24336" s="1168"/>
    </row>
    <row r="24337" spans="2:2" s="221" customFormat="1" ht="12.75" x14ac:dyDescent="0.2">
      <c r="B24337" s="1168"/>
    </row>
    <row r="24338" spans="2:2" s="221" customFormat="1" ht="12.75" x14ac:dyDescent="0.2">
      <c r="B24338" s="1168"/>
    </row>
    <row r="24339" spans="2:2" s="221" customFormat="1" ht="12.75" x14ac:dyDescent="0.2">
      <c r="B24339" s="1168"/>
    </row>
    <row r="24340" spans="2:2" s="221" customFormat="1" ht="12.75" x14ac:dyDescent="0.2">
      <c r="B24340" s="1168"/>
    </row>
    <row r="24341" spans="2:2" s="221" customFormat="1" ht="12.75" x14ac:dyDescent="0.2">
      <c r="B24341" s="1168"/>
    </row>
    <row r="24342" spans="2:2" s="221" customFormat="1" ht="12.75" x14ac:dyDescent="0.2">
      <c r="B24342" s="1168"/>
    </row>
    <row r="24343" spans="2:2" s="221" customFormat="1" ht="12.75" x14ac:dyDescent="0.2">
      <c r="B24343" s="1168"/>
    </row>
    <row r="24344" spans="2:2" s="221" customFormat="1" ht="12.75" x14ac:dyDescent="0.2">
      <c r="B24344" s="1168"/>
    </row>
    <row r="24345" spans="2:2" s="221" customFormat="1" ht="12.75" x14ac:dyDescent="0.2">
      <c r="B24345" s="1168"/>
    </row>
    <row r="24346" spans="2:2" s="221" customFormat="1" ht="12.75" x14ac:dyDescent="0.2">
      <c r="B24346" s="1168"/>
    </row>
    <row r="24347" spans="2:2" s="221" customFormat="1" ht="12.75" x14ac:dyDescent="0.2">
      <c r="B24347" s="1168"/>
    </row>
    <row r="24348" spans="2:2" s="221" customFormat="1" ht="12.75" x14ac:dyDescent="0.2">
      <c r="B24348" s="1168"/>
    </row>
    <row r="24349" spans="2:2" s="221" customFormat="1" ht="12.75" x14ac:dyDescent="0.2">
      <c r="B24349" s="1168"/>
    </row>
    <row r="24350" spans="2:2" s="221" customFormat="1" ht="12.75" x14ac:dyDescent="0.2">
      <c r="B24350" s="1168"/>
    </row>
    <row r="24351" spans="2:2" s="221" customFormat="1" ht="12.75" x14ac:dyDescent="0.2">
      <c r="B24351" s="1168"/>
    </row>
    <row r="24352" spans="2:2" s="221" customFormat="1" ht="12.75" x14ac:dyDescent="0.2">
      <c r="B24352" s="1168"/>
    </row>
    <row r="24353" spans="2:2" s="221" customFormat="1" ht="12.75" x14ac:dyDescent="0.2">
      <c r="B24353" s="1168"/>
    </row>
    <row r="24354" spans="2:2" s="221" customFormat="1" ht="12.75" x14ac:dyDescent="0.2">
      <c r="B24354" s="1168"/>
    </row>
    <row r="24355" spans="2:2" s="221" customFormat="1" ht="12.75" x14ac:dyDescent="0.2">
      <c r="B24355" s="1168"/>
    </row>
    <row r="24356" spans="2:2" s="221" customFormat="1" ht="12.75" x14ac:dyDescent="0.2">
      <c r="B24356" s="1168"/>
    </row>
    <row r="24357" spans="2:2" s="221" customFormat="1" ht="12.75" x14ac:dyDescent="0.2">
      <c r="B24357" s="1168"/>
    </row>
    <row r="24358" spans="2:2" s="221" customFormat="1" ht="12.75" x14ac:dyDescent="0.2">
      <c r="B24358" s="1168"/>
    </row>
    <row r="24359" spans="2:2" s="221" customFormat="1" ht="12.75" x14ac:dyDescent="0.2">
      <c r="B24359" s="1168"/>
    </row>
    <row r="24360" spans="2:2" s="221" customFormat="1" ht="12.75" x14ac:dyDescent="0.2">
      <c r="B24360" s="1168"/>
    </row>
    <row r="24361" spans="2:2" s="221" customFormat="1" ht="12.75" x14ac:dyDescent="0.2">
      <c r="B24361" s="1168"/>
    </row>
    <row r="24362" spans="2:2" s="221" customFormat="1" ht="12.75" x14ac:dyDescent="0.2">
      <c r="B24362" s="1168"/>
    </row>
    <row r="24363" spans="2:2" s="221" customFormat="1" ht="12.75" x14ac:dyDescent="0.2">
      <c r="B24363" s="1168"/>
    </row>
    <row r="24364" spans="2:2" s="221" customFormat="1" ht="12.75" x14ac:dyDescent="0.2">
      <c r="B24364" s="1168"/>
    </row>
    <row r="24365" spans="2:2" s="221" customFormat="1" ht="12.75" x14ac:dyDescent="0.2">
      <c r="B24365" s="1168"/>
    </row>
    <row r="24366" spans="2:2" s="221" customFormat="1" ht="12.75" x14ac:dyDescent="0.2">
      <c r="B24366" s="1168"/>
    </row>
    <row r="24367" spans="2:2" s="221" customFormat="1" ht="12.75" x14ac:dyDescent="0.2">
      <c r="B24367" s="1168"/>
    </row>
    <row r="24368" spans="2:2" s="221" customFormat="1" ht="12.75" x14ac:dyDescent="0.2">
      <c r="B24368" s="1168"/>
    </row>
    <row r="24369" spans="2:2" s="221" customFormat="1" ht="12.75" x14ac:dyDescent="0.2">
      <c r="B24369" s="1168"/>
    </row>
    <row r="24370" spans="2:2" s="221" customFormat="1" ht="12.75" x14ac:dyDescent="0.2">
      <c r="B24370" s="1168"/>
    </row>
    <row r="24371" spans="2:2" s="221" customFormat="1" ht="12.75" x14ac:dyDescent="0.2">
      <c r="B24371" s="1168"/>
    </row>
    <row r="24372" spans="2:2" s="221" customFormat="1" ht="12.75" x14ac:dyDescent="0.2">
      <c r="B24372" s="1168"/>
    </row>
    <row r="24373" spans="2:2" s="221" customFormat="1" ht="12.75" x14ac:dyDescent="0.2">
      <c r="B24373" s="1168"/>
    </row>
    <row r="24374" spans="2:2" s="221" customFormat="1" ht="12.75" x14ac:dyDescent="0.2">
      <c r="B24374" s="1168"/>
    </row>
    <row r="24375" spans="2:2" s="221" customFormat="1" ht="12.75" x14ac:dyDescent="0.2">
      <c r="B24375" s="1168"/>
    </row>
    <row r="24376" spans="2:2" s="221" customFormat="1" ht="12.75" x14ac:dyDescent="0.2">
      <c r="B24376" s="1168"/>
    </row>
    <row r="24377" spans="2:2" s="221" customFormat="1" ht="12.75" x14ac:dyDescent="0.2">
      <c r="B24377" s="1168"/>
    </row>
    <row r="24378" spans="2:2" s="221" customFormat="1" ht="12.75" x14ac:dyDescent="0.2">
      <c r="B24378" s="1168"/>
    </row>
    <row r="24379" spans="2:2" s="221" customFormat="1" ht="12.75" x14ac:dyDescent="0.2">
      <c r="B24379" s="1168"/>
    </row>
    <row r="24380" spans="2:2" s="221" customFormat="1" ht="12.75" x14ac:dyDescent="0.2">
      <c r="B24380" s="1168"/>
    </row>
    <row r="24381" spans="2:2" s="221" customFormat="1" ht="12.75" x14ac:dyDescent="0.2">
      <c r="B24381" s="1168"/>
    </row>
    <row r="24382" spans="2:2" s="221" customFormat="1" ht="12.75" x14ac:dyDescent="0.2">
      <c r="B24382" s="1168"/>
    </row>
    <row r="24383" spans="2:2" s="221" customFormat="1" ht="12.75" x14ac:dyDescent="0.2">
      <c r="B24383" s="1168"/>
    </row>
    <row r="24384" spans="2:2" s="221" customFormat="1" ht="12.75" x14ac:dyDescent="0.2">
      <c r="B24384" s="1168"/>
    </row>
    <row r="24385" spans="2:2" s="221" customFormat="1" ht="12.75" x14ac:dyDescent="0.2">
      <c r="B24385" s="1168"/>
    </row>
    <row r="24386" spans="2:2" s="221" customFormat="1" ht="12.75" x14ac:dyDescent="0.2">
      <c r="B24386" s="1168"/>
    </row>
    <row r="24387" spans="2:2" s="221" customFormat="1" ht="12.75" x14ac:dyDescent="0.2">
      <c r="B24387" s="1168"/>
    </row>
    <row r="24388" spans="2:2" s="221" customFormat="1" ht="12.75" x14ac:dyDescent="0.2">
      <c r="B24388" s="1168"/>
    </row>
    <row r="24389" spans="2:2" s="221" customFormat="1" ht="12.75" x14ac:dyDescent="0.2">
      <c r="B24389" s="1168"/>
    </row>
    <row r="24390" spans="2:2" s="221" customFormat="1" ht="12.75" x14ac:dyDescent="0.2">
      <c r="B24390" s="1168"/>
    </row>
    <row r="24391" spans="2:2" s="221" customFormat="1" ht="12.75" x14ac:dyDescent="0.2">
      <c r="B24391" s="1168"/>
    </row>
    <row r="24392" spans="2:2" s="221" customFormat="1" ht="12.75" x14ac:dyDescent="0.2">
      <c r="B24392" s="1168"/>
    </row>
    <row r="24393" spans="2:2" s="221" customFormat="1" ht="12.75" x14ac:dyDescent="0.2">
      <c r="B24393" s="1168"/>
    </row>
    <row r="24394" spans="2:2" s="221" customFormat="1" ht="12.75" x14ac:dyDescent="0.2">
      <c r="B24394" s="1168"/>
    </row>
    <row r="24395" spans="2:2" s="221" customFormat="1" ht="12.75" x14ac:dyDescent="0.2">
      <c r="B24395" s="1168"/>
    </row>
    <row r="24396" spans="2:2" s="221" customFormat="1" ht="12.75" x14ac:dyDescent="0.2">
      <c r="B24396" s="1168"/>
    </row>
    <row r="24397" spans="2:2" s="221" customFormat="1" ht="12.75" x14ac:dyDescent="0.2">
      <c r="B24397" s="1168"/>
    </row>
    <row r="24398" spans="2:2" s="221" customFormat="1" ht="12.75" x14ac:dyDescent="0.2">
      <c r="B24398" s="1168"/>
    </row>
    <row r="24399" spans="2:2" s="221" customFormat="1" ht="12.75" x14ac:dyDescent="0.2">
      <c r="B24399" s="1168"/>
    </row>
    <row r="24400" spans="2:2" s="221" customFormat="1" ht="12.75" x14ac:dyDescent="0.2">
      <c r="B24400" s="1168"/>
    </row>
    <row r="24401" spans="2:2" s="221" customFormat="1" ht="12.75" x14ac:dyDescent="0.2">
      <c r="B24401" s="1168"/>
    </row>
    <row r="24402" spans="2:2" s="221" customFormat="1" ht="12.75" x14ac:dyDescent="0.2">
      <c r="B24402" s="1168"/>
    </row>
    <row r="24403" spans="2:2" s="221" customFormat="1" ht="12.75" x14ac:dyDescent="0.2">
      <c r="B24403" s="1168"/>
    </row>
    <row r="24404" spans="2:2" s="221" customFormat="1" ht="12.75" x14ac:dyDescent="0.2">
      <c r="B24404" s="1168"/>
    </row>
    <row r="24405" spans="2:2" s="221" customFormat="1" ht="12.75" x14ac:dyDescent="0.2">
      <c r="B24405" s="1168"/>
    </row>
    <row r="24406" spans="2:2" s="221" customFormat="1" ht="12.75" x14ac:dyDescent="0.2">
      <c r="B24406" s="1168"/>
    </row>
    <row r="24407" spans="2:2" s="221" customFormat="1" ht="12.75" x14ac:dyDescent="0.2">
      <c r="B24407" s="1168"/>
    </row>
    <row r="24408" spans="2:2" s="221" customFormat="1" ht="12.75" x14ac:dyDescent="0.2">
      <c r="B24408" s="1168"/>
    </row>
    <row r="24409" spans="2:2" s="221" customFormat="1" ht="12.75" x14ac:dyDescent="0.2">
      <c r="B24409" s="1168"/>
    </row>
    <row r="24410" spans="2:2" s="221" customFormat="1" ht="12.75" x14ac:dyDescent="0.2">
      <c r="B24410" s="1168"/>
    </row>
    <row r="24411" spans="2:2" s="221" customFormat="1" ht="12.75" x14ac:dyDescent="0.2">
      <c r="B24411" s="1168"/>
    </row>
    <row r="24412" spans="2:2" s="221" customFormat="1" ht="12.75" x14ac:dyDescent="0.2">
      <c r="B24412" s="1168"/>
    </row>
    <row r="24413" spans="2:2" s="221" customFormat="1" ht="12.75" x14ac:dyDescent="0.2">
      <c r="B24413" s="1168"/>
    </row>
    <row r="24414" spans="2:2" s="221" customFormat="1" ht="12.75" x14ac:dyDescent="0.2">
      <c r="B24414" s="1168"/>
    </row>
    <row r="24415" spans="2:2" s="221" customFormat="1" ht="12.75" x14ac:dyDescent="0.2">
      <c r="B24415" s="1168"/>
    </row>
    <row r="24416" spans="2:2" s="221" customFormat="1" ht="12.75" x14ac:dyDescent="0.2">
      <c r="B24416" s="1168"/>
    </row>
    <row r="24417" spans="2:2" s="221" customFormat="1" ht="12.75" x14ac:dyDescent="0.2">
      <c r="B24417" s="1168"/>
    </row>
    <row r="24418" spans="2:2" s="221" customFormat="1" ht="12.75" x14ac:dyDescent="0.2">
      <c r="B24418" s="1168"/>
    </row>
    <row r="24419" spans="2:2" s="221" customFormat="1" ht="12.75" x14ac:dyDescent="0.2">
      <c r="B24419" s="1168"/>
    </row>
    <row r="24420" spans="2:2" s="221" customFormat="1" ht="12.75" x14ac:dyDescent="0.2">
      <c r="B24420" s="1168"/>
    </row>
    <row r="24421" spans="2:2" s="221" customFormat="1" ht="12.75" x14ac:dyDescent="0.2">
      <c r="B24421" s="1168"/>
    </row>
    <row r="24422" spans="2:2" s="221" customFormat="1" ht="12.75" x14ac:dyDescent="0.2">
      <c r="B24422" s="1168"/>
    </row>
    <row r="24423" spans="2:2" s="221" customFormat="1" ht="12.75" x14ac:dyDescent="0.2">
      <c r="B24423" s="1168"/>
    </row>
    <row r="24424" spans="2:2" s="221" customFormat="1" ht="12.75" x14ac:dyDescent="0.2">
      <c r="B24424" s="1168"/>
    </row>
    <row r="24425" spans="2:2" s="221" customFormat="1" ht="12.75" x14ac:dyDescent="0.2">
      <c r="B24425" s="1168"/>
    </row>
    <row r="24426" spans="2:2" s="221" customFormat="1" ht="12.75" x14ac:dyDescent="0.2">
      <c r="B24426" s="1168"/>
    </row>
    <row r="24427" spans="2:2" s="221" customFormat="1" ht="12.75" x14ac:dyDescent="0.2">
      <c r="B24427" s="1168"/>
    </row>
    <row r="24428" spans="2:2" s="221" customFormat="1" ht="12.75" x14ac:dyDescent="0.2">
      <c r="B24428" s="1168"/>
    </row>
    <row r="24429" spans="2:2" s="221" customFormat="1" ht="12.75" x14ac:dyDescent="0.2">
      <c r="B24429" s="1168"/>
    </row>
    <row r="24430" spans="2:2" s="221" customFormat="1" ht="12.75" x14ac:dyDescent="0.2">
      <c r="B24430" s="1168"/>
    </row>
    <row r="24431" spans="2:2" s="221" customFormat="1" ht="12.75" x14ac:dyDescent="0.2">
      <c r="B24431" s="1168"/>
    </row>
    <row r="24432" spans="2:2" s="221" customFormat="1" ht="12.75" x14ac:dyDescent="0.2">
      <c r="B24432" s="1168"/>
    </row>
    <row r="24433" spans="2:2" s="221" customFormat="1" ht="12.75" x14ac:dyDescent="0.2">
      <c r="B24433" s="1168"/>
    </row>
    <row r="24434" spans="2:2" s="221" customFormat="1" ht="12.75" x14ac:dyDescent="0.2">
      <c r="B24434" s="1168"/>
    </row>
    <row r="24435" spans="2:2" s="221" customFormat="1" ht="12.75" x14ac:dyDescent="0.2">
      <c r="B24435" s="1168"/>
    </row>
    <row r="24436" spans="2:2" s="221" customFormat="1" ht="12.75" x14ac:dyDescent="0.2">
      <c r="B24436" s="1168"/>
    </row>
    <row r="24437" spans="2:2" s="221" customFormat="1" ht="12.75" x14ac:dyDescent="0.2">
      <c r="B24437" s="1168"/>
    </row>
    <row r="24438" spans="2:2" s="221" customFormat="1" ht="12.75" x14ac:dyDescent="0.2">
      <c r="B24438" s="1168"/>
    </row>
    <row r="24439" spans="2:2" s="221" customFormat="1" ht="12.75" x14ac:dyDescent="0.2">
      <c r="B24439" s="1168"/>
    </row>
    <row r="24440" spans="2:2" s="221" customFormat="1" ht="12.75" x14ac:dyDescent="0.2">
      <c r="B24440" s="1168"/>
    </row>
    <row r="24441" spans="2:2" s="221" customFormat="1" ht="12.75" x14ac:dyDescent="0.2">
      <c r="B24441" s="1168"/>
    </row>
    <row r="24442" spans="2:2" s="221" customFormat="1" ht="12.75" x14ac:dyDescent="0.2">
      <c r="B24442" s="1168"/>
    </row>
    <row r="24443" spans="2:2" s="221" customFormat="1" ht="12.75" x14ac:dyDescent="0.2">
      <c r="B24443" s="1168"/>
    </row>
    <row r="24444" spans="2:2" s="221" customFormat="1" ht="12.75" x14ac:dyDescent="0.2">
      <c r="B24444" s="1168"/>
    </row>
    <row r="24445" spans="2:2" s="221" customFormat="1" ht="12.75" x14ac:dyDescent="0.2">
      <c r="B24445" s="1168"/>
    </row>
    <row r="24446" spans="2:2" s="221" customFormat="1" ht="12.75" x14ac:dyDescent="0.2">
      <c r="B24446" s="1168"/>
    </row>
    <row r="24447" spans="2:2" s="221" customFormat="1" ht="12.75" x14ac:dyDescent="0.2">
      <c r="B24447" s="1168"/>
    </row>
    <row r="24448" spans="2:2" s="221" customFormat="1" ht="12.75" x14ac:dyDescent="0.2">
      <c r="B24448" s="1168"/>
    </row>
    <row r="24449" spans="2:2" s="221" customFormat="1" ht="12.75" x14ac:dyDescent="0.2">
      <c r="B24449" s="1168"/>
    </row>
    <row r="24450" spans="2:2" s="221" customFormat="1" ht="12.75" x14ac:dyDescent="0.2">
      <c r="B24450" s="1168"/>
    </row>
    <row r="24451" spans="2:2" s="221" customFormat="1" ht="12.75" x14ac:dyDescent="0.2">
      <c r="B24451" s="1168"/>
    </row>
    <row r="24452" spans="2:2" s="221" customFormat="1" ht="12.75" x14ac:dyDescent="0.2">
      <c r="B24452" s="1168"/>
    </row>
    <row r="24453" spans="2:2" s="221" customFormat="1" ht="12.75" x14ac:dyDescent="0.2">
      <c r="B24453" s="1168"/>
    </row>
    <row r="24454" spans="2:2" s="221" customFormat="1" ht="12.75" x14ac:dyDescent="0.2">
      <c r="B24454" s="1168"/>
    </row>
    <row r="24455" spans="2:2" s="221" customFormat="1" ht="12.75" x14ac:dyDescent="0.2">
      <c r="B24455" s="1168"/>
    </row>
    <row r="24456" spans="2:2" s="221" customFormat="1" ht="12.75" x14ac:dyDescent="0.2">
      <c r="B24456" s="1168"/>
    </row>
    <row r="24457" spans="2:2" s="221" customFormat="1" ht="12.75" x14ac:dyDescent="0.2">
      <c r="B24457" s="1168"/>
    </row>
    <row r="24458" spans="2:2" s="221" customFormat="1" ht="12.75" x14ac:dyDescent="0.2">
      <c r="B24458" s="1168"/>
    </row>
    <row r="24459" spans="2:2" s="221" customFormat="1" ht="12.75" x14ac:dyDescent="0.2">
      <c r="B24459" s="1168"/>
    </row>
    <row r="24460" spans="2:2" s="221" customFormat="1" ht="12.75" x14ac:dyDescent="0.2">
      <c r="B24460" s="1168"/>
    </row>
    <row r="24461" spans="2:2" s="221" customFormat="1" ht="12.75" x14ac:dyDescent="0.2">
      <c r="B24461" s="1168"/>
    </row>
    <row r="24462" spans="2:2" s="221" customFormat="1" ht="12.75" x14ac:dyDescent="0.2">
      <c r="B24462" s="1168"/>
    </row>
    <row r="24463" spans="2:2" s="221" customFormat="1" ht="12.75" x14ac:dyDescent="0.2">
      <c r="B24463" s="1168"/>
    </row>
    <row r="24464" spans="2:2" s="221" customFormat="1" ht="12.75" x14ac:dyDescent="0.2">
      <c r="B24464" s="1168"/>
    </row>
    <row r="24465" spans="2:2" s="221" customFormat="1" ht="12.75" x14ac:dyDescent="0.2">
      <c r="B24465" s="1168"/>
    </row>
    <row r="24466" spans="2:2" s="221" customFormat="1" ht="12.75" x14ac:dyDescent="0.2">
      <c r="B24466" s="1168"/>
    </row>
    <row r="24467" spans="2:2" s="221" customFormat="1" ht="12.75" x14ac:dyDescent="0.2">
      <c r="B24467" s="1168"/>
    </row>
    <row r="24468" spans="2:2" s="221" customFormat="1" ht="12.75" x14ac:dyDescent="0.2">
      <c r="B24468" s="1168"/>
    </row>
    <row r="24469" spans="2:2" s="221" customFormat="1" ht="12.75" x14ac:dyDescent="0.2">
      <c r="B24469" s="1168"/>
    </row>
    <row r="24470" spans="2:2" s="221" customFormat="1" ht="12.75" x14ac:dyDescent="0.2">
      <c r="B24470" s="1168"/>
    </row>
    <row r="24471" spans="2:2" s="221" customFormat="1" ht="12.75" x14ac:dyDescent="0.2">
      <c r="B24471" s="1168"/>
    </row>
    <row r="24472" spans="2:2" s="221" customFormat="1" ht="12.75" x14ac:dyDescent="0.2">
      <c r="B24472" s="1168"/>
    </row>
    <row r="24473" spans="2:2" s="221" customFormat="1" ht="12.75" x14ac:dyDescent="0.2">
      <c r="B24473" s="1168"/>
    </row>
    <row r="24474" spans="2:2" s="221" customFormat="1" ht="12.75" x14ac:dyDescent="0.2">
      <c r="B24474" s="1168"/>
    </row>
    <row r="24475" spans="2:2" s="221" customFormat="1" ht="12.75" x14ac:dyDescent="0.2">
      <c r="B24475" s="1168"/>
    </row>
    <row r="24476" spans="2:2" s="221" customFormat="1" ht="12.75" x14ac:dyDescent="0.2">
      <c r="B24476" s="1168"/>
    </row>
    <row r="24477" spans="2:2" s="221" customFormat="1" ht="12.75" x14ac:dyDescent="0.2">
      <c r="B24477" s="1168"/>
    </row>
    <row r="24478" spans="2:2" s="221" customFormat="1" ht="12.75" x14ac:dyDescent="0.2">
      <c r="B24478" s="1168"/>
    </row>
    <row r="24479" spans="2:2" s="221" customFormat="1" ht="12.75" x14ac:dyDescent="0.2">
      <c r="B24479" s="1168"/>
    </row>
    <row r="24480" spans="2:2" s="221" customFormat="1" ht="12.75" x14ac:dyDescent="0.2">
      <c r="B24480" s="1168"/>
    </row>
    <row r="24481" spans="2:2" s="221" customFormat="1" ht="12.75" x14ac:dyDescent="0.2">
      <c r="B24481" s="1168"/>
    </row>
    <row r="24482" spans="2:2" s="221" customFormat="1" ht="12.75" x14ac:dyDescent="0.2">
      <c r="B24482" s="1168"/>
    </row>
    <row r="24483" spans="2:2" s="221" customFormat="1" ht="12.75" x14ac:dyDescent="0.2">
      <c r="B24483" s="1168"/>
    </row>
    <row r="24484" spans="2:2" s="221" customFormat="1" ht="12.75" x14ac:dyDescent="0.2">
      <c r="B24484" s="1168"/>
    </row>
    <row r="24485" spans="2:2" s="221" customFormat="1" ht="12.75" x14ac:dyDescent="0.2">
      <c r="B24485" s="1168"/>
    </row>
    <row r="24486" spans="2:2" s="221" customFormat="1" ht="12.75" x14ac:dyDescent="0.2">
      <c r="B24486" s="1168"/>
    </row>
    <row r="24487" spans="2:2" s="221" customFormat="1" ht="12.75" x14ac:dyDescent="0.2">
      <c r="B24487" s="1168"/>
    </row>
    <row r="24488" spans="2:2" s="221" customFormat="1" ht="12.75" x14ac:dyDescent="0.2">
      <c r="B24488" s="1168"/>
    </row>
    <row r="24489" spans="2:2" s="221" customFormat="1" ht="12.75" x14ac:dyDescent="0.2">
      <c r="B24489" s="1168"/>
    </row>
    <row r="24490" spans="2:2" s="221" customFormat="1" ht="12.75" x14ac:dyDescent="0.2">
      <c r="B24490" s="1168"/>
    </row>
    <row r="24491" spans="2:2" s="221" customFormat="1" ht="12.75" x14ac:dyDescent="0.2">
      <c r="B24491" s="1168"/>
    </row>
    <row r="24492" spans="2:2" s="221" customFormat="1" ht="12.75" x14ac:dyDescent="0.2">
      <c r="B24492" s="1168"/>
    </row>
    <row r="24493" spans="2:2" s="221" customFormat="1" ht="12.75" x14ac:dyDescent="0.2">
      <c r="B24493" s="1168"/>
    </row>
    <row r="24494" spans="2:2" s="221" customFormat="1" ht="12.75" x14ac:dyDescent="0.2">
      <c r="B24494" s="1168"/>
    </row>
    <row r="24495" spans="2:2" s="221" customFormat="1" ht="12.75" x14ac:dyDescent="0.2">
      <c r="B24495" s="1168"/>
    </row>
    <row r="24496" spans="2:2" s="221" customFormat="1" ht="12.75" x14ac:dyDescent="0.2">
      <c r="B24496" s="1168"/>
    </row>
    <row r="24497" spans="2:2" s="221" customFormat="1" ht="12.75" x14ac:dyDescent="0.2">
      <c r="B24497" s="1168"/>
    </row>
    <row r="24498" spans="2:2" s="221" customFormat="1" ht="12.75" x14ac:dyDescent="0.2">
      <c r="B24498" s="1168"/>
    </row>
    <row r="24499" spans="2:2" s="221" customFormat="1" ht="12.75" x14ac:dyDescent="0.2">
      <c r="B24499" s="1168"/>
    </row>
    <row r="24500" spans="2:2" s="221" customFormat="1" ht="12.75" x14ac:dyDescent="0.2">
      <c r="B24500" s="1168"/>
    </row>
    <row r="24501" spans="2:2" s="221" customFormat="1" ht="12.75" x14ac:dyDescent="0.2">
      <c r="B24501" s="1168"/>
    </row>
    <row r="24502" spans="2:2" s="221" customFormat="1" ht="12.75" x14ac:dyDescent="0.2">
      <c r="B24502" s="1168"/>
    </row>
    <row r="24503" spans="2:2" s="221" customFormat="1" ht="12.75" x14ac:dyDescent="0.2">
      <c r="B24503" s="1168"/>
    </row>
    <row r="24504" spans="2:2" s="221" customFormat="1" ht="12.75" x14ac:dyDescent="0.2">
      <c r="B24504" s="1168"/>
    </row>
    <row r="24505" spans="2:2" s="221" customFormat="1" ht="12.75" x14ac:dyDescent="0.2">
      <c r="B24505" s="1168"/>
    </row>
    <row r="24506" spans="2:2" s="221" customFormat="1" ht="12.75" x14ac:dyDescent="0.2">
      <c r="B24506" s="1168"/>
    </row>
    <row r="24507" spans="2:2" s="221" customFormat="1" ht="12.75" x14ac:dyDescent="0.2">
      <c r="B24507" s="1168"/>
    </row>
    <row r="24508" spans="2:2" s="221" customFormat="1" ht="12.75" x14ac:dyDescent="0.2">
      <c r="B24508" s="1168"/>
    </row>
    <row r="24509" spans="2:2" s="221" customFormat="1" ht="12.75" x14ac:dyDescent="0.2">
      <c r="B24509" s="1168"/>
    </row>
    <row r="24510" spans="2:2" s="221" customFormat="1" ht="12.75" x14ac:dyDescent="0.2">
      <c r="B24510" s="1168"/>
    </row>
    <row r="24511" spans="2:2" s="221" customFormat="1" ht="12.75" x14ac:dyDescent="0.2">
      <c r="B24511" s="1168"/>
    </row>
    <row r="24512" spans="2:2" s="221" customFormat="1" ht="12.75" x14ac:dyDescent="0.2">
      <c r="B24512" s="1168"/>
    </row>
    <row r="24513" spans="2:2" s="221" customFormat="1" ht="12.75" x14ac:dyDescent="0.2">
      <c r="B24513" s="1168"/>
    </row>
    <row r="24514" spans="2:2" s="221" customFormat="1" ht="12.75" x14ac:dyDescent="0.2">
      <c r="B24514" s="1168"/>
    </row>
    <row r="24515" spans="2:2" s="221" customFormat="1" ht="12.75" x14ac:dyDescent="0.2">
      <c r="B24515" s="1168"/>
    </row>
    <row r="24516" spans="2:2" s="221" customFormat="1" ht="12.75" x14ac:dyDescent="0.2">
      <c r="B24516" s="1168"/>
    </row>
    <row r="24517" spans="2:2" s="221" customFormat="1" ht="12.75" x14ac:dyDescent="0.2">
      <c r="B24517" s="1168"/>
    </row>
    <row r="24518" spans="2:2" s="221" customFormat="1" ht="12.75" x14ac:dyDescent="0.2">
      <c r="B24518" s="1168"/>
    </row>
    <row r="24519" spans="2:2" s="221" customFormat="1" ht="12.75" x14ac:dyDescent="0.2">
      <c r="B24519" s="1168"/>
    </row>
    <row r="24520" spans="2:2" s="221" customFormat="1" ht="12.75" x14ac:dyDescent="0.2">
      <c r="B24520" s="1168"/>
    </row>
    <row r="24521" spans="2:2" s="221" customFormat="1" ht="12.75" x14ac:dyDescent="0.2">
      <c r="B24521" s="1168"/>
    </row>
    <row r="24522" spans="2:2" s="221" customFormat="1" ht="12.75" x14ac:dyDescent="0.2">
      <c r="B24522" s="1168"/>
    </row>
    <row r="24523" spans="2:2" s="221" customFormat="1" ht="12.75" x14ac:dyDescent="0.2">
      <c r="B24523" s="1168"/>
    </row>
    <row r="24524" spans="2:2" s="221" customFormat="1" ht="12.75" x14ac:dyDescent="0.2">
      <c r="B24524" s="1168"/>
    </row>
    <row r="24525" spans="2:2" s="221" customFormat="1" ht="12.75" x14ac:dyDescent="0.2">
      <c r="B24525" s="1168"/>
    </row>
    <row r="24526" spans="2:2" s="221" customFormat="1" ht="12.75" x14ac:dyDescent="0.2">
      <c r="B24526" s="1168"/>
    </row>
    <row r="24527" spans="2:2" s="221" customFormat="1" ht="12.75" x14ac:dyDescent="0.2">
      <c r="B24527" s="1168"/>
    </row>
    <row r="24528" spans="2:2" s="221" customFormat="1" ht="12.75" x14ac:dyDescent="0.2">
      <c r="B24528" s="1168"/>
    </row>
    <row r="24529" spans="2:2" s="221" customFormat="1" ht="12.75" x14ac:dyDescent="0.2">
      <c r="B24529" s="1168"/>
    </row>
    <row r="24530" spans="2:2" s="221" customFormat="1" ht="12.75" x14ac:dyDescent="0.2">
      <c r="B24530" s="1168"/>
    </row>
    <row r="24531" spans="2:2" s="221" customFormat="1" ht="12.75" x14ac:dyDescent="0.2">
      <c r="B24531" s="1168"/>
    </row>
    <row r="24532" spans="2:2" s="221" customFormat="1" ht="12.75" x14ac:dyDescent="0.2">
      <c r="B24532" s="1168"/>
    </row>
    <row r="24533" spans="2:2" s="221" customFormat="1" ht="12.75" x14ac:dyDescent="0.2">
      <c r="B24533" s="1168"/>
    </row>
    <row r="24534" spans="2:2" s="221" customFormat="1" ht="12.75" x14ac:dyDescent="0.2">
      <c r="B24534" s="1168"/>
    </row>
    <row r="24535" spans="2:2" s="221" customFormat="1" ht="12.75" x14ac:dyDescent="0.2">
      <c r="B24535" s="1168"/>
    </row>
    <row r="24536" spans="2:2" s="221" customFormat="1" ht="12.75" x14ac:dyDescent="0.2">
      <c r="B24536" s="1168"/>
    </row>
    <row r="24537" spans="2:2" s="221" customFormat="1" ht="12.75" x14ac:dyDescent="0.2">
      <c r="B24537" s="1168"/>
    </row>
    <row r="24538" spans="2:2" s="221" customFormat="1" ht="12.75" x14ac:dyDescent="0.2">
      <c r="B24538" s="1168"/>
    </row>
    <row r="24539" spans="2:2" s="221" customFormat="1" ht="12.75" x14ac:dyDescent="0.2">
      <c r="B24539" s="1168"/>
    </row>
    <row r="24540" spans="2:2" s="221" customFormat="1" ht="12.75" x14ac:dyDescent="0.2">
      <c r="B24540" s="1168"/>
    </row>
    <row r="24541" spans="2:2" s="221" customFormat="1" ht="12.75" x14ac:dyDescent="0.2">
      <c r="B24541" s="1168"/>
    </row>
    <row r="24542" spans="2:2" s="221" customFormat="1" ht="12.75" x14ac:dyDescent="0.2">
      <c r="B24542" s="1168"/>
    </row>
    <row r="24543" spans="2:2" s="221" customFormat="1" ht="12.75" x14ac:dyDescent="0.2">
      <c r="B24543" s="1168"/>
    </row>
    <row r="24544" spans="2:2" s="221" customFormat="1" ht="12.75" x14ac:dyDescent="0.2">
      <c r="B24544" s="1168"/>
    </row>
    <row r="24545" spans="2:2" s="221" customFormat="1" ht="12.75" x14ac:dyDescent="0.2">
      <c r="B24545" s="1168"/>
    </row>
    <row r="24546" spans="2:2" s="221" customFormat="1" ht="12.75" x14ac:dyDescent="0.2">
      <c r="B24546" s="1168"/>
    </row>
    <row r="24547" spans="2:2" s="221" customFormat="1" ht="12.75" x14ac:dyDescent="0.2">
      <c r="B24547" s="1168"/>
    </row>
    <row r="24548" spans="2:2" s="221" customFormat="1" ht="12.75" x14ac:dyDescent="0.2">
      <c r="B24548" s="1168"/>
    </row>
    <row r="24549" spans="2:2" s="221" customFormat="1" ht="12.75" x14ac:dyDescent="0.2">
      <c r="B24549" s="1168"/>
    </row>
    <row r="24550" spans="2:2" s="221" customFormat="1" ht="12.75" x14ac:dyDescent="0.2">
      <c r="B24550" s="1168"/>
    </row>
    <row r="24551" spans="2:2" s="221" customFormat="1" ht="12.75" x14ac:dyDescent="0.2">
      <c r="B24551" s="1168"/>
    </row>
    <row r="24552" spans="2:2" s="221" customFormat="1" ht="12.75" x14ac:dyDescent="0.2">
      <c r="B24552" s="1168"/>
    </row>
    <row r="24553" spans="2:2" s="221" customFormat="1" ht="12.75" x14ac:dyDescent="0.2">
      <c r="B24553" s="1168"/>
    </row>
    <row r="24554" spans="2:2" s="221" customFormat="1" ht="12.75" x14ac:dyDescent="0.2">
      <c r="B24554" s="1168"/>
    </row>
    <row r="24555" spans="2:2" s="221" customFormat="1" ht="12.75" x14ac:dyDescent="0.2">
      <c r="B24555" s="1168"/>
    </row>
    <row r="24556" spans="2:2" s="221" customFormat="1" ht="12.75" x14ac:dyDescent="0.2">
      <c r="B24556" s="1168"/>
    </row>
    <row r="24557" spans="2:2" s="221" customFormat="1" ht="12.75" x14ac:dyDescent="0.2">
      <c r="B24557" s="1168"/>
    </row>
    <row r="24558" spans="2:2" s="221" customFormat="1" ht="12.75" x14ac:dyDescent="0.2">
      <c r="B24558" s="1168"/>
    </row>
    <row r="24559" spans="2:2" s="221" customFormat="1" ht="12.75" x14ac:dyDescent="0.2">
      <c r="B24559" s="1168"/>
    </row>
    <row r="24560" spans="2:2" s="221" customFormat="1" ht="12.75" x14ac:dyDescent="0.2">
      <c r="B24560" s="1168"/>
    </row>
    <row r="24561" spans="2:2" s="221" customFormat="1" ht="12.75" x14ac:dyDescent="0.2">
      <c r="B24561" s="1168"/>
    </row>
    <row r="24562" spans="2:2" s="221" customFormat="1" ht="12.75" x14ac:dyDescent="0.2">
      <c r="B24562" s="1168"/>
    </row>
    <row r="24563" spans="2:2" s="221" customFormat="1" ht="12.75" x14ac:dyDescent="0.2">
      <c r="B24563" s="1168"/>
    </row>
    <row r="24564" spans="2:2" s="221" customFormat="1" ht="12.75" x14ac:dyDescent="0.2">
      <c r="B24564" s="1168"/>
    </row>
    <row r="24565" spans="2:2" s="221" customFormat="1" ht="12.75" x14ac:dyDescent="0.2">
      <c r="B24565" s="1168"/>
    </row>
    <row r="24566" spans="2:2" s="221" customFormat="1" ht="12.75" x14ac:dyDescent="0.2">
      <c r="B24566" s="1168"/>
    </row>
    <row r="24567" spans="2:2" s="221" customFormat="1" ht="12.75" x14ac:dyDescent="0.2">
      <c r="B24567" s="1168"/>
    </row>
    <row r="24568" spans="2:2" s="221" customFormat="1" ht="12.75" x14ac:dyDescent="0.2">
      <c r="B24568" s="1168"/>
    </row>
    <row r="24569" spans="2:2" s="221" customFormat="1" ht="12.75" x14ac:dyDescent="0.2">
      <c r="B24569" s="1168"/>
    </row>
    <row r="24570" spans="2:2" s="221" customFormat="1" ht="12.75" x14ac:dyDescent="0.2">
      <c r="B24570" s="1168"/>
    </row>
    <row r="24571" spans="2:2" s="221" customFormat="1" ht="12.75" x14ac:dyDescent="0.2">
      <c r="B24571" s="1168"/>
    </row>
    <row r="24572" spans="2:2" s="221" customFormat="1" ht="12.75" x14ac:dyDescent="0.2">
      <c r="B24572" s="1168"/>
    </row>
    <row r="24573" spans="2:2" s="221" customFormat="1" ht="12.75" x14ac:dyDescent="0.2">
      <c r="B24573" s="1168"/>
    </row>
    <row r="24574" spans="2:2" s="221" customFormat="1" ht="12.75" x14ac:dyDescent="0.2">
      <c r="B24574" s="1168"/>
    </row>
    <row r="24575" spans="2:2" s="221" customFormat="1" ht="12.75" x14ac:dyDescent="0.2">
      <c r="B24575" s="1168"/>
    </row>
    <row r="24576" spans="2:2" s="221" customFormat="1" ht="12.75" x14ac:dyDescent="0.2">
      <c r="B24576" s="1168"/>
    </row>
    <row r="24577" spans="2:2" s="221" customFormat="1" ht="12.75" x14ac:dyDescent="0.2">
      <c r="B24577" s="1168"/>
    </row>
    <row r="24578" spans="2:2" s="221" customFormat="1" ht="12.75" x14ac:dyDescent="0.2">
      <c r="B24578" s="1168"/>
    </row>
    <row r="24579" spans="2:2" s="221" customFormat="1" ht="12.75" x14ac:dyDescent="0.2">
      <c r="B24579" s="1168"/>
    </row>
    <row r="24580" spans="2:2" s="221" customFormat="1" ht="12.75" x14ac:dyDescent="0.2">
      <c r="B24580" s="1168"/>
    </row>
    <row r="24581" spans="2:2" s="221" customFormat="1" ht="12.75" x14ac:dyDescent="0.2">
      <c r="B24581" s="1168"/>
    </row>
    <row r="24582" spans="2:2" s="221" customFormat="1" ht="12.75" x14ac:dyDescent="0.2">
      <c r="B24582" s="1168"/>
    </row>
    <row r="24583" spans="2:2" s="221" customFormat="1" ht="12.75" x14ac:dyDescent="0.2">
      <c r="B24583" s="1168"/>
    </row>
    <row r="24584" spans="2:2" s="221" customFormat="1" ht="12.75" x14ac:dyDescent="0.2">
      <c r="B24584" s="1168"/>
    </row>
    <row r="24585" spans="2:2" s="221" customFormat="1" ht="12.75" x14ac:dyDescent="0.2">
      <c r="B24585" s="1168"/>
    </row>
    <row r="24586" spans="2:2" s="221" customFormat="1" ht="12.75" x14ac:dyDescent="0.2">
      <c r="B24586" s="1168"/>
    </row>
    <row r="24587" spans="2:2" s="221" customFormat="1" ht="12.75" x14ac:dyDescent="0.2">
      <c r="B24587" s="1168"/>
    </row>
    <row r="24588" spans="2:2" s="221" customFormat="1" ht="12.75" x14ac:dyDescent="0.2">
      <c r="B24588" s="1168"/>
    </row>
    <row r="24589" spans="2:2" s="221" customFormat="1" ht="12.75" x14ac:dyDescent="0.2">
      <c r="B24589" s="1168"/>
    </row>
    <row r="24590" spans="2:2" s="221" customFormat="1" ht="12.75" x14ac:dyDescent="0.2">
      <c r="B24590" s="1168"/>
    </row>
    <row r="24591" spans="2:2" s="221" customFormat="1" ht="12.75" x14ac:dyDescent="0.2">
      <c r="B24591" s="1168"/>
    </row>
    <row r="24592" spans="2:2" s="221" customFormat="1" ht="12.75" x14ac:dyDescent="0.2">
      <c r="B24592" s="1168"/>
    </row>
    <row r="24593" spans="2:2" s="221" customFormat="1" ht="12.75" x14ac:dyDescent="0.2">
      <c r="B24593" s="1168"/>
    </row>
    <row r="24594" spans="2:2" s="221" customFormat="1" ht="12.75" x14ac:dyDescent="0.2">
      <c r="B24594" s="1168"/>
    </row>
    <row r="24595" spans="2:2" s="221" customFormat="1" ht="12.75" x14ac:dyDescent="0.2">
      <c r="B24595" s="1168"/>
    </row>
    <row r="24596" spans="2:2" s="221" customFormat="1" ht="12.75" x14ac:dyDescent="0.2">
      <c r="B24596" s="1168"/>
    </row>
    <row r="24597" spans="2:2" s="221" customFormat="1" ht="12.75" x14ac:dyDescent="0.2">
      <c r="B24597" s="1168"/>
    </row>
    <row r="24598" spans="2:2" s="221" customFormat="1" ht="12.75" x14ac:dyDescent="0.2">
      <c r="B24598" s="1168"/>
    </row>
    <row r="24599" spans="2:2" s="221" customFormat="1" ht="12.75" x14ac:dyDescent="0.2">
      <c r="B24599" s="1168"/>
    </row>
    <row r="24600" spans="2:2" s="221" customFormat="1" ht="12.75" x14ac:dyDescent="0.2">
      <c r="B24600" s="1168"/>
    </row>
    <row r="24601" spans="2:2" s="221" customFormat="1" ht="12.75" x14ac:dyDescent="0.2">
      <c r="B24601" s="1168"/>
    </row>
    <row r="24602" spans="2:2" s="221" customFormat="1" ht="12.75" x14ac:dyDescent="0.2">
      <c r="B24602" s="1168"/>
    </row>
    <row r="24603" spans="2:2" s="221" customFormat="1" ht="12.75" x14ac:dyDescent="0.2">
      <c r="B24603" s="1168"/>
    </row>
    <row r="24604" spans="2:2" s="221" customFormat="1" ht="12.75" x14ac:dyDescent="0.2">
      <c r="B24604" s="1168"/>
    </row>
    <row r="24605" spans="2:2" s="221" customFormat="1" ht="12.75" x14ac:dyDescent="0.2">
      <c r="B24605" s="1168"/>
    </row>
    <row r="24606" spans="2:2" s="221" customFormat="1" ht="12.75" x14ac:dyDescent="0.2">
      <c r="B24606" s="1168"/>
    </row>
    <row r="24607" spans="2:2" s="221" customFormat="1" ht="12.75" x14ac:dyDescent="0.2">
      <c r="B24607" s="1168"/>
    </row>
    <row r="24608" spans="2:2" s="221" customFormat="1" ht="12.75" x14ac:dyDescent="0.2">
      <c r="B24608" s="1168"/>
    </row>
    <row r="24609" spans="2:2" s="221" customFormat="1" ht="12.75" x14ac:dyDescent="0.2">
      <c r="B24609" s="1168"/>
    </row>
    <row r="24610" spans="2:2" s="221" customFormat="1" ht="12.75" x14ac:dyDescent="0.2">
      <c r="B24610" s="1168"/>
    </row>
    <row r="24611" spans="2:2" s="221" customFormat="1" ht="12.75" x14ac:dyDescent="0.2">
      <c r="B24611" s="1168"/>
    </row>
    <row r="24612" spans="2:2" s="221" customFormat="1" ht="12.75" x14ac:dyDescent="0.2">
      <c r="B24612" s="1168"/>
    </row>
    <row r="24613" spans="2:2" s="221" customFormat="1" ht="12.75" x14ac:dyDescent="0.2">
      <c r="B24613" s="1168"/>
    </row>
    <row r="24614" spans="2:2" s="221" customFormat="1" ht="12.75" x14ac:dyDescent="0.2">
      <c r="B24614" s="1168"/>
    </row>
    <row r="24615" spans="2:2" s="221" customFormat="1" ht="12.75" x14ac:dyDescent="0.2">
      <c r="B24615" s="1168"/>
    </row>
    <row r="24616" spans="2:2" s="221" customFormat="1" ht="12.75" x14ac:dyDescent="0.2">
      <c r="B24616" s="1168"/>
    </row>
    <row r="24617" spans="2:2" s="221" customFormat="1" ht="12.75" x14ac:dyDescent="0.2">
      <c r="B24617" s="1168"/>
    </row>
    <row r="24618" spans="2:2" s="221" customFormat="1" ht="12.75" x14ac:dyDescent="0.2">
      <c r="B24618" s="1168"/>
    </row>
    <row r="24619" spans="2:2" s="221" customFormat="1" ht="12.75" x14ac:dyDescent="0.2">
      <c r="B24619" s="1168"/>
    </row>
    <row r="24620" spans="2:2" s="221" customFormat="1" ht="12.75" x14ac:dyDescent="0.2">
      <c r="B24620" s="1168"/>
    </row>
    <row r="24621" spans="2:2" s="221" customFormat="1" ht="12.75" x14ac:dyDescent="0.2">
      <c r="B24621" s="1168"/>
    </row>
    <row r="24622" spans="2:2" s="221" customFormat="1" ht="12.75" x14ac:dyDescent="0.2">
      <c r="B24622" s="1168"/>
    </row>
    <row r="24623" spans="2:2" s="221" customFormat="1" ht="12.75" x14ac:dyDescent="0.2">
      <c r="B24623" s="1168"/>
    </row>
    <row r="24624" spans="2:2" s="221" customFormat="1" ht="12.75" x14ac:dyDescent="0.2">
      <c r="B24624" s="1168"/>
    </row>
    <row r="24625" spans="2:2" s="221" customFormat="1" ht="12.75" x14ac:dyDescent="0.2">
      <c r="B24625" s="1168"/>
    </row>
    <row r="24626" spans="2:2" s="221" customFormat="1" ht="12.75" x14ac:dyDescent="0.2">
      <c r="B24626" s="1168"/>
    </row>
    <row r="24627" spans="2:2" s="221" customFormat="1" ht="12.75" x14ac:dyDescent="0.2">
      <c r="B24627" s="1168"/>
    </row>
    <row r="24628" spans="2:2" s="221" customFormat="1" ht="12.75" x14ac:dyDescent="0.2">
      <c r="B24628" s="1168"/>
    </row>
    <row r="24629" spans="2:2" s="221" customFormat="1" ht="12.75" x14ac:dyDescent="0.2">
      <c r="B24629" s="1168"/>
    </row>
    <row r="24630" spans="2:2" s="221" customFormat="1" ht="12.75" x14ac:dyDescent="0.2">
      <c r="B24630" s="1168"/>
    </row>
    <row r="24631" spans="2:2" s="221" customFormat="1" ht="12.75" x14ac:dyDescent="0.2">
      <c r="B24631" s="1168"/>
    </row>
    <row r="24632" spans="2:2" s="221" customFormat="1" ht="12.75" x14ac:dyDescent="0.2">
      <c r="B24632" s="1168"/>
    </row>
    <row r="24633" spans="2:2" s="221" customFormat="1" ht="12.75" x14ac:dyDescent="0.2">
      <c r="B24633" s="1168"/>
    </row>
    <row r="24634" spans="2:2" s="221" customFormat="1" ht="12.75" x14ac:dyDescent="0.2">
      <c r="B24634" s="1168"/>
    </row>
    <row r="24635" spans="2:2" s="221" customFormat="1" ht="12.75" x14ac:dyDescent="0.2">
      <c r="B24635" s="1168"/>
    </row>
    <row r="24636" spans="2:2" s="221" customFormat="1" ht="12.75" x14ac:dyDescent="0.2">
      <c r="B24636" s="1168"/>
    </row>
    <row r="24637" spans="2:2" s="221" customFormat="1" ht="12.75" x14ac:dyDescent="0.2">
      <c r="B24637" s="1168"/>
    </row>
    <row r="24638" spans="2:2" s="221" customFormat="1" ht="12.75" x14ac:dyDescent="0.2">
      <c r="B24638" s="1168"/>
    </row>
    <row r="24639" spans="2:2" s="221" customFormat="1" ht="12.75" x14ac:dyDescent="0.2">
      <c r="B24639" s="1168"/>
    </row>
    <row r="24640" spans="2:2" s="221" customFormat="1" ht="12.75" x14ac:dyDescent="0.2">
      <c r="B24640" s="1168"/>
    </row>
    <row r="24641" spans="2:2" s="221" customFormat="1" ht="12.75" x14ac:dyDescent="0.2">
      <c r="B24641" s="1168"/>
    </row>
    <row r="24642" spans="2:2" s="221" customFormat="1" ht="12.75" x14ac:dyDescent="0.2">
      <c r="B24642" s="1168"/>
    </row>
    <row r="24643" spans="2:2" s="221" customFormat="1" ht="12.75" x14ac:dyDescent="0.2">
      <c r="B24643" s="1168"/>
    </row>
    <row r="24644" spans="2:2" s="221" customFormat="1" ht="12.75" x14ac:dyDescent="0.2">
      <c r="B24644" s="1168"/>
    </row>
    <row r="24645" spans="2:2" s="221" customFormat="1" ht="12.75" x14ac:dyDescent="0.2">
      <c r="B24645" s="1168"/>
    </row>
    <row r="24646" spans="2:2" s="221" customFormat="1" ht="12.75" x14ac:dyDescent="0.2">
      <c r="B24646" s="1168"/>
    </row>
    <row r="24647" spans="2:2" s="221" customFormat="1" ht="12.75" x14ac:dyDescent="0.2">
      <c r="B24647" s="1168"/>
    </row>
    <row r="24648" spans="2:2" s="221" customFormat="1" ht="12.75" x14ac:dyDescent="0.2">
      <c r="B24648" s="1168"/>
    </row>
    <row r="24649" spans="2:2" s="221" customFormat="1" ht="12.75" x14ac:dyDescent="0.2">
      <c r="B24649" s="1168"/>
    </row>
    <row r="24650" spans="2:2" s="221" customFormat="1" ht="12.75" x14ac:dyDescent="0.2">
      <c r="B24650" s="1168"/>
    </row>
    <row r="24651" spans="2:2" s="221" customFormat="1" ht="12.75" x14ac:dyDescent="0.2">
      <c r="B24651" s="1168"/>
    </row>
    <row r="24652" spans="2:2" s="221" customFormat="1" ht="12.75" x14ac:dyDescent="0.2">
      <c r="B24652" s="1168"/>
    </row>
    <row r="24653" spans="2:2" s="221" customFormat="1" ht="12.75" x14ac:dyDescent="0.2">
      <c r="B24653" s="1168"/>
    </row>
    <row r="24654" spans="2:2" s="221" customFormat="1" ht="12.75" x14ac:dyDescent="0.2">
      <c r="B24654" s="1168"/>
    </row>
    <row r="24655" spans="2:2" s="221" customFormat="1" ht="12.75" x14ac:dyDescent="0.2">
      <c r="B24655" s="1168"/>
    </row>
    <row r="24656" spans="2:2" s="221" customFormat="1" ht="12.75" x14ac:dyDescent="0.2">
      <c r="B24656" s="1168"/>
    </row>
    <row r="24657" spans="2:2" s="221" customFormat="1" ht="12.75" x14ac:dyDescent="0.2">
      <c r="B24657" s="1168"/>
    </row>
    <row r="24658" spans="2:2" s="221" customFormat="1" ht="12.75" x14ac:dyDescent="0.2">
      <c r="B24658" s="1168"/>
    </row>
    <row r="24659" spans="2:2" s="221" customFormat="1" ht="12.75" x14ac:dyDescent="0.2">
      <c r="B24659" s="1168"/>
    </row>
    <row r="24660" spans="2:2" s="221" customFormat="1" ht="12.75" x14ac:dyDescent="0.2">
      <c r="B24660" s="1168"/>
    </row>
    <row r="24661" spans="2:2" s="221" customFormat="1" ht="12.75" x14ac:dyDescent="0.2">
      <c r="B24661" s="1168"/>
    </row>
    <row r="24662" spans="2:2" s="221" customFormat="1" ht="12.75" x14ac:dyDescent="0.2">
      <c r="B24662" s="1168"/>
    </row>
    <row r="24663" spans="2:2" s="221" customFormat="1" ht="12.75" x14ac:dyDescent="0.2">
      <c r="B24663" s="1168"/>
    </row>
    <row r="24664" spans="2:2" s="221" customFormat="1" ht="12.75" x14ac:dyDescent="0.2">
      <c r="B24664" s="1168"/>
    </row>
    <row r="24665" spans="2:2" s="221" customFormat="1" ht="12.75" x14ac:dyDescent="0.2">
      <c r="B24665" s="1168"/>
    </row>
    <row r="24666" spans="2:2" s="221" customFormat="1" ht="12.75" x14ac:dyDescent="0.2">
      <c r="B24666" s="1168"/>
    </row>
    <row r="24667" spans="2:2" s="221" customFormat="1" ht="12.75" x14ac:dyDescent="0.2">
      <c r="B24667" s="1168"/>
    </row>
    <row r="24668" spans="2:2" s="221" customFormat="1" ht="12.75" x14ac:dyDescent="0.2">
      <c r="B24668" s="1168"/>
    </row>
    <row r="24669" spans="2:2" s="221" customFormat="1" ht="12.75" x14ac:dyDescent="0.2">
      <c r="B24669" s="1168"/>
    </row>
    <row r="24670" spans="2:2" s="221" customFormat="1" ht="12.75" x14ac:dyDescent="0.2">
      <c r="B24670" s="1168"/>
    </row>
    <row r="24671" spans="2:2" s="221" customFormat="1" ht="12.75" x14ac:dyDescent="0.2">
      <c r="B24671" s="1168"/>
    </row>
    <row r="24672" spans="2:2" s="221" customFormat="1" ht="12.75" x14ac:dyDescent="0.2">
      <c r="B24672" s="1168"/>
    </row>
    <row r="24673" spans="2:2" s="221" customFormat="1" ht="12.75" x14ac:dyDescent="0.2">
      <c r="B24673" s="1168"/>
    </row>
    <row r="24674" spans="2:2" s="221" customFormat="1" ht="12.75" x14ac:dyDescent="0.2">
      <c r="B24674" s="1168"/>
    </row>
    <row r="24675" spans="2:2" s="221" customFormat="1" ht="12.75" x14ac:dyDescent="0.2">
      <c r="B24675" s="1168"/>
    </row>
    <row r="24676" spans="2:2" s="221" customFormat="1" ht="12.75" x14ac:dyDescent="0.2">
      <c r="B24676" s="1168"/>
    </row>
    <row r="24677" spans="2:2" s="221" customFormat="1" ht="12.75" x14ac:dyDescent="0.2">
      <c r="B24677" s="1168"/>
    </row>
    <row r="24678" spans="2:2" s="221" customFormat="1" ht="12.75" x14ac:dyDescent="0.2">
      <c r="B24678" s="1168"/>
    </row>
    <row r="24679" spans="2:2" s="221" customFormat="1" ht="12.75" x14ac:dyDescent="0.2">
      <c r="B24679" s="1168"/>
    </row>
    <row r="24680" spans="2:2" s="221" customFormat="1" ht="12.75" x14ac:dyDescent="0.2">
      <c r="B24680" s="1168"/>
    </row>
    <row r="24681" spans="2:2" s="221" customFormat="1" ht="12.75" x14ac:dyDescent="0.2">
      <c r="B24681" s="1168"/>
    </row>
    <row r="24682" spans="2:2" s="221" customFormat="1" ht="12.75" x14ac:dyDescent="0.2">
      <c r="B24682" s="1168"/>
    </row>
    <row r="24683" spans="2:2" s="221" customFormat="1" ht="12.75" x14ac:dyDescent="0.2">
      <c r="B24683" s="1168"/>
    </row>
    <row r="24684" spans="2:2" s="221" customFormat="1" ht="12.75" x14ac:dyDescent="0.2">
      <c r="B24684" s="1168"/>
    </row>
    <row r="24685" spans="2:2" s="221" customFormat="1" ht="12.75" x14ac:dyDescent="0.2">
      <c r="B24685" s="1168"/>
    </row>
    <row r="24686" spans="2:2" s="221" customFormat="1" ht="12.75" x14ac:dyDescent="0.2">
      <c r="B24686" s="1168"/>
    </row>
    <row r="24687" spans="2:2" s="221" customFormat="1" ht="12.75" x14ac:dyDescent="0.2">
      <c r="B24687" s="1168"/>
    </row>
    <row r="24688" spans="2:2" s="221" customFormat="1" ht="12.75" x14ac:dyDescent="0.2">
      <c r="B24688" s="1168"/>
    </row>
    <row r="24689" spans="2:2" s="221" customFormat="1" ht="12.75" x14ac:dyDescent="0.2">
      <c r="B24689" s="1168"/>
    </row>
    <row r="24690" spans="2:2" s="221" customFormat="1" ht="12.75" x14ac:dyDescent="0.2">
      <c r="B24690" s="1168"/>
    </row>
    <row r="24691" spans="2:2" s="221" customFormat="1" ht="12.75" x14ac:dyDescent="0.2">
      <c r="B24691" s="1168"/>
    </row>
    <row r="24692" spans="2:2" s="221" customFormat="1" ht="12.75" x14ac:dyDescent="0.2">
      <c r="B24692" s="1168"/>
    </row>
    <row r="24693" spans="2:2" s="221" customFormat="1" ht="12.75" x14ac:dyDescent="0.2">
      <c r="B24693" s="1168"/>
    </row>
    <row r="24694" spans="2:2" s="221" customFormat="1" ht="12.75" x14ac:dyDescent="0.2">
      <c r="B24694" s="1168"/>
    </row>
    <row r="24695" spans="2:2" s="221" customFormat="1" ht="12.75" x14ac:dyDescent="0.2">
      <c r="B24695" s="1168"/>
    </row>
    <row r="24696" spans="2:2" s="221" customFormat="1" ht="12.75" x14ac:dyDescent="0.2">
      <c r="B24696" s="1168"/>
    </row>
    <row r="24697" spans="2:2" s="221" customFormat="1" ht="12.75" x14ac:dyDescent="0.2">
      <c r="B24697" s="1168"/>
    </row>
    <row r="24698" spans="2:2" s="221" customFormat="1" ht="12.75" x14ac:dyDescent="0.2">
      <c r="B24698" s="1168"/>
    </row>
    <row r="24699" spans="2:2" s="221" customFormat="1" ht="12.75" x14ac:dyDescent="0.2">
      <c r="B24699" s="1168"/>
    </row>
    <row r="24700" spans="2:2" s="221" customFormat="1" ht="12.75" x14ac:dyDescent="0.2">
      <c r="B24700" s="1168"/>
    </row>
    <row r="24701" spans="2:2" s="221" customFormat="1" ht="12.75" x14ac:dyDescent="0.2">
      <c r="B24701" s="1168"/>
    </row>
    <row r="24702" spans="2:2" s="221" customFormat="1" ht="12.75" x14ac:dyDescent="0.2">
      <c r="B24702" s="1168"/>
    </row>
    <row r="24703" spans="2:2" s="221" customFormat="1" ht="12.75" x14ac:dyDescent="0.2">
      <c r="B24703" s="1168"/>
    </row>
    <row r="24704" spans="2:2" s="221" customFormat="1" ht="12.75" x14ac:dyDescent="0.2">
      <c r="B24704" s="1168"/>
    </row>
    <row r="24705" spans="2:2" s="221" customFormat="1" ht="12.75" x14ac:dyDescent="0.2">
      <c r="B24705" s="1168"/>
    </row>
    <row r="24706" spans="2:2" s="221" customFormat="1" ht="12.75" x14ac:dyDescent="0.2">
      <c r="B24706" s="1168"/>
    </row>
    <row r="24707" spans="2:2" s="221" customFormat="1" ht="12.75" x14ac:dyDescent="0.2">
      <c r="B24707" s="1168"/>
    </row>
    <row r="24708" spans="2:2" s="221" customFormat="1" ht="12.75" x14ac:dyDescent="0.2">
      <c r="B24708" s="1168"/>
    </row>
    <row r="24709" spans="2:2" s="221" customFormat="1" ht="12.75" x14ac:dyDescent="0.2">
      <c r="B24709" s="1168"/>
    </row>
    <row r="24710" spans="2:2" s="221" customFormat="1" ht="12.75" x14ac:dyDescent="0.2">
      <c r="B24710" s="1168"/>
    </row>
    <row r="24711" spans="2:2" s="221" customFormat="1" ht="12.75" x14ac:dyDescent="0.2">
      <c r="B24711" s="1168"/>
    </row>
    <row r="24712" spans="2:2" s="221" customFormat="1" ht="12.75" x14ac:dyDescent="0.2">
      <c r="B24712" s="1168"/>
    </row>
    <row r="24713" spans="2:2" s="221" customFormat="1" ht="12.75" x14ac:dyDescent="0.2">
      <c r="B24713" s="1168"/>
    </row>
    <row r="24714" spans="2:2" s="221" customFormat="1" ht="12.75" x14ac:dyDescent="0.2">
      <c r="B24714" s="1168"/>
    </row>
    <row r="24715" spans="2:2" s="221" customFormat="1" ht="12.75" x14ac:dyDescent="0.2">
      <c r="B24715" s="1168"/>
    </row>
    <row r="24716" spans="2:2" s="221" customFormat="1" ht="12.75" x14ac:dyDescent="0.2">
      <c r="B24716" s="1168"/>
    </row>
    <row r="24717" spans="2:2" s="221" customFormat="1" ht="12.75" x14ac:dyDescent="0.2">
      <c r="B24717" s="1168"/>
    </row>
    <row r="24718" spans="2:2" s="221" customFormat="1" ht="12.75" x14ac:dyDescent="0.2">
      <c r="B24718" s="1168"/>
    </row>
    <row r="24719" spans="2:2" s="221" customFormat="1" ht="12.75" x14ac:dyDescent="0.2">
      <c r="B24719" s="1168"/>
    </row>
    <row r="24720" spans="2:2" s="221" customFormat="1" ht="12.75" x14ac:dyDescent="0.2">
      <c r="B24720" s="1168"/>
    </row>
    <row r="24721" spans="2:2" s="221" customFormat="1" ht="12.75" x14ac:dyDescent="0.2">
      <c r="B24721" s="1168"/>
    </row>
    <row r="24722" spans="2:2" s="221" customFormat="1" ht="12.75" x14ac:dyDescent="0.2">
      <c r="B24722" s="1168"/>
    </row>
    <row r="24723" spans="2:2" s="221" customFormat="1" ht="12.75" x14ac:dyDescent="0.2">
      <c r="B24723" s="1168"/>
    </row>
    <row r="24724" spans="2:2" s="221" customFormat="1" ht="12.75" x14ac:dyDescent="0.2">
      <c r="B24724" s="1168"/>
    </row>
    <row r="24725" spans="2:2" s="221" customFormat="1" ht="12.75" x14ac:dyDescent="0.2">
      <c r="B24725" s="1168"/>
    </row>
    <row r="24726" spans="2:2" s="221" customFormat="1" ht="12.75" x14ac:dyDescent="0.2">
      <c r="B24726" s="1168"/>
    </row>
    <row r="24727" spans="2:2" s="221" customFormat="1" ht="12.75" x14ac:dyDescent="0.2">
      <c r="B24727" s="1168"/>
    </row>
    <row r="24728" spans="2:2" s="221" customFormat="1" ht="12.75" x14ac:dyDescent="0.2">
      <c r="B24728" s="1168"/>
    </row>
    <row r="24729" spans="2:2" s="221" customFormat="1" ht="12.75" x14ac:dyDescent="0.2">
      <c r="B24729" s="1168"/>
    </row>
    <row r="24730" spans="2:2" s="221" customFormat="1" ht="12.75" x14ac:dyDescent="0.2">
      <c r="B24730" s="1168"/>
    </row>
    <row r="24731" spans="2:2" s="221" customFormat="1" ht="12.75" x14ac:dyDescent="0.2">
      <c r="B24731" s="1168"/>
    </row>
    <row r="24732" spans="2:2" s="221" customFormat="1" ht="12.75" x14ac:dyDescent="0.2">
      <c r="B24732" s="1168"/>
    </row>
    <row r="24733" spans="2:2" s="221" customFormat="1" ht="12.75" x14ac:dyDescent="0.2">
      <c r="B24733" s="1168"/>
    </row>
    <row r="24734" spans="2:2" s="221" customFormat="1" ht="12.75" x14ac:dyDescent="0.2">
      <c r="B24734" s="1168"/>
    </row>
    <row r="24735" spans="2:2" s="221" customFormat="1" ht="12.75" x14ac:dyDescent="0.2">
      <c r="B24735" s="1168"/>
    </row>
    <row r="24736" spans="2:2" s="221" customFormat="1" ht="12.75" x14ac:dyDescent="0.2">
      <c r="B24736" s="1168"/>
    </row>
    <row r="24737" spans="2:2" s="221" customFormat="1" ht="12.75" x14ac:dyDescent="0.2">
      <c r="B24737" s="1168"/>
    </row>
    <row r="24738" spans="2:2" s="221" customFormat="1" ht="12.75" x14ac:dyDescent="0.2">
      <c r="B24738" s="1168"/>
    </row>
    <row r="24739" spans="2:2" s="221" customFormat="1" ht="12.75" x14ac:dyDescent="0.2">
      <c r="B24739" s="1168"/>
    </row>
    <row r="24740" spans="2:2" s="221" customFormat="1" ht="12.75" x14ac:dyDescent="0.2">
      <c r="B24740" s="1168"/>
    </row>
    <row r="24741" spans="2:2" s="221" customFormat="1" ht="12.75" x14ac:dyDescent="0.2">
      <c r="B24741" s="1168"/>
    </row>
    <row r="24742" spans="2:2" s="221" customFormat="1" ht="12.75" x14ac:dyDescent="0.2">
      <c r="B24742" s="1168"/>
    </row>
    <row r="24743" spans="2:2" s="221" customFormat="1" ht="12.75" x14ac:dyDescent="0.2">
      <c r="B24743" s="1168"/>
    </row>
    <row r="24744" spans="2:2" s="221" customFormat="1" ht="12.75" x14ac:dyDescent="0.2">
      <c r="B24744" s="1168"/>
    </row>
    <row r="24745" spans="2:2" s="221" customFormat="1" ht="12.75" x14ac:dyDescent="0.2">
      <c r="B24745" s="1168"/>
    </row>
    <row r="24746" spans="2:2" s="221" customFormat="1" ht="12.75" x14ac:dyDescent="0.2">
      <c r="B24746" s="1168"/>
    </row>
    <row r="24747" spans="2:2" s="221" customFormat="1" ht="12.75" x14ac:dyDescent="0.2">
      <c r="B24747" s="1168"/>
    </row>
    <row r="24748" spans="2:2" s="221" customFormat="1" ht="12.75" x14ac:dyDescent="0.2">
      <c r="B24748" s="1168"/>
    </row>
    <row r="24749" spans="2:2" s="221" customFormat="1" ht="12.75" x14ac:dyDescent="0.2">
      <c r="B24749" s="1168"/>
    </row>
    <row r="24750" spans="2:2" s="221" customFormat="1" ht="12.75" x14ac:dyDescent="0.2">
      <c r="B24750" s="1168"/>
    </row>
    <row r="24751" spans="2:2" s="221" customFormat="1" ht="12.75" x14ac:dyDescent="0.2">
      <c r="B24751" s="1168"/>
    </row>
    <row r="24752" spans="2:2" s="221" customFormat="1" ht="12.75" x14ac:dyDescent="0.2">
      <c r="B24752" s="1168"/>
    </row>
    <row r="24753" spans="2:2" s="221" customFormat="1" ht="12.75" x14ac:dyDescent="0.2">
      <c r="B24753" s="1168"/>
    </row>
    <row r="24754" spans="2:2" s="221" customFormat="1" ht="12.75" x14ac:dyDescent="0.2">
      <c r="B24754" s="1168"/>
    </row>
    <row r="24755" spans="2:2" s="221" customFormat="1" ht="12.75" x14ac:dyDescent="0.2">
      <c r="B24755" s="1168"/>
    </row>
    <row r="24756" spans="2:2" s="221" customFormat="1" ht="12.75" x14ac:dyDescent="0.2">
      <c r="B24756" s="1168"/>
    </row>
    <row r="24757" spans="2:2" s="221" customFormat="1" ht="12.75" x14ac:dyDescent="0.2">
      <c r="B24757" s="1168"/>
    </row>
    <row r="24758" spans="2:2" s="221" customFormat="1" ht="12.75" x14ac:dyDescent="0.2">
      <c r="B24758" s="1168"/>
    </row>
    <row r="24759" spans="2:2" s="221" customFormat="1" ht="12.75" x14ac:dyDescent="0.2">
      <c r="B24759" s="1168"/>
    </row>
    <row r="24760" spans="2:2" s="221" customFormat="1" ht="12.75" x14ac:dyDescent="0.2">
      <c r="B24760" s="1168"/>
    </row>
    <row r="24761" spans="2:2" s="221" customFormat="1" ht="12.75" x14ac:dyDescent="0.2">
      <c r="B24761" s="1168"/>
    </row>
    <row r="24762" spans="2:2" s="221" customFormat="1" ht="12.75" x14ac:dyDescent="0.2">
      <c r="B24762" s="1168"/>
    </row>
    <row r="24763" spans="2:2" s="221" customFormat="1" ht="12.75" x14ac:dyDescent="0.2">
      <c r="B24763" s="1168"/>
    </row>
    <row r="24764" spans="2:2" s="221" customFormat="1" ht="12.75" x14ac:dyDescent="0.2">
      <c r="B24764" s="1168"/>
    </row>
    <row r="24765" spans="2:2" s="221" customFormat="1" ht="12.75" x14ac:dyDescent="0.2">
      <c r="B24765" s="1168"/>
    </row>
    <row r="24766" spans="2:2" s="221" customFormat="1" ht="12.75" x14ac:dyDescent="0.2">
      <c r="B24766" s="1168"/>
    </row>
    <row r="24767" spans="2:2" s="221" customFormat="1" ht="12.75" x14ac:dyDescent="0.2">
      <c r="B24767" s="1168"/>
    </row>
    <row r="24768" spans="2:2" s="221" customFormat="1" ht="12.75" x14ac:dyDescent="0.2">
      <c r="B24768" s="1168"/>
    </row>
    <row r="24769" spans="2:2" s="221" customFormat="1" ht="12.75" x14ac:dyDescent="0.2">
      <c r="B24769" s="1168"/>
    </row>
    <row r="24770" spans="2:2" s="221" customFormat="1" ht="12.75" x14ac:dyDescent="0.2">
      <c r="B24770" s="1168"/>
    </row>
    <row r="24771" spans="2:2" s="221" customFormat="1" ht="12.75" x14ac:dyDescent="0.2">
      <c r="B24771" s="1168"/>
    </row>
    <row r="24772" spans="2:2" s="221" customFormat="1" ht="12.75" x14ac:dyDescent="0.2">
      <c r="B24772" s="1168"/>
    </row>
    <row r="24773" spans="2:2" s="221" customFormat="1" ht="12.75" x14ac:dyDescent="0.2">
      <c r="B24773" s="1168"/>
    </row>
    <row r="24774" spans="2:2" s="221" customFormat="1" ht="12.75" x14ac:dyDescent="0.2">
      <c r="B24774" s="1168"/>
    </row>
    <row r="24775" spans="2:2" s="221" customFormat="1" ht="12.75" x14ac:dyDescent="0.2">
      <c r="B24775" s="1168"/>
    </row>
    <row r="24776" spans="2:2" s="221" customFormat="1" ht="12.75" x14ac:dyDescent="0.2">
      <c r="B24776" s="1168"/>
    </row>
    <row r="24777" spans="2:2" s="221" customFormat="1" ht="12.75" x14ac:dyDescent="0.2">
      <c r="B24777" s="1168"/>
    </row>
    <row r="24778" spans="2:2" s="221" customFormat="1" ht="12.75" x14ac:dyDescent="0.2">
      <c r="B24778" s="1168"/>
    </row>
    <row r="24779" spans="2:2" s="221" customFormat="1" ht="12.75" x14ac:dyDescent="0.2">
      <c r="B24779" s="1168"/>
    </row>
    <row r="24780" spans="2:2" s="221" customFormat="1" ht="12.75" x14ac:dyDescent="0.2">
      <c r="B24780" s="1168"/>
    </row>
    <row r="24781" spans="2:2" s="221" customFormat="1" ht="12.75" x14ac:dyDescent="0.2">
      <c r="B24781" s="1168"/>
    </row>
    <row r="24782" spans="2:2" s="221" customFormat="1" ht="12.75" x14ac:dyDescent="0.2">
      <c r="B24782" s="1168"/>
    </row>
    <row r="24783" spans="2:2" s="221" customFormat="1" ht="12.75" x14ac:dyDescent="0.2">
      <c r="B24783" s="1168"/>
    </row>
    <row r="24784" spans="2:2" s="221" customFormat="1" ht="12.75" x14ac:dyDescent="0.2">
      <c r="B24784" s="1168"/>
    </row>
    <row r="24785" spans="2:2" s="221" customFormat="1" ht="12.75" x14ac:dyDescent="0.2">
      <c r="B24785" s="1168"/>
    </row>
    <row r="24786" spans="2:2" s="221" customFormat="1" ht="12.75" x14ac:dyDescent="0.2">
      <c r="B24786" s="1168"/>
    </row>
    <row r="24787" spans="2:2" s="221" customFormat="1" ht="12.75" x14ac:dyDescent="0.2">
      <c r="B24787" s="1168"/>
    </row>
    <row r="24788" spans="2:2" s="221" customFormat="1" ht="12.75" x14ac:dyDescent="0.2">
      <c r="B24788" s="1168"/>
    </row>
    <row r="24789" spans="2:2" s="221" customFormat="1" ht="12.75" x14ac:dyDescent="0.2">
      <c r="B24789" s="1168"/>
    </row>
    <row r="24790" spans="2:2" s="221" customFormat="1" ht="12.75" x14ac:dyDescent="0.2">
      <c r="B24790" s="1168"/>
    </row>
    <row r="24791" spans="2:2" s="221" customFormat="1" ht="12.75" x14ac:dyDescent="0.2">
      <c r="B24791" s="1168"/>
    </row>
    <row r="24792" spans="2:2" s="221" customFormat="1" ht="12.75" x14ac:dyDescent="0.2">
      <c r="B24792" s="1168"/>
    </row>
    <row r="24793" spans="2:2" s="221" customFormat="1" ht="12.75" x14ac:dyDescent="0.2">
      <c r="B24793" s="1168"/>
    </row>
    <row r="24794" spans="2:2" s="221" customFormat="1" ht="12.75" x14ac:dyDescent="0.2">
      <c r="B24794" s="1168"/>
    </row>
    <row r="24795" spans="2:2" s="221" customFormat="1" ht="12.75" x14ac:dyDescent="0.2">
      <c r="B24795" s="1168"/>
    </row>
    <row r="24796" spans="2:2" s="221" customFormat="1" ht="12.75" x14ac:dyDescent="0.2">
      <c r="B24796" s="1168"/>
    </row>
    <row r="24797" spans="2:2" s="221" customFormat="1" ht="12.75" x14ac:dyDescent="0.2">
      <c r="B24797" s="1168"/>
    </row>
    <row r="24798" spans="2:2" s="221" customFormat="1" ht="12.75" x14ac:dyDescent="0.2">
      <c r="B24798" s="1168"/>
    </row>
    <row r="24799" spans="2:2" s="221" customFormat="1" ht="12.75" x14ac:dyDescent="0.2">
      <c r="B24799" s="1168"/>
    </row>
    <row r="24800" spans="2:2" s="221" customFormat="1" ht="12.75" x14ac:dyDescent="0.2">
      <c r="B24800" s="1168"/>
    </row>
    <row r="24801" spans="2:2" s="221" customFormat="1" ht="12.75" x14ac:dyDescent="0.2">
      <c r="B24801" s="1168"/>
    </row>
    <row r="24802" spans="2:2" s="221" customFormat="1" ht="12.75" x14ac:dyDescent="0.2">
      <c r="B24802" s="1168"/>
    </row>
    <row r="24803" spans="2:2" s="221" customFormat="1" ht="12.75" x14ac:dyDescent="0.2">
      <c r="B24803" s="1168"/>
    </row>
    <row r="24804" spans="2:2" s="221" customFormat="1" ht="12.75" x14ac:dyDescent="0.2">
      <c r="B24804" s="1168"/>
    </row>
    <row r="24805" spans="2:2" s="221" customFormat="1" ht="12.75" x14ac:dyDescent="0.2">
      <c r="B24805" s="1168"/>
    </row>
    <row r="24806" spans="2:2" s="221" customFormat="1" ht="12.75" x14ac:dyDescent="0.2">
      <c r="B24806" s="1168"/>
    </row>
    <row r="24807" spans="2:2" s="221" customFormat="1" ht="12.75" x14ac:dyDescent="0.2">
      <c r="B24807" s="1168"/>
    </row>
    <row r="24808" spans="2:2" s="221" customFormat="1" ht="12.75" x14ac:dyDescent="0.2">
      <c r="B24808" s="1168"/>
    </row>
    <row r="24809" spans="2:2" s="221" customFormat="1" ht="12.75" x14ac:dyDescent="0.2">
      <c r="B24809" s="1168"/>
    </row>
    <row r="24810" spans="2:2" s="221" customFormat="1" ht="12.75" x14ac:dyDescent="0.2">
      <c r="B24810" s="1168"/>
    </row>
    <row r="24811" spans="2:2" s="221" customFormat="1" ht="12.75" x14ac:dyDescent="0.2">
      <c r="B24811" s="1168"/>
    </row>
    <row r="24812" spans="2:2" s="221" customFormat="1" ht="12.75" x14ac:dyDescent="0.2">
      <c r="B24812" s="1168"/>
    </row>
    <row r="24813" spans="2:2" s="221" customFormat="1" ht="12.75" x14ac:dyDescent="0.2">
      <c r="B24813" s="1168"/>
    </row>
    <row r="24814" spans="2:2" s="221" customFormat="1" ht="12.75" x14ac:dyDescent="0.2">
      <c r="B24814" s="1168"/>
    </row>
    <row r="24815" spans="2:2" s="221" customFormat="1" ht="12.75" x14ac:dyDescent="0.2">
      <c r="B24815" s="1168"/>
    </row>
    <row r="24816" spans="2:2" s="221" customFormat="1" ht="12.75" x14ac:dyDescent="0.2">
      <c r="B24816" s="1168"/>
    </row>
    <row r="24817" spans="2:2" s="221" customFormat="1" ht="12.75" x14ac:dyDescent="0.2">
      <c r="B24817" s="1168"/>
    </row>
    <row r="24818" spans="2:2" s="221" customFormat="1" ht="12.75" x14ac:dyDescent="0.2">
      <c r="B24818" s="1168"/>
    </row>
    <row r="24819" spans="2:2" s="221" customFormat="1" ht="12.75" x14ac:dyDescent="0.2">
      <c r="B24819" s="1168"/>
    </row>
    <row r="24820" spans="2:2" s="221" customFormat="1" ht="12.75" x14ac:dyDescent="0.2">
      <c r="B24820" s="1168"/>
    </row>
    <row r="24821" spans="2:2" s="221" customFormat="1" ht="12.75" x14ac:dyDescent="0.2">
      <c r="B24821" s="1168"/>
    </row>
    <row r="24822" spans="2:2" s="221" customFormat="1" ht="12.75" x14ac:dyDescent="0.2">
      <c r="B24822" s="1168"/>
    </row>
    <row r="24823" spans="2:2" s="221" customFormat="1" ht="12.75" x14ac:dyDescent="0.2">
      <c r="B24823" s="1168"/>
    </row>
    <row r="24824" spans="2:2" s="221" customFormat="1" ht="12.75" x14ac:dyDescent="0.2">
      <c r="B24824" s="1168"/>
    </row>
    <row r="24825" spans="2:2" s="221" customFormat="1" ht="12.75" x14ac:dyDescent="0.2">
      <c r="B24825" s="1168"/>
    </row>
    <row r="24826" spans="2:2" s="221" customFormat="1" ht="12.75" x14ac:dyDescent="0.2">
      <c r="B24826" s="1168"/>
    </row>
    <row r="24827" spans="2:2" s="221" customFormat="1" ht="12.75" x14ac:dyDescent="0.2">
      <c r="B24827" s="1168"/>
    </row>
    <row r="24828" spans="2:2" s="221" customFormat="1" ht="12.75" x14ac:dyDescent="0.2">
      <c r="B24828" s="1168"/>
    </row>
    <row r="24829" spans="2:2" s="221" customFormat="1" ht="12.75" x14ac:dyDescent="0.2">
      <c r="B24829" s="1168"/>
    </row>
    <row r="24830" spans="2:2" s="221" customFormat="1" ht="12.75" x14ac:dyDescent="0.2">
      <c r="B24830" s="1168"/>
    </row>
    <row r="24831" spans="2:2" s="221" customFormat="1" ht="12.75" x14ac:dyDescent="0.2">
      <c r="B24831" s="1168"/>
    </row>
    <row r="24832" spans="2:2" s="221" customFormat="1" ht="12.75" x14ac:dyDescent="0.2">
      <c r="B24832" s="1168"/>
    </row>
    <row r="24833" spans="2:2" s="221" customFormat="1" ht="12.75" x14ac:dyDescent="0.2">
      <c r="B24833" s="1168"/>
    </row>
    <row r="24834" spans="2:2" s="221" customFormat="1" ht="12.75" x14ac:dyDescent="0.2">
      <c r="B24834" s="1168"/>
    </row>
    <row r="24835" spans="2:2" s="221" customFormat="1" ht="12.75" x14ac:dyDescent="0.2">
      <c r="B24835" s="1168"/>
    </row>
    <row r="24836" spans="2:2" s="221" customFormat="1" ht="12.75" x14ac:dyDescent="0.2">
      <c r="B24836" s="1168"/>
    </row>
    <row r="24837" spans="2:2" s="221" customFormat="1" ht="12.75" x14ac:dyDescent="0.2">
      <c r="B24837" s="1168"/>
    </row>
    <row r="24838" spans="2:2" s="221" customFormat="1" ht="12.75" x14ac:dyDescent="0.2">
      <c r="B24838" s="1168"/>
    </row>
    <row r="24839" spans="2:2" s="221" customFormat="1" ht="12.75" x14ac:dyDescent="0.2">
      <c r="B24839" s="1168"/>
    </row>
    <row r="24840" spans="2:2" s="221" customFormat="1" ht="12.75" x14ac:dyDescent="0.2">
      <c r="B24840" s="1168"/>
    </row>
    <row r="24841" spans="2:2" s="221" customFormat="1" ht="12.75" x14ac:dyDescent="0.2">
      <c r="B24841" s="1168"/>
    </row>
    <row r="24842" spans="2:2" s="221" customFormat="1" ht="12.75" x14ac:dyDescent="0.2">
      <c r="B24842" s="1168"/>
    </row>
    <row r="24843" spans="2:2" s="221" customFormat="1" ht="12.75" x14ac:dyDescent="0.2">
      <c r="B24843" s="1168"/>
    </row>
    <row r="24844" spans="2:2" s="221" customFormat="1" ht="12.75" x14ac:dyDescent="0.2">
      <c r="B24844" s="1168"/>
    </row>
    <row r="24845" spans="2:2" s="221" customFormat="1" ht="12.75" x14ac:dyDescent="0.2">
      <c r="B24845" s="1168"/>
    </row>
    <row r="24846" spans="2:2" s="221" customFormat="1" ht="12.75" x14ac:dyDescent="0.2">
      <c r="B24846" s="1168"/>
    </row>
    <row r="24847" spans="2:2" s="221" customFormat="1" ht="12.75" x14ac:dyDescent="0.2">
      <c r="B24847" s="1168"/>
    </row>
    <row r="24848" spans="2:2" s="221" customFormat="1" ht="12.75" x14ac:dyDescent="0.2">
      <c r="B24848" s="1168"/>
    </row>
    <row r="24849" spans="2:2" s="221" customFormat="1" ht="12.75" x14ac:dyDescent="0.2">
      <c r="B24849" s="1168"/>
    </row>
    <row r="24850" spans="2:2" s="221" customFormat="1" ht="12.75" x14ac:dyDescent="0.2">
      <c r="B24850" s="1168"/>
    </row>
    <row r="24851" spans="2:2" s="221" customFormat="1" ht="12.75" x14ac:dyDescent="0.2">
      <c r="B24851" s="1168"/>
    </row>
    <row r="24852" spans="2:2" s="221" customFormat="1" ht="12.75" x14ac:dyDescent="0.2">
      <c r="B24852" s="1168"/>
    </row>
    <row r="24853" spans="2:2" s="221" customFormat="1" ht="12.75" x14ac:dyDescent="0.2">
      <c r="B24853" s="1168"/>
    </row>
    <row r="24854" spans="2:2" s="221" customFormat="1" ht="12.75" x14ac:dyDescent="0.2">
      <c r="B24854" s="1168"/>
    </row>
    <row r="24855" spans="2:2" s="221" customFormat="1" ht="12.75" x14ac:dyDescent="0.2">
      <c r="B24855" s="1168"/>
    </row>
    <row r="24856" spans="2:2" s="221" customFormat="1" ht="12.75" x14ac:dyDescent="0.2">
      <c r="B24856" s="1168"/>
    </row>
    <row r="24857" spans="2:2" s="221" customFormat="1" ht="12.75" x14ac:dyDescent="0.2">
      <c r="B24857" s="1168"/>
    </row>
    <row r="24858" spans="2:2" s="221" customFormat="1" ht="12.75" x14ac:dyDescent="0.2">
      <c r="B24858" s="1168"/>
    </row>
    <row r="24859" spans="2:2" s="221" customFormat="1" ht="12.75" x14ac:dyDescent="0.2">
      <c r="B24859" s="1168"/>
    </row>
    <row r="24860" spans="2:2" s="221" customFormat="1" ht="12.75" x14ac:dyDescent="0.2">
      <c r="B24860" s="1168"/>
    </row>
    <row r="24861" spans="2:2" s="221" customFormat="1" ht="12.75" x14ac:dyDescent="0.2">
      <c r="B24861" s="1168"/>
    </row>
    <row r="24862" spans="2:2" s="221" customFormat="1" ht="12.75" x14ac:dyDescent="0.2">
      <c r="B24862" s="1168"/>
    </row>
    <row r="24863" spans="2:2" s="221" customFormat="1" ht="12.75" x14ac:dyDescent="0.2">
      <c r="B24863" s="1168"/>
    </row>
    <row r="24864" spans="2:2" s="221" customFormat="1" ht="12.75" x14ac:dyDescent="0.2">
      <c r="B24864" s="1168"/>
    </row>
    <row r="24865" spans="2:2" s="221" customFormat="1" ht="12.75" x14ac:dyDescent="0.2">
      <c r="B24865" s="1168"/>
    </row>
    <row r="24866" spans="2:2" s="221" customFormat="1" ht="12.75" x14ac:dyDescent="0.2">
      <c r="B24866" s="1168"/>
    </row>
    <row r="24867" spans="2:2" s="221" customFormat="1" ht="12.75" x14ac:dyDescent="0.2">
      <c r="B24867" s="1168"/>
    </row>
    <row r="24868" spans="2:2" s="221" customFormat="1" ht="12.75" x14ac:dyDescent="0.2">
      <c r="B24868" s="1168"/>
    </row>
    <row r="24869" spans="2:2" s="221" customFormat="1" ht="12.75" x14ac:dyDescent="0.2">
      <c r="B24869" s="1168"/>
    </row>
    <row r="24870" spans="2:2" s="221" customFormat="1" ht="12.75" x14ac:dyDescent="0.2">
      <c r="B24870" s="1168"/>
    </row>
    <row r="24871" spans="2:2" s="221" customFormat="1" ht="12.75" x14ac:dyDescent="0.2">
      <c r="B24871" s="1168"/>
    </row>
    <row r="24872" spans="2:2" s="221" customFormat="1" ht="12.75" x14ac:dyDescent="0.2">
      <c r="B24872" s="1168"/>
    </row>
    <row r="24873" spans="2:2" s="221" customFormat="1" ht="12.75" x14ac:dyDescent="0.2">
      <c r="B24873" s="1168"/>
    </row>
    <row r="24874" spans="2:2" s="221" customFormat="1" ht="12.75" x14ac:dyDescent="0.2">
      <c r="B24874" s="1168"/>
    </row>
    <row r="24875" spans="2:2" s="221" customFormat="1" ht="12.75" x14ac:dyDescent="0.2">
      <c r="B24875" s="1168"/>
    </row>
    <row r="24876" spans="2:2" s="221" customFormat="1" ht="12.75" x14ac:dyDescent="0.2">
      <c r="B24876" s="1168"/>
    </row>
    <row r="24877" spans="2:2" s="221" customFormat="1" ht="12.75" x14ac:dyDescent="0.2">
      <c r="B24877" s="1168"/>
    </row>
    <row r="24878" spans="2:2" s="221" customFormat="1" ht="12.75" x14ac:dyDescent="0.2">
      <c r="B24878" s="1168"/>
    </row>
    <row r="24879" spans="2:2" s="221" customFormat="1" ht="12.75" x14ac:dyDescent="0.2">
      <c r="B24879" s="1168"/>
    </row>
    <row r="24880" spans="2:2" s="221" customFormat="1" ht="12.75" x14ac:dyDescent="0.2">
      <c r="B24880" s="1168"/>
    </row>
    <row r="24881" spans="2:2" s="221" customFormat="1" ht="12.75" x14ac:dyDescent="0.2">
      <c r="B24881" s="1168"/>
    </row>
    <row r="24882" spans="2:2" s="221" customFormat="1" ht="12.75" x14ac:dyDescent="0.2">
      <c r="B24882" s="1168"/>
    </row>
    <row r="24883" spans="2:2" s="221" customFormat="1" ht="12.75" x14ac:dyDescent="0.2">
      <c r="B24883" s="1168"/>
    </row>
    <row r="24884" spans="2:2" s="221" customFormat="1" ht="12.75" x14ac:dyDescent="0.2">
      <c r="B24884" s="1168"/>
    </row>
    <row r="24885" spans="2:2" s="221" customFormat="1" ht="12.75" x14ac:dyDescent="0.2">
      <c r="B24885" s="1168"/>
    </row>
    <row r="24886" spans="2:2" s="221" customFormat="1" ht="12.75" x14ac:dyDescent="0.2">
      <c r="B24886" s="1168"/>
    </row>
    <row r="24887" spans="2:2" s="221" customFormat="1" ht="12.75" x14ac:dyDescent="0.2">
      <c r="B24887" s="1168"/>
    </row>
    <row r="24888" spans="2:2" s="221" customFormat="1" ht="12.75" x14ac:dyDescent="0.2">
      <c r="B24888" s="1168"/>
    </row>
    <row r="24889" spans="2:2" s="221" customFormat="1" ht="12.75" x14ac:dyDescent="0.2">
      <c r="B24889" s="1168"/>
    </row>
    <row r="24890" spans="2:2" s="221" customFormat="1" ht="12.75" x14ac:dyDescent="0.2">
      <c r="B24890" s="1168"/>
    </row>
    <row r="24891" spans="2:2" s="221" customFormat="1" ht="12.75" x14ac:dyDescent="0.2">
      <c r="B24891" s="1168"/>
    </row>
    <row r="24892" spans="2:2" s="221" customFormat="1" ht="12.75" x14ac:dyDescent="0.2">
      <c r="B24892" s="1168"/>
    </row>
    <row r="24893" spans="2:2" s="221" customFormat="1" ht="12.75" x14ac:dyDescent="0.2">
      <c r="B24893" s="1168"/>
    </row>
    <row r="24894" spans="2:2" s="221" customFormat="1" ht="12.75" x14ac:dyDescent="0.2">
      <c r="B24894" s="1168"/>
    </row>
    <row r="24895" spans="2:2" s="221" customFormat="1" ht="12.75" x14ac:dyDescent="0.2">
      <c r="B24895" s="1168"/>
    </row>
    <row r="24896" spans="2:2" s="221" customFormat="1" ht="12.75" x14ac:dyDescent="0.2">
      <c r="B24896" s="1168"/>
    </row>
    <row r="24897" spans="2:2" s="221" customFormat="1" ht="12.75" x14ac:dyDescent="0.2">
      <c r="B24897" s="1168"/>
    </row>
    <row r="24898" spans="2:2" s="221" customFormat="1" ht="12.75" x14ac:dyDescent="0.2">
      <c r="B24898" s="1168"/>
    </row>
    <row r="24899" spans="2:2" s="221" customFormat="1" ht="12.75" x14ac:dyDescent="0.2">
      <c r="B24899" s="1168"/>
    </row>
    <row r="24900" spans="2:2" s="221" customFormat="1" ht="12.75" x14ac:dyDescent="0.2">
      <c r="B24900" s="1168"/>
    </row>
    <row r="24901" spans="2:2" s="221" customFormat="1" ht="12.75" x14ac:dyDescent="0.2">
      <c r="B24901" s="1168"/>
    </row>
    <row r="24902" spans="2:2" s="221" customFormat="1" ht="12.75" x14ac:dyDescent="0.2">
      <c r="B24902" s="1168"/>
    </row>
    <row r="24903" spans="2:2" s="221" customFormat="1" ht="12.75" x14ac:dyDescent="0.2">
      <c r="B24903" s="1168"/>
    </row>
    <row r="24904" spans="2:2" s="221" customFormat="1" ht="12.75" x14ac:dyDescent="0.2">
      <c r="B24904" s="1168"/>
    </row>
    <row r="24905" spans="2:2" s="221" customFormat="1" ht="12.75" x14ac:dyDescent="0.2">
      <c r="B24905" s="1168"/>
    </row>
    <row r="24906" spans="2:2" s="221" customFormat="1" ht="12.75" x14ac:dyDescent="0.2">
      <c r="B24906" s="1168"/>
    </row>
    <row r="24907" spans="2:2" s="221" customFormat="1" ht="12.75" x14ac:dyDescent="0.2">
      <c r="B24907" s="1168"/>
    </row>
    <row r="24908" spans="2:2" s="221" customFormat="1" ht="12.75" x14ac:dyDescent="0.2">
      <c r="B24908" s="1168"/>
    </row>
    <row r="24909" spans="2:2" s="221" customFormat="1" ht="12.75" x14ac:dyDescent="0.2">
      <c r="B24909" s="1168"/>
    </row>
    <row r="24910" spans="2:2" s="221" customFormat="1" ht="12.75" x14ac:dyDescent="0.2">
      <c r="B24910" s="1168"/>
    </row>
    <row r="24911" spans="2:2" s="221" customFormat="1" ht="12.75" x14ac:dyDescent="0.2">
      <c r="B24911" s="1168"/>
    </row>
    <row r="24912" spans="2:2" s="221" customFormat="1" ht="12.75" x14ac:dyDescent="0.2">
      <c r="B24912" s="1168"/>
    </row>
    <row r="24913" spans="2:2" s="221" customFormat="1" ht="12.75" x14ac:dyDescent="0.2">
      <c r="B24913" s="1168"/>
    </row>
    <row r="24914" spans="2:2" s="221" customFormat="1" ht="12.75" x14ac:dyDescent="0.2">
      <c r="B24914" s="1168"/>
    </row>
    <row r="24915" spans="2:2" s="221" customFormat="1" ht="12.75" x14ac:dyDescent="0.2">
      <c r="B24915" s="1168"/>
    </row>
    <row r="24916" spans="2:2" s="221" customFormat="1" ht="12.75" x14ac:dyDescent="0.2">
      <c r="B24916" s="1168"/>
    </row>
    <row r="24917" spans="2:2" s="221" customFormat="1" ht="12.75" x14ac:dyDescent="0.2">
      <c r="B24917" s="1168"/>
    </row>
    <row r="24918" spans="2:2" s="221" customFormat="1" ht="12.75" x14ac:dyDescent="0.2">
      <c r="B24918" s="1168"/>
    </row>
    <row r="24919" spans="2:2" s="221" customFormat="1" ht="12.75" x14ac:dyDescent="0.2">
      <c r="B24919" s="1168"/>
    </row>
    <row r="24920" spans="2:2" s="221" customFormat="1" ht="12.75" x14ac:dyDescent="0.2">
      <c r="B24920" s="1168"/>
    </row>
    <row r="24921" spans="2:2" s="221" customFormat="1" ht="12.75" x14ac:dyDescent="0.2">
      <c r="B24921" s="1168"/>
    </row>
    <row r="24922" spans="2:2" s="221" customFormat="1" ht="12.75" x14ac:dyDescent="0.2">
      <c r="B24922" s="1168"/>
    </row>
    <row r="24923" spans="2:2" s="221" customFormat="1" ht="12.75" x14ac:dyDescent="0.2">
      <c r="B24923" s="1168"/>
    </row>
    <row r="24924" spans="2:2" s="221" customFormat="1" ht="12.75" x14ac:dyDescent="0.2">
      <c r="B24924" s="1168"/>
    </row>
    <row r="24925" spans="2:2" s="221" customFormat="1" ht="12.75" x14ac:dyDescent="0.2">
      <c r="B24925" s="1168"/>
    </row>
    <row r="24926" spans="2:2" s="221" customFormat="1" ht="12.75" x14ac:dyDescent="0.2">
      <c r="B24926" s="1168"/>
    </row>
    <row r="24927" spans="2:2" s="221" customFormat="1" ht="12.75" x14ac:dyDescent="0.2">
      <c r="B24927" s="1168"/>
    </row>
    <row r="24928" spans="2:2" s="221" customFormat="1" ht="12.75" x14ac:dyDescent="0.2">
      <c r="B24928" s="1168"/>
    </row>
    <row r="24929" spans="2:2" s="221" customFormat="1" ht="12.75" x14ac:dyDescent="0.2">
      <c r="B24929" s="1168"/>
    </row>
    <row r="24930" spans="2:2" s="221" customFormat="1" ht="12.75" x14ac:dyDescent="0.2">
      <c r="B24930" s="1168"/>
    </row>
    <row r="24931" spans="2:2" s="221" customFormat="1" ht="12.75" x14ac:dyDescent="0.2">
      <c r="B24931" s="1168"/>
    </row>
    <row r="24932" spans="2:2" s="221" customFormat="1" ht="12.75" x14ac:dyDescent="0.2">
      <c r="B24932" s="1168"/>
    </row>
    <row r="24933" spans="2:2" s="221" customFormat="1" ht="12.75" x14ac:dyDescent="0.2">
      <c r="B24933" s="1168"/>
    </row>
    <row r="24934" spans="2:2" s="221" customFormat="1" ht="12.75" x14ac:dyDescent="0.2">
      <c r="B24934" s="1168"/>
    </row>
    <row r="24935" spans="2:2" s="221" customFormat="1" ht="12.75" x14ac:dyDescent="0.2">
      <c r="B24935" s="1168"/>
    </row>
    <row r="24936" spans="2:2" s="221" customFormat="1" ht="12.75" x14ac:dyDescent="0.2">
      <c r="B24936" s="1168"/>
    </row>
    <row r="24937" spans="2:2" s="221" customFormat="1" ht="12.75" x14ac:dyDescent="0.2">
      <c r="B24937" s="1168"/>
    </row>
    <row r="24938" spans="2:2" s="221" customFormat="1" ht="12.75" x14ac:dyDescent="0.2">
      <c r="B24938" s="1168"/>
    </row>
    <row r="24939" spans="2:2" s="221" customFormat="1" ht="12.75" x14ac:dyDescent="0.2">
      <c r="B24939" s="1168"/>
    </row>
    <row r="24940" spans="2:2" s="221" customFormat="1" ht="12.75" x14ac:dyDescent="0.2">
      <c r="B24940" s="1168"/>
    </row>
    <row r="24941" spans="2:2" s="221" customFormat="1" ht="12.75" x14ac:dyDescent="0.2">
      <c r="B24941" s="1168"/>
    </row>
    <row r="24942" spans="2:2" s="221" customFormat="1" ht="12.75" x14ac:dyDescent="0.2">
      <c r="B24942" s="1168"/>
    </row>
    <row r="24943" spans="2:2" s="221" customFormat="1" ht="12.75" x14ac:dyDescent="0.2">
      <c r="B24943" s="1168"/>
    </row>
    <row r="24944" spans="2:2" s="221" customFormat="1" ht="12.75" x14ac:dyDescent="0.2">
      <c r="B24944" s="1168"/>
    </row>
    <row r="24945" spans="2:2" s="221" customFormat="1" ht="12.75" x14ac:dyDescent="0.2">
      <c r="B24945" s="1168"/>
    </row>
    <row r="24946" spans="2:2" s="221" customFormat="1" ht="12.75" x14ac:dyDescent="0.2">
      <c r="B24946" s="1168"/>
    </row>
    <row r="24947" spans="2:2" s="221" customFormat="1" ht="12.75" x14ac:dyDescent="0.2">
      <c r="B24947" s="1168"/>
    </row>
    <row r="24948" spans="2:2" s="221" customFormat="1" ht="12.75" x14ac:dyDescent="0.2">
      <c r="B24948" s="1168"/>
    </row>
    <row r="24949" spans="2:2" s="221" customFormat="1" ht="12.75" x14ac:dyDescent="0.2">
      <c r="B24949" s="1168"/>
    </row>
    <row r="24950" spans="2:2" s="221" customFormat="1" ht="12.75" x14ac:dyDescent="0.2">
      <c r="B24950" s="1168"/>
    </row>
    <row r="24951" spans="2:2" s="221" customFormat="1" ht="12.75" x14ac:dyDescent="0.2">
      <c r="B24951" s="1168"/>
    </row>
    <row r="24952" spans="2:2" s="221" customFormat="1" ht="12.75" x14ac:dyDescent="0.2">
      <c r="B24952" s="1168"/>
    </row>
    <row r="24953" spans="2:2" s="221" customFormat="1" ht="12.75" x14ac:dyDescent="0.2">
      <c r="B24953" s="1168"/>
    </row>
    <row r="24954" spans="2:2" s="221" customFormat="1" ht="12.75" x14ac:dyDescent="0.2">
      <c r="B24954" s="1168"/>
    </row>
    <row r="24955" spans="2:2" s="221" customFormat="1" ht="12.75" x14ac:dyDescent="0.2">
      <c r="B24955" s="1168"/>
    </row>
    <row r="24956" spans="2:2" s="221" customFormat="1" ht="12.75" x14ac:dyDescent="0.2">
      <c r="B24956" s="1168"/>
    </row>
    <row r="24957" spans="2:2" s="221" customFormat="1" ht="12.75" x14ac:dyDescent="0.2">
      <c r="B24957" s="1168"/>
    </row>
    <row r="24958" spans="2:2" s="221" customFormat="1" ht="12.75" x14ac:dyDescent="0.2">
      <c r="B24958" s="1168"/>
    </row>
    <row r="24959" spans="2:2" s="221" customFormat="1" ht="12.75" x14ac:dyDescent="0.2">
      <c r="B24959" s="1168"/>
    </row>
    <row r="24960" spans="2:2" s="221" customFormat="1" ht="12.75" x14ac:dyDescent="0.2">
      <c r="B24960" s="1168"/>
    </row>
    <row r="24961" spans="2:2" s="221" customFormat="1" ht="12.75" x14ac:dyDescent="0.2">
      <c r="B24961" s="1168"/>
    </row>
    <row r="24962" spans="2:2" s="221" customFormat="1" ht="12.75" x14ac:dyDescent="0.2">
      <c r="B24962" s="1168"/>
    </row>
    <row r="24963" spans="2:2" s="221" customFormat="1" ht="12.75" x14ac:dyDescent="0.2">
      <c r="B24963" s="1168"/>
    </row>
    <row r="24964" spans="2:2" s="221" customFormat="1" ht="12.75" x14ac:dyDescent="0.2">
      <c r="B24964" s="1168"/>
    </row>
    <row r="24965" spans="2:2" s="221" customFormat="1" ht="12.75" x14ac:dyDescent="0.2">
      <c r="B24965" s="1168"/>
    </row>
    <row r="24966" spans="2:2" s="221" customFormat="1" ht="12.75" x14ac:dyDescent="0.2">
      <c r="B24966" s="1168"/>
    </row>
    <row r="24967" spans="2:2" s="221" customFormat="1" ht="12.75" x14ac:dyDescent="0.2">
      <c r="B24967" s="1168"/>
    </row>
    <row r="24968" spans="2:2" s="221" customFormat="1" ht="12.75" x14ac:dyDescent="0.2">
      <c r="B24968" s="1168"/>
    </row>
    <row r="24969" spans="2:2" s="221" customFormat="1" ht="12.75" x14ac:dyDescent="0.2">
      <c r="B24969" s="1168"/>
    </row>
    <row r="24970" spans="2:2" s="221" customFormat="1" ht="12.75" x14ac:dyDescent="0.2">
      <c r="B24970" s="1168"/>
    </row>
    <row r="24971" spans="2:2" s="221" customFormat="1" ht="12.75" x14ac:dyDescent="0.2">
      <c r="B24971" s="1168"/>
    </row>
    <row r="24972" spans="2:2" s="221" customFormat="1" ht="12.75" x14ac:dyDescent="0.2">
      <c r="B24972" s="1168"/>
    </row>
    <row r="24973" spans="2:2" s="221" customFormat="1" ht="12.75" x14ac:dyDescent="0.2">
      <c r="B24973" s="1168"/>
    </row>
    <row r="24974" spans="2:2" s="221" customFormat="1" ht="12.75" x14ac:dyDescent="0.2">
      <c r="B24974" s="1168"/>
    </row>
    <row r="24975" spans="2:2" s="221" customFormat="1" ht="12.75" x14ac:dyDescent="0.2">
      <c r="B24975" s="1168"/>
    </row>
    <row r="24976" spans="2:2" s="221" customFormat="1" ht="12.75" x14ac:dyDescent="0.2">
      <c r="B24976" s="1168"/>
    </row>
    <row r="24977" spans="2:2" s="221" customFormat="1" ht="12.75" x14ac:dyDescent="0.2">
      <c r="B24977" s="1168"/>
    </row>
    <row r="24978" spans="2:2" s="221" customFormat="1" ht="12.75" x14ac:dyDescent="0.2">
      <c r="B24978" s="1168"/>
    </row>
    <row r="24979" spans="2:2" s="221" customFormat="1" ht="12.75" x14ac:dyDescent="0.2">
      <c r="B24979" s="1168"/>
    </row>
    <row r="24980" spans="2:2" s="221" customFormat="1" ht="12.75" x14ac:dyDescent="0.2">
      <c r="B24980" s="1168"/>
    </row>
    <row r="24981" spans="2:2" s="221" customFormat="1" ht="12.75" x14ac:dyDescent="0.2">
      <c r="B24981" s="1168"/>
    </row>
    <row r="24982" spans="2:2" s="221" customFormat="1" ht="12.75" x14ac:dyDescent="0.2">
      <c r="B24982" s="1168"/>
    </row>
    <row r="24983" spans="2:2" s="221" customFormat="1" ht="12.75" x14ac:dyDescent="0.2">
      <c r="B24983" s="1168"/>
    </row>
    <row r="24984" spans="2:2" s="221" customFormat="1" ht="12.75" x14ac:dyDescent="0.2">
      <c r="B24984" s="1168"/>
    </row>
    <row r="24985" spans="2:2" s="221" customFormat="1" ht="12.75" x14ac:dyDescent="0.2">
      <c r="B24985" s="1168"/>
    </row>
    <row r="24986" spans="2:2" s="221" customFormat="1" ht="12.75" x14ac:dyDescent="0.2">
      <c r="B24986" s="1168"/>
    </row>
    <row r="24987" spans="2:2" s="221" customFormat="1" ht="12.75" x14ac:dyDescent="0.2">
      <c r="B24987" s="1168"/>
    </row>
    <row r="24988" spans="2:2" s="221" customFormat="1" ht="12.75" x14ac:dyDescent="0.2">
      <c r="B24988" s="1168"/>
    </row>
    <row r="24989" spans="2:2" s="221" customFormat="1" ht="12.75" x14ac:dyDescent="0.2">
      <c r="B24989" s="1168"/>
    </row>
    <row r="24990" spans="2:2" s="221" customFormat="1" ht="12.75" x14ac:dyDescent="0.2">
      <c r="B24990" s="1168"/>
    </row>
    <row r="24991" spans="2:2" s="221" customFormat="1" ht="12.75" x14ac:dyDescent="0.2">
      <c r="B24991" s="1168"/>
    </row>
    <row r="24992" spans="2:2" s="221" customFormat="1" ht="12.75" x14ac:dyDescent="0.2">
      <c r="B24992" s="1168"/>
    </row>
    <row r="24993" spans="2:2" s="221" customFormat="1" ht="12.75" x14ac:dyDescent="0.2">
      <c r="B24993" s="1168"/>
    </row>
    <row r="24994" spans="2:2" s="221" customFormat="1" ht="12.75" x14ac:dyDescent="0.2">
      <c r="B24994" s="1168"/>
    </row>
    <row r="24995" spans="2:2" s="221" customFormat="1" ht="12.75" x14ac:dyDescent="0.2">
      <c r="B24995" s="1168"/>
    </row>
    <row r="24996" spans="2:2" s="221" customFormat="1" ht="12.75" x14ac:dyDescent="0.2">
      <c r="B24996" s="1168"/>
    </row>
    <row r="24997" spans="2:2" s="221" customFormat="1" ht="12.75" x14ac:dyDescent="0.2">
      <c r="B24997" s="1168"/>
    </row>
    <row r="24998" spans="2:2" s="221" customFormat="1" ht="12.75" x14ac:dyDescent="0.2">
      <c r="B24998" s="1168"/>
    </row>
    <row r="24999" spans="2:2" s="221" customFormat="1" ht="12.75" x14ac:dyDescent="0.2">
      <c r="B24999" s="1168"/>
    </row>
    <row r="25000" spans="2:2" s="221" customFormat="1" ht="12.75" x14ac:dyDescent="0.2">
      <c r="B25000" s="1168"/>
    </row>
    <row r="25001" spans="2:2" s="221" customFormat="1" ht="12.75" x14ac:dyDescent="0.2">
      <c r="B25001" s="1168"/>
    </row>
    <row r="25002" spans="2:2" s="221" customFormat="1" ht="12.75" x14ac:dyDescent="0.2">
      <c r="B25002" s="1168"/>
    </row>
    <row r="25003" spans="2:2" s="221" customFormat="1" ht="12.75" x14ac:dyDescent="0.2">
      <c r="B25003" s="1168"/>
    </row>
    <row r="25004" spans="2:2" s="221" customFormat="1" ht="12.75" x14ac:dyDescent="0.2">
      <c r="B25004" s="1168"/>
    </row>
    <row r="25005" spans="2:2" s="221" customFormat="1" ht="12.75" x14ac:dyDescent="0.2">
      <c r="B25005" s="1168"/>
    </row>
    <row r="25006" spans="2:2" s="221" customFormat="1" ht="12.75" x14ac:dyDescent="0.2">
      <c r="B25006" s="1168"/>
    </row>
    <row r="25007" spans="2:2" s="221" customFormat="1" ht="12.75" x14ac:dyDescent="0.2">
      <c r="B25007" s="1168"/>
    </row>
    <row r="25008" spans="2:2" s="221" customFormat="1" ht="12.75" x14ac:dyDescent="0.2">
      <c r="B25008" s="1168"/>
    </row>
    <row r="25009" spans="2:2" s="221" customFormat="1" ht="12.75" x14ac:dyDescent="0.2">
      <c r="B25009" s="1168"/>
    </row>
    <row r="25010" spans="2:2" s="221" customFormat="1" ht="12.75" x14ac:dyDescent="0.2">
      <c r="B25010" s="1168"/>
    </row>
    <row r="25011" spans="2:2" s="221" customFormat="1" ht="12.75" x14ac:dyDescent="0.2">
      <c r="B25011" s="1168"/>
    </row>
    <row r="25012" spans="2:2" s="221" customFormat="1" ht="12.75" x14ac:dyDescent="0.2">
      <c r="B25012" s="1168"/>
    </row>
    <row r="25013" spans="2:2" s="221" customFormat="1" ht="12.75" x14ac:dyDescent="0.2">
      <c r="B25013" s="1168"/>
    </row>
    <row r="25014" spans="2:2" s="221" customFormat="1" ht="12.75" x14ac:dyDescent="0.2">
      <c r="B25014" s="1168"/>
    </row>
    <row r="25015" spans="2:2" s="221" customFormat="1" ht="12.75" x14ac:dyDescent="0.2">
      <c r="B25015" s="1168"/>
    </row>
    <row r="25016" spans="2:2" s="221" customFormat="1" ht="12.75" x14ac:dyDescent="0.2">
      <c r="B25016" s="1168"/>
    </row>
    <row r="25017" spans="2:2" s="221" customFormat="1" ht="12.75" x14ac:dyDescent="0.2">
      <c r="B25017" s="1168"/>
    </row>
    <row r="25018" spans="2:2" s="221" customFormat="1" ht="12.75" x14ac:dyDescent="0.2">
      <c r="B25018" s="1168"/>
    </row>
    <row r="25019" spans="2:2" s="221" customFormat="1" ht="12.75" x14ac:dyDescent="0.2">
      <c r="B25019" s="1168"/>
    </row>
    <row r="25020" spans="2:2" s="221" customFormat="1" ht="12.75" x14ac:dyDescent="0.2">
      <c r="B25020" s="1168"/>
    </row>
    <row r="25021" spans="2:2" s="221" customFormat="1" ht="12.75" x14ac:dyDescent="0.2">
      <c r="B25021" s="1168"/>
    </row>
    <row r="25022" spans="2:2" s="221" customFormat="1" ht="12.75" x14ac:dyDescent="0.2">
      <c r="B25022" s="1168"/>
    </row>
    <row r="25023" spans="2:2" s="221" customFormat="1" ht="12.75" x14ac:dyDescent="0.2">
      <c r="B25023" s="1168"/>
    </row>
    <row r="25024" spans="2:2" s="221" customFormat="1" ht="12.75" x14ac:dyDescent="0.2">
      <c r="B25024" s="1168"/>
    </row>
    <row r="25025" spans="2:2" s="221" customFormat="1" ht="12.75" x14ac:dyDescent="0.2">
      <c r="B25025" s="1168"/>
    </row>
    <row r="25026" spans="2:2" s="221" customFormat="1" ht="12.75" x14ac:dyDescent="0.2">
      <c r="B25026" s="1168"/>
    </row>
    <row r="25027" spans="2:2" s="221" customFormat="1" ht="12.75" x14ac:dyDescent="0.2">
      <c r="B25027" s="1168"/>
    </row>
    <row r="25028" spans="2:2" s="221" customFormat="1" ht="12.75" x14ac:dyDescent="0.2">
      <c r="B25028" s="1168"/>
    </row>
    <row r="25029" spans="2:2" s="221" customFormat="1" ht="12.75" x14ac:dyDescent="0.2">
      <c r="B25029" s="1168"/>
    </row>
    <row r="25030" spans="2:2" s="221" customFormat="1" ht="12.75" x14ac:dyDescent="0.2">
      <c r="B25030" s="1168"/>
    </row>
    <row r="25031" spans="2:2" s="221" customFormat="1" ht="12.75" x14ac:dyDescent="0.2">
      <c r="B25031" s="1168"/>
    </row>
    <row r="25032" spans="2:2" s="221" customFormat="1" ht="12.75" x14ac:dyDescent="0.2">
      <c r="B25032" s="1168"/>
    </row>
    <row r="25033" spans="2:2" s="221" customFormat="1" ht="12.75" x14ac:dyDescent="0.2">
      <c r="B25033" s="1168"/>
    </row>
    <row r="25034" spans="2:2" s="221" customFormat="1" ht="12.75" x14ac:dyDescent="0.2">
      <c r="B25034" s="1168"/>
    </row>
    <row r="25035" spans="2:2" s="221" customFormat="1" ht="12.75" x14ac:dyDescent="0.2">
      <c r="B25035" s="1168"/>
    </row>
    <row r="25036" spans="2:2" s="221" customFormat="1" ht="12.75" x14ac:dyDescent="0.2">
      <c r="B25036" s="1168"/>
    </row>
    <row r="25037" spans="2:2" s="221" customFormat="1" ht="12.75" x14ac:dyDescent="0.2">
      <c r="B25037" s="1168"/>
    </row>
    <row r="25038" spans="2:2" s="221" customFormat="1" ht="12.75" x14ac:dyDescent="0.2">
      <c r="B25038" s="1168"/>
    </row>
    <row r="25039" spans="2:2" s="221" customFormat="1" ht="12.75" x14ac:dyDescent="0.2">
      <c r="B25039" s="1168"/>
    </row>
    <row r="25040" spans="2:2" s="221" customFormat="1" ht="12.75" x14ac:dyDescent="0.2">
      <c r="B25040" s="1168"/>
    </row>
    <row r="25041" spans="2:2" s="221" customFormat="1" ht="12.75" x14ac:dyDescent="0.2">
      <c r="B25041" s="1168"/>
    </row>
    <row r="25042" spans="2:2" s="221" customFormat="1" ht="12.75" x14ac:dyDescent="0.2">
      <c r="B25042" s="1168"/>
    </row>
    <row r="25043" spans="2:2" s="221" customFormat="1" ht="12.75" x14ac:dyDescent="0.2">
      <c r="B25043" s="1168"/>
    </row>
    <row r="25044" spans="2:2" s="221" customFormat="1" ht="12.75" x14ac:dyDescent="0.2">
      <c r="B25044" s="1168"/>
    </row>
    <row r="25045" spans="2:2" s="221" customFormat="1" ht="12.75" x14ac:dyDescent="0.2">
      <c r="B25045" s="1168"/>
    </row>
    <row r="25046" spans="2:2" s="221" customFormat="1" ht="12.75" x14ac:dyDescent="0.2">
      <c r="B25046" s="1168"/>
    </row>
    <row r="25047" spans="2:2" s="221" customFormat="1" ht="12.75" x14ac:dyDescent="0.2">
      <c r="B25047" s="1168"/>
    </row>
    <row r="25048" spans="2:2" s="221" customFormat="1" ht="12.75" x14ac:dyDescent="0.2">
      <c r="B25048" s="1168"/>
    </row>
    <row r="25049" spans="2:2" s="221" customFormat="1" ht="12.75" x14ac:dyDescent="0.2">
      <c r="B25049" s="1168"/>
    </row>
    <row r="25050" spans="2:2" s="221" customFormat="1" ht="12.75" x14ac:dyDescent="0.2">
      <c r="B25050" s="1168"/>
    </row>
    <row r="25051" spans="2:2" s="221" customFormat="1" ht="12.75" x14ac:dyDescent="0.2">
      <c r="B25051" s="1168"/>
    </row>
    <row r="25052" spans="2:2" s="221" customFormat="1" ht="12.75" x14ac:dyDescent="0.2">
      <c r="B25052" s="1168"/>
    </row>
    <row r="25053" spans="2:2" s="221" customFormat="1" ht="12.75" x14ac:dyDescent="0.2">
      <c r="B25053" s="1168"/>
    </row>
    <row r="25054" spans="2:2" s="221" customFormat="1" ht="12.75" x14ac:dyDescent="0.2">
      <c r="B25054" s="1168"/>
    </row>
    <row r="25055" spans="2:2" s="221" customFormat="1" ht="12.75" x14ac:dyDescent="0.2">
      <c r="B25055" s="1168"/>
    </row>
    <row r="25056" spans="2:2" s="221" customFormat="1" ht="12.75" x14ac:dyDescent="0.2">
      <c r="B25056" s="1168"/>
    </row>
    <row r="25057" spans="2:2" s="221" customFormat="1" ht="12.75" x14ac:dyDescent="0.2">
      <c r="B25057" s="1168"/>
    </row>
    <row r="25058" spans="2:2" s="221" customFormat="1" ht="12.75" x14ac:dyDescent="0.2">
      <c r="B25058" s="1168"/>
    </row>
    <row r="25059" spans="2:2" s="221" customFormat="1" ht="12.75" x14ac:dyDescent="0.2">
      <c r="B25059" s="1168"/>
    </row>
    <row r="25060" spans="2:2" s="221" customFormat="1" ht="12.75" x14ac:dyDescent="0.2">
      <c r="B25060" s="1168"/>
    </row>
    <row r="25061" spans="2:2" s="221" customFormat="1" ht="12.75" x14ac:dyDescent="0.2">
      <c r="B25061" s="1168"/>
    </row>
    <row r="25062" spans="2:2" s="221" customFormat="1" ht="12.75" x14ac:dyDescent="0.2">
      <c r="B25062" s="1168"/>
    </row>
    <row r="25063" spans="2:2" s="221" customFormat="1" ht="12.75" x14ac:dyDescent="0.2">
      <c r="B25063" s="1168"/>
    </row>
    <row r="25064" spans="2:2" s="221" customFormat="1" ht="12.75" x14ac:dyDescent="0.2">
      <c r="B25064" s="1168"/>
    </row>
    <row r="25065" spans="2:2" s="221" customFormat="1" ht="12.75" x14ac:dyDescent="0.2">
      <c r="B25065" s="1168"/>
    </row>
    <row r="25066" spans="2:2" s="221" customFormat="1" ht="12.75" x14ac:dyDescent="0.2">
      <c r="B25066" s="1168"/>
    </row>
    <row r="25067" spans="2:2" s="221" customFormat="1" ht="12.75" x14ac:dyDescent="0.2">
      <c r="B25067" s="1168"/>
    </row>
    <row r="25068" spans="2:2" s="221" customFormat="1" ht="12.75" x14ac:dyDescent="0.2">
      <c r="B25068" s="1168"/>
    </row>
    <row r="25069" spans="2:2" s="221" customFormat="1" ht="12.75" x14ac:dyDescent="0.2">
      <c r="B25069" s="1168"/>
    </row>
    <row r="25070" spans="2:2" s="221" customFormat="1" ht="12.75" x14ac:dyDescent="0.2">
      <c r="B25070" s="1168"/>
    </row>
    <row r="25071" spans="2:2" s="221" customFormat="1" ht="12.75" x14ac:dyDescent="0.2">
      <c r="B25071" s="1168"/>
    </row>
    <row r="25072" spans="2:2" s="221" customFormat="1" ht="12.75" x14ac:dyDescent="0.2">
      <c r="B25072" s="1168"/>
    </row>
    <row r="25073" spans="2:2" s="221" customFormat="1" ht="12.75" x14ac:dyDescent="0.2">
      <c r="B25073" s="1168"/>
    </row>
    <row r="25074" spans="2:2" s="221" customFormat="1" ht="12.75" x14ac:dyDescent="0.2">
      <c r="B25074" s="1168"/>
    </row>
    <row r="25075" spans="2:2" s="221" customFormat="1" ht="12.75" x14ac:dyDescent="0.2">
      <c r="B25075" s="1168"/>
    </row>
    <row r="25076" spans="2:2" s="221" customFormat="1" ht="12.75" x14ac:dyDescent="0.2">
      <c r="B25076" s="1168"/>
    </row>
    <row r="25077" spans="2:2" s="221" customFormat="1" ht="12.75" x14ac:dyDescent="0.2">
      <c r="B25077" s="1168"/>
    </row>
    <row r="25078" spans="2:2" s="221" customFormat="1" ht="12.75" x14ac:dyDescent="0.2">
      <c r="B25078" s="1168"/>
    </row>
    <row r="25079" spans="2:2" s="221" customFormat="1" ht="12.75" x14ac:dyDescent="0.2">
      <c r="B25079" s="1168"/>
    </row>
    <row r="25080" spans="2:2" s="221" customFormat="1" ht="12.75" x14ac:dyDescent="0.2">
      <c r="B25080" s="1168"/>
    </row>
    <row r="25081" spans="2:2" s="221" customFormat="1" ht="12.75" x14ac:dyDescent="0.2">
      <c r="B25081" s="1168"/>
    </row>
    <row r="25082" spans="2:2" s="221" customFormat="1" ht="12.75" x14ac:dyDescent="0.2">
      <c r="B25082" s="1168"/>
    </row>
    <row r="25083" spans="2:2" s="221" customFormat="1" ht="12.75" x14ac:dyDescent="0.2">
      <c r="B25083" s="1168"/>
    </row>
    <row r="25084" spans="2:2" s="221" customFormat="1" ht="12.75" x14ac:dyDescent="0.2">
      <c r="B25084" s="1168"/>
    </row>
    <row r="25085" spans="2:2" s="221" customFormat="1" ht="12.75" x14ac:dyDescent="0.2">
      <c r="B25085" s="1168"/>
    </row>
    <row r="25086" spans="2:2" s="221" customFormat="1" ht="12.75" x14ac:dyDescent="0.2">
      <c r="B25086" s="1168"/>
    </row>
    <row r="25087" spans="2:2" s="221" customFormat="1" ht="12.75" x14ac:dyDescent="0.2">
      <c r="B25087" s="1168"/>
    </row>
    <row r="25088" spans="2:2" s="221" customFormat="1" ht="12.75" x14ac:dyDescent="0.2">
      <c r="B25088" s="1168"/>
    </row>
    <row r="25089" spans="2:2" s="221" customFormat="1" ht="12.75" x14ac:dyDescent="0.2">
      <c r="B25089" s="1168"/>
    </row>
    <row r="25090" spans="2:2" s="221" customFormat="1" ht="12.75" x14ac:dyDescent="0.2">
      <c r="B25090" s="1168"/>
    </row>
    <row r="25091" spans="2:2" s="221" customFormat="1" ht="12.75" x14ac:dyDescent="0.2">
      <c r="B25091" s="1168"/>
    </row>
    <row r="25092" spans="2:2" s="221" customFormat="1" ht="12.75" x14ac:dyDescent="0.2">
      <c r="B25092" s="1168"/>
    </row>
    <row r="25093" spans="2:2" s="221" customFormat="1" ht="12.75" x14ac:dyDescent="0.2">
      <c r="B25093" s="1168"/>
    </row>
    <row r="25094" spans="2:2" s="221" customFormat="1" ht="12.75" x14ac:dyDescent="0.2">
      <c r="B25094" s="1168"/>
    </row>
    <row r="25095" spans="2:2" s="221" customFormat="1" ht="12.75" x14ac:dyDescent="0.2">
      <c r="B25095" s="1168"/>
    </row>
    <row r="25096" spans="2:2" s="221" customFormat="1" ht="12.75" x14ac:dyDescent="0.2">
      <c r="B25096" s="1168"/>
    </row>
    <row r="25097" spans="2:2" s="221" customFormat="1" ht="12.75" x14ac:dyDescent="0.2">
      <c r="B25097" s="1168"/>
    </row>
    <row r="25098" spans="2:2" s="221" customFormat="1" ht="12.75" x14ac:dyDescent="0.2">
      <c r="B25098" s="1168"/>
    </row>
    <row r="25099" spans="2:2" s="221" customFormat="1" ht="12.75" x14ac:dyDescent="0.2">
      <c r="B25099" s="1168"/>
    </row>
    <row r="25100" spans="2:2" s="221" customFormat="1" ht="12.75" x14ac:dyDescent="0.2">
      <c r="B25100" s="1168"/>
    </row>
    <row r="25101" spans="2:2" s="221" customFormat="1" ht="12.75" x14ac:dyDescent="0.2">
      <c r="B25101" s="1168"/>
    </row>
    <row r="25102" spans="2:2" s="221" customFormat="1" ht="12.75" x14ac:dyDescent="0.2">
      <c r="B25102" s="1168"/>
    </row>
    <row r="25103" spans="2:2" s="221" customFormat="1" ht="12.75" x14ac:dyDescent="0.2">
      <c r="B25103" s="1168"/>
    </row>
    <row r="25104" spans="2:2" s="221" customFormat="1" ht="12.75" x14ac:dyDescent="0.2">
      <c r="B25104" s="1168"/>
    </row>
    <row r="25105" spans="2:2" s="221" customFormat="1" ht="12.75" x14ac:dyDescent="0.2">
      <c r="B25105" s="1168"/>
    </row>
    <row r="25106" spans="2:2" s="221" customFormat="1" ht="12.75" x14ac:dyDescent="0.2">
      <c r="B25106" s="1168"/>
    </row>
    <row r="25107" spans="2:2" s="221" customFormat="1" ht="12.75" x14ac:dyDescent="0.2">
      <c r="B25107" s="1168"/>
    </row>
    <row r="25108" spans="2:2" s="221" customFormat="1" ht="12.75" x14ac:dyDescent="0.2">
      <c r="B25108" s="1168"/>
    </row>
    <row r="25109" spans="2:2" s="221" customFormat="1" ht="12.75" x14ac:dyDescent="0.2">
      <c r="B25109" s="1168"/>
    </row>
    <row r="25110" spans="2:2" s="221" customFormat="1" ht="12.75" x14ac:dyDescent="0.2">
      <c r="B25110" s="1168"/>
    </row>
    <row r="25111" spans="2:2" s="221" customFormat="1" ht="12.75" x14ac:dyDescent="0.2">
      <c r="B25111" s="1168"/>
    </row>
    <row r="25112" spans="2:2" s="221" customFormat="1" ht="12.75" x14ac:dyDescent="0.2">
      <c r="B25112" s="1168"/>
    </row>
    <row r="25113" spans="2:2" s="221" customFormat="1" ht="12.75" x14ac:dyDescent="0.2">
      <c r="B25113" s="1168"/>
    </row>
    <row r="25114" spans="2:2" s="221" customFormat="1" ht="12.75" x14ac:dyDescent="0.2">
      <c r="B25114" s="1168"/>
    </row>
    <row r="25115" spans="2:2" s="221" customFormat="1" ht="12.75" x14ac:dyDescent="0.2">
      <c r="B25115" s="1168"/>
    </row>
    <row r="25116" spans="2:2" s="221" customFormat="1" ht="12.75" x14ac:dyDescent="0.2">
      <c r="B25116" s="1168"/>
    </row>
    <row r="25117" spans="2:2" s="221" customFormat="1" ht="12.75" x14ac:dyDescent="0.2">
      <c r="B25117" s="1168"/>
    </row>
    <row r="25118" spans="2:2" s="221" customFormat="1" ht="12.75" x14ac:dyDescent="0.2">
      <c r="B25118" s="1168"/>
    </row>
    <row r="25119" spans="2:2" s="221" customFormat="1" ht="12.75" x14ac:dyDescent="0.2">
      <c r="B25119" s="1168"/>
    </row>
    <row r="25120" spans="2:2" s="221" customFormat="1" ht="12.75" x14ac:dyDescent="0.2">
      <c r="B25120" s="1168"/>
    </row>
    <row r="25121" spans="2:2" s="221" customFormat="1" ht="12.75" x14ac:dyDescent="0.2">
      <c r="B25121" s="1168"/>
    </row>
    <row r="25122" spans="2:2" s="221" customFormat="1" ht="12.75" x14ac:dyDescent="0.2">
      <c r="B25122" s="1168"/>
    </row>
    <row r="25123" spans="2:2" s="221" customFormat="1" ht="12.75" x14ac:dyDescent="0.2">
      <c r="B25123" s="1168"/>
    </row>
    <row r="25124" spans="2:2" s="221" customFormat="1" ht="12.75" x14ac:dyDescent="0.2">
      <c r="B25124" s="1168"/>
    </row>
    <row r="25125" spans="2:2" s="221" customFormat="1" ht="12.75" x14ac:dyDescent="0.2">
      <c r="B25125" s="1168"/>
    </row>
    <row r="25126" spans="2:2" s="221" customFormat="1" ht="12.75" x14ac:dyDescent="0.2">
      <c r="B25126" s="1168"/>
    </row>
    <row r="25127" spans="2:2" s="221" customFormat="1" ht="12.75" x14ac:dyDescent="0.2">
      <c r="B25127" s="1168"/>
    </row>
    <row r="25128" spans="2:2" s="221" customFormat="1" ht="12.75" x14ac:dyDescent="0.2">
      <c r="B25128" s="1168"/>
    </row>
    <row r="25129" spans="2:2" s="221" customFormat="1" ht="12.75" x14ac:dyDescent="0.2">
      <c r="B25129" s="1168"/>
    </row>
    <row r="25130" spans="2:2" s="221" customFormat="1" ht="12.75" x14ac:dyDescent="0.2">
      <c r="B25130" s="1168"/>
    </row>
    <row r="25131" spans="2:2" s="221" customFormat="1" ht="12.75" x14ac:dyDescent="0.2">
      <c r="B25131" s="1168"/>
    </row>
    <row r="25132" spans="2:2" s="221" customFormat="1" ht="12.75" x14ac:dyDescent="0.2">
      <c r="B25132" s="1168"/>
    </row>
    <row r="25133" spans="2:2" s="221" customFormat="1" ht="12.75" x14ac:dyDescent="0.2">
      <c r="B25133" s="1168"/>
    </row>
    <row r="25134" spans="2:2" s="221" customFormat="1" ht="12.75" x14ac:dyDescent="0.2">
      <c r="B25134" s="1168"/>
    </row>
    <row r="25135" spans="2:2" s="221" customFormat="1" ht="12.75" x14ac:dyDescent="0.2">
      <c r="B25135" s="1168"/>
    </row>
    <row r="25136" spans="2:2" s="221" customFormat="1" ht="12.75" x14ac:dyDescent="0.2">
      <c r="B25136" s="1168"/>
    </row>
    <row r="25137" spans="2:2" s="221" customFormat="1" ht="12.75" x14ac:dyDescent="0.2">
      <c r="B25137" s="1168"/>
    </row>
    <row r="25138" spans="2:2" s="221" customFormat="1" ht="12.75" x14ac:dyDescent="0.2">
      <c r="B25138" s="1168"/>
    </row>
    <row r="25139" spans="2:2" s="221" customFormat="1" ht="12.75" x14ac:dyDescent="0.2">
      <c r="B25139" s="1168"/>
    </row>
    <row r="25140" spans="2:2" s="221" customFormat="1" ht="12.75" x14ac:dyDescent="0.2">
      <c r="B25140" s="1168"/>
    </row>
    <row r="25141" spans="2:2" s="221" customFormat="1" ht="12.75" x14ac:dyDescent="0.2">
      <c r="B25141" s="1168"/>
    </row>
    <row r="25142" spans="2:2" s="221" customFormat="1" ht="12.75" x14ac:dyDescent="0.2">
      <c r="B25142" s="1168"/>
    </row>
    <row r="25143" spans="2:2" s="221" customFormat="1" ht="12.75" x14ac:dyDescent="0.2">
      <c r="B25143" s="1168"/>
    </row>
    <row r="25144" spans="2:2" s="221" customFormat="1" ht="12.75" x14ac:dyDescent="0.2">
      <c r="B25144" s="1168"/>
    </row>
    <row r="25145" spans="2:2" s="221" customFormat="1" ht="12.75" x14ac:dyDescent="0.2">
      <c r="B25145" s="1168"/>
    </row>
    <row r="25146" spans="2:2" s="221" customFormat="1" ht="12.75" x14ac:dyDescent="0.2">
      <c r="B25146" s="1168"/>
    </row>
    <row r="25147" spans="2:2" s="221" customFormat="1" ht="12.75" x14ac:dyDescent="0.2">
      <c r="B25147" s="1168"/>
    </row>
    <row r="25148" spans="2:2" s="221" customFormat="1" ht="12.75" x14ac:dyDescent="0.2">
      <c r="B25148" s="1168"/>
    </row>
    <row r="25149" spans="2:2" s="221" customFormat="1" ht="12.75" x14ac:dyDescent="0.2">
      <c r="B25149" s="1168"/>
    </row>
    <row r="25150" spans="2:2" s="221" customFormat="1" ht="12.75" x14ac:dyDescent="0.2">
      <c r="B25150" s="1168"/>
    </row>
    <row r="25151" spans="2:2" s="221" customFormat="1" ht="12.75" x14ac:dyDescent="0.2">
      <c r="B25151" s="1168"/>
    </row>
    <row r="25152" spans="2:2" s="221" customFormat="1" ht="12.75" x14ac:dyDescent="0.2">
      <c r="B25152" s="1168"/>
    </row>
    <row r="25153" spans="2:2" s="221" customFormat="1" ht="12.75" x14ac:dyDescent="0.2">
      <c r="B25153" s="1168"/>
    </row>
    <row r="25154" spans="2:2" s="221" customFormat="1" ht="12.75" x14ac:dyDescent="0.2">
      <c r="B25154" s="1168"/>
    </row>
    <row r="25155" spans="2:2" s="221" customFormat="1" ht="12.75" x14ac:dyDescent="0.2">
      <c r="B25155" s="1168"/>
    </row>
    <row r="25156" spans="2:2" s="221" customFormat="1" ht="12.75" x14ac:dyDescent="0.2">
      <c r="B25156" s="1168"/>
    </row>
    <row r="25157" spans="2:2" s="221" customFormat="1" ht="12.75" x14ac:dyDescent="0.2">
      <c r="B25157" s="1168"/>
    </row>
    <row r="25158" spans="2:2" s="221" customFormat="1" ht="12.75" x14ac:dyDescent="0.2">
      <c r="B25158" s="1168"/>
    </row>
    <row r="25159" spans="2:2" s="221" customFormat="1" ht="12.75" x14ac:dyDescent="0.2">
      <c r="B25159" s="1168"/>
    </row>
    <row r="25160" spans="2:2" s="221" customFormat="1" ht="12.75" x14ac:dyDescent="0.2">
      <c r="B25160" s="1168"/>
    </row>
    <row r="25161" spans="2:2" s="221" customFormat="1" ht="12.75" x14ac:dyDescent="0.2">
      <c r="B25161" s="1168"/>
    </row>
    <row r="25162" spans="2:2" s="221" customFormat="1" ht="12.75" x14ac:dyDescent="0.2">
      <c r="B25162" s="1168"/>
    </row>
    <row r="25163" spans="2:2" s="221" customFormat="1" ht="12.75" x14ac:dyDescent="0.2">
      <c r="B25163" s="1168"/>
    </row>
    <row r="25164" spans="2:2" s="221" customFormat="1" ht="12.75" x14ac:dyDescent="0.2">
      <c r="B25164" s="1168"/>
    </row>
    <row r="25165" spans="2:2" s="221" customFormat="1" ht="12.75" x14ac:dyDescent="0.2">
      <c r="B25165" s="1168"/>
    </row>
    <row r="25166" spans="2:2" s="221" customFormat="1" ht="12.75" x14ac:dyDescent="0.2">
      <c r="B25166" s="1168"/>
    </row>
    <row r="25167" spans="2:2" s="221" customFormat="1" ht="12.75" x14ac:dyDescent="0.2">
      <c r="B25167" s="1168"/>
    </row>
    <row r="25168" spans="2:2" s="221" customFormat="1" ht="12.75" x14ac:dyDescent="0.2">
      <c r="B25168" s="1168"/>
    </row>
    <row r="25169" spans="2:2" s="221" customFormat="1" ht="12.75" x14ac:dyDescent="0.2">
      <c r="B25169" s="1168"/>
    </row>
    <row r="25170" spans="2:2" s="221" customFormat="1" ht="12.75" x14ac:dyDescent="0.2">
      <c r="B25170" s="1168"/>
    </row>
    <row r="25171" spans="2:2" s="221" customFormat="1" ht="12.75" x14ac:dyDescent="0.2">
      <c r="B25171" s="1168"/>
    </row>
    <row r="25172" spans="2:2" s="221" customFormat="1" ht="12.75" x14ac:dyDescent="0.2">
      <c r="B25172" s="1168"/>
    </row>
    <row r="25173" spans="2:2" s="221" customFormat="1" ht="12.75" x14ac:dyDescent="0.2">
      <c r="B25173" s="1168"/>
    </row>
    <row r="25174" spans="2:2" s="221" customFormat="1" ht="12.75" x14ac:dyDescent="0.2">
      <c r="B25174" s="1168"/>
    </row>
    <row r="25175" spans="2:2" s="221" customFormat="1" ht="12.75" x14ac:dyDescent="0.2">
      <c r="B25175" s="1168"/>
    </row>
    <row r="25176" spans="2:2" s="221" customFormat="1" ht="12.75" x14ac:dyDescent="0.2">
      <c r="B25176" s="1168"/>
    </row>
    <row r="25177" spans="2:2" s="221" customFormat="1" ht="12.75" x14ac:dyDescent="0.2">
      <c r="B25177" s="1168"/>
    </row>
    <row r="25178" spans="2:2" s="221" customFormat="1" ht="12.75" x14ac:dyDescent="0.2">
      <c r="B25178" s="1168"/>
    </row>
    <row r="25179" spans="2:2" s="221" customFormat="1" ht="12.75" x14ac:dyDescent="0.2">
      <c r="B25179" s="1168"/>
    </row>
    <row r="25180" spans="2:2" s="221" customFormat="1" ht="12.75" x14ac:dyDescent="0.2">
      <c r="B25180" s="1168"/>
    </row>
    <row r="25181" spans="2:2" s="221" customFormat="1" ht="12.75" x14ac:dyDescent="0.2">
      <c r="B25181" s="1168"/>
    </row>
    <row r="25182" spans="2:2" s="221" customFormat="1" ht="12.75" x14ac:dyDescent="0.2">
      <c r="B25182" s="1168"/>
    </row>
    <row r="25183" spans="2:2" s="221" customFormat="1" ht="12.75" x14ac:dyDescent="0.2">
      <c r="B25183" s="1168"/>
    </row>
    <row r="25184" spans="2:2" s="221" customFormat="1" ht="12.75" x14ac:dyDescent="0.2">
      <c r="B25184" s="1168"/>
    </row>
    <row r="25185" spans="2:2" s="221" customFormat="1" ht="12.75" x14ac:dyDescent="0.2">
      <c r="B25185" s="1168"/>
    </row>
    <row r="25186" spans="2:2" s="221" customFormat="1" ht="12.75" x14ac:dyDescent="0.2">
      <c r="B25186" s="1168"/>
    </row>
    <row r="25187" spans="2:2" s="221" customFormat="1" ht="12.75" x14ac:dyDescent="0.2">
      <c r="B25187" s="1168"/>
    </row>
    <row r="25188" spans="2:2" s="221" customFormat="1" ht="12.75" x14ac:dyDescent="0.2">
      <c r="B25188" s="1168"/>
    </row>
    <row r="25189" spans="2:2" s="221" customFormat="1" ht="12.75" x14ac:dyDescent="0.2">
      <c r="B25189" s="1168"/>
    </row>
    <row r="25190" spans="2:2" s="221" customFormat="1" ht="12.75" x14ac:dyDescent="0.2">
      <c r="B25190" s="1168"/>
    </row>
    <row r="25191" spans="2:2" s="221" customFormat="1" ht="12.75" x14ac:dyDescent="0.2">
      <c r="B25191" s="1168"/>
    </row>
    <row r="25192" spans="2:2" s="221" customFormat="1" ht="12.75" x14ac:dyDescent="0.2">
      <c r="B25192" s="1168"/>
    </row>
    <row r="25193" spans="2:2" s="221" customFormat="1" ht="12.75" x14ac:dyDescent="0.2">
      <c r="B25193" s="1168"/>
    </row>
    <row r="25194" spans="2:2" s="221" customFormat="1" ht="12.75" x14ac:dyDescent="0.2">
      <c r="B25194" s="1168"/>
    </row>
    <row r="25195" spans="2:2" s="221" customFormat="1" ht="12.75" x14ac:dyDescent="0.2">
      <c r="B25195" s="1168"/>
    </row>
    <row r="25196" spans="2:2" s="221" customFormat="1" ht="12.75" x14ac:dyDescent="0.2">
      <c r="B25196" s="1168"/>
    </row>
    <row r="25197" spans="2:2" s="221" customFormat="1" ht="12.75" x14ac:dyDescent="0.2">
      <c r="B25197" s="1168"/>
    </row>
    <row r="25198" spans="2:2" s="221" customFormat="1" ht="12.75" x14ac:dyDescent="0.2">
      <c r="B25198" s="1168"/>
    </row>
    <row r="25199" spans="2:2" s="221" customFormat="1" ht="12.75" x14ac:dyDescent="0.2">
      <c r="B25199" s="1168"/>
    </row>
    <row r="25200" spans="2:2" s="221" customFormat="1" ht="12.75" x14ac:dyDescent="0.2">
      <c r="B25200" s="1168"/>
    </row>
    <row r="25201" spans="2:2" s="221" customFormat="1" ht="12.75" x14ac:dyDescent="0.2">
      <c r="B25201" s="1168"/>
    </row>
    <row r="25202" spans="2:2" s="221" customFormat="1" ht="12.75" x14ac:dyDescent="0.2">
      <c r="B25202" s="1168"/>
    </row>
    <row r="25203" spans="2:2" s="221" customFormat="1" ht="12.75" x14ac:dyDescent="0.2">
      <c r="B25203" s="1168"/>
    </row>
    <row r="25204" spans="2:2" s="221" customFormat="1" ht="12.75" x14ac:dyDescent="0.2">
      <c r="B25204" s="1168"/>
    </row>
    <row r="25205" spans="2:2" s="221" customFormat="1" ht="12.75" x14ac:dyDescent="0.2">
      <c r="B25205" s="1168"/>
    </row>
    <row r="25206" spans="2:2" s="221" customFormat="1" ht="12.75" x14ac:dyDescent="0.2">
      <c r="B25206" s="1168"/>
    </row>
    <row r="25207" spans="2:2" s="221" customFormat="1" ht="12.75" x14ac:dyDescent="0.2">
      <c r="B25207" s="1168"/>
    </row>
    <row r="25208" spans="2:2" s="221" customFormat="1" ht="12.75" x14ac:dyDescent="0.2">
      <c r="B25208" s="1168"/>
    </row>
    <row r="25209" spans="2:2" s="221" customFormat="1" ht="12.75" x14ac:dyDescent="0.2">
      <c r="B25209" s="1168"/>
    </row>
    <row r="25210" spans="2:2" s="221" customFormat="1" ht="12.75" x14ac:dyDescent="0.2">
      <c r="B25210" s="1168"/>
    </row>
    <row r="25211" spans="2:2" s="221" customFormat="1" ht="12.75" x14ac:dyDescent="0.2">
      <c r="B25211" s="1168"/>
    </row>
    <row r="25212" spans="2:2" s="221" customFormat="1" ht="12.75" x14ac:dyDescent="0.2">
      <c r="B25212" s="1168"/>
    </row>
    <row r="25213" spans="2:2" s="221" customFormat="1" ht="12.75" x14ac:dyDescent="0.2">
      <c r="B25213" s="1168"/>
    </row>
    <row r="25214" spans="2:2" s="221" customFormat="1" ht="12.75" x14ac:dyDescent="0.2">
      <c r="B25214" s="1168"/>
    </row>
    <row r="25215" spans="2:2" s="221" customFormat="1" ht="12.75" x14ac:dyDescent="0.2">
      <c r="B25215" s="1168"/>
    </row>
    <row r="25216" spans="2:2" s="221" customFormat="1" ht="12.75" x14ac:dyDescent="0.2">
      <c r="B25216" s="1168"/>
    </row>
    <row r="25217" spans="2:2" s="221" customFormat="1" ht="12.75" x14ac:dyDescent="0.2">
      <c r="B25217" s="1168"/>
    </row>
    <row r="25218" spans="2:2" s="221" customFormat="1" ht="12.75" x14ac:dyDescent="0.2">
      <c r="B25218" s="1168"/>
    </row>
    <row r="25219" spans="2:2" s="221" customFormat="1" ht="12.75" x14ac:dyDescent="0.2">
      <c r="B25219" s="1168"/>
    </row>
    <row r="25220" spans="2:2" s="221" customFormat="1" ht="12.75" x14ac:dyDescent="0.2">
      <c r="B25220" s="1168"/>
    </row>
    <row r="25221" spans="2:2" s="221" customFormat="1" ht="12.75" x14ac:dyDescent="0.2">
      <c r="B25221" s="1168"/>
    </row>
    <row r="25222" spans="2:2" s="221" customFormat="1" ht="12.75" x14ac:dyDescent="0.2">
      <c r="B25222" s="1168"/>
    </row>
    <row r="25223" spans="2:2" s="221" customFormat="1" ht="12.75" x14ac:dyDescent="0.2">
      <c r="B25223" s="1168"/>
    </row>
    <row r="25224" spans="2:2" s="221" customFormat="1" ht="12.75" x14ac:dyDescent="0.2">
      <c r="B25224" s="1168"/>
    </row>
    <row r="25225" spans="2:2" s="221" customFormat="1" ht="12.75" x14ac:dyDescent="0.2">
      <c r="B25225" s="1168"/>
    </row>
    <row r="25226" spans="2:2" s="221" customFormat="1" ht="12.75" x14ac:dyDescent="0.2">
      <c r="B25226" s="1168"/>
    </row>
    <row r="25227" spans="2:2" s="221" customFormat="1" ht="12.75" x14ac:dyDescent="0.2">
      <c r="B25227" s="1168"/>
    </row>
    <row r="25228" spans="2:2" s="221" customFormat="1" ht="12.75" x14ac:dyDescent="0.2">
      <c r="B25228" s="1168"/>
    </row>
    <row r="25229" spans="2:2" s="221" customFormat="1" ht="12.75" x14ac:dyDescent="0.2">
      <c r="B25229" s="1168"/>
    </row>
    <row r="25230" spans="2:2" s="221" customFormat="1" ht="12.75" x14ac:dyDescent="0.2">
      <c r="B25230" s="1168"/>
    </row>
    <row r="25231" spans="2:2" s="221" customFormat="1" ht="12.75" x14ac:dyDescent="0.2">
      <c r="B25231" s="1168"/>
    </row>
    <row r="25232" spans="2:2" s="221" customFormat="1" ht="12.75" x14ac:dyDescent="0.2">
      <c r="B25232" s="1168"/>
    </row>
    <row r="25233" spans="2:2" s="221" customFormat="1" ht="12.75" x14ac:dyDescent="0.2">
      <c r="B25233" s="1168"/>
    </row>
    <row r="25234" spans="2:2" s="221" customFormat="1" ht="12.75" x14ac:dyDescent="0.2">
      <c r="B25234" s="1168"/>
    </row>
    <row r="25235" spans="2:2" s="221" customFormat="1" ht="12.75" x14ac:dyDescent="0.2">
      <c r="B25235" s="1168"/>
    </row>
    <row r="25236" spans="2:2" s="221" customFormat="1" ht="12.75" x14ac:dyDescent="0.2">
      <c r="B25236" s="1168"/>
    </row>
    <row r="25237" spans="2:2" s="221" customFormat="1" ht="12.75" x14ac:dyDescent="0.2">
      <c r="B25237" s="1168"/>
    </row>
    <row r="25238" spans="2:2" s="221" customFormat="1" ht="12.75" x14ac:dyDescent="0.2">
      <c r="B25238" s="1168"/>
    </row>
    <row r="25239" spans="2:2" s="221" customFormat="1" ht="12.75" x14ac:dyDescent="0.2">
      <c r="B25239" s="1168"/>
    </row>
    <row r="25240" spans="2:2" s="221" customFormat="1" ht="12.75" x14ac:dyDescent="0.2">
      <c r="B25240" s="1168"/>
    </row>
    <row r="25241" spans="2:2" s="221" customFormat="1" ht="12.75" x14ac:dyDescent="0.2">
      <c r="B25241" s="1168"/>
    </row>
    <row r="25242" spans="2:2" s="221" customFormat="1" ht="12.75" x14ac:dyDescent="0.2">
      <c r="B25242" s="1168"/>
    </row>
    <row r="25243" spans="2:2" s="221" customFormat="1" ht="12.75" x14ac:dyDescent="0.2">
      <c r="B25243" s="1168"/>
    </row>
    <row r="25244" spans="2:2" s="221" customFormat="1" ht="12.75" x14ac:dyDescent="0.2">
      <c r="B25244" s="1168"/>
    </row>
    <row r="25245" spans="2:2" s="221" customFormat="1" ht="12.75" x14ac:dyDescent="0.2">
      <c r="B25245" s="1168"/>
    </row>
    <row r="25246" spans="2:2" s="221" customFormat="1" ht="12.75" x14ac:dyDescent="0.2">
      <c r="B25246" s="1168"/>
    </row>
    <row r="25247" spans="2:2" s="221" customFormat="1" ht="12.75" x14ac:dyDescent="0.2">
      <c r="B25247" s="1168"/>
    </row>
    <row r="25248" spans="2:2" s="221" customFormat="1" ht="12.75" x14ac:dyDescent="0.2">
      <c r="B25248" s="1168"/>
    </row>
    <row r="25249" spans="2:2" s="221" customFormat="1" ht="12.75" x14ac:dyDescent="0.2">
      <c r="B25249" s="1168"/>
    </row>
    <row r="25250" spans="2:2" s="221" customFormat="1" ht="12.75" x14ac:dyDescent="0.2">
      <c r="B25250" s="1168"/>
    </row>
    <row r="25251" spans="2:2" s="221" customFormat="1" ht="12.75" x14ac:dyDescent="0.2">
      <c r="B25251" s="1168"/>
    </row>
    <row r="25252" spans="2:2" s="221" customFormat="1" ht="12.75" x14ac:dyDescent="0.2">
      <c r="B25252" s="1168"/>
    </row>
    <row r="25253" spans="2:2" s="221" customFormat="1" ht="12.75" x14ac:dyDescent="0.2">
      <c r="B25253" s="1168"/>
    </row>
    <row r="25254" spans="2:2" s="221" customFormat="1" ht="12.75" x14ac:dyDescent="0.2">
      <c r="B25254" s="1168"/>
    </row>
    <row r="25255" spans="2:2" s="221" customFormat="1" ht="12.75" x14ac:dyDescent="0.2">
      <c r="B25255" s="1168"/>
    </row>
    <row r="25256" spans="2:2" s="221" customFormat="1" ht="12.75" x14ac:dyDescent="0.2">
      <c r="B25256" s="1168"/>
    </row>
    <row r="25257" spans="2:2" s="221" customFormat="1" ht="12.75" x14ac:dyDescent="0.2">
      <c r="B25257" s="1168"/>
    </row>
    <row r="25258" spans="2:2" s="221" customFormat="1" ht="12.75" x14ac:dyDescent="0.2">
      <c r="B25258" s="1168"/>
    </row>
    <row r="25259" spans="2:2" s="221" customFormat="1" ht="12.75" x14ac:dyDescent="0.2">
      <c r="B25259" s="1168"/>
    </row>
    <row r="25260" spans="2:2" s="221" customFormat="1" ht="12.75" x14ac:dyDescent="0.2">
      <c r="B25260" s="1168"/>
    </row>
    <row r="25261" spans="2:2" s="221" customFormat="1" ht="12.75" x14ac:dyDescent="0.2">
      <c r="B25261" s="1168"/>
    </row>
    <row r="25262" spans="2:2" s="221" customFormat="1" ht="12.75" x14ac:dyDescent="0.2">
      <c r="B25262" s="1168"/>
    </row>
    <row r="25263" spans="2:2" s="221" customFormat="1" ht="12.75" x14ac:dyDescent="0.2">
      <c r="B25263" s="1168"/>
    </row>
    <row r="25264" spans="2:2" s="221" customFormat="1" ht="12.75" x14ac:dyDescent="0.2">
      <c r="B25264" s="1168"/>
    </row>
    <row r="25265" spans="2:2" s="221" customFormat="1" ht="12.75" x14ac:dyDescent="0.2">
      <c r="B25265" s="1168"/>
    </row>
    <row r="25266" spans="2:2" s="221" customFormat="1" ht="12.75" x14ac:dyDescent="0.2">
      <c r="B25266" s="1168"/>
    </row>
    <row r="25267" spans="2:2" s="221" customFormat="1" ht="12.75" x14ac:dyDescent="0.2">
      <c r="B25267" s="1168"/>
    </row>
    <row r="25268" spans="2:2" s="221" customFormat="1" ht="12.75" x14ac:dyDescent="0.2">
      <c r="B25268" s="1168"/>
    </row>
    <row r="25269" spans="2:2" s="221" customFormat="1" ht="12.75" x14ac:dyDescent="0.2">
      <c r="B25269" s="1168"/>
    </row>
    <row r="25270" spans="2:2" s="221" customFormat="1" ht="12.75" x14ac:dyDescent="0.2">
      <c r="B25270" s="1168"/>
    </row>
    <row r="25271" spans="2:2" s="221" customFormat="1" ht="12.75" x14ac:dyDescent="0.2">
      <c r="B25271" s="1168"/>
    </row>
    <row r="25272" spans="2:2" s="221" customFormat="1" ht="12.75" x14ac:dyDescent="0.2">
      <c r="B25272" s="1168"/>
    </row>
    <row r="25273" spans="2:2" s="221" customFormat="1" ht="12.75" x14ac:dyDescent="0.2">
      <c r="B25273" s="1168"/>
    </row>
    <row r="25274" spans="2:2" s="221" customFormat="1" ht="12.75" x14ac:dyDescent="0.2">
      <c r="B25274" s="1168"/>
    </row>
    <row r="25275" spans="2:2" s="221" customFormat="1" ht="12.75" x14ac:dyDescent="0.2">
      <c r="B25275" s="1168"/>
    </row>
    <row r="25276" spans="2:2" s="221" customFormat="1" ht="12.75" x14ac:dyDescent="0.2">
      <c r="B25276" s="1168"/>
    </row>
    <row r="25277" spans="2:2" s="221" customFormat="1" ht="12.75" x14ac:dyDescent="0.2">
      <c r="B25277" s="1168"/>
    </row>
    <row r="25278" spans="2:2" s="221" customFormat="1" ht="12.75" x14ac:dyDescent="0.2">
      <c r="B25278" s="1168"/>
    </row>
    <row r="25279" spans="2:2" s="221" customFormat="1" ht="12.75" x14ac:dyDescent="0.2">
      <c r="B25279" s="1168"/>
    </row>
    <row r="25280" spans="2:2" s="221" customFormat="1" ht="12.75" x14ac:dyDescent="0.2">
      <c r="B25280" s="1168"/>
    </row>
    <row r="25281" spans="2:2" s="221" customFormat="1" ht="12.75" x14ac:dyDescent="0.2">
      <c r="B25281" s="1168"/>
    </row>
    <row r="25282" spans="2:2" s="221" customFormat="1" ht="12.75" x14ac:dyDescent="0.2">
      <c r="B25282" s="1168"/>
    </row>
    <row r="25283" spans="2:2" s="221" customFormat="1" ht="12.75" x14ac:dyDescent="0.2">
      <c r="B25283" s="1168"/>
    </row>
    <row r="25284" spans="2:2" s="221" customFormat="1" ht="12.75" x14ac:dyDescent="0.2">
      <c r="B25284" s="1168"/>
    </row>
    <row r="25285" spans="2:2" s="221" customFormat="1" ht="12.75" x14ac:dyDescent="0.2">
      <c r="B25285" s="1168"/>
    </row>
    <row r="25286" spans="2:2" s="221" customFormat="1" ht="12.75" x14ac:dyDescent="0.2">
      <c r="B25286" s="1168"/>
    </row>
    <row r="25287" spans="2:2" s="221" customFormat="1" ht="12.75" x14ac:dyDescent="0.2">
      <c r="B25287" s="1168"/>
    </row>
    <row r="25288" spans="2:2" s="221" customFormat="1" ht="12.75" x14ac:dyDescent="0.2">
      <c r="B25288" s="1168"/>
    </row>
    <row r="25289" spans="2:2" s="221" customFormat="1" ht="12.75" x14ac:dyDescent="0.2">
      <c r="B25289" s="1168"/>
    </row>
    <row r="25290" spans="2:2" s="221" customFormat="1" ht="12.75" x14ac:dyDescent="0.2">
      <c r="B25290" s="1168"/>
    </row>
    <row r="25291" spans="2:2" s="221" customFormat="1" ht="12.75" x14ac:dyDescent="0.2">
      <c r="B25291" s="1168"/>
    </row>
    <row r="25292" spans="2:2" s="221" customFormat="1" ht="12.75" x14ac:dyDescent="0.2">
      <c r="B25292" s="1168"/>
    </row>
    <row r="25293" spans="2:2" s="221" customFormat="1" ht="12.75" x14ac:dyDescent="0.2">
      <c r="B25293" s="1168"/>
    </row>
    <row r="25294" spans="2:2" s="221" customFormat="1" ht="12.75" x14ac:dyDescent="0.2">
      <c r="B25294" s="1168"/>
    </row>
    <row r="25295" spans="2:2" s="221" customFormat="1" ht="12.75" x14ac:dyDescent="0.2">
      <c r="B25295" s="1168"/>
    </row>
    <row r="25296" spans="2:2" s="221" customFormat="1" ht="12.75" x14ac:dyDescent="0.2">
      <c r="B25296" s="1168"/>
    </row>
    <row r="25297" spans="2:2" s="221" customFormat="1" ht="12.75" x14ac:dyDescent="0.2">
      <c r="B25297" s="1168"/>
    </row>
    <row r="25298" spans="2:2" s="221" customFormat="1" ht="12.75" x14ac:dyDescent="0.2">
      <c r="B25298" s="1168"/>
    </row>
    <row r="25299" spans="2:2" s="221" customFormat="1" ht="12.75" x14ac:dyDescent="0.2">
      <c r="B25299" s="1168"/>
    </row>
    <row r="25300" spans="2:2" s="221" customFormat="1" ht="12.75" x14ac:dyDescent="0.2">
      <c r="B25300" s="1168"/>
    </row>
    <row r="25301" spans="2:2" s="221" customFormat="1" ht="12.75" x14ac:dyDescent="0.2">
      <c r="B25301" s="1168"/>
    </row>
    <row r="25302" spans="2:2" s="221" customFormat="1" ht="12.75" x14ac:dyDescent="0.2">
      <c r="B25302" s="1168"/>
    </row>
    <row r="25303" spans="2:2" s="221" customFormat="1" ht="12.75" x14ac:dyDescent="0.2">
      <c r="B25303" s="1168"/>
    </row>
    <row r="25304" spans="2:2" s="221" customFormat="1" ht="12.75" x14ac:dyDescent="0.2">
      <c r="B25304" s="1168"/>
    </row>
    <row r="25305" spans="2:2" s="221" customFormat="1" ht="12.75" x14ac:dyDescent="0.2">
      <c r="B25305" s="1168"/>
    </row>
    <row r="25306" spans="2:2" s="221" customFormat="1" ht="12.75" x14ac:dyDescent="0.2">
      <c r="B25306" s="1168"/>
    </row>
    <row r="25307" spans="2:2" s="221" customFormat="1" ht="12.75" x14ac:dyDescent="0.2">
      <c r="B25307" s="1168"/>
    </row>
    <row r="25308" spans="2:2" s="221" customFormat="1" ht="12.75" x14ac:dyDescent="0.2">
      <c r="B25308" s="1168"/>
    </row>
    <row r="25309" spans="2:2" s="221" customFormat="1" ht="12.75" x14ac:dyDescent="0.2">
      <c r="B25309" s="1168"/>
    </row>
    <row r="25310" spans="2:2" s="221" customFormat="1" ht="12.75" x14ac:dyDescent="0.2">
      <c r="B25310" s="1168"/>
    </row>
    <row r="25311" spans="2:2" s="221" customFormat="1" ht="12.75" x14ac:dyDescent="0.2">
      <c r="B25311" s="1168"/>
    </row>
    <row r="25312" spans="2:2" s="221" customFormat="1" ht="12.75" x14ac:dyDescent="0.2">
      <c r="B25312" s="1168"/>
    </row>
    <row r="25313" spans="2:2" s="221" customFormat="1" ht="12.75" x14ac:dyDescent="0.2">
      <c r="B25313" s="1168"/>
    </row>
    <row r="25314" spans="2:2" s="221" customFormat="1" ht="12.75" x14ac:dyDescent="0.2">
      <c r="B25314" s="1168"/>
    </row>
    <row r="25315" spans="2:2" s="221" customFormat="1" ht="12.75" x14ac:dyDescent="0.2">
      <c r="B25315" s="1168"/>
    </row>
    <row r="25316" spans="2:2" s="221" customFormat="1" ht="12.75" x14ac:dyDescent="0.2">
      <c r="B25316" s="1168"/>
    </row>
    <row r="25317" spans="2:2" s="221" customFormat="1" ht="12.75" x14ac:dyDescent="0.2">
      <c r="B25317" s="1168"/>
    </row>
    <row r="25318" spans="2:2" s="221" customFormat="1" ht="12.75" x14ac:dyDescent="0.2">
      <c r="B25318" s="1168"/>
    </row>
    <row r="25319" spans="2:2" s="221" customFormat="1" ht="12.75" x14ac:dyDescent="0.2">
      <c r="B25319" s="1168"/>
    </row>
    <row r="25320" spans="2:2" s="221" customFormat="1" ht="12.75" x14ac:dyDescent="0.2">
      <c r="B25320" s="1168"/>
    </row>
    <row r="25321" spans="2:2" s="221" customFormat="1" ht="12.75" x14ac:dyDescent="0.2">
      <c r="B25321" s="1168"/>
    </row>
    <row r="25322" spans="2:2" s="221" customFormat="1" ht="12.75" x14ac:dyDescent="0.2">
      <c r="B25322" s="1168"/>
    </row>
    <row r="25323" spans="2:2" s="221" customFormat="1" ht="12.75" x14ac:dyDescent="0.2">
      <c r="B25323" s="1168"/>
    </row>
    <row r="25324" spans="2:2" s="221" customFormat="1" ht="12.75" x14ac:dyDescent="0.2">
      <c r="B25324" s="1168"/>
    </row>
    <row r="25325" spans="2:2" s="221" customFormat="1" ht="12.75" x14ac:dyDescent="0.2">
      <c r="B25325" s="1168"/>
    </row>
    <row r="25326" spans="2:2" s="221" customFormat="1" ht="12.75" x14ac:dyDescent="0.2">
      <c r="B25326" s="1168"/>
    </row>
    <row r="25327" spans="2:2" s="221" customFormat="1" ht="12.75" x14ac:dyDescent="0.2">
      <c r="B25327" s="1168"/>
    </row>
    <row r="25328" spans="2:2" s="221" customFormat="1" ht="12.75" x14ac:dyDescent="0.2">
      <c r="B25328" s="1168"/>
    </row>
    <row r="25329" spans="2:2" s="221" customFormat="1" ht="12.75" x14ac:dyDescent="0.2">
      <c r="B25329" s="1168"/>
    </row>
    <row r="25330" spans="2:2" s="221" customFormat="1" ht="12.75" x14ac:dyDescent="0.2">
      <c r="B25330" s="1168"/>
    </row>
    <row r="25331" spans="2:2" s="221" customFormat="1" ht="12.75" x14ac:dyDescent="0.2">
      <c r="B25331" s="1168"/>
    </row>
    <row r="25332" spans="2:2" s="221" customFormat="1" ht="12.75" x14ac:dyDescent="0.2">
      <c r="B25332" s="1168"/>
    </row>
    <row r="25333" spans="2:2" s="221" customFormat="1" ht="12.75" x14ac:dyDescent="0.2">
      <c r="B25333" s="1168"/>
    </row>
    <row r="25334" spans="2:2" s="221" customFormat="1" ht="12.75" x14ac:dyDescent="0.2">
      <c r="B25334" s="1168"/>
    </row>
    <row r="25335" spans="2:2" s="221" customFormat="1" ht="12.75" x14ac:dyDescent="0.2">
      <c r="B25335" s="1168"/>
    </row>
    <row r="25336" spans="2:2" s="221" customFormat="1" ht="12.75" x14ac:dyDescent="0.2">
      <c r="B25336" s="1168"/>
    </row>
    <row r="25337" spans="2:2" s="221" customFormat="1" ht="12.75" x14ac:dyDescent="0.2">
      <c r="B25337" s="1168"/>
    </row>
    <row r="25338" spans="2:2" s="221" customFormat="1" ht="12.75" x14ac:dyDescent="0.2">
      <c r="B25338" s="1168"/>
    </row>
    <row r="25339" spans="2:2" s="221" customFormat="1" ht="12.75" x14ac:dyDescent="0.2">
      <c r="B25339" s="1168"/>
    </row>
    <row r="25340" spans="2:2" s="221" customFormat="1" ht="12.75" x14ac:dyDescent="0.2">
      <c r="B25340" s="1168"/>
    </row>
    <row r="25341" spans="2:2" s="221" customFormat="1" ht="12.75" x14ac:dyDescent="0.2">
      <c r="B25341" s="1168"/>
    </row>
    <row r="25342" spans="2:2" s="221" customFormat="1" ht="12.75" x14ac:dyDescent="0.2">
      <c r="B25342" s="1168"/>
    </row>
    <row r="25343" spans="2:2" s="221" customFormat="1" ht="12.75" x14ac:dyDescent="0.2">
      <c r="B25343" s="1168"/>
    </row>
    <row r="25344" spans="2:2" s="221" customFormat="1" ht="12.75" x14ac:dyDescent="0.2">
      <c r="B25344" s="1168"/>
    </row>
    <row r="25345" spans="2:2" s="221" customFormat="1" ht="12.75" x14ac:dyDescent="0.2">
      <c r="B25345" s="1168"/>
    </row>
    <row r="25346" spans="2:2" s="221" customFormat="1" ht="12.75" x14ac:dyDescent="0.2">
      <c r="B25346" s="1168"/>
    </row>
    <row r="25347" spans="2:2" s="221" customFormat="1" ht="12.75" x14ac:dyDescent="0.2">
      <c r="B25347" s="1168"/>
    </row>
    <row r="25348" spans="2:2" s="221" customFormat="1" ht="12.75" x14ac:dyDescent="0.2">
      <c r="B25348" s="1168"/>
    </row>
    <row r="25349" spans="2:2" s="221" customFormat="1" ht="12.75" x14ac:dyDescent="0.2">
      <c r="B25349" s="1168"/>
    </row>
    <row r="25350" spans="2:2" s="221" customFormat="1" ht="12.75" x14ac:dyDescent="0.2">
      <c r="B25350" s="1168"/>
    </row>
    <row r="25351" spans="2:2" s="221" customFormat="1" ht="12.75" x14ac:dyDescent="0.2">
      <c r="B25351" s="1168"/>
    </row>
    <row r="25352" spans="2:2" s="221" customFormat="1" ht="12.75" x14ac:dyDescent="0.2">
      <c r="B25352" s="1168"/>
    </row>
    <row r="25353" spans="2:2" s="221" customFormat="1" ht="12.75" x14ac:dyDescent="0.2">
      <c r="B25353" s="1168"/>
    </row>
    <row r="25354" spans="2:2" s="221" customFormat="1" ht="12.75" x14ac:dyDescent="0.2">
      <c r="B25354" s="1168"/>
    </row>
    <row r="25355" spans="2:2" s="221" customFormat="1" ht="12.75" x14ac:dyDescent="0.2">
      <c r="B25355" s="1168"/>
    </row>
    <row r="25356" spans="2:2" s="221" customFormat="1" ht="12.75" x14ac:dyDescent="0.2">
      <c r="B25356" s="1168"/>
    </row>
    <row r="25357" spans="2:2" s="221" customFormat="1" ht="12.75" x14ac:dyDescent="0.2">
      <c r="B25357" s="1168"/>
    </row>
    <row r="25358" spans="2:2" s="221" customFormat="1" ht="12.75" x14ac:dyDescent="0.2">
      <c r="B25358" s="1168"/>
    </row>
    <row r="25359" spans="2:2" s="221" customFormat="1" ht="12.75" x14ac:dyDescent="0.2">
      <c r="B25359" s="1168"/>
    </row>
    <row r="25360" spans="2:2" s="221" customFormat="1" ht="12.75" x14ac:dyDescent="0.2">
      <c r="B25360" s="1168"/>
    </row>
    <row r="25361" spans="2:2" s="221" customFormat="1" ht="12.75" x14ac:dyDescent="0.2">
      <c r="B25361" s="1168"/>
    </row>
    <row r="25362" spans="2:2" s="221" customFormat="1" ht="12.75" x14ac:dyDescent="0.2">
      <c r="B25362" s="1168"/>
    </row>
    <row r="25363" spans="2:2" s="221" customFormat="1" ht="12.75" x14ac:dyDescent="0.2">
      <c r="B25363" s="1168"/>
    </row>
    <row r="25364" spans="2:2" s="221" customFormat="1" ht="12.75" x14ac:dyDescent="0.2">
      <c r="B25364" s="1168"/>
    </row>
    <row r="25365" spans="2:2" s="221" customFormat="1" ht="12.75" x14ac:dyDescent="0.2">
      <c r="B25365" s="1168"/>
    </row>
    <row r="25366" spans="2:2" s="221" customFormat="1" ht="12.75" x14ac:dyDescent="0.2">
      <c r="B25366" s="1168"/>
    </row>
    <row r="25367" spans="2:2" s="221" customFormat="1" ht="12.75" x14ac:dyDescent="0.2">
      <c r="B25367" s="1168"/>
    </row>
    <row r="25368" spans="2:2" s="221" customFormat="1" ht="12.75" x14ac:dyDescent="0.2">
      <c r="B25368" s="1168"/>
    </row>
    <row r="25369" spans="2:2" s="221" customFormat="1" ht="12.75" x14ac:dyDescent="0.2">
      <c r="B25369" s="1168"/>
    </row>
    <row r="25370" spans="2:2" s="221" customFormat="1" ht="12.75" x14ac:dyDescent="0.2">
      <c r="B25370" s="1168"/>
    </row>
    <row r="25371" spans="2:2" s="221" customFormat="1" ht="12.75" x14ac:dyDescent="0.2">
      <c r="B25371" s="1168"/>
    </row>
    <row r="25372" spans="2:2" s="221" customFormat="1" ht="12.75" x14ac:dyDescent="0.2">
      <c r="B25372" s="1168"/>
    </row>
    <row r="25373" spans="2:2" s="221" customFormat="1" ht="12.75" x14ac:dyDescent="0.2">
      <c r="B25373" s="1168"/>
    </row>
    <row r="25374" spans="2:2" s="221" customFormat="1" ht="12.75" x14ac:dyDescent="0.2">
      <c r="B25374" s="1168"/>
    </row>
    <row r="25375" spans="2:2" s="221" customFormat="1" ht="12.75" x14ac:dyDescent="0.2">
      <c r="B25375" s="1168"/>
    </row>
    <row r="25376" spans="2:2" s="221" customFormat="1" ht="12.75" x14ac:dyDescent="0.2">
      <c r="B25376" s="1168"/>
    </row>
    <row r="25377" spans="2:2" s="221" customFormat="1" ht="12.75" x14ac:dyDescent="0.2">
      <c r="B25377" s="1168"/>
    </row>
    <row r="25378" spans="2:2" s="221" customFormat="1" ht="12.75" x14ac:dyDescent="0.2">
      <c r="B25378" s="1168"/>
    </row>
    <row r="25379" spans="2:2" s="221" customFormat="1" ht="12.75" x14ac:dyDescent="0.2">
      <c r="B25379" s="1168"/>
    </row>
    <row r="25380" spans="2:2" s="221" customFormat="1" ht="12.75" x14ac:dyDescent="0.2">
      <c r="B25380" s="1168"/>
    </row>
    <row r="25381" spans="2:2" s="221" customFormat="1" ht="12.75" x14ac:dyDescent="0.2">
      <c r="B25381" s="1168"/>
    </row>
    <row r="25382" spans="2:2" s="221" customFormat="1" ht="12.75" x14ac:dyDescent="0.2">
      <c r="B25382" s="1168"/>
    </row>
    <row r="25383" spans="2:2" s="221" customFormat="1" ht="12.75" x14ac:dyDescent="0.2">
      <c r="B25383" s="1168"/>
    </row>
    <row r="25384" spans="2:2" s="221" customFormat="1" ht="12.75" x14ac:dyDescent="0.2">
      <c r="B25384" s="1168"/>
    </row>
    <row r="25385" spans="2:2" s="221" customFormat="1" ht="12.75" x14ac:dyDescent="0.2">
      <c r="B25385" s="1168"/>
    </row>
    <row r="25386" spans="2:2" s="221" customFormat="1" ht="12.75" x14ac:dyDescent="0.2">
      <c r="B25386" s="1168"/>
    </row>
    <row r="25387" spans="2:2" s="221" customFormat="1" ht="12.75" x14ac:dyDescent="0.2">
      <c r="B25387" s="1168"/>
    </row>
    <row r="25388" spans="2:2" s="221" customFormat="1" ht="12.75" x14ac:dyDescent="0.2">
      <c r="B25388" s="1168"/>
    </row>
    <row r="25389" spans="2:2" s="221" customFormat="1" ht="12.75" x14ac:dyDescent="0.2">
      <c r="B25389" s="1168"/>
    </row>
    <row r="25390" spans="2:2" s="221" customFormat="1" ht="12.75" x14ac:dyDescent="0.2">
      <c r="B25390" s="1168"/>
    </row>
    <row r="25391" spans="2:2" s="221" customFormat="1" ht="12.75" x14ac:dyDescent="0.2">
      <c r="B25391" s="1168"/>
    </row>
    <row r="25392" spans="2:2" s="221" customFormat="1" ht="12.75" x14ac:dyDescent="0.2">
      <c r="B25392" s="1168"/>
    </row>
    <row r="25393" spans="2:2" s="221" customFormat="1" ht="12.75" x14ac:dyDescent="0.2">
      <c r="B25393" s="1168"/>
    </row>
    <row r="25394" spans="2:2" s="221" customFormat="1" ht="12.75" x14ac:dyDescent="0.2">
      <c r="B25394" s="1168"/>
    </row>
    <row r="25395" spans="2:2" s="221" customFormat="1" ht="12.75" x14ac:dyDescent="0.2">
      <c r="B25395" s="1168"/>
    </row>
    <row r="25396" spans="2:2" s="221" customFormat="1" ht="12.75" x14ac:dyDescent="0.2">
      <c r="B25396" s="1168"/>
    </row>
    <row r="25397" spans="2:2" s="221" customFormat="1" ht="12.75" x14ac:dyDescent="0.2">
      <c r="B25397" s="1168"/>
    </row>
    <row r="25398" spans="2:2" s="221" customFormat="1" ht="12.75" x14ac:dyDescent="0.2">
      <c r="B25398" s="1168"/>
    </row>
    <row r="25399" spans="2:2" s="221" customFormat="1" ht="12.75" x14ac:dyDescent="0.2">
      <c r="B25399" s="1168"/>
    </row>
    <row r="25400" spans="2:2" s="221" customFormat="1" ht="12.75" x14ac:dyDescent="0.2">
      <c r="B25400" s="1168"/>
    </row>
    <row r="25401" spans="2:2" s="221" customFormat="1" ht="12.75" x14ac:dyDescent="0.2">
      <c r="B25401" s="1168"/>
    </row>
    <row r="25402" spans="2:2" s="221" customFormat="1" ht="12.75" x14ac:dyDescent="0.2">
      <c r="B25402" s="1168"/>
    </row>
    <row r="25403" spans="2:2" s="221" customFormat="1" ht="12.75" x14ac:dyDescent="0.2">
      <c r="B25403" s="1168"/>
    </row>
    <row r="25404" spans="2:2" s="221" customFormat="1" ht="12.75" x14ac:dyDescent="0.2">
      <c r="B25404" s="1168"/>
    </row>
    <row r="25405" spans="2:2" s="221" customFormat="1" ht="12.75" x14ac:dyDescent="0.2">
      <c r="B25405" s="1168"/>
    </row>
    <row r="25406" spans="2:2" s="221" customFormat="1" ht="12.75" x14ac:dyDescent="0.2">
      <c r="B25406" s="1168"/>
    </row>
    <row r="25407" spans="2:2" s="221" customFormat="1" ht="12.75" x14ac:dyDescent="0.2">
      <c r="B25407" s="1168"/>
    </row>
    <row r="25408" spans="2:2" s="221" customFormat="1" ht="12.75" x14ac:dyDescent="0.2">
      <c r="B25408" s="1168"/>
    </row>
    <row r="25409" spans="2:2" s="221" customFormat="1" ht="12.75" x14ac:dyDescent="0.2">
      <c r="B25409" s="1168"/>
    </row>
    <row r="25410" spans="2:2" s="221" customFormat="1" ht="12.75" x14ac:dyDescent="0.2">
      <c r="B25410" s="1168"/>
    </row>
    <row r="25411" spans="2:2" s="221" customFormat="1" ht="12.75" x14ac:dyDescent="0.2">
      <c r="B25411" s="1168"/>
    </row>
    <row r="25412" spans="2:2" s="221" customFormat="1" ht="12.75" x14ac:dyDescent="0.2">
      <c r="B25412" s="1168"/>
    </row>
    <row r="25413" spans="2:2" s="221" customFormat="1" ht="12.75" x14ac:dyDescent="0.2">
      <c r="B25413" s="1168"/>
    </row>
    <row r="25414" spans="2:2" s="221" customFormat="1" ht="12.75" x14ac:dyDescent="0.2">
      <c r="B25414" s="1168"/>
    </row>
    <row r="25415" spans="2:2" s="221" customFormat="1" ht="12.75" x14ac:dyDescent="0.2">
      <c r="B25415" s="1168"/>
    </row>
    <row r="25416" spans="2:2" s="221" customFormat="1" ht="12.75" x14ac:dyDescent="0.2">
      <c r="B25416" s="1168"/>
    </row>
    <row r="25417" spans="2:2" s="221" customFormat="1" ht="12.75" x14ac:dyDescent="0.2">
      <c r="B25417" s="1168"/>
    </row>
    <row r="25418" spans="2:2" s="221" customFormat="1" ht="12.75" x14ac:dyDescent="0.2">
      <c r="B25418" s="1168"/>
    </row>
    <row r="25419" spans="2:2" s="221" customFormat="1" ht="12.75" x14ac:dyDescent="0.2">
      <c r="B25419" s="1168"/>
    </row>
    <row r="25420" spans="2:2" s="221" customFormat="1" ht="12.75" x14ac:dyDescent="0.2">
      <c r="B25420" s="1168"/>
    </row>
    <row r="25421" spans="2:2" s="221" customFormat="1" ht="12.75" x14ac:dyDescent="0.2">
      <c r="B25421" s="1168"/>
    </row>
    <row r="25422" spans="2:2" s="221" customFormat="1" ht="12.75" x14ac:dyDescent="0.2">
      <c r="B25422" s="1168"/>
    </row>
    <row r="25423" spans="2:2" s="221" customFormat="1" ht="12.75" x14ac:dyDescent="0.2">
      <c r="B25423" s="1168"/>
    </row>
    <row r="25424" spans="2:2" s="221" customFormat="1" ht="12.75" x14ac:dyDescent="0.2">
      <c r="B25424" s="1168"/>
    </row>
    <row r="25425" spans="2:2" s="221" customFormat="1" ht="12.75" x14ac:dyDescent="0.2">
      <c r="B25425" s="1168"/>
    </row>
    <row r="25426" spans="2:2" s="221" customFormat="1" ht="12.75" x14ac:dyDescent="0.2">
      <c r="B25426" s="1168"/>
    </row>
    <row r="25427" spans="2:2" s="221" customFormat="1" ht="12.75" x14ac:dyDescent="0.2">
      <c r="B25427" s="1168"/>
    </row>
    <row r="25428" spans="2:2" s="221" customFormat="1" ht="12.75" x14ac:dyDescent="0.2">
      <c r="B25428" s="1168"/>
    </row>
    <row r="25429" spans="2:2" s="221" customFormat="1" ht="12.75" x14ac:dyDescent="0.2">
      <c r="B25429" s="1168"/>
    </row>
    <row r="25430" spans="2:2" s="221" customFormat="1" ht="12.75" x14ac:dyDescent="0.2">
      <c r="B25430" s="1168"/>
    </row>
    <row r="25431" spans="2:2" s="221" customFormat="1" ht="12.75" x14ac:dyDescent="0.2">
      <c r="B25431" s="1168"/>
    </row>
    <row r="25432" spans="2:2" s="221" customFormat="1" ht="12.75" x14ac:dyDescent="0.2">
      <c r="B25432" s="1168"/>
    </row>
    <row r="25433" spans="2:2" s="221" customFormat="1" ht="12.75" x14ac:dyDescent="0.2">
      <c r="B25433" s="1168"/>
    </row>
    <row r="25434" spans="2:2" s="221" customFormat="1" ht="12.75" x14ac:dyDescent="0.2">
      <c r="B25434" s="1168"/>
    </row>
    <row r="25435" spans="2:2" s="221" customFormat="1" ht="12.75" x14ac:dyDescent="0.2">
      <c r="B25435" s="1168"/>
    </row>
    <row r="25436" spans="2:2" s="221" customFormat="1" ht="12.75" x14ac:dyDescent="0.2">
      <c r="B25436" s="1168"/>
    </row>
    <row r="25437" spans="2:2" s="221" customFormat="1" ht="12.75" x14ac:dyDescent="0.2">
      <c r="B25437" s="1168"/>
    </row>
    <row r="25438" spans="2:2" s="221" customFormat="1" ht="12.75" x14ac:dyDescent="0.2">
      <c r="B25438" s="1168"/>
    </row>
    <row r="25439" spans="2:2" s="221" customFormat="1" ht="12.75" x14ac:dyDescent="0.2">
      <c r="B25439" s="1168"/>
    </row>
    <row r="25440" spans="2:2" s="221" customFormat="1" ht="12.75" x14ac:dyDescent="0.2">
      <c r="B25440" s="1168"/>
    </row>
    <row r="25441" spans="2:2" s="221" customFormat="1" ht="12.75" x14ac:dyDescent="0.2">
      <c r="B25441" s="1168"/>
    </row>
    <row r="25442" spans="2:2" s="221" customFormat="1" ht="12.75" x14ac:dyDescent="0.2">
      <c r="B25442" s="1168"/>
    </row>
    <row r="25443" spans="2:2" s="221" customFormat="1" ht="12.75" x14ac:dyDescent="0.2">
      <c r="B25443" s="1168"/>
    </row>
    <row r="25444" spans="2:2" s="221" customFormat="1" ht="12.75" x14ac:dyDescent="0.2">
      <c r="B25444" s="1168"/>
    </row>
    <row r="25445" spans="2:2" s="221" customFormat="1" ht="12.75" x14ac:dyDescent="0.2">
      <c r="B25445" s="1168"/>
    </row>
    <row r="25446" spans="2:2" s="221" customFormat="1" ht="12.75" x14ac:dyDescent="0.2">
      <c r="B25446" s="1168"/>
    </row>
    <row r="25447" spans="2:2" s="221" customFormat="1" ht="12.75" x14ac:dyDescent="0.2">
      <c r="B25447" s="1168"/>
    </row>
    <row r="25448" spans="2:2" s="221" customFormat="1" ht="12.75" x14ac:dyDescent="0.2">
      <c r="B25448" s="1168"/>
    </row>
    <row r="25449" spans="2:2" s="221" customFormat="1" ht="12.75" x14ac:dyDescent="0.2">
      <c r="B25449" s="1168"/>
    </row>
    <row r="25450" spans="2:2" s="221" customFormat="1" ht="12.75" x14ac:dyDescent="0.2">
      <c r="B25450" s="1168"/>
    </row>
    <row r="25451" spans="2:2" s="221" customFormat="1" ht="12.75" x14ac:dyDescent="0.2">
      <c r="B25451" s="1168"/>
    </row>
    <row r="25452" spans="2:2" s="221" customFormat="1" ht="12.75" x14ac:dyDescent="0.2">
      <c r="B25452" s="1168"/>
    </row>
    <row r="25453" spans="2:2" s="221" customFormat="1" ht="12.75" x14ac:dyDescent="0.2">
      <c r="B25453" s="1168"/>
    </row>
    <row r="25454" spans="2:2" s="221" customFormat="1" ht="12.75" x14ac:dyDescent="0.2">
      <c r="B25454" s="1168"/>
    </row>
    <row r="25455" spans="2:2" s="221" customFormat="1" ht="12.75" x14ac:dyDescent="0.2">
      <c r="B25455" s="1168"/>
    </row>
    <row r="25456" spans="2:2" s="221" customFormat="1" ht="12.75" x14ac:dyDescent="0.2">
      <c r="B25456" s="1168"/>
    </row>
    <row r="25457" spans="2:2" s="221" customFormat="1" ht="12.75" x14ac:dyDescent="0.2">
      <c r="B25457" s="1168"/>
    </row>
    <row r="25458" spans="2:2" s="221" customFormat="1" ht="12.75" x14ac:dyDescent="0.2">
      <c r="B25458" s="1168"/>
    </row>
    <row r="25459" spans="2:2" s="221" customFormat="1" ht="12.75" x14ac:dyDescent="0.2">
      <c r="B25459" s="1168"/>
    </row>
    <row r="25460" spans="2:2" s="221" customFormat="1" ht="12.75" x14ac:dyDescent="0.2">
      <c r="B25460" s="1168"/>
    </row>
    <row r="25461" spans="2:2" s="221" customFormat="1" ht="12.75" x14ac:dyDescent="0.2">
      <c r="B25461" s="1168"/>
    </row>
    <row r="25462" spans="2:2" s="221" customFormat="1" ht="12.75" x14ac:dyDescent="0.2">
      <c r="B25462" s="1168"/>
    </row>
    <row r="25463" spans="2:2" s="221" customFormat="1" ht="12.75" x14ac:dyDescent="0.2">
      <c r="B25463" s="1168"/>
    </row>
    <row r="25464" spans="2:2" s="221" customFormat="1" ht="12.75" x14ac:dyDescent="0.2">
      <c r="B25464" s="1168"/>
    </row>
    <row r="25465" spans="2:2" s="221" customFormat="1" ht="12.75" x14ac:dyDescent="0.2">
      <c r="B25465" s="1168"/>
    </row>
    <row r="25466" spans="2:2" s="221" customFormat="1" ht="12.75" x14ac:dyDescent="0.2">
      <c r="B25466" s="1168"/>
    </row>
    <row r="25467" spans="2:2" s="221" customFormat="1" ht="12.75" x14ac:dyDescent="0.2">
      <c r="B25467" s="1168"/>
    </row>
    <row r="25468" spans="2:2" s="221" customFormat="1" ht="12.75" x14ac:dyDescent="0.2">
      <c r="B25468" s="1168"/>
    </row>
    <row r="25469" spans="2:2" s="221" customFormat="1" ht="12.75" x14ac:dyDescent="0.2">
      <c r="B25469" s="1168"/>
    </row>
    <row r="25470" spans="2:2" s="221" customFormat="1" ht="12.75" x14ac:dyDescent="0.2">
      <c r="B25470" s="1168"/>
    </row>
    <row r="25471" spans="2:2" s="221" customFormat="1" ht="12.75" x14ac:dyDescent="0.2">
      <c r="B25471" s="1168"/>
    </row>
    <row r="25472" spans="2:2" s="221" customFormat="1" ht="12.75" x14ac:dyDescent="0.2">
      <c r="B25472" s="1168"/>
    </row>
    <row r="25473" spans="2:2" s="221" customFormat="1" ht="12.75" x14ac:dyDescent="0.2">
      <c r="B25473" s="1168"/>
    </row>
    <row r="25474" spans="2:2" s="221" customFormat="1" ht="12.75" x14ac:dyDescent="0.2">
      <c r="B25474" s="1168"/>
    </row>
    <row r="25475" spans="2:2" s="221" customFormat="1" ht="12.75" x14ac:dyDescent="0.2">
      <c r="B25475" s="1168"/>
    </row>
    <row r="25476" spans="2:2" s="221" customFormat="1" ht="12.75" x14ac:dyDescent="0.2">
      <c r="B25476" s="1168"/>
    </row>
    <row r="25477" spans="2:2" s="221" customFormat="1" ht="12.75" x14ac:dyDescent="0.2">
      <c r="B25477" s="1168"/>
    </row>
    <row r="25478" spans="2:2" s="221" customFormat="1" ht="12.75" x14ac:dyDescent="0.2">
      <c r="B25478" s="1168"/>
    </row>
    <row r="25479" spans="2:2" s="221" customFormat="1" ht="12.75" x14ac:dyDescent="0.2">
      <c r="B25479" s="1168"/>
    </row>
    <row r="25480" spans="2:2" s="221" customFormat="1" ht="12.75" x14ac:dyDescent="0.2">
      <c r="B25480" s="1168"/>
    </row>
    <row r="25481" spans="2:2" s="221" customFormat="1" ht="12.75" x14ac:dyDescent="0.2">
      <c r="B25481" s="1168"/>
    </row>
    <row r="25482" spans="2:2" s="221" customFormat="1" ht="12.75" x14ac:dyDescent="0.2">
      <c r="B25482" s="1168"/>
    </row>
    <row r="25483" spans="2:2" s="221" customFormat="1" ht="12.75" x14ac:dyDescent="0.2">
      <c r="B25483" s="1168"/>
    </row>
    <row r="25484" spans="2:2" s="221" customFormat="1" ht="12.75" x14ac:dyDescent="0.2">
      <c r="B25484" s="1168"/>
    </row>
    <row r="25485" spans="2:2" s="221" customFormat="1" ht="12.75" x14ac:dyDescent="0.2">
      <c r="B25485" s="1168"/>
    </row>
    <row r="25486" spans="2:2" s="221" customFormat="1" ht="12.75" x14ac:dyDescent="0.2">
      <c r="B25486" s="1168"/>
    </row>
    <row r="25487" spans="2:2" s="221" customFormat="1" ht="12.75" x14ac:dyDescent="0.2">
      <c r="B25487" s="1168"/>
    </row>
    <row r="25488" spans="2:2" s="221" customFormat="1" ht="12.75" x14ac:dyDescent="0.2">
      <c r="B25488" s="1168"/>
    </row>
    <row r="25489" spans="2:2" s="221" customFormat="1" ht="12.75" x14ac:dyDescent="0.2">
      <c r="B25489" s="1168"/>
    </row>
    <row r="25490" spans="2:2" s="221" customFormat="1" ht="12.75" x14ac:dyDescent="0.2">
      <c r="B25490" s="1168"/>
    </row>
    <row r="25491" spans="2:2" s="221" customFormat="1" ht="12.75" x14ac:dyDescent="0.2">
      <c r="B25491" s="1168"/>
    </row>
    <row r="25492" spans="2:2" s="221" customFormat="1" ht="12.75" x14ac:dyDescent="0.2">
      <c r="B25492" s="1168"/>
    </row>
    <row r="25493" spans="2:2" s="221" customFormat="1" ht="12.75" x14ac:dyDescent="0.2">
      <c r="B25493" s="1168"/>
    </row>
    <row r="25494" spans="2:2" s="221" customFormat="1" ht="12.75" x14ac:dyDescent="0.2">
      <c r="B25494" s="1168"/>
    </row>
    <row r="25495" spans="2:2" s="221" customFormat="1" ht="12.75" x14ac:dyDescent="0.2">
      <c r="B25495" s="1168"/>
    </row>
    <row r="25496" spans="2:2" s="221" customFormat="1" ht="12.75" x14ac:dyDescent="0.2">
      <c r="B25496" s="1168"/>
    </row>
    <row r="25497" spans="2:2" s="221" customFormat="1" ht="12.75" x14ac:dyDescent="0.2">
      <c r="B25497" s="1168"/>
    </row>
    <row r="25498" spans="2:2" s="221" customFormat="1" ht="12.75" x14ac:dyDescent="0.2">
      <c r="B25498" s="1168"/>
    </row>
    <row r="25499" spans="2:2" s="221" customFormat="1" ht="12.75" x14ac:dyDescent="0.2">
      <c r="B25499" s="1168"/>
    </row>
    <row r="25500" spans="2:2" s="221" customFormat="1" ht="12.75" x14ac:dyDescent="0.2">
      <c r="B25500" s="1168"/>
    </row>
    <row r="25501" spans="2:2" s="221" customFormat="1" ht="12.75" x14ac:dyDescent="0.2">
      <c r="B25501" s="1168"/>
    </row>
    <row r="25502" spans="2:2" s="221" customFormat="1" ht="12.75" x14ac:dyDescent="0.2">
      <c r="B25502" s="1168"/>
    </row>
    <row r="25503" spans="2:2" s="221" customFormat="1" ht="12.75" x14ac:dyDescent="0.2">
      <c r="B25503" s="1168"/>
    </row>
    <row r="25504" spans="2:2" s="221" customFormat="1" ht="12.75" x14ac:dyDescent="0.2">
      <c r="B25504" s="1168"/>
    </row>
    <row r="25505" spans="2:2" s="221" customFormat="1" ht="12.75" x14ac:dyDescent="0.2">
      <c r="B25505" s="1168"/>
    </row>
    <row r="25506" spans="2:2" s="221" customFormat="1" ht="12.75" x14ac:dyDescent="0.2">
      <c r="B25506" s="1168"/>
    </row>
    <row r="25507" spans="2:2" s="221" customFormat="1" ht="12.75" x14ac:dyDescent="0.2">
      <c r="B25507" s="1168"/>
    </row>
    <row r="25508" spans="2:2" s="221" customFormat="1" ht="12.75" x14ac:dyDescent="0.2">
      <c r="B25508" s="1168"/>
    </row>
    <row r="25509" spans="2:2" s="221" customFormat="1" ht="12.75" x14ac:dyDescent="0.2">
      <c r="B25509" s="1168"/>
    </row>
    <row r="25510" spans="2:2" s="221" customFormat="1" ht="12.75" x14ac:dyDescent="0.2">
      <c r="B25510" s="1168"/>
    </row>
    <row r="25511" spans="2:2" s="221" customFormat="1" ht="12.75" x14ac:dyDescent="0.2">
      <c r="B25511" s="1168"/>
    </row>
    <row r="25512" spans="2:2" s="221" customFormat="1" ht="12.75" x14ac:dyDescent="0.2">
      <c r="B25512" s="1168"/>
    </row>
    <row r="25513" spans="2:2" s="221" customFormat="1" ht="12.75" x14ac:dyDescent="0.2">
      <c r="B25513" s="1168"/>
    </row>
    <row r="25514" spans="2:2" s="221" customFormat="1" ht="12.75" x14ac:dyDescent="0.2">
      <c r="B25514" s="1168"/>
    </row>
    <row r="25515" spans="2:2" s="221" customFormat="1" ht="12.75" x14ac:dyDescent="0.2">
      <c r="B25515" s="1168"/>
    </row>
    <row r="25516" spans="2:2" s="221" customFormat="1" ht="12.75" x14ac:dyDescent="0.2">
      <c r="B25516" s="1168"/>
    </row>
    <row r="25517" spans="2:2" s="221" customFormat="1" ht="12.75" x14ac:dyDescent="0.2">
      <c r="B25517" s="1168"/>
    </row>
    <row r="25518" spans="2:2" s="221" customFormat="1" ht="12.75" x14ac:dyDescent="0.2">
      <c r="B25518" s="1168"/>
    </row>
    <row r="25519" spans="2:2" s="221" customFormat="1" ht="12.75" x14ac:dyDescent="0.2">
      <c r="B25519" s="1168"/>
    </row>
    <row r="25520" spans="2:2" s="221" customFormat="1" ht="12.75" x14ac:dyDescent="0.2">
      <c r="B25520" s="1168"/>
    </row>
    <row r="25521" spans="2:2" s="221" customFormat="1" ht="12.75" x14ac:dyDescent="0.2">
      <c r="B25521" s="1168"/>
    </row>
    <row r="25522" spans="2:2" s="221" customFormat="1" ht="12.75" x14ac:dyDescent="0.2">
      <c r="B25522" s="1168"/>
    </row>
    <row r="25523" spans="2:2" s="221" customFormat="1" ht="12.75" x14ac:dyDescent="0.2">
      <c r="B25523" s="1168"/>
    </row>
    <row r="25524" spans="2:2" s="221" customFormat="1" ht="12.75" x14ac:dyDescent="0.2">
      <c r="B25524" s="1168"/>
    </row>
    <row r="25525" spans="2:2" s="221" customFormat="1" ht="12.75" x14ac:dyDescent="0.2">
      <c r="B25525" s="1168"/>
    </row>
    <row r="25526" spans="2:2" s="221" customFormat="1" ht="12.75" x14ac:dyDescent="0.2">
      <c r="B25526" s="1168"/>
    </row>
    <row r="25527" spans="2:2" s="221" customFormat="1" ht="12.75" x14ac:dyDescent="0.2">
      <c r="B25527" s="1168"/>
    </row>
    <row r="25528" spans="2:2" s="221" customFormat="1" ht="12.75" x14ac:dyDescent="0.2">
      <c r="B25528" s="1168"/>
    </row>
    <row r="25529" spans="2:2" s="221" customFormat="1" ht="12.75" x14ac:dyDescent="0.2">
      <c r="B25529" s="1168"/>
    </row>
    <row r="25530" spans="2:2" s="221" customFormat="1" ht="12.75" x14ac:dyDescent="0.2">
      <c r="B25530" s="1168"/>
    </row>
    <row r="25531" spans="2:2" s="221" customFormat="1" ht="12.75" x14ac:dyDescent="0.2">
      <c r="B25531" s="1168"/>
    </row>
    <row r="25532" spans="2:2" s="221" customFormat="1" ht="12.75" x14ac:dyDescent="0.2">
      <c r="B25532" s="1168"/>
    </row>
    <row r="25533" spans="2:2" s="221" customFormat="1" ht="12.75" x14ac:dyDescent="0.2">
      <c r="B25533" s="1168"/>
    </row>
    <row r="25534" spans="2:2" s="221" customFormat="1" ht="12.75" x14ac:dyDescent="0.2">
      <c r="B25534" s="1168"/>
    </row>
    <row r="25535" spans="2:2" s="221" customFormat="1" ht="12.75" x14ac:dyDescent="0.2">
      <c r="B25535" s="1168"/>
    </row>
    <row r="25536" spans="2:2" s="221" customFormat="1" ht="12.75" x14ac:dyDescent="0.2">
      <c r="B25536" s="1168"/>
    </row>
    <row r="25537" spans="2:2" s="221" customFormat="1" ht="12.75" x14ac:dyDescent="0.2">
      <c r="B25537" s="1168"/>
    </row>
    <row r="25538" spans="2:2" s="221" customFormat="1" ht="12.75" x14ac:dyDescent="0.2">
      <c r="B25538" s="1168"/>
    </row>
    <row r="25539" spans="2:2" s="221" customFormat="1" ht="12.75" x14ac:dyDescent="0.2">
      <c r="B25539" s="1168"/>
    </row>
    <row r="25540" spans="2:2" s="221" customFormat="1" ht="12.75" x14ac:dyDescent="0.2">
      <c r="B25540" s="1168"/>
    </row>
    <row r="25541" spans="2:2" s="221" customFormat="1" ht="12.75" x14ac:dyDescent="0.2">
      <c r="B25541" s="1168"/>
    </row>
    <row r="25542" spans="2:2" s="221" customFormat="1" ht="12.75" x14ac:dyDescent="0.2">
      <c r="B25542" s="1168"/>
    </row>
    <row r="25543" spans="2:2" s="221" customFormat="1" ht="12.75" x14ac:dyDescent="0.2">
      <c r="B25543" s="1168"/>
    </row>
    <row r="25544" spans="2:2" s="221" customFormat="1" ht="12.75" x14ac:dyDescent="0.2">
      <c r="B25544" s="1168"/>
    </row>
    <row r="25545" spans="2:2" s="221" customFormat="1" ht="12.75" x14ac:dyDescent="0.2">
      <c r="B25545" s="1168"/>
    </row>
    <row r="25546" spans="2:2" s="221" customFormat="1" ht="12.75" x14ac:dyDescent="0.2">
      <c r="B25546" s="1168"/>
    </row>
    <row r="25547" spans="2:2" s="221" customFormat="1" ht="12.75" x14ac:dyDescent="0.2">
      <c r="B25547" s="1168"/>
    </row>
    <row r="25548" spans="2:2" s="221" customFormat="1" ht="12.75" x14ac:dyDescent="0.2">
      <c r="B25548" s="1168"/>
    </row>
    <row r="25549" spans="2:2" s="221" customFormat="1" ht="12.75" x14ac:dyDescent="0.2">
      <c r="B25549" s="1168"/>
    </row>
    <row r="25550" spans="2:2" s="221" customFormat="1" ht="12.75" x14ac:dyDescent="0.2">
      <c r="B25550" s="1168"/>
    </row>
    <row r="25551" spans="2:2" s="221" customFormat="1" ht="12.75" x14ac:dyDescent="0.2">
      <c r="B25551" s="1168"/>
    </row>
    <row r="25552" spans="2:2" s="221" customFormat="1" ht="12.75" x14ac:dyDescent="0.2">
      <c r="B25552" s="1168"/>
    </row>
    <row r="25553" spans="2:2" s="221" customFormat="1" ht="12.75" x14ac:dyDescent="0.2">
      <c r="B25553" s="1168"/>
    </row>
    <row r="25554" spans="2:2" s="221" customFormat="1" ht="12.75" x14ac:dyDescent="0.2">
      <c r="B25554" s="1168"/>
    </row>
    <row r="25555" spans="2:2" s="221" customFormat="1" ht="12.75" x14ac:dyDescent="0.2">
      <c r="B25555" s="1168"/>
    </row>
    <row r="25556" spans="2:2" s="221" customFormat="1" ht="12.75" x14ac:dyDescent="0.2">
      <c r="B25556" s="1168"/>
    </row>
    <row r="25557" spans="2:2" s="221" customFormat="1" ht="12.75" x14ac:dyDescent="0.2">
      <c r="B25557" s="1168"/>
    </row>
    <row r="25558" spans="2:2" s="221" customFormat="1" ht="12.75" x14ac:dyDescent="0.2">
      <c r="B25558" s="1168"/>
    </row>
    <row r="25559" spans="2:2" s="221" customFormat="1" ht="12.75" x14ac:dyDescent="0.2">
      <c r="B25559" s="1168"/>
    </row>
    <row r="25560" spans="2:2" s="221" customFormat="1" ht="12.75" x14ac:dyDescent="0.2">
      <c r="B25560" s="1168"/>
    </row>
    <row r="25561" spans="2:2" s="221" customFormat="1" ht="12.75" x14ac:dyDescent="0.2">
      <c r="B25561" s="1168"/>
    </row>
    <row r="25562" spans="2:2" s="221" customFormat="1" ht="12.75" x14ac:dyDescent="0.2">
      <c r="B25562" s="1168"/>
    </row>
    <row r="25563" spans="2:2" s="221" customFormat="1" ht="12.75" x14ac:dyDescent="0.2">
      <c r="B25563" s="1168"/>
    </row>
    <row r="25564" spans="2:2" s="221" customFormat="1" ht="12.75" x14ac:dyDescent="0.2">
      <c r="B25564" s="1168"/>
    </row>
    <row r="25565" spans="2:2" s="221" customFormat="1" ht="12.75" x14ac:dyDescent="0.2">
      <c r="B25565" s="1168"/>
    </row>
    <row r="25566" spans="2:2" s="221" customFormat="1" ht="12.75" x14ac:dyDescent="0.2">
      <c r="B25566" s="1168"/>
    </row>
    <row r="25567" spans="2:2" s="221" customFormat="1" ht="12.75" x14ac:dyDescent="0.2">
      <c r="B25567" s="1168"/>
    </row>
    <row r="25568" spans="2:2" s="221" customFormat="1" ht="12.75" x14ac:dyDescent="0.2">
      <c r="B25568" s="1168"/>
    </row>
    <row r="25569" spans="2:2" s="221" customFormat="1" ht="12.75" x14ac:dyDescent="0.2">
      <c r="B25569" s="1168"/>
    </row>
    <row r="25570" spans="2:2" s="221" customFormat="1" ht="12.75" x14ac:dyDescent="0.2">
      <c r="B25570" s="1168"/>
    </row>
    <row r="25571" spans="2:2" s="221" customFormat="1" ht="12.75" x14ac:dyDescent="0.2">
      <c r="B25571" s="1168"/>
    </row>
    <row r="25572" spans="2:2" s="221" customFormat="1" ht="12.75" x14ac:dyDescent="0.2">
      <c r="B25572" s="1168"/>
    </row>
    <row r="25573" spans="2:2" s="221" customFormat="1" ht="12.75" x14ac:dyDescent="0.2">
      <c r="B25573" s="1168"/>
    </row>
    <row r="25574" spans="2:2" s="221" customFormat="1" ht="12.75" x14ac:dyDescent="0.2">
      <c r="B25574" s="1168"/>
    </row>
    <row r="25575" spans="2:2" s="221" customFormat="1" ht="12.75" x14ac:dyDescent="0.2">
      <c r="B25575" s="1168"/>
    </row>
    <row r="25576" spans="2:2" s="221" customFormat="1" ht="12.75" x14ac:dyDescent="0.2">
      <c r="B25576" s="1168"/>
    </row>
    <row r="25577" spans="2:2" s="221" customFormat="1" ht="12.75" x14ac:dyDescent="0.2">
      <c r="B25577" s="1168"/>
    </row>
    <row r="25578" spans="2:2" s="221" customFormat="1" ht="12.75" x14ac:dyDescent="0.2">
      <c r="B25578" s="1168"/>
    </row>
    <row r="25579" spans="2:2" s="221" customFormat="1" ht="12.75" x14ac:dyDescent="0.2">
      <c r="B25579" s="1168"/>
    </row>
    <row r="25580" spans="2:2" s="221" customFormat="1" ht="12.75" x14ac:dyDescent="0.2">
      <c r="B25580" s="1168"/>
    </row>
    <row r="25581" spans="2:2" s="221" customFormat="1" ht="12.75" x14ac:dyDescent="0.2">
      <c r="B25581" s="1168"/>
    </row>
    <row r="25582" spans="2:2" s="221" customFormat="1" ht="12.75" x14ac:dyDescent="0.2">
      <c r="B25582" s="1168"/>
    </row>
    <row r="25583" spans="2:2" s="221" customFormat="1" ht="12.75" x14ac:dyDescent="0.2">
      <c r="B25583" s="1168"/>
    </row>
    <row r="25584" spans="2:2" s="221" customFormat="1" ht="12.75" x14ac:dyDescent="0.2">
      <c r="B25584" s="1168"/>
    </row>
    <row r="25585" spans="2:2" s="221" customFormat="1" ht="12.75" x14ac:dyDescent="0.2">
      <c r="B25585" s="1168"/>
    </row>
    <row r="25586" spans="2:2" s="221" customFormat="1" ht="12.75" x14ac:dyDescent="0.2">
      <c r="B25586" s="1168"/>
    </row>
    <row r="25587" spans="2:2" s="221" customFormat="1" ht="12.75" x14ac:dyDescent="0.2">
      <c r="B25587" s="1168"/>
    </row>
    <row r="25588" spans="2:2" s="221" customFormat="1" ht="12.75" x14ac:dyDescent="0.2">
      <c r="B25588" s="1168"/>
    </row>
    <row r="25589" spans="2:2" s="221" customFormat="1" ht="12.75" x14ac:dyDescent="0.2">
      <c r="B25589" s="1168"/>
    </row>
    <row r="25590" spans="2:2" s="221" customFormat="1" ht="12.75" x14ac:dyDescent="0.2">
      <c r="B25590" s="1168"/>
    </row>
    <row r="25591" spans="2:2" s="221" customFormat="1" ht="12.75" x14ac:dyDescent="0.2">
      <c r="B25591" s="1168"/>
    </row>
    <row r="25592" spans="2:2" s="221" customFormat="1" ht="12.75" x14ac:dyDescent="0.2">
      <c r="B25592" s="1168"/>
    </row>
    <row r="25593" spans="2:2" s="221" customFormat="1" ht="12.75" x14ac:dyDescent="0.2">
      <c r="B25593" s="1168"/>
    </row>
    <row r="25594" spans="2:2" s="221" customFormat="1" ht="12.75" x14ac:dyDescent="0.2">
      <c r="B25594" s="1168"/>
    </row>
    <row r="25595" spans="2:2" s="221" customFormat="1" ht="12.75" x14ac:dyDescent="0.2">
      <c r="B25595" s="1168"/>
    </row>
    <row r="25596" spans="2:2" s="221" customFormat="1" ht="12.75" x14ac:dyDescent="0.2">
      <c r="B25596" s="1168"/>
    </row>
    <row r="25597" spans="2:2" s="221" customFormat="1" ht="12.75" x14ac:dyDescent="0.2">
      <c r="B25597" s="1168"/>
    </row>
    <row r="25598" spans="2:2" s="221" customFormat="1" ht="12.75" x14ac:dyDescent="0.2">
      <c r="B25598" s="1168"/>
    </row>
    <row r="25599" spans="2:2" s="221" customFormat="1" ht="12.75" x14ac:dyDescent="0.2">
      <c r="B25599" s="1168"/>
    </row>
    <row r="25600" spans="2:2" s="221" customFormat="1" ht="12.75" x14ac:dyDescent="0.2">
      <c r="B25600" s="1168"/>
    </row>
    <row r="25601" spans="2:2" s="221" customFormat="1" ht="12.75" x14ac:dyDescent="0.2">
      <c r="B25601" s="1168"/>
    </row>
    <row r="25602" spans="2:2" s="221" customFormat="1" ht="12.75" x14ac:dyDescent="0.2">
      <c r="B25602" s="1168"/>
    </row>
    <row r="25603" spans="2:2" s="221" customFormat="1" ht="12.75" x14ac:dyDescent="0.2">
      <c r="B25603" s="1168"/>
    </row>
    <row r="25604" spans="2:2" s="221" customFormat="1" ht="12.75" x14ac:dyDescent="0.2">
      <c r="B25604" s="1168"/>
    </row>
    <row r="25605" spans="2:2" s="221" customFormat="1" ht="12.75" x14ac:dyDescent="0.2">
      <c r="B25605" s="1168"/>
    </row>
    <row r="25606" spans="2:2" s="221" customFormat="1" ht="12.75" x14ac:dyDescent="0.2">
      <c r="B25606" s="1168"/>
    </row>
    <row r="25607" spans="2:2" s="221" customFormat="1" ht="12.75" x14ac:dyDescent="0.2">
      <c r="B25607" s="1168"/>
    </row>
    <row r="25608" spans="2:2" s="221" customFormat="1" ht="12.75" x14ac:dyDescent="0.2">
      <c r="B25608" s="1168"/>
    </row>
    <row r="25609" spans="2:2" s="221" customFormat="1" ht="12.75" x14ac:dyDescent="0.2">
      <c r="B25609" s="1168"/>
    </row>
    <row r="25610" spans="2:2" s="221" customFormat="1" ht="12.75" x14ac:dyDescent="0.2">
      <c r="B25610" s="1168"/>
    </row>
    <row r="25611" spans="2:2" s="221" customFormat="1" ht="12.75" x14ac:dyDescent="0.2">
      <c r="B25611" s="1168"/>
    </row>
    <row r="25612" spans="2:2" s="221" customFormat="1" ht="12.75" x14ac:dyDescent="0.2">
      <c r="B25612" s="1168"/>
    </row>
    <row r="25613" spans="2:2" s="221" customFormat="1" ht="12.75" x14ac:dyDescent="0.2">
      <c r="B25613" s="1168"/>
    </row>
    <row r="25614" spans="2:2" s="221" customFormat="1" ht="12.75" x14ac:dyDescent="0.2">
      <c r="B25614" s="1168"/>
    </row>
    <row r="25615" spans="2:2" s="221" customFormat="1" ht="12.75" x14ac:dyDescent="0.2">
      <c r="B25615" s="1168"/>
    </row>
    <row r="25616" spans="2:2" s="221" customFormat="1" ht="12.75" x14ac:dyDescent="0.2">
      <c r="B25616" s="1168"/>
    </row>
    <row r="25617" spans="2:2" s="221" customFormat="1" ht="12.75" x14ac:dyDescent="0.2">
      <c r="B25617" s="1168"/>
    </row>
    <row r="25618" spans="2:2" s="221" customFormat="1" ht="12.75" x14ac:dyDescent="0.2">
      <c r="B25618" s="1168"/>
    </row>
    <row r="25619" spans="2:2" s="221" customFormat="1" ht="12.75" x14ac:dyDescent="0.2">
      <c r="B25619" s="1168"/>
    </row>
    <row r="25620" spans="2:2" s="221" customFormat="1" ht="12.75" x14ac:dyDescent="0.2">
      <c r="B25620" s="1168"/>
    </row>
    <row r="25621" spans="2:2" s="221" customFormat="1" ht="12.75" x14ac:dyDescent="0.2">
      <c r="B25621" s="1168"/>
    </row>
    <row r="25622" spans="2:2" s="221" customFormat="1" ht="12.75" x14ac:dyDescent="0.2">
      <c r="B25622" s="1168"/>
    </row>
    <row r="25623" spans="2:2" s="221" customFormat="1" ht="12.75" x14ac:dyDescent="0.2">
      <c r="B25623" s="1168"/>
    </row>
    <row r="25624" spans="2:2" s="221" customFormat="1" ht="12.75" x14ac:dyDescent="0.2">
      <c r="B25624" s="1168"/>
    </row>
    <row r="25625" spans="2:2" s="221" customFormat="1" ht="12.75" x14ac:dyDescent="0.2">
      <c r="B25625" s="1168"/>
    </row>
    <row r="25626" spans="2:2" s="221" customFormat="1" ht="12.75" x14ac:dyDescent="0.2">
      <c r="B25626" s="1168"/>
    </row>
    <row r="25627" spans="2:2" s="221" customFormat="1" ht="12.75" x14ac:dyDescent="0.2">
      <c r="B25627" s="1168"/>
    </row>
    <row r="25628" spans="2:2" s="221" customFormat="1" ht="12.75" x14ac:dyDescent="0.2">
      <c r="B25628" s="1168"/>
    </row>
    <row r="25629" spans="2:2" s="221" customFormat="1" ht="12.75" x14ac:dyDescent="0.2">
      <c r="B25629" s="1168"/>
    </row>
    <row r="25630" spans="2:2" s="221" customFormat="1" ht="12.75" x14ac:dyDescent="0.2">
      <c r="B25630" s="1168"/>
    </row>
    <row r="25631" spans="2:2" s="221" customFormat="1" ht="12.75" x14ac:dyDescent="0.2">
      <c r="B25631" s="1168"/>
    </row>
    <row r="25632" spans="2:2" s="221" customFormat="1" ht="12.75" x14ac:dyDescent="0.2">
      <c r="B25632" s="1168"/>
    </row>
    <row r="25633" spans="2:2" s="221" customFormat="1" ht="12.75" x14ac:dyDescent="0.2">
      <c r="B25633" s="1168"/>
    </row>
    <row r="25634" spans="2:2" s="221" customFormat="1" ht="12.75" x14ac:dyDescent="0.2">
      <c r="B25634" s="1168"/>
    </row>
    <row r="25635" spans="2:2" s="221" customFormat="1" ht="12.75" x14ac:dyDescent="0.2">
      <c r="B25635" s="1168"/>
    </row>
    <row r="25636" spans="2:2" s="221" customFormat="1" ht="12.75" x14ac:dyDescent="0.2">
      <c r="B25636" s="1168"/>
    </row>
    <row r="25637" spans="2:2" s="221" customFormat="1" ht="12.75" x14ac:dyDescent="0.2">
      <c r="B25637" s="1168"/>
    </row>
    <row r="25638" spans="2:2" s="221" customFormat="1" ht="12.75" x14ac:dyDescent="0.2">
      <c r="B25638" s="1168"/>
    </row>
    <row r="25639" spans="2:2" s="221" customFormat="1" ht="12.75" x14ac:dyDescent="0.2">
      <c r="B25639" s="1168"/>
    </row>
    <row r="25640" spans="2:2" s="221" customFormat="1" ht="12.75" x14ac:dyDescent="0.2">
      <c r="B25640" s="1168"/>
    </row>
    <row r="25641" spans="2:2" s="221" customFormat="1" ht="12.75" x14ac:dyDescent="0.2">
      <c r="B25641" s="1168"/>
    </row>
    <row r="25642" spans="2:2" s="221" customFormat="1" ht="12.75" x14ac:dyDescent="0.2">
      <c r="B25642" s="1168"/>
    </row>
    <row r="25643" spans="2:2" s="221" customFormat="1" ht="12.75" x14ac:dyDescent="0.2">
      <c r="B25643" s="1168"/>
    </row>
    <row r="25644" spans="2:2" s="221" customFormat="1" ht="12.75" x14ac:dyDescent="0.2">
      <c r="B25644" s="1168"/>
    </row>
    <row r="25645" spans="2:2" s="221" customFormat="1" ht="12.75" x14ac:dyDescent="0.2">
      <c r="B25645" s="1168"/>
    </row>
    <row r="25646" spans="2:2" s="221" customFormat="1" ht="12.75" x14ac:dyDescent="0.2">
      <c r="B25646" s="1168"/>
    </row>
    <row r="25647" spans="2:2" s="221" customFormat="1" ht="12.75" x14ac:dyDescent="0.2">
      <c r="B25647" s="1168"/>
    </row>
    <row r="25648" spans="2:2" s="221" customFormat="1" ht="12.75" x14ac:dyDescent="0.2">
      <c r="B25648" s="1168"/>
    </row>
    <row r="25649" spans="2:2" s="221" customFormat="1" ht="12.75" x14ac:dyDescent="0.2">
      <c r="B25649" s="1168"/>
    </row>
    <row r="25650" spans="2:2" s="221" customFormat="1" ht="12.75" x14ac:dyDescent="0.2">
      <c r="B25650" s="1168"/>
    </row>
    <row r="25651" spans="2:2" s="221" customFormat="1" ht="12.75" x14ac:dyDescent="0.2">
      <c r="B25651" s="1168"/>
    </row>
    <row r="25652" spans="2:2" s="221" customFormat="1" ht="12.75" x14ac:dyDescent="0.2">
      <c r="B25652" s="1168"/>
    </row>
    <row r="25653" spans="2:2" s="221" customFormat="1" ht="12.75" x14ac:dyDescent="0.2">
      <c r="B25653" s="1168"/>
    </row>
    <row r="25654" spans="2:2" s="221" customFormat="1" ht="12.75" x14ac:dyDescent="0.2">
      <c r="B25654" s="1168"/>
    </row>
    <row r="25655" spans="2:2" s="221" customFormat="1" ht="12.75" x14ac:dyDescent="0.2">
      <c r="B25655" s="1168"/>
    </row>
    <row r="25656" spans="2:2" s="221" customFormat="1" ht="12.75" x14ac:dyDescent="0.2">
      <c r="B25656" s="1168"/>
    </row>
    <row r="25657" spans="2:2" s="221" customFormat="1" ht="12.75" x14ac:dyDescent="0.2">
      <c r="B25657" s="1168"/>
    </row>
    <row r="25658" spans="2:2" s="221" customFormat="1" ht="12.75" x14ac:dyDescent="0.2">
      <c r="B25658" s="1168"/>
    </row>
    <row r="25659" spans="2:2" s="221" customFormat="1" ht="12.75" x14ac:dyDescent="0.2">
      <c r="B25659" s="1168"/>
    </row>
    <row r="25660" spans="2:2" s="221" customFormat="1" ht="12.75" x14ac:dyDescent="0.2">
      <c r="B25660" s="1168"/>
    </row>
    <row r="25661" spans="2:2" s="221" customFormat="1" ht="12.75" x14ac:dyDescent="0.2">
      <c r="B25661" s="1168"/>
    </row>
    <row r="25662" spans="2:2" s="221" customFormat="1" ht="12.75" x14ac:dyDescent="0.2">
      <c r="B25662" s="1168"/>
    </row>
    <row r="25663" spans="2:2" s="221" customFormat="1" ht="12.75" x14ac:dyDescent="0.2">
      <c r="B25663" s="1168"/>
    </row>
    <row r="25664" spans="2:2" s="221" customFormat="1" ht="12.75" x14ac:dyDescent="0.2">
      <c r="B25664" s="1168"/>
    </row>
    <row r="25665" spans="2:2" s="221" customFormat="1" ht="12.75" x14ac:dyDescent="0.2">
      <c r="B25665" s="1168"/>
    </row>
    <row r="25666" spans="2:2" s="221" customFormat="1" ht="12.75" x14ac:dyDescent="0.2">
      <c r="B25666" s="1168"/>
    </row>
    <row r="25667" spans="2:2" s="221" customFormat="1" ht="12.75" x14ac:dyDescent="0.2">
      <c r="B25667" s="1168"/>
    </row>
    <row r="25668" spans="2:2" s="221" customFormat="1" ht="12.75" x14ac:dyDescent="0.2">
      <c r="B25668" s="1168"/>
    </row>
    <row r="25669" spans="2:2" s="221" customFormat="1" ht="12.75" x14ac:dyDescent="0.2">
      <c r="B25669" s="1168"/>
    </row>
    <row r="25670" spans="2:2" s="221" customFormat="1" ht="12.75" x14ac:dyDescent="0.2">
      <c r="B25670" s="1168"/>
    </row>
    <row r="25671" spans="2:2" s="221" customFormat="1" ht="12.75" x14ac:dyDescent="0.2">
      <c r="B25671" s="1168"/>
    </row>
    <row r="25672" spans="2:2" s="221" customFormat="1" ht="12.75" x14ac:dyDescent="0.2">
      <c r="B25672" s="1168"/>
    </row>
    <row r="25673" spans="2:2" s="221" customFormat="1" ht="12.75" x14ac:dyDescent="0.2">
      <c r="B25673" s="1168"/>
    </row>
    <row r="25674" spans="2:2" s="221" customFormat="1" ht="12.75" x14ac:dyDescent="0.2">
      <c r="B25674" s="1168"/>
    </row>
    <row r="25675" spans="2:2" s="221" customFormat="1" ht="12.75" x14ac:dyDescent="0.2">
      <c r="B25675" s="1168"/>
    </row>
    <row r="25676" spans="2:2" s="221" customFormat="1" ht="12.75" x14ac:dyDescent="0.2">
      <c r="B25676" s="1168"/>
    </row>
    <row r="25677" spans="2:2" s="221" customFormat="1" ht="12.75" x14ac:dyDescent="0.2">
      <c r="B25677" s="1168"/>
    </row>
    <row r="25678" spans="2:2" s="221" customFormat="1" ht="12.75" x14ac:dyDescent="0.2">
      <c r="B25678" s="1168"/>
    </row>
    <row r="25679" spans="2:2" s="221" customFormat="1" ht="12.75" x14ac:dyDescent="0.2">
      <c r="B25679" s="1168"/>
    </row>
    <row r="25680" spans="2:2" s="221" customFormat="1" ht="12.75" x14ac:dyDescent="0.2">
      <c r="B25680" s="1168"/>
    </row>
    <row r="25681" spans="2:2" s="221" customFormat="1" ht="12.75" x14ac:dyDescent="0.2">
      <c r="B25681" s="1168"/>
    </row>
    <row r="25682" spans="2:2" s="221" customFormat="1" ht="12.75" x14ac:dyDescent="0.2">
      <c r="B25682" s="1168"/>
    </row>
    <row r="25683" spans="2:2" s="221" customFormat="1" ht="12.75" x14ac:dyDescent="0.2">
      <c r="B25683" s="1168"/>
    </row>
    <row r="25684" spans="2:2" s="221" customFormat="1" ht="12.75" x14ac:dyDescent="0.2">
      <c r="B25684" s="1168"/>
    </row>
    <row r="25685" spans="2:2" s="221" customFormat="1" ht="12.75" x14ac:dyDescent="0.2">
      <c r="B25685" s="1168"/>
    </row>
    <row r="25686" spans="2:2" s="221" customFormat="1" ht="12.75" x14ac:dyDescent="0.2">
      <c r="B25686" s="1168"/>
    </row>
    <row r="25687" spans="2:2" s="221" customFormat="1" ht="12.75" x14ac:dyDescent="0.2">
      <c r="B25687" s="1168"/>
    </row>
    <row r="25688" spans="2:2" s="221" customFormat="1" ht="12.75" x14ac:dyDescent="0.2">
      <c r="B25688" s="1168"/>
    </row>
    <row r="25689" spans="2:2" s="221" customFormat="1" ht="12.75" x14ac:dyDescent="0.2">
      <c r="B25689" s="1168"/>
    </row>
    <row r="25690" spans="2:2" s="221" customFormat="1" ht="12.75" x14ac:dyDescent="0.2">
      <c r="B25690" s="1168"/>
    </row>
    <row r="25691" spans="2:2" s="221" customFormat="1" ht="12.75" x14ac:dyDescent="0.2">
      <c r="B25691" s="1168"/>
    </row>
    <row r="25692" spans="2:2" s="221" customFormat="1" ht="12.75" x14ac:dyDescent="0.2">
      <c r="B25692" s="1168"/>
    </row>
    <row r="25693" spans="2:2" s="221" customFormat="1" ht="12.75" x14ac:dyDescent="0.2">
      <c r="B25693" s="1168"/>
    </row>
    <row r="25694" spans="2:2" s="221" customFormat="1" ht="12.75" x14ac:dyDescent="0.2">
      <c r="B25694" s="1168"/>
    </row>
    <row r="25695" spans="2:2" s="221" customFormat="1" ht="12.75" x14ac:dyDescent="0.2">
      <c r="B25695" s="1168"/>
    </row>
    <row r="25696" spans="2:2" s="221" customFormat="1" ht="12.75" x14ac:dyDescent="0.2">
      <c r="B25696" s="1168"/>
    </row>
    <row r="25697" spans="2:2" s="221" customFormat="1" ht="12.75" x14ac:dyDescent="0.2">
      <c r="B25697" s="1168"/>
    </row>
    <row r="25698" spans="2:2" s="221" customFormat="1" ht="12.75" x14ac:dyDescent="0.2">
      <c r="B25698" s="1168"/>
    </row>
    <row r="25699" spans="2:2" s="221" customFormat="1" ht="12.75" x14ac:dyDescent="0.2">
      <c r="B25699" s="1168"/>
    </row>
    <row r="25700" spans="2:2" s="221" customFormat="1" ht="12.75" x14ac:dyDescent="0.2">
      <c r="B25700" s="1168"/>
    </row>
    <row r="25701" spans="2:2" s="221" customFormat="1" ht="12.75" x14ac:dyDescent="0.2">
      <c r="B25701" s="1168"/>
    </row>
    <row r="25702" spans="2:2" s="221" customFormat="1" ht="12.75" x14ac:dyDescent="0.2">
      <c r="B25702" s="1168"/>
    </row>
    <row r="25703" spans="2:2" s="221" customFormat="1" ht="12.75" x14ac:dyDescent="0.2">
      <c r="B25703" s="1168"/>
    </row>
    <row r="25704" spans="2:2" s="221" customFormat="1" ht="12.75" x14ac:dyDescent="0.2">
      <c r="B25704" s="1168"/>
    </row>
    <row r="25705" spans="2:2" s="221" customFormat="1" ht="12.75" x14ac:dyDescent="0.2">
      <c r="B25705" s="1168"/>
    </row>
    <row r="25706" spans="2:2" s="221" customFormat="1" ht="12.75" x14ac:dyDescent="0.2">
      <c r="B25706" s="1168"/>
    </row>
    <row r="25707" spans="2:2" s="221" customFormat="1" ht="12.75" x14ac:dyDescent="0.2">
      <c r="B25707" s="1168"/>
    </row>
    <row r="25708" spans="2:2" s="221" customFormat="1" ht="12.75" x14ac:dyDescent="0.2">
      <c r="B25708" s="1168"/>
    </row>
    <row r="25709" spans="2:2" s="221" customFormat="1" ht="12.75" x14ac:dyDescent="0.2">
      <c r="B25709" s="1168"/>
    </row>
    <row r="25710" spans="2:2" s="221" customFormat="1" ht="12.75" x14ac:dyDescent="0.2">
      <c r="B25710" s="1168"/>
    </row>
    <row r="25711" spans="2:2" s="221" customFormat="1" ht="12.75" x14ac:dyDescent="0.2">
      <c r="B25711" s="1168"/>
    </row>
    <row r="25712" spans="2:2" s="221" customFormat="1" ht="12.75" x14ac:dyDescent="0.2">
      <c r="B25712" s="1168"/>
    </row>
    <row r="25713" spans="2:2" s="221" customFormat="1" ht="12.75" x14ac:dyDescent="0.2">
      <c r="B25713" s="1168"/>
    </row>
    <row r="25714" spans="2:2" s="221" customFormat="1" ht="12.75" x14ac:dyDescent="0.2">
      <c r="B25714" s="1168"/>
    </row>
    <row r="25715" spans="2:2" s="221" customFormat="1" ht="12.75" x14ac:dyDescent="0.2">
      <c r="B25715" s="1168"/>
    </row>
    <row r="25716" spans="2:2" s="221" customFormat="1" ht="12.75" x14ac:dyDescent="0.2">
      <c r="B25716" s="1168"/>
    </row>
    <row r="25717" spans="2:2" s="221" customFormat="1" ht="12.75" x14ac:dyDescent="0.2">
      <c r="B25717" s="1168"/>
    </row>
    <row r="25718" spans="2:2" s="221" customFormat="1" ht="12.75" x14ac:dyDescent="0.2">
      <c r="B25718" s="1168"/>
    </row>
    <row r="25719" spans="2:2" s="221" customFormat="1" ht="12.75" x14ac:dyDescent="0.2">
      <c r="B25719" s="1168"/>
    </row>
    <row r="25720" spans="2:2" s="221" customFormat="1" ht="12.75" x14ac:dyDescent="0.2">
      <c r="B25720" s="1168"/>
    </row>
    <row r="25721" spans="2:2" s="221" customFormat="1" ht="12.75" x14ac:dyDescent="0.2">
      <c r="B25721" s="1168"/>
    </row>
    <row r="25722" spans="2:2" s="221" customFormat="1" ht="12.75" x14ac:dyDescent="0.2">
      <c r="B25722" s="1168"/>
    </row>
    <row r="25723" spans="2:2" s="221" customFormat="1" ht="12.75" x14ac:dyDescent="0.2">
      <c r="B25723" s="1168"/>
    </row>
    <row r="25724" spans="2:2" s="221" customFormat="1" ht="12.75" x14ac:dyDescent="0.2">
      <c r="B25724" s="1168"/>
    </row>
    <row r="25725" spans="2:2" s="221" customFormat="1" ht="12.75" x14ac:dyDescent="0.2">
      <c r="B25725" s="1168"/>
    </row>
    <row r="25726" spans="2:2" s="221" customFormat="1" ht="12.75" x14ac:dyDescent="0.2">
      <c r="B25726" s="1168"/>
    </row>
    <row r="25727" spans="2:2" s="221" customFormat="1" ht="12.75" x14ac:dyDescent="0.2">
      <c r="B25727" s="1168"/>
    </row>
    <row r="25728" spans="2:2" s="221" customFormat="1" ht="12.75" x14ac:dyDescent="0.2">
      <c r="B25728" s="1168"/>
    </row>
    <row r="25729" spans="2:2" s="221" customFormat="1" ht="12.75" x14ac:dyDescent="0.2">
      <c r="B25729" s="1168"/>
    </row>
    <row r="25730" spans="2:2" s="221" customFormat="1" ht="12.75" x14ac:dyDescent="0.2">
      <c r="B25730" s="1168"/>
    </row>
    <row r="25731" spans="2:2" s="221" customFormat="1" ht="12.75" x14ac:dyDescent="0.2">
      <c r="B25731" s="1168"/>
    </row>
    <row r="25732" spans="2:2" s="221" customFormat="1" ht="12.75" x14ac:dyDescent="0.2">
      <c r="B25732" s="1168"/>
    </row>
    <row r="25733" spans="2:2" s="221" customFormat="1" ht="12.75" x14ac:dyDescent="0.2">
      <c r="B25733" s="1168"/>
    </row>
    <row r="25734" spans="2:2" s="221" customFormat="1" ht="12.75" x14ac:dyDescent="0.2">
      <c r="B25734" s="1168"/>
    </row>
    <row r="25735" spans="2:2" s="221" customFormat="1" ht="12.75" x14ac:dyDescent="0.2">
      <c r="B25735" s="1168"/>
    </row>
    <row r="25736" spans="2:2" s="221" customFormat="1" ht="12.75" x14ac:dyDescent="0.2">
      <c r="B25736" s="1168"/>
    </row>
    <row r="25737" spans="2:2" s="221" customFormat="1" ht="12.75" x14ac:dyDescent="0.2">
      <c r="B25737" s="1168"/>
    </row>
    <row r="25738" spans="2:2" s="221" customFormat="1" ht="12.75" x14ac:dyDescent="0.2">
      <c r="B25738" s="1168"/>
    </row>
    <row r="25739" spans="2:2" s="221" customFormat="1" ht="12.75" x14ac:dyDescent="0.2">
      <c r="B25739" s="1168"/>
    </row>
    <row r="25740" spans="2:2" s="221" customFormat="1" ht="12.75" x14ac:dyDescent="0.2">
      <c r="B25740" s="1168"/>
    </row>
    <row r="25741" spans="2:2" s="221" customFormat="1" ht="12.75" x14ac:dyDescent="0.2">
      <c r="B25741" s="1168"/>
    </row>
    <row r="25742" spans="2:2" s="221" customFormat="1" ht="12.75" x14ac:dyDescent="0.2">
      <c r="B25742" s="1168"/>
    </row>
    <row r="25743" spans="2:2" s="221" customFormat="1" ht="12.75" x14ac:dyDescent="0.2">
      <c r="B25743" s="1168"/>
    </row>
    <row r="25744" spans="2:2" s="221" customFormat="1" ht="12.75" x14ac:dyDescent="0.2">
      <c r="B25744" s="1168"/>
    </row>
    <row r="25745" spans="2:2" s="221" customFormat="1" ht="12.75" x14ac:dyDescent="0.2">
      <c r="B25745" s="1168"/>
    </row>
    <row r="25746" spans="2:2" s="221" customFormat="1" ht="12.75" x14ac:dyDescent="0.2">
      <c r="B25746" s="1168"/>
    </row>
    <row r="25747" spans="2:2" s="221" customFormat="1" ht="12.75" x14ac:dyDescent="0.2">
      <c r="B25747" s="1168"/>
    </row>
    <row r="25748" spans="2:2" s="221" customFormat="1" ht="12.75" x14ac:dyDescent="0.2">
      <c r="B25748" s="1168"/>
    </row>
    <row r="25749" spans="2:2" s="221" customFormat="1" ht="12.75" x14ac:dyDescent="0.2">
      <c r="B25749" s="1168"/>
    </row>
    <row r="25750" spans="2:2" s="221" customFormat="1" ht="12.75" x14ac:dyDescent="0.2">
      <c r="B25750" s="1168"/>
    </row>
    <row r="25751" spans="2:2" s="221" customFormat="1" ht="12.75" x14ac:dyDescent="0.2">
      <c r="B25751" s="1168"/>
    </row>
    <row r="25752" spans="2:2" s="221" customFormat="1" ht="12.75" x14ac:dyDescent="0.2">
      <c r="B25752" s="1168"/>
    </row>
    <row r="25753" spans="2:2" s="221" customFormat="1" ht="12.75" x14ac:dyDescent="0.2">
      <c r="B25753" s="1168"/>
    </row>
    <row r="25754" spans="2:2" s="221" customFormat="1" ht="12.75" x14ac:dyDescent="0.2">
      <c r="B25754" s="1168"/>
    </row>
    <row r="25755" spans="2:2" s="221" customFormat="1" ht="12.75" x14ac:dyDescent="0.2">
      <c r="B25755" s="1168"/>
    </row>
    <row r="25756" spans="2:2" s="221" customFormat="1" ht="12.75" x14ac:dyDescent="0.2">
      <c r="B25756" s="1168"/>
    </row>
    <row r="25757" spans="2:2" s="221" customFormat="1" ht="12.75" x14ac:dyDescent="0.2">
      <c r="B25757" s="1168"/>
    </row>
    <row r="25758" spans="2:2" s="221" customFormat="1" ht="12.75" x14ac:dyDescent="0.2">
      <c r="B25758" s="1168"/>
    </row>
    <row r="25759" spans="2:2" s="221" customFormat="1" ht="12.75" x14ac:dyDescent="0.2">
      <c r="B25759" s="1168"/>
    </row>
    <row r="25760" spans="2:2" s="221" customFormat="1" ht="12.75" x14ac:dyDescent="0.2">
      <c r="B25760" s="1168"/>
    </row>
    <row r="25761" spans="2:2" s="221" customFormat="1" ht="12.75" x14ac:dyDescent="0.2">
      <c r="B25761" s="1168"/>
    </row>
    <row r="25762" spans="2:2" s="221" customFormat="1" ht="12.75" x14ac:dyDescent="0.2">
      <c r="B25762" s="1168"/>
    </row>
    <row r="25763" spans="2:2" s="221" customFormat="1" ht="12.75" x14ac:dyDescent="0.2">
      <c r="B25763" s="1168"/>
    </row>
    <row r="25764" spans="2:2" s="221" customFormat="1" ht="12.75" x14ac:dyDescent="0.2">
      <c r="B25764" s="1168"/>
    </row>
    <row r="25765" spans="2:2" s="221" customFormat="1" ht="12.75" x14ac:dyDescent="0.2">
      <c r="B25765" s="1168"/>
    </row>
    <row r="25766" spans="2:2" s="221" customFormat="1" ht="12.75" x14ac:dyDescent="0.2">
      <c r="B25766" s="1168"/>
    </row>
    <row r="25767" spans="2:2" s="221" customFormat="1" ht="12.75" x14ac:dyDescent="0.2">
      <c r="B25767" s="1168"/>
    </row>
    <row r="25768" spans="2:2" s="221" customFormat="1" ht="12.75" x14ac:dyDescent="0.2">
      <c r="B25768" s="1168"/>
    </row>
    <row r="25769" spans="2:2" s="221" customFormat="1" ht="12.75" x14ac:dyDescent="0.2">
      <c r="B25769" s="1168"/>
    </row>
    <row r="25770" spans="2:2" s="221" customFormat="1" ht="12.75" x14ac:dyDescent="0.2">
      <c r="B25770" s="1168"/>
    </row>
    <row r="25771" spans="2:2" s="221" customFormat="1" ht="12.75" x14ac:dyDescent="0.2">
      <c r="B25771" s="1168"/>
    </row>
    <row r="25772" spans="2:2" s="221" customFormat="1" ht="12.75" x14ac:dyDescent="0.2">
      <c r="B25772" s="1168"/>
    </row>
    <row r="25773" spans="2:2" s="221" customFormat="1" ht="12.75" x14ac:dyDescent="0.2">
      <c r="B25773" s="1168"/>
    </row>
    <row r="25774" spans="2:2" s="221" customFormat="1" ht="12.75" x14ac:dyDescent="0.2">
      <c r="B25774" s="1168"/>
    </row>
    <row r="25775" spans="2:2" s="221" customFormat="1" ht="12.75" x14ac:dyDescent="0.2">
      <c r="B25775" s="1168"/>
    </row>
    <row r="25776" spans="2:2" s="221" customFormat="1" ht="12.75" x14ac:dyDescent="0.2">
      <c r="B25776" s="1168"/>
    </row>
    <row r="25777" spans="2:2" s="221" customFormat="1" ht="12.75" x14ac:dyDescent="0.2">
      <c r="B25777" s="1168"/>
    </row>
    <row r="25778" spans="2:2" s="221" customFormat="1" ht="12.75" x14ac:dyDescent="0.2">
      <c r="B25778" s="1168"/>
    </row>
    <row r="25779" spans="2:2" s="221" customFormat="1" ht="12.75" x14ac:dyDescent="0.2">
      <c r="B25779" s="1168"/>
    </row>
    <row r="25780" spans="2:2" s="221" customFormat="1" ht="12.75" x14ac:dyDescent="0.2">
      <c r="B25780" s="1168"/>
    </row>
    <row r="25781" spans="2:2" s="221" customFormat="1" ht="12.75" x14ac:dyDescent="0.2">
      <c r="B25781" s="1168"/>
    </row>
    <row r="25782" spans="2:2" s="221" customFormat="1" ht="12.75" x14ac:dyDescent="0.2">
      <c r="B25782" s="1168"/>
    </row>
    <row r="25783" spans="2:2" s="221" customFormat="1" ht="12.75" x14ac:dyDescent="0.2">
      <c r="B25783" s="1168"/>
    </row>
    <row r="25784" spans="2:2" s="221" customFormat="1" ht="12.75" x14ac:dyDescent="0.2">
      <c r="B25784" s="1168"/>
    </row>
    <row r="25785" spans="2:2" s="221" customFormat="1" ht="12.75" x14ac:dyDescent="0.2">
      <c r="B25785" s="1168"/>
    </row>
    <row r="25786" spans="2:2" s="221" customFormat="1" ht="12.75" x14ac:dyDescent="0.2">
      <c r="B25786" s="1168"/>
    </row>
    <row r="25787" spans="2:2" s="221" customFormat="1" ht="12.75" x14ac:dyDescent="0.2">
      <c r="B25787" s="1168"/>
    </row>
    <row r="25788" spans="2:2" s="221" customFormat="1" ht="12.75" x14ac:dyDescent="0.2">
      <c r="B25788" s="1168"/>
    </row>
    <row r="25789" spans="2:2" s="221" customFormat="1" ht="12.75" x14ac:dyDescent="0.2">
      <c r="B25789" s="1168"/>
    </row>
    <row r="25790" spans="2:2" s="221" customFormat="1" ht="12.75" x14ac:dyDescent="0.2">
      <c r="B25790" s="1168"/>
    </row>
    <row r="25791" spans="2:2" s="221" customFormat="1" ht="12.75" x14ac:dyDescent="0.2">
      <c r="B25791" s="1168"/>
    </row>
    <row r="25792" spans="2:2" s="221" customFormat="1" ht="12.75" x14ac:dyDescent="0.2">
      <c r="B25792" s="1168"/>
    </row>
    <row r="25793" spans="2:2" s="221" customFormat="1" ht="12.75" x14ac:dyDescent="0.2">
      <c r="B25793" s="1168"/>
    </row>
    <row r="25794" spans="2:2" s="221" customFormat="1" ht="12.75" x14ac:dyDescent="0.2">
      <c r="B25794" s="1168"/>
    </row>
    <row r="25795" spans="2:2" s="221" customFormat="1" ht="12.75" x14ac:dyDescent="0.2">
      <c r="B25795" s="1168"/>
    </row>
    <row r="25796" spans="2:2" s="221" customFormat="1" ht="12.75" x14ac:dyDescent="0.2">
      <c r="B25796" s="1168"/>
    </row>
    <row r="25797" spans="2:2" s="221" customFormat="1" ht="12.75" x14ac:dyDescent="0.2">
      <c r="B25797" s="1168"/>
    </row>
    <row r="25798" spans="2:2" s="221" customFormat="1" ht="12.75" x14ac:dyDescent="0.2">
      <c r="B25798" s="1168"/>
    </row>
    <row r="25799" spans="2:2" s="221" customFormat="1" ht="12.75" x14ac:dyDescent="0.2">
      <c r="B25799" s="1168"/>
    </row>
    <row r="25800" spans="2:2" s="221" customFormat="1" ht="12.75" x14ac:dyDescent="0.2">
      <c r="B25800" s="1168"/>
    </row>
    <row r="25801" spans="2:2" s="221" customFormat="1" ht="12.75" x14ac:dyDescent="0.2">
      <c r="B25801" s="1168"/>
    </row>
    <row r="25802" spans="2:2" s="221" customFormat="1" ht="12.75" x14ac:dyDescent="0.2">
      <c r="B25802" s="1168"/>
    </row>
    <row r="25803" spans="2:2" s="221" customFormat="1" ht="12.75" x14ac:dyDescent="0.2">
      <c r="B25803" s="1168"/>
    </row>
    <row r="25804" spans="2:2" s="221" customFormat="1" ht="12.75" x14ac:dyDescent="0.2">
      <c r="B25804" s="1168"/>
    </row>
    <row r="25805" spans="2:2" s="221" customFormat="1" ht="12.75" x14ac:dyDescent="0.2">
      <c r="B25805" s="1168"/>
    </row>
    <row r="25806" spans="2:2" s="221" customFormat="1" ht="12.75" x14ac:dyDescent="0.2">
      <c r="B25806" s="1168"/>
    </row>
    <row r="25807" spans="2:2" s="221" customFormat="1" ht="12.75" x14ac:dyDescent="0.2">
      <c r="B25807" s="1168"/>
    </row>
    <row r="25808" spans="2:2" s="221" customFormat="1" ht="12.75" x14ac:dyDescent="0.2">
      <c r="B25808" s="1168"/>
    </row>
    <row r="25809" spans="2:2" s="221" customFormat="1" ht="12.75" x14ac:dyDescent="0.2">
      <c r="B25809" s="1168"/>
    </row>
    <row r="25810" spans="2:2" s="221" customFormat="1" ht="12.75" x14ac:dyDescent="0.2">
      <c r="B25810" s="1168"/>
    </row>
    <row r="25811" spans="2:2" s="221" customFormat="1" ht="12.75" x14ac:dyDescent="0.2">
      <c r="B25811" s="1168"/>
    </row>
    <row r="25812" spans="2:2" s="221" customFormat="1" ht="12.75" x14ac:dyDescent="0.2">
      <c r="B25812" s="1168"/>
    </row>
    <row r="25813" spans="2:2" s="221" customFormat="1" ht="12.75" x14ac:dyDescent="0.2">
      <c r="B25813" s="1168"/>
    </row>
    <row r="25814" spans="2:2" s="221" customFormat="1" ht="12.75" x14ac:dyDescent="0.2">
      <c r="B25814" s="1168"/>
    </row>
    <row r="25815" spans="2:2" s="221" customFormat="1" ht="12.75" x14ac:dyDescent="0.2">
      <c r="B25815" s="1168"/>
    </row>
    <row r="25816" spans="2:2" s="221" customFormat="1" ht="12.75" x14ac:dyDescent="0.2">
      <c r="B25816" s="1168"/>
    </row>
    <row r="25817" spans="2:2" s="221" customFormat="1" ht="12.75" x14ac:dyDescent="0.2">
      <c r="B25817" s="1168"/>
    </row>
    <row r="25818" spans="2:2" s="221" customFormat="1" ht="12.75" x14ac:dyDescent="0.2">
      <c r="B25818" s="1168"/>
    </row>
    <row r="25819" spans="2:2" s="221" customFormat="1" ht="12.75" x14ac:dyDescent="0.2">
      <c r="B25819" s="1168"/>
    </row>
    <row r="25820" spans="2:2" s="221" customFormat="1" ht="12.75" x14ac:dyDescent="0.2">
      <c r="B25820" s="1168"/>
    </row>
    <row r="25821" spans="2:2" s="221" customFormat="1" ht="12.75" x14ac:dyDescent="0.2">
      <c r="B25821" s="1168"/>
    </row>
    <row r="25822" spans="2:2" s="221" customFormat="1" ht="12.75" x14ac:dyDescent="0.2">
      <c r="B25822" s="1168"/>
    </row>
    <row r="25823" spans="2:2" s="221" customFormat="1" ht="12.75" x14ac:dyDescent="0.2">
      <c r="B25823" s="1168"/>
    </row>
    <row r="25824" spans="2:2" s="221" customFormat="1" ht="12.75" x14ac:dyDescent="0.2">
      <c r="B25824" s="1168"/>
    </row>
    <row r="25825" spans="2:2" s="221" customFormat="1" ht="12.75" x14ac:dyDescent="0.2">
      <c r="B25825" s="1168"/>
    </row>
    <row r="25826" spans="2:2" s="221" customFormat="1" ht="12.75" x14ac:dyDescent="0.2">
      <c r="B25826" s="1168"/>
    </row>
    <row r="25827" spans="2:2" s="221" customFormat="1" ht="12.75" x14ac:dyDescent="0.2">
      <c r="B25827" s="1168"/>
    </row>
    <row r="25828" spans="2:2" s="221" customFormat="1" ht="12.75" x14ac:dyDescent="0.2">
      <c r="B25828" s="1168"/>
    </row>
    <row r="25829" spans="2:2" s="221" customFormat="1" ht="12.75" x14ac:dyDescent="0.2">
      <c r="B25829" s="1168"/>
    </row>
    <row r="25830" spans="2:2" s="221" customFormat="1" ht="12.75" x14ac:dyDescent="0.2">
      <c r="B25830" s="1168"/>
    </row>
    <row r="25831" spans="2:2" s="221" customFormat="1" ht="12.75" x14ac:dyDescent="0.2">
      <c r="B25831" s="1168"/>
    </row>
    <row r="25832" spans="2:2" s="221" customFormat="1" ht="12.75" x14ac:dyDescent="0.2">
      <c r="B25832" s="1168"/>
    </row>
    <row r="25833" spans="2:2" s="221" customFormat="1" ht="12.75" x14ac:dyDescent="0.2">
      <c r="B25833" s="1168"/>
    </row>
    <row r="25834" spans="2:2" s="221" customFormat="1" ht="12.75" x14ac:dyDescent="0.2">
      <c r="B25834" s="1168"/>
    </row>
    <row r="25835" spans="2:2" s="221" customFormat="1" ht="12.75" x14ac:dyDescent="0.2">
      <c r="B25835" s="1168"/>
    </row>
    <row r="25836" spans="2:2" s="221" customFormat="1" ht="12.75" x14ac:dyDescent="0.2">
      <c r="B25836" s="1168"/>
    </row>
    <row r="25837" spans="2:2" s="221" customFormat="1" ht="12.75" x14ac:dyDescent="0.2">
      <c r="B25837" s="1168"/>
    </row>
    <row r="25838" spans="2:2" s="221" customFormat="1" ht="12.75" x14ac:dyDescent="0.2">
      <c r="B25838" s="1168"/>
    </row>
    <row r="25839" spans="2:2" s="221" customFormat="1" ht="12.75" x14ac:dyDescent="0.2">
      <c r="B25839" s="1168"/>
    </row>
    <row r="25840" spans="2:2" s="221" customFormat="1" ht="12.75" x14ac:dyDescent="0.2">
      <c r="B25840" s="1168"/>
    </row>
    <row r="25841" spans="2:2" s="221" customFormat="1" ht="12.75" x14ac:dyDescent="0.2">
      <c r="B25841" s="1168"/>
    </row>
    <row r="25842" spans="2:2" s="221" customFormat="1" ht="12.75" x14ac:dyDescent="0.2">
      <c r="B25842" s="1168"/>
    </row>
    <row r="25843" spans="2:2" s="221" customFormat="1" ht="12.75" x14ac:dyDescent="0.2">
      <c r="B25843" s="1168"/>
    </row>
    <row r="25844" spans="2:2" s="221" customFormat="1" ht="12.75" x14ac:dyDescent="0.2">
      <c r="B25844" s="1168"/>
    </row>
    <row r="25845" spans="2:2" s="221" customFormat="1" ht="12.75" x14ac:dyDescent="0.2">
      <c r="B25845" s="1168"/>
    </row>
    <row r="25846" spans="2:2" s="221" customFormat="1" ht="12.75" x14ac:dyDescent="0.2">
      <c r="B25846" s="1168"/>
    </row>
    <row r="25847" spans="2:2" s="221" customFormat="1" ht="12.75" x14ac:dyDescent="0.2">
      <c r="B25847" s="1168"/>
    </row>
    <row r="25848" spans="2:2" s="221" customFormat="1" ht="12.75" x14ac:dyDescent="0.2">
      <c r="B25848" s="1168"/>
    </row>
    <row r="25849" spans="2:2" s="221" customFormat="1" ht="12.75" x14ac:dyDescent="0.2">
      <c r="B25849" s="1168"/>
    </row>
    <row r="25850" spans="2:2" s="221" customFormat="1" ht="12.75" x14ac:dyDescent="0.2">
      <c r="B25850" s="1168"/>
    </row>
    <row r="25851" spans="2:2" s="221" customFormat="1" ht="12.75" x14ac:dyDescent="0.2">
      <c r="B25851" s="1168"/>
    </row>
    <row r="25852" spans="2:2" s="221" customFormat="1" ht="12.75" x14ac:dyDescent="0.2">
      <c r="B25852" s="1168"/>
    </row>
    <row r="25853" spans="2:2" s="221" customFormat="1" ht="12.75" x14ac:dyDescent="0.2">
      <c r="B25853" s="1168"/>
    </row>
    <row r="25854" spans="2:2" s="221" customFormat="1" ht="12.75" x14ac:dyDescent="0.2">
      <c r="B25854" s="1168"/>
    </row>
    <row r="25855" spans="2:2" s="221" customFormat="1" ht="12.75" x14ac:dyDescent="0.2">
      <c r="B25855" s="1168"/>
    </row>
    <row r="25856" spans="2:2" s="221" customFormat="1" ht="12.75" x14ac:dyDescent="0.2">
      <c r="B25856" s="1168"/>
    </row>
    <row r="25857" spans="2:2" s="221" customFormat="1" ht="12.75" x14ac:dyDescent="0.2">
      <c r="B25857" s="1168"/>
    </row>
    <row r="25858" spans="2:2" s="221" customFormat="1" ht="12.75" x14ac:dyDescent="0.2">
      <c r="B25858" s="1168"/>
    </row>
    <row r="25859" spans="2:2" s="221" customFormat="1" ht="12.75" x14ac:dyDescent="0.2">
      <c r="B25859" s="1168"/>
    </row>
    <row r="25860" spans="2:2" s="221" customFormat="1" ht="12.75" x14ac:dyDescent="0.2">
      <c r="B25860" s="1168"/>
    </row>
    <row r="25861" spans="2:2" s="221" customFormat="1" ht="12.75" x14ac:dyDescent="0.2">
      <c r="B25861" s="1168"/>
    </row>
    <row r="25862" spans="2:2" s="221" customFormat="1" ht="12.75" x14ac:dyDescent="0.2">
      <c r="B25862" s="1168"/>
    </row>
    <row r="25863" spans="2:2" s="221" customFormat="1" ht="12.75" x14ac:dyDescent="0.2">
      <c r="B25863" s="1168"/>
    </row>
    <row r="25864" spans="2:2" s="221" customFormat="1" ht="12.75" x14ac:dyDescent="0.2">
      <c r="B25864" s="1168"/>
    </row>
    <row r="25865" spans="2:2" s="221" customFormat="1" ht="12.75" x14ac:dyDescent="0.2">
      <c r="B25865" s="1168"/>
    </row>
    <row r="25866" spans="2:2" s="221" customFormat="1" ht="12.75" x14ac:dyDescent="0.2">
      <c r="B25866" s="1168"/>
    </row>
    <row r="25867" spans="2:2" s="221" customFormat="1" ht="12.75" x14ac:dyDescent="0.2">
      <c r="B25867" s="1168"/>
    </row>
    <row r="25868" spans="2:2" s="221" customFormat="1" ht="12.75" x14ac:dyDescent="0.2">
      <c r="B25868" s="1168"/>
    </row>
    <row r="25869" spans="2:2" s="221" customFormat="1" ht="12.75" x14ac:dyDescent="0.2">
      <c r="B25869" s="1168"/>
    </row>
    <row r="25870" spans="2:2" s="221" customFormat="1" ht="12.75" x14ac:dyDescent="0.2">
      <c r="B25870" s="1168"/>
    </row>
    <row r="25871" spans="2:2" s="221" customFormat="1" ht="12.75" x14ac:dyDescent="0.2">
      <c r="B25871" s="1168"/>
    </row>
    <row r="25872" spans="2:2" s="221" customFormat="1" ht="12.75" x14ac:dyDescent="0.2">
      <c r="B25872" s="1168"/>
    </row>
    <row r="25873" spans="2:2" s="221" customFormat="1" ht="12.75" x14ac:dyDescent="0.2">
      <c r="B25873" s="1168"/>
    </row>
    <row r="25874" spans="2:2" s="221" customFormat="1" ht="12.75" x14ac:dyDescent="0.2">
      <c r="B25874" s="1168"/>
    </row>
    <row r="25875" spans="2:2" s="221" customFormat="1" ht="12.75" x14ac:dyDescent="0.2">
      <c r="B25875" s="1168"/>
    </row>
    <row r="25876" spans="2:2" s="221" customFormat="1" ht="12.75" x14ac:dyDescent="0.2">
      <c r="B25876" s="1168"/>
    </row>
    <row r="25877" spans="2:2" s="221" customFormat="1" ht="12.75" x14ac:dyDescent="0.2">
      <c r="B25877" s="1168"/>
    </row>
    <row r="25878" spans="2:2" s="221" customFormat="1" ht="12.75" x14ac:dyDescent="0.2">
      <c r="B25878" s="1168"/>
    </row>
    <row r="25879" spans="2:2" s="221" customFormat="1" ht="12.75" x14ac:dyDescent="0.2">
      <c r="B25879" s="1168"/>
    </row>
    <row r="25880" spans="2:2" s="221" customFormat="1" ht="12.75" x14ac:dyDescent="0.2">
      <c r="B25880" s="1168"/>
    </row>
    <row r="25881" spans="2:2" s="221" customFormat="1" ht="12.75" x14ac:dyDescent="0.2">
      <c r="B25881" s="1168"/>
    </row>
    <row r="25882" spans="2:2" s="221" customFormat="1" ht="12.75" x14ac:dyDescent="0.2">
      <c r="B25882" s="1168"/>
    </row>
    <row r="25883" spans="2:2" s="221" customFormat="1" ht="12.75" x14ac:dyDescent="0.2">
      <c r="B25883" s="1168"/>
    </row>
    <row r="25884" spans="2:2" s="221" customFormat="1" ht="12.75" x14ac:dyDescent="0.2">
      <c r="B25884" s="1168"/>
    </row>
    <row r="25885" spans="2:2" s="221" customFormat="1" ht="12.75" x14ac:dyDescent="0.2">
      <c r="B25885" s="1168"/>
    </row>
    <row r="25886" spans="2:2" s="221" customFormat="1" ht="12.75" x14ac:dyDescent="0.2">
      <c r="B25886" s="1168"/>
    </row>
    <row r="25887" spans="2:2" s="221" customFormat="1" ht="12.75" x14ac:dyDescent="0.2">
      <c r="B25887" s="1168"/>
    </row>
    <row r="25888" spans="2:2" s="221" customFormat="1" ht="12.75" x14ac:dyDescent="0.2">
      <c r="B25888" s="1168"/>
    </row>
    <row r="25889" spans="2:2" s="221" customFormat="1" ht="12.75" x14ac:dyDescent="0.2">
      <c r="B25889" s="1168"/>
    </row>
    <row r="25890" spans="2:2" s="221" customFormat="1" ht="12.75" x14ac:dyDescent="0.2">
      <c r="B25890" s="1168"/>
    </row>
    <row r="25891" spans="2:2" s="221" customFormat="1" ht="12.75" x14ac:dyDescent="0.2">
      <c r="B25891" s="1168"/>
    </row>
    <row r="25892" spans="2:2" s="221" customFormat="1" ht="12.75" x14ac:dyDescent="0.2">
      <c r="B25892" s="1168"/>
    </row>
    <row r="25893" spans="2:2" s="221" customFormat="1" ht="12.75" x14ac:dyDescent="0.2">
      <c r="B25893" s="1168"/>
    </row>
    <row r="25894" spans="2:2" s="221" customFormat="1" ht="12.75" x14ac:dyDescent="0.2">
      <c r="B25894" s="1168"/>
    </row>
    <row r="25895" spans="2:2" s="221" customFormat="1" ht="12.75" x14ac:dyDescent="0.2">
      <c r="B25895" s="1168"/>
    </row>
    <row r="25896" spans="2:2" s="221" customFormat="1" ht="12.75" x14ac:dyDescent="0.2">
      <c r="B25896" s="1168"/>
    </row>
    <row r="25897" spans="2:2" s="221" customFormat="1" ht="12.75" x14ac:dyDescent="0.2">
      <c r="B25897" s="1168"/>
    </row>
    <row r="25898" spans="2:2" s="221" customFormat="1" ht="12.75" x14ac:dyDescent="0.2">
      <c r="B25898" s="1168"/>
    </row>
    <row r="25899" spans="2:2" s="221" customFormat="1" ht="12.75" x14ac:dyDescent="0.2">
      <c r="B25899" s="1168"/>
    </row>
    <row r="25900" spans="2:2" s="221" customFormat="1" ht="12.75" x14ac:dyDescent="0.2">
      <c r="B25900" s="1168"/>
    </row>
    <row r="25901" spans="2:2" s="221" customFormat="1" ht="12.75" x14ac:dyDescent="0.2">
      <c r="B25901" s="1168"/>
    </row>
    <row r="25902" spans="2:2" s="221" customFormat="1" ht="12.75" x14ac:dyDescent="0.2">
      <c r="B25902" s="1168"/>
    </row>
    <row r="25903" spans="2:2" s="221" customFormat="1" ht="12.75" x14ac:dyDescent="0.2">
      <c r="B25903" s="1168"/>
    </row>
    <row r="25904" spans="2:2" s="221" customFormat="1" ht="12.75" x14ac:dyDescent="0.2">
      <c r="B25904" s="1168"/>
    </row>
    <row r="25905" spans="2:2" s="221" customFormat="1" ht="12.75" x14ac:dyDescent="0.2">
      <c r="B25905" s="1168"/>
    </row>
    <row r="25906" spans="2:2" s="221" customFormat="1" ht="12.75" x14ac:dyDescent="0.2">
      <c r="B25906" s="1168"/>
    </row>
    <row r="25907" spans="2:2" s="221" customFormat="1" ht="12.75" x14ac:dyDescent="0.2">
      <c r="B25907" s="1168"/>
    </row>
    <row r="25908" spans="2:2" s="221" customFormat="1" ht="12.75" x14ac:dyDescent="0.2">
      <c r="B25908" s="1168"/>
    </row>
    <row r="25909" spans="2:2" s="221" customFormat="1" ht="12.75" x14ac:dyDescent="0.2">
      <c r="B25909" s="1168"/>
    </row>
    <row r="25910" spans="2:2" s="221" customFormat="1" ht="12.75" x14ac:dyDescent="0.2">
      <c r="B25910" s="1168"/>
    </row>
    <row r="25911" spans="2:2" s="221" customFormat="1" ht="12.75" x14ac:dyDescent="0.2">
      <c r="B25911" s="1168"/>
    </row>
    <row r="25912" spans="2:2" s="221" customFormat="1" ht="12.75" x14ac:dyDescent="0.2">
      <c r="B25912" s="1168"/>
    </row>
    <row r="25913" spans="2:2" s="221" customFormat="1" ht="12.75" x14ac:dyDescent="0.2">
      <c r="B25913" s="1168"/>
    </row>
    <row r="25914" spans="2:2" s="221" customFormat="1" ht="12.75" x14ac:dyDescent="0.2">
      <c r="B25914" s="1168"/>
    </row>
    <row r="25915" spans="2:2" s="221" customFormat="1" ht="12.75" x14ac:dyDescent="0.2">
      <c r="B25915" s="1168"/>
    </row>
    <row r="25916" spans="2:2" s="221" customFormat="1" ht="12.75" x14ac:dyDescent="0.2">
      <c r="B25916" s="1168"/>
    </row>
    <row r="25917" spans="2:2" s="221" customFormat="1" ht="12.75" x14ac:dyDescent="0.2">
      <c r="B25917" s="1168"/>
    </row>
    <row r="25918" spans="2:2" s="221" customFormat="1" ht="12.75" x14ac:dyDescent="0.2">
      <c r="B25918" s="1168"/>
    </row>
    <row r="25919" spans="2:2" s="221" customFormat="1" ht="12.75" x14ac:dyDescent="0.2">
      <c r="B25919" s="1168"/>
    </row>
    <row r="25920" spans="2:2" s="221" customFormat="1" ht="12.75" x14ac:dyDescent="0.2">
      <c r="B25920" s="1168"/>
    </row>
    <row r="25921" spans="2:2" s="221" customFormat="1" ht="12.75" x14ac:dyDescent="0.2">
      <c r="B25921" s="1168"/>
    </row>
    <row r="25922" spans="2:2" s="221" customFormat="1" ht="12.75" x14ac:dyDescent="0.2">
      <c r="B25922" s="1168"/>
    </row>
    <row r="25923" spans="2:2" s="221" customFormat="1" ht="12.75" x14ac:dyDescent="0.2">
      <c r="B25923" s="1168"/>
    </row>
    <row r="25924" spans="2:2" s="221" customFormat="1" ht="12.75" x14ac:dyDescent="0.2">
      <c r="B25924" s="1168"/>
    </row>
    <row r="25925" spans="2:2" s="221" customFormat="1" ht="12.75" x14ac:dyDescent="0.2">
      <c r="B25925" s="1168"/>
    </row>
    <row r="25926" spans="2:2" s="221" customFormat="1" ht="12.75" x14ac:dyDescent="0.2">
      <c r="B25926" s="1168"/>
    </row>
    <row r="25927" spans="2:2" s="221" customFormat="1" ht="12.75" x14ac:dyDescent="0.2">
      <c r="B25927" s="1168"/>
    </row>
    <row r="25928" spans="2:2" s="221" customFormat="1" ht="12.75" x14ac:dyDescent="0.2">
      <c r="B25928" s="1168"/>
    </row>
    <row r="25929" spans="2:2" s="221" customFormat="1" ht="12.75" x14ac:dyDescent="0.2">
      <c r="B25929" s="1168"/>
    </row>
    <row r="25930" spans="2:2" s="221" customFormat="1" ht="12.75" x14ac:dyDescent="0.2">
      <c r="B25930" s="1168"/>
    </row>
    <row r="25931" spans="2:2" s="221" customFormat="1" ht="12.75" x14ac:dyDescent="0.2">
      <c r="B25931" s="1168"/>
    </row>
    <row r="25932" spans="2:2" s="221" customFormat="1" ht="12.75" x14ac:dyDescent="0.2">
      <c r="B25932" s="1168"/>
    </row>
    <row r="25933" spans="2:2" s="221" customFormat="1" ht="12.75" x14ac:dyDescent="0.2">
      <c r="B25933" s="1168"/>
    </row>
    <row r="25934" spans="2:2" s="221" customFormat="1" ht="12.75" x14ac:dyDescent="0.2">
      <c r="B25934" s="1168"/>
    </row>
    <row r="25935" spans="2:2" s="221" customFormat="1" ht="12.75" x14ac:dyDescent="0.2">
      <c r="B25935" s="1168"/>
    </row>
    <row r="25936" spans="2:2" s="221" customFormat="1" ht="12.75" x14ac:dyDescent="0.2">
      <c r="B25936" s="1168"/>
    </row>
    <row r="25937" spans="2:2" s="221" customFormat="1" ht="12.75" x14ac:dyDescent="0.2">
      <c r="B25937" s="1168"/>
    </row>
    <row r="25938" spans="2:2" s="221" customFormat="1" ht="12.75" x14ac:dyDescent="0.2">
      <c r="B25938" s="1168"/>
    </row>
    <row r="25939" spans="2:2" s="221" customFormat="1" ht="12.75" x14ac:dyDescent="0.2">
      <c r="B25939" s="1168"/>
    </row>
    <row r="25940" spans="2:2" s="221" customFormat="1" ht="12.75" x14ac:dyDescent="0.2">
      <c r="B25940" s="1168"/>
    </row>
    <row r="25941" spans="2:2" s="221" customFormat="1" ht="12.75" x14ac:dyDescent="0.2">
      <c r="B25941" s="1168"/>
    </row>
    <row r="25942" spans="2:2" s="221" customFormat="1" ht="12.75" x14ac:dyDescent="0.2">
      <c r="B25942" s="1168"/>
    </row>
    <row r="25943" spans="2:2" s="221" customFormat="1" ht="12.75" x14ac:dyDescent="0.2">
      <c r="B25943" s="1168"/>
    </row>
    <row r="25944" spans="2:2" s="221" customFormat="1" ht="12.75" x14ac:dyDescent="0.2">
      <c r="B25944" s="1168"/>
    </row>
    <row r="25945" spans="2:2" s="221" customFormat="1" ht="12.75" x14ac:dyDescent="0.2">
      <c r="B25945" s="1168"/>
    </row>
    <row r="25946" spans="2:2" s="221" customFormat="1" ht="12.75" x14ac:dyDescent="0.2">
      <c r="B25946" s="1168"/>
    </row>
    <row r="25947" spans="2:2" s="221" customFormat="1" ht="12.75" x14ac:dyDescent="0.2">
      <c r="B25947" s="1168"/>
    </row>
    <row r="25948" spans="2:2" s="221" customFormat="1" ht="12.75" x14ac:dyDescent="0.2">
      <c r="B25948" s="1168"/>
    </row>
    <row r="25949" spans="2:2" s="221" customFormat="1" ht="12.75" x14ac:dyDescent="0.2">
      <c r="B25949" s="1168"/>
    </row>
    <row r="25950" spans="2:2" s="221" customFormat="1" ht="12.75" x14ac:dyDescent="0.2">
      <c r="B25950" s="1168"/>
    </row>
    <row r="25951" spans="2:2" s="221" customFormat="1" ht="12.75" x14ac:dyDescent="0.2">
      <c r="B25951" s="1168"/>
    </row>
    <row r="25952" spans="2:2" s="221" customFormat="1" ht="12.75" x14ac:dyDescent="0.2">
      <c r="B25952" s="1168"/>
    </row>
    <row r="25953" spans="2:2" s="221" customFormat="1" ht="12.75" x14ac:dyDescent="0.2">
      <c r="B25953" s="1168"/>
    </row>
    <row r="25954" spans="2:2" s="221" customFormat="1" ht="12.75" x14ac:dyDescent="0.2">
      <c r="B25954" s="1168"/>
    </row>
    <row r="25955" spans="2:2" s="221" customFormat="1" ht="12.75" x14ac:dyDescent="0.2">
      <c r="B25955" s="1168"/>
    </row>
    <row r="25956" spans="2:2" s="221" customFormat="1" ht="12.75" x14ac:dyDescent="0.2">
      <c r="B25956" s="1168"/>
    </row>
    <row r="25957" spans="2:2" s="221" customFormat="1" ht="12.75" x14ac:dyDescent="0.2">
      <c r="B25957" s="1168"/>
    </row>
    <row r="25958" spans="2:2" s="221" customFormat="1" ht="12.75" x14ac:dyDescent="0.2">
      <c r="B25958" s="1168"/>
    </row>
    <row r="25959" spans="2:2" s="221" customFormat="1" ht="12.75" x14ac:dyDescent="0.2">
      <c r="B25959" s="1168"/>
    </row>
    <row r="25960" spans="2:2" s="221" customFormat="1" ht="12.75" x14ac:dyDescent="0.2">
      <c r="B25960" s="1168"/>
    </row>
    <row r="25961" spans="2:2" s="221" customFormat="1" ht="12.75" x14ac:dyDescent="0.2">
      <c r="B25961" s="1168"/>
    </row>
    <row r="25962" spans="2:2" s="221" customFormat="1" ht="12.75" x14ac:dyDescent="0.2">
      <c r="B25962" s="1168"/>
    </row>
    <row r="25963" spans="2:2" s="221" customFormat="1" ht="12.75" x14ac:dyDescent="0.2">
      <c r="B25963" s="1168"/>
    </row>
    <row r="25964" spans="2:2" s="221" customFormat="1" ht="12.75" x14ac:dyDescent="0.2">
      <c r="B25964" s="1168"/>
    </row>
    <row r="25965" spans="2:2" s="221" customFormat="1" ht="12.75" x14ac:dyDescent="0.2">
      <c r="B25965" s="1168"/>
    </row>
    <row r="25966" spans="2:2" s="221" customFormat="1" ht="12.75" x14ac:dyDescent="0.2">
      <c r="B25966" s="1168"/>
    </row>
    <row r="25967" spans="2:2" s="221" customFormat="1" ht="12.75" x14ac:dyDescent="0.2">
      <c r="B25967" s="1168"/>
    </row>
    <row r="25968" spans="2:2" s="221" customFormat="1" ht="12.75" x14ac:dyDescent="0.2">
      <c r="B25968" s="1168"/>
    </row>
    <row r="25969" spans="2:2" s="221" customFormat="1" ht="12.75" x14ac:dyDescent="0.2">
      <c r="B25969" s="1168"/>
    </row>
    <row r="25970" spans="2:2" s="221" customFormat="1" ht="12.75" x14ac:dyDescent="0.2">
      <c r="B25970" s="1168"/>
    </row>
    <row r="25971" spans="2:2" s="221" customFormat="1" ht="12.75" x14ac:dyDescent="0.2">
      <c r="B25971" s="1168"/>
    </row>
    <row r="25972" spans="2:2" s="221" customFormat="1" ht="12.75" x14ac:dyDescent="0.2">
      <c r="B25972" s="1168"/>
    </row>
    <row r="25973" spans="2:2" s="221" customFormat="1" ht="12.75" x14ac:dyDescent="0.2">
      <c r="B25973" s="1168"/>
    </row>
    <row r="25974" spans="2:2" s="221" customFormat="1" ht="12.75" x14ac:dyDescent="0.2">
      <c r="B25974" s="1168"/>
    </row>
    <row r="25975" spans="2:2" s="221" customFormat="1" ht="12.75" x14ac:dyDescent="0.2">
      <c r="B25975" s="1168"/>
    </row>
    <row r="25976" spans="2:2" s="221" customFormat="1" ht="12.75" x14ac:dyDescent="0.2">
      <c r="B25976" s="1168"/>
    </row>
    <row r="25977" spans="2:2" s="221" customFormat="1" ht="12.75" x14ac:dyDescent="0.2">
      <c r="B25977" s="1168"/>
    </row>
    <row r="25978" spans="2:2" s="221" customFormat="1" ht="12.75" x14ac:dyDescent="0.2">
      <c r="B25978" s="1168"/>
    </row>
    <row r="25979" spans="2:2" s="221" customFormat="1" ht="12.75" x14ac:dyDescent="0.2">
      <c r="B25979" s="1168"/>
    </row>
    <row r="25980" spans="2:2" s="221" customFormat="1" ht="12.75" x14ac:dyDescent="0.2">
      <c r="B25980" s="1168"/>
    </row>
    <row r="25981" spans="2:2" s="221" customFormat="1" ht="12.75" x14ac:dyDescent="0.2">
      <c r="B25981" s="1168"/>
    </row>
    <row r="25982" spans="2:2" s="221" customFormat="1" ht="12.75" x14ac:dyDescent="0.2">
      <c r="B25982" s="1168"/>
    </row>
    <row r="25983" spans="2:2" s="221" customFormat="1" ht="12.75" x14ac:dyDescent="0.2">
      <c r="B25983" s="1168"/>
    </row>
    <row r="25984" spans="2:2" s="221" customFormat="1" ht="12.75" x14ac:dyDescent="0.2">
      <c r="B25984" s="1168"/>
    </row>
    <row r="25985" spans="2:2" s="221" customFormat="1" ht="12.75" x14ac:dyDescent="0.2">
      <c r="B25985" s="1168"/>
    </row>
    <row r="25986" spans="2:2" s="221" customFormat="1" ht="12.75" x14ac:dyDescent="0.2">
      <c r="B25986" s="1168"/>
    </row>
    <row r="25987" spans="2:2" s="221" customFormat="1" ht="12.75" x14ac:dyDescent="0.2">
      <c r="B25987" s="1168"/>
    </row>
    <row r="25988" spans="2:2" s="221" customFormat="1" ht="12.75" x14ac:dyDescent="0.2">
      <c r="B25988" s="1168"/>
    </row>
    <row r="25989" spans="2:2" s="221" customFormat="1" ht="12.75" x14ac:dyDescent="0.2">
      <c r="B25989" s="1168"/>
    </row>
    <row r="25990" spans="2:2" s="221" customFormat="1" ht="12.75" x14ac:dyDescent="0.2">
      <c r="B25990" s="1168"/>
    </row>
    <row r="25991" spans="2:2" s="221" customFormat="1" ht="12.75" x14ac:dyDescent="0.2">
      <c r="B25991" s="1168"/>
    </row>
    <row r="25992" spans="2:2" s="221" customFormat="1" ht="12.75" x14ac:dyDescent="0.2">
      <c r="B25992" s="1168"/>
    </row>
    <row r="25993" spans="2:2" s="221" customFormat="1" ht="12.75" x14ac:dyDescent="0.2">
      <c r="B25993" s="1168"/>
    </row>
    <row r="25994" spans="2:2" s="221" customFormat="1" ht="12.75" x14ac:dyDescent="0.2">
      <c r="B25994" s="1168"/>
    </row>
    <row r="25995" spans="2:2" s="221" customFormat="1" ht="12.75" x14ac:dyDescent="0.2">
      <c r="B25995" s="1168"/>
    </row>
    <row r="25996" spans="2:2" s="221" customFormat="1" ht="12.75" x14ac:dyDescent="0.2">
      <c r="B25996" s="1168"/>
    </row>
    <row r="25997" spans="2:2" s="221" customFormat="1" ht="12.75" x14ac:dyDescent="0.2">
      <c r="B25997" s="1168"/>
    </row>
    <row r="25998" spans="2:2" s="221" customFormat="1" ht="12.75" x14ac:dyDescent="0.2">
      <c r="B25998" s="1168"/>
    </row>
    <row r="25999" spans="2:2" s="221" customFormat="1" ht="12.75" x14ac:dyDescent="0.2">
      <c r="B25999" s="1168"/>
    </row>
    <row r="26000" spans="2:2" s="221" customFormat="1" ht="12.75" x14ac:dyDescent="0.2">
      <c r="B26000" s="1168"/>
    </row>
    <row r="26001" spans="2:2" s="221" customFormat="1" ht="12.75" x14ac:dyDescent="0.2">
      <c r="B26001" s="1168"/>
    </row>
    <row r="26002" spans="2:2" s="221" customFormat="1" ht="12.75" x14ac:dyDescent="0.2">
      <c r="B26002" s="1168"/>
    </row>
    <row r="26003" spans="2:2" s="221" customFormat="1" ht="12.75" x14ac:dyDescent="0.2">
      <c r="B26003" s="1168"/>
    </row>
    <row r="26004" spans="2:2" s="221" customFormat="1" ht="12.75" x14ac:dyDescent="0.2">
      <c r="B26004" s="1168"/>
    </row>
    <row r="26005" spans="2:2" s="221" customFormat="1" ht="12.75" x14ac:dyDescent="0.2">
      <c r="B26005" s="1168"/>
    </row>
    <row r="26006" spans="2:2" s="221" customFormat="1" ht="12.75" x14ac:dyDescent="0.2">
      <c r="B26006" s="1168"/>
    </row>
    <row r="26007" spans="2:2" s="221" customFormat="1" ht="12.75" x14ac:dyDescent="0.2">
      <c r="B26007" s="1168"/>
    </row>
    <row r="26008" spans="2:2" s="221" customFormat="1" ht="12.75" x14ac:dyDescent="0.2">
      <c r="B26008" s="1168"/>
    </row>
    <row r="26009" spans="2:2" s="221" customFormat="1" ht="12.75" x14ac:dyDescent="0.2">
      <c r="B26009" s="1168"/>
    </row>
    <row r="26010" spans="2:2" s="221" customFormat="1" ht="12.75" x14ac:dyDescent="0.2">
      <c r="B26010" s="1168"/>
    </row>
    <row r="26011" spans="2:2" s="221" customFormat="1" ht="12.75" x14ac:dyDescent="0.2">
      <c r="B26011" s="1168"/>
    </row>
    <row r="26012" spans="2:2" s="221" customFormat="1" ht="12.75" x14ac:dyDescent="0.2">
      <c r="B26012" s="1168"/>
    </row>
    <row r="26013" spans="2:2" s="221" customFormat="1" ht="12.75" x14ac:dyDescent="0.2">
      <c r="B26013" s="1168"/>
    </row>
    <row r="26014" spans="2:2" s="221" customFormat="1" ht="12.75" x14ac:dyDescent="0.2">
      <c r="B26014" s="1168"/>
    </row>
    <row r="26015" spans="2:2" s="221" customFormat="1" ht="12.75" x14ac:dyDescent="0.2">
      <c r="B26015" s="1168"/>
    </row>
    <row r="26016" spans="2:2" s="221" customFormat="1" ht="12.75" x14ac:dyDescent="0.2">
      <c r="B26016" s="1168"/>
    </row>
    <row r="26017" spans="2:2" s="221" customFormat="1" ht="12.75" x14ac:dyDescent="0.2">
      <c r="B26017" s="1168"/>
    </row>
    <row r="26018" spans="2:2" s="221" customFormat="1" ht="12.75" x14ac:dyDescent="0.2">
      <c r="B26018" s="1168"/>
    </row>
    <row r="26019" spans="2:2" s="221" customFormat="1" ht="12.75" x14ac:dyDescent="0.2">
      <c r="B26019" s="1168"/>
    </row>
    <row r="26020" spans="2:2" s="221" customFormat="1" ht="12.75" x14ac:dyDescent="0.2">
      <c r="B26020" s="1168"/>
    </row>
    <row r="26021" spans="2:2" s="221" customFormat="1" ht="12.75" x14ac:dyDescent="0.2">
      <c r="B26021" s="1168"/>
    </row>
    <row r="26022" spans="2:2" s="221" customFormat="1" ht="12.75" x14ac:dyDescent="0.2">
      <c r="B26022" s="1168"/>
    </row>
    <row r="26023" spans="2:2" s="221" customFormat="1" ht="12.75" x14ac:dyDescent="0.2">
      <c r="B26023" s="1168"/>
    </row>
    <row r="26024" spans="2:2" s="221" customFormat="1" ht="12.75" x14ac:dyDescent="0.2">
      <c r="B26024" s="1168"/>
    </row>
    <row r="26025" spans="2:2" s="221" customFormat="1" ht="12.75" x14ac:dyDescent="0.2">
      <c r="B26025" s="1168"/>
    </row>
    <row r="26026" spans="2:2" s="221" customFormat="1" ht="12.75" x14ac:dyDescent="0.2">
      <c r="B26026" s="1168"/>
    </row>
    <row r="26027" spans="2:2" s="221" customFormat="1" ht="12.75" x14ac:dyDescent="0.2">
      <c r="B26027" s="1168"/>
    </row>
    <row r="26028" spans="2:2" s="221" customFormat="1" ht="12.75" x14ac:dyDescent="0.2">
      <c r="B26028" s="1168"/>
    </row>
    <row r="26029" spans="2:2" s="221" customFormat="1" ht="12.75" x14ac:dyDescent="0.2">
      <c r="B26029" s="1168"/>
    </row>
    <row r="26030" spans="2:2" s="221" customFormat="1" ht="12.75" x14ac:dyDescent="0.2">
      <c r="B26030" s="1168"/>
    </row>
    <row r="26031" spans="2:2" s="221" customFormat="1" ht="12.75" x14ac:dyDescent="0.2">
      <c r="B26031" s="1168"/>
    </row>
    <row r="26032" spans="2:2" s="221" customFormat="1" ht="12.75" x14ac:dyDescent="0.2">
      <c r="B26032" s="1168"/>
    </row>
    <row r="26033" spans="2:2" s="221" customFormat="1" ht="12.75" x14ac:dyDescent="0.2">
      <c r="B26033" s="1168"/>
    </row>
    <row r="26034" spans="2:2" s="221" customFormat="1" ht="12.75" x14ac:dyDescent="0.2">
      <c r="B26034" s="1168"/>
    </row>
    <row r="26035" spans="2:2" s="221" customFormat="1" ht="12.75" x14ac:dyDescent="0.2">
      <c r="B26035" s="1168"/>
    </row>
    <row r="26036" spans="2:2" s="221" customFormat="1" ht="12.75" x14ac:dyDescent="0.2">
      <c r="B26036" s="1168"/>
    </row>
    <row r="26037" spans="2:2" s="221" customFormat="1" ht="12.75" x14ac:dyDescent="0.2">
      <c r="B26037" s="1168"/>
    </row>
    <row r="26038" spans="2:2" s="221" customFormat="1" ht="12.75" x14ac:dyDescent="0.2">
      <c r="B26038" s="1168"/>
    </row>
    <row r="26039" spans="2:2" s="221" customFormat="1" ht="12.75" x14ac:dyDescent="0.2">
      <c r="B26039" s="1168"/>
    </row>
    <row r="26040" spans="2:2" s="221" customFormat="1" ht="12.75" x14ac:dyDescent="0.2">
      <c r="B26040" s="1168"/>
    </row>
    <row r="26041" spans="2:2" s="221" customFormat="1" ht="12.75" x14ac:dyDescent="0.2">
      <c r="B26041" s="1168"/>
    </row>
    <row r="26042" spans="2:2" s="221" customFormat="1" ht="12.75" x14ac:dyDescent="0.2">
      <c r="B26042" s="1168"/>
    </row>
    <row r="26043" spans="2:2" s="221" customFormat="1" ht="12.75" x14ac:dyDescent="0.2">
      <c r="B26043" s="1168"/>
    </row>
    <row r="26044" spans="2:2" s="221" customFormat="1" ht="12.75" x14ac:dyDescent="0.2">
      <c r="B26044" s="1168"/>
    </row>
    <row r="26045" spans="2:2" s="221" customFormat="1" ht="12.75" x14ac:dyDescent="0.2">
      <c r="B26045" s="1168"/>
    </row>
    <row r="26046" spans="2:2" s="221" customFormat="1" ht="12.75" x14ac:dyDescent="0.2">
      <c r="B26046" s="1168"/>
    </row>
    <row r="26047" spans="2:2" s="221" customFormat="1" ht="12.75" x14ac:dyDescent="0.2">
      <c r="B26047" s="1168"/>
    </row>
    <row r="26048" spans="2:2" s="221" customFormat="1" ht="12.75" x14ac:dyDescent="0.2">
      <c r="B26048" s="1168"/>
    </row>
    <row r="26049" spans="2:2" s="221" customFormat="1" ht="12.75" x14ac:dyDescent="0.2">
      <c r="B26049" s="1168"/>
    </row>
    <row r="26050" spans="2:2" s="221" customFormat="1" ht="12.75" x14ac:dyDescent="0.2">
      <c r="B26050" s="1168"/>
    </row>
    <row r="26051" spans="2:2" s="221" customFormat="1" ht="12.75" x14ac:dyDescent="0.2">
      <c r="B26051" s="1168"/>
    </row>
    <row r="26052" spans="2:2" s="221" customFormat="1" ht="12.75" x14ac:dyDescent="0.2">
      <c r="B26052" s="1168"/>
    </row>
    <row r="26053" spans="2:2" s="221" customFormat="1" ht="12.75" x14ac:dyDescent="0.2">
      <c r="B26053" s="1168"/>
    </row>
    <row r="26054" spans="2:2" s="221" customFormat="1" ht="12.75" x14ac:dyDescent="0.2">
      <c r="B26054" s="1168"/>
    </row>
    <row r="26055" spans="2:2" s="221" customFormat="1" ht="12.75" x14ac:dyDescent="0.2">
      <c r="B26055" s="1168"/>
    </row>
    <row r="26056" spans="2:2" s="221" customFormat="1" ht="12.75" x14ac:dyDescent="0.2">
      <c r="B26056" s="1168"/>
    </row>
    <row r="26057" spans="2:2" s="221" customFormat="1" ht="12.75" x14ac:dyDescent="0.2">
      <c r="B26057" s="1168"/>
    </row>
    <row r="26058" spans="2:2" s="221" customFormat="1" ht="12.75" x14ac:dyDescent="0.2">
      <c r="B26058" s="1168"/>
    </row>
    <row r="26059" spans="2:2" s="221" customFormat="1" ht="12.75" x14ac:dyDescent="0.2">
      <c r="B26059" s="1168"/>
    </row>
    <row r="26060" spans="2:2" s="221" customFormat="1" ht="12.75" x14ac:dyDescent="0.2">
      <c r="B26060" s="1168"/>
    </row>
    <row r="26061" spans="2:2" s="221" customFormat="1" ht="12.75" x14ac:dyDescent="0.2">
      <c r="B26061" s="1168"/>
    </row>
    <row r="26062" spans="2:2" s="221" customFormat="1" ht="12.75" x14ac:dyDescent="0.2">
      <c r="B26062" s="1168"/>
    </row>
    <row r="26063" spans="2:2" s="221" customFormat="1" ht="12.75" x14ac:dyDescent="0.2">
      <c r="B26063" s="1168"/>
    </row>
    <row r="26064" spans="2:2" s="221" customFormat="1" ht="12.75" x14ac:dyDescent="0.2">
      <c r="B26064" s="1168"/>
    </row>
    <row r="26065" spans="2:2" s="221" customFormat="1" ht="12.75" x14ac:dyDescent="0.2">
      <c r="B26065" s="1168"/>
    </row>
    <row r="26066" spans="2:2" s="221" customFormat="1" ht="12.75" x14ac:dyDescent="0.2">
      <c r="B26066" s="1168"/>
    </row>
    <row r="26067" spans="2:2" s="221" customFormat="1" ht="12.75" x14ac:dyDescent="0.2">
      <c r="B26067" s="1168"/>
    </row>
    <row r="26068" spans="2:2" s="221" customFormat="1" ht="12.75" x14ac:dyDescent="0.2">
      <c r="B26068" s="1168"/>
    </row>
    <row r="26069" spans="2:2" s="221" customFormat="1" ht="12.75" x14ac:dyDescent="0.2">
      <c r="B26069" s="1168"/>
    </row>
    <row r="26070" spans="2:2" s="221" customFormat="1" ht="12.75" x14ac:dyDescent="0.2">
      <c r="B26070" s="1168"/>
    </row>
    <row r="26071" spans="2:2" s="221" customFormat="1" ht="12.75" x14ac:dyDescent="0.2">
      <c r="B26071" s="1168"/>
    </row>
    <row r="26072" spans="2:2" s="221" customFormat="1" ht="12.75" x14ac:dyDescent="0.2">
      <c r="B26072" s="1168"/>
    </row>
    <row r="26073" spans="2:2" s="221" customFormat="1" ht="12.75" x14ac:dyDescent="0.2">
      <c r="B26073" s="1168"/>
    </row>
    <row r="26074" spans="2:2" s="221" customFormat="1" ht="12.75" x14ac:dyDescent="0.2">
      <c r="B26074" s="1168"/>
    </row>
    <row r="26075" spans="2:2" s="221" customFormat="1" ht="12.75" x14ac:dyDescent="0.2">
      <c r="B26075" s="1168"/>
    </row>
    <row r="26076" spans="2:2" s="221" customFormat="1" ht="12.75" x14ac:dyDescent="0.2">
      <c r="B26076" s="1168"/>
    </row>
    <row r="26077" spans="2:2" s="221" customFormat="1" ht="12.75" x14ac:dyDescent="0.2">
      <c r="B26077" s="1168"/>
    </row>
    <row r="26078" spans="2:2" s="221" customFormat="1" ht="12.75" x14ac:dyDescent="0.2">
      <c r="B26078" s="1168"/>
    </row>
    <row r="26079" spans="2:2" s="221" customFormat="1" ht="12.75" x14ac:dyDescent="0.2">
      <c r="B26079" s="1168"/>
    </row>
    <row r="26080" spans="2:2" s="221" customFormat="1" ht="12.75" x14ac:dyDescent="0.2">
      <c r="B26080" s="1168"/>
    </row>
    <row r="26081" spans="2:2" s="221" customFormat="1" ht="12.75" x14ac:dyDescent="0.2">
      <c r="B26081" s="1168"/>
    </row>
    <row r="26082" spans="2:2" s="221" customFormat="1" ht="12.75" x14ac:dyDescent="0.2">
      <c r="B26082" s="1168"/>
    </row>
    <row r="26083" spans="2:2" s="221" customFormat="1" ht="12.75" x14ac:dyDescent="0.2">
      <c r="B26083" s="1168"/>
    </row>
    <row r="26084" spans="2:2" s="221" customFormat="1" ht="12.75" x14ac:dyDescent="0.2">
      <c r="B26084" s="1168"/>
    </row>
    <row r="26085" spans="2:2" s="221" customFormat="1" ht="12.75" x14ac:dyDescent="0.2">
      <c r="B26085" s="1168"/>
    </row>
    <row r="26086" spans="2:2" s="221" customFormat="1" ht="12.75" x14ac:dyDescent="0.2">
      <c r="B26086" s="1168"/>
    </row>
    <row r="26087" spans="2:2" s="221" customFormat="1" ht="12.75" x14ac:dyDescent="0.2">
      <c r="B26087" s="1168"/>
    </row>
    <row r="26088" spans="2:2" s="221" customFormat="1" ht="12.75" x14ac:dyDescent="0.2">
      <c r="B26088" s="1168"/>
    </row>
    <row r="26089" spans="2:2" s="221" customFormat="1" ht="12.75" x14ac:dyDescent="0.2">
      <c r="B26089" s="1168"/>
    </row>
    <row r="26090" spans="2:2" s="221" customFormat="1" ht="12.75" x14ac:dyDescent="0.2">
      <c r="B26090" s="1168"/>
    </row>
    <row r="26091" spans="2:2" s="221" customFormat="1" ht="12.75" x14ac:dyDescent="0.2">
      <c r="B26091" s="1168"/>
    </row>
    <row r="26092" spans="2:2" s="221" customFormat="1" ht="12.75" x14ac:dyDescent="0.2">
      <c r="B26092" s="1168"/>
    </row>
    <row r="26093" spans="2:2" s="221" customFormat="1" ht="12.75" x14ac:dyDescent="0.2">
      <c r="B26093" s="1168"/>
    </row>
    <row r="26094" spans="2:2" s="221" customFormat="1" ht="12.75" x14ac:dyDescent="0.2">
      <c r="B26094" s="1168"/>
    </row>
    <row r="26095" spans="2:2" s="221" customFormat="1" ht="12.75" x14ac:dyDescent="0.2">
      <c r="B26095" s="1168"/>
    </row>
    <row r="26096" spans="2:2" s="221" customFormat="1" ht="12.75" x14ac:dyDescent="0.2">
      <c r="B26096" s="1168"/>
    </row>
    <row r="26097" spans="2:2" s="221" customFormat="1" ht="12.75" x14ac:dyDescent="0.2">
      <c r="B26097" s="1168"/>
    </row>
    <row r="26098" spans="2:2" s="221" customFormat="1" ht="12.75" x14ac:dyDescent="0.2">
      <c r="B26098" s="1168"/>
    </row>
    <row r="26099" spans="2:2" s="221" customFormat="1" ht="12.75" x14ac:dyDescent="0.2">
      <c r="B26099" s="1168"/>
    </row>
    <row r="26100" spans="2:2" s="221" customFormat="1" ht="12.75" x14ac:dyDescent="0.2">
      <c r="B26100" s="1168"/>
    </row>
    <row r="26101" spans="2:2" s="221" customFormat="1" ht="12.75" x14ac:dyDescent="0.2">
      <c r="B26101" s="1168"/>
    </row>
    <row r="26102" spans="2:2" s="221" customFormat="1" ht="12.75" x14ac:dyDescent="0.2">
      <c r="B26102" s="1168"/>
    </row>
    <row r="26103" spans="2:2" s="221" customFormat="1" ht="12.75" x14ac:dyDescent="0.2">
      <c r="B26103" s="1168"/>
    </row>
    <row r="26104" spans="2:2" s="221" customFormat="1" ht="12.75" x14ac:dyDescent="0.2">
      <c r="B26104" s="1168"/>
    </row>
    <row r="26105" spans="2:2" s="221" customFormat="1" ht="12.75" x14ac:dyDescent="0.2">
      <c r="B26105" s="1168"/>
    </row>
    <row r="26106" spans="2:2" s="221" customFormat="1" ht="12.75" x14ac:dyDescent="0.2">
      <c r="B26106" s="1168"/>
    </row>
    <row r="26107" spans="2:2" s="221" customFormat="1" ht="12.75" x14ac:dyDescent="0.2">
      <c r="B26107" s="1168"/>
    </row>
    <row r="26108" spans="2:2" s="221" customFormat="1" ht="12.75" x14ac:dyDescent="0.2">
      <c r="B26108" s="1168"/>
    </row>
    <row r="26109" spans="2:2" s="221" customFormat="1" ht="12.75" x14ac:dyDescent="0.2">
      <c r="B26109" s="1168"/>
    </row>
    <row r="26110" spans="2:2" s="221" customFormat="1" ht="12.75" x14ac:dyDescent="0.2">
      <c r="B26110" s="1168"/>
    </row>
    <row r="26111" spans="2:2" s="221" customFormat="1" ht="12.75" x14ac:dyDescent="0.2">
      <c r="B26111" s="1168"/>
    </row>
    <row r="26112" spans="2:2" s="221" customFormat="1" ht="12.75" x14ac:dyDescent="0.2">
      <c r="B26112" s="1168"/>
    </row>
    <row r="26113" spans="2:2" s="221" customFormat="1" ht="12.75" x14ac:dyDescent="0.2">
      <c r="B26113" s="1168"/>
    </row>
    <row r="26114" spans="2:2" s="221" customFormat="1" ht="12.75" x14ac:dyDescent="0.2">
      <c r="B26114" s="1168"/>
    </row>
    <row r="26115" spans="2:2" s="221" customFormat="1" ht="12.75" x14ac:dyDescent="0.2">
      <c r="B26115" s="1168"/>
    </row>
    <row r="26116" spans="2:2" s="221" customFormat="1" ht="12.75" x14ac:dyDescent="0.2">
      <c r="B26116" s="1168"/>
    </row>
    <row r="26117" spans="2:2" s="221" customFormat="1" ht="12.75" x14ac:dyDescent="0.2">
      <c r="B26117" s="1168"/>
    </row>
    <row r="26118" spans="2:2" s="221" customFormat="1" ht="12.75" x14ac:dyDescent="0.2">
      <c r="B26118" s="1168"/>
    </row>
    <row r="26119" spans="2:2" s="221" customFormat="1" ht="12.75" x14ac:dyDescent="0.2">
      <c r="B26119" s="1168"/>
    </row>
    <row r="26120" spans="2:2" s="221" customFormat="1" ht="12.75" x14ac:dyDescent="0.2">
      <c r="B26120" s="1168"/>
    </row>
    <row r="26121" spans="2:2" s="221" customFormat="1" ht="12.75" x14ac:dyDescent="0.2">
      <c r="B26121" s="1168"/>
    </row>
    <row r="26122" spans="2:2" s="221" customFormat="1" ht="12.75" x14ac:dyDescent="0.2">
      <c r="B26122" s="1168"/>
    </row>
    <row r="26123" spans="2:2" s="221" customFormat="1" ht="12.75" x14ac:dyDescent="0.2">
      <c r="B26123" s="1168"/>
    </row>
    <row r="26124" spans="2:2" s="221" customFormat="1" ht="12.75" x14ac:dyDescent="0.2">
      <c r="B26124" s="1168"/>
    </row>
    <row r="26125" spans="2:2" s="221" customFormat="1" ht="12.75" x14ac:dyDescent="0.2">
      <c r="B26125" s="1168"/>
    </row>
    <row r="26126" spans="2:2" s="221" customFormat="1" ht="12.75" x14ac:dyDescent="0.2">
      <c r="B26126" s="1168"/>
    </row>
    <row r="26127" spans="2:2" s="221" customFormat="1" ht="12.75" x14ac:dyDescent="0.2">
      <c r="B26127" s="1168"/>
    </row>
    <row r="26128" spans="2:2" s="221" customFormat="1" ht="12.75" x14ac:dyDescent="0.2">
      <c r="B26128" s="1168"/>
    </row>
    <row r="26129" spans="2:2" s="221" customFormat="1" ht="12.75" x14ac:dyDescent="0.2">
      <c r="B26129" s="1168"/>
    </row>
    <row r="26130" spans="2:2" s="221" customFormat="1" ht="12.75" x14ac:dyDescent="0.2">
      <c r="B26130" s="1168"/>
    </row>
    <row r="26131" spans="2:2" s="221" customFormat="1" ht="12.75" x14ac:dyDescent="0.2">
      <c r="B26131" s="1168"/>
    </row>
    <row r="26132" spans="2:2" s="221" customFormat="1" ht="12.75" x14ac:dyDescent="0.2">
      <c r="B26132" s="1168"/>
    </row>
    <row r="26133" spans="2:2" s="221" customFormat="1" ht="12.75" x14ac:dyDescent="0.2">
      <c r="B26133" s="1168"/>
    </row>
    <row r="26134" spans="2:2" s="221" customFormat="1" ht="12.75" x14ac:dyDescent="0.2">
      <c r="B26134" s="1168"/>
    </row>
    <row r="26135" spans="2:2" s="221" customFormat="1" ht="12.75" x14ac:dyDescent="0.2">
      <c r="B26135" s="1168"/>
    </row>
    <row r="26136" spans="2:2" s="221" customFormat="1" ht="12.75" x14ac:dyDescent="0.2">
      <c r="B26136" s="1168"/>
    </row>
    <row r="26137" spans="2:2" s="221" customFormat="1" ht="12.75" x14ac:dyDescent="0.2">
      <c r="B26137" s="1168"/>
    </row>
    <row r="26138" spans="2:2" s="221" customFormat="1" ht="12.75" x14ac:dyDescent="0.2">
      <c r="B26138" s="1168"/>
    </row>
    <row r="26139" spans="2:2" s="221" customFormat="1" ht="12.75" x14ac:dyDescent="0.2">
      <c r="B26139" s="1168"/>
    </row>
    <row r="26140" spans="2:2" s="221" customFormat="1" ht="12.75" x14ac:dyDescent="0.2">
      <c r="B26140" s="1168"/>
    </row>
    <row r="26141" spans="2:2" s="221" customFormat="1" ht="12.75" x14ac:dyDescent="0.2">
      <c r="B26141" s="1168"/>
    </row>
    <row r="26142" spans="2:2" s="221" customFormat="1" ht="12.75" x14ac:dyDescent="0.2">
      <c r="B26142" s="1168"/>
    </row>
    <row r="26143" spans="2:2" s="221" customFormat="1" ht="12.75" x14ac:dyDescent="0.2">
      <c r="B26143" s="1168"/>
    </row>
    <row r="26144" spans="2:2" s="221" customFormat="1" ht="12.75" x14ac:dyDescent="0.2">
      <c r="B26144" s="1168"/>
    </row>
    <row r="26145" spans="2:2" s="221" customFormat="1" ht="12.75" x14ac:dyDescent="0.2">
      <c r="B26145" s="1168"/>
    </row>
    <row r="26146" spans="2:2" s="221" customFormat="1" ht="12.75" x14ac:dyDescent="0.2">
      <c r="B26146" s="1168"/>
    </row>
    <row r="26147" spans="2:2" s="221" customFormat="1" ht="12.75" x14ac:dyDescent="0.2">
      <c r="B26147" s="1168"/>
    </row>
    <row r="26148" spans="2:2" s="221" customFormat="1" ht="12.75" x14ac:dyDescent="0.2">
      <c r="B26148" s="1168"/>
    </row>
    <row r="26149" spans="2:2" s="221" customFormat="1" ht="12.75" x14ac:dyDescent="0.2">
      <c r="B26149" s="1168"/>
    </row>
    <row r="26150" spans="2:2" s="221" customFormat="1" ht="12.75" x14ac:dyDescent="0.2">
      <c r="B26150" s="1168"/>
    </row>
    <row r="26151" spans="2:2" s="221" customFormat="1" ht="12.75" x14ac:dyDescent="0.2">
      <c r="B26151" s="1168"/>
    </row>
    <row r="26152" spans="2:2" s="221" customFormat="1" ht="12.75" x14ac:dyDescent="0.2">
      <c r="B26152" s="1168"/>
    </row>
    <row r="26153" spans="2:2" s="221" customFormat="1" ht="12.75" x14ac:dyDescent="0.2">
      <c r="B26153" s="1168"/>
    </row>
    <row r="26154" spans="2:2" s="221" customFormat="1" ht="12.75" x14ac:dyDescent="0.2">
      <c r="B26154" s="1168"/>
    </row>
    <row r="26155" spans="2:2" s="221" customFormat="1" ht="12.75" x14ac:dyDescent="0.2">
      <c r="B26155" s="1168"/>
    </row>
    <row r="26156" spans="2:2" s="221" customFormat="1" ht="12.75" x14ac:dyDescent="0.2">
      <c r="B26156" s="1168"/>
    </row>
    <row r="26157" spans="2:2" s="221" customFormat="1" ht="12.75" x14ac:dyDescent="0.2">
      <c r="B26157" s="1168"/>
    </row>
    <row r="26158" spans="2:2" s="221" customFormat="1" ht="12.75" x14ac:dyDescent="0.2">
      <c r="B26158" s="1168"/>
    </row>
    <row r="26159" spans="2:2" s="221" customFormat="1" ht="12.75" x14ac:dyDescent="0.2">
      <c r="B26159" s="1168"/>
    </row>
    <row r="26160" spans="2:2" s="221" customFormat="1" ht="12.75" x14ac:dyDescent="0.2">
      <c r="B26160" s="1168"/>
    </row>
    <row r="26161" spans="2:2" s="221" customFormat="1" ht="12.75" x14ac:dyDescent="0.2">
      <c r="B26161" s="1168"/>
    </row>
    <row r="26162" spans="2:2" s="221" customFormat="1" ht="12.75" x14ac:dyDescent="0.2">
      <c r="B26162" s="1168"/>
    </row>
    <row r="26163" spans="2:2" s="221" customFormat="1" ht="12.75" x14ac:dyDescent="0.2">
      <c r="B26163" s="1168"/>
    </row>
    <row r="26164" spans="2:2" s="221" customFormat="1" ht="12.75" x14ac:dyDescent="0.2">
      <c r="B26164" s="1168"/>
    </row>
    <row r="26165" spans="2:2" s="221" customFormat="1" ht="12.75" x14ac:dyDescent="0.2">
      <c r="B26165" s="1168"/>
    </row>
    <row r="26166" spans="2:2" s="221" customFormat="1" ht="12.75" x14ac:dyDescent="0.2">
      <c r="B26166" s="1168"/>
    </row>
    <row r="26167" spans="2:2" s="221" customFormat="1" ht="12.75" x14ac:dyDescent="0.2">
      <c r="B26167" s="1168"/>
    </row>
    <row r="26168" spans="2:2" s="221" customFormat="1" ht="12.75" x14ac:dyDescent="0.2">
      <c r="B26168" s="1168"/>
    </row>
    <row r="26169" spans="2:2" s="221" customFormat="1" ht="12.75" x14ac:dyDescent="0.2">
      <c r="B26169" s="1168"/>
    </row>
    <row r="26170" spans="2:2" s="221" customFormat="1" ht="12.75" x14ac:dyDescent="0.2">
      <c r="B26170" s="1168"/>
    </row>
    <row r="26171" spans="2:2" s="221" customFormat="1" ht="12.75" x14ac:dyDescent="0.2">
      <c r="B26171" s="1168"/>
    </row>
    <row r="26172" spans="2:2" s="221" customFormat="1" ht="12.75" x14ac:dyDescent="0.2">
      <c r="B26172" s="1168"/>
    </row>
    <row r="26173" spans="2:2" s="221" customFormat="1" ht="12.75" x14ac:dyDescent="0.2">
      <c r="B26173" s="1168"/>
    </row>
    <row r="26174" spans="2:2" s="221" customFormat="1" ht="12.75" x14ac:dyDescent="0.2">
      <c r="B26174" s="1168"/>
    </row>
    <row r="26175" spans="2:2" s="221" customFormat="1" ht="12.75" x14ac:dyDescent="0.2">
      <c r="B26175" s="1168"/>
    </row>
    <row r="26176" spans="2:2" s="221" customFormat="1" ht="12.75" x14ac:dyDescent="0.2">
      <c r="B26176" s="1168"/>
    </row>
    <row r="26177" spans="2:2" s="221" customFormat="1" ht="12.75" x14ac:dyDescent="0.2">
      <c r="B26177" s="1168"/>
    </row>
    <row r="26178" spans="2:2" s="221" customFormat="1" ht="12.75" x14ac:dyDescent="0.2">
      <c r="B26178" s="1168"/>
    </row>
    <row r="26179" spans="2:2" s="221" customFormat="1" ht="12.75" x14ac:dyDescent="0.2">
      <c r="B26179" s="1168"/>
    </row>
    <row r="26180" spans="2:2" s="221" customFormat="1" ht="12.75" x14ac:dyDescent="0.2">
      <c r="B26180" s="1168"/>
    </row>
    <row r="26181" spans="2:2" s="221" customFormat="1" ht="12.75" x14ac:dyDescent="0.2">
      <c r="B26181" s="1168"/>
    </row>
    <row r="26182" spans="2:2" s="221" customFormat="1" ht="12.75" x14ac:dyDescent="0.2">
      <c r="B26182" s="1168"/>
    </row>
    <row r="26183" spans="2:2" s="221" customFormat="1" ht="12.75" x14ac:dyDescent="0.2">
      <c r="B26183" s="1168"/>
    </row>
    <row r="26184" spans="2:2" s="221" customFormat="1" ht="12.75" x14ac:dyDescent="0.2">
      <c r="B26184" s="1168"/>
    </row>
    <row r="26185" spans="2:2" s="221" customFormat="1" ht="12.75" x14ac:dyDescent="0.2">
      <c r="B26185" s="1168"/>
    </row>
    <row r="26186" spans="2:2" s="221" customFormat="1" ht="12.75" x14ac:dyDescent="0.2">
      <c r="B26186" s="1168"/>
    </row>
    <row r="26187" spans="2:2" s="221" customFormat="1" ht="12.75" x14ac:dyDescent="0.2">
      <c r="B26187" s="1168"/>
    </row>
    <row r="26188" spans="2:2" s="221" customFormat="1" ht="12.75" x14ac:dyDescent="0.2">
      <c r="B26188" s="1168"/>
    </row>
    <row r="26189" spans="2:2" s="221" customFormat="1" ht="12.75" x14ac:dyDescent="0.2">
      <c r="B26189" s="1168"/>
    </row>
    <row r="26190" spans="2:2" s="221" customFormat="1" ht="12.75" x14ac:dyDescent="0.2">
      <c r="B26190" s="1168"/>
    </row>
    <row r="26191" spans="2:2" s="221" customFormat="1" ht="12.75" x14ac:dyDescent="0.2">
      <c r="B26191" s="1168"/>
    </row>
    <row r="26192" spans="2:2" s="221" customFormat="1" ht="12.75" x14ac:dyDescent="0.2">
      <c r="B26192" s="1168"/>
    </row>
    <row r="26193" spans="2:2" s="221" customFormat="1" ht="12.75" x14ac:dyDescent="0.2">
      <c r="B26193" s="1168"/>
    </row>
    <row r="26194" spans="2:2" s="221" customFormat="1" ht="12.75" x14ac:dyDescent="0.2">
      <c r="B26194" s="1168"/>
    </row>
    <row r="26195" spans="2:2" s="221" customFormat="1" ht="12.75" x14ac:dyDescent="0.2">
      <c r="B26195" s="1168"/>
    </row>
    <row r="26196" spans="2:2" s="221" customFormat="1" ht="12.75" x14ac:dyDescent="0.2">
      <c r="B26196" s="1168"/>
    </row>
    <row r="26197" spans="2:2" s="221" customFormat="1" ht="12.75" x14ac:dyDescent="0.2">
      <c r="B26197" s="1168"/>
    </row>
    <row r="26198" spans="2:2" s="221" customFormat="1" ht="12.75" x14ac:dyDescent="0.2">
      <c r="B26198" s="1168"/>
    </row>
    <row r="26199" spans="2:2" s="221" customFormat="1" ht="12.75" x14ac:dyDescent="0.2">
      <c r="B26199" s="1168"/>
    </row>
    <row r="26200" spans="2:2" s="221" customFormat="1" ht="12.75" x14ac:dyDescent="0.2">
      <c r="B26200" s="1168"/>
    </row>
    <row r="26201" spans="2:2" s="221" customFormat="1" ht="12.75" x14ac:dyDescent="0.2">
      <c r="B26201" s="1168"/>
    </row>
    <row r="26202" spans="2:2" s="221" customFormat="1" ht="12.75" x14ac:dyDescent="0.2">
      <c r="B26202" s="1168"/>
    </row>
    <row r="26203" spans="2:2" s="221" customFormat="1" ht="12.75" x14ac:dyDescent="0.2">
      <c r="B26203" s="1168"/>
    </row>
    <row r="26204" spans="2:2" s="221" customFormat="1" ht="12.75" x14ac:dyDescent="0.2">
      <c r="B26204" s="1168"/>
    </row>
    <row r="26205" spans="2:2" s="221" customFormat="1" ht="12.75" x14ac:dyDescent="0.2">
      <c r="B26205" s="1168"/>
    </row>
    <row r="26206" spans="2:2" s="221" customFormat="1" ht="12.75" x14ac:dyDescent="0.2">
      <c r="B26206" s="1168"/>
    </row>
    <row r="26207" spans="2:2" s="221" customFormat="1" ht="12.75" x14ac:dyDescent="0.2">
      <c r="B26207" s="1168"/>
    </row>
    <row r="26208" spans="2:2" s="221" customFormat="1" ht="12.75" x14ac:dyDescent="0.2">
      <c r="B26208" s="1168"/>
    </row>
    <row r="26209" spans="2:2" s="221" customFormat="1" ht="12.75" x14ac:dyDescent="0.2">
      <c r="B26209" s="1168"/>
    </row>
    <row r="26210" spans="2:2" s="221" customFormat="1" ht="12.75" x14ac:dyDescent="0.2">
      <c r="B26210" s="1168"/>
    </row>
    <row r="26211" spans="2:2" s="221" customFormat="1" ht="12.75" x14ac:dyDescent="0.2">
      <c r="B26211" s="1168"/>
    </row>
    <row r="26212" spans="2:2" s="221" customFormat="1" ht="12.75" x14ac:dyDescent="0.2">
      <c r="B26212" s="1168"/>
    </row>
    <row r="26213" spans="2:2" s="221" customFormat="1" ht="12.75" x14ac:dyDescent="0.2">
      <c r="B26213" s="1168"/>
    </row>
    <row r="26214" spans="2:2" s="221" customFormat="1" ht="12.75" x14ac:dyDescent="0.2">
      <c r="B26214" s="1168"/>
    </row>
    <row r="26215" spans="2:2" s="221" customFormat="1" ht="12.75" x14ac:dyDescent="0.2">
      <c r="B26215" s="1168"/>
    </row>
    <row r="26216" spans="2:2" s="221" customFormat="1" ht="12.75" x14ac:dyDescent="0.2">
      <c r="B26216" s="1168"/>
    </row>
    <row r="26217" spans="2:2" s="221" customFormat="1" ht="12.75" x14ac:dyDescent="0.2">
      <c r="B26217" s="1168"/>
    </row>
    <row r="26218" spans="2:2" s="221" customFormat="1" ht="12.75" x14ac:dyDescent="0.2">
      <c r="B26218" s="1168"/>
    </row>
    <row r="26219" spans="2:2" s="221" customFormat="1" ht="12.75" x14ac:dyDescent="0.2">
      <c r="B26219" s="1168"/>
    </row>
    <row r="26220" spans="2:2" s="221" customFormat="1" ht="12.75" x14ac:dyDescent="0.2">
      <c r="B26220" s="1168"/>
    </row>
    <row r="26221" spans="2:2" s="221" customFormat="1" ht="12.75" x14ac:dyDescent="0.2">
      <c r="B26221" s="1168"/>
    </row>
    <row r="26222" spans="2:2" s="221" customFormat="1" ht="12.75" x14ac:dyDescent="0.2">
      <c r="B26222" s="1168"/>
    </row>
    <row r="26223" spans="2:2" s="221" customFormat="1" ht="12.75" x14ac:dyDescent="0.2">
      <c r="B26223" s="1168"/>
    </row>
    <row r="26224" spans="2:2" s="221" customFormat="1" ht="12.75" x14ac:dyDescent="0.2">
      <c r="B26224" s="1168"/>
    </row>
    <row r="26225" spans="2:2" s="221" customFormat="1" ht="12.75" x14ac:dyDescent="0.2">
      <c r="B26225" s="1168"/>
    </row>
    <row r="26226" spans="2:2" s="221" customFormat="1" ht="12.75" x14ac:dyDescent="0.2">
      <c r="B26226" s="1168"/>
    </row>
    <row r="26227" spans="2:2" s="221" customFormat="1" ht="12.75" x14ac:dyDescent="0.2">
      <c r="B26227" s="1168"/>
    </row>
    <row r="26228" spans="2:2" s="221" customFormat="1" ht="12.75" x14ac:dyDescent="0.2">
      <c r="B26228" s="1168"/>
    </row>
    <row r="26229" spans="2:2" s="221" customFormat="1" ht="12.75" x14ac:dyDescent="0.2">
      <c r="B26229" s="1168"/>
    </row>
    <row r="26230" spans="2:2" s="221" customFormat="1" ht="12.75" x14ac:dyDescent="0.2">
      <c r="B26230" s="1168"/>
    </row>
    <row r="26231" spans="2:2" s="221" customFormat="1" ht="12.75" x14ac:dyDescent="0.2">
      <c r="B26231" s="1168"/>
    </row>
    <row r="26232" spans="2:2" s="221" customFormat="1" ht="12.75" x14ac:dyDescent="0.2">
      <c r="B26232" s="1168"/>
    </row>
    <row r="26233" spans="2:2" s="221" customFormat="1" ht="12.75" x14ac:dyDescent="0.2">
      <c r="B26233" s="1168"/>
    </row>
    <row r="26234" spans="2:2" s="221" customFormat="1" ht="12.75" x14ac:dyDescent="0.2">
      <c r="B26234" s="1168"/>
    </row>
    <row r="26235" spans="2:2" s="221" customFormat="1" ht="12.75" x14ac:dyDescent="0.2">
      <c r="B26235" s="1168"/>
    </row>
    <row r="26236" spans="2:2" s="221" customFormat="1" ht="12.75" x14ac:dyDescent="0.2">
      <c r="B26236" s="1168"/>
    </row>
    <row r="26237" spans="2:2" s="221" customFormat="1" ht="12.75" x14ac:dyDescent="0.2">
      <c r="B26237" s="1168"/>
    </row>
    <row r="26238" spans="2:2" s="221" customFormat="1" ht="12.75" x14ac:dyDescent="0.2">
      <c r="B26238" s="1168"/>
    </row>
    <row r="26239" spans="2:2" s="221" customFormat="1" ht="12.75" x14ac:dyDescent="0.2">
      <c r="B26239" s="1168"/>
    </row>
    <row r="26240" spans="2:2" s="221" customFormat="1" ht="12.75" x14ac:dyDescent="0.2">
      <c r="B26240" s="1168"/>
    </row>
    <row r="26241" spans="2:2" s="221" customFormat="1" ht="12.75" x14ac:dyDescent="0.2">
      <c r="B26241" s="1168"/>
    </row>
    <row r="26242" spans="2:2" s="221" customFormat="1" ht="12.75" x14ac:dyDescent="0.2">
      <c r="B26242" s="1168"/>
    </row>
    <row r="26243" spans="2:2" s="221" customFormat="1" ht="12.75" x14ac:dyDescent="0.2">
      <c r="B26243" s="1168"/>
    </row>
    <row r="26244" spans="2:2" s="221" customFormat="1" ht="12.75" x14ac:dyDescent="0.2">
      <c r="B26244" s="1168"/>
    </row>
    <row r="26245" spans="2:2" s="221" customFormat="1" ht="12.75" x14ac:dyDescent="0.2">
      <c r="B26245" s="1168"/>
    </row>
    <row r="26246" spans="2:2" s="221" customFormat="1" ht="12.75" x14ac:dyDescent="0.2">
      <c r="B26246" s="1168"/>
    </row>
    <row r="26247" spans="2:2" s="221" customFormat="1" ht="12.75" x14ac:dyDescent="0.2">
      <c r="B26247" s="1168"/>
    </row>
    <row r="26248" spans="2:2" s="221" customFormat="1" ht="12.75" x14ac:dyDescent="0.2">
      <c r="B26248" s="1168"/>
    </row>
    <row r="26249" spans="2:2" s="221" customFormat="1" ht="12.75" x14ac:dyDescent="0.2">
      <c r="B26249" s="1168"/>
    </row>
    <row r="26250" spans="2:2" s="221" customFormat="1" ht="12.75" x14ac:dyDescent="0.2">
      <c r="B26250" s="1168"/>
    </row>
    <row r="26251" spans="2:2" s="221" customFormat="1" ht="12.75" x14ac:dyDescent="0.2">
      <c r="B26251" s="1168"/>
    </row>
    <row r="26252" spans="2:2" s="221" customFormat="1" ht="12.75" x14ac:dyDescent="0.2">
      <c r="B26252" s="1168"/>
    </row>
    <row r="26253" spans="2:2" s="221" customFormat="1" ht="12.75" x14ac:dyDescent="0.2">
      <c r="B26253" s="1168"/>
    </row>
    <row r="26254" spans="2:2" s="221" customFormat="1" ht="12.75" x14ac:dyDescent="0.2">
      <c r="B26254" s="1168"/>
    </row>
    <row r="26255" spans="2:2" s="221" customFormat="1" ht="12.75" x14ac:dyDescent="0.2">
      <c r="B26255" s="1168"/>
    </row>
    <row r="26256" spans="2:2" s="221" customFormat="1" ht="12.75" x14ac:dyDescent="0.2">
      <c r="B26256" s="1168"/>
    </row>
    <row r="26257" spans="2:2" s="221" customFormat="1" ht="12.75" x14ac:dyDescent="0.2">
      <c r="B26257" s="1168"/>
    </row>
    <row r="26258" spans="2:2" s="221" customFormat="1" ht="12.75" x14ac:dyDescent="0.2">
      <c r="B26258" s="1168"/>
    </row>
    <row r="26259" spans="2:2" s="221" customFormat="1" ht="12.75" x14ac:dyDescent="0.2">
      <c r="B26259" s="1168"/>
    </row>
    <row r="26260" spans="2:2" s="221" customFormat="1" ht="12.75" x14ac:dyDescent="0.2">
      <c r="B26260" s="1168"/>
    </row>
    <row r="26261" spans="2:2" s="221" customFormat="1" ht="12.75" x14ac:dyDescent="0.2">
      <c r="B26261" s="1168"/>
    </row>
    <row r="26262" spans="2:2" s="221" customFormat="1" ht="12.75" x14ac:dyDescent="0.2">
      <c r="B26262" s="1168"/>
    </row>
    <row r="26263" spans="2:2" s="221" customFormat="1" ht="12.75" x14ac:dyDescent="0.2">
      <c r="B26263" s="1168"/>
    </row>
    <row r="26264" spans="2:2" s="221" customFormat="1" ht="12.75" x14ac:dyDescent="0.2">
      <c r="B26264" s="1168"/>
    </row>
    <row r="26265" spans="2:2" s="221" customFormat="1" ht="12.75" x14ac:dyDescent="0.2">
      <c r="B26265" s="1168"/>
    </row>
    <row r="26266" spans="2:2" s="221" customFormat="1" ht="12.75" x14ac:dyDescent="0.2">
      <c r="B26266" s="1168"/>
    </row>
    <row r="26267" spans="2:2" s="221" customFormat="1" ht="12.75" x14ac:dyDescent="0.2">
      <c r="B26267" s="1168"/>
    </row>
    <row r="26268" spans="2:2" s="221" customFormat="1" ht="12.75" x14ac:dyDescent="0.2">
      <c r="B26268" s="1168"/>
    </row>
    <row r="26269" spans="2:2" s="221" customFormat="1" ht="12.75" x14ac:dyDescent="0.2">
      <c r="B26269" s="1168"/>
    </row>
    <row r="26270" spans="2:2" s="221" customFormat="1" ht="12.75" x14ac:dyDescent="0.2">
      <c r="B26270" s="1168"/>
    </row>
    <row r="26271" spans="2:2" s="221" customFormat="1" ht="12.75" x14ac:dyDescent="0.2">
      <c r="B26271" s="1168"/>
    </row>
    <row r="26272" spans="2:2" s="221" customFormat="1" ht="12.75" x14ac:dyDescent="0.2">
      <c r="B26272" s="1168"/>
    </row>
    <row r="26273" spans="2:2" s="221" customFormat="1" ht="12.75" x14ac:dyDescent="0.2">
      <c r="B26273" s="1168"/>
    </row>
    <row r="26274" spans="2:2" s="221" customFormat="1" ht="12.75" x14ac:dyDescent="0.2">
      <c r="B26274" s="1168"/>
    </row>
    <row r="26275" spans="2:2" s="221" customFormat="1" ht="12.75" x14ac:dyDescent="0.2">
      <c r="B26275" s="1168"/>
    </row>
    <row r="26276" spans="2:2" s="221" customFormat="1" ht="12.75" x14ac:dyDescent="0.2">
      <c r="B26276" s="1168"/>
    </row>
    <row r="26277" spans="2:2" s="221" customFormat="1" ht="12.75" x14ac:dyDescent="0.2">
      <c r="B26277" s="1168"/>
    </row>
    <row r="26278" spans="2:2" s="221" customFormat="1" ht="12.75" x14ac:dyDescent="0.2">
      <c r="B26278" s="1168"/>
    </row>
    <row r="26279" spans="2:2" s="221" customFormat="1" ht="12.75" x14ac:dyDescent="0.2">
      <c r="B26279" s="1168"/>
    </row>
    <row r="26280" spans="2:2" s="221" customFormat="1" ht="12.75" x14ac:dyDescent="0.2">
      <c r="B26280" s="1168"/>
    </row>
    <row r="26281" spans="2:2" s="221" customFormat="1" ht="12.75" x14ac:dyDescent="0.2">
      <c r="B26281" s="1168"/>
    </row>
    <row r="26282" spans="2:2" s="221" customFormat="1" ht="12.75" x14ac:dyDescent="0.2">
      <c r="B26282" s="1168"/>
    </row>
    <row r="26283" spans="2:2" s="221" customFormat="1" ht="12.75" x14ac:dyDescent="0.2">
      <c r="B26283" s="1168"/>
    </row>
    <row r="26284" spans="2:2" s="221" customFormat="1" ht="12.75" x14ac:dyDescent="0.2">
      <c r="B26284" s="1168"/>
    </row>
    <row r="26285" spans="2:2" s="221" customFormat="1" ht="12.75" x14ac:dyDescent="0.2">
      <c r="B26285" s="1168"/>
    </row>
    <row r="26286" spans="2:2" s="221" customFormat="1" ht="12.75" x14ac:dyDescent="0.2">
      <c r="B26286" s="1168"/>
    </row>
    <row r="26287" spans="2:2" s="221" customFormat="1" ht="12.75" x14ac:dyDescent="0.2">
      <c r="B26287" s="1168"/>
    </row>
    <row r="26288" spans="2:2" s="221" customFormat="1" ht="12.75" x14ac:dyDescent="0.2">
      <c r="B26288" s="1168"/>
    </row>
    <row r="26289" spans="2:2" s="221" customFormat="1" ht="12.75" x14ac:dyDescent="0.2">
      <c r="B26289" s="1168"/>
    </row>
    <row r="26290" spans="2:2" s="221" customFormat="1" ht="12.75" x14ac:dyDescent="0.2">
      <c r="B26290" s="1168"/>
    </row>
    <row r="26291" spans="2:2" s="221" customFormat="1" ht="12.75" x14ac:dyDescent="0.2">
      <c r="B26291" s="1168"/>
    </row>
    <row r="26292" spans="2:2" s="221" customFormat="1" ht="12.75" x14ac:dyDescent="0.2">
      <c r="B26292" s="1168"/>
    </row>
    <row r="26293" spans="2:2" s="221" customFormat="1" ht="12.75" x14ac:dyDescent="0.2">
      <c r="B26293" s="1168"/>
    </row>
    <row r="26294" spans="2:2" s="221" customFormat="1" ht="12.75" x14ac:dyDescent="0.2">
      <c r="B26294" s="1168"/>
    </row>
    <row r="26295" spans="2:2" s="221" customFormat="1" ht="12.75" x14ac:dyDescent="0.2">
      <c r="B26295" s="1168"/>
    </row>
    <row r="26296" spans="2:2" s="221" customFormat="1" ht="12.75" x14ac:dyDescent="0.2">
      <c r="B26296" s="1168"/>
    </row>
    <row r="26297" spans="2:2" s="221" customFormat="1" ht="12.75" x14ac:dyDescent="0.2">
      <c r="B26297" s="1168"/>
    </row>
    <row r="26298" spans="2:2" s="221" customFormat="1" ht="12.75" x14ac:dyDescent="0.2">
      <c r="B26298" s="1168"/>
    </row>
    <row r="26299" spans="2:2" s="221" customFormat="1" ht="12.75" x14ac:dyDescent="0.2">
      <c r="B26299" s="1168"/>
    </row>
    <row r="26300" spans="2:2" s="221" customFormat="1" ht="12.75" x14ac:dyDescent="0.2">
      <c r="B26300" s="1168"/>
    </row>
    <row r="26301" spans="2:2" s="221" customFormat="1" ht="12.75" x14ac:dyDescent="0.2">
      <c r="B26301" s="1168"/>
    </row>
    <row r="26302" spans="2:2" s="221" customFormat="1" ht="12.75" x14ac:dyDescent="0.2">
      <c r="B26302" s="1168"/>
    </row>
    <row r="26303" spans="2:2" s="221" customFormat="1" ht="12.75" x14ac:dyDescent="0.2">
      <c r="B26303" s="1168"/>
    </row>
    <row r="26304" spans="2:2" s="221" customFormat="1" ht="12.75" x14ac:dyDescent="0.2">
      <c r="B26304" s="1168"/>
    </row>
    <row r="26305" spans="2:2" s="221" customFormat="1" ht="12.75" x14ac:dyDescent="0.2">
      <c r="B26305" s="1168"/>
    </row>
    <row r="26306" spans="2:2" s="221" customFormat="1" ht="12.75" x14ac:dyDescent="0.2">
      <c r="B26306" s="1168"/>
    </row>
    <row r="26307" spans="2:2" s="221" customFormat="1" ht="12.75" x14ac:dyDescent="0.2">
      <c r="B26307" s="1168"/>
    </row>
    <row r="26308" spans="2:2" s="221" customFormat="1" ht="12.75" x14ac:dyDescent="0.2">
      <c r="B26308" s="1168"/>
    </row>
    <row r="26309" spans="2:2" s="221" customFormat="1" ht="12.75" x14ac:dyDescent="0.2">
      <c r="B26309" s="1168"/>
    </row>
    <row r="26310" spans="2:2" s="221" customFormat="1" ht="12.75" x14ac:dyDescent="0.2">
      <c r="B26310" s="1168"/>
    </row>
    <row r="26311" spans="2:2" s="221" customFormat="1" ht="12.75" x14ac:dyDescent="0.2">
      <c r="B26311" s="1168"/>
    </row>
    <row r="26312" spans="2:2" s="221" customFormat="1" ht="12.75" x14ac:dyDescent="0.2">
      <c r="B26312" s="1168"/>
    </row>
    <row r="26313" spans="2:2" s="221" customFormat="1" ht="12.75" x14ac:dyDescent="0.2">
      <c r="B26313" s="1168"/>
    </row>
    <row r="26314" spans="2:2" s="221" customFormat="1" ht="12.75" x14ac:dyDescent="0.2">
      <c r="B26314" s="1168"/>
    </row>
    <row r="26315" spans="2:2" s="221" customFormat="1" ht="12.75" x14ac:dyDescent="0.2">
      <c r="B26315" s="1168"/>
    </row>
    <row r="26316" spans="2:2" s="221" customFormat="1" ht="12.75" x14ac:dyDescent="0.2">
      <c r="B26316" s="1168"/>
    </row>
    <row r="26317" spans="2:2" s="221" customFormat="1" ht="12.75" x14ac:dyDescent="0.2">
      <c r="B26317" s="1168"/>
    </row>
    <row r="26318" spans="2:2" s="221" customFormat="1" ht="12.75" x14ac:dyDescent="0.2">
      <c r="B26318" s="1168"/>
    </row>
    <row r="26319" spans="2:2" s="221" customFormat="1" ht="12.75" x14ac:dyDescent="0.2">
      <c r="B26319" s="1168"/>
    </row>
    <row r="26320" spans="2:2" s="221" customFormat="1" ht="12.75" x14ac:dyDescent="0.2">
      <c r="B26320" s="1168"/>
    </row>
    <row r="26321" spans="2:2" s="221" customFormat="1" ht="12.75" x14ac:dyDescent="0.2">
      <c r="B26321" s="1168"/>
    </row>
    <row r="26322" spans="2:2" s="221" customFormat="1" ht="12.75" x14ac:dyDescent="0.2">
      <c r="B26322" s="1168"/>
    </row>
    <row r="26323" spans="2:2" s="221" customFormat="1" ht="12.75" x14ac:dyDescent="0.2">
      <c r="B26323" s="1168"/>
    </row>
    <row r="26324" spans="2:2" s="221" customFormat="1" ht="12.75" x14ac:dyDescent="0.2">
      <c r="B26324" s="1168"/>
    </row>
    <row r="26325" spans="2:2" s="221" customFormat="1" ht="12.75" x14ac:dyDescent="0.2">
      <c r="B26325" s="1168"/>
    </row>
    <row r="26326" spans="2:2" s="221" customFormat="1" ht="12.75" x14ac:dyDescent="0.2">
      <c r="B26326" s="1168"/>
    </row>
    <row r="26327" spans="2:2" s="221" customFormat="1" ht="12.75" x14ac:dyDescent="0.2">
      <c r="B26327" s="1168"/>
    </row>
    <row r="26328" spans="2:2" s="221" customFormat="1" ht="12.75" x14ac:dyDescent="0.2">
      <c r="B26328" s="1168"/>
    </row>
    <row r="26329" spans="2:2" s="221" customFormat="1" ht="12.75" x14ac:dyDescent="0.2">
      <c r="B26329" s="1168"/>
    </row>
    <row r="26330" spans="2:2" s="221" customFormat="1" ht="12.75" x14ac:dyDescent="0.2">
      <c r="B26330" s="1168"/>
    </row>
    <row r="26331" spans="2:2" s="221" customFormat="1" ht="12.75" x14ac:dyDescent="0.2">
      <c r="B26331" s="1168"/>
    </row>
    <row r="26332" spans="2:2" s="221" customFormat="1" ht="12.75" x14ac:dyDescent="0.2">
      <c r="B26332" s="1168"/>
    </row>
    <row r="26333" spans="2:2" s="221" customFormat="1" ht="12.75" x14ac:dyDescent="0.2">
      <c r="B26333" s="1168"/>
    </row>
    <row r="26334" spans="2:2" s="221" customFormat="1" ht="12.75" x14ac:dyDescent="0.2">
      <c r="B26334" s="1168"/>
    </row>
    <row r="26335" spans="2:2" s="221" customFormat="1" ht="12.75" x14ac:dyDescent="0.2">
      <c r="B26335" s="1168"/>
    </row>
    <row r="26336" spans="2:2" s="221" customFormat="1" ht="12.75" x14ac:dyDescent="0.2">
      <c r="B26336" s="1168"/>
    </row>
    <row r="26337" spans="2:2" s="221" customFormat="1" ht="12.75" x14ac:dyDescent="0.2">
      <c r="B26337" s="1168"/>
    </row>
    <row r="26338" spans="2:2" s="221" customFormat="1" ht="12.75" x14ac:dyDescent="0.2">
      <c r="B26338" s="1168"/>
    </row>
    <row r="26339" spans="2:2" s="221" customFormat="1" ht="12.75" x14ac:dyDescent="0.2">
      <c r="B26339" s="1168"/>
    </row>
    <row r="26340" spans="2:2" s="221" customFormat="1" ht="12.75" x14ac:dyDescent="0.2">
      <c r="B26340" s="1168"/>
    </row>
    <row r="26341" spans="2:2" s="221" customFormat="1" ht="12.75" x14ac:dyDescent="0.2">
      <c r="B26341" s="1168"/>
    </row>
    <row r="26342" spans="2:2" s="221" customFormat="1" ht="12.75" x14ac:dyDescent="0.2">
      <c r="B26342" s="1168"/>
    </row>
    <row r="26343" spans="2:2" s="221" customFormat="1" ht="12.75" x14ac:dyDescent="0.2">
      <c r="B26343" s="1168"/>
    </row>
    <row r="26344" spans="2:2" s="221" customFormat="1" ht="12.75" x14ac:dyDescent="0.2">
      <c r="B26344" s="1168"/>
    </row>
    <row r="26345" spans="2:2" s="221" customFormat="1" ht="12.75" x14ac:dyDescent="0.2">
      <c r="B26345" s="1168"/>
    </row>
    <row r="26346" spans="2:2" s="221" customFormat="1" ht="12.75" x14ac:dyDescent="0.2">
      <c r="B26346" s="1168"/>
    </row>
    <row r="26347" spans="2:2" s="221" customFormat="1" ht="12.75" x14ac:dyDescent="0.2">
      <c r="B26347" s="1168"/>
    </row>
    <row r="26348" spans="2:2" s="221" customFormat="1" ht="12.75" x14ac:dyDescent="0.2">
      <c r="B26348" s="1168"/>
    </row>
    <row r="26349" spans="2:2" s="221" customFormat="1" ht="12.75" x14ac:dyDescent="0.2">
      <c r="B26349" s="1168"/>
    </row>
    <row r="26350" spans="2:2" s="221" customFormat="1" ht="12.75" x14ac:dyDescent="0.2">
      <c r="B26350" s="1168"/>
    </row>
    <row r="26351" spans="2:2" s="221" customFormat="1" ht="12.75" x14ac:dyDescent="0.2">
      <c r="B26351" s="1168"/>
    </row>
    <row r="26352" spans="2:2" s="221" customFormat="1" ht="12.75" x14ac:dyDescent="0.2">
      <c r="B26352" s="1168"/>
    </row>
    <row r="26353" spans="2:2" s="221" customFormat="1" ht="12.75" x14ac:dyDescent="0.2">
      <c r="B26353" s="1168"/>
    </row>
    <row r="26354" spans="2:2" s="221" customFormat="1" ht="12.75" x14ac:dyDescent="0.2">
      <c r="B26354" s="1168"/>
    </row>
    <row r="26355" spans="2:2" s="221" customFormat="1" ht="12.75" x14ac:dyDescent="0.2">
      <c r="B26355" s="1168"/>
    </row>
    <row r="26356" spans="2:2" s="221" customFormat="1" ht="12.75" x14ac:dyDescent="0.2">
      <c r="B26356" s="1168"/>
    </row>
    <row r="26357" spans="2:2" s="221" customFormat="1" ht="12.75" x14ac:dyDescent="0.2">
      <c r="B26357" s="1168"/>
    </row>
    <row r="26358" spans="2:2" s="221" customFormat="1" ht="12.75" x14ac:dyDescent="0.2">
      <c r="B26358" s="1168"/>
    </row>
    <row r="26359" spans="2:2" s="221" customFormat="1" ht="12.75" x14ac:dyDescent="0.2">
      <c r="B26359" s="1168"/>
    </row>
    <row r="26360" spans="2:2" s="221" customFormat="1" ht="12.75" x14ac:dyDescent="0.2">
      <c r="B26360" s="1168"/>
    </row>
    <row r="26361" spans="2:2" s="221" customFormat="1" ht="12.75" x14ac:dyDescent="0.2">
      <c r="B26361" s="1168"/>
    </row>
    <row r="26362" spans="2:2" s="221" customFormat="1" ht="12.75" x14ac:dyDescent="0.2">
      <c r="B26362" s="1168"/>
    </row>
    <row r="26363" spans="2:2" s="221" customFormat="1" ht="12.75" x14ac:dyDescent="0.2">
      <c r="B26363" s="1168"/>
    </row>
    <row r="26364" spans="2:2" s="221" customFormat="1" ht="12.75" x14ac:dyDescent="0.2">
      <c r="B26364" s="1168"/>
    </row>
    <row r="26365" spans="2:2" s="221" customFormat="1" ht="12.75" x14ac:dyDescent="0.2">
      <c r="B26365" s="1168"/>
    </row>
    <row r="26366" spans="2:2" s="221" customFormat="1" ht="12.75" x14ac:dyDescent="0.2">
      <c r="B26366" s="1168"/>
    </row>
    <row r="26367" spans="2:2" s="221" customFormat="1" ht="12.75" x14ac:dyDescent="0.2">
      <c r="B26367" s="1168"/>
    </row>
    <row r="26368" spans="2:2" s="221" customFormat="1" ht="12.75" x14ac:dyDescent="0.2">
      <c r="B26368" s="1168"/>
    </row>
    <row r="26369" spans="2:2" s="221" customFormat="1" ht="12.75" x14ac:dyDescent="0.2">
      <c r="B26369" s="1168"/>
    </row>
    <row r="26370" spans="2:2" s="221" customFormat="1" ht="12.75" x14ac:dyDescent="0.2">
      <c r="B26370" s="1168"/>
    </row>
    <row r="26371" spans="2:2" s="221" customFormat="1" ht="12.75" x14ac:dyDescent="0.2">
      <c r="B26371" s="1168"/>
    </row>
    <row r="26372" spans="2:2" s="221" customFormat="1" ht="12.75" x14ac:dyDescent="0.2">
      <c r="B26372" s="1168"/>
    </row>
    <row r="26373" spans="2:2" s="221" customFormat="1" ht="12.75" x14ac:dyDescent="0.2">
      <c r="B26373" s="1168"/>
    </row>
    <row r="26374" spans="2:2" s="221" customFormat="1" ht="12.75" x14ac:dyDescent="0.2">
      <c r="B26374" s="1168"/>
    </row>
    <row r="26375" spans="2:2" s="221" customFormat="1" ht="12.75" x14ac:dyDescent="0.2">
      <c r="B26375" s="1168"/>
    </row>
    <row r="26376" spans="2:2" s="221" customFormat="1" ht="12.75" x14ac:dyDescent="0.2">
      <c r="B26376" s="1168"/>
    </row>
    <row r="26377" spans="2:2" s="221" customFormat="1" ht="12.75" x14ac:dyDescent="0.2">
      <c r="B26377" s="1168"/>
    </row>
    <row r="26378" spans="2:2" s="221" customFormat="1" ht="12.75" x14ac:dyDescent="0.2">
      <c r="B26378" s="1168"/>
    </row>
    <row r="26379" spans="2:2" s="221" customFormat="1" ht="12.75" x14ac:dyDescent="0.2">
      <c r="B26379" s="1168"/>
    </row>
    <row r="26380" spans="2:2" s="221" customFormat="1" ht="12.75" x14ac:dyDescent="0.2">
      <c r="B26380" s="1168"/>
    </row>
    <row r="26381" spans="2:2" s="221" customFormat="1" ht="12.75" x14ac:dyDescent="0.2">
      <c r="B26381" s="1168"/>
    </row>
    <row r="26382" spans="2:2" s="221" customFormat="1" ht="12.75" x14ac:dyDescent="0.2">
      <c r="B26382" s="1168"/>
    </row>
    <row r="26383" spans="2:2" s="221" customFormat="1" ht="12.75" x14ac:dyDescent="0.2">
      <c r="B26383" s="1168"/>
    </row>
    <row r="26384" spans="2:2" s="221" customFormat="1" ht="12.75" x14ac:dyDescent="0.2">
      <c r="B26384" s="1168"/>
    </row>
    <row r="26385" spans="2:2" s="221" customFormat="1" ht="12.75" x14ac:dyDescent="0.2">
      <c r="B26385" s="1168"/>
    </row>
    <row r="26386" spans="2:2" s="221" customFormat="1" ht="12.75" x14ac:dyDescent="0.2">
      <c r="B26386" s="1168"/>
    </row>
    <row r="26387" spans="2:2" s="221" customFormat="1" ht="12.75" x14ac:dyDescent="0.2">
      <c r="B26387" s="1168"/>
    </row>
    <row r="26388" spans="2:2" s="221" customFormat="1" ht="12.75" x14ac:dyDescent="0.2">
      <c r="B26388" s="1168"/>
    </row>
    <row r="26389" spans="2:2" s="221" customFormat="1" ht="12.75" x14ac:dyDescent="0.2">
      <c r="B26389" s="1168"/>
    </row>
    <row r="26390" spans="2:2" s="221" customFormat="1" ht="12.75" x14ac:dyDescent="0.2">
      <c r="B26390" s="1168"/>
    </row>
    <row r="26391" spans="2:2" s="221" customFormat="1" ht="12.75" x14ac:dyDescent="0.2">
      <c r="B26391" s="1168"/>
    </row>
    <row r="26392" spans="2:2" s="221" customFormat="1" ht="12.75" x14ac:dyDescent="0.2">
      <c r="B26392" s="1168"/>
    </row>
    <row r="26393" spans="2:2" s="221" customFormat="1" ht="12.75" x14ac:dyDescent="0.2">
      <c r="B26393" s="1168"/>
    </row>
    <row r="26394" spans="2:2" s="221" customFormat="1" ht="12.75" x14ac:dyDescent="0.2">
      <c r="B26394" s="1168"/>
    </row>
    <row r="26395" spans="2:2" s="221" customFormat="1" ht="12.75" x14ac:dyDescent="0.2">
      <c r="B26395" s="1168"/>
    </row>
    <row r="26396" spans="2:2" s="221" customFormat="1" ht="12.75" x14ac:dyDescent="0.2">
      <c r="B26396" s="1168"/>
    </row>
    <row r="26397" spans="2:2" s="221" customFormat="1" ht="12.75" x14ac:dyDescent="0.2">
      <c r="B26397" s="1168"/>
    </row>
    <row r="26398" spans="2:2" s="221" customFormat="1" ht="12.75" x14ac:dyDescent="0.2">
      <c r="B26398" s="1168"/>
    </row>
    <row r="26399" spans="2:2" s="221" customFormat="1" ht="12.75" x14ac:dyDescent="0.2">
      <c r="B26399" s="1168"/>
    </row>
    <row r="26400" spans="2:2" s="221" customFormat="1" ht="12.75" x14ac:dyDescent="0.2">
      <c r="B26400" s="1168"/>
    </row>
    <row r="26401" spans="2:2" s="221" customFormat="1" ht="12.75" x14ac:dyDescent="0.2">
      <c r="B26401" s="1168"/>
    </row>
    <row r="26402" spans="2:2" s="221" customFormat="1" ht="12.75" x14ac:dyDescent="0.2">
      <c r="B26402" s="1168"/>
    </row>
    <row r="26403" spans="2:2" s="221" customFormat="1" ht="12.75" x14ac:dyDescent="0.2">
      <c r="B26403" s="1168"/>
    </row>
    <row r="26404" spans="2:2" s="221" customFormat="1" ht="12.75" x14ac:dyDescent="0.2">
      <c r="B26404" s="1168"/>
    </row>
    <row r="26405" spans="2:2" s="221" customFormat="1" ht="12.75" x14ac:dyDescent="0.2">
      <c r="B26405" s="1168"/>
    </row>
    <row r="26406" spans="2:2" s="221" customFormat="1" ht="12.75" x14ac:dyDescent="0.2">
      <c r="B26406" s="1168"/>
    </row>
    <row r="26407" spans="2:2" s="221" customFormat="1" ht="12.75" x14ac:dyDescent="0.2">
      <c r="B26407" s="1168"/>
    </row>
    <row r="26408" spans="2:2" s="221" customFormat="1" ht="12.75" x14ac:dyDescent="0.2">
      <c r="B26408" s="1168"/>
    </row>
    <row r="26409" spans="2:2" s="221" customFormat="1" ht="12.75" x14ac:dyDescent="0.2">
      <c r="B26409" s="1168"/>
    </row>
    <row r="26410" spans="2:2" s="221" customFormat="1" ht="12.75" x14ac:dyDescent="0.2">
      <c r="B26410" s="1168"/>
    </row>
    <row r="26411" spans="2:2" s="221" customFormat="1" ht="12.75" x14ac:dyDescent="0.2">
      <c r="B26411" s="1168"/>
    </row>
    <row r="26412" spans="2:2" s="221" customFormat="1" ht="12.75" x14ac:dyDescent="0.2">
      <c r="B26412" s="1168"/>
    </row>
    <row r="26413" spans="2:2" s="221" customFormat="1" ht="12.75" x14ac:dyDescent="0.2">
      <c r="B26413" s="1168"/>
    </row>
    <row r="26414" spans="2:2" s="221" customFormat="1" ht="12.75" x14ac:dyDescent="0.2">
      <c r="B26414" s="1168"/>
    </row>
    <row r="26415" spans="2:2" s="221" customFormat="1" ht="12.75" x14ac:dyDescent="0.2">
      <c r="B26415" s="1168"/>
    </row>
    <row r="26416" spans="2:2" s="221" customFormat="1" ht="12.75" x14ac:dyDescent="0.2">
      <c r="B26416" s="1168"/>
    </row>
    <row r="26417" spans="2:2" s="221" customFormat="1" ht="12.75" x14ac:dyDescent="0.2">
      <c r="B26417" s="1168"/>
    </row>
    <row r="26418" spans="2:2" s="221" customFormat="1" ht="12.75" x14ac:dyDescent="0.2">
      <c r="B26418" s="1168"/>
    </row>
    <row r="26419" spans="2:2" s="221" customFormat="1" ht="12.75" x14ac:dyDescent="0.2">
      <c r="B26419" s="1168"/>
    </row>
    <row r="26420" spans="2:2" s="221" customFormat="1" ht="12.75" x14ac:dyDescent="0.2">
      <c r="B26420" s="1168"/>
    </row>
    <row r="26421" spans="2:2" s="221" customFormat="1" ht="12.75" x14ac:dyDescent="0.2">
      <c r="B26421" s="1168"/>
    </row>
    <row r="26422" spans="2:2" s="221" customFormat="1" ht="12.75" x14ac:dyDescent="0.2">
      <c r="B26422" s="1168"/>
    </row>
    <row r="26423" spans="2:2" s="221" customFormat="1" ht="12.75" x14ac:dyDescent="0.2">
      <c r="B26423" s="1168"/>
    </row>
    <row r="26424" spans="2:2" s="221" customFormat="1" ht="12.75" x14ac:dyDescent="0.2">
      <c r="B26424" s="1168"/>
    </row>
    <row r="26425" spans="2:2" s="221" customFormat="1" ht="12.75" x14ac:dyDescent="0.2">
      <c r="B26425" s="1168"/>
    </row>
    <row r="26426" spans="2:2" s="221" customFormat="1" ht="12.75" x14ac:dyDescent="0.2">
      <c r="B26426" s="1168"/>
    </row>
    <row r="26427" spans="2:2" s="221" customFormat="1" ht="12.75" x14ac:dyDescent="0.2">
      <c r="B26427" s="1168"/>
    </row>
    <row r="26428" spans="2:2" s="221" customFormat="1" ht="12.75" x14ac:dyDescent="0.2">
      <c r="B26428" s="1168"/>
    </row>
    <row r="26429" spans="2:2" s="221" customFormat="1" ht="12.75" x14ac:dyDescent="0.2">
      <c r="B26429" s="1168"/>
    </row>
    <row r="26430" spans="2:2" s="221" customFormat="1" ht="12.75" x14ac:dyDescent="0.2">
      <c r="B26430" s="1168"/>
    </row>
    <row r="26431" spans="2:2" s="221" customFormat="1" ht="12.75" x14ac:dyDescent="0.2">
      <c r="B26431" s="1168"/>
    </row>
    <row r="26432" spans="2:2" s="221" customFormat="1" ht="12.75" x14ac:dyDescent="0.2">
      <c r="B26432" s="1168"/>
    </row>
    <row r="26433" spans="2:2" s="221" customFormat="1" ht="12.75" x14ac:dyDescent="0.2">
      <c r="B26433" s="1168"/>
    </row>
    <row r="26434" spans="2:2" s="221" customFormat="1" ht="12.75" x14ac:dyDescent="0.2">
      <c r="B26434" s="1168"/>
    </row>
    <row r="26435" spans="2:2" s="221" customFormat="1" ht="12.75" x14ac:dyDescent="0.2">
      <c r="B26435" s="1168"/>
    </row>
    <row r="26436" spans="2:2" s="221" customFormat="1" ht="12.75" x14ac:dyDescent="0.2">
      <c r="B26436" s="1168"/>
    </row>
    <row r="26437" spans="2:2" s="221" customFormat="1" ht="12.75" x14ac:dyDescent="0.2">
      <c r="B26437" s="1168"/>
    </row>
    <row r="26438" spans="2:2" s="221" customFormat="1" ht="12.75" x14ac:dyDescent="0.2">
      <c r="B26438" s="1168"/>
    </row>
    <row r="26439" spans="2:2" s="221" customFormat="1" ht="12.75" x14ac:dyDescent="0.2">
      <c r="B26439" s="1168"/>
    </row>
    <row r="26440" spans="2:2" s="221" customFormat="1" ht="12.75" x14ac:dyDescent="0.2">
      <c r="B26440" s="1168"/>
    </row>
    <row r="26441" spans="2:2" s="221" customFormat="1" ht="12.75" x14ac:dyDescent="0.2">
      <c r="B26441" s="1168"/>
    </row>
    <row r="26442" spans="2:2" s="221" customFormat="1" ht="12.75" x14ac:dyDescent="0.2">
      <c r="B26442" s="1168"/>
    </row>
    <row r="26443" spans="2:2" s="221" customFormat="1" ht="12.75" x14ac:dyDescent="0.2">
      <c r="B26443" s="1168"/>
    </row>
    <row r="26444" spans="2:2" s="221" customFormat="1" ht="12.75" x14ac:dyDescent="0.2">
      <c r="B26444" s="1168"/>
    </row>
    <row r="26445" spans="2:2" s="221" customFormat="1" ht="12.75" x14ac:dyDescent="0.2">
      <c r="B26445" s="1168"/>
    </row>
    <row r="26446" spans="2:2" s="221" customFormat="1" ht="12.75" x14ac:dyDescent="0.2">
      <c r="B26446" s="1168"/>
    </row>
    <row r="26447" spans="2:2" s="221" customFormat="1" ht="12.75" x14ac:dyDescent="0.2">
      <c r="B26447" s="1168"/>
    </row>
    <row r="26448" spans="2:2" s="221" customFormat="1" ht="12.75" x14ac:dyDescent="0.2">
      <c r="B26448" s="1168"/>
    </row>
    <row r="26449" spans="2:2" s="221" customFormat="1" ht="12.75" x14ac:dyDescent="0.2">
      <c r="B26449" s="1168"/>
    </row>
    <row r="26450" spans="2:2" s="221" customFormat="1" ht="12.75" x14ac:dyDescent="0.2">
      <c r="B26450" s="1168"/>
    </row>
    <row r="26451" spans="2:2" s="221" customFormat="1" ht="12.75" x14ac:dyDescent="0.2">
      <c r="B26451" s="1168"/>
    </row>
    <row r="26452" spans="2:2" s="221" customFormat="1" ht="12.75" x14ac:dyDescent="0.2">
      <c r="B26452" s="1168"/>
    </row>
    <row r="26453" spans="2:2" s="221" customFormat="1" ht="12.75" x14ac:dyDescent="0.2">
      <c r="B26453" s="1168"/>
    </row>
    <row r="26454" spans="2:2" s="221" customFormat="1" ht="12.75" x14ac:dyDescent="0.2">
      <c r="B26454" s="1168"/>
    </row>
    <row r="26455" spans="2:2" s="221" customFormat="1" ht="12.75" x14ac:dyDescent="0.2">
      <c r="B26455" s="1168"/>
    </row>
    <row r="26456" spans="2:2" s="221" customFormat="1" ht="12.75" x14ac:dyDescent="0.2">
      <c r="B26456" s="1168"/>
    </row>
    <row r="26457" spans="2:2" s="221" customFormat="1" ht="12.75" x14ac:dyDescent="0.2">
      <c r="B26457" s="1168"/>
    </row>
    <row r="26458" spans="2:2" s="221" customFormat="1" ht="12.75" x14ac:dyDescent="0.2">
      <c r="B26458" s="1168"/>
    </row>
    <row r="26459" spans="2:2" s="221" customFormat="1" ht="12.75" x14ac:dyDescent="0.2">
      <c r="B26459" s="1168"/>
    </row>
    <row r="26460" spans="2:2" s="221" customFormat="1" ht="12.75" x14ac:dyDescent="0.2">
      <c r="B26460" s="1168"/>
    </row>
    <row r="26461" spans="2:2" s="221" customFormat="1" ht="12.75" x14ac:dyDescent="0.2">
      <c r="B26461" s="1168"/>
    </row>
    <row r="26462" spans="2:2" s="221" customFormat="1" ht="12.75" x14ac:dyDescent="0.2">
      <c r="B26462" s="1168"/>
    </row>
    <row r="26463" spans="2:2" s="221" customFormat="1" ht="12.75" x14ac:dyDescent="0.2">
      <c r="B26463" s="1168"/>
    </row>
    <row r="26464" spans="2:2" s="221" customFormat="1" ht="12.75" x14ac:dyDescent="0.2">
      <c r="B26464" s="1168"/>
    </row>
    <row r="26465" spans="2:2" s="221" customFormat="1" ht="12.75" x14ac:dyDescent="0.2">
      <c r="B26465" s="1168"/>
    </row>
    <row r="26466" spans="2:2" s="221" customFormat="1" ht="12.75" x14ac:dyDescent="0.2">
      <c r="B26466" s="1168"/>
    </row>
    <row r="26467" spans="2:2" s="221" customFormat="1" ht="12.75" x14ac:dyDescent="0.2">
      <c r="B26467" s="1168"/>
    </row>
    <row r="26468" spans="2:2" s="221" customFormat="1" ht="12.75" x14ac:dyDescent="0.2">
      <c r="B26468" s="1168"/>
    </row>
    <row r="26469" spans="2:2" s="221" customFormat="1" ht="12.75" x14ac:dyDescent="0.2">
      <c r="B26469" s="1168"/>
    </row>
    <row r="26470" spans="2:2" s="221" customFormat="1" ht="12.75" x14ac:dyDescent="0.2">
      <c r="B26470" s="1168"/>
    </row>
    <row r="26471" spans="2:2" s="221" customFormat="1" ht="12.75" x14ac:dyDescent="0.2">
      <c r="B26471" s="1168"/>
    </row>
    <row r="26472" spans="2:2" s="221" customFormat="1" ht="12.75" x14ac:dyDescent="0.2">
      <c r="B26472" s="1168"/>
    </row>
    <row r="26473" spans="2:2" s="221" customFormat="1" ht="12.75" x14ac:dyDescent="0.2">
      <c r="B26473" s="1168"/>
    </row>
    <row r="26474" spans="2:2" s="221" customFormat="1" ht="12.75" x14ac:dyDescent="0.2">
      <c r="B26474" s="1168"/>
    </row>
    <row r="26475" spans="2:2" s="221" customFormat="1" ht="12.75" x14ac:dyDescent="0.2">
      <c r="B26475" s="1168"/>
    </row>
    <row r="26476" spans="2:2" s="221" customFormat="1" ht="12.75" x14ac:dyDescent="0.2">
      <c r="B26476" s="1168"/>
    </row>
    <row r="26477" spans="2:2" s="221" customFormat="1" ht="12.75" x14ac:dyDescent="0.2">
      <c r="B26477" s="1168"/>
    </row>
    <row r="26478" spans="2:2" s="221" customFormat="1" ht="12.75" x14ac:dyDescent="0.2">
      <c r="B26478" s="1168"/>
    </row>
    <row r="26479" spans="2:2" s="221" customFormat="1" ht="12.75" x14ac:dyDescent="0.2">
      <c r="B26479" s="1168"/>
    </row>
    <row r="26480" spans="2:2" s="221" customFormat="1" ht="12.75" x14ac:dyDescent="0.2">
      <c r="B26480" s="1168"/>
    </row>
    <row r="26481" spans="2:2" s="221" customFormat="1" ht="12.75" x14ac:dyDescent="0.2">
      <c r="B26481" s="1168"/>
    </row>
    <row r="26482" spans="2:2" s="221" customFormat="1" ht="12.75" x14ac:dyDescent="0.2">
      <c r="B26482" s="1168"/>
    </row>
    <row r="26483" spans="2:2" s="221" customFormat="1" ht="12.75" x14ac:dyDescent="0.2">
      <c r="B26483" s="1168"/>
    </row>
    <row r="26484" spans="2:2" s="221" customFormat="1" ht="12.75" x14ac:dyDescent="0.2">
      <c r="B26484" s="1168"/>
    </row>
    <row r="26485" spans="2:2" s="221" customFormat="1" ht="12.75" x14ac:dyDescent="0.2">
      <c r="B26485" s="1168"/>
    </row>
    <row r="26486" spans="2:2" s="221" customFormat="1" ht="12.75" x14ac:dyDescent="0.2">
      <c r="B26486" s="1168"/>
    </row>
    <row r="26487" spans="2:2" s="221" customFormat="1" ht="12.75" x14ac:dyDescent="0.2">
      <c r="B26487" s="1168"/>
    </row>
    <row r="26488" spans="2:2" s="221" customFormat="1" ht="12.75" x14ac:dyDescent="0.2">
      <c r="B26488" s="1168"/>
    </row>
    <row r="26489" spans="2:2" s="221" customFormat="1" ht="12.75" x14ac:dyDescent="0.2">
      <c r="B26489" s="1168"/>
    </row>
    <row r="26490" spans="2:2" s="221" customFormat="1" ht="12.75" x14ac:dyDescent="0.2">
      <c r="B26490" s="1168"/>
    </row>
    <row r="26491" spans="2:2" s="221" customFormat="1" ht="12.75" x14ac:dyDescent="0.2">
      <c r="B26491" s="1168"/>
    </row>
    <row r="26492" spans="2:2" s="221" customFormat="1" ht="12.75" x14ac:dyDescent="0.2">
      <c r="B26492" s="1168"/>
    </row>
    <row r="26493" spans="2:2" s="221" customFormat="1" ht="12.75" x14ac:dyDescent="0.2">
      <c r="B26493" s="1168"/>
    </row>
    <row r="26494" spans="2:2" s="221" customFormat="1" ht="12.75" x14ac:dyDescent="0.2">
      <c r="B26494" s="1168"/>
    </row>
    <row r="26495" spans="2:2" s="221" customFormat="1" ht="12.75" x14ac:dyDescent="0.2">
      <c r="B26495" s="1168"/>
    </row>
    <row r="26496" spans="2:2" s="221" customFormat="1" ht="12.75" x14ac:dyDescent="0.2">
      <c r="B26496" s="1168"/>
    </row>
    <row r="26497" spans="2:2" s="221" customFormat="1" ht="12.75" x14ac:dyDescent="0.2">
      <c r="B26497" s="1168"/>
    </row>
    <row r="26498" spans="2:2" s="221" customFormat="1" ht="12.75" x14ac:dyDescent="0.2">
      <c r="B26498" s="1168"/>
    </row>
    <row r="26499" spans="2:2" s="221" customFormat="1" ht="12.75" x14ac:dyDescent="0.2">
      <c r="B26499" s="1168"/>
    </row>
    <row r="26500" spans="2:2" s="221" customFormat="1" ht="12.75" x14ac:dyDescent="0.2">
      <c r="B26500" s="1168"/>
    </row>
    <row r="26501" spans="2:2" s="221" customFormat="1" ht="12.75" x14ac:dyDescent="0.2">
      <c r="B26501" s="1168"/>
    </row>
    <row r="26502" spans="2:2" s="221" customFormat="1" ht="12.75" x14ac:dyDescent="0.2">
      <c r="B26502" s="1168"/>
    </row>
    <row r="26503" spans="2:2" s="221" customFormat="1" ht="12.75" x14ac:dyDescent="0.2">
      <c r="B26503" s="1168"/>
    </row>
    <row r="26504" spans="2:2" s="221" customFormat="1" ht="12.75" x14ac:dyDescent="0.2">
      <c r="B26504" s="1168"/>
    </row>
    <row r="26505" spans="2:2" s="221" customFormat="1" ht="12.75" x14ac:dyDescent="0.2">
      <c r="B26505" s="1168"/>
    </row>
    <row r="26506" spans="2:2" s="221" customFormat="1" ht="12.75" x14ac:dyDescent="0.2">
      <c r="B26506" s="1168"/>
    </row>
    <row r="26507" spans="2:2" s="221" customFormat="1" ht="12.75" x14ac:dyDescent="0.2">
      <c r="B26507" s="1168"/>
    </row>
    <row r="26508" spans="2:2" s="221" customFormat="1" ht="12.75" x14ac:dyDescent="0.2">
      <c r="B26508" s="1168"/>
    </row>
    <row r="26509" spans="2:2" s="221" customFormat="1" ht="12.75" x14ac:dyDescent="0.2">
      <c r="B26509" s="1168"/>
    </row>
    <row r="26510" spans="2:2" s="221" customFormat="1" ht="12.75" x14ac:dyDescent="0.2">
      <c r="B26510" s="1168"/>
    </row>
    <row r="26511" spans="2:2" s="221" customFormat="1" ht="12.75" x14ac:dyDescent="0.2">
      <c r="B26511" s="1168"/>
    </row>
    <row r="26512" spans="2:2" s="221" customFormat="1" ht="12.75" x14ac:dyDescent="0.2">
      <c r="B26512" s="1168"/>
    </row>
    <row r="26513" spans="2:2" s="221" customFormat="1" ht="12.75" x14ac:dyDescent="0.2">
      <c r="B26513" s="1168"/>
    </row>
    <row r="26514" spans="2:2" s="221" customFormat="1" ht="12.75" x14ac:dyDescent="0.2">
      <c r="B26514" s="1168"/>
    </row>
    <row r="26515" spans="2:2" s="221" customFormat="1" ht="12.75" x14ac:dyDescent="0.2">
      <c r="B26515" s="1168"/>
    </row>
    <row r="26516" spans="2:2" s="221" customFormat="1" ht="12.75" x14ac:dyDescent="0.2">
      <c r="B26516" s="1168"/>
    </row>
    <row r="26517" spans="2:2" s="221" customFormat="1" ht="12.75" x14ac:dyDescent="0.2">
      <c r="B26517" s="1168"/>
    </row>
    <row r="26518" spans="2:2" s="221" customFormat="1" ht="12.75" x14ac:dyDescent="0.2">
      <c r="B26518" s="1168"/>
    </row>
    <row r="26519" spans="2:2" s="221" customFormat="1" ht="12.75" x14ac:dyDescent="0.2">
      <c r="B26519" s="1168"/>
    </row>
    <row r="26520" spans="2:2" s="221" customFormat="1" ht="12.75" x14ac:dyDescent="0.2">
      <c r="B26520" s="1168"/>
    </row>
    <row r="26521" spans="2:2" s="221" customFormat="1" ht="12.75" x14ac:dyDescent="0.2">
      <c r="B26521" s="1168"/>
    </row>
    <row r="26522" spans="2:2" s="221" customFormat="1" ht="12.75" x14ac:dyDescent="0.2">
      <c r="B26522" s="1168"/>
    </row>
    <row r="26523" spans="2:2" s="221" customFormat="1" ht="12.75" x14ac:dyDescent="0.2">
      <c r="B26523" s="1168"/>
    </row>
    <row r="26524" spans="2:2" s="221" customFormat="1" ht="12.75" x14ac:dyDescent="0.2">
      <c r="B26524" s="1168"/>
    </row>
    <row r="26525" spans="2:2" s="221" customFormat="1" ht="12.75" x14ac:dyDescent="0.2">
      <c r="B26525" s="1168"/>
    </row>
    <row r="26526" spans="2:2" s="221" customFormat="1" ht="12.75" x14ac:dyDescent="0.2">
      <c r="B26526" s="1168"/>
    </row>
    <row r="26527" spans="2:2" s="221" customFormat="1" ht="12.75" x14ac:dyDescent="0.2">
      <c r="B26527" s="1168"/>
    </row>
    <row r="26528" spans="2:2" s="221" customFormat="1" ht="12.75" x14ac:dyDescent="0.2">
      <c r="B26528" s="1168"/>
    </row>
    <row r="26529" spans="2:2" s="221" customFormat="1" ht="12.75" x14ac:dyDescent="0.2">
      <c r="B26529" s="1168"/>
    </row>
    <row r="26530" spans="2:2" s="221" customFormat="1" ht="12.75" x14ac:dyDescent="0.2">
      <c r="B26530" s="1168"/>
    </row>
    <row r="26531" spans="2:2" s="221" customFormat="1" ht="12.75" x14ac:dyDescent="0.2">
      <c r="B26531" s="1168"/>
    </row>
    <row r="26532" spans="2:2" s="221" customFormat="1" ht="12.75" x14ac:dyDescent="0.2">
      <c r="B26532" s="1168"/>
    </row>
    <row r="26533" spans="2:2" s="221" customFormat="1" ht="12.75" x14ac:dyDescent="0.2">
      <c r="B26533" s="1168"/>
    </row>
    <row r="26534" spans="2:2" s="221" customFormat="1" ht="12.75" x14ac:dyDescent="0.2">
      <c r="B26534" s="1168"/>
    </row>
    <row r="26535" spans="2:2" s="221" customFormat="1" ht="12.75" x14ac:dyDescent="0.2">
      <c r="B26535" s="1168"/>
    </row>
    <row r="26536" spans="2:2" s="221" customFormat="1" ht="12.75" x14ac:dyDescent="0.2">
      <c r="B26536" s="1168"/>
    </row>
    <row r="26537" spans="2:2" s="221" customFormat="1" ht="12.75" x14ac:dyDescent="0.2">
      <c r="B26537" s="1168"/>
    </row>
    <row r="26538" spans="2:2" s="221" customFormat="1" ht="12.75" x14ac:dyDescent="0.2">
      <c r="B26538" s="1168"/>
    </row>
    <row r="26539" spans="2:2" s="221" customFormat="1" ht="12.75" x14ac:dyDescent="0.2">
      <c r="B26539" s="1168"/>
    </row>
    <row r="26540" spans="2:2" s="221" customFormat="1" ht="12.75" x14ac:dyDescent="0.2">
      <c r="B26540" s="1168"/>
    </row>
    <row r="26541" spans="2:2" s="221" customFormat="1" ht="12.75" x14ac:dyDescent="0.2">
      <c r="B26541" s="1168"/>
    </row>
    <row r="26542" spans="2:2" s="221" customFormat="1" ht="12.75" x14ac:dyDescent="0.2">
      <c r="B26542" s="1168"/>
    </row>
    <row r="26543" spans="2:2" s="221" customFormat="1" ht="12.75" x14ac:dyDescent="0.2">
      <c r="B26543" s="1168"/>
    </row>
    <row r="26544" spans="2:2" s="221" customFormat="1" ht="12.75" x14ac:dyDescent="0.2">
      <c r="B26544" s="1168"/>
    </row>
    <row r="26545" spans="2:2" s="221" customFormat="1" ht="12.75" x14ac:dyDescent="0.2">
      <c r="B26545" s="1168"/>
    </row>
    <row r="26546" spans="2:2" s="221" customFormat="1" ht="12.75" x14ac:dyDescent="0.2">
      <c r="B26546" s="1168"/>
    </row>
    <row r="26547" spans="2:2" s="221" customFormat="1" ht="12.75" x14ac:dyDescent="0.2">
      <c r="B26547" s="1168"/>
    </row>
    <row r="26548" spans="2:2" s="221" customFormat="1" ht="12.75" x14ac:dyDescent="0.2">
      <c r="B26548" s="1168"/>
    </row>
    <row r="26549" spans="2:2" s="221" customFormat="1" ht="12.75" x14ac:dyDescent="0.2">
      <c r="B26549" s="1168"/>
    </row>
    <row r="26550" spans="2:2" s="221" customFormat="1" ht="12.75" x14ac:dyDescent="0.2">
      <c r="B26550" s="1168"/>
    </row>
    <row r="26551" spans="2:2" s="221" customFormat="1" ht="12.75" x14ac:dyDescent="0.2">
      <c r="B26551" s="1168"/>
    </row>
    <row r="26552" spans="2:2" s="221" customFormat="1" ht="12.75" x14ac:dyDescent="0.2">
      <c r="B26552" s="1168"/>
    </row>
    <row r="26553" spans="2:2" s="221" customFormat="1" ht="12.75" x14ac:dyDescent="0.2">
      <c r="B26553" s="1168"/>
    </row>
    <row r="26554" spans="2:2" s="221" customFormat="1" ht="12.75" x14ac:dyDescent="0.2">
      <c r="B26554" s="1168"/>
    </row>
    <row r="26555" spans="2:2" s="221" customFormat="1" ht="12.75" x14ac:dyDescent="0.2">
      <c r="B26555" s="1168"/>
    </row>
    <row r="26556" spans="2:2" s="221" customFormat="1" ht="12.75" x14ac:dyDescent="0.2">
      <c r="B26556" s="1168"/>
    </row>
    <row r="26557" spans="2:2" s="221" customFormat="1" ht="12.75" x14ac:dyDescent="0.2">
      <c r="B26557" s="1168"/>
    </row>
    <row r="26558" spans="2:2" s="221" customFormat="1" ht="12.75" x14ac:dyDescent="0.2">
      <c r="B26558" s="1168"/>
    </row>
    <row r="26559" spans="2:2" s="221" customFormat="1" ht="12.75" x14ac:dyDescent="0.2">
      <c r="B26559" s="1168"/>
    </row>
    <row r="26560" spans="2:2" s="221" customFormat="1" ht="12.75" x14ac:dyDescent="0.2">
      <c r="B26560" s="1168"/>
    </row>
    <row r="26561" spans="2:2" s="221" customFormat="1" ht="12.75" x14ac:dyDescent="0.2">
      <c r="B26561" s="1168"/>
    </row>
    <row r="26562" spans="2:2" s="221" customFormat="1" ht="12.75" x14ac:dyDescent="0.2">
      <c r="B26562" s="1168"/>
    </row>
    <row r="26563" spans="2:2" s="221" customFormat="1" ht="12.75" x14ac:dyDescent="0.2">
      <c r="B26563" s="1168"/>
    </row>
    <row r="26564" spans="2:2" s="221" customFormat="1" ht="12.75" x14ac:dyDescent="0.2">
      <c r="B26564" s="1168"/>
    </row>
    <row r="26565" spans="2:2" s="221" customFormat="1" ht="12.75" x14ac:dyDescent="0.2">
      <c r="B26565" s="1168"/>
    </row>
    <row r="26566" spans="2:2" s="221" customFormat="1" ht="12.75" x14ac:dyDescent="0.2">
      <c r="B26566" s="1168"/>
    </row>
    <row r="26567" spans="2:2" s="221" customFormat="1" ht="12.75" x14ac:dyDescent="0.2">
      <c r="B26567" s="1168"/>
    </row>
    <row r="26568" spans="2:2" s="221" customFormat="1" ht="12.75" x14ac:dyDescent="0.2">
      <c r="B26568" s="1168"/>
    </row>
    <row r="26569" spans="2:2" s="221" customFormat="1" ht="12.75" x14ac:dyDescent="0.2">
      <c r="B26569" s="1168"/>
    </row>
    <row r="26570" spans="2:2" s="221" customFormat="1" ht="12.75" x14ac:dyDescent="0.2">
      <c r="B26570" s="1168"/>
    </row>
    <row r="26571" spans="2:2" s="221" customFormat="1" ht="12.75" x14ac:dyDescent="0.2">
      <c r="B26571" s="1168"/>
    </row>
    <row r="26572" spans="2:2" s="221" customFormat="1" ht="12.75" x14ac:dyDescent="0.2">
      <c r="B26572" s="1168"/>
    </row>
    <row r="26573" spans="2:2" s="221" customFormat="1" ht="12.75" x14ac:dyDescent="0.2">
      <c r="B26573" s="1168"/>
    </row>
    <row r="26574" spans="2:2" s="221" customFormat="1" ht="12.75" x14ac:dyDescent="0.2">
      <c r="B26574" s="1168"/>
    </row>
    <row r="26575" spans="2:2" s="221" customFormat="1" ht="12.75" x14ac:dyDescent="0.2">
      <c r="B26575" s="1168"/>
    </row>
    <row r="26576" spans="2:2" s="221" customFormat="1" ht="12.75" x14ac:dyDescent="0.2">
      <c r="B26576" s="1168"/>
    </row>
    <row r="26577" spans="2:2" s="221" customFormat="1" ht="12.75" x14ac:dyDescent="0.2">
      <c r="B26577" s="1168"/>
    </row>
    <row r="26578" spans="2:2" s="221" customFormat="1" ht="12.75" x14ac:dyDescent="0.2">
      <c r="B26578" s="1168"/>
    </row>
    <row r="26579" spans="2:2" s="221" customFormat="1" ht="12.75" x14ac:dyDescent="0.2">
      <c r="B26579" s="1168"/>
    </row>
    <row r="26580" spans="2:2" s="221" customFormat="1" ht="12.75" x14ac:dyDescent="0.2">
      <c r="B26580" s="1168"/>
    </row>
    <row r="26581" spans="2:2" s="221" customFormat="1" ht="12.75" x14ac:dyDescent="0.2">
      <c r="B26581" s="1168"/>
    </row>
    <row r="26582" spans="2:2" s="221" customFormat="1" ht="12.75" x14ac:dyDescent="0.2">
      <c r="B26582" s="1168"/>
    </row>
    <row r="26583" spans="2:2" s="221" customFormat="1" ht="12.75" x14ac:dyDescent="0.2">
      <c r="B26583" s="1168"/>
    </row>
    <row r="26584" spans="2:2" s="221" customFormat="1" ht="12.75" x14ac:dyDescent="0.2">
      <c r="B26584" s="1168"/>
    </row>
    <row r="26585" spans="2:2" s="221" customFormat="1" ht="12.75" x14ac:dyDescent="0.2">
      <c r="B26585" s="1168"/>
    </row>
    <row r="26586" spans="2:2" s="221" customFormat="1" ht="12.75" x14ac:dyDescent="0.2">
      <c r="B26586" s="1168"/>
    </row>
    <row r="26587" spans="2:2" s="221" customFormat="1" ht="12.75" x14ac:dyDescent="0.2">
      <c r="B26587" s="1168"/>
    </row>
    <row r="26588" spans="2:2" s="221" customFormat="1" ht="12.75" x14ac:dyDescent="0.2">
      <c r="B26588" s="1168"/>
    </row>
    <row r="26589" spans="2:2" s="221" customFormat="1" ht="12.75" x14ac:dyDescent="0.2">
      <c r="B26589" s="1168"/>
    </row>
    <row r="26590" spans="2:2" s="221" customFormat="1" ht="12.75" x14ac:dyDescent="0.2">
      <c r="B26590" s="1168"/>
    </row>
    <row r="26591" spans="2:2" s="221" customFormat="1" ht="12.75" x14ac:dyDescent="0.2">
      <c r="B26591" s="1168"/>
    </row>
    <row r="26592" spans="2:2" s="221" customFormat="1" ht="12.75" x14ac:dyDescent="0.2">
      <c r="B26592" s="1168"/>
    </row>
    <row r="26593" spans="2:2" s="221" customFormat="1" ht="12.75" x14ac:dyDescent="0.2">
      <c r="B26593" s="1168"/>
    </row>
    <row r="26594" spans="2:2" s="221" customFormat="1" ht="12.75" x14ac:dyDescent="0.2">
      <c r="B26594" s="1168"/>
    </row>
    <row r="26595" spans="2:2" s="221" customFormat="1" ht="12.75" x14ac:dyDescent="0.2">
      <c r="B26595" s="1168"/>
    </row>
    <row r="26596" spans="2:2" s="221" customFormat="1" ht="12.75" x14ac:dyDescent="0.2">
      <c r="B26596" s="1168"/>
    </row>
    <row r="26597" spans="2:2" s="221" customFormat="1" ht="12.75" x14ac:dyDescent="0.2">
      <c r="B26597" s="1168"/>
    </row>
    <row r="26598" spans="2:2" s="221" customFormat="1" ht="12.75" x14ac:dyDescent="0.2">
      <c r="B26598" s="1168"/>
    </row>
    <row r="26599" spans="2:2" s="221" customFormat="1" ht="12.75" x14ac:dyDescent="0.2">
      <c r="B26599" s="1168"/>
    </row>
    <row r="26600" spans="2:2" s="221" customFormat="1" ht="12.75" x14ac:dyDescent="0.2">
      <c r="B26600" s="1168"/>
    </row>
    <row r="26601" spans="2:2" s="221" customFormat="1" ht="12.75" x14ac:dyDescent="0.2">
      <c r="B26601" s="1168"/>
    </row>
    <row r="26602" spans="2:2" s="221" customFormat="1" ht="12.75" x14ac:dyDescent="0.2">
      <c r="B26602" s="1168"/>
    </row>
    <row r="26603" spans="2:2" s="221" customFormat="1" ht="12.75" x14ac:dyDescent="0.2">
      <c r="B26603" s="1168"/>
    </row>
    <row r="26604" spans="2:2" s="221" customFormat="1" ht="12.75" x14ac:dyDescent="0.2">
      <c r="B26604" s="1168"/>
    </row>
    <row r="26605" spans="2:2" s="221" customFormat="1" ht="12.75" x14ac:dyDescent="0.2">
      <c r="B26605" s="1168"/>
    </row>
    <row r="26606" spans="2:2" s="221" customFormat="1" ht="12.75" x14ac:dyDescent="0.2">
      <c r="B26606" s="1168"/>
    </row>
    <row r="26607" spans="2:2" s="221" customFormat="1" ht="12.75" x14ac:dyDescent="0.2">
      <c r="B26607" s="1168"/>
    </row>
    <row r="26608" spans="2:2" s="221" customFormat="1" ht="12.75" x14ac:dyDescent="0.2">
      <c r="B26608" s="1168"/>
    </row>
    <row r="26609" spans="2:2" s="221" customFormat="1" ht="12.75" x14ac:dyDescent="0.2">
      <c r="B26609" s="1168"/>
    </row>
    <row r="26610" spans="2:2" s="221" customFormat="1" ht="12.75" x14ac:dyDescent="0.2">
      <c r="B26610" s="1168"/>
    </row>
    <row r="26611" spans="2:2" s="221" customFormat="1" ht="12.75" x14ac:dyDescent="0.2">
      <c r="B26611" s="1168"/>
    </row>
    <row r="26612" spans="2:2" s="221" customFormat="1" ht="12.75" x14ac:dyDescent="0.2">
      <c r="B26612" s="1168"/>
    </row>
    <row r="26613" spans="2:2" s="221" customFormat="1" ht="12.75" x14ac:dyDescent="0.2">
      <c r="B26613" s="1168"/>
    </row>
    <row r="26614" spans="2:2" s="221" customFormat="1" ht="12.75" x14ac:dyDescent="0.2">
      <c r="B26614" s="1168"/>
    </row>
    <row r="26615" spans="2:2" s="221" customFormat="1" ht="12.75" x14ac:dyDescent="0.2">
      <c r="B26615" s="1168"/>
    </row>
    <row r="26616" spans="2:2" s="221" customFormat="1" ht="12.75" x14ac:dyDescent="0.2">
      <c r="B26616" s="1168"/>
    </row>
    <row r="26617" spans="2:2" s="221" customFormat="1" ht="12.75" x14ac:dyDescent="0.2">
      <c r="B26617" s="1168"/>
    </row>
    <row r="26618" spans="2:2" s="221" customFormat="1" ht="12.75" x14ac:dyDescent="0.2">
      <c r="B26618" s="1168"/>
    </row>
    <row r="26619" spans="2:2" s="221" customFormat="1" ht="12.75" x14ac:dyDescent="0.2">
      <c r="B26619" s="1168"/>
    </row>
    <row r="26620" spans="2:2" s="221" customFormat="1" ht="12.75" x14ac:dyDescent="0.2">
      <c r="B26620" s="1168"/>
    </row>
    <row r="26621" spans="2:2" s="221" customFormat="1" ht="12.75" x14ac:dyDescent="0.2">
      <c r="B26621" s="1168"/>
    </row>
    <row r="26622" spans="2:2" s="221" customFormat="1" ht="12.75" x14ac:dyDescent="0.2">
      <c r="B26622" s="1168"/>
    </row>
    <row r="26623" spans="2:2" s="221" customFormat="1" ht="12.75" x14ac:dyDescent="0.2">
      <c r="B26623" s="1168"/>
    </row>
    <row r="26624" spans="2:2" s="221" customFormat="1" ht="12.75" x14ac:dyDescent="0.2">
      <c r="B26624" s="1168"/>
    </row>
    <row r="26625" spans="2:2" s="221" customFormat="1" ht="12.75" x14ac:dyDescent="0.2">
      <c r="B26625" s="1168"/>
    </row>
    <row r="26626" spans="2:2" s="221" customFormat="1" ht="12.75" x14ac:dyDescent="0.2">
      <c r="B26626" s="1168"/>
    </row>
    <row r="26627" spans="2:2" s="221" customFormat="1" ht="12.75" x14ac:dyDescent="0.2">
      <c r="B26627" s="1168"/>
    </row>
    <row r="26628" spans="2:2" s="221" customFormat="1" ht="12.75" x14ac:dyDescent="0.2">
      <c r="B26628" s="1168"/>
    </row>
    <row r="26629" spans="2:2" s="221" customFormat="1" ht="12.75" x14ac:dyDescent="0.2">
      <c r="B26629" s="1168"/>
    </row>
    <row r="26630" spans="2:2" s="221" customFormat="1" ht="12.75" x14ac:dyDescent="0.2">
      <c r="B26630" s="1168"/>
    </row>
    <row r="26631" spans="2:2" s="221" customFormat="1" ht="12.75" x14ac:dyDescent="0.2">
      <c r="B26631" s="1168"/>
    </row>
    <row r="26632" spans="2:2" s="221" customFormat="1" ht="12.75" x14ac:dyDescent="0.2">
      <c r="B26632" s="1168"/>
    </row>
    <row r="26633" spans="2:2" s="221" customFormat="1" ht="12.75" x14ac:dyDescent="0.2">
      <c r="B26633" s="1168"/>
    </row>
    <row r="26634" spans="2:2" s="221" customFormat="1" ht="12.75" x14ac:dyDescent="0.2">
      <c r="B26634" s="1168"/>
    </row>
    <row r="26635" spans="2:2" s="221" customFormat="1" ht="12.75" x14ac:dyDescent="0.2">
      <c r="B26635" s="1168"/>
    </row>
    <row r="26636" spans="2:2" s="221" customFormat="1" ht="12.75" x14ac:dyDescent="0.2">
      <c r="B26636" s="1168"/>
    </row>
    <row r="26637" spans="2:2" s="221" customFormat="1" ht="12.75" x14ac:dyDescent="0.2">
      <c r="B26637" s="1168"/>
    </row>
    <row r="26638" spans="2:2" s="221" customFormat="1" ht="12.75" x14ac:dyDescent="0.2">
      <c r="B26638" s="1168"/>
    </row>
    <row r="26639" spans="2:2" s="221" customFormat="1" ht="12.75" x14ac:dyDescent="0.2">
      <c r="B26639" s="1168"/>
    </row>
    <row r="26640" spans="2:2" s="221" customFormat="1" ht="12.75" x14ac:dyDescent="0.2">
      <c r="B26640" s="1168"/>
    </row>
    <row r="26641" spans="2:2" s="221" customFormat="1" ht="12.75" x14ac:dyDescent="0.2">
      <c r="B26641" s="1168"/>
    </row>
    <row r="26642" spans="2:2" s="221" customFormat="1" ht="12.75" x14ac:dyDescent="0.2">
      <c r="B26642" s="1168"/>
    </row>
    <row r="26643" spans="2:2" s="221" customFormat="1" ht="12.75" x14ac:dyDescent="0.2">
      <c r="B26643" s="1168"/>
    </row>
    <row r="26644" spans="2:2" s="221" customFormat="1" ht="12.75" x14ac:dyDescent="0.2">
      <c r="B26644" s="1168"/>
    </row>
    <row r="26645" spans="2:2" s="221" customFormat="1" ht="12.75" x14ac:dyDescent="0.2">
      <c r="B26645" s="1168"/>
    </row>
    <row r="26646" spans="2:2" s="221" customFormat="1" ht="12.75" x14ac:dyDescent="0.2">
      <c r="B26646" s="1168"/>
    </row>
    <row r="26647" spans="2:2" s="221" customFormat="1" ht="12.75" x14ac:dyDescent="0.2">
      <c r="B26647" s="1168"/>
    </row>
    <row r="26648" spans="2:2" s="221" customFormat="1" ht="12.75" x14ac:dyDescent="0.2">
      <c r="B26648" s="1168"/>
    </row>
    <row r="26649" spans="2:2" s="221" customFormat="1" ht="12.75" x14ac:dyDescent="0.2">
      <c r="B26649" s="1168"/>
    </row>
    <row r="26650" spans="2:2" s="221" customFormat="1" ht="12.75" x14ac:dyDescent="0.2">
      <c r="B26650" s="1168"/>
    </row>
    <row r="26651" spans="2:2" s="221" customFormat="1" ht="12.75" x14ac:dyDescent="0.2">
      <c r="B26651" s="1168"/>
    </row>
    <row r="26652" spans="2:2" s="221" customFormat="1" ht="12.75" x14ac:dyDescent="0.2">
      <c r="B26652" s="1168"/>
    </row>
    <row r="26653" spans="2:2" s="221" customFormat="1" ht="12.75" x14ac:dyDescent="0.2">
      <c r="B26653" s="1168"/>
    </row>
    <row r="26654" spans="2:2" s="221" customFormat="1" ht="12.75" x14ac:dyDescent="0.2">
      <c r="B26654" s="1168"/>
    </row>
    <row r="26655" spans="2:2" s="221" customFormat="1" ht="12.75" x14ac:dyDescent="0.2">
      <c r="B26655" s="1168"/>
    </row>
    <row r="26656" spans="2:2" s="221" customFormat="1" ht="12.75" x14ac:dyDescent="0.2">
      <c r="B26656" s="1168"/>
    </row>
    <row r="26657" spans="2:2" s="221" customFormat="1" ht="12.75" x14ac:dyDescent="0.2">
      <c r="B26657" s="1168"/>
    </row>
    <row r="26658" spans="2:2" s="221" customFormat="1" ht="12.75" x14ac:dyDescent="0.2">
      <c r="B26658" s="1168"/>
    </row>
    <row r="26659" spans="2:2" s="221" customFormat="1" ht="12.75" x14ac:dyDescent="0.2">
      <c r="B26659" s="1168"/>
    </row>
    <row r="26660" spans="2:2" s="221" customFormat="1" ht="12.75" x14ac:dyDescent="0.2">
      <c r="B26660" s="1168"/>
    </row>
    <row r="26661" spans="2:2" s="221" customFormat="1" ht="12.75" x14ac:dyDescent="0.2">
      <c r="B26661" s="1168"/>
    </row>
    <row r="26662" spans="2:2" s="221" customFormat="1" ht="12.75" x14ac:dyDescent="0.2">
      <c r="B26662" s="1168"/>
    </row>
    <row r="26663" spans="2:2" s="221" customFormat="1" ht="12.75" x14ac:dyDescent="0.2">
      <c r="B26663" s="1168"/>
    </row>
    <row r="26664" spans="2:2" s="221" customFormat="1" ht="12.75" x14ac:dyDescent="0.2">
      <c r="B26664" s="1168"/>
    </row>
    <row r="26665" spans="2:2" s="221" customFormat="1" ht="12.75" x14ac:dyDescent="0.2">
      <c r="B26665" s="1168"/>
    </row>
    <row r="26666" spans="2:2" s="221" customFormat="1" ht="12.75" x14ac:dyDescent="0.2">
      <c r="B26666" s="1168"/>
    </row>
    <row r="26667" spans="2:2" s="221" customFormat="1" ht="12.75" x14ac:dyDescent="0.2">
      <c r="B26667" s="1168"/>
    </row>
    <row r="26668" spans="2:2" s="221" customFormat="1" ht="12.75" x14ac:dyDescent="0.2">
      <c r="B26668" s="1168"/>
    </row>
    <row r="26669" spans="2:2" s="221" customFormat="1" ht="12.75" x14ac:dyDescent="0.2">
      <c r="B26669" s="1168"/>
    </row>
    <row r="26670" spans="2:2" s="221" customFormat="1" ht="12.75" x14ac:dyDescent="0.2">
      <c r="B26670" s="1168"/>
    </row>
    <row r="26671" spans="2:2" s="221" customFormat="1" ht="12.75" x14ac:dyDescent="0.2">
      <c r="B26671" s="1168"/>
    </row>
    <row r="26672" spans="2:2" s="221" customFormat="1" ht="12.75" x14ac:dyDescent="0.2">
      <c r="B26672" s="1168"/>
    </row>
    <row r="26673" spans="2:2" s="221" customFormat="1" ht="12.75" x14ac:dyDescent="0.2">
      <c r="B26673" s="1168"/>
    </row>
    <row r="26674" spans="2:2" s="221" customFormat="1" ht="12.75" x14ac:dyDescent="0.2">
      <c r="B26674" s="1168"/>
    </row>
    <row r="26675" spans="2:2" s="221" customFormat="1" ht="12.75" x14ac:dyDescent="0.2">
      <c r="B26675" s="1168"/>
    </row>
    <row r="26676" spans="2:2" s="221" customFormat="1" ht="12.75" x14ac:dyDescent="0.2">
      <c r="B26676" s="1168"/>
    </row>
    <row r="26677" spans="2:2" s="221" customFormat="1" ht="12.75" x14ac:dyDescent="0.2">
      <c r="B26677" s="1168"/>
    </row>
    <row r="26678" spans="2:2" s="221" customFormat="1" ht="12.75" x14ac:dyDescent="0.2">
      <c r="B26678" s="1168"/>
    </row>
    <row r="26679" spans="2:2" s="221" customFormat="1" ht="12.75" x14ac:dyDescent="0.2">
      <c r="B26679" s="1168"/>
    </row>
    <row r="26680" spans="2:2" s="221" customFormat="1" ht="12.75" x14ac:dyDescent="0.2">
      <c r="B26680" s="1168"/>
    </row>
    <row r="26681" spans="2:2" s="221" customFormat="1" ht="12.75" x14ac:dyDescent="0.2">
      <c r="B26681" s="1168"/>
    </row>
    <row r="26682" spans="2:2" s="221" customFormat="1" ht="12.75" x14ac:dyDescent="0.2">
      <c r="B26682" s="1168"/>
    </row>
    <row r="26683" spans="2:2" s="221" customFormat="1" ht="12.75" x14ac:dyDescent="0.2">
      <c r="B26683" s="1168"/>
    </row>
    <row r="26684" spans="2:2" s="221" customFormat="1" ht="12.75" x14ac:dyDescent="0.2">
      <c r="B26684" s="1168"/>
    </row>
    <row r="26685" spans="2:2" s="221" customFormat="1" ht="12.75" x14ac:dyDescent="0.2">
      <c r="B26685" s="1168"/>
    </row>
    <row r="26686" spans="2:2" s="221" customFormat="1" ht="12.75" x14ac:dyDescent="0.2">
      <c r="B26686" s="1168"/>
    </row>
    <row r="26687" spans="2:2" s="221" customFormat="1" ht="12.75" x14ac:dyDescent="0.2">
      <c r="B26687" s="1168"/>
    </row>
    <row r="26688" spans="2:2" s="221" customFormat="1" ht="12.75" x14ac:dyDescent="0.2">
      <c r="B26688" s="1168"/>
    </row>
    <row r="26689" spans="2:2" s="221" customFormat="1" ht="12.75" x14ac:dyDescent="0.2">
      <c r="B26689" s="1168"/>
    </row>
    <row r="26690" spans="2:2" s="221" customFormat="1" ht="12.75" x14ac:dyDescent="0.2">
      <c r="B26690" s="1168"/>
    </row>
    <row r="26691" spans="2:2" s="221" customFormat="1" ht="12.75" x14ac:dyDescent="0.2">
      <c r="B26691" s="1168"/>
    </row>
    <row r="26692" spans="2:2" s="221" customFormat="1" ht="12.75" x14ac:dyDescent="0.2">
      <c r="B26692" s="1168"/>
    </row>
    <row r="26693" spans="2:2" s="221" customFormat="1" ht="12.75" x14ac:dyDescent="0.2">
      <c r="B26693" s="1168"/>
    </row>
    <row r="26694" spans="2:2" s="221" customFormat="1" ht="12.75" x14ac:dyDescent="0.2">
      <c r="B26694" s="1168"/>
    </row>
    <row r="26695" spans="2:2" s="221" customFormat="1" ht="12.75" x14ac:dyDescent="0.2">
      <c r="B26695" s="1168"/>
    </row>
    <row r="26696" spans="2:2" s="221" customFormat="1" ht="12.75" x14ac:dyDescent="0.2">
      <c r="B26696" s="1168"/>
    </row>
    <row r="26697" spans="2:2" s="221" customFormat="1" ht="12.75" x14ac:dyDescent="0.2">
      <c r="B26697" s="1168"/>
    </row>
    <row r="26698" spans="2:2" s="221" customFormat="1" ht="12.75" x14ac:dyDescent="0.2">
      <c r="B26698" s="1168"/>
    </row>
    <row r="26699" spans="2:2" s="221" customFormat="1" ht="12.75" x14ac:dyDescent="0.2">
      <c r="B26699" s="1168"/>
    </row>
    <row r="26700" spans="2:2" s="221" customFormat="1" ht="12.75" x14ac:dyDescent="0.2">
      <c r="B26700" s="1168"/>
    </row>
    <row r="26701" spans="2:2" s="221" customFormat="1" ht="12.75" x14ac:dyDescent="0.2">
      <c r="B26701" s="1168"/>
    </row>
    <row r="26702" spans="2:2" s="221" customFormat="1" ht="12.75" x14ac:dyDescent="0.2">
      <c r="B26702" s="1168"/>
    </row>
    <row r="26703" spans="2:2" s="221" customFormat="1" ht="12.75" x14ac:dyDescent="0.2">
      <c r="B26703" s="1168"/>
    </row>
    <row r="26704" spans="2:2" s="221" customFormat="1" ht="12.75" x14ac:dyDescent="0.2">
      <c r="B26704" s="1168"/>
    </row>
    <row r="26705" spans="2:2" s="221" customFormat="1" ht="12.75" x14ac:dyDescent="0.2">
      <c r="B26705" s="1168"/>
    </row>
    <row r="26706" spans="2:2" s="221" customFormat="1" ht="12.75" x14ac:dyDescent="0.2">
      <c r="B26706" s="1168"/>
    </row>
    <row r="26707" spans="2:2" s="221" customFormat="1" ht="12.75" x14ac:dyDescent="0.2">
      <c r="B26707" s="1168"/>
    </row>
    <row r="26708" spans="2:2" s="221" customFormat="1" ht="12.75" x14ac:dyDescent="0.2">
      <c r="B26708" s="1168"/>
    </row>
    <row r="26709" spans="2:2" s="221" customFormat="1" ht="12.75" x14ac:dyDescent="0.2">
      <c r="B26709" s="1168"/>
    </row>
    <row r="26710" spans="2:2" s="221" customFormat="1" ht="12.75" x14ac:dyDescent="0.2">
      <c r="B26710" s="1168"/>
    </row>
    <row r="26711" spans="2:2" s="221" customFormat="1" ht="12.75" x14ac:dyDescent="0.2">
      <c r="B26711" s="1168"/>
    </row>
    <row r="26712" spans="2:2" s="221" customFormat="1" ht="12.75" x14ac:dyDescent="0.2">
      <c r="B26712" s="1168"/>
    </row>
    <row r="26713" spans="2:2" s="221" customFormat="1" ht="12.75" x14ac:dyDescent="0.2">
      <c r="B26713" s="1168"/>
    </row>
    <row r="26714" spans="2:2" s="221" customFormat="1" ht="12.75" x14ac:dyDescent="0.2">
      <c r="B26714" s="1168"/>
    </row>
    <row r="26715" spans="2:2" s="221" customFormat="1" ht="12.75" x14ac:dyDescent="0.2">
      <c r="B26715" s="1168"/>
    </row>
    <row r="26716" spans="2:2" s="221" customFormat="1" ht="12.75" x14ac:dyDescent="0.2">
      <c r="B26716" s="1168"/>
    </row>
    <row r="26717" spans="2:2" s="221" customFormat="1" ht="12.75" x14ac:dyDescent="0.2">
      <c r="B26717" s="1168"/>
    </row>
    <row r="26718" spans="2:2" s="221" customFormat="1" ht="12.75" x14ac:dyDescent="0.2">
      <c r="B26718" s="1168"/>
    </row>
    <row r="26719" spans="2:2" s="221" customFormat="1" ht="12.75" x14ac:dyDescent="0.2">
      <c r="B26719" s="1168"/>
    </row>
    <row r="26720" spans="2:2" s="221" customFormat="1" ht="12.75" x14ac:dyDescent="0.2">
      <c r="B26720" s="1168"/>
    </row>
    <row r="26721" spans="2:2" s="221" customFormat="1" ht="12.75" x14ac:dyDescent="0.2">
      <c r="B26721" s="1168"/>
    </row>
    <row r="26722" spans="2:2" s="221" customFormat="1" ht="12.75" x14ac:dyDescent="0.2">
      <c r="B26722" s="1168"/>
    </row>
    <row r="26723" spans="2:2" s="221" customFormat="1" ht="12.75" x14ac:dyDescent="0.2">
      <c r="B26723" s="1168"/>
    </row>
    <row r="26724" spans="2:2" s="221" customFormat="1" ht="12.75" x14ac:dyDescent="0.2">
      <c r="B26724" s="1168"/>
    </row>
    <row r="26725" spans="2:2" s="221" customFormat="1" ht="12.75" x14ac:dyDescent="0.2">
      <c r="B26725" s="1168"/>
    </row>
    <row r="26726" spans="2:2" s="221" customFormat="1" ht="12.75" x14ac:dyDescent="0.2">
      <c r="B26726" s="1168"/>
    </row>
    <row r="26727" spans="2:2" s="221" customFormat="1" ht="12.75" x14ac:dyDescent="0.2">
      <c r="B26727" s="1168"/>
    </row>
    <row r="26728" spans="2:2" s="221" customFormat="1" ht="12.75" x14ac:dyDescent="0.2">
      <c r="B26728" s="1168"/>
    </row>
    <row r="26729" spans="2:2" s="221" customFormat="1" ht="12.75" x14ac:dyDescent="0.2">
      <c r="B26729" s="1168"/>
    </row>
    <row r="26730" spans="2:2" s="221" customFormat="1" ht="12.75" x14ac:dyDescent="0.2">
      <c r="B26730" s="1168"/>
    </row>
    <row r="26731" spans="2:2" s="221" customFormat="1" ht="12.75" x14ac:dyDescent="0.2">
      <c r="B26731" s="1168"/>
    </row>
    <row r="26732" spans="2:2" s="221" customFormat="1" ht="12.75" x14ac:dyDescent="0.2">
      <c r="B26732" s="1168"/>
    </row>
    <row r="26733" spans="2:2" s="221" customFormat="1" ht="12.75" x14ac:dyDescent="0.2">
      <c r="B26733" s="1168"/>
    </row>
    <row r="26734" spans="2:2" s="221" customFormat="1" ht="12.75" x14ac:dyDescent="0.2">
      <c r="B26734" s="1168"/>
    </row>
    <row r="26735" spans="2:2" s="221" customFormat="1" ht="12.75" x14ac:dyDescent="0.2">
      <c r="B26735" s="1168"/>
    </row>
    <row r="26736" spans="2:2" s="221" customFormat="1" ht="12.75" x14ac:dyDescent="0.2">
      <c r="B26736" s="1168"/>
    </row>
    <row r="26737" spans="2:2" s="221" customFormat="1" ht="12.75" x14ac:dyDescent="0.2">
      <c r="B26737" s="1168"/>
    </row>
    <row r="26738" spans="2:2" s="221" customFormat="1" ht="12.75" x14ac:dyDescent="0.2">
      <c r="B26738" s="1168"/>
    </row>
    <row r="26739" spans="2:2" s="221" customFormat="1" ht="12.75" x14ac:dyDescent="0.2">
      <c r="B26739" s="1168"/>
    </row>
    <row r="26740" spans="2:2" s="221" customFormat="1" ht="12.75" x14ac:dyDescent="0.2">
      <c r="B26740" s="1168"/>
    </row>
    <row r="26741" spans="2:2" s="221" customFormat="1" ht="12.75" x14ac:dyDescent="0.2">
      <c r="B26741" s="1168"/>
    </row>
    <row r="26742" spans="2:2" s="221" customFormat="1" ht="12.75" x14ac:dyDescent="0.2">
      <c r="B26742" s="1168"/>
    </row>
    <row r="26743" spans="2:2" s="221" customFormat="1" ht="12.75" x14ac:dyDescent="0.2">
      <c r="B26743" s="1168"/>
    </row>
    <row r="26744" spans="2:2" s="221" customFormat="1" ht="12.75" x14ac:dyDescent="0.2">
      <c r="B26744" s="1168"/>
    </row>
    <row r="26745" spans="2:2" s="221" customFormat="1" ht="12.75" x14ac:dyDescent="0.2">
      <c r="B26745" s="1168"/>
    </row>
    <row r="26746" spans="2:2" s="221" customFormat="1" ht="12.75" x14ac:dyDescent="0.2">
      <c r="B26746" s="1168"/>
    </row>
    <row r="26747" spans="2:2" s="221" customFormat="1" ht="12.75" x14ac:dyDescent="0.2">
      <c r="B26747" s="1168"/>
    </row>
    <row r="26748" spans="2:2" s="221" customFormat="1" ht="12.75" x14ac:dyDescent="0.2">
      <c r="B26748" s="1168"/>
    </row>
    <row r="26749" spans="2:2" s="221" customFormat="1" ht="12.75" x14ac:dyDescent="0.2">
      <c r="B26749" s="1168"/>
    </row>
    <row r="26750" spans="2:2" s="221" customFormat="1" ht="12.75" x14ac:dyDescent="0.2">
      <c r="B26750" s="1168"/>
    </row>
    <row r="26751" spans="2:2" s="221" customFormat="1" ht="12.75" x14ac:dyDescent="0.2">
      <c r="B26751" s="1168"/>
    </row>
    <row r="26752" spans="2:2" s="221" customFormat="1" ht="12.75" x14ac:dyDescent="0.2">
      <c r="B26752" s="1168"/>
    </row>
    <row r="26753" spans="2:2" s="221" customFormat="1" ht="12.75" x14ac:dyDescent="0.2">
      <c r="B26753" s="1168"/>
    </row>
    <row r="26754" spans="2:2" s="221" customFormat="1" ht="12.75" x14ac:dyDescent="0.2">
      <c r="B26754" s="1168"/>
    </row>
    <row r="26755" spans="2:2" s="221" customFormat="1" ht="12.75" x14ac:dyDescent="0.2">
      <c r="B26755" s="1168"/>
    </row>
    <row r="26756" spans="2:2" s="221" customFormat="1" ht="12.75" x14ac:dyDescent="0.2">
      <c r="B26756" s="1168"/>
    </row>
    <row r="26757" spans="2:2" s="221" customFormat="1" ht="12.75" x14ac:dyDescent="0.2">
      <c r="B26757" s="1168"/>
    </row>
    <row r="26758" spans="2:2" s="221" customFormat="1" ht="12.75" x14ac:dyDescent="0.2">
      <c r="B26758" s="1168"/>
    </row>
    <row r="26759" spans="2:2" s="221" customFormat="1" ht="12.75" x14ac:dyDescent="0.2">
      <c r="B26759" s="1168"/>
    </row>
    <row r="26760" spans="2:2" s="221" customFormat="1" ht="12.75" x14ac:dyDescent="0.2">
      <c r="B26760" s="1168"/>
    </row>
    <row r="26761" spans="2:2" s="221" customFormat="1" ht="12.75" x14ac:dyDescent="0.2">
      <c r="B26761" s="1168"/>
    </row>
    <row r="26762" spans="2:2" s="221" customFormat="1" ht="12.75" x14ac:dyDescent="0.2">
      <c r="B26762" s="1168"/>
    </row>
    <row r="26763" spans="2:2" s="221" customFormat="1" ht="12.75" x14ac:dyDescent="0.2">
      <c r="B26763" s="1168"/>
    </row>
    <row r="26764" spans="2:2" s="221" customFormat="1" ht="12.75" x14ac:dyDescent="0.2">
      <c r="B26764" s="1168"/>
    </row>
    <row r="26765" spans="2:2" s="221" customFormat="1" ht="12.75" x14ac:dyDescent="0.2">
      <c r="B26765" s="1168"/>
    </row>
    <row r="26766" spans="2:2" s="221" customFormat="1" ht="12.75" x14ac:dyDescent="0.2">
      <c r="B26766" s="1168"/>
    </row>
    <row r="26767" spans="2:2" s="221" customFormat="1" ht="12.75" x14ac:dyDescent="0.2">
      <c r="B26767" s="1168"/>
    </row>
    <row r="26768" spans="2:2" s="221" customFormat="1" ht="12.75" x14ac:dyDescent="0.2">
      <c r="B26768" s="1168"/>
    </row>
    <row r="26769" spans="2:2" s="221" customFormat="1" ht="12.75" x14ac:dyDescent="0.2">
      <c r="B26769" s="1168"/>
    </row>
    <row r="26770" spans="2:2" s="221" customFormat="1" ht="12.75" x14ac:dyDescent="0.2">
      <c r="B26770" s="1168"/>
    </row>
    <row r="26771" spans="2:2" s="221" customFormat="1" ht="12.75" x14ac:dyDescent="0.2">
      <c r="B26771" s="1168"/>
    </row>
    <row r="26772" spans="2:2" s="221" customFormat="1" ht="12.75" x14ac:dyDescent="0.2">
      <c r="B26772" s="1168"/>
    </row>
    <row r="26773" spans="2:2" s="221" customFormat="1" ht="12.75" x14ac:dyDescent="0.2">
      <c r="B26773" s="1168"/>
    </row>
    <row r="26774" spans="2:2" s="221" customFormat="1" ht="12.75" x14ac:dyDescent="0.2">
      <c r="B26774" s="1168"/>
    </row>
    <row r="26775" spans="2:2" s="221" customFormat="1" ht="12.75" x14ac:dyDescent="0.2">
      <c r="B26775" s="1168"/>
    </row>
    <row r="26776" spans="2:2" s="221" customFormat="1" ht="12.75" x14ac:dyDescent="0.2">
      <c r="B26776" s="1168"/>
    </row>
    <row r="26777" spans="2:2" s="221" customFormat="1" ht="12.75" x14ac:dyDescent="0.2">
      <c r="B26777" s="1168"/>
    </row>
    <row r="26778" spans="2:2" s="221" customFormat="1" ht="12.75" x14ac:dyDescent="0.2">
      <c r="B26778" s="1168"/>
    </row>
    <row r="26779" spans="2:2" s="221" customFormat="1" ht="12.75" x14ac:dyDescent="0.2">
      <c r="B26779" s="1168"/>
    </row>
    <row r="26780" spans="2:2" s="221" customFormat="1" ht="12.75" x14ac:dyDescent="0.2">
      <c r="B26780" s="1168"/>
    </row>
    <row r="26781" spans="2:2" s="221" customFormat="1" ht="12.75" x14ac:dyDescent="0.2">
      <c r="B26781" s="1168"/>
    </row>
    <row r="26782" spans="2:2" s="221" customFormat="1" ht="12.75" x14ac:dyDescent="0.2">
      <c r="B26782" s="1168"/>
    </row>
    <row r="26783" spans="2:2" s="221" customFormat="1" ht="12.75" x14ac:dyDescent="0.2">
      <c r="B26783" s="1168"/>
    </row>
    <row r="26784" spans="2:2" s="221" customFormat="1" ht="12.75" x14ac:dyDescent="0.2">
      <c r="B26784" s="1168"/>
    </row>
    <row r="26785" spans="2:2" s="221" customFormat="1" ht="12.75" x14ac:dyDescent="0.2">
      <c r="B26785" s="1168"/>
    </row>
    <row r="26786" spans="2:2" s="221" customFormat="1" ht="12.75" x14ac:dyDescent="0.2">
      <c r="B26786" s="1168"/>
    </row>
    <row r="26787" spans="2:2" s="221" customFormat="1" ht="12.75" x14ac:dyDescent="0.2">
      <c r="B26787" s="1168"/>
    </row>
    <row r="26788" spans="2:2" s="221" customFormat="1" ht="12.75" x14ac:dyDescent="0.2">
      <c r="B26788" s="1168"/>
    </row>
    <row r="26789" spans="2:2" s="221" customFormat="1" ht="12.75" x14ac:dyDescent="0.2">
      <c r="B26789" s="1168"/>
    </row>
    <row r="26790" spans="2:2" s="221" customFormat="1" ht="12.75" x14ac:dyDescent="0.2">
      <c r="B26790" s="1168"/>
    </row>
    <row r="26791" spans="2:2" s="221" customFormat="1" ht="12.75" x14ac:dyDescent="0.2">
      <c r="B26791" s="1168"/>
    </row>
    <row r="26792" spans="2:2" s="221" customFormat="1" ht="12.75" x14ac:dyDescent="0.2">
      <c r="B26792" s="1168"/>
    </row>
    <row r="26793" spans="2:2" s="221" customFormat="1" ht="12.75" x14ac:dyDescent="0.2">
      <c r="B26793" s="1168"/>
    </row>
    <row r="26794" spans="2:2" s="221" customFormat="1" ht="12.75" x14ac:dyDescent="0.2">
      <c r="B26794" s="1168"/>
    </row>
    <row r="26795" spans="2:2" s="221" customFormat="1" ht="12.75" x14ac:dyDescent="0.2">
      <c r="B26795" s="1168"/>
    </row>
    <row r="26796" spans="2:2" s="221" customFormat="1" ht="12.75" x14ac:dyDescent="0.2">
      <c r="B26796" s="1168"/>
    </row>
    <row r="26797" spans="2:2" s="221" customFormat="1" ht="12.75" x14ac:dyDescent="0.2">
      <c r="B26797" s="1168"/>
    </row>
    <row r="26798" spans="2:2" s="221" customFormat="1" ht="12.75" x14ac:dyDescent="0.2">
      <c r="B26798" s="1168"/>
    </row>
    <row r="26799" spans="2:2" s="221" customFormat="1" ht="12.75" x14ac:dyDescent="0.2">
      <c r="B26799" s="1168"/>
    </row>
    <row r="26800" spans="2:2" s="221" customFormat="1" ht="12.75" x14ac:dyDescent="0.2">
      <c r="B26800" s="1168"/>
    </row>
    <row r="26801" spans="2:2" s="221" customFormat="1" ht="12.75" x14ac:dyDescent="0.2">
      <c r="B26801" s="1168"/>
    </row>
    <row r="26802" spans="2:2" s="221" customFormat="1" ht="12.75" x14ac:dyDescent="0.2">
      <c r="B26802" s="1168"/>
    </row>
    <row r="26803" spans="2:2" s="221" customFormat="1" ht="12.75" x14ac:dyDescent="0.2">
      <c r="B26803" s="1168"/>
    </row>
    <row r="26804" spans="2:2" s="221" customFormat="1" ht="12.75" x14ac:dyDescent="0.2">
      <c r="B26804" s="1168"/>
    </row>
    <row r="26805" spans="2:2" s="221" customFormat="1" ht="12.75" x14ac:dyDescent="0.2">
      <c r="B26805" s="1168"/>
    </row>
    <row r="26806" spans="2:2" s="221" customFormat="1" ht="12.75" x14ac:dyDescent="0.2">
      <c r="B26806" s="1168"/>
    </row>
    <row r="26807" spans="2:2" s="221" customFormat="1" ht="12.75" x14ac:dyDescent="0.2">
      <c r="B26807" s="1168"/>
    </row>
    <row r="26808" spans="2:2" s="221" customFormat="1" ht="12.75" x14ac:dyDescent="0.2">
      <c r="B26808" s="1168"/>
    </row>
    <row r="26809" spans="2:2" s="221" customFormat="1" ht="12.75" x14ac:dyDescent="0.2">
      <c r="B26809" s="1168"/>
    </row>
    <row r="26810" spans="2:2" s="221" customFormat="1" ht="12.75" x14ac:dyDescent="0.2">
      <c r="B26810" s="1168"/>
    </row>
    <row r="26811" spans="2:2" s="221" customFormat="1" ht="12.75" x14ac:dyDescent="0.2">
      <c r="B26811" s="1168"/>
    </row>
    <row r="26812" spans="2:2" s="221" customFormat="1" ht="12.75" x14ac:dyDescent="0.2">
      <c r="B26812" s="1168"/>
    </row>
    <row r="26813" spans="2:2" s="221" customFormat="1" ht="12.75" x14ac:dyDescent="0.2">
      <c r="B26813" s="1168"/>
    </row>
    <row r="26814" spans="2:2" s="221" customFormat="1" ht="12.75" x14ac:dyDescent="0.2">
      <c r="B26814" s="1168"/>
    </row>
    <row r="26815" spans="2:2" s="221" customFormat="1" ht="12.75" x14ac:dyDescent="0.2">
      <c r="B26815" s="1168"/>
    </row>
    <row r="26816" spans="2:2" s="221" customFormat="1" ht="12.75" x14ac:dyDescent="0.2">
      <c r="B26816" s="1168"/>
    </row>
    <row r="26817" spans="2:2" s="221" customFormat="1" ht="12.75" x14ac:dyDescent="0.2">
      <c r="B26817" s="1168"/>
    </row>
    <row r="26818" spans="2:2" s="221" customFormat="1" ht="12.75" x14ac:dyDescent="0.2">
      <c r="B26818" s="1168"/>
    </row>
    <row r="26819" spans="2:2" s="221" customFormat="1" ht="12.75" x14ac:dyDescent="0.2">
      <c r="B26819" s="1168"/>
    </row>
    <row r="26820" spans="2:2" s="221" customFormat="1" ht="12.75" x14ac:dyDescent="0.2">
      <c r="B26820" s="1168"/>
    </row>
    <row r="26821" spans="2:2" s="221" customFormat="1" ht="12.75" x14ac:dyDescent="0.2">
      <c r="B26821" s="1168"/>
    </row>
    <row r="26822" spans="2:2" s="221" customFormat="1" ht="12.75" x14ac:dyDescent="0.2">
      <c r="B26822" s="1168"/>
    </row>
    <row r="26823" spans="2:2" s="221" customFormat="1" ht="12.75" x14ac:dyDescent="0.2">
      <c r="B26823" s="1168"/>
    </row>
    <row r="26824" spans="2:2" s="221" customFormat="1" ht="12.75" x14ac:dyDescent="0.2">
      <c r="B26824" s="1168"/>
    </row>
    <row r="26825" spans="2:2" s="221" customFormat="1" ht="12.75" x14ac:dyDescent="0.2">
      <c r="B26825" s="1168"/>
    </row>
    <row r="26826" spans="2:2" s="221" customFormat="1" ht="12.75" x14ac:dyDescent="0.2">
      <c r="B26826" s="1168"/>
    </row>
    <row r="26827" spans="2:2" s="221" customFormat="1" ht="12.75" x14ac:dyDescent="0.2">
      <c r="B26827" s="1168"/>
    </row>
    <row r="26828" spans="2:2" s="221" customFormat="1" ht="12.75" x14ac:dyDescent="0.2">
      <c r="B26828" s="1168"/>
    </row>
    <row r="26829" spans="2:2" s="221" customFormat="1" ht="12.75" x14ac:dyDescent="0.2">
      <c r="B26829" s="1168"/>
    </row>
    <row r="26830" spans="2:2" s="221" customFormat="1" ht="12.75" x14ac:dyDescent="0.2">
      <c r="B26830" s="1168"/>
    </row>
    <row r="26831" spans="2:2" s="221" customFormat="1" ht="12.75" x14ac:dyDescent="0.2">
      <c r="B26831" s="1168"/>
    </row>
    <row r="26832" spans="2:2" s="221" customFormat="1" ht="12.75" x14ac:dyDescent="0.2">
      <c r="B26832" s="1168"/>
    </row>
    <row r="26833" spans="2:2" s="221" customFormat="1" ht="12.75" x14ac:dyDescent="0.2">
      <c r="B26833" s="1168"/>
    </row>
    <row r="26834" spans="2:2" s="221" customFormat="1" ht="12.75" x14ac:dyDescent="0.2">
      <c r="B26834" s="1168"/>
    </row>
    <row r="26835" spans="2:2" s="221" customFormat="1" ht="12.75" x14ac:dyDescent="0.2">
      <c r="B26835" s="1168"/>
    </row>
    <row r="26836" spans="2:2" s="221" customFormat="1" ht="12.75" x14ac:dyDescent="0.2">
      <c r="B26836" s="1168"/>
    </row>
    <row r="26837" spans="2:2" s="221" customFormat="1" ht="12.75" x14ac:dyDescent="0.2">
      <c r="B26837" s="1168"/>
    </row>
    <row r="26838" spans="2:2" s="221" customFormat="1" ht="12.75" x14ac:dyDescent="0.2">
      <c r="B26838" s="1168"/>
    </row>
    <row r="26839" spans="2:2" s="221" customFormat="1" ht="12.75" x14ac:dyDescent="0.2">
      <c r="B26839" s="1168"/>
    </row>
    <row r="26840" spans="2:2" s="221" customFormat="1" ht="12.75" x14ac:dyDescent="0.2">
      <c r="B26840" s="1168"/>
    </row>
    <row r="26841" spans="2:2" s="221" customFormat="1" ht="12.75" x14ac:dyDescent="0.2">
      <c r="B26841" s="1168"/>
    </row>
    <row r="26842" spans="2:2" s="221" customFormat="1" ht="12.75" x14ac:dyDescent="0.2">
      <c r="B26842" s="1168"/>
    </row>
    <row r="26843" spans="2:2" s="221" customFormat="1" ht="12.75" x14ac:dyDescent="0.2">
      <c r="B26843" s="1168"/>
    </row>
    <row r="26844" spans="2:2" s="221" customFormat="1" ht="12.75" x14ac:dyDescent="0.2">
      <c r="B26844" s="1168"/>
    </row>
    <row r="26845" spans="2:2" s="221" customFormat="1" ht="12.75" x14ac:dyDescent="0.2">
      <c r="B26845" s="1168"/>
    </row>
    <row r="26846" spans="2:2" s="221" customFormat="1" ht="12.75" x14ac:dyDescent="0.2">
      <c r="B26846" s="1168"/>
    </row>
    <row r="26847" spans="2:2" s="221" customFormat="1" ht="12.75" x14ac:dyDescent="0.2">
      <c r="B26847" s="1168"/>
    </row>
    <row r="26848" spans="2:2" s="221" customFormat="1" ht="12.75" x14ac:dyDescent="0.2">
      <c r="B26848" s="1168"/>
    </row>
    <row r="26849" spans="2:2" s="221" customFormat="1" ht="12.75" x14ac:dyDescent="0.2">
      <c r="B26849" s="1168"/>
    </row>
    <row r="26850" spans="2:2" s="221" customFormat="1" ht="12.75" x14ac:dyDescent="0.2">
      <c r="B26850" s="1168"/>
    </row>
    <row r="26851" spans="2:2" s="221" customFormat="1" ht="12.75" x14ac:dyDescent="0.2">
      <c r="B26851" s="1168"/>
    </row>
    <row r="26852" spans="2:2" s="221" customFormat="1" ht="12.75" x14ac:dyDescent="0.2">
      <c r="B26852" s="1168"/>
    </row>
    <row r="26853" spans="2:2" s="221" customFormat="1" ht="12.75" x14ac:dyDescent="0.2">
      <c r="B26853" s="1168"/>
    </row>
    <row r="26854" spans="2:2" s="221" customFormat="1" ht="12.75" x14ac:dyDescent="0.2">
      <c r="B26854" s="1168"/>
    </row>
    <row r="26855" spans="2:2" s="221" customFormat="1" ht="12.75" x14ac:dyDescent="0.2">
      <c r="B26855" s="1168"/>
    </row>
    <row r="26856" spans="2:2" s="221" customFormat="1" ht="12.75" x14ac:dyDescent="0.2">
      <c r="B26856" s="1168"/>
    </row>
    <row r="26857" spans="2:2" s="221" customFormat="1" ht="12.75" x14ac:dyDescent="0.2">
      <c r="B26857" s="1168"/>
    </row>
    <row r="26858" spans="2:2" s="221" customFormat="1" ht="12.75" x14ac:dyDescent="0.2">
      <c r="B26858" s="1168"/>
    </row>
    <row r="26859" spans="2:2" s="221" customFormat="1" ht="12.75" x14ac:dyDescent="0.2">
      <c r="B26859" s="1168"/>
    </row>
    <row r="26860" spans="2:2" s="221" customFormat="1" ht="12.75" x14ac:dyDescent="0.2">
      <c r="B26860" s="1168"/>
    </row>
    <row r="26861" spans="2:2" s="221" customFormat="1" ht="12.75" x14ac:dyDescent="0.2">
      <c r="B26861" s="1168"/>
    </row>
    <row r="26862" spans="2:2" s="221" customFormat="1" ht="12.75" x14ac:dyDescent="0.2">
      <c r="B26862" s="1168"/>
    </row>
    <row r="26863" spans="2:2" s="221" customFormat="1" ht="12.75" x14ac:dyDescent="0.2">
      <c r="B26863" s="1168"/>
    </row>
    <row r="26864" spans="2:2" s="221" customFormat="1" ht="12.75" x14ac:dyDescent="0.2">
      <c r="B26864" s="1168"/>
    </row>
    <row r="26865" spans="2:2" s="221" customFormat="1" ht="12.75" x14ac:dyDescent="0.2">
      <c r="B26865" s="1168"/>
    </row>
    <row r="26866" spans="2:2" s="221" customFormat="1" ht="12.75" x14ac:dyDescent="0.2">
      <c r="B26866" s="1168"/>
    </row>
    <row r="26867" spans="2:2" s="221" customFormat="1" ht="12.75" x14ac:dyDescent="0.2">
      <c r="B26867" s="1168"/>
    </row>
    <row r="26868" spans="2:2" s="221" customFormat="1" ht="12.75" x14ac:dyDescent="0.2">
      <c r="B26868" s="1168"/>
    </row>
    <row r="26869" spans="2:2" s="221" customFormat="1" ht="12.75" x14ac:dyDescent="0.2">
      <c r="B26869" s="1168"/>
    </row>
    <row r="26870" spans="2:2" s="221" customFormat="1" ht="12.75" x14ac:dyDescent="0.2">
      <c r="B26870" s="1168"/>
    </row>
    <row r="26871" spans="2:2" s="221" customFormat="1" ht="12.75" x14ac:dyDescent="0.2">
      <c r="B26871" s="1168"/>
    </row>
    <row r="26872" spans="2:2" s="221" customFormat="1" ht="12.75" x14ac:dyDescent="0.2">
      <c r="B26872" s="1168"/>
    </row>
    <row r="26873" spans="2:2" s="221" customFormat="1" ht="12.75" x14ac:dyDescent="0.2">
      <c r="B26873" s="1168"/>
    </row>
    <row r="26874" spans="2:2" s="221" customFormat="1" ht="12.75" x14ac:dyDescent="0.2">
      <c r="B26874" s="1168"/>
    </row>
    <row r="26875" spans="2:2" s="221" customFormat="1" ht="12.75" x14ac:dyDescent="0.2">
      <c r="B26875" s="1168"/>
    </row>
    <row r="26876" spans="2:2" s="221" customFormat="1" ht="12.75" x14ac:dyDescent="0.2">
      <c r="B26876" s="1168"/>
    </row>
    <row r="26877" spans="2:2" s="221" customFormat="1" ht="12.75" x14ac:dyDescent="0.2">
      <c r="B26877" s="1168"/>
    </row>
    <row r="26878" spans="2:2" s="221" customFormat="1" ht="12.75" x14ac:dyDescent="0.2">
      <c r="B26878" s="1168"/>
    </row>
    <row r="26879" spans="2:2" s="221" customFormat="1" ht="12.75" x14ac:dyDescent="0.2">
      <c r="B26879" s="1168"/>
    </row>
    <row r="26880" spans="2:2" s="221" customFormat="1" ht="12.75" x14ac:dyDescent="0.2">
      <c r="B26880" s="1168"/>
    </row>
    <row r="26881" spans="2:2" s="221" customFormat="1" ht="12.75" x14ac:dyDescent="0.2">
      <c r="B26881" s="1168"/>
    </row>
    <row r="26882" spans="2:2" s="221" customFormat="1" ht="12.75" x14ac:dyDescent="0.2">
      <c r="B26882" s="1168"/>
    </row>
    <row r="26883" spans="2:2" s="221" customFormat="1" ht="12.75" x14ac:dyDescent="0.2">
      <c r="B26883" s="1168"/>
    </row>
    <row r="26884" spans="2:2" s="221" customFormat="1" ht="12.75" x14ac:dyDescent="0.2">
      <c r="B26884" s="1168"/>
    </row>
    <row r="26885" spans="2:2" s="221" customFormat="1" ht="12.75" x14ac:dyDescent="0.2">
      <c r="B26885" s="1168"/>
    </row>
    <row r="26886" spans="2:2" s="221" customFormat="1" ht="12.75" x14ac:dyDescent="0.2">
      <c r="B26886" s="1168"/>
    </row>
    <row r="26887" spans="2:2" s="221" customFormat="1" ht="12.75" x14ac:dyDescent="0.2">
      <c r="B26887" s="1168"/>
    </row>
    <row r="26888" spans="2:2" s="221" customFormat="1" ht="12.75" x14ac:dyDescent="0.2">
      <c r="B26888" s="1168"/>
    </row>
    <row r="26889" spans="2:2" s="221" customFormat="1" ht="12.75" x14ac:dyDescent="0.2">
      <c r="B26889" s="1168"/>
    </row>
    <row r="26890" spans="2:2" s="221" customFormat="1" ht="12.75" x14ac:dyDescent="0.2">
      <c r="B26890" s="1168"/>
    </row>
    <row r="26891" spans="2:2" s="221" customFormat="1" ht="12.75" x14ac:dyDescent="0.2">
      <c r="B26891" s="1168"/>
    </row>
    <row r="26892" spans="2:2" s="221" customFormat="1" ht="12.75" x14ac:dyDescent="0.2">
      <c r="B26892" s="1168"/>
    </row>
    <row r="26893" spans="2:2" s="221" customFormat="1" ht="12.75" x14ac:dyDescent="0.2">
      <c r="B26893" s="1168"/>
    </row>
    <row r="26894" spans="2:2" s="221" customFormat="1" ht="12.75" x14ac:dyDescent="0.2">
      <c r="B26894" s="1168"/>
    </row>
    <row r="26895" spans="2:2" s="221" customFormat="1" ht="12.75" x14ac:dyDescent="0.2">
      <c r="B26895" s="1168"/>
    </row>
    <row r="26896" spans="2:2" s="221" customFormat="1" ht="12.75" x14ac:dyDescent="0.2">
      <c r="B26896" s="1168"/>
    </row>
    <row r="26897" spans="2:2" s="221" customFormat="1" ht="12.75" x14ac:dyDescent="0.2">
      <c r="B26897" s="1168"/>
    </row>
    <row r="26898" spans="2:2" s="221" customFormat="1" ht="12.75" x14ac:dyDescent="0.2">
      <c r="B26898" s="1168"/>
    </row>
    <row r="26899" spans="2:2" s="221" customFormat="1" ht="12.75" x14ac:dyDescent="0.2">
      <c r="B26899" s="1168"/>
    </row>
    <row r="26900" spans="2:2" s="221" customFormat="1" ht="12.75" x14ac:dyDescent="0.2">
      <c r="B26900" s="1168"/>
    </row>
    <row r="26901" spans="2:2" s="221" customFormat="1" ht="12.75" x14ac:dyDescent="0.2">
      <c r="B26901" s="1168"/>
    </row>
    <row r="26902" spans="2:2" s="221" customFormat="1" ht="12.75" x14ac:dyDescent="0.2">
      <c r="B26902" s="1168"/>
    </row>
    <row r="26903" spans="2:2" s="221" customFormat="1" ht="12.75" x14ac:dyDescent="0.2">
      <c r="B26903" s="1168"/>
    </row>
    <row r="26904" spans="2:2" s="221" customFormat="1" ht="12.75" x14ac:dyDescent="0.2">
      <c r="B26904" s="1168"/>
    </row>
    <row r="26905" spans="2:2" s="221" customFormat="1" ht="12.75" x14ac:dyDescent="0.2">
      <c r="B26905" s="1168"/>
    </row>
    <row r="26906" spans="2:2" s="221" customFormat="1" ht="12.75" x14ac:dyDescent="0.2">
      <c r="B26906" s="1168"/>
    </row>
    <row r="26907" spans="2:2" s="221" customFormat="1" ht="12.75" x14ac:dyDescent="0.2">
      <c r="B26907" s="1168"/>
    </row>
    <row r="26908" spans="2:2" s="221" customFormat="1" ht="12.75" x14ac:dyDescent="0.2">
      <c r="B26908" s="1168"/>
    </row>
    <row r="26909" spans="2:2" s="221" customFormat="1" ht="12.75" x14ac:dyDescent="0.2">
      <c r="B26909" s="1168"/>
    </row>
    <row r="26910" spans="2:2" s="221" customFormat="1" ht="12.75" x14ac:dyDescent="0.2">
      <c r="B26910" s="1168"/>
    </row>
    <row r="26911" spans="2:2" s="221" customFormat="1" ht="12.75" x14ac:dyDescent="0.2">
      <c r="B26911" s="1168"/>
    </row>
    <row r="26912" spans="2:2" s="221" customFormat="1" ht="12.75" x14ac:dyDescent="0.2">
      <c r="B26912" s="1168"/>
    </row>
    <row r="26913" spans="2:2" s="221" customFormat="1" ht="12.75" x14ac:dyDescent="0.2">
      <c r="B26913" s="1168"/>
    </row>
    <row r="26914" spans="2:2" s="221" customFormat="1" ht="12.75" x14ac:dyDescent="0.2">
      <c r="B26914" s="1168"/>
    </row>
    <row r="26915" spans="2:2" s="221" customFormat="1" ht="12.75" x14ac:dyDescent="0.2">
      <c r="B26915" s="1168"/>
    </row>
    <row r="26916" spans="2:2" s="221" customFormat="1" ht="12.75" x14ac:dyDescent="0.2">
      <c r="B26916" s="1168"/>
    </row>
    <row r="26917" spans="2:2" s="221" customFormat="1" ht="12.75" x14ac:dyDescent="0.2">
      <c r="B26917" s="1168"/>
    </row>
    <row r="26918" spans="2:2" s="221" customFormat="1" ht="12.75" x14ac:dyDescent="0.2">
      <c r="B26918" s="1168"/>
    </row>
    <row r="26919" spans="2:2" s="221" customFormat="1" ht="12.75" x14ac:dyDescent="0.2">
      <c r="B26919" s="1168"/>
    </row>
    <row r="26920" spans="2:2" s="221" customFormat="1" ht="12.75" x14ac:dyDescent="0.2">
      <c r="B26920" s="1168"/>
    </row>
    <row r="26921" spans="2:2" s="221" customFormat="1" ht="12.75" x14ac:dyDescent="0.2">
      <c r="B26921" s="1168"/>
    </row>
    <row r="26922" spans="2:2" s="221" customFormat="1" ht="12.75" x14ac:dyDescent="0.2">
      <c r="B26922" s="1168"/>
    </row>
    <row r="26923" spans="2:2" s="221" customFormat="1" ht="12.75" x14ac:dyDescent="0.2">
      <c r="B26923" s="1168"/>
    </row>
    <row r="26924" spans="2:2" s="221" customFormat="1" ht="12.75" x14ac:dyDescent="0.2">
      <c r="B26924" s="1168"/>
    </row>
    <row r="26925" spans="2:2" s="221" customFormat="1" ht="12.75" x14ac:dyDescent="0.2">
      <c r="B26925" s="1168"/>
    </row>
    <row r="26926" spans="2:2" s="221" customFormat="1" ht="12.75" x14ac:dyDescent="0.2">
      <c r="B26926" s="1168"/>
    </row>
    <row r="26927" spans="2:2" s="221" customFormat="1" ht="12.75" x14ac:dyDescent="0.2">
      <c r="B26927" s="1168"/>
    </row>
    <row r="26928" spans="2:2" s="221" customFormat="1" ht="12.75" x14ac:dyDescent="0.2">
      <c r="B26928" s="1168"/>
    </row>
    <row r="26929" spans="2:2" s="221" customFormat="1" ht="12.75" x14ac:dyDescent="0.2">
      <c r="B26929" s="1168"/>
    </row>
    <row r="26930" spans="2:2" s="221" customFormat="1" ht="12.75" x14ac:dyDescent="0.2">
      <c r="B26930" s="1168"/>
    </row>
    <row r="26931" spans="2:2" s="221" customFormat="1" ht="12.75" x14ac:dyDescent="0.2">
      <c r="B26931" s="1168"/>
    </row>
    <row r="26932" spans="2:2" s="221" customFormat="1" ht="12.75" x14ac:dyDescent="0.2">
      <c r="B26932" s="1168"/>
    </row>
    <row r="26933" spans="2:2" s="221" customFormat="1" ht="12.75" x14ac:dyDescent="0.2">
      <c r="B26933" s="1168"/>
    </row>
    <row r="26934" spans="2:2" s="221" customFormat="1" ht="12.75" x14ac:dyDescent="0.2">
      <c r="B26934" s="1168"/>
    </row>
    <row r="26935" spans="2:2" s="221" customFormat="1" ht="12.75" x14ac:dyDescent="0.2">
      <c r="B26935" s="1168"/>
    </row>
    <row r="26936" spans="2:2" s="221" customFormat="1" ht="12.75" x14ac:dyDescent="0.2">
      <c r="B26936" s="1168"/>
    </row>
    <row r="26937" spans="2:2" s="221" customFormat="1" ht="12.75" x14ac:dyDescent="0.2">
      <c r="B26937" s="1168"/>
    </row>
    <row r="26938" spans="2:2" s="221" customFormat="1" ht="12.75" x14ac:dyDescent="0.2">
      <c r="B26938" s="1168"/>
    </row>
    <row r="26939" spans="2:2" s="221" customFormat="1" ht="12.75" x14ac:dyDescent="0.2">
      <c r="B26939" s="1168"/>
    </row>
    <row r="26940" spans="2:2" s="221" customFormat="1" ht="12.75" x14ac:dyDescent="0.2">
      <c r="B26940" s="1168"/>
    </row>
    <row r="26941" spans="2:2" s="221" customFormat="1" ht="12.75" x14ac:dyDescent="0.2">
      <c r="B26941" s="1168"/>
    </row>
    <row r="26942" spans="2:2" s="221" customFormat="1" ht="12.75" x14ac:dyDescent="0.2">
      <c r="B26942" s="1168"/>
    </row>
    <row r="26943" spans="2:2" s="221" customFormat="1" ht="12.75" x14ac:dyDescent="0.2">
      <c r="B26943" s="1168"/>
    </row>
    <row r="26944" spans="2:2" s="221" customFormat="1" ht="12.75" x14ac:dyDescent="0.2">
      <c r="B26944" s="1168"/>
    </row>
    <row r="26945" spans="2:2" s="221" customFormat="1" ht="12.75" x14ac:dyDescent="0.2">
      <c r="B26945" s="1168"/>
    </row>
    <row r="26946" spans="2:2" s="221" customFormat="1" ht="12.75" x14ac:dyDescent="0.2">
      <c r="B26946" s="1168"/>
    </row>
    <row r="26947" spans="2:2" s="221" customFormat="1" ht="12.75" x14ac:dyDescent="0.2">
      <c r="B26947" s="1168"/>
    </row>
    <row r="26948" spans="2:2" s="221" customFormat="1" ht="12.75" x14ac:dyDescent="0.2">
      <c r="B26948" s="1168"/>
    </row>
    <row r="26949" spans="2:2" s="221" customFormat="1" ht="12.75" x14ac:dyDescent="0.2">
      <c r="B26949" s="1168"/>
    </row>
    <row r="26950" spans="2:2" s="221" customFormat="1" ht="12.75" x14ac:dyDescent="0.2">
      <c r="B26950" s="1168"/>
    </row>
    <row r="26951" spans="2:2" s="221" customFormat="1" ht="12.75" x14ac:dyDescent="0.2">
      <c r="B26951" s="1168"/>
    </row>
    <row r="26952" spans="2:2" s="221" customFormat="1" ht="12.75" x14ac:dyDescent="0.2">
      <c r="B26952" s="1168"/>
    </row>
    <row r="26953" spans="2:2" s="221" customFormat="1" ht="12.75" x14ac:dyDescent="0.2">
      <c r="B26953" s="1168"/>
    </row>
    <row r="26954" spans="2:2" s="221" customFormat="1" ht="12.75" x14ac:dyDescent="0.2">
      <c r="B26954" s="1168"/>
    </row>
    <row r="26955" spans="2:2" s="221" customFormat="1" ht="12.75" x14ac:dyDescent="0.2">
      <c r="B26955" s="1168"/>
    </row>
    <row r="26956" spans="2:2" s="221" customFormat="1" ht="12.75" x14ac:dyDescent="0.2">
      <c r="B26956" s="1168"/>
    </row>
    <row r="26957" spans="2:2" s="221" customFormat="1" ht="12.75" x14ac:dyDescent="0.2">
      <c r="B26957" s="1168"/>
    </row>
    <row r="26958" spans="2:2" s="221" customFormat="1" ht="12.75" x14ac:dyDescent="0.2">
      <c r="B26958" s="1168"/>
    </row>
    <row r="26959" spans="2:2" s="221" customFormat="1" ht="12.75" x14ac:dyDescent="0.2">
      <c r="B26959" s="1168"/>
    </row>
    <row r="26960" spans="2:2" s="221" customFormat="1" ht="12.75" x14ac:dyDescent="0.2">
      <c r="B26960" s="1168"/>
    </row>
    <row r="26961" spans="2:2" s="221" customFormat="1" ht="12.75" x14ac:dyDescent="0.2">
      <c r="B26961" s="1168"/>
    </row>
    <row r="26962" spans="2:2" s="221" customFormat="1" ht="12.75" x14ac:dyDescent="0.2">
      <c r="B26962" s="1168"/>
    </row>
    <row r="26963" spans="2:2" s="221" customFormat="1" ht="12.75" x14ac:dyDescent="0.2">
      <c r="B26963" s="1168"/>
    </row>
    <row r="26964" spans="2:2" s="221" customFormat="1" ht="12.75" x14ac:dyDescent="0.2">
      <c r="B26964" s="1168"/>
    </row>
    <row r="26965" spans="2:2" s="221" customFormat="1" ht="12.75" x14ac:dyDescent="0.2">
      <c r="B26965" s="1168"/>
    </row>
    <row r="26966" spans="2:2" s="221" customFormat="1" ht="12.75" x14ac:dyDescent="0.2">
      <c r="B26966" s="1168"/>
    </row>
    <row r="26967" spans="2:2" s="221" customFormat="1" ht="12.75" x14ac:dyDescent="0.2">
      <c r="B26967" s="1168"/>
    </row>
    <row r="26968" spans="2:2" s="221" customFormat="1" ht="12.75" x14ac:dyDescent="0.2">
      <c r="B26968" s="1168"/>
    </row>
    <row r="26969" spans="2:2" s="221" customFormat="1" ht="12.75" x14ac:dyDescent="0.2">
      <c r="B26969" s="1168"/>
    </row>
    <row r="26970" spans="2:2" s="221" customFormat="1" ht="12.75" x14ac:dyDescent="0.2">
      <c r="B26970" s="1168"/>
    </row>
    <row r="26971" spans="2:2" s="221" customFormat="1" ht="12.75" x14ac:dyDescent="0.2">
      <c r="B26971" s="1168"/>
    </row>
    <row r="26972" spans="2:2" s="221" customFormat="1" ht="12.75" x14ac:dyDescent="0.2">
      <c r="B26972" s="1168"/>
    </row>
    <row r="26973" spans="2:2" s="221" customFormat="1" ht="12.75" x14ac:dyDescent="0.2">
      <c r="B26973" s="1168"/>
    </row>
    <row r="26974" spans="2:2" s="221" customFormat="1" ht="12.75" x14ac:dyDescent="0.2">
      <c r="B26974" s="1168"/>
    </row>
    <row r="26975" spans="2:2" s="221" customFormat="1" ht="12.75" x14ac:dyDescent="0.2">
      <c r="B26975" s="1168"/>
    </row>
    <row r="26976" spans="2:2" s="221" customFormat="1" ht="12.75" x14ac:dyDescent="0.2">
      <c r="B26976" s="1168"/>
    </row>
    <row r="26977" spans="2:2" s="221" customFormat="1" ht="12.75" x14ac:dyDescent="0.2">
      <c r="B26977" s="1168"/>
    </row>
    <row r="26978" spans="2:2" s="221" customFormat="1" ht="12.75" x14ac:dyDescent="0.2">
      <c r="B26978" s="1168"/>
    </row>
    <row r="26979" spans="2:2" s="221" customFormat="1" ht="12.75" x14ac:dyDescent="0.2">
      <c r="B26979" s="1168"/>
    </row>
    <row r="26980" spans="2:2" s="221" customFormat="1" ht="12.75" x14ac:dyDescent="0.2">
      <c r="B26980" s="1168"/>
    </row>
    <row r="26981" spans="2:2" s="221" customFormat="1" ht="12.75" x14ac:dyDescent="0.2">
      <c r="B26981" s="1168"/>
    </row>
    <row r="26982" spans="2:2" s="221" customFormat="1" ht="12.75" x14ac:dyDescent="0.2">
      <c r="B26982" s="1168"/>
    </row>
    <row r="26983" spans="2:2" s="221" customFormat="1" ht="12.75" x14ac:dyDescent="0.2">
      <c r="B26983" s="1168"/>
    </row>
    <row r="26984" spans="2:2" s="221" customFormat="1" ht="12.75" x14ac:dyDescent="0.2">
      <c r="B26984" s="1168"/>
    </row>
    <row r="26985" spans="2:2" s="221" customFormat="1" ht="12.75" x14ac:dyDescent="0.2">
      <c r="B26985" s="1168"/>
    </row>
    <row r="26986" spans="2:2" s="221" customFormat="1" ht="12.75" x14ac:dyDescent="0.2">
      <c r="B26986" s="1168"/>
    </row>
    <row r="26987" spans="2:2" s="221" customFormat="1" ht="12.75" x14ac:dyDescent="0.2">
      <c r="B26987" s="1168"/>
    </row>
    <row r="26988" spans="2:2" s="221" customFormat="1" ht="12.75" x14ac:dyDescent="0.2">
      <c r="B26988" s="1168"/>
    </row>
    <row r="26989" spans="2:2" s="221" customFormat="1" ht="12.75" x14ac:dyDescent="0.2">
      <c r="B26989" s="1168"/>
    </row>
    <row r="26990" spans="2:2" s="221" customFormat="1" ht="12.75" x14ac:dyDescent="0.2">
      <c r="B26990" s="1168"/>
    </row>
    <row r="26991" spans="2:2" s="221" customFormat="1" ht="12.75" x14ac:dyDescent="0.2">
      <c r="B26991" s="1168"/>
    </row>
    <row r="26992" spans="2:2" s="221" customFormat="1" ht="12.75" x14ac:dyDescent="0.2">
      <c r="B26992" s="1168"/>
    </row>
    <row r="26993" spans="2:2" s="221" customFormat="1" ht="12.75" x14ac:dyDescent="0.2">
      <c r="B26993" s="1168"/>
    </row>
    <row r="26994" spans="2:2" s="221" customFormat="1" ht="12.75" x14ac:dyDescent="0.2">
      <c r="B26994" s="1168"/>
    </row>
    <row r="26995" spans="2:2" s="221" customFormat="1" ht="12.75" x14ac:dyDescent="0.2">
      <c r="B26995" s="1168"/>
    </row>
    <row r="26996" spans="2:2" s="221" customFormat="1" ht="12.75" x14ac:dyDescent="0.2">
      <c r="B26996" s="1168"/>
    </row>
    <row r="26997" spans="2:2" s="221" customFormat="1" ht="12.75" x14ac:dyDescent="0.2">
      <c r="B26997" s="1168"/>
    </row>
    <row r="26998" spans="2:2" s="221" customFormat="1" ht="12.75" x14ac:dyDescent="0.2">
      <c r="B26998" s="1168"/>
    </row>
    <row r="26999" spans="2:2" s="221" customFormat="1" ht="12.75" x14ac:dyDescent="0.2">
      <c r="B26999" s="1168"/>
    </row>
    <row r="27000" spans="2:2" s="221" customFormat="1" ht="12.75" x14ac:dyDescent="0.2">
      <c r="B27000" s="1168"/>
    </row>
    <row r="27001" spans="2:2" s="221" customFormat="1" ht="12.75" x14ac:dyDescent="0.2">
      <c r="B27001" s="1168"/>
    </row>
    <row r="27002" spans="2:2" s="221" customFormat="1" ht="12.75" x14ac:dyDescent="0.2">
      <c r="B27002" s="1168"/>
    </row>
    <row r="27003" spans="2:2" s="221" customFormat="1" ht="12.75" x14ac:dyDescent="0.2">
      <c r="B27003" s="1168"/>
    </row>
    <row r="27004" spans="2:2" s="221" customFormat="1" ht="12.75" x14ac:dyDescent="0.2">
      <c r="B27004" s="1168"/>
    </row>
    <row r="27005" spans="2:2" s="221" customFormat="1" ht="12.75" x14ac:dyDescent="0.2">
      <c r="B27005" s="1168"/>
    </row>
    <row r="27006" spans="2:2" s="221" customFormat="1" ht="12.75" x14ac:dyDescent="0.2">
      <c r="B27006" s="1168"/>
    </row>
    <row r="27007" spans="2:2" s="221" customFormat="1" ht="12.75" x14ac:dyDescent="0.2">
      <c r="B27007" s="1168"/>
    </row>
    <row r="27008" spans="2:2" s="221" customFormat="1" ht="12.75" x14ac:dyDescent="0.2">
      <c r="B27008" s="1168"/>
    </row>
    <row r="27009" spans="2:2" s="221" customFormat="1" ht="12.75" x14ac:dyDescent="0.2">
      <c r="B27009" s="1168"/>
    </row>
    <row r="27010" spans="2:2" s="221" customFormat="1" ht="12.75" x14ac:dyDescent="0.2">
      <c r="B27010" s="1168"/>
    </row>
    <row r="27011" spans="2:2" s="221" customFormat="1" ht="12.75" x14ac:dyDescent="0.2">
      <c r="B27011" s="1168"/>
    </row>
    <row r="27012" spans="2:2" s="221" customFormat="1" ht="12.75" x14ac:dyDescent="0.2">
      <c r="B27012" s="1168"/>
    </row>
    <row r="27013" spans="2:2" s="221" customFormat="1" ht="12.75" x14ac:dyDescent="0.2">
      <c r="B27013" s="1168"/>
    </row>
    <row r="27014" spans="2:2" s="221" customFormat="1" ht="12.75" x14ac:dyDescent="0.2">
      <c r="B27014" s="1168"/>
    </row>
    <row r="27015" spans="2:2" s="221" customFormat="1" ht="12.75" x14ac:dyDescent="0.2">
      <c r="B27015" s="1168"/>
    </row>
    <row r="27016" spans="2:2" s="221" customFormat="1" ht="12.75" x14ac:dyDescent="0.2">
      <c r="B27016" s="1168"/>
    </row>
    <row r="27017" spans="2:2" s="221" customFormat="1" ht="12.75" x14ac:dyDescent="0.2">
      <c r="B27017" s="1168"/>
    </row>
    <row r="27018" spans="2:2" s="221" customFormat="1" ht="12.75" x14ac:dyDescent="0.2">
      <c r="B27018" s="1168"/>
    </row>
    <row r="27019" spans="2:2" s="221" customFormat="1" ht="12.75" x14ac:dyDescent="0.2">
      <c r="B27019" s="1168"/>
    </row>
    <row r="27020" spans="2:2" s="221" customFormat="1" ht="12.75" x14ac:dyDescent="0.2">
      <c r="B27020" s="1168"/>
    </row>
    <row r="27021" spans="2:2" s="221" customFormat="1" ht="12.75" x14ac:dyDescent="0.2">
      <c r="B27021" s="1168"/>
    </row>
    <row r="27022" spans="2:2" s="221" customFormat="1" ht="12.75" x14ac:dyDescent="0.2">
      <c r="B27022" s="1168"/>
    </row>
    <row r="27023" spans="2:2" s="221" customFormat="1" ht="12.75" x14ac:dyDescent="0.2">
      <c r="B27023" s="1168"/>
    </row>
    <row r="27024" spans="2:2" s="221" customFormat="1" ht="12.75" x14ac:dyDescent="0.2">
      <c r="B27024" s="1168"/>
    </row>
    <row r="27025" spans="2:2" s="221" customFormat="1" ht="12.75" x14ac:dyDescent="0.2">
      <c r="B27025" s="1168"/>
    </row>
    <row r="27026" spans="2:2" s="221" customFormat="1" ht="12.75" x14ac:dyDescent="0.2">
      <c r="B27026" s="1168"/>
    </row>
    <row r="27027" spans="2:2" s="221" customFormat="1" ht="12.75" x14ac:dyDescent="0.2">
      <c r="B27027" s="1168"/>
    </row>
    <row r="27028" spans="2:2" s="221" customFormat="1" ht="12.75" x14ac:dyDescent="0.2">
      <c r="B27028" s="1168"/>
    </row>
    <row r="27029" spans="2:2" s="221" customFormat="1" ht="12.75" x14ac:dyDescent="0.2">
      <c r="B27029" s="1168"/>
    </row>
    <row r="27030" spans="2:2" s="221" customFormat="1" ht="12.75" x14ac:dyDescent="0.2">
      <c r="B27030" s="1168"/>
    </row>
    <row r="27031" spans="2:2" s="221" customFormat="1" ht="12.75" x14ac:dyDescent="0.2">
      <c r="B27031" s="1168"/>
    </row>
    <row r="27032" spans="2:2" s="221" customFormat="1" ht="12.75" x14ac:dyDescent="0.2">
      <c r="B27032" s="1168"/>
    </row>
    <row r="27033" spans="2:2" s="221" customFormat="1" ht="12.75" x14ac:dyDescent="0.2">
      <c r="B27033" s="1168"/>
    </row>
    <row r="27034" spans="2:2" s="221" customFormat="1" ht="12.75" x14ac:dyDescent="0.2">
      <c r="B27034" s="1168"/>
    </row>
    <row r="27035" spans="2:2" s="221" customFormat="1" ht="12.75" x14ac:dyDescent="0.2">
      <c r="B27035" s="1168"/>
    </row>
    <row r="27036" spans="2:2" s="221" customFormat="1" ht="12.75" x14ac:dyDescent="0.2">
      <c r="B27036" s="1168"/>
    </row>
    <row r="27037" spans="2:2" s="221" customFormat="1" ht="12.75" x14ac:dyDescent="0.2">
      <c r="B27037" s="1168"/>
    </row>
    <row r="27038" spans="2:2" s="221" customFormat="1" ht="12.75" x14ac:dyDescent="0.2">
      <c r="B27038" s="1168"/>
    </row>
    <row r="27039" spans="2:2" s="221" customFormat="1" ht="12.75" x14ac:dyDescent="0.2">
      <c r="B27039" s="1168"/>
    </row>
    <row r="27040" spans="2:2" s="221" customFormat="1" ht="12.75" x14ac:dyDescent="0.2">
      <c r="B27040" s="1168"/>
    </row>
    <row r="27041" spans="2:2" s="221" customFormat="1" ht="12.75" x14ac:dyDescent="0.2">
      <c r="B27041" s="1168"/>
    </row>
    <row r="27042" spans="2:2" s="221" customFormat="1" ht="12.75" x14ac:dyDescent="0.2">
      <c r="B27042" s="1168"/>
    </row>
    <row r="27043" spans="2:2" s="221" customFormat="1" ht="12.75" x14ac:dyDescent="0.2">
      <c r="B27043" s="1168"/>
    </row>
    <row r="27044" spans="2:2" s="221" customFormat="1" ht="12.75" x14ac:dyDescent="0.2">
      <c r="B27044" s="1168"/>
    </row>
    <row r="27045" spans="2:2" s="221" customFormat="1" ht="12.75" x14ac:dyDescent="0.2">
      <c r="B27045" s="1168"/>
    </row>
    <row r="27046" spans="2:2" s="221" customFormat="1" ht="12.75" x14ac:dyDescent="0.2">
      <c r="B27046" s="1168"/>
    </row>
    <row r="27047" spans="2:2" s="221" customFormat="1" ht="12.75" x14ac:dyDescent="0.2">
      <c r="B27047" s="1168"/>
    </row>
    <row r="27048" spans="2:2" s="221" customFormat="1" ht="12.75" x14ac:dyDescent="0.2">
      <c r="B27048" s="1168"/>
    </row>
    <row r="27049" spans="2:2" s="221" customFormat="1" ht="12.75" x14ac:dyDescent="0.2">
      <c r="B27049" s="1168"/>
    </row>
    <row r="27050" spans="2:2" s="221" customFormat="1" ht="12.75" x14ac:dyDescent="0.2">
      <c r="B27050" s="1168"/>
    </row>
    <row r="27051" spans="2:2" s="221" customFormat="1" ht="12.75" x14ac:dyDescent="0.2">
      <c r="B27051" s="1168"/>
    </row>
    <row r="27052" spans="2:2" s="221" customFormat="1" ht="12.75" x14ac:dyDescent="0.2">
      <c r="B27052" s="1168"/>
    </row>
    <row r="27053" spans="2:2" s="221" customFormat="1" ht="12.75" x14ac:dyDescent="0.2">
      <c r="B27053" s="1168"/>
    </row>
    <row r="27054" spans="2:2" s="221" customFormat="1" ht="12.75" x14ac:dyDescent="0.2">
      <c r="B27054" s="1168"/>
    </row>
    <row r="27055" spans="2:2" s="221" customFormat="1" ht="12.75" x14ac:dyDescent="0.2">
      <c r="B27055" s="1168"/>
    </row>
    <row r="27056" spans="2:2" s="221" customFormat="1" ht="12.75" x14ac:dyDescent="0.2">
      <c r="B27056" s="1168"/>
    </row>
    <row r="27057" spans="2:2" s="221" customFormat="1" ht="12.75" x14ac:dyDescent="0.2">
      <c r="B27057" s="1168"/>
    </row>
    <row r="27058" spans="2:2" s="221" customFormat="1" ht="12.75" x14ac:dyDescent="0.2">
      <c r="B27058" s="1168"/>
    </row>
    <row r="27059" spans="2:2" s="221" customFormat="1" ht="12.75" x14ac:dyDescent="0.2">
      <c r="B27059" s="1168"/>
    </row>
    <row r="27060" spans="2:2" s="221" customFormat="1" ht="12.75" x14ac:dyDescent="0.2">
      <c r="B27060" s="1168"/>
    </row>
    <row r="27061" spans="2:2" s="221" customFormat="1" ht="12.75" x14ac:dyDescent="0.2">
      <c r="B27061" s="1168"/>
    </row>
    <row r="27062" spans="2:2" s="221" customFormat="1" ht="12.75" x14ac:dyDescent="0.2">
      <c r="B27062" s="1168"/>
    </row>
    <row r="27063" spans="2:2" s="221" customFormat="1" ht="12.75" x14ac:dyDescent="0.2">
      <c r="B27063" s="1168"/>
    </row>
    <row r="27064" spans="2:2" s="221" customFormat="1" ht="12.75" x14ac:dyDescent="0.2">
      <c r="B27064" s="1168"/>
    </row>
    <row r="27065" spans="2:2" s="221" customFormat="1" ht="12.75" x14ac:dyDescent="0.2">
      <c r="B27065" s="1168"/>
    </row>
    <row r="27066" spans="2:2" s="221" customFormat="1" ht="12.75" x14ac:dyDescent="0.2">
      <c r="B27066" s="1168"/>
    </row>
    <row r="27067" spans="2:2" s="221" customFormat="1" ht="12.75" x14ac:dyDescent="0.2">
      <c r="B27067" s="1168"/>
    </row>
    <row r="27068" spans="2:2" s="221" customFormat="1" ht="12.75" x14ac:dyDescent="0.2">
      <c r="B27068" s="1168"/>
    </row>
    <row r="27069" spans="2:2" s="221" customFormat="1" ht="12.75" x14ac:dyDescent="0.2">
      <c r="B27069" s="1168"/>
    </row>
    <row r="27070" spans="2:2" s="221" customFormat="1" ht="12.75" x14ac:dyDescent="0.2">
      <c r="B27070" s="1168"/>
    </row>
    <row r="27071" spans="2:2" s="221" customFormat="1" ht="12.75" x14ac:dyDescent="0.2">
      <c r="B27071" s="1168"/>
    </row>
    <row r="27072" spans="2:2" s="221" customFormat="1" ht="12.75" x14ac:dyDescent="0.2">
      <c r="B27072" s="1168"/>
    </row>
    <row r="27073" spans="2:2" s="221" customFormat="1" ht="12.75" x14ac:dyDescent="0.2">
      <c r="B27073" s="1168"/>
    </row>
    <row r="27074" spans="2:2" s="221" customFormat="1" ht="12.75" x14ac:dyDescent="0.2">
      <c r="B27074" s="1168"/>
    </row>
    <row r="27075" spans="2:2" s="221" customFormat="1" ht="12.75" x14ac:dyDescent="0.2">
      <c r="B27075" s="1168"/>
    </row>
    <row r="27076" spans="2:2" s="221" customFormat="1" ht="12.75" x14ac:dyDescent="0.2">
      <c r="B27076" s="1168"/>
    </row>
    <row r="27077" spans="2:2" s="221" customFormat="1" ht="12.75" x14ac:dyDescent="0.2">
      <c r="B27077" s="1168"/>
    </row>
    <row r="27078" spans="2:2" s="221" customFormat="1" ht="12.75" x14ac:dyDescent="0.2">
      <c r="B27078" s="1168"/>
    </row>
    <row r="27079" spans="2:2" s="221" customFormat="1" ht="12.75" x14ac:dyDescent="0.2">
      <c r="B27079" s="1168"/>
    </row>
    <row r="27080" spans="2:2" s="221" customFormat="1" ht="12.75" x14ac:dyDescent="0.2">
      <c r="B27080" s="1168"/>
    </row>
    <row r="27081" spans="2:2" s="221" customFormat="1" ht="12.75" x14ac:dyDescent="0.2">
      <c r="B27081" s="1168"/>
    </row>
    <row r="27082" spans="2:2" s="221" customFormat="1" ht="12.75" x14ac:dyDescent="0.2">
      <c r="B27082" s="1168"/>
    </row>
    <row r="27083" spans="2:2" s="221" customFormat="1" ht="12.75" x14ac:dyDescent="0.2">
      <c r="B27083" s="1168"/>
    </row>
    <row r="27084" spans="2:2" s="221" customFormat="1" ht="12.75" x14ac:dyDescent="0.2">
      <c r="B27084" s="1168"/>
    </row>
    <row r="27085" spans="2:2" s="221" customFormat="1" ht="12.75" x14ac:dyDescent="0.2">
      <c r="B27085" s="1168"/>
    </row>
    <row r="27086" spans="2:2" s="221" customFormat="1" ht="12.75" x14ac:dyDescent="0.2">
      <c r="B27086" s="1168"/>
    </row>
    <row r="27087" spans="2:2" s="221" customFormat="1" ht="12.75" x14ac:dyDescent="0.2">
      <c r="B27087" s="1168"/>
    </row>
    <row r="27088" spans="2:2" s="221" customFormat="1" ht="12.75" x14ac:dyDescent="0.2">
      <c r="B27088" s="1168"/>
    </row>
    <row r="27089" spans="2:2" s="221" customFormat="1" ht="12.75" x14ac:dyDescent="0.2">
      <c r="B27089" s="1168"/>
    </row>
    <row r="27090" spans="2:2" s="221" customFormat="1" ht="12.75" x14ac:dyDescent="0.2">
      <c r="B27090" s="1168"/>
    </row>
    <row r="27091" spans="2:2" s="221" customFormat="1" ht="12.75" x14ac:dyDescent="0.2">
      <c r="B27091" s="1168"/>
    </row>
    <row r="27092" spans="2:2" s="221" customFormat="1" ht="12.75" x14ac:dyDescent="0.2">
      <c r="B27092" s="1168"/>
    </row>
    <row r="27093" spans="2:2" s="221" customFormat="1" ht="12.75" x14ac:dyDescent="0.2">
      <c r="B27093" s="1168"/>
    </row>
    <row r="27094" spans="2:2" s="221" customFormat="1" ht="12.75" x14ac:dyDescent="0.2">
      <c r="B27094" s="1168"/>
    </row>
    <row r="27095" spans="2:2" s="221" customFormat="1" ht="12.75" x14ac:dyDescent="0.2">
      <c r="B27095" s="1168"/>
    </row>
    <row r="27096" spans="2:2" s="221" customFormat="1" ht="12.75" x14ac:dyDescent="0.2">
      <c r="B27096" s="1168"/>
    </row>
    <row r="27097" spans="2:2" s="221" customFormat="1" ht="12.75" x14ac:dyDescent="0.2">
      <c r="B27097" s="1168"/>
    </row>
    <row r="27098" spans="2:2" s="221" customFormat="1" ht="12.75" x14ac:dyDescent="0.2">
      <c r="B27098" s="1168"/>
    </row>
    <row r="27099" spans="2:2" s="221" customFormat="1" ht="12.75" x14ac:dyDescent="0.2">
      <c r="B27099" s="1168"/>
    </row>
    <row r="27100" spans="2:2" s="221" customFormat="1" ht="12.75" x14ac:dyDescent="0.2">
      <c r="B27100" s="1168"/>
    </row>
    <row r="27101" spans="2:2" s="221" customFormat="1" ht="12.75" x14ac:dyDescent="0.2">
      <c r="B27101" s="1168"/>
    </row>
    <row r="27102" spans="2:2" s="221" customFormat="1" ht="12.75" x14ac:dyDescent="0.2">
      <c r="B27102" s="1168"/>
    </row>
    <row r="27103" spans="2:2" s="221" customFormat="1" ht="12.75" x14ac:dyDescent="0.2">
      <c r="B27103" s="1168"/>
    </row>
    <row r="27104" spans="2:2" s="221" customFormat="1" ht="12.75" x14ac:dyDescent="0.2">
      <c r="B27104" s="1168"/>
    </row>
    <row r="27105" spans="2:2" s="221" customFormat="1" ht="12.75" x14ac:dyDescent="0.2">
      <c r="B27105" s="1168"/>
    </row>
    <row r="27106" spans="2:2" s="221" customFormat="1" ht="12.75" x14ac:dyDescent="0.2">
      <c r="B27106" s="1168"/>
    </row>
    <row r="27107" spans="2:2" s="221" customFormat="1" ht="12.75" x14ac:dyDescent="0.2">
      <c r="B27107" s="1168"/>
    </row>
    <row r="27108" spans="2:2" s="221" customFormat="1" ht="12.75" x14ac:dyDescent="0.2">
      <c r="B27108" s="1168"/>
    </row>
    <row r="27109" spans="2:2" s="221" customFormat="1" ht="12.75" x14ac:dyDescent="0.2">
      <c r="B27109" s="1168"/>
    </row>
    <row r="27110" spans="2:2" s="221" customFormat="1" ht="12.75" x14ac:dyDescent="0.2">
      <c r="B27110" s="1168"/>
    </row>
    <row r="27111" spans="2:2" s="221" customFormat="1" ht="12.75" x14ac:dyDescent="0.2">
      <c r="B27111" s="1168"/>
    </row>
    <row r="27112" spans="2:2" s="221" customFormat="1" ht="12.75" x14ac:dyDescent="0.2">
      <c r="B27112" s="1168"/>
    </row>
    <row r="27113" spans="2:2" s="221" customFormat="1" ht="12.75" x14ac:dyDescent="0.2">
      <c r="B27113" s="1168"/>
    </row>
    <row r="27114" spans="2:2" s="221" customFormat="1" ht="12.75" x14ac:dyDescent="0.2">
      <c r="B27114" s="1168"/>
    </row>
    <row r="27115" spans="2:2" s="221" customFormat="1" ht="12.75" x14ac:dyDescent="0.2">
      <c r="B27115" s="1168"/>
    </row>
    <row r="27116" spans="2:2" s="221" customFormat="1" ht="12.75" x14ac:dyDescent="0.2">
      <c r="B27116" s="1168"/>
    </row>
    <row r="27117" spans="2:2" s="221" customFormat="1" ht="12.75" x14ac:dyDescent="0.2">
      <c r="B27117" s="1168"/>
    </row>
    <row r="27118" spans="2:2" s="221" customFormat="1" ht="12.75" x14ac:dyDescent="0.2">
      <c r="B27118" s="1168"/>
    </row>
    <row r="27119" spans="2:2" s="221" customFormat="1" ht="12.75" x14ac:dyDescent="0.2">
      <c r="B27119" s="1168"/>
    </row>
    <row r="27120" spans="2:2" s="221" customFormat="1" ht="12.75" x14ac:dyDescent="0.2">
      <c r="B27120" s="1168"/>
    </row>
    <row r="27121" spans="2:2" s="221" customFormat="1" ht="12.75" x14ac:dyDescent="0.2">
      <c r="B27121" s="1168"/>
    </row>
    <row r="27122" spans="2:2" s="221" customFormat="1" ht="12.75" x14ac:dyDescent="0.2">
      <c r="B27122" s="1168"/>
    </row>
    <row r="27123" spans="2:2" s="221" customFormat="1" ht="12.75" x14ac:dyDescent="0.2">
      <c r="B27123" s="1168"/>
    </row>
    <row r="27124" spans="2:2" s="221" customFormat="1" ht="12.75" x14ac:dyDescent="0.2">
      <c r="B27124" s="1168"/>
    </row>
    <row r="27125" spans="2:2" s="221" customFormat="1" ht="12.75" x14ac:dyDescent="0.2">
      <c r="B27125" s="1168"/>
    </row>
    <row r="27126" spans="2:2" s="221" customFormat="1" ht="12.75" x14ac:dyDescent="0.2">
      <c r="B27126" s="1168"/>
    </row>
    <row r="27127" spans="2:2" s="221" customFormat="1" ht="12.75" x14ac:dyDescent="0.2">
      <c r="B27127" s="1168"/>
    </row>
    <row r="27128" spans="2:2" s="221" customFormat="1" ht="12.75" x14ac:dyDescent="0.2">
      <c r="B27128" s="1168"/>
    </row>
    <row r="27129" spans="2:2" s="221" customFormat="1" ht="12.75" x14ac:dyDescent="0.2">
      <c r="B27129" s="1168"/>
    </row>
    <row r="27130" spans="2:2" s="221" customFormat="1" ht="12.75" x14ac:dyDescent="0.2">
      <c r="B27130" s="1168"/>
    </row>
    <row r="27131" spans="2:2" s="221" customFormat="1" ht="12.75" x14ac:dyDescent="0.2">
      <c r="B27131" s="1168"/>
    </row>
    <row r="27132" spans="2:2" s="221" customFormat="1" ht="12.75" x14ac:dyDescent="0.2">
      <c r="B27132" s="1168"/>
    </row>
    <row r="27133" spans="2:2" s="221" customFormat="1" ht="12.75" x14ac:dyDescent="0.2">
      <c r="B27133" s="1168"/>
    </row>
    <row r="27134" spans="2:2" s="221" customFormat="1" ht="12.75" x14ac:dyDescent="0.2">
      <c r="B27134" s="1168"/>
    </row>
    <row r="27135" spans="2:2" s="221" customFormat="1" ht="12.75" x14ac:dyDescent="0.2">
      <c r="B27135" s="1168"/>
    </row>
    <row r="27136" spans="2:2" s="221" customFormat="1" ht="12.75" x14ac:dyDescent="0.2">
      <c r="B27136" s="1168"/>
    </row>
    <row r="27137" spans="2:2" s="221" customFormat="1" ht="12.75" x14ac:dyDescent="0.2">
      <c r="B27137" s="1168"/>
    </row>
    <row r="27138" spans="2:2" s="221" customFormat="1" ht="12.75" x14ac:dyDescent="0.2">
      <c r="B27138" s="1168"/>
    </row>
    <row r="27139" spans="2:2" s="221" customFormat="1" ht="12.75" x14ac:dyDescent="0.2">
      <c r="B27139" s="1168"/>
    </row>
    <row r="27140" spans="2:2" s="221" customFormat="1" ht="12.75" x14ac:dyDescent="0.2">
      <c r="B27140" s="1168"/>
    </row>
    <row r="27141" spans="2:2" s="221" customFormat="1" ht="12.75" x14ac:dyDescent="0.2">
      <c r="B27141" s="1168"/>
    </row>
    <row r="27142" spans="2:2" s="221" customFormat="1" ht="12.75" x14ac:dyDescent="0.2">
      <c r="B27142" s="1168"/>
    </row>
    <row r="27143" spans="2:2" s="221" customFormat="1" ht="12.75" x14ac:dyDescent="0.2">
      <c r="B27143" s="1168"/>
    </row>
    <row r="27144" spans="2:2" s="221" customFormat="1" ht="12.75" x14ac:dyDescent="0.2">
      <c r="B27144" s="1168"/>
    </row>
    <row r="27145" spans="2:2" s="221" customFormat="1" ht="12.75" x14ac:dyDescent="0.2">
      <c r="B27145" s="1168"/>
    </row>
    <row r="27146" spans="2:2" s="221" customFormat="1" ht="12.75" x14ac:dyDescent="0.2">
      <c r="B27146" s="1168"/>
    </row>
    <row r="27147" spans="2:2" s="221" customFormat="1" ht="12.75" x14ac:dyDescent="0.2">
      <c r="B27147" s="1168"/>
    </row>
    <row r="27148" spans="2:2" s="221" customFormat="1" ht="12.75" x14ac:dyDescent="0.2">
      <c r="B27148" s="1168"/>
    </row>
    <row r="27149" spans="2:2" s="221" customFormat="1" ht="12.75" x14ac:dyDescent="0.2">
      <c r="B27149" s="1168"/>
    </row>
    <row r="27150" spans="2:2" s="221" customFormat="1" ht="12.75" x14ac:dyDescent="0.2">
      <c r="B27150" s="1168"/>
    </row>
    <row r="27151" spans="2:2" s="221" customFormat="1" ht="12.75" x14ac:dyDescent="0.2">
      <c r="B27151" s="1168"/>
    </row>
    <row r="27152" spans="2:2" s="221" customFormat="1" ht="12.75" x14ac:dyDescent="0.2">
      <c r="B27152" s="1168"/>
    </row>
    <row r="27153" spans="2:2" s="221" customFormat="1" ht="12.75" x14ac:dyDescent="0.2">
      <c r="B27153" s="1168"/>
    </row>
    <row r="27154" spans="2:2" s="221" customFormat="1" ht="12.75" x14ac:dyDescent="0.2">
      <c r="B27154" s="1168"/>
    </row>
    <row r="27155" spans="2:2" s="221" customFormat="1" ht="12.75" x14ac:dyDescent="0.2">
      <c r="B27155" s="1168"/>
    </row>
    <row r="27156" spans="2:2" s="221" customFormat="1" ht="12.75" x14ac:dyDescent="0.2">
      <c r="B27156" s="1168"/>
    </row>
    <row r="27157" spans="2:2" s="221" customFormat="1" ht="12.75" x14ac:dyDescent="0.2">
      <c r="B27157" s="1168"/>
    </row>
    <row r="27158" spans="2:2" s="221" customFormat="1" ht="12.75" x14ac:dyDescent="0.2">
      <c r="B27158" s="1168"/>
    </row>
    <row r="27159" spans="2:2" s="221" customFormat="1" ht="12.75" x14ac:dyDescent="0.2">
      <c r="B27159" s="1168"/>
    </row>
    <row r="27160" spans="2:2" s="221" customFormat="1" ht="12.75" x14ac:dyDescent="0.2">
      <c r="B27160" s="1168"/>
    </row>
    <row r="27161" spans="2:2" s="221" customFormat="1" ht="12.75" x14ac:dyDescent="0.2">
      <c r="B27161" s="1168"/>
    </row>
    <row r="27162" spans="2:2" s="221" customFormat="1" ht="12.75" x14ac:dyDescent="0.2">
      <c r="B27162" s="1168"/>
    </row>
    <row r="27163" spans="2:2" s="221" customFormat="1" ht="12.75" x14ac:dyDescent="0.2">
      <c r="B27163" s="1168"/>
    </row>
    <row r="27164" spans="2:2" s="221" customFormat="1" ht="12.75" x14ac:dyDescent="0.2">
      <c r="B27164" s="1168"/>
    </row>
    <row r="27165" spans="2:2" s="221" customFormat="1" ht="12.75" x14ac:dyDescent="0.2">
      <c r="B27165" s="1168"/>
    </row>
    <row r="27166" spans="2:2" s="221" customFormat="1" ht="12.75" x14ac:dyDescent="0.2">
      <c r="B27166" s="1168"/>
    </row>
    <row r="27167" spans="2:2" s="221" customFormat="1" ht="12.75" x14ac:dyDescent="0.2">
      <c r="B27167" s="1168"/>
    </row>
    <row r="27168" spans="2:2" s="221" customFormat="1" ht="12.75" x14ac:dyDescent="0.2">
      <c r="B27168" s="1168"/>
    </row>
    <row r="27169" spans="2:2" s="221" customFormat="1" ht="12.75" x14ac:dyDescent="0.2">
      <c r="B27169" s="1168"/>
    </row>
    <row r="27170" spans="2:2" s="221" customFormat="1" ht="12.75" x14ac:dyDescent="0.2">
      <c r="B27170" s="1168"/>
    </row>
    <row r="27171" spans="2:2" s="221" customFormat="1" ht="12.75" x14ac:dyDescent="0.2">
      <c r="B27171" s="1168"/>
    </row>
    <row r="27172" spans="2:2" s="221" customFormat="1" ht="12.75" x14ac:dyDescent="0.2">
      <c r="B27172" s="1168"/>
    </row>
    <row r="27173" spans="2:2" s="221" customFormat="1" ht="12.75" x14ac:dyDescent="0.2">
      <c r="B27173" s="1168"/>
    </row>
    <row r="27174" spans="2:2" s="221" customFormat="1" ht="12.75" x14ac:dyDescent="0.2">
      <c r="B27174" s="1168"/>
    </row>
    <row r="27175" spans="2:2" s="221" customFormat="1" ht="12.75" x14ac:dyDescent="0.2">
      <c r="B27175" s="1168"/>
    </row>
    <row r="27176" spans="2:2" s="221" customFormat="1" ht="12.75" x14ac:dyDescent="0.2">
      <c r="B27176" s="1168"/>
    </row>
    <row r="27177" spans="2:2" s="221" customFormat="1" ht="12.75" x14ac:dyDescent="0.2">
      <c r="B27177" s="1168"/>
    </row>
    <row r="27178" spans="2:2" s="221" customFormat="1" ht="12.75" x14ac:dyDescent="0.2">
      <c r="B27178" s="1168"/>
    </row>
    <row r="27179" spans="2:2" s="221" customFormat="1" ht="12.75" x14ac:dyDescent="0.2">
      <c r="B27179" s="1168"/>
    </row>
    <row r="27180" spans="2:2" s="221" customFormat="1" ht="12.75" x14ac:dyDescent="0.2">
      <c r="B27180" s="1168"/>
    </row>
    <row r="27181" spans="2:2" s="221" customFormat="1" ht="12.75" x14ac:dyDescent="0.2">
      <c r="B27181" s="1168"/>
    </row>
    <row r="27182" spans="2:2" s="221" customFormat="1" ht="12.75" x14ac:dyDescent="0.2">
      <c r="B27182" s="1168"/>
    </row>
    <row r="27183" spans="2:2" s="221" customFormat="1" ht="12.75" x14ac:dyDescent="0.2">
      <c r="B27183" s="1168"/>
    </row>
    <row r="27184" spans="2:2" s="221" customFormat="1" ht="12.75" x14ac:dyDescent="0.2">
      <c r="B27184" s="1168"/>
    </row>
    <row r="27185" spans="2:2" s="221" customFormat="1" ht="12.75" x14ac:dyDescent="0.2">
      <c r="B27185" s="1168"/>
    </row>
    <row r="27186" spans="2:2" s="221" customFormat="1" ht="12.75" x14ac:dyDescent="0.2">
      <c r="B27186" s="1168"/>
    </row>
    <row r="27187" spans="2:2" s="221" customFormat="1" ht="12.75" x14ac:dyDescent="0.2">
      <c r="B27187" s="1168"/>
    </row>
    <row r="27188" spans="2:2" s="221" customFormat="1" ht="12.75" x14ac:dyDescent="0.2">
      <c r="B27188" s="1168"/>
    </row>
    <row r="27189" spans="2:2" s="221" customFormat="1" ht="12.75" x14ac:dyDescent="0.2">
      <c r="B27189" s="1168"/>
    </row>
    <row r="27190" spans="2:2" s="221" customFormat="1" ht="12.75" x14ac:dyDescent="0.2">
      <c r="B27190" s="1168"/>
    </row>
    <row r="27191" spans="2:2" s="221" customFormat="1" ht="12.75" x14ac:dyDescent="0.2">
      <c r="B27191" s="1168"/>
    </row>
    <row r="27192" spans="2:2" s="221" customFormat="1" ht="12.75" x14ac:dyDescent="0.2">
      <c r="B27192" s="1168"/>
    </row>
    <row r="27193" spans="2:2" s="221" customFormat="1" ht="12.75" x14ac:dyDescent="0.2">
      <c r="B27193" s="1168"/>
    </row>
    <row r="27194" spans="2:2" s="221" customFormat="1" ht="12.75" x14ac:dyDescent="0.2">
      <c r="B27194" s="1168"/>
    </row>
    <row r="27195" spans="2:2" s="221" customFormat="1" ht="12.75" x14ac:dyDescent="0.2">
      <c r="B27195" s="1168"/>
    </row>
    <row r="27196" spans="2:2" s="221" customFormat="1" ht="12.75" x14ac:dyDescent="0.2">
      <c r="B27196" s="1168"/>
    </row>
    <row r="27197" spans="2:2" s="221" customFormat="1" ht="12.75" x14ac:dyDescent="0.2">
      <c r="B27197" s="1168"/>
    </row>
    <row r="27198" spans="2:2" s="221" customFormat="1" ht="12.75" x14ac:dyDescent="0.2">
      <c r="B27198" s="1168"/>
    </row>
    <row r="27199" spans="2:2" s="221" customFormat="1" ht="12.75" x14ac:dyDescent="0.2">
      <c r="B27199" s="1168"/>
    </row>
    <row r="27200" spans="2:2" s="221" customFormat="1" ht="12.75" x14ac:dyDescent="0.2">
      <c r="B27200" s="1168"/>
    </row>
    <row r="27201" spans="2:2" s="221" customFormat="1" ht="12.75" x14ac:dyDescent="0.2">
      <c r="B27201" s="1168"/>
    </row>
    <row r="27202" spans="2:2" s="221" customFormat="1" ht="12.75" x14ac:dyDescent="0.2">
      <c r="B27202" s="1168"/>
    </row>
    <row r="27203" spans="2:2" s="221" customFormat="1" ht="12.75" x14ac:dyDescent="0.2">
      <c r="B27203" s="1168"/>
    </row>
    <row r="27204" spans="2:2" s="221" customFormat="1" ht="12.75" x14ac:dyDescent="0.2">
      <c r="B27204" s="1168"/>
    </row>
    <row r="27205" spans="2:2" s="221" customFormat="1" ht="12.75" x14ac:dyDescent="0.2">
      <c r="B27205" s="1168"/>
    </row>
    <row r="27206" spans="2:2" s="221" customFormat="1" ht="12.75" x14ac:dyDescent="0.2">
      <c r="B27206" s="1168"/>
    </row>
    <row r="27207" spans="2:2" s="221" customFormat="1" ht="12.75" x14ac:dyDescent="0.2">
      <c r="B27207" s="1168"/>
    </row>
    <row r="27208" spans="2:2" s="221" customFormat="1" ht="12.75" x14ac:dyDescent="0.2">
      <c r="B27208" s="1168"/>
    </row>
    <row r="27209" spans="2:2" s="221" customFormat="1" ht="12.75" x14ac:dyDescent="0.2">
      <c r="B27209" s="1168"/>
    </row>
    <row r="27210" spans="2:2" s="221" customFormat="1" ht="12.75" x14ac:dyDescent="0.2">
      <c r="B27210" s="1168"/>
    </row>
    <row r="27211" spans="2:2" s="221" customFormat="1" ht="12.75" x14ac:dyDescent="0.2">
      <c r="B27211" s="1168"/>
    </row>
    <row r="27212" spans="2:2" s="221" customFormat="1" ht="12.75" x14ac:dyDescent="0.2">
      <c r="B27212" s="1168"/>
    </row>
    <row r="27213" spans="2:2" s="221" customFormat="1" ht="12.75" x14ac:dyDescent="0.2">
      <c r="B27213" s="1168"/>
    </row>
    <row r="27214" spans="2:2" s="221" customFormat="1" ht="12.75" x14ac:dyDescent="0.2">
      <c r="B27214" s="1168"/>
    </row>
    <row r="27215" spans="2:2" s="221" customFormat="1" ht="12.75" x14ac:dyDescent="0.2">
      <c r="B27215" s="1168"/>
    </row>
    <row r="27216" spans="2:2" s="221" customFormat="1" ht="12.75" x14ac:dyDescent="0.2">
      <c r="B27216" s="1168"/>
    </row>
    <row r="27217" spans="2:2" s="221" customFormat="1" ht="12.75" x14ac:dyDescent="0.2">
      <c r="B27217" s="1168"/>
    </row>
    <row r="27218" spans="2:2" s="221" customFormat="1" ht="12.75" x14ac:dyDescent="0.2">
      <c r="B27218" s="1168"/>
    </row>
    <row r="27219" spans="2:2" s="221" customFormat="1" ht="12.75" x14ac:dyDescent="0.2">
      <c r="B27219" s="1168"/>
    </row>
    <row r="27220" spans="2:2" s="221" customFormat="1" ht="12.75" x14ac:dyDescent="0.2">
      <c r="B27220" s="1168"/>
    </row>
    <row r="27221" spans="2:2" s="221" customFormat="1" ht="12.75" x14ac:dyDescent="0.2">
      <c r="B27221" s="1168"/>
    </row>
    <row r="27222" spans="2:2" s="221" customFormat="1" ht="12.75" x14ac:dyDescent="0.2">
      <c r="B27222" s="1168"/>
    </row>
    <row r="27223" spans="2:2" s="221" customFormat="1" ht="12.75" x14ac:dyDescent="0.2">
      <c r="B27223" s="1168"/>
    </row>
    <row r="27224" spans="2:2" s="221" customFormat="1" ht="12.75" x14ac:dyDescent="0.2">
      <c r="B27224" s="1168"/>
    </row>
    <row r="27225" spans="2:2" s="221" customFormat="1" ht="12.75" x14ac:dyDescent="0.2">
      <c r="B27225" s="1168"/>
    </row>
    <row r="27226" spans="2:2" s="221" customFormat="1" ht="12.75" x14ac:dyDescent="0.2">
      <c r="B27226" s="1168"/>
    </row>
    <row r="27227" spans="2:2" s="221" customFormat="1" ht="12.75" x14ac:dyDescent="0.2">
      <c r="B27227" s="1168"/>
    </row>
    <row r="27228" spans="2:2" s="221" customFormat="1" ht="12.75" x14ac:dyDescent="0.2">
      <c r="B27228" s="1168"/>
    </row>
    <row r="27229" spans="2:2" s="221" customFormat="1" ht="12.75" x14ac:dyDescent="0.2">
      <c r="B27229" s="1168"/>
    </row>
    <row r="27230" spans="2:2" s="221" customFormat="1" ht="12.75" x14ac:dyDescent="0.2">
      <c r="B27230" s="1168"/>
    </row>
    <row r="27231" spans="2:2" s="221" customFormat="1" ht="12.75" x14ac:dyDescent="0.2">
      <c r="B27231" s="1168"/>
    </row>
    <row r="27232" spans="2:2" s="221" customFormat="1" ht="12.75" x14ac:dyDescent="0.2">
      <c r="B27232" s="1168"/>
    </row>
    <row r="27233" spans="2:2" s="221" customFormat="1" ht="12.75" x14ac:dyDescent="0.2">
      <c r="B27233" s="1168"/>
    </row>
    <row r="27234" spans="2:2" s="221" customFormat="1" ht="12.75" x14ac:dyDescent="0.2">
      <c r="B27234" s="1168"/>
    </row>
    <row r="27235" spans="2:2" s="221" customFormat="1" ht="12.75" x14ac:dyDescent="0.2">
      <c r="B27235" s="1168"/>
    </row>
    <row r="27236" spans="2:2" s="221" customFormat="1" ht="12.75" x14ac:dyDescent="0.2">
      <c r="B27236" s="1168"/>
    </row>
    <row r="27237" spans="2:2" s="221" customFormat="1" ht="12.75" x14ac:dyDescent="0.2">
      <c r="B27237" s="1168"/>
    </row>
    <row r="27238" spans="2:2" s="221" customFormat="1" ht="12.75" x14ac:dyDescent="0.2">
      <c r="B27238" s="1168"/>
    </row>
    <row r="27239" spans="2:2" s="221" customFormat="1" ht="12.75" x14ac:dyDescent="0.2">
      <c r="B27239" s="1168"/>
    </row>
    <row r="27240" spans="2:2" s="221" customFormat="1" ht="12.75" x14ac:dyDescent="0.2">
      <c r="B27240" s="1168"/>
    </row>
    <row r="27241" spans="2:2" s="221" customFormat="1" ht="12.75" x14ac:dyDescent="0.2">
      <c r="B27241" s="1168"/>
    </row>
    <row r="27242" spans="2:2" s="221" customFormat="1" ht="12.75" x14ac:dyDescent="0.2">
      <c r="B27242" s="1168"/>
    </row>
    <row r="27243" spans="2:2" s="221" customFormat="1" ht="12.75" x14ac:dyDescent="0.2">
      <c r="B27243" s="1168"/>
    </row>
    <row r="27244" spans="2:2" s="221" customFormat="1" ht="12.75" x14ac:dyDescent="0.2">
      <c r="B27244" s="1168"/>
    </row>
    <row r="27245" spans="2:2" s="221" customFormat="1" ht="12.75" x14ac:dyDescent="0.2">
      <c r="B27245" s="1168"/>
    </row>
    <row r="27246" spans="2:2" s="221" customFormat="1" ht="12.75" x14ac:dyDescent="0.2">
      <c r="B27246" s="1168"/>
    </row>
    <row r="27247" spans="2:2" s="221" customFormat="1" ht="12.75" x14ac:dyDescent="0.2">
      <c r="B27247" s="1168"/>
    </row>
    <row r="27248" spans="2:2" s="221" customFormat="1" ht="12.75" x14ac:dyDescent="0.2">
      <c r="B27248" s="1168"/>
    </row>
    <row r="27249" spans="2:2" s="221" customFormat="1" ht="12.75" x14ac:dyDescent="0.2">
      <c r="B27249" s="1168"/>
    </row>
    <row r="27250" spans="2:2" s="221" customFormat="1" ht="12.75" x14ac:dyDescent="0.2">
      <c r="B27250" s="1168"/>
    </row>
    <row r="27251" spans="2:2" s="221" customFormat="1" ht="12.75" x14ac:dyDescent="0.2">
      <c r="B27251" s="1168"/>
    </row>
    <row r="27252" spans="2:2" s="221" customFormat="1" ht="12.75" x14ac:dyDescent="0.2">
      <c r="B27252" s="1168"/>
    </row>
    <row r="27253" spans="2:2" s="221" customFormat="1" ht="12.75" x14ac:dyDescent="0.2">
      <c r="B27253" s="1168"/>
    </row>
    <row r="27254" spans="2:2" s="221" customFormat="1" ht="12.75" x14ac:dyDescent="0.2">
      <c r="B27254" s="1168"/>
    </row>
    <row r="27255" spans="2:2" s="221" customFormat="1" ht="12.75" x14ac:dyDescent="0.2">
      <c r="B27255" s="1168"/>
    </row>
    <row r="27256" spans="2:2" s="221" customFormat="1" ht="12.75" x14ac:dyDescent="0.2">
      <c r="B27256" s="1168"/>
    </row>
    <row r="27257" spans="2:2" s="221" customFormat="1" ht="12.75" x14ac:dyDescent="0.2">
      <c r="B27257" s="1168"/>
    </row>
    <row r="27258" spans="2:2" s="221" customFormat="1" ht="12.75" x14ac:dyDescent="0.2">
      <c r="B27258" s="1168"/>
    </row>
    <row r="27259" spans="2:2" s="221" customFormat="1" ht="12.75" x14ac:dyDescent="0.2">
      <c r="B27259" s="1168"/>
    </row>
    <row r="27260" spans="2:2" s="221" customFormat="1" ht="12.75" x14ac:dyDescent="0.2">
      <c r="B27260" s="1168"/>
    </row>
    <row r="27261" spans="2:2" s="221" customFormat="1" ht="12.75" x14ac:dyDescent="0.2">
      <c r="B27261" s="1168"/>
    </row>
    <row r="27262" spans="2:2" s="221" customFormat="1" ht="12.75" x14ac:dyDescent="0.2">
      <c r="B27262" s="1168"/>
    </row>
    <row r="27263" spans="2:2" s="221" customFormat="1" ht="12.75" x14ac:dyDescent="0.2">
      <c r="B27263" s="1168"/>
    </row>
    <row r="27264" spans="2:2" s="221" customFormat="1" ht="12.75" x14ac:dyDescent="0.2">
      <c r="B27264" s="1168"/>
    </row>
    <row r="27265" spans="2:2" s="221" customFormat="1" ht="12.75" x14ac:dyDescent="0.2">
      <c r="B27265" s="1168"/>
    </row>
    <row r="27266" spans="2:2" s="221" customFormat="1" ht="12.75" x14ac:dyDescent="0.2">
      <c r="B27266" s="1168"/>
    </row>
    <row r="27267" spans="2:2" s="221" customFormat="1" ht="12.75" x14ac:dyDescent="0.2">
      <c r="B27267" s="1168"/>
    </row>
    <row r="27268" spans="2:2" s="221" customFormat="1" ht="12.75" x14ac:dyDescent="0.2">
      <c r="B27268" s="1168"/>
    </row>
    <row r="27269" spans="2:2" s="221" customFormat="1" ht="12.75" x14ac:dyDescent="0.2">
      <c r="B27269" s="1168"/>
    </row>
    <row r="27270" spans="2:2" s="221" customFormat="1" ht="12.75" x14ac:dyDescent="0.2">
      <c r="B27270" s="1168"/>
    </row>
    <row r="27271" spans="2:2" s="221" customFormat="1" ht="12.75" x14ac:dyDescent="0.2">
      <c r="B27271" s="1168"/>
    </row>
    <row r="27272" spans="2:2" s="221" customFormat="1" ht="12.75" x14ac:dyDescent="0.2">
      <c r="B27272" s="1168"/>
    </row>
    <row r="27273" spans="2:2" s="221" customFormat="1" ht="12.75" x14ac:dyDescent="0.2">
      <c r="B27273" s="1168"/>
    </row>
    <row r="27274" spans="2:2" s="221" customFormat="1" ht="12.75" x14ac:dyDescent="0.2">
      <c r="B27274" s="1168"/>
    </row>
    <row r="27275" spans="2:2" s="221" customFormat="1" ht="12.75" x14ac:dyDescent="0.2">
      <c r="B27275" s="1168"/>
    </row>
    <row r="27276" spans="2:2" s="221" customFormat="1" ht="12.75" x14ac:dyDescent="0.2">
      <c r="B27276" s="1168"/>
    </row>
    <row r="27277" spans="2:2" s="221" customFormat="1" ht="12.75" x14ac:dyDescent="0.2">
      <c r="B27277" s="1168"/>
    </row>
    <row r="27278" spans="2:2" s="221" customFormat="1" ht="12.75" x14ac:dyDescent="0.2">
      <c r="B27278" s="1168"/>
    </row>
    <row r="27279" spans="2:2" s="221" customFormat="1" ht="12.75" x14ac:dyDescent="0.2">
      <c r="B27279" s="1168"/>
    </row>
    <row r="27280" spans="2:2" s="221" customFormat="1" ht="12.75" x14ac:dyDescent="0.2">
      <c r="B27280" s="1168"/>
    </row>
    <row r="27281" spans="2:2" s="221" customFormat="1" ht="12.75" x14ac:dyDescent="0.2">
      <c r="B27281" s="1168"/>
    </row>
    <row r="27282" spans="2:2" s="221" customFormat="1" ht="12.75" x14ac:dyDescent="0.2">
      <c r="B27282" s="1168"/>
    </row>
    <row r="27283" spans="2:2" s="221" customFormat="1" ht="12.75" x14ac:dyDescent="0.2">
      <c r="B27283" s="1168"/>
    </row>
    <row r="27284" spans="2:2" s="221" customFormat="1" ht="12.75" x14ac:dyDescent="0.2">
      <c r="B27284" s="1168"/>
    </row>
    <row r="27285" spans="2:2" s="221" customFormat="1" ht="12.75" x14ac:dyDescent="0.2">
      <c r="B27285" s="1168"/>
    </row>
    <row r="27286" spans="2:2" s="221" customFormat="1" ht="12.75" x14ac:dyDescent="0.2">
      <c r="B27286" s="1168"/>
    </row>
    <row r="27287" spans="2:2" s="221" customFormat="1" ht="12.75" x14ac:dyDescent="0.2">
      <c r="B27287" s="1168"/>
    </row>
    <row r="27288" spans="2:2" s="221" customFormat="1" ht="12.75" x14ac:dyDescent="0.2">
      <c r="B27288" s="1168"/>
    </row>
    <row r="27289" spans="2:2" s="221" customFormat="1" ht="12.75" x14ac:dyDescent="0.2">
      <c r="B27289" s="1168"/>
    </row>
    <row r="27290" spans="2:2" s="221" customFormat="1" ht="12.75" x14ac:dyDescent="0.2">
      <c r="B27290" s="1168"/>
    </row>
    <row r="27291" spans="2:2" s="221" customFormat="1" ht="12.75" x14ac:dyDescent="0.2">
      <c r="B27291" s="1168"/>
    </row>
    <row r="27292" spans="2:2" s="221" customFormat="1" ht="12.75" x14ac:dyDescent="0.2">
      <c r="B27292" s="1168"/>
    </row>
    <row r="27293" spans="2:2" s="221" customFormat="1" ht="12.75" x14ac:dyDescent="0.2">
      <c r="B27293" s="1168"/>
    </row>
    <row r="27294" spans="2:2" s="221" customFormat="1" ht="12.75" x14ac:dyDescent="0.2">
      <c r="B27294" s="1168"/>
    </row>
    <row r="27295" spans="2:2" s="221" customFormat="1" ht="12.75" x14ac:dyDescent="0.2">
      <c r="B27295" s="1168"/>
    </row>
    <row r="27296" spans="2:2" s="221" customFormat="1" ht="12.75" x14ac:dyDescent="0.2">
      <c r="B27296" s="1168"/>
    </row>
    <row r="27297" spans="2:2" s="221" customFormat="1" ht="12.75" x14ac:dyDescent="0.2">
      <c r="B27297" s="1168"/>
    </row>
    <row r="27298" spans="2:2" s="221" customFormat="1" ht="12.75" x14ac:dyDescent="0.2">
      <c r="B27298" s="1168"/>
    </row>
    <row r="27299" spans="2:2" s="221" customFormat="1" ht="12.75" x14ac:dyDescent="0.2">
      <c r="B27299" s="1168"/>
    </row>
    <row r="27300" spans="2:2" s="221" customFormat="1" ht="12.75" x14ac:dyDescent="0.2">
      <c r="B27300" s="1168"/>
    </row>
    <row r="27301" spans="2:2" s="221" customFormat="1" ht="12.75" x14ac:dyDescent="0.2">
      <c r="B27301" s="1168"/>
    </row>
    <row r="27302" spans="2:2" s="221" customFormat="1" ht="12.75" x14ac:dyDescent="0.2">
      <c r="B27302" s="1168"/>
    </row>
    <row r="27303" spans="2:2" s="221" customFormat="1" ht="12.75" x14ac:dyDescent="0.2">
      <c r="B27303" s="1168"/>
    </row>
    <row r="27304" spans="2:2" s="221" customFormat="1" ht="12.75" x14ac:dyDescent="0.2">
      <c r="B27304" s="1168"/>
    </row>
    <row r="27305" spans="2:2" s="221" customFormat="1" ht="12.75" x14ac:dyDescent="0.2">
      <c r="B27305" s="1168"/>
    </row>
    <row r="27306" spans="2:2" s="221" customFormat="1" ht="12.75" x14ac:dyDescent="0.2">
      <c r="B27306" s="1168"/>
    </row>
    <row r="27307" spans="2:2" s="221" customFormat="1" ht="12.75" x14ac:dyDescent="0.2">
      <c r="B27307" s="1168"/>
    </row>
    <row r="27308" spans="2:2" s="221" customFormat="1" ht="12.75" x14ac:dyDescent="0.2">
      <c r="B27308" s="1168"/>
    </row>
    <row r="27309" spans="2:2" s="221" customFormat="1" ht="12.75" x14ac:dyDescent="0.2">
      <c r="B27309" s="1168"/>
    </row>
    <row r="27310" spans="2:2" s="221" customFormat="1" ht="12.75" x14ac:dyDescent="0.2">
      <c r="B27310" s="1168"/>
    </row>
    <row r="27311" spans="2:2" s="221" customFormat="1" ht="12.75" x14ac:dyDescent="0.2">
      <c r="B27311" s="1168"/>
    </row>
    <row r="27312" spans="2:2" s="221" customFormat="1" ht="12.75" x14ac:dyDescent="0.2">
      <c r="B27312" s="1168"/>
    </row>
    <row r="27313" spans="2:2" s="221" customFormat="1" ht="12.75" x14ac:dyDescent="0.2">
      <c r="B27313" s="1168"/>
    </row>
    <row r="27314" spans="2:2" s="221" customFormat="1" ht="12.75" x14ac:dyDescent="0.2">
      <c r="B27314" s="1168"/>
    </row>
    <row r="27315" spans="2:2" s="221" customFormat="1" ht="12.75" x14ac:dyDescent="0.2">
      <c r="B27315" s="1168"/>
    </row>
    <row r="27316" spans="2:2" s="221" customFormat="1" ht="12.75" x14ac:dyDescent="0.2">
      <c r="B27316" s="1168"/>
    </row>
    <row r="27317" spans="2:2" s="221" customFormat="1" ht="12.75" x14ac:dyDescent="0.2">
      <c r="B27317" s="1168"/>
    </row>
    <row r="27318" spans="2:2" s="221" customFormat="1" ht="12.75" x14ac:dyDescent="0.2">
      <c r="B27318" s="1168"/>
    </row>
    <row r="27319" spans="2:2" s="221" customFormat="1" ht="12.75" x14ac:dyDescent="0.2">
      <c r="B27319" s="1168"/>
    </row>
    <row r="27320" spans="2:2" s="221" customFormat="1" ht="12.75" x14ac:dyDescent="0.2">
      <c r="B27320" s="1168"/>
    </row>
    <row r="27321" spans="2:2" s="221" customFormat="1" ht="12.75" x14ac:dyDescent="0.2">
      <c r="B27321" s="1168"/>
    </row>
    <row r="27322" spans="2:2" s="221" customFormat="1" ht="12.75" x14ac:dyDescent="0.2">
      <c r="B27322" s="1168"/>
    </row>
    <row r="27323" spans="2:2" s="221" customFormat="1" ht="12.75" x14ac:dyDescent="0.2">
      <c r="B27323" s="1168"/>
    </row>
    <row r="27324" spans="2:2" s="221" customFormat="1" ht="12.75" x14ac:dyDescent="0.2">
      <c r="B27324" s="1168"/>
    </row>
    <row r="27325" spans="2:2" s="221" customFormat="1" ht="12.75" x14ac:dyDescent="0.2">
      <c r="B27325" s="1168"/>
    </row>
    <row r="27326" spans="2:2" s="221" customFormat="1" ht="12.75" x14ac:dyDescent="0.2">
      <c r="B27326" s="1168"/>
    </row>
    <row r="27327" spans="2:2" s="221" customFormat="1" ht="12.75" x14ac:dyDescent="0.2">
      <c r="B27327" s="1168"/>
    </row>
    <row r="27328" spans="2:2" s="221" customFormat="1" ht="12.75" x14ac:dyDescent="0.2">
      <c r="B27328" s="1168"/>
    </row>
    <row r="27329" spans="2:2" s="221" customFormat="1" ht="12.75" x14ac:dyDescent="0.2">
      <c r="B27329" s="1168"/>
    </row>
    <row r="27330" spans="2:2" s="221" customFormat="1" ht="12.75" x14ac:dyDescent="0.2">
      <c r="B27330" s="1168"/>
    </row>
    <row r="27331" spans="2:2" s="221" customFormat="1" ht="12.75" x14ac:dyDescent="0.2">
      <c r="B27331" s="1168"/>
    </row>
    <row r="27332" spans="2:2" s="221" customFormat="1" ht="12.75" x14ac:dyDescent="0.2">
      <c r="B27332" s="1168"/>
    </row>
    <row r="27333" spans="2:2" s="221" customFormat="1" ht="12.75" x14ac:dyDescent="0.2">
      <c r="B27333" s="1168"/>
    </row>
    <row r="27334" spans="2:2" s="221" customFormat="1" ht="12.75" x14ac:dyDescent="0.2">
      <c r="B27334" s="1168"/>
    </row>
    <row r="27335" spans="2:2" s="221" customFormat="1" ht="12.75" x14ac:dyDescent="0.2">
      <c r="B27335" s="1168"/>
    </row>
    <row r="27336" spans="2:2" s="221" customFormat="1" ht="12.75" x14ac:dyDescent="0.2">
      <c r="B27336" s="1168"/>
    </row>
    <row r="27337" spans="2:2" s="221" customFormat="1" ht="12.75" x14ac:dyDescent="0.2">
      <c r="B27337" s="1168"/>
    </row>
    <row r="27338" spans="2:2" s="221" customFormat="1" ht="12.75" x14ac:dyDescent="0.2">
      <c r="B27338" s="1168"/>
    </row>
    <row r="27339" spans="2:2" s="221" customFormat="1" ht="12.75" x14ac:dyDescent="0.2">
      <c r="B27339" s="1168"/>
    </row>
    <row r="27340" spans="2:2" s="221" customFormat="1" ht="12.75" x14ac:dyDescent="0.2">
      <c r="B27340" s="1168"/>
    </row>
    <row r="27341" spans="2:2" s="221" customFormat="1" ht="12.75" x14ac:dyDescent="0.2">
      <c r="B27341" s="1168"/>
    </row>
    <row r="27342" spans="2:2" s="221" customFormat="1" ht="12.75" x14ac:dyDescent="0.2">
      <c r="B27342" s="1168"/>
    </row>
    <row r="27343" spans="2:2" s="221" customFormat="1" ht="12.75" x14ac:dyDescent="0.2">
      <c r="B27343" s="1168"/>
    </row>
    <row r="27344" spans="2:2" s="221" customFormat="1" ht="12.75" x14ac:dyDescent="0.2">
      <c r="B27344" s="1168"/>
    </row>
    <row r="27345" spans="2:2" s="221" customFormat="1" ht="12.75" x14ac:dyDescent="0.2">
      <c r="B27345" s="1168"/>
    </row>
    <row r="27346" spans="2:2" s="221" customFormat="1" ht="12.75" x14ac:dyDescent="0.2">
      <c r="B27346" s="1168"/>
    </row>
    <row r="27347" spans="2:2" s="221" customFormat="1" ht="12.75" x14ac:dyDescent="0.2">
      <c r="B27347" s="1168"/>
    </row>
    <row r="27348" spans="2:2" s="221" customFormat="1" ht="12.75" x14ac:dyDescent="0.2">
      <c r="B27348" s="1168"/>
    </row>
    <row r="27349" spans="2:2" s="221" customFormat="1" ht="12.75" x14ac:dyDescent="0.2">
      <c r="B27349" s="1168"/>
    </row>
    <row r="27350" spans="2:2" s="221" customFormat="1" ht="12.75" x14ac:dyDescent="0.2">
      <c r="B27350" s="1168"/>
    </row>
    <row r="27351" spans="2:2" s="221" customFormat="1" ht="12.75" x14ac:dyDescent="0.2">
      <c r="B27351" s="1168"/>
    </row>
    <row r="27352" spans="2:2" s="221" customFormat="1" ht="12.75" x14ac:dyDescent="0.2">
      <c r="B27352" s="1168"/>
    </row>
    <row r="27353" spans="2:2" s="221" customFormat="1" ht="12.75" x14ac:dyDescent="0.2">
      <c r="B27353" s="1168"/>
    </row>
    <row r="27354" spans="2:2" s="221" customFormat="1" ht="12.75" x14ac:dyDescent="0.2">
      <c r="B27354" s="1168"/>
    </row>
    <row r="27355" spans="2:2" s="221" customFormat="1" ht="12.75" x14ac:dyDescent="0.2">
      <c r="B27355" s="1168"/>
    </row>
    <row r="27356" spans="2:2" s="221" customFormat="1" ht="12.75" x14ac:dyDescent="0.2">
      <c r="B27356" s="1168"/>
    </row>
    <row r="27357" spans="2:2" s="221" customFormat="1" ht="12.75" x14ac:dyDescent="0.2">
      <c r="B27357" s="1168"/>
    </row>
    <row r="27358" spans="2:2" s="221" customFormat="1" ht="12.75" x14ac:dyDescent="0.2">
      <c r="B27358" s="1168"/>
    </row>
    <row r="27359" spans="2:2" s="221" customFormat="1" ht="12.75" x14ac:dyDescent="0.2">
      <c r="B27359" s="1168"/>
    </row>
    <row r="27360" spans="2:2" s="221" customFormat="1" ht="12.75" x14ac:dyDescent="0.2">
      <c r="B27360" s="1168"/>
    </row>
    <row r="27361" spans="2:2" s="221" customFormat="1" ht="12.75" x14ac:dyDescent="0.2">
      <c r="B27361" s="1168"/>
    </row>
    <row r="27362" spans="2:2" s="221" customFormat="1" ht="12.75" x14ac:dyDescent="0.2">
      <c r="B27362" s="1168"/>
    </row>
    <row r="27363" spans="2:2" s="221" customFormat="1" ht="12.75" x14ac:dyDescent="0.2">
      <c r="B27363" s="1168"/>
    </row>
    <row r="27364" spans="2:2" s="221" customFormat="1" ht="12.75" x14ac:dyDescent="0.2">
      <c r="B27364" s="1168"/>
    </row>
    <row r="27365" spans="2:2" s="221" customFormat="1" ht="12.75" x14ac:dyDescent="0.2">
      <c r="B27365" s="1168"/>
    </row>
    <row r="27366" spans="2:2" s="221" customFormat="1" ht="12.75" x14ac:dyDescent="0.2">
      <c r="B27366" s="1168"/>
    </row>
    <row r="27367" spans="2:2" s="221" customFormat="1" ht="12.75" x14ac:dyDescent="0.2">
      <c r="B27367" s="1168"/>
    </row>
    <row r="27368" spans="2:2" s="221" customFormat="1" ht="12.75" x14ac:dyDescent="0.2">
      <c r="B27368" s="1168"/>
    </row>
    <row r="27369" spans="2:2" s="221" customFormat="1" ht="12.75" x14ac:dyDescent="0.2">
      <c r="B27369" s="1168"/>
    </row>
    <row r="27370" spans="2:2" s="221" customFormat="1" ht="12.75" x14ac:dyDescent="0.2">
      <c r="B27370" s="1168"/>
    </row>
    <row r="27371" spans="2:2" s="221" customFormat="1" ht="12.75" x14ac:dyDescent="0.2">
      <c r="B27371" s="1168"/>
    </row>
    <row r="27372" spans="2:2" s="221" customFormat="1" ht="12.75" x14ac:dyDescent="0.2">
      <c r="B27372" s="1168"/>
    </row>
    <row r="27373" spans="2:2" s="221" customFormat="1" ht="12.75" x14ac:dyDescent="0.2">
      <c r="B27373" s="1168"/>
    </row>
    <row r="27374" spans="2:2" s="221" customFormat="1" ht="12.75" x14ac:dyDescent="0.2">
      <c r="B27374" s="1168"/>
    </row>
    <row r="27375" spans="2:2" s="221" customFormat="1" ht="12.75" x14ac:dyDescent="0.2">
      <c r="B27375" s="1168"/>
    </row>
    <row r="27376" spans="2:2" s="221" customFormat="1" ht="12.75" x14ac:dyDescent="0.2">
      <c r="B27376" s="1168"/>
    </row>
    <row r="27377" spans="2:2" s="221" customFormat="1" ht="12.75" x14ac:dyDescent="0.2">
      <c r="B27377" s="1168"/>
    </row>
    <row r="27378" spans="2:2" s="221" customFormat="1" ht="12.75" x14ac:dyDescent="0.2">
      <c r="B27378" s="1168"/>
    </row>
    <row r="27379" spans="2:2" s="221" customFormat="1" ht="12.75" x14ac:dyDescent="0.2">
      <c r="B27379" s="1168"/>
    </row>
    <row r="27380" spans="2:2" s="221" customFormat="1" ht="12.75" x14ac:dyDescent="0.2">
      <c r="B27380" s="1168"/>
    </row>
    <row r="27381" spans="2:2" s="221" customFormat="1" ht="12.75" x14ac:dyDescent="0.2">
      <c r="B27381" s="1168"/>
    </row>
    <row r="27382" spans="2:2" s="221" customFormat="1" ht="12.75" x14ac:dyDescent="0.2">
      <c r="B27382" s="1168"/>
    </row>
    <row r="27383" spans="2:2" s="221" customFormat="1" ht="12.75" x14ac:dyDescent="0.2">
      <c r="B27383" s="1168"/>
    </row>
    <row r="27384" spans="2:2" s="221" customFormat="1" ht="12.75" x14ac:dyDescent="0.2">
      <c r="B27384" s="1168"/>
    </row>
    <row r="27385" spans="2:2" s="221" customFormat="1" ht="12.75" x14ac:dyDescent="0.2">
      <c r="B27385" s="1168"/>
    </row>
    <row r="27386" spans="2:2" s="221" customFormat="1" ht="12.75" x14ac:dyDescent="0.2">
      <c r="B27386" s="1168"/>
    </row>
    <row r="27387" spans="2:2" s="221" customFormat="1" ht="12.75" x14ac:dyDescent="0.2">
      <c r="B27387" s="1168"/>
    </row>
    <row r="27388" spans="2:2" s="221" customFormat="1" ht="12.75" x14ac:dyDescent="0.2">
      <c r="B27388" s="1168"/>
    </row>
    <row r="27389" spans="2:2" s="221" customFormat="1" ht="12.75" x14ac:dyDescent="0.2">
      <c r="B27389" s="1168"/>
    </row>
    <row r="27390" spans="2:2" s="221" customFormat="1" ht="12.75" x14ac:dyDescent="0.2">
      <c r="B27390" s="1168"/>
    </row>
    <row r="27391" spans="2:2" s="221" customFormat="1" ht="12.75" x14ac:dyDescent="0.2">
      <c r="B27391" s="1168"/>
    </row>
    <row r="27392" spans="2:2" s="221" customFormat="1" ht="12.75" x14ac:dyDescent="0.2">
      <c r="B27392" s="1168"/>
    </row>
    <row r="27393" spans="2:2" s="221" customFormat="1" ht="12.75" x14ac:dyDescent="0.2">
      <c r="B27393" s="1168"/>
    </row>
    <row r="27394" spans="2:2" s="221" customFormat="1" ht="12.75" x14ac:dyDescent="0.2">
      <c r="B27394" s="1168"/>
    </row>
    <row r="27395" spans="2:2" s="221" customFormat="1" ht="12.75" x14ac:dyDescent="0.2">
      <c r="B27395" s="1168"/>
    </row>
    <row r="27396" spans="2:2" s="221" customFormat="1" ht="12.75" x14ac:dyDescent="0.2">
      <c r="B27396" s="1168"/>
    </row>
    <row r="27397" spans="2:2" s="221" customFormat="1" ht="12.75" x14ac:dyDescent="0.2">
      <c r="B27397" s="1168"/>
    </row>
    <row r="27398" spans="2:2" s="221" customFormat="1" ht="12.75" x14ac:dyDescent="0.2">
      <c r="B27398" s="1168"/>
    </row>
    <row r="27399" spans="2:2" s="221" customFormat="1" ht="12.75" x14ac:dyDescent="0.2">
      <c r="B27399" s="1168"/>
    </row>
    <row r="27400" spans="2:2" s="221" customFormat="1" ht="12.75" x14ac:dyDescent="0.2">
      <c r="B27400" s="1168"/>
    </row>
    <row r="27401" spans="2:2" s="221" customFormat="1" ht="12.75" x14ac:dyDescent="0.2">
      <c r="B27401" s="1168"/>
    </row>
    <row r="27402" spans="2:2" s="221" customFormat="1" ht="12.75" x14ac:dyDescent="0.2">
      <c r="B27402" s="1168"/>
    </row>
    <row r="27403" spans="2:2" s="221" customFormat="1" ht="12.75" x14ac:dyDescent="0.2">
      <c r="B27403" s="1168"/>
    </row>
    <row r="27404" spans="2:2" s="221" customFormat="1" ht="12.75" x14ac:dyDescent="0.2">
      <c r="B27404" s="1168"/>
    </row>
    <row r="27405" spans="2:2" s="221" customFormat="1" ht="12.75" x14ac:dyDescent="0.2">
      <c r="B27405" s="1168"/>
    </row>
    <row r="27406" spans="2:2" s="221" customFormat="1" ht="12.75" x14ac:dyDescent="0.2">
      <c r="B27406" s="1168"/>
    </row>
    <row r="27407" spans="2:2" s="221" customFormat="1" ht="12.75" x14ac:dyDescent="0.2">
      <c r="B27407" s="1168"/>
    </row>
    <row r="27408" spans="2:2" s="221" customFormat="1" ht="12.75" x14ac:dyDescent="0.2">
      <c r="B27408" s="1168"/>
    </row>
    <row r="27409" spans="2:2" s="221" customFormat="1" ht="12.75" x14ac:dyDescent="0.2">
      <c r="B27409" s="1168"/>
    </row>
    <row r="27410" spans="2:2" s="221" customFormat="1" ht="12.75" x14ac:dyDescent="0.2">
      <c r="B27410" s="1168"/>
    </row>
    <row r="27411" spans="2:2" s="221" customFormat="1" ht="12.75" x14ac:dyDescent="0.2">
      <c r="B27411" s="1168"/>
    </row>
    <row r="27412" spans="2:2" s="221" customFormat="1" ht="12.75" x14ac:dyDescent="0.2">
      <c r="B27412" s="1168"/>
    </row>
    <row r="27413" spans="2:2" s="221" customFormat="1" ht="12.75" x14ac:dyDescent="0.2">
      <c r="B27413" s="1168"/>
    </row>
    <row r="27414" spans="2:2" s="221" customFormat="1" ht="12.75" x14ac:dyDescent="0.2">
      <c r="B27414" s="1168"/>
    </row>
    <row r="27415" spans="2:2" s="221" customFormat="1" ht="12.75" x14ac:dyDescent="0.2">
      <c r="B27415" s="1168"/>
    </row>
    <row r="27416" spans="2:2" s="221" customFormat="1" ht="12.75" x14ac:dyDescent="0.2">
      <c r="B27416" s="1168"/>
    </row>
    <row r="27417" spans="2:2" s="221" customFormat="1" ht="12.75" x14ac:dyDescent="0.2">
      <c r="B27417" s="1168"/>
    </row>
    <row r="27418" spans="2:2" s="221" customFormat="1" ht="12.75" x14ac:dyDescent="0.2">
      <c r="B27418" s="1168"/>
    </row>
    <row r="27419" spans="2:2" s="221" customFormat="1" ht="12.75" x14ac:dyDescent="0.2">
      <c r="B27419" s="1168"/>
    </row>
    <row r="27420" spans="2:2" s="221" customFormat="1" ht="12.75" x14ac:dyDescent="0.2">
      <c r="B27420" s="1168"/>
    </row>
    <row r="27421" spans="2:2" s="221" customFormat="1" ht="12.75" x14ac:dyDescent="0.2">
      <c r="B27421" s="1168"/>
    </row>
    <row r="27422" spans="2:2" s="221" customFormat="1" ht="12.75" x14ac:dyDescent="0.2">
      <c r="B27422" s="1168"/>
    </row>
    <row r="27423" spans="2:2" s="221" customFormat="1" ht="12.75" x14ac:dyDescent="0.2">
      <c r="B27423" s="1168"/>
    </row>
    <row r="27424" spans="2:2" s="221" customFormat="1" ht="12.75" x14ac:dyDescent="0.2">
      <c r="B27424" s="1168"/>
    </row>
    <row r="27425" spans="2:2" s="221" customFormat="1" ht="12.75" x14ac:dyDescent="0.2">
      <c r="B27425" s="1168"/>
    </row>
    <row r="27426" spans="2:2" s="221" customFormat="1" ht="12.75" x14ac:dyDescent="0.2">
      <c r="B27426" s="1168"/>
    </row>
    <row r="27427" spans="2:2" s="221" customFormat="1" ht="12.75" x14ac:dyDescent="0.2">
      <c r="B27427" s="1168"/>
    </row>
    <row r="27428" spans="2:2" s="221" customFormat="1" ht="12.75" x14ac:dyDescent="0.2">
      <c r="B27428" s="1168"/>
    </row>
    <row r="27429" spans="2:2" s="221" customFormat="1" ht="12.75" x14ac:dyDescent="0.2">
      <c r="B27429" s="1168"/>
    </row>
    <row r="27430" spans="2:2" s="221" customFormat="1" ht="12.75" x14ac:dyDescent="0.2">
      <c r="B27430" s="1168"/>
    </row>
    <row r="27431" spans="2:2" s="221" customFormat="1" ht="12.75" x14ac:dyDescent="0.2">
      <c r="B27431" s="1168"/>
    </row>
    <row r="27432" spans="2:2" s="221" customFormat="1" ht="12.75" x14ac:dyDescent="0.2">
      <c r="B27432" s="1168"/>
    </row>
    <row r="27433" spans="2:2" s="221" customFormat="1" ht="12.75" x14ac:dyDescent="0.2">
      <c r="B27433" s="1168"/>
    </row>
    <row r="27434" spans="2:2" s="221" customFormat="1" ht="12.75" x14ac:dyDescent="0.2">
      <c r="B27434" s="1168"/>
    </row>
    <row r="27435" spans="2:2" s="221" customFormat="1" ht="12.75" x14ac:dyDescent="0.2">
      <c r="B27435" s="1168"/>
    </row>
    <row r="27436" spans="2:2" s="221" customFormat="1" ht="12.75" x14ac:dyDescent="0.2">
      <c r="B27436" s="1168"/>
    </row>
    <row r="27437" spans="2:2" s="221" customFormat="1" ht="12.75" x14ac:dyDescent="0.2">
      <c r="B27437" s="1168"/>
    </row>
    <row r="27438" spans="2:2" s="221" customFormat="1" ht="12.75" x14ac:dyDescent="0.2">
      <c r="B27438" s="1168"/>
    </row>
    <row r="27439" spans="2:2" s="221" customFormat="1" ht="12.75" x14ac:dyDescent="0.2">
      <c r="B27439" s="1168"/>
    </row>
    <row r="27440" spans="2:2" s="221" customFormat="1" ht="12.75" x14ac:dyDescent="0.2">
      <c r="B27440" s="1168"/>
    </row>
    <row r="27441" spans="2:2" s="221" customFormat="1" ht="12.75" x14ac:dyDescent="0.2">
      <c r="B27441" s="1168"/>
    </row>
    <row r="27442" spans="2:2" s="221" customFormat="1" ht="12.75" x14ac:dyDescent="0.2">
      <c r="B27442" s="1168"/>
    </row>
    <row r="27443" spans="2:2" s="221" customFormat="1" ht="12.75" x14ac:dyDescent="0.2">
      <c r="B27443" s="1168"/>
    </row>
    <row r="27444" spans="2:2" s="221" customFormat="1" ht="12.75" x14ac:dyDescent="0.2">
      <c r="B27444" s="1168"/>
    </row>
    <row r="27445" spans="2:2" s="221" customFormat="1" ht="12.75" x14ac:dyDescent="0.2">
      <c r="B27445" s="1168"/>
    </row>
    <row r="27446" spans="2:2" s="221" customFormat="1" ht="12.75" x14ac:dyDescent="0.2">
      <c r="B27446" s="1168"/>
    </row>
    <row r="27447" spans="2:2" s="221" customFormat="1" ht="12.75" x14ac:dyDescent="0.2">
      <c r="B27447" s="1168"/>
    </row>
    <row r="27448" spans="2:2" s="221" customFormat="1" ht="12.75" x14ac:dyDescent="0.2">
      <c r="B27448" s="1168"/>
    </row>
    <row r="27449" spans="2:2" s="221" customFormat="1" ht="12.75" x14ac:dyDescent="0.2">
      <c r="B27449" s="1168"/>
    </row>
    <row r="27450" spans="2:2" s="221" customFormat="1" ht="12.75" x14ac:dyDescent="0.2">
      <c r="B27450" s="1168"/>
    </row>
    <row r="27451" spans="2:2" s="221" customFormat="1" ht="12.75" x14ac:dyDescent="0.2">
      <c r="B27451" s="1168"/>
    </row>
    <row r="27452" spans="2:2" s="221" customFormat="1" ht="12.75" x14ac:dyDescent="0.2">
      <c r="B27452" s="1168"/>
    </row>
    <row r="27453" spans="2:2" s="221" customFormat="1" ht="12.75" x14ac:dyDescent="0.2">
      <c r="B27453" s="1168"/>
    </row>
    <row r="27454" spans="2:2" s="221" customFormat="1" ht="12.75" x14ac:dyDescent="0.2">
      <c r="B27454" s="1168"/>
    </row>
    <row r="27455" spans="2:2" s="221" customFormat="1" ht="12.75" x14ac:dyDescent="0.2">
      <c r="B27455" s="1168"/>
    </row>
    <row r="27456" spans="2:2" s="221" customFormat="1" ht="12.75" x14ac:dyDescent="0.2">
      <c r="B27456" s="1168"/>
    </row>
    <row r="27457" spans="2:2" s="221" customFormat="1" ht="12.75" x14ac:dyDescent="0.2">
      <c r="B27457" s="1168"/>
    </row>
    <row r="27458" spans="2:2" s="221" customFormat="1" ht="12.75" x14ac:dyDescent="0.2">
      <c r="B27458" s="1168"/>
    </row>
    <row r="27459" spans="2:2" s="221" customFormat="1" ht="12.75" x14ac:dyDescent="0.2">
      <c r="B27459" s="1168"/>
    </row>
    <row r="27460" spans="2:2" s="221" customFormat="1" ht="12.75" x14ac:dyDescent="0.2">
      <c r="B27460" s="1168"/>
    </row>
    <row r="27461" spans="2:2" s="221" customFormat="1" ht="12.75" x14ac:dyDescent="0.2">
      <c r="B27461" s="1168"/>
    </row>
    <row r="27462" spans="2:2" s="221" customFormat="1" ht="12.75" x14ac:dyDescent="0.2">
      <c r="B27462" s="1168"/>
    </row>
    <row r="27463" spans="2:2" s="221" customFormat="1" ht="12.75" x14ac:dyDescent="0.2">
      <c r="B27463" s="1168"/>
    </row>
    <row r="27464" spans="2:2" s="221" customFormat="1" ht="12.75" x14ac:dyDescent="0.2">
      <c r="B27464" s="1168"/>
    </row>
    <row r="27465" spans="2:2" s="221" customFormat="1" ht="12.75" x14ac:dyDescent="0.2">
      <c r="B27465" s="1168"/>
    </row>
    <row r="27466" spans="2:2" s="221" customFormat="1" ht="12.75" x14ac:dyDescent="0.2">
      <c r="B27466" s="1168"/>
    </row>
    <row r="27467" spans="2:2" s="221" customFormat="1" ht="12.75" x14ac:dyDescent="0.2">
      <c r="B27467" s="1168"/>
    </row>
    <row r="27468" spans="2:2" s="221" customFormat="1" ht="12.75" x14ac:dyDescent="0.2">
      <c r="B27468" s="1168"/>
    </row>
    <row r="27469" spans="2:2" s="221" customFormat="1" ht="12.75" x14ac:dyDescent="0.2">
      <c r="B27469" s="1168"/>
    </row>
    <row r="27470" spans="2:2" s="221" customFormat="1" ht="12.75" x14ac:dyDescent="0.2">
      <c r="B27470" s="1168"/>
    </row>
    <row r="27471" spans="2:2" s="221" customFormat="1" ht="12.75" x14ac:dyDescent="0.2">
      <c r="B27471" s="1168"/>
    </row>
    <row r="27472" spans="2:2" s="221" customFormat="1" ht="12.75" x14ac:dyDescent="0.2">
      <c r="B27472" s="1168"/>
    </row>
    <row r="27473" spans="2:2" s="221" customFormat="1" ht="12.75" x14ac:dyDescent="0.2">
      <c r="B27473" s="1168"/>
    </row>
    <row r="27474" spans="2:2" s="221" customFormat="1" ht="12.75" x14ac:dyDescent="0.2">
      <c r="B27474" s="1168"/>
    </row>
    <row r="27475" spans="2:2" s="221" customFormat="1" ht="12.75" x14ac:dyDescent="0.2">
      <c r="B27475" s="1168"/>
    </row>
    <row r="27476" spans="2:2" s="221" customFormat="1" ht="12.75" x14ac:dyDescent="0.2">
      <c r="B27476" s="1168"/>
    </row>
    <row r="27477" spans="2:2" s="221" customFormat="1" ht="12.75" x14ac:dyDescent="0.2">
      <c r="B27477" s="1168"/>
    </row>
    <row r="27478" spans="2:2" s="221" customFormat="1" ht="12.75" x14ac:dyDescent="0.2">
      <c r="B27478" s="1168"/>
    </row>
    <row r="27479" spans="2:2" s="221" customFormat="1" ht="12.75" x14ac:dyDescent="0.2">
      <c r="B27479" s="1168"/>
    </row>
    <row r="27480" spans="2:2" s="221" customFormat="1" ht="12.75" x14ac:dyDescent="0.2">
      <c r="B27480" s="1168"/>
    </row>
    <row r="27481" spans="2:2" s="221" customFormat="1" ht="12.75" x14ac:dyDescent="0.2">
      <c r="B27481" s="1168"/>
    </row>
    <row r="27482" spans="2:2" s="221" customFormat="1" ht="12.75" x14ac:dyDescent="0.2">
      <c r="B27482" s="1168"/>
    </row>
    <row r="27483" spans="2:2" s="221" customFormat="1" ht="12.75" x14ac:dyDescent="0.2">
      <c r="B27483" s="1168"/>
    </row>
    <row r="27484" spans="2:2" s="221" customFormat="1" ht="12.75" x14ac:dyDescent="0.2">
      <c r="B27484" s="1168"/>
    </row>
    <row r="27485" spans="2:2" s="221" customFormat="1" ht="12.75" x14ac:dyDescent="0.2">
      <c r="B27485" s="1168"/>
    </row>
    <row r="27486" spans="2:2" s="221" customFormat="1" ht="12.75" x14ac:dyDescent="0.2">
      <c r="B27486" s="1168"/>
    </row>
    <row r="27487" spans="2:2" s="221" customFormat="1" ht="12.75" x14ac:dyDescent="0.2">
      <c r="B27487" s="1168"/>
    </row>
    <row r="27488" spans="2:2" s="221" customFormat="1" ht="12.75" x14ac:dyDescent="0.2">
      <c r="B27488" s="1168"/>
    </row>
    <row r="27489" spans="2:2" s="221" customFormat="1" ht="12.75" x14ac:dyDescent="0.2">
      <c r="B27489" s="1168"/>
    </row>
    <row r="27490" spans="2:2" s="221" customFormat="1" ht="12.75" x14ac:dyDescent="0.2">
      <c r="B27490" s="1168"/>
    </row>
    <row r="27491" spans="2:2" s="221" customFormat="1" ht="12.75" x14ac:dyDescent="0.2">
      <c r="B27491" s="1168"/>
    </row>
    <row r="27492" spans="2:2" s="221" customFormat="1" ht="12.75" x14ac:dyDescent="0.2">
      <c r="B27492" s="1168"/>
    </row>
    <row r="27493" spans="2:2" s="221" customFormat="1" ht="12.75" x14ac:dyDescent="0.2">
      <c r="B27493" s="1168"/>
    </row>
    <row r="27494" spans="2:2" s="221" customFormat="1" ht="12.75" x14ac:dyDescent="0.2">
      <c r="B27494" s="1168"/>
    </row>
    <row r="27495" spans="2:2" s="221" customFormat="1" ht="12.75" x14ac:dyDescent="0.2">
      <c r="B27495" s="1168"/>
    </row>
    <row r="27496" spans="2:2" s="221" customFormat="1" ht="12.75" x14ac:dyDescent="0.2">
      <c r="B27496" s="1168"/>
    </row>
    <row r="27497" spans="2:2" s="221" customFormat="1" ht="12.75" x14ac:dyDescent="0.2">
      <c r="B27497" s="1168"/>
    </row>
    <row r="27498" spans="2:2" s="221" customFormat="1" ht="12.75" x14ac:dyDescent="0.2">
      <c r="B27498" s="1168"/>
    </row>
    <row r="27499" spans="2:2" s="221" customFormat="1" ht="12.75" x14ac:dyDescent="0.2">
      <c r="B27499" s="1168"/>
    </row>
    <row r="27500" spans="2:2" s="221" customFormat="1" ht="12.75" x14ac:dyDescent="0.2">
      <c r="B27500" s="1168"/>
    </row>
    <row r="27501" spans="2:2" s="221" customFormat="1" ht="12.75" x14ac:dyDescent="0.2">
      <c r="B27501" s="1168"/>
    </row>
    <row r="27502" spans="2:2" s="221" customFormat="1" ht="12.75" x14ac:dyDescent="0.2">
      <c r="B27502" s="1168"/>
    </row>
    <row r="27503" spans="2:2" s="221" customFormat="1" ht="12.75" x14ac:dyDescent="0.2">
      <c r="B27503" s="1168"/>
    </row>
    <row r="27504" spans="2:2" s="221" customFormat="1" ht="12.75" x14ac:dyDescent="0.2">
      <c r="B27504" s="1168"/>
    </row>
    <row r="27505" spans="2:2" s="221" customFormat="1" ht="12.75" x14ac:dyDescent="0.2">
      <c r="B27505" s="1168"/>
    </row>
    <row r="27506" spans="2:2" s="221" customFormat="1" ht="12.75" x14ac:dyDescent="0.2">
      <c r="B27506" s="1168"/>
    </row>
    <row r="27507" spans="2:2" s="221" customFormat="1" ht="12.75" x14ac:dyDescent="0.2">
      <c r="B27507" s="1168"/>
    </row>
    <row r="27508" spans="2:2" s="221" customFormat="1" ht="12.75" x14ac:dyDescent="0.2">
      <c r="B27508" s="1168"/>
    </row>
    <row r="27509" spans="2:2" s="221" customFormat="1" ht="12.75" x14ac:dyDescent="0.2">
      <c r="B27509" s="1168"/>
    </row>
    <row r="27510" spans="2:2" s="221" customFormat="1" ht="12.75" x14ac:dyDescent="0.2">
      <c r="B27510" s="1168"/>
    </row>
    <row r="27511" spans="2:2" s="221" customFormat="1" ht="12.75" x14ac:dyDescent="0.2">
      <c r="B27511" s="1168"/>
    </row>
    <row r="27512" spans="2:2" s="221" customFormat="1" ht="12.75" x14ac:dyDescent="0.2">
      <c r="B27512" s="1168"/>
    </row>
    <row r="27513" spans="2:2" s="221" customFormat="1" ht="12.75" x14ac:dyDescent="0.2">
      <c r="B27513" s="1168"/>
    </row>
    <row r="27514" spans="2:2" s="221" customFormat="1" ht="12.75" x14ac:dyDescent="0.2">
      <c r="B27514" s="1168"/>
    </row>
    <row r="27515" spans="2:2" s="221" customFormat="1" ht="12.75" x14ac:dyDescent="0.2">
      <c r="B27515" s="1168"/>
    </row>
    <row r="27516" spans="2:2" s="221" customFormat="1" ht="12.75" x14ac:dyDescent="0.2">
      <c r="B27516" s="1168"/>
    </row>
    <row r="27517" spans="2:2" s="221" customFormat="1" ht="12.75" x14ac:dyDescent="0.2">
      <c r="B27517" s="1168"/>
    </row>
    <row r="27518" spans="2:2" s="221" customFormat="1" ht="12.75" x14ac:dyDescent="0.2">
      <c r="B27518" s="1168"/>
    </row>
    <row r="27519" spans="2:2" s="221" customFormat="1" ht="12.75" x14ac:dyDescent="0.2">
      <c r="B27519" s="1168"/>
    </row>
    <row r="27520" spans="2:2" s="221" customFormat="1" ht="12.75" x14ac:dyDescent="0.2">
      <c r="B27520" s="1168"/>
    </row>
    <row r="27521" spans="2:2" s="221" customFormat="1" ht="12.75" x14ac:dyDescent="0.2">
      <c r="B27521" s="1168"/>
    </row>
    <row r="27522" spans="2:2" s="221" customFormat="1" ht="12.75" x14ac:dyDescent="0.2">
      <c r="B27522" s="1168"/>
    </row>
    <row r="27523" spans="2:2" s="221" customFormat="1" ht="12.75" x14ac:dyDescent="0.2">
      <c r="B27523" s="1168"/>
    </row>
    <row r="27524" spans="2:2" s="221" customFormat="1" ht="12.75" x14ac:dyDescent="0.2">
      <c r="B27524" s="1168"/>
    </row>
    <row r="27525" spans="2:2" s="221" customFormat="1" ht="12.75" x14ac:dyDescent="0.2">
      <c r="B27525" s="1168"/>
    </row>
    <row r="27526" spans="2:2" s="221" customFormat="1" ht="12.75" x14ac:dyDescent="0.2">
      <c r="B27526" s="1168"/>
    </row>
    <row r="27527" spans="2:2" s="221" customFormat="1" ht="12.75" x14ac:dyDescent="0.2">
      <c r="B27527" s="1168"/>
    </row>
    <row r="27528" spans="2:2" s="221" customFormat="1" ht="12.75" x14ac:dyDescent="0.2">
      <c r="B27528" s="1168"/>
    </row>
    <row r="27529" spans="2:2" s="221" customFormat="1" ht="12.75" x14ac:dyDescent="0.2">
      <c r="B27529" s="1168"/>
    </row>
    <row r="27530" spans="2:2" s="221" customFormat="1" ht="12.75" x14ac:dyDescent="0.2">
      <c r="B27530" s="1168"/>
    </row>
    <row r="27531" spans="2:2" s="221" customFormat="1" ht="12.75" x14ac:dyDescent="0.2">
      <c r="B27531" s="1168"/>
    </row>
    <row r="27532" spans="2:2" s="221" customFormat="1" ht="12.75" x14ac:dyDescent="0.2">
      <c r="B27532" s="1168"/>
    </row>
    <row r="27533" spans="2:2" s="221" customFormat="1" ht="12.75" x14ac:dyDescent="0.2">
      <c r="B27533" s="1168"/>
    </row>
    <row r="27534" spans="2:2" s="221" customFormat="1" ht="12.75" x14ac:dyDescent="0.2">
      <c r="B27534" s="1168"/>
    </row>
    <row r="27535" spans="2:2" s="221" customFormat="1" ht="12.75" x14ac:dyDescent="0.2">
      <c r="B27535" s="1168"/>
    </row>
    <row r="27536" spans="2:2" s="221" customFormat="1" ht="12.75" x14ac:dyDescent="0.2">
      <c r="B27536" s="1168"/>
    </row>
    <row r="27537" spans="2:2" s="221" customFormat="1" ht="12.75" x14ac:dyDescent="0.2">
      <c r="B27537" s="1168"/>
    </row>
    <row r="27538" spans="2:2" s="221" customFormat="1" ht="12.75" x14ac:dyDescent="0.2">
      <c r="B27538" s="1168"/>
    </row>
    <row r="27539" spans="2:2" s="221" customFormat="1" ht="12.75" x14ac:dyDescent="0.2">
      <c r="B27539" s="1168"/>
    </row>
    <row r="27540" spans="2:2" s="221" customFormat="1" ht="12.75" x14ac:dyDescent="0.2">
      <c r="B27540" s="1168"/>
    </row>
    <row r="27541" spans="2:2" s="221" customFormat="1" ht="12.75" x14ac:dyDescent="0.2">
      <c r="B27541" s="1168"/>
    </row>
    <row r="27542" spans="2:2" s="221" customFormat="1" ht="12.75" x14ac:dyDescent="0.2">
      <c r="B27542" s="1168"/>
    </row>
    <row r="27543" spans="2:2" s="221" customFormat="1" ht="12.75" x14ac:dyDescent="0.2">
      <c r="B27543" s="1168"/>
    </row>
    <row r="27544" spans="2:2" s="221" customFormat="1" ht="12.75" x14ac:dyDescent="0.2">
      <c r="B27544" s="1168"/>
    </row>
    <row r="27545" spans="2:2" s="221" customFormat="1" ht="12.75" x14ac:dyDescent="0.2">
      <c r="B27545" s="1168"/>
    </row>
    <row r="27546" spans="2:2" s="221" customFormat="1" ht="12.75" x14ac:dyDescent="0.2">
      <c r="B27546" s="1168"/>
    </row>
    <row r="27547" spans="2:2" s="221" customFormat="1" ht="12.75" x14ac:dyDescent="0.2">
      <c r="B27547" s="1168"/>
    </row>
    <row r="27548" spans="2:2" s="221" customFormat="1" ht="12.75" x14ac:dyDescent="0.2">
      <c r="B27548" s="1168"/>
    </row>
    <row r="27549" spans="2:2" s="221" customFormat="1" ht="12.75" x14ac:dyDescent="0.2">
      <c r="B27549" s="1168"/>
    </row>
    <row r="27550" spans="2:2" s="221" customFormat="1" ht="12.75" x14ac:dyDescent="0.2">
      <c r="B27550" s="1168"/>
    </row>
    <row r="27551" spans="2:2" s="221" customFormat="1" ht="12.75" x14ac:dyDescent="0.2">
      <c r="B27551" s="1168"/>
    </row>
    <row r="27552" spans="2:2" s="221" customFormat="1" ht="12.75" x14ac:dyDescent="0.2">
      <c r="B27552" s="1168"/>
    </row>
    <row r="27553" spans="2:2" s="221" customFormat="1" ht="12.75" x14ac:dyDescent="0.2">
      <c r="B27553" s="1168"/>
    </row>
    <row r="27554" spans="2:2" s="221" customFormat="1" ht="12.75" x14ac:dyDescent="0.2">
      <c r="B27554" s="1168"/>
    </row>
    <row r="27555" spans="2:2" s="221" customFormat="1" ht="12.75" x14ac:dyDescent="0.2">
      <c r="B27555" s="1168"/>
    </row>
    <row r="27556" spans="2:2" s="221" customFormat="1" ht="12.75" x14ac:dyDescent="0.2">
      <c r="B27556" s="1168"/>
    </row>
    <row r="27557" spans="2:2" s="221" customFormat="1" ht="12.75" x14ac:dyDescent="0.2">
      <c r="B27557" s="1168"/>
    </row>
    <row r="27558" spans="2:2" s="221" customFormat="1" ht="12.75" x14ac:dyDescent="0.2">
      <c r="B27558" s="1168"/>
    </row>
    <row r="27559" spans="2:2" s="221" customFormat="1" ht="12.75" x14ac:dyDescent="0.2">
      <c r="B27559" s="1168"/>
    </row>
    <row r="27560" spans="2:2" s="221" customFormat="1" ht="12.75" x14ac:dyDescent="0.2">
      <c r="B27560" s="1168"/>
    </row>
    <row r="27561" spans="2:2" s="221" customFormat="1" ht="12.75" x14ac:dyDescent="0.2">
      <c r="B27561" s="1168"/>
    </row>
    <row r="27562" spans="2:2" s="221" customFormat="1" ht="12.75" x14ac:dyDescent="0.2">
      <c r="B27562" s="1168"/>
    </row>
    <row r="27563" spans="2:2" s="221" customFormat="1" ht="12.75" x14ac:dyDescent="0.2">
      <c r="B27563" s="1168"/>
    </row>
    <row r="27564" spans="2:2" s="221" customFormat="1" ht="12.75" x14ac:dyDescent="0.2">
      <c r="B27564" s="1168"/>
    </row>
    <row r="27565" spans="2:2" s="221" customFormat="1" ht="12.75" x14ac:dyDescent="0.2">
      <c r="B27565" s="1168"/>
    </row>
    <row r="27566" spans="2:2" s="221" customFormat="1" ht="12.75" x14ac:dyDescent="0.2">
      <c r="B27566" s="1168"/>
    </row>
    <row r="27567" spans="2:2" s="221" customFormat="1" ht="12.75" x14ac:dyDescent="0.2">
      <c r="B27567" s="1168"/>
    </row>
    <row r="27568" spans="2:2" s="221" customFormat="1" ht="12.75" x14ac:dyDescent="0.2">
      <c r="B27568" s="1168"/>
    </row>
    <row r="27569" spans="2:2" s="221" customFormat="1" ht="12.75" x14ac:dyDescent="0.2">
      <c r="B27569" s="1168"/>
    </row>
    <row r="27570" spans="2:2" s="221" customFormat="1" ht="12.75" x14ac:dyDescent="0.2">
      <c r="B27570" s="1168"/>
    </row>
    <row r="27571" spans="2:2" s="221" customFormat="1" ht="12.75" x14ac:dyDescent="0.2">
      <c r="B27571" s="1168"/>
    </row>
    <row r="27572" spans="2:2" s="221" customFormat="1" ht="12.75" x14ac:dyDescent="0.2">
      <c r="B27572" s="1168"/>
    </row>
    <row r="27573" spans="2:2" s="221" customFormat="1" ht="12.75" x14ac:dyDescent="0.2">
      <c r="B27573" s="1168"/>
    </row>
    <row r="27574" spans="2:2" s="221" customFormat="1" ht="12.75" x14ac:dyDescent="0.2">
      <c r="B27574" s="1168"/>
    </row>
    <row r="27575" spans="2:2" s="221" customFormat="1" ht="12.75" x14ac:dyDescent="0.2">
      <c r="B27575" s="1168"/>
    </row>
    <row r="27576" spans="2:2" s="221" customFormat="1" ht="12.75" x14ac:dyDescent="0.2">
      <c r="B27576" s="1168"/>
    </row>
    <row r="27577" spans="2:2" s="221" customFormat="1" ht="12.75" x14ac:dyDescent="0.2">
      <c r="B27577" s="1168"/>
    </row>
    <row r="27578" spans="2:2" s="221" customFormat="1" ht="12.75" x14ac:dyDescent="0.2">
      <c r="B27578" s="1168"/>
    </row>
    <row r="27579" spans="2:2" s="221" customFormat="1" ht="12.75" x14ac:dyDescent="0.2">
      <c r="B27579" s="1168"/>
    </row>
    <row r="27580" spans="2:2" s="221" customFormat="1" ht="12.75" x14ac:dyDescent="0.2">
      <c r="B27580" s="1168"/>
    </row>
    <row r="27581" spans="2:2" s="221" customFormat="1" ht="12.75" x14ac:dyDescent="0.2">
      <c r="B27581" s="1168"/>
    </row>
    <row r="27582" spans="2:2" s="221" customFormat="1" ht="12.75" x14ac:dyDescent="0.2">
      <c r="B27582" s="1168"/>
    </row>
    <row r="27583" spans="2:2" s="221" customFormat="1" ht="12.75" x14ac:dyDescent="0.2">
      <c r="B27583" s="1168"/>
    </row>
    <row r="27584" spans="2:2" s="221" customFormat="1" ht="12.75" x14ac:dyDescent="0.2">
      <c r="B27584" s="1168"/>
    </row>
    <row r="27585" spans="2:2" s="221" customFormat="1" ht="12.75" x14ac:dyDescent="0.2">
      <c r="B27585" s="1168"/>
    </row>
    <row r="27586" spans="2:2" s="221" customFormat="1" ht="12.75" x14ac:dyDescent="0.2">
      <c r="B27586" s="1168"/>
    </row>
    <row r="27587" spans="2:2" s="221" customFormat="1" ht="12.75" x14ac:dyDescent="0.2">
      <c r="B27587" s="1168"/>
    </row>
    <row r="27588" spans="2:2" s="221" customFormat="1" ht="12.75" x14ac:dyDescent="0.2">
      <c r="B27588" s="1168"/>
    </row>
    <row r="27589" spans="2:2" s="221" customFormat="1" ht="12.75" x14ac:dyDescent="0.2">
      <c r="B27589" s="1168"/>
    </row>
    <row r="27590" spans="2:2" s="221" customFormat="1" ht="12.75" x14ac:dyDescent="0.2">
      <c r="B27590" s="1168"/>
    </row>
    <row r="27591" spans="2:2" s="221" customFormat="1" ht="12.75" x14ac:dyDescent="0.2">
      <c r="B27591" s="1168"/>
    </row>
    <row r="27592" spans="2:2" s="221" customFormat="1" ht="12.75" x14ac:dyDescent="0.2">
      <c r="B27592" s="1168"/>
    </row>
    <row r="27593" spans="2:2" s="221" customFormat="1" ht="12.75" x14ac:dyDescent="0.2">
      <c r="B27593" s="1168"/>
    </row>
    <row r="27594" spans="2:2" s="221" customFormat="1" ht="12.75" x14ac:dyDescent="0.2">
      <c r="B27594" s="1168"/>
    </row>
    <row r="27595" spans="2:2" s="221" customFormat="1" ht="12.75" x14ac:dyDescent="0.2">
      <c r="B27595" s="1168"/>
    </row>
    <row r="27596" spans="2:2" s="221" customFormat="1" ht="12.75" x14ac:dyDescent="0.2">
      <c r="B27596" s="1168"/>
    </row>
    <row r="27597" spans="2:2" s="221" customFormat="1" ht="12.75" x14ac:dyDescent="0.2">
      <c r="B27597" s="1168"/>
    </row>
    <row r="27598" spans="2:2" s="221" customFormat="1" ht="12.75" x14ac:dyDescent="0.2">
      <c r="B27598" s="1168"/>
    </row>
    <row r="27599" spans="2:2" s="221" customFormat="1" ht="12.75" x14ac:dyDescent="0.2">
      <c r="B27599" s="1168"/>
    </row>
    <row r="27600" spans="2:2" s="221" customFormat="1" ht="12.75" x14ac:dyDescent="0.2">
      <c r="B27600" s="1168"/>
    </row>
    <row r="27601" spans="2:2" s="221" customFormat="1" ht="12.75" x14ac:dyDescent="0.2">
      <c r="B27601" s="1168"/>
    </row>
    <row r="27602" spans="2:2" s="221" customFormat="1" ht="12.75" x14ac:dyDescent="0.2">
      <c r="B27602" s="1168"/>
    </row>
    <row r="27603" spans="2:2" s="221" customFormat="1" ht="12.75" x14ac:dyDescent="0.2">
      <c r="B27603" s="1168"/>
    </row>
    <row r="27604" spans="2:2" s="221" customFormat="1" ht="12.75" x14ac:dyDescent="0.2">
      <c r="B27604" s="1168"/>
    </row>
    <row r="27605" spans="2:2" s="221" customFormat="1" ht="12.75" x14ac:dyDescent="0.2">
      <c r="B27605" s="1168"/>
    </row>
    <row r="27606" spans="2:2" s="221" customFormat="1" ht="12.75" x14ac:dyDescent="0.2">
      <c r="B27606" s="1168"/>
    </row>
    <row r="27607" spans="2:2" s="221" customFormat="1" ht="12.75" x14ac:dyDescent="0.2">
      <c r="B27607" s="1168"/>
    </row>
    <row r="27608" spans="2:2" s="221" customFormat="1" ht="12.75" x14ac:dyDescent="0.2">
      <c r="B27608" s="1168"/>
    </row>
    <row r="27609" spans="2:2" s="221" customFormat="1" ht="12.75" x14ac:dyDescent="0.2">
      <c r="B27609" s="1168"/>
    </row>
    <row r="27610" spans="2:2" s="221" customFormat="1" ht="12.75" x14ac:dyDescent="0.2">
      <c r="B27610" s="1168"/>
    </row>
    <row r="27611" spans="2:2" s="221" customFormat="1" ht="12.75" x14ac:dyDescent="0.2">
      <c r="B27611" s="1168"/>
    </row>
    <row r="27612" spans="2:2" s="221" customFormat="1" ht="12.75" x14ac:dyDescent="0.2">
      <c r="B27612" s="1168"/>
    </row>
    <row r="27613" spans="2:2" s="221" customFormat="1" ht="12.75" x14ac:dyDescent="0.2">
      <c r="B27613" s="1168"/>
    </row>
    <row r="27614" spans="2:2" s="221" customFormat="1" ht="12.75" x14ac:dyDescent="0.2">
      <c r="B27614" s="1168"/>
    </row>
    <row r="27615" spans="2:2" s="221" customFormat="1" ht="12.75" x14ac:dyDescent="0.2">
      <c r="B27615" s="1168"/>
    </row>
    <row r="27616" spans="2:2" s="221" customFormat="1" ht="12.75" x14ac:dyDescent="0.2">
      <c r="B27616" s="1168"/>
    </row>
    <row r="27617" spans="2:2" s="221" customFormat="1" ht="12.75" x14ac:dyDescent="0.2">
      <c r="B27617" s="1168"/>
    </row>
    <row r="27618" spans="2:2" s="221" customFormat="1" ht="12.75" x14ac:dyDescent="0.2">
      <c r="B27618" s="1168"/>
    </row>
    <row r="27619" spans="2:2" s="221" customFormat="1" ht="12.75" x14ac:dyDescent="0.2">
      <c r="B27619" s="1168"/>
    </row>
    <row r="27620" spans="2:2" s="221" customFormat="1" ht="12.75" x14ac:dyDescent="0.2">
      <c r="B27620" s="1168"/>
    </row>
    <row r="27621" spans="2:2" s="221" customFormat="1" ht="12.75" x14ac:dyDescent="0.2">
      <c r="B27621" s="1168"/>
    </row>
    <row r="27622" spans="2:2" s="221" customFormat="1" ht="12.75" x14ac:dyDescent="0.2">
      <c r="B27622" s="1168"/>
    </row>
    <row r="27623" spans="2:2" s="221" customFormat="1" ht="12.75" x14ac:dyDescent="0.2">
      <c r="B27623" s="1168"/>
    </row>
    <row r="27624" spans="2:2" s="221" customFormat="1" ht="12.75" x14ac:dyDescent="0.2">
      <c r="B27624" s="1168"/>
    </row>
    <row r="27625" spans="2:2" s="221" customFormat="1" ht="12.75" x14ac:dyDescent="0.2">
      <c r="B27625" s="1168"/>
    </row>
    <row r="27626" spans="2:2" s="221" customFormat="1" ht="12.75" x14ac:dyDescent="0.2">
      <c r="B27626" s="1168"/>
    </row>
    <row r="27627" spans="2:2" s="221" customFormat="1" ht="12.75" x14ac:dyDescent="0.2">
      <c r="B27627" s="1168"/>
    </row>
    <row r="27628" spans="2:2" s="221" customFormat="1" ht="12.75" x14ac:dyDescent="0.2">
      <c r="B27628" s="1168"/>
    </row>
    <row r="27629" spans="2:2" s="221" customFormat="1" ht="12.75" x14ac:dyDescent="0.2">
      <c r="B27629" s="1168"/>
    </row>
    <row r="27630" spans="2:2" s="221" customFormat="1" ht="12.75" x14ac:dyDescent="0.2">
      <c r="B27630" s="1168"/>
    </row>
    <row r="27631" spans="2:2" s="221" customFormat="1" ht="12.75" x14ac:dyDescent="0.2">
      <c r="B27631" s="1168"/>
    </row>
    <row r="27632" spans="2:2" s="221" customFormat="1" ht="12.75" x14ac:dyDescent="0.2">
      <c r="B27632" s="1168"/>
    </row>
    <row r="27633" spans="2:2" s="221" customFormat="1" ht="12.75" x14ac:dyDescent="0.2">
      <c r="B27633" s="1168"/>
    </row>
    <row r="27634" spans="2:2" s="221" customFormat="1" ht="12.75" x14ac:dyDescent="0.2">
      <c r="B27634" s="1168"/>
    </row>
    <row r="27635" spans="2:2" s="221" customFormat="1" ht="12.75" x14ac:dyDescent="0.2">
      <c r="B27635" s="1168"/>
    </row>
    <row r="27636" spans="2:2" s="221" customFormat="1" ht="12.75" x14ac:dyDescent="0.2">
      <c r="B27636" s="1168"/>
    </row>
    <row r="27637" spans="2:2" s="221" customFormat="1" ht="12.75" x14ac:dyDescent="0.2">
      <c r="B27637" s="1168"/>
    </row>
    <row r="27638" spans="2:2" s="221" customFormat="1" ht="12.75" x14ac:dyDescent="0.2">
      <c r="B27638" s="1168"/>
    </row>
    <row r="27639" spans="2:2" s="221" customFormat="1" ht="12.75" x14ac:dyDescent="0.2">
      <c r="B27639" s="1168"/>
    </row>
    <row r="27640" spans="2:2" s="221" customFormat="1" ht="12.75" x14ac:dyDescent="0.2">
      <c r="B27640" s="1168"/>
    </row>
    <row r="27641" spans="2:2" s="221" customFormat="1" ht="12.75" x14ac:dyDescent="0.2">
      <c r="B27641" s="1168"/>
    </row>
    <row r="27642" spans="2:2" s="221" customFormat="1" ht="12.75" x14ac:dyDescent="0.2">
      <c r="B27642" s="1168"/>
    </row>
    <row r="27643" spans="2:2" s="221" customFormat="1" ht="12.75" x14ac:dyDescent="0.2">
      <c r="B27643" s="1168"/>
    </row>
    <row r="27644" spans="2:2" s="221" customFormat="1" ht="12.75" x14ac:dyDescent="0.2">
      <c r="B27644" s="1168"/>
    </row>
    <row r="27645" spans="2:2" s="221" customFormat="1" ht="12.75" x14ac:dyDescent="0.2">
      <c r="B27645" s="1168"/>
    </row>
    <row r="27646" spans="2:2" s="221" customFormat="1" ht="12.75" x14ac:dyDescent="0.2">
      <c r="B27646" s="1168"/>
    </row>
    <row r="27647" spans="2:2" s="221" customFormat="1" ht="12.75" x14ac:dyDescent="0.2">
      <c r="B27647" s="1168"/>
    </row>
    <row r="27648" spans="2:2" s="221" customFormat="1" ht="12.75" x14ac:dyDescent="0.2">
      <c r="B27648" s="1168"/>
    </row>
    <row r="27649" spans="2:2" s="221" customFormat="1" ht="12.75" x14ac:dyDescent="0.2">
      <c r="B27649" s="1168"/>
    </row>
    <row r="27650" spans="2:2" s="221" customFormat="1" ht="12.75" x14ac:dyDescent="0.2">
      <c r="B27650" s="1168"/>
    </row>
    <row r="27651" spans="2:2" s="221" customFormat="1" ht="12.75" x14ac:dyDescent="0.2">
      <c r="B27651" s="1168"/>
    </row>
    <row r="27652" spans="2:2" s="221" customFormat="1" ht="12.75" x14ac:dyDescent="0.2">
      <c r="B27652" s="1168"/>
    </row>
    <row r="27653" spans="2:2" s="221" customFormat="1" ht="12.75" x14ac:dyDescent="0.2">
      <c r="B27653" s="1168"/>
    </row>
    <row r="27654" spans="2:2" s="221" customFormat="1" ht="12.75" x14ac:dyDescent="0.2">
      <c r="B27654" s="1168"/>
    </row>
    <row r="27655" spans="2:2" s="221" customFormat="1" ht="12.75" x14ac:dyDescent="0.2">
      <c r="B27655" s="1168"/>
    </row>
    <row r="27656" spans="2:2" s="221" customFormat="1" ht="12.75" x14ac:dyDescent="0.2">
      <c r="B27656" s="1168"/>
    </row>
    <row r="27657" spans="2:2" s="221" customFormat="1" ht="12.75" x14ac:dyDescent="0.2">
      <c r="B27657" s="1168"/>
    </row>
    <row r="27658" spans="2:2" s="221" customFormat="1" ht="12.75" x14ac:dyDescent="0.2">
      <c r="B27658" s="1168"/>
    </row>
    <row r="27659" spans="2:2" s="221" customFormat="1" ht="12.75" x14ac:dyDescent="0.2">
      <c r="B27659" s="1168"/>
    </row>
    <row r="27660" spans="2:2" s="221" customFormat="1" ht="12.75" x14ac:dyDescent="0.2">
      <c r="B27660" s="1168"/>
    </row>
    <row r="27661" spans="2:2" s="221" customFormat="1" ht="12.75" x14ac:dyDescent="0.2">
      <c r="B27661" s="1168"/>
    </row>
    <row r="27662" spans="2:2" s="221" customFormat="1" ht="12.75" x14ac:dyDescent="0.2">
      <c r="B27662" s="1168"/>
    </row>
    <row r="27663" spans="2:2" s="221" customFormat="1" ht="12.75" x14ac:dyDescent="0.2">
      <c r="B27663" s="1168"/>
    </row>
    <row r="27664" spans="2:2" s="221" customFormat="1" ht="12.75" x14ac:dyDescent="0.2">
      <c r="B27664" s="1168"/>
    </row>
    <row r="27665" spans="2:2" s="221" customFormat="1" ht="12.75" x14ac:dyDescent="0.2">
      <c r="B27665" s="1168"/>
    </row>
    <row r="27666" spans="2:2" s="221" customFormat="1" ht="12.75" x14ac:dyDescent="0.2">
      <c r="B27666" s="1168"/>
    </row>
    <row r="27667" spans="2:2" s="221" customFormat="1" ht="12.75" x14ac:dyDescent="0.2">
      <c r="B27667" s="1168"/>
    </row>
    <row r="27668" spans="2:2" s="221" customFormat="1" ht="12.75" x14ac:dyDescent="0.2">
      <c r="B27668" s="1168"/>
    </row>
    <row r="27669" spans="2:2" s="221" customFormat="1" ht="12.75" x14ac:dyDescent="0.2">
      <c r="B27669" s="1168"/>
    </row>
    <row r="27670" spans="2:2" s="221" customFormat="1" ht="12.75" x14ac:dyDescent="0.2">
      <c r="B27670" s="1168"/>
    </row>
    <row r="27671" spans="2:2" s="221" customFormat="1" ht="12.75" x14ac:dyDescent="0.2">
      <c r="B27671" s="1168"/>
    </row>
    <row r="27672" spans="2:2" s="221" customFormat="1" ht="12.75" x14ac:dyDescent="0.2">
      <c r="B27672" s="1168"/>
    </row>
    <row r="27673" spans="2:2" s="221" customFormat="1" ht="12.75" x14ac:dyDescent="0.2">
      <c r="B27673" s="1168"/>
    </row>
    <row r="27674" spans="2:2" s="221" customFormat="1" ht="12.75" x14ac:dyDescent="0.2">
      <c r="B27674" s="1168"/>
    </row>
    <row r="27675" spans="2:2" s="221" customFormat="1" ht="12.75" x14ac:dyDescent="0.2">
      <c r="B27675" s="1168"/>
    </row>
    <row r="27676" spans="2:2" s="221" customFormat="1" ht="12.75" x14ac:dyDescent="0.2">
      <c r="B27676" s="1168"/>
    </row>
    <row r="27677" spans="2:2" s="221" customFormat="1" ht="12.75" x14ac:dyDescent="0.2">
      <c r="B27677" s="1168"/>
    </row>
    <row r="27678" spans="2:2" s="221" customFormat="1" ht="12.75" x14ac:dyDescent="0.2">
      <c r="B27678" s="1168"/>
    </row>
    <row r="27679" spans="2:2" s="221" customFormat="1" ht="12.75" x14ac:dyDescent="0.2">
      <c r="B27679" s="1168"/>
    </row>
    <row r="27680" spans="2:2" s="221" customFormat="1" ht="12.75" x14ac:dyDescent="0.2">
      <c r="B27680" s="1168"/>
    </row>
    <row r="27681" spans="2:2" s="221" customFormat="1" ht="12.75" x14ac:dyDescent="0.2">
      <c r="B27681" s="1168"/>
    </row>
    <row r="27682" spans="2:2" s="221" customFormat="1" ht="12.75" x14ac:dyDescent="0.2">
      <c r="B27682" s="1168"/>
    </row>
    <row r="27683" spans="2:2" s="221" customFormat="1" ht="12.75" x14ac:dyDescent="0.2">
      <c r="B27683" s="1168"/>
    </row>
    <row r="27684" spans="2:2" s="221" customFormat="1" ht="12.75" x14ac:dyDescent="0.2">
      <c r="B27684" s="1168"/>
    </row>
    <row r="27685" spans="2:2" s="221" customFormat="1" ht="12.75" x14ac:dyDescent="0.2">
      <c r="B27685" s="1168"/>
    </row>
    <row r="27686" spans="2:2" s="221" customFormat="1" ht="12.75" x14ac:dyDescent="0.2">
      <c r="B27686" s="1168"/>
    </row>
    <row r="27687" spans="2:2" s="221" customFormat="1" ht="12.75" x14ac:dyDescent="0.2">
      <c r="B27687" s="1168"/>
    </row>
    <row r="27688" spans="2:2" s="221" customFormat="1" ht="12.75" x14ac:dyDescent="0.2">
      <c r="B27688" s="1168"/>
    </row>
    <row r="27689" spans="2:2" s="221" customFormat="1" ht="12.75" x14ac:dyDescent="0.2">
      <c r="B27689" s="1168"/>
    </row>
    <row r="27690" spans="2:2" s="221" customFormat="1" ht="12.75" x14ac:dyDescent="0.2">
      <c r="B27690" s="1168"/>
    </row>
    <row r="27691" spans="2:2" s="221" customFormat="1" ht="12.75" x14ac:dyDescent="0.2">
      <c r="B27691" s="1168"/>
    </row>
    <row r="27692" spans="2:2" s="221" customFormat="1" ht="12.75" x14ac:dyDescent="0.2">
      <c r="B27692" s="1168"/>
    </row>
    <row r="27693" spans="2:2" s="221" customFormat="1" ht="12.75" x14ac:dyDescent="0.2">
      <c r="B27693" s="1168"/>
    </row>
    <row r="27694" spans="2:2" s="221" customFormat="1" ht="12.75" x14ac:dyDescent="0.2">
      <c r="B27694" s="1168"/>
    </row>
    <row r="27695" spans="2:2" s="221" customFormat="1" ht="12.75" x14ac:dyDescent="0.2">
      <c r="B27695" s="1168"/>
    </row>
    <row r="27696" spans="2:2" s="221" customFormat="1" ht="12.75" x14ac:dyDescent="0.2">
      <c r="B27696" s="1168"/>
    </row>
    <row r="27697" spans="2:2" s="221" customFormat="1" ht="12.75" x14ac:dyDescent="0.2">
      <c r="B27697" s="1168"/>
    </row>
    <row r="27698" spans="2:2" s="221" customFormat="1" ht="12.75" x14ac:dyDescent="0.2">
      <c r="B27698" s="1168"/>
    </row>
    <row r="27699" spans="2:2" s="221" customFormat="1" ht="12.75" x14ac:dyDescent="0.2">
      <c r="B27699" s="1168"/>
    </row>
    <row r="27700" spans="2:2" s="221" customFormat="1" ht="12.75" x14ac:dyDescent="0.2">
      <c r="B27700" s="1168"/>
    </row>
    <row r="27701" spans="2:2" s="221" customFormat="1" ht="12.75" x14ac:dyDescent="0.2">
      <c r="B27701" s="1168"/>
    </row>
    <row r="27702" spans="2:2" s="221" customFormat="1" ht="12.75" x14ac:dyDescent="0.2">
      <c r="B27702" s="1168"/>
    </row>
    <row r="27703" spans="2:2" s="221" customFormat="1" ht="12.75" x14ac:dyDescent="0.2">
      <c r="B27703" s="1168"/>
    </row>
    <row r="27704" spans="2:2" s="221" customFormat="1" ht="12.75" x14ac:dyDescent="0.2">
      <c r="B27704" s="1168"/>
    </row>
    <row r="27705" spans="2:2" s="221" customFormat="1" ht="12.75" x14ac:dyDescent="0.2">
      <c r="B27705" s="1168"/>
    </row>
    <row r="27706" spans="2:2" s="221" customFormat="1" ht="12.75" x14ac:dyDescent="0.2">
      <c r="B27706" s="1168"/>
    </row>
    <row r="27707" spans="2:2" s="221" customFormat="1" ht="12.75" x14ac:dyDescent="0.2">
      <c r="B27707" s="1168"/>
    </row>
    <row r="27708" spans="2:2" s="221" customFormat="1" ht="12.75" x14ac:dyDescent="0.2">
      <c r="B27708" s="1168"/>
    </row>
    <row r="27709" spans="2:2" s="221" customFormat="1" ht="12.75" x14ac:dyDescent="0.2">
      <c r="B27709" s="1168"/>
    </row>
    <row r="27710" spans="2:2" s="221" customFormat="1" ht="12.75" x14ac:dyDescent="0.2">
      <c r="B27710" s="1168"/>
    </row>
    <row r="27711" spans="2:2" s="221" customFormat="1" ht="12.75" x14ac:dyDescent="0.2">
      <c r="B27711" s="1168"/>
    </row>
    <row r="27712" spans="2:2" s="221" customFormat="1" ht="12.75" x14ac:dyDescent="0.2">
      <c r="B27712" s="1168"/>
    </row>
    <row r="27713" spans="2:2" s="221" customFormat="1" ht="12.75" x14ac:dyDescent="0.2">
      <c r="B27713" s="1168"/>
    </row>
    <row r="27714" spans="2:2" s="221" customFormat="1" ht="12.75" x14ac:dyDescent="0.2">
      <c r="B27714" s="1168"/>
    </row>
    <row r="27715" spans="2:2" s="221" customFormat="1" ht="12.75" x14ac:dyDescent="0.2">
      <c r="B27715" s="1168"/>
    </row>
    <row r="27716" spans="2:2" s="221" customFormat="1" ht="12.75" x14ac:dyDescent="0.2">
      <c r="B27716" s="1168"/>
    </row>
    <row r="27717" spans="2:2" s="221" customFormat="1" ht="12.75" x14ac:dyDescent="0.2">
      <c r="B27717" s="1168"/>
    </row>
    <row r="27718" spans="2:2" s="221" customFormat="1" ht="12.75" x14ac:dyDescent="0.2">
      <c r="B27718" s="1168"/>
    </row>
    <row r="27719" spans="2:2" s="221" customFormat="1" ht="12.75" x14ac:dyDescent="0.2">
      <c r="B27719" s="1168"/>
    </row>
    <row r="27720" spans="2:2" s="221" customFormat="1" ht="12.75" x14ac:dyDescent="0.2">
      <c r="B27720" s="1168"/>
    </row>
    <row r="27721" spans="2:2" s="221" customFormat="1" ht="12.75" x14ac:dyDescent="0.2">
      <c r="B27721" s="1168"/>
    </row>
    <row r="27722" spans="2:2" s="221" customFormat="1" ht="12.75" x14ac:dyDescent="0.2">
      <c r="B27722" s="1168"/>
    </row>
    <row r="27723" spans="2:2" s="221" customFormat="1" ht="12.75" x14ac:dyDescent="0.2">
      <c r="B27723" s="1168"/>
    </row>
    <row r="27724" spans="2:2" s="221" customFormat="1" ht="12.75" x14ac:dyDescent="0.2">
      <c r="B27724" s="1168"/>
    </row>
    <row r="27725" spans="2:2" s="221" customFormat="1" ht="12.75" x14ac:dyDescent="0.2">
      <c r="B27725" s="1168"/>
    </row>
    <row r="27726" spans="2:2" s="221" customFormat="1" ht="12.75" x14ac:dyDescent="0.2">
      <c r="B27726" s="1168"/>
    </row>
    <row r="27727" spans="2:2" s="221" customFormat="1" ht="12.75" x14ac:dyDescent="0.2">
      <c r="B27727" s="1168"/>
    </row>
    <row r="27728" spans="2:2" s="221" customFormat="1" ht="12.75" x14ac:dyDescent="0.2">
      <c r="B27728" s="1168"/>
    </row>
    <row r="27729" spans="2:2" s="221" customFormat="1" ht="12.75" x14ac:dyDescent="0.2">
      <c r="B27729" s="1168"/>
    </row>
    <row r="27730" spans="2:2" s="221" customFormat="1" ht="12.75" x14ac:dyDescent="0.2">
      <c r="B27730" s="1168"/>
    </row>
    <row r="27731" spans="2:2" s="221" customFormat="1" ht="12.75" x14ac:dyDescent="0.2">
      <c r="B27731" s="1168"/>
    </row>
    <row r="27732" spans="2:2" s="221" customFormat="1" ht="12.75" x14ac:dyDescent="0.2">
      <c r="B27732" s="1168"/>
    </row>
    <row r="27733" spans="2:2" s="221" customFormat="1" ht="12.75" x14ac:dyDescent="0.2">
      <c r="B27733" s="1168"/>
    </row>
    <row r="27734" spans="2:2" s="221" customFormat="1" ht="12.75" x14ac:dyDescent="0.2">
      <c r="B27734" s="1168"/>
    </row>
    <row r="27735" spans="2:2" s="221" customFormat="1" ht="12.75" x14ac:dyDescent="0.2">
      <c r="B27735" s="1168"/>
    </row>
    <row r="27736" spans="2:2" s="221" customFormat="1" ht="12.75" x14ac:dyDescent="0.2">
      <c r="B27736" s="1168"/>
    </row>
    <row r="27737" spans="2:2" s="221" customFormat="1" ht="12.75" x14ac:dyDescent="0.2">
      <c r="B27737" s="1168"/>
    </row>
    <row r="27738" spans="2:2" s="221" customFormat="1" ht="12.75" x14ac:dyDescent="0.2">
      <c r="B27738" s="1168"/>
    </row>
    <row r="27739" spans="2:2" s="221" customFormat="1" ht="12.75" x14ac:dyDescent="0.2">
      <c r="B27739" s="1168"/>
    </row>
    <row r="27740" spans="2:2" s="221" customFormat="1" ht="12.75" x14ac:dyDescent="0.2">
      <c r="B27740" s="1168"/>
    </row>
    <row r="27741" spans="2:2" s="221" customFormat="1" ht="12.75" x14ac:dyDescent="0.2">
      <c r="B27741" s="1168"/>
    </row>
    <row r="27742" spans="2:2" s="221" customFormat="1" ht="12.75" x14ac:dyDescent="0.2">
      <c r="B27742" s="1168"/>
    </row>
    <row r="27743" spans="2:2" s="221" customFormat="1" ht="12.75" x14ac:dyDescent="0.2">
      <c r="B27743" s="1168"/>
    </row>
    <row r="27744" spans="2:2" s="221" customFormat="1" ht="12.75" x14ac:dyDescent="0.2">
      <c r="B27744" s="1168"/>
    </row>
    <row r="27745" spans="2:2" s="221" customFormat="1" ht="12.75" x14ac:dyDescent="0.2">
      <c r="B27745" s="1168"/>
    </row>
    <row r="27746" spans="2:2" s="221" customFormat="1" ht="12.75" x14ac:dyDescent="0.2">
      <c r="B27746" s="1168"/>
    </row>
    <row r="27747" spans="2:2" s="221" customFormat="1" ht="12.75" x14ac:dyDescent="0.2">
      <c r="B27747" s="1168"/>
    </row>
    <row r="27748" spans="2:2" s="221" customFormat="1" ht="12.75" x14ac:dyDescent="0.2">
      <c r="B27748" s="1168"/>
    </row>
    <row r="27749" spans="2:2" s="221" customFormat="1" ht="12.75" x14ac:dyDescent="0.2">
      <c r="B27749" s="1168"/>
    </row>
    <row r="27750" spans="2:2" s="221" customFormat="1" ht="12.75" x14ac:dyDescent="0.2">
      <c r="B27750" s="1168"/>
    </row>
    <row r="27751" spans="2:2" s="221" customFormat="1" ht="12.75" x14ac:dyDescent="0.2">
      <c r="B27751" s="1168"/>
    </row>
    <row r="27752" spans="2:2" s="221" customFormat="1" ht="12.75" x14ac:dyDescent="0.2">
      <c r="B27752" s="1168"/>
    </row>
    <row r="27753" spans="2:2" s="221" customFormat="1" ht="12.75" x14ac:dyDescent="0.2">
      <c r="B27753" s="1168"/>
    </row>
    <row r="27754" spans="2:2" s="221" customFormat="1" ht="12.75" x14ac:dyDescent="0.2">
      <c r="B27754" s="1168"/>
    </row>
    <row r="27755" spans="2:2" s="221" customFormat="1" ht="12.75" x14ac:dyDescent="0.2">
      <c r="B27755" s="1168"/>
    </row>
    <row r="27756" spans="2:2" s="221" customFormat="1" ht="12.75" x14ac:dyDescent="0.2">
      <c r="B27756" s="1168"/>
    </row>
    <row r="27757" spans="2:2" s="221" customFormat="1" ht="12.75" x14ac:dyDescent="0.2">
      <c r="B27757" s="1168"/>
    </row>
    <row r="27758" spans="2:2" s="221" customFormat="1" ht="12.75" x14ac:dyDescent="0.2">
      <c r="B27758" s="1168"/>
    </row>
    <row r="27759" spans="2:2" s="221" customFormat="1" ht="12.75" x14ac:dyDescent="0.2">
      <c r="B27759" s="1168"/>
    </row>
    <row r="27760" spans="2:2" s="221" customFormat="1" ht="12.75" x14ac:dyDescent="0.2">
      <c r="B27760" s="1168"/>
    </row>
    <row r="27761" spans="2:2" s="221" customFormat="1" ht="12.75" x14ac:dyDescent="0.2">
      <c r="B27761" s="1168"/>
    </row>
    <row r="27762" spans="2:2" s="221" customFormat="1" ht="12.75" x14ac:dyDescent="0.2">
      <c r="B27762" s="1168"/>
    </row>
    <row r="27763" spans="2:2" s="221" customFormat="1" ht="12.75" x14ac:dyDescent="0.2">
      <c r="B27763" s="1168"/>
    </row>
    <row r="27764" spans="2:2" s="221" customFormat="1" ht="12.75" x14ac:dyDescent="0.2">
      <c r="B27764" s="1168"/>
    </row>
    <row r="27765" spans="2:2" s="221" customFormat="1" ht="12.75" x14ac:dyDescent="0.2">
      <c r="B27765" s="1168"/>
    </row>
    <row r="27766" spans="2:2" s="221" customFormat="1" ht="12.75" x14ac:dyDescent="0.2">
      <c r="B27766" s="1168"/>
    </row>
    <row r="27767" spans="2:2" s="221" customFormat="1" ht="12.75" x14ac:dyDescent="0.2">
      <c r="B27767" s="1168"/>
    </row>
    <row r="27768" spans="2:2" s="221" customFormat="1" ht="12.75" x14ac:dyDescent="0.2">
      <c r="B27768" s="1168"/>
    </row>
    <row r="27769" spans="2:2" s="221" customFormat="1" ht="12.75" x14ac:dyDescent="0.2">
      <c r="B27769" s="1168"/>
    </row>
    <row r="27770" spans="2:2" s="221" customFormat="1" ht="12.75" x14ac:dyDescent="0.2">
      <c r="B27770" s="1168"/>
    </row>
    <row r="27771" spans="2:2" s="221" customFormat="1" ht="12.75" x14ac:dyDescent="0.2">
      <c r="B27771" s="1168"/>
    </row>
    <row r="27772" spans="2:2" s="221" customFormat="1" ht="12.75" x14ac:dyDescent="0.2">
      <c r="B27772" s="1168"/>
    </row>
    <row r="27773" spans="2:2" s="221" customFormat="1" ht="12.75" x14ac:dyDescent="0.2">
      <c r="B27773" s="1168"/>
    </row>
    <row r="27774" spans="2:2" s="221" customFormat="1" ht="12.75" x14ac:dyDescent="0.2">
      <c r="B27774" s="1168"/>
    </row>
    <row r="27775" spans="2:2" s="221" customFormat="1" ht="12.75" x14ac:dyDescent="0.2">
      <c r="B27775" s="1168"/>
    </row>
    <row r="27776" spans="2:2" s="221" customFormat="1" ht="12.75" x14ac:dyDescent="0.2">
      <c r="B27776" s="1168"/>
    </row>
    <row r="27777" spans="2:2" s="221" customFormat="1" ht="12.75" x14ac:dyDescent="0.2">
      <c r="B27777" s="1168"/>
    </row>
    <row r="27778" spans="2:2" s="221" customFormat="1" ht="12.75" x14ac:dyDescent="0.2">
      <c r="B27778" s="1168"/>
    </row>
    <row r="27779" spans="2:2" s="221" customFormat="1" ht="12.75" x14ac:dyDescent="0.2">
      <c r="B27779" s="1168"/>
    </row>
    <row r="27780" spans="2:2" s="221" customFormat="1" ht="12.75" x14ac:dyDescent="0.2">
      <c r="B27780" s="1168"/>
    </row>
    <row r="27781" spans="2:2" s="221" customFormat="1" ht="12.75" x14ac:dyDescent="0.2">
      <c r="B27781" s="1168"/>
    </row>
    <row r="27782" spans="2:2" s="221" customFormat="1" ht="12.75" x14ac:dyDescent="0.2">
      <c r="B27782" s="1168"/>
    </row>
    <row r="27783" spans="2:2" s="221" customFormat="1" ht="12.75" x14ac:dyDescent="0.2">
      <c r="B27783" s="1168"/>
    </row>
    <row r="27784" spans="2:2" s="221" customFormat="1" ht="12.75" x14ac:dyDescent="0.2">
      <c r="B27784" s="1168"/>
    </row>
    <row r="27785" spans="2:2" s="221" customFormat="1" ht="12.75" x14ac:dyDescent="0.2">
      <c r="B27785" s="1168"/>
    </row>
    <row r="27786" spans="2:2" s="221" customFormat="1" ht="12.75" x14ac:dyDescent="0.2">
      <c r="B27786" s="1168"/>
    </row>
    <row r="27787" spans="2:2" s="221" customFormat="1" ht="12.75" x14ac:dyDescent="0.2">
      <c r="B27787" s="1168"/>
    </row>
    <row r="27788" spans="2:2" s="221" customFormat="1" ht="12.75" x14ac:dyDescent="0.2">
      <c r="B27788" s="1168"/>
    </row>
    <row r="27789" spans="2:2" s="221" customFormat="1" ht="12.75" x14ac:dyDescent="0.2">
      <c r="B27789" s="1168"/>
    </row>
    <row r="27790" spans="2:2" s="221" customFormat="1" ht="12.75" x14ac:dyDescent="0.2">
      <c r="B27790" s="1168"/>
    </row>
    <row r="27791" spans="2:2" s="221" customFormat="1" ht="12.75" x14ac:dyDescent="0.2">
      <c r="B27791" s="1168"/>
    </row>
    <row r="27792" spans="2:2" s="221" customFormat="1" ht="12.75" x14ac:dyDescent="0.2">
      <c r="B27792" s="1168"/>
    </row>
    <row r="27793" spans="2:2" s="221" customFormat="1" ht="12.75" x14ac:dyDescent="0.2">
      <c r="B27793" s="1168"/>
    </row>
    <row r="27794" spans="2:2" s="221" customFormat="1" ht="12.75" x14ac:dyDescent="0.2">
      <c r="B27794" s="1168"/>
    </row>
    <row r="27795" spans="2:2" s="221" customFormat="1" ht="12.75" x14ac:dyDescent="0.2">
      <c r="B27795" s="1168"/>
    </row>
    <row r="27796" spans="2:2" s="221" customFormat="1" ht="12.75" x14ac:dyDescent="0.2">
      <c r="B27796" s="1168"/>
    </row>
    <row r="27797" spans="2:2" s="221" customFormat="1" ht="12.75" x14ac:dyDescent="0.2">
      <c r="B27797" s="1168"/>
    </row>
    <row r="27798" spans="2:2" s="221" customFormat="1" ht="12.75" x14ac:dyDescent="0.2">
      <c r="B27798" s="1168"/>
    </row>
    <row r="27799" spans="2:2" s="221" customFormat="1" ht="12.75" x14ac:dyDescent="0.2">
      <c r="B27799" s="1168"/>
    </row>
    <row r="27800" spans="2:2" s="221" customFormat="1" ht="12.75" x14ac:dyDescent="0.2">
      <c r="B27800" s="1168"/>
    </row>
    <row r="27801" spans="2:2" s="221" customFormat="1" ht="12.75" x14ac:dyDescent="0.2">
      <c r="B27801" s="1168"/>
    </row>
    <row r="27802" spans="2:2" s="221" customFormat="1" ht="12.75" x14ac:dyDescent="0.2">
      <c r="B27802" s="1168"/>
    </row>
    <row r="27803" spans="2:2" s="221" customFormat="1" ht="12.75" x14ac:dyDescent="0.2">
      <c r="B27803" s="1168"/>
    </row>
    <row r="27804" spans="2:2" s="221" customFormat="1" ht="12.75" x14ac:dyDescent="0.2">
      <c r="B27804" s="1168"/>
    </row>
    <row r="27805" spans="2:2" s="221" customFormat="1" ht="12.75" x14ac:dyDescent="0.2">
      <c r="B27805" s="1168"/>
    </row>
    <row r="27806" spans="2:2" s="221" customFormat="1" ht="12.75" x14ac:dyDescent="0.2">
      <c r="B27806" s="1168"/>
    </row>
    <row r="27807" spans="2:2" s="221" customFormat="1" ht="12.75" x14ac:dyDescent="0.2">
      <c r="B27807" s="1168"/>
    </row>
    <row r="27808" spans="2:2" s="221" customFormat="1" ht="12.75" x14ac:dyDescent="0.2">
      <c r="B27808" s="1168"/>
    </row>
    <row r="27809" spans="2:2" s="221" customFormat="1" ht="12.75" x14ac:dyDescent="0.2">
      <c r="B27809" s="1168"/>
    </row>
    <row r="27810" spans="2:2" s="221" customFormat="1" ht="12.75" x14ac:dyDescent="0.2">
      <c r="B27810" s="1168"/>
    </row>
    <row r="27811" spans="2:2" s="221" customFormat="1" ht="12.75" x14ac:dyDescent="0.2">
      <c r="B27811" s="1168"/>
    </row>
    <row r="27812" spans="2:2" s="221" customFormat="1" ht="12.75" x14ac:dyDescent="0.2">
      <c r="B27812" s="1168"/>
    </row>
    <row r="27813" spans="2:2" s="221" customFormat="1" ht="12.75" x14ac:dyDescent="0.2">
      <c r="B27813" s="1168"/>
    </row>
    <row r="27814" spans="2:2" s="221" customFormat="1" ht="12.75" x14ac:dyDescent="0.2">
      <c r="B27814" s="1168"/>
    </row>
    <row r="27815" spans="2:2" s="221" customFormat="1" ht="12.75" x14ac:dyDescent="0.2">
      <c r="B27815" s="1168"/>
    </row>
    <row r="27816" spans="2:2" s="221" customFormat="1" ht="12.75" x14ac:dyDescent="0.2">
      <c r="B27816" s="1168"/>
    </row>
    <row r="27817" spans="2:2" s="221" customFormat="1" ht="12.75" x14ac:dyDescent="0.2">
      <c r="B27817" s="1168"/>
    </row>
    <row r="27818" spans="2:2" s="221" customFormat="1" ht="12.75" x14ac:dyDescent="0.2">
      <c r="B27818" s="1168"/>
    </row>
    <row r="27819" spans="2:2" s="221" customFormat="1" ht="12.75" x14ac:dyDescent="0.2">
      <c r="B27819" s="1168"/>
    </row>
    <row r="27820" spans="2:2" s="221" customFormat="1" ht="12.75" x14ac:dyDescent="0.2">
      <c r="B27820" s="1168"/>
    </row>
    <row r="27821" spans="2:2" s="221" customFormat="1" ht="12.75" x14ac:dyDescent="0.2">
      <c r="B27821" s="1168"/>
    </row>
    <row r="27822" spans="2:2" s="221" customFormat="1" ht="12.75" x14ac:dyDescent="0.2">
      <c r="B27822" s="1168"/>
    </row>
    <row r="27823" spans="2:2" s="221" customFormat="1" ht="12.75" x14ac:dyDescent="0.2">
      <c r="B27823" s="1168"/>
    </row>
    <row r="27824" spans="2:2" s="221" customFormat="1" ht="12.75" x14ac:dyDescent="0.2">
      <c r="B27824" s="1168"/>
    </row>
    <row r="27825" spans="2:2" s="221" customFormat="1" ht="12.75" x14ac:dyDescent="0.2">
      <c r="B27825" s="1168"/>
    </row>
    <row r="27826" spans="2:2" s="221" customFormat="1" ht="12.75" x14ac:dyDescent="0.2">
      <c r="B27826" s="1168"/>
    </row>
    <row r="27827" spans="2:2" s="221" customFormat="1" ht="12.75" x14ac:dyDescent="0.2">
      <c r="B27827" s="1168"/>
    </row>
    <row r="27828" spans="2:2" s="221" customFormat="1" ht="12.75" x14ac:dyDescent="0.2">
      <c r="B27828" s="1168"/>
    </row>
    <row r="27829" spans="2:2" s="221" customFormat="1" ht="12.75" x14ac:dyDescent="0.2">
      <c r="B27829" s="1168"/>
    </row>
    <row r="27830" spans="2:2" s="221" customFormat="1" ht="12.75" x14ac:dyDescent="0.2">
      <c r="B27830" s="1168"/>
    </row>
    <row r="27831" spans="2:2" s="221" customFormat="1" ht="12.75" x14ac:dyDescent="0.2">
      <c r="B27831" s="1168"/>
    </row>
    <row r="27832" spans="2:2" s="221" customFormat="1" ht="12.75" x14ac:dyDescent="0.2">
      <c r="B27832" s="1168"/>
    </row>
    <row r="27833" spans="2:2" s="221" customFormat="1" ht="12.75" x14ac:dyDescent="0.2">
      <c r="B27833" s="1168"/>
    </row>
    <row r="27834" spans="2:2" s="221" customFormat="1" ht="12.75" x14ac:dyDescent="0.2">
      <c r="B27834" s="1168"/>
    </row>
    <row r="27835" spans="2:2" s="221" customFormat="1" ht="12.75" x14ac:dyDescent="0.2">
      <c r="B27835" s="1168"/>
    </row>
    <row r="27836" spans="2:2" s="221" customFormat="1" ht="12.75" x14ac:dyDescent="0.2">
      <c r="B27836" s="1168"/>
    </row>
    <row r="27837" spans="2:2" s="221" customFormat="1" ht="12.75" x14ac:dyDescent="0.2">
      <c r="B27837" s="1168"/>
    </row>
    <row r="27838" spans="2:2" s="221" customFormat="1" ht="12.75" x14ac:dyDescent="0.2">
      <c r="B27838" s="1168"/>
    </row>
    <row r="27839" spans="2:2" s="221" customFormat="1" ht="12.75" x14ac:dyDescent="0.2">
      <c r="B27839" s="1168"/>
    </row>
    <row r="27840" spans="2:2" s="221" customFormat="1" ht="12.75" x14ac:dyDescent="0.2">
      <c r="B27840" s="1168"/>
    </row>
    <row r="27841" spans="2:2" s="221" customFormat="1" ht="12.75" x14ac:dyDescent="0.2">
      <c r="B27841" s="1168"/>
    </row>
    <row r="27842" spans="2:2" s="221" customFormat="1" ht="12.75" x14ac:dyDescent="0.2">
      <c r="B27842" s="1168"/>
    </row>
    <row r="27843" spans="2:2" s="221" customFormat="1" ht="12.75" x14ac:dyDescent="0.2">
      <c r="B27843" s="1168"/>
    </row>
    <row r="27844" spans="2:2" s="221" customFormat="1" ht="12.75" x14ac:dyDescent="0.2">
      <c r="B27844" s="1168"/>
    </row>
    <row r="27845" spans="2:2" s="221" customFormat="1" ht="12.75" x14ac:dyDescent="0.2">
      <c r="B27845" s="1168"/>
    </row>
    <row r="27846" spans="2:2" s="221" customFormat="1" ht="12.75" x14ac:dyDescent="0.2">
      <c r="B27846" s="1168"/>
    </row>
    <row r="27847" spans="2:2" s="221" customFormat="1" ht="12.75" x14ac:dyDescent="0.2">
      <c r="B27847" s="1168"/>
    </row>
    <row r="27848" spans="2:2" s="221" customFormat="1" ht="12.75" x14ac:dyDescent="0.2">
      <c r="B27848" s="1168"/>
    </row>
    <row r="27849" spans="2:2" s="221" customFormat="1" ht="12.75" x14ac:dyDescent="0.2">
      <c r="B27849" s="1168"/>
    </row>
    <row r="27850" spans="2:2" s="221" customFormat="1" ht="12.75" x14ac:dyDescent="0.2">
      <c r="B27850" s="1168"/>
    </row>
    <row r="27851" spans="2:2" s="221" customFormat="1" ht="12.75" x14ac:dyDescent="0.2">
      <c r="B27851" s="1168"/>
    </row>
    <row r="27852" spans="2:2" s="221" customFormat="1" ht="12.75" x14ac:dyDescent="0.2">
      <c r="B27852" s="1168"/>
    </row>
    <row r="27853" spans="2:2" s="221" customFormat="1" ht="12.75" x14ac:dyDescent="0.2">
      <c r="B27853" s="1168"/>
    </row>
    <row r="27854" spans="2:2" s="221" customFormat="1" ht="12.75" x14ac:dyDescent="0.2">
      <c r="B27854" s="1168"/>
    </row>
    <row r="27855" spans="2:2" s="221" customFormat="1" ht="12.75" x14ac:dyDescent="0.2">
      <c r="B27855" s="1168"/>
    </row>
    <row r="27856" spans="2:2" s="221" customFormat="1" ht="12.75" x14ac:dyDescent="0.2">
      <c r="B27856" s="1168"/>
    </row>
    <row r="27857" spans="2:2" s="221" customFormat="1" ht="12.75" x14ac:dyDescent="0.2">
      <c r="B27857" s="1168"/>
    </row>
    <row r="27858" spans="2:2" s="221" customFormat="1" ht="12.75" x14ac:dyDescent="0.2">
      <c r="B27858" s="1168"/>
    </row>
    <row r="27859" spans="2:2" s="221" customFormat="1" ht="12.75" x14ac:dyDescent="0.2">
      <c r="B27859" s="1168"/>
    </row>
    <row r="27860" spans="2:2" s="221" customFormat="1" ht="12.75" x14ac:dyDescent="0.2">
      <c r="B27860" s="1168"/>
    </row>
    <row r="27861" spans="2:2" s="221" customFormat="1" ht="12.75" x14ac:dyDescent="0.2">
      <c r="B27861" s="1168"/>
    </row>
    <row r="27862" spans="2:2" s="221" customFormat="1" ht="12.75" x14ac:dyDescent="0.2">
      <c r="B27862" s="1168"/>
    </row>
    <row r="27863" spans="2:2" s="221" customFormat="1" ht="12.75" x14ac:dyDescent="0.2">
      <c r="B27863" s="1168"/>
    </row>
    <row r="27864" spans="2:2" s="221" customFormat="1" ht="12.75" x14ac:dyDescent="0.2">
      <c r="B27864" s="1168"/>
    </row>
    <row r="27865" spans="2:2" s="221" customFormat="1" ht="12.75" x14ac:dyDescent="0.2">
      <c r="B27865" s="1168"/>
    </row>
    <row r="27866" spans="2:2" s="221" customFormat="1" ht="12.75" x14ac:dyDescent="0.2">
      <c r="B27866" s="1168"/>
    </row>
    <row r="27867" spans="2:2" s="221" customFormat="1" ht="12.75" x14ac:dyDescent="0.2">
      <c r="B27867" s="1168"/>
    </row>
    <row r="27868" spans="2:2" s="221" customFormat="1" ht="12.75" x14ac:dyDescent="0.2">
      <c r="B27868" s="1168"/>
    </row>
    <row r="27869" spans="2:2" s="221" customFormat="1" ht="12.75" x14ac:dyDescent="0.2">
      <c r="B27869" s="1168"/>
    </row>
    <row r="27870" spans="2:2" s="221" customFormat="1" ht="12.75" x14ac:dyDescent="0.2">
      <c r="B27870" s="1168"/>
    </row>
    <row r="27871" spans="2:2" s="221" customFormat="1" ht="12.75" x14ac:dyDescent="0.2">
      <c r="B27871" s="1168"/>
    </row>
    <row r="27872" spans="2:2" s="221" customFormat="1" ht="12.75" x14ac:dyDescent="0.2">
      <c r="B27872" s="1168"/>
    </row>
    <row r="27873" spans="2:2" s="221" customFormat="1" ht="12.75" x14ac:dyDescent="0.2">
      <c r="B27873" s="1168"/>
    </row>
    <row r="27874" spans="2:2" s="221" customFormat="1" ht="12.75" x14ac:dyDescent="0.2">
      <c r="B27874" s="1168"/>
    </row>
    <row r="27875" spans="2:2" s="221" customFormat="1" ht="12.75" x14ac:dyDescent="0.2">
      <c r="B27875" s="1168"/>
    </row>
    <row r="27876" spans="2:2" s="221" customFormat="1" ht="12.75" x14ac:dyDescent="0.2">
      <c r="B27876" s="1168"/>
    </row>
    <row r="27877" spans="2:2" s="221" customFormat="1" ht="12.75" x14ac:dyDescent="0.2">
      <c r="B27877" s="1168"/>
    </row>
    <row r="27878" spans="2:2" s="221" customFormat="1" ht="12.75" x14ac:dyDescent="0.2">
      <c r="B27878" s="1168"/>
    </row>
    <row r="27879" spans="2:2" s="221" customFormat="1" ht="12.75" x14ac:dyDescent="0.2">
      <c r="B27879" s="1168"/>
    </row>
    <row r="27880" spans="2:2" s="221" customFormat="1" ht="12.75" x14ac:dyDescent="0.2">
      <c r="B27880" s="1168"/>
    </row>
    <row r="27881" spans="2:2" s="221" customFormat="1" ht="12.75" x14ac:dyDescent="0.2">
      <c r="B27881" s="1168"/>
    </row>
    <row r="27882" spans="2:2" s="221" customFormat="1" ht="12.75" x14ac:dyDescent="0.2">
      <c r="B27882" s="1168"/>
    </row>
    <row r="27883" spans="2:2" s="221" customFormat="1" ht="12.75" x14ac:dyDescent="0.2">
      <c r="B27883" s="1168"/>
    </row>
    <row r="27884" spans="2:2" s="221" customFormat="1" ht="12.75" x14ac:dyDescent="0.2">
      <c r="B27884" s="1168"/>
    </row>
    <row r="27885" spans="2:2" s="221" customFormat="1" ht="12.75" x14ac:dyDescent="0.2">
      <c r="B27885" s="1168"/>
    </row>
    <row r="27886" spans="2:2" s="221" customFormat="1" ht="12.75" x14ac:dyDescent="0.2">
      <c r="B27886" s="1168"/>
    </row>
    <row r="27887" spans="2:2" s="221" customFormat="1" ht="12.75" x14ac:dyDescent="0.2">
      <c r="B27887" s="1168"/>
    </row>
    <row r="27888" spans="2:2" s="221" customFormat="1" ht="12.75" x14ac:dyDescent="0.2">
      <c r="B27888" s="1168"/>
    </row>
    <row r="27889" spans="2:2" s="221" customFormat="1" ht="12.75" x14ac:dyDescent="0.2">
      <c r="B27889" s="1168"/>
    </row>
    <row r="27890" spans="2:2" s="221" customFormat="1" ht="12.75" x14ac:dyDescent="0.2">
      <c r="B27890" s="1168"/>
    </row>
    <row r="27891" spans="2:2" s="221" customFormat="1" ht="12.75" x14ac:dyDescent="0.2">
      <c r="B27891" s="1168"/>
    </row>
    <row r="27892" spans="2:2" s="221" customFormat="1" ht="12.75" x14ac:dyDescent="0.2">
      <c r="B27892" s="1168"/>
    </row>
    <row r="27893" spans="2:2" s="221" customFormat="1" ht="12.75" x14ac:dyDescent="0.2">
      <c r="B27893" s="1168"/>
    </row>
    <row r="27894" spans="2:2" s="221" customFormat="1" ht="12.75" x14ac:dyDescent="0.2">
      <c r="B27894" s="1168"/>
    </row>
    <row r="27895" spans="2:2" s="221" customFormat="1" ht="12.75" x14ac:dyDescent="0.2">
      <c r="B27895" s="1168"/>
    </row>
    <row r="27896" spans="2:2" s="221" customFormat="1" ht="12.75" x14ac:dyDescent="0.2">
      <c r="B27896" s="1168"/>
    </row>
    <row r="27897" spans="2:2" s="221" customFormat="1" ht="12.75" x14ac:dyDescent="0.2">
      <c r="B27897" s="1168"/>
    </row>
    <row r="27898" spans="2:2" s="221" customFormat="1" ht="12.75" x14ac:dyDescent="0.2">
      <c r="B27898" s="1168"/>
    </row>
    <row r="27899" spans="2:2" s="221" customFormat="1" ht="12.75" x14ac:dyDescent="0.2">
      <c r="B27899" s="1168"/>
    </row>
    <row r="27900" spans="2:2" s="221" customFormat="1" ht="12.75" x14ac:dyDescent="0.2">
      <c r="B27900" s="1168"/>
    </row>
    <row r="27901" spans="2:2" s="221" customFormat="1" ht="12.75" x14ac:dyDescent="0.2">
      <c r="B27901" s="1168"/>
    </row>
    <row r="27902" spans="2:2" s="221" customFormat="1" ht="12.75" x14ac:dyDescent="0.2">
      <c r="B27902" s="1168"/>
    </row>
    <row r="27903" spans="2:2" s="221" customFormat="1" ht="12.75" x14ac:dyDescent="0.2">
      <c r="B27903" s="1168"/>
    </row>
    <row r="27904" spans="2:2" s="221" customFormat="1" ht="12.75" x14ac:dyDescent="0.2">
      <c r="B27904" s="1168"/>
    </row>
    <row r="27905" spans="2:2" s="221" customFormat="1" ht="12.75" x14ac:dyDescent="0.2">
      <c r="B27905" s="1168"/>
    </row>
    <row r="27906" spans="2:2" s="221" customFormat="1" ht="12.75" x14ac:dyDescent="0.2">
      <c r="B27906" s="1168"/>
    </row>
    <row r="27907" spans="2:2" s="221" customFormat="1" ht="12.75" x14ac:dyDescent="0.2">
      <c r="B27907" s="1168"/>
    </row>
    <row r="27908" spans="2:2" s="221" customFormat="1" ht="12.75" x14ac:dyDescent="0.2">
      <c r="B27908" s="1168"/>
    </row>
    <row r="27909" spans="2:2" s="221" customFormat="1" ht="12.75" x14ac:dyDescent="0.2">
      <c r="B27909" s="1168"/>
    </row>
    <row r="27910" spans="2:2" s="221" customFormat="1" ht="12.75" x14ac:dyDescent="0.2">
      <c r="B27910" s="1168"/>
    </row>
    <row r="27911" spans="2:2" s="221" customFormat="1" ht="12.75" x14ac:dyDescent="0.2">
      <c r="B27911" s="1168"/>
    </row>
    <row r="27912" spans="2:2" s="221" customFormat="1" ht="12.75" x14ac:dyDescent="0.2">
      <c r="B27912" s="1168"/>
    </row>
    <row r="27913" spans="2:2" s="221" customFormat="1" ht="12.75" x14ac:dyDescent="0.2">
      <c r="B27913" s="1168"/>
    </row>
    <row r="27914" spans="2:2" s="221" customFormat="1" ht="12.75" x14ac:dyDescent="0.2">
      <c r="B27914" s="1168"/>
    </row>
    <row r="27915" spans="2:2" s="221" customFormat="1" ht="12.75" x14ac:dyDescent="0.2">
      <c r="B27915" s="1168"/>
    </row>
    <row r="27916" spans="2:2" s="221" customFormat="1" ht="12.75" x14ac:dyDescent="0.2">
      <c r="B27916" s="1168"/>
    </row>
    <row r="27917" spans="2:2" s="221" customFormat="1" ht="12.75" x14ac:dyDescent="0.2">
      <c r="B27917" s="1168"/>
    </row>
    <row r="27918" spans="2:2" s="221" customFormat="1" ht="12.75" x14ac:dyDescent="0.2">
      <c r="B27918" s="1168"/>
    </row>
    <row r="27919" spans="2:2" s="221" customFormat="1" ht="12.75" x14ac:dyDescent="0.2">
      <c r="B27919" s="1168"/>
    </row>
    <row r="27920" spans="2:2" s="221" customFormat="1" ht="12.75" x14ac:dyDescent="0.2">
      <c r="B27920" s="1168"/>
    </row>
    <row r="27921" spans="2:2" s="221" customFormat="1" ht="12.75" x14ac:dyDescent="0.2">
      <c r="B27921" s="1168"/>
    </row>
    <row r="27922" spans="2:2" s="221" customFormat="1" ht="12.75" x14ac:dyDescent="0.2">
      <c r="B27922" s="1168"/>
    </row>
    <row r="27923" spans="2:2" s="221" customFormat="1" ht="12.75" x14ac:dyDescent="0.2">
      <c r="B27923" s="1168"/>
    </row>
    <row r="27924" spans="2:2" s="221" customFormat="1" ht="12.75" x14ac:dyDescent="0.2">
      <c r="B27924" s="1168"/>
    </row>
    <row r="27925" spans="2:2" s="221" customFormat="1" ht="12.75" x14ac:dyDescent="0.2">
      <c r="B27925" s="1168"/>
    </row>
    <row r="27926" spans="2:2" s="221" customFormat="1" ht="12.75" x14ac:dyDescent="0.2">
      <c r="B27926" s="1168"/>
    </row>
    <row r="27927" spans="2:2" s="221" customFormat="1" ht="12.75" x14ac:dyDescent="0.2">
      <c r="B27927" s="1168"/>
    </row>
    <row r="27928" spans="2:2" s="221" customFormat="1" ht="12.75" x14ac:dyDescent="0.2">
      <c r="B27928" s="1168"/>
    </row>
    <row r="27929" spans="2:2" s="221" customFormat="1" ht="12.75" x14ac:dyDescent="0.2">
      <c r="B27929" s="1168"/>
    </row>
    <row r="27930" spans="2:2" s="221" customFormat="1" ht="12.75" x14ac:dyDescent="0.2">
      <c r="B27930" s="1168"/>
    </row>
    <row r="27931" spans="2:2" s="221" customFormat="1" ht="12.75" x14ac:dyDescent="0.2">
      <c r="B27931" s="1168"/>
    </row>
    <row r="27932" spans="2:2" s="221" customFormat="1" ht="12.75" x14ac:dyDescent="0.2">
      <c r="B27932" s="1168"/>
    </row>
    <row r="27933" spans="2:2" s="221" customFormat="1" ht="12.75" x14ac:dyDescent="0.2">
      <c r="B27933" s="1168"/>
    </row>
    <row r="27934" spans="2:2" s="221" customFormat="1" ht="12.75" x14ac:dyDescent="0.2">
      <c r="B27934" s="1168"/>
    </row>
    <row r="27935" spans="2:2" s="221" customFormat="1" ht="12.75" x14ac:dyDescent="0.2">
      <c r="B27935" s="1168"/>
    </row>
    <row r="27936" spans="2:2" s="221" customFormat="1" ht="12.75" x14ac:dyDescent="0.2">
      <c r="B27936" s="1168"/>
    </row>
    <row r="27937" spans="2:2" s="221" customFormat="1" ht="12.75" x14ac:dyDescent="0.2">
      <c r="B27937" s="1168"/>
    </row>
    <row r="27938" spans="2:2" s="221" customFormat="1" ht="12.75" x14ac:dyDescent="0.2">
      <c r="B27938" s="1168"/>
    </row>
    <row r="27939" spans="2:2" s="221" customFormat="1" ht="12.75" x14ac:dyDescent="0.2">
      <c r="B27939" s="1168"/>
    </row>
    <row r="27940" spans="2:2" s="221" customFormat="1" ht="12.75" x14ac:dyDescent="0.2">
      <c r="B27940" s="1168"/>
    </row>
    <row r="27941" spans="2:2" s="221" customFormat="1" ht="12.75" x14ac:dyDescent="0.2">
      <c r="B27941" s="1168"/>
    </row>
    <row r="27942" spans="2:2" s="221" customFormat="1" ht="12.75" x14ac:dyDescent="0.2">
      <c r="B27942" s="1168"/>
    </row>
    <row r="27943" spans="2:2" s="221" customFormat="1" ht="12.75" x14ac:dyDescent="0.2">
      <c r="B27943" s="1168"/>
    </row>
    <row r="27944" spans="2:2" s="221" customFormat="1" ht="12.75" x14ac:dyDescent="0.2">
      <c r="B27944" s="1168"/>
    </row>
    <row r="27945" spans="2:2" s="221" customFormat="1" ht="12.75" x14ac:dyDescent="0.2">
      <c r="B27945" s="1168"/>
    </row>
    <row r="27946" spans="2:2" s="221" customFormat="1" ht="12.75" x14ac:dyDescent="0.2">
      <c r="B27946" s="1168"/>
    </row>
    <row r="27947" spans="2:2" s="221" customFormat="1" ht="12.75" x14ac:dyDescent="0.2">
      <c r="B27947" s="1168"/>
    </row>
    <row r="27948" spans="2:2" s="221" customFormat="1" ht="12.75" x14ac:dyDescent="0.2">
      <c r="B27948" s="1168"/>
    </row>
    <row r="27949" spans="2:2" s="221" customFormat="1" ht="12.75" x14ac:dyDescent="0.2">
      <c r="B27949" s="1168"/>
    </row>
    <row r="27950" spans="2:2" s="221" customFormat="1" ht="12.75" x14ac:dyDescent="0.2">
      <c r="B27950" s="1168"/>
    </row>
    <row r="27951" spans="2:2" s="221" customFormat="1" ht="12.75" x14ac:dyDescent="0.2">
      <c r="B27951" s="1168"/>
    </row>
    <row r="27952" spans="2:2" s="221" customFormat="1" ht="12.75" x14ac:dyDescent="0.2">
      <c r="B27952" s="1168"/>
    </row>
    <row r="27953" spans="2:2" s="221" customFormat="1" ht="12.75" x14ac:dyDescent="0.2">
      <c r="B27953" s="1168"/>
    </row>
    <row r="27954" spans="2:2" s="221" customFormat="1" ht="12.75" x14ac:dyDescent="0.2">
      <c r="B27954" s="1168"/>
    </row>
    <row r="27955" spans="2:2" s="221" customFormat="1" ht="12.75" x14ac:dyDescent="0.2">
      <c r="B27955" s="1168"/>
    </row>
    <row r="27956" spans="2:2" s="221" customFormat="1" ht="12.75" x14ac:dyDescent="0.2">
      <c r="B27956" s="1168"/>
    </row>
    <row r="27957" spans="2:2" s="221" customFormat="1" ht="12.75" x14ac:dyDescent="0.2">
      <c r="B27957" s="1168"/>
    </row>
    <row r="27958" spans="2:2" s="221" customFormat="1" ht="12.75" x14ac:dyDescent="0.2">
      <c r="B27958" s="1168"/>
    </row>
    <row r="27959" spans="2:2" s="221" customFormat="1" ht="12.75" x14ac:dyDescent="0.2">
      <c r="B27959" s="1168"/>
    </row>
    <row r="27960" spans="2:2" s="221" customFormat="1" ht="12.75" x14ac:dyDescent="0.2">
      <c r="B27960" s="1168"/>
    </row>
    <row r="27961" spans="2:2" s="221" customFormat="1" ht="12.75" x14ac:dyDescent="0.2">
      <c r="B27961" s="1168"/>
    </row>
    <row r="27962" spans="2:2" s="221" customFormat="1" ht="12.75" x14ac:dyDescent="0.2">
      <c r="B27962" s="1168"/>
    </row>
    <row r="27963" spans="2:2" s="221" customFormat="1" ht="12.75" x14ac:dyDescent="0.2">
      <c r="B27963" s="1168"/>
    </row>
    <row r="27964" spans="2:2" s="221" customFormat="1" ht="12.75" x14ac:dyDescent="0.2">
      <c r="B27964" s="1168"/>
    </row>
    <row r="27965" spans="2:2" s="221" customFormat="1" ht="12.75" x14ac:dyDescent="0.2">
      <c r="B27965" s="1168"/>
    </row>
    <row r="27966" spans="2:2" s="221" customFormat="1" ht="12.75" x14ac:dyDescent="0.2">
      <c r="B27966" s="1168"/>
    </row>
    <row r="27967" spans="2:2" s="221" customFormat="1" ht="12.75" x14ac:dyDescent="0.2">
      <c r="B27967" s="1168"/>
    </row>
    <row r="27968" spans="2:2" s="221" customFormat="1" ht="12.75" x14ac:dyDescent="0.2">
      <c r="B27968" s="1168"/>
    </row>
    <row r="27969" spans="2:2" s="221" customFormat="1" ht="12.75" x14ac:dyDescent="0.2">
      <c r="B27969" s="1168"/>
    </row>
    <row r="27970" spans="2:2" s="221" customFormat="1" ht="12.75" x14ac:dyDescent="0.2">
      <c r="B27970" s="1168"/>
    </row>
    <row r="27971" spans="2:2" s="221" customFormat="1" ht="12.75" x14ac:dyDescent="0.2">
      <c r="B27971" s="1168"/>
    </row>
    <row r="27972" spans="2:2" s="221" customFormat="1" ht="12.75" x14ac:dyDescent="0.2">
      <c r="B27972" s="1168"/>
    </row>
    <row r="27973" spans="2:2" s="221" customFormat="1" ht="12.75" x14ac:dyDescent="0.2">
      <c r="B27973" s="1168"/>
    </row>
    <row r="27974" spans="2:2" s="221" customFormat="1" ht="12.75" x14ac:dyDescent="0.2">
      <c r="B27974" s="1168"/>
    </row>
    <row r="27975" spans="2:2" s="221" customFormat="1" ht="12.75" x14ac:dyDescent="0.2">
      <c r="B27975" s="1168"/>
    </row>
    <row r="27976" spans="2:2" s="221" customFormat="1" ht="12.75" x14ac:dyDescent="0.2">
      <c r="B27976" s="1168"/>
    </row>
    <row r="27977" spans="2:2" s="221" customFormat="1" ht="12.75" x14ac:dyDescent="0.2">
      <c r="B27977" s="1168"/>
    </row>
    <row r="27978" spans="2:2" s="221" customFormat="1" ht="12.75" x14ac:dyDescent="0.2">
      <c r="B27978" s="1168"/>
    </row>
    <row r="27979" spans="2:2" s="221" customFormat="1" ht="12.75" x14ac:dyDescent="0.2">
      <c r="B27979" s="1168"/>
    </row>
    <row r="27980" spans="2:2" s="221" customFormat="1" ht="12.75" x14ac:dyDescent="0.2">
      <c r="B27980" s="1168"/>
    </row>
    <row r="27981" spans="2:2" s="221" customFormat="1" ht="12.75" x14ac:dyDescent="0.2">
      <c r="B27981" s="1168"/>
    </row>
    <row r="27982" spans="2:2" s="221" customFormat="1" ht="12.75" x14ac:dyDescent="0.2">
      <c r="B27982" s="1168"/>
    </row>
    <row r="27983" spans="2:2" s="221" customFormat="1" ht="12.75" x14ac:dyDescent="0.2">
      <c r="B27983" s="1168"/>
    </row>
    <row r="27984" spans="2:2" s="221" customFormat="1" ht="12.75" x14ac:dyDescent="0.2">
      <c r="B27984" s="1168"/>
    </row>
    <row r="27985" spans="2:2" s="221" customFormat="1" ht="12.75" x14ac:dyDescent="0.2">
      <c r="B27985" s="1168"/>
    </row>
    <row r="27986" spans="2:2" s="221" customFormat="1" ht="12.75" x14ac:dyDescent="0.2">
      <c r="B27986" s="1168"/>
    </row>
    <row r="27987" spans="2:2" s="221" customFormat="1" ht="12.75" x14ac:dyDescent="0.2">
      <c r="B27987" s="1168"/>
    </row>
    <row r="27988" spans="2:2" s="221" customFormat="1" ht="12.75" x14ac:dyDescent="0.2">
      <c r="B27988" s="1168"/>
    </row>
    <row r="27989" spans="2:2" s="221" customFormat="1" ht="12.75" x14ac:dyDescent="0.2">
      <c r="B27989" s="1168"/>
    </row>
    <row r="27990" spans="2:2" s="221" customFormat="1" ht="12.75" x14ac:dyDescent="0.2">
      <c r="B27990" s="1168"/>
    </row>
    <row r="27991" spans="2:2" s="221" customFormat="1" ht="12.75" x14ac:dyDescent="0.2">
      <c r="B27991" s="1168"/>
    </row>
    <row r="27992" spans="2:2" s="221" customFormat="1" ht="12.75" x14ac:dyDescent="0.2">
      <c r="B27992" s="1168"/>
    </row>
    <row r="27993" spans="2:2" s="221" customFormat="1" ht="12.75" x14ac:dyDescent="0.2">
      <c r="B27993" s="1168"/>
    </row>
    <row r="27994" spans="2:2" s="221" customFormat="1" ht="12.75" x14ac:dyDescent="0.2">
      <c r="B27994" s="1168"/>
    </row>
    <row r="27995" spans="2:2" s="221" customFormat="1" ht="12.75" x14ac:dyDescent="0.2">
      <c r="B27995" s="1168"/>
    </row>
    <row r="27996" spans="2:2" s="221" customFormat="1" ht="12.75" x14ac:dyDescent="0.2">
      <c r="B27996" s="1168"/>
    </row>
    <row r="27997" spans="2:2" s="221" customFormat="1" ht="12.75" x14ac:dyDescent="0.2">
      <c r="B27997" s="1168"/>
    </row>
    <row r="27998" spans="2:2" s="221" customFormat="1" ht="12.75" x14ac:dyDescent="0.2">
      <c r="B27998" s="1168"/>
    </row>
    <row r="27999" spans="2:2" s="221" customFormat="1" ht="12.75" x14ac:dyDescent="0.2">
      <c r="B27999" s="1168"/>
    </row>
    <row r="28000" spans="2:2" s="221" customFormat="1" ht="12.75" x14ac:dyDescent="0.2">
      <c r="B28000" s="1168"/>
    </row>
    <row r="28001" spans="2:2" s="221" customFormat="1" ht="12.75" x14ac:dyDescent="0.2">
      <c r="B28001" s="1168"/>
    </row>
    <row r="28002" spans="2:2" s="221" customFormat="1" ht="12.75" x14ac:dyDescent="0.2">
      <c r="B28002" s="1168"/>
    </row>
    <row r="28003" spans="2:2" s="221" customFormat="1" ht="12.75" x14ac:dyDescent="0.2">
      <c r="B28003" s="1168"/>
    </row>
    <row r="28004" spans="2:2" s="221" customFormat="1" ht="12.75" x14ac:dyDescent="0.2">
      <c r="B28004" s="1168"/>
    </row>
    <row r="28005" spans="2:2" s="221" customFormat="1" ht="12.75" x14ac:dyDescent="0.2">
      <c r="B28005" s="1168"/>
    </row>
    <row r="28006" spans="2:2" s="221" customFormat="1" ht="12.75" x14ac:dyDescent="0.2">
      <c r="B28006" s="1168"/>
    </row>
    <row r="28007" spans="2:2" s="221" customFormat="1" ht="12.75" x14ac:dyDescent="0.2">
      <c r="B28007" s="1168"/>
    </row>
    <row r="28008" spans="2:2" s="221" customFormat="1" ht="12.75" x14ac:dyDescent="0.2">
      <c r="B28008" s="1168"/>
    </row>
    <row r="28009" spans="2:2" s="221" customFormat="1" ht="12.75" x14ac:dyDescent="0.2">
      <c r="B28009" s="1168"/>
    </row>
    <row r="28010" spans="2:2" s="221" customFormat="1" ht="12.75" x14ac:dyDescent="0.2">
      <c r="B28010" s="1168"/>
    </row>
    <row r="28011" spans="2:2" s="221" customFormat="1" ht="12.75" x14ac:dyDescent="0.2">
      <c r="B28011" s="1168"/>
    </row>
    <row r="28012" spans="2:2" s="221" customFormat="1" ht="12.75" x14ac:dyDescent="0.2">
      <c r="B28012" s="1168"/>
    </row>
    <row r="28013" spans="2:2" s="221" customFormat="1" ht="12.75" x14ac:dyDescent="0.2">
      <c r="B28013" s="1168"/>
    </row>
    <row r="28014" spans="2:2" s="221" customFormat="1" ht="12.75" x14ac:dyDescent="0.2">
      <c r="B28014" s="1168"/>
    </row>
    <row r="28015" spans="2:2" s="221" customFormat="1" ht="12.75" x14ac:dyDescent="0.2">
      <c r="B28015" s="1168"/>
    </row>
    <row r="28016" spans="2:2" s="221" customFormat="1" ht="12.75" x14ac:dyDescent="0.2">
      <c r="B28016" s="1168"/>
    </row>
    <row r="28017" spans="2:2" s="221" customFormat="1" ht="12.75" x14ac:dyDescent="0.2">
      <c r="B28017" s="1168"/>
    </row>
    <row r="28018" spans="2:2" s="221" customFormat="1" ht="12.75" x14ac:dyDescent="0.2">
      <c r="B28018" s="1168"/>
    </row>
    <row r="28019" spans="2:2" s="221" customFormat="1" ht="12.75" x14ac:dyDescent="0.2">
      <c r="B28019" s="1168"/>
    </row>
    <row r="28020" spans="2:2" s="221" customFormat="1" ht="12.75" x14ac:dyDescent="0.2">
      <c r="B28020" s="1168"/>
    </row>
    <row r="28021" spans="2:2" s="221" customFormat="1" ht="12.75" x14ac:dyDescent="0.2">
      <c r="B28021" s="1168"/>
    </row>
    <row r="28022" spans="2:2" s="221" customFormat="1" ht="12.75" x14ac:dyDescent="0.2">
      <c r="B28022" s="1168"/>
    </row>
    <row r="28023" spans="2:2" s="221" customFormat="1" ht="12.75" x14ac:dyDescent="0.2">
      <c r="B28023" s="1168"/>
    </row>
    <row r="28024" spans="2:2" s="221" customFormat="1" ht="12.75" x14ac:dyDescent="0.2">
      <c r="B28024" s="1168"/>
    </row>
    <row r="28025" spans="2:2" s="221" customFormat="1" ht="12.75" x14ac:dyDescent="0.2">
      <c r="B28025" s="1168"/>
    </row>
    <row r="28026" spans="2:2" s="221" customFormat="1" ht="12.75" x14ac:dyDescent="0.2">
      <c r="B28026" s="1168"/>
    </row>
    <row r="28027" spans="2:2" s="221" customFormat="1" ht="12.75" x14ac:dyDescent="0.2">
      <c r="B28027" s="1168"/>
    </row>
    <row r="28028" spans="2:2" s="221" customFormat="1" ht="12.75" x14ac:dyDescent="0.2">
      <c r="B28028" s="1168"/>
    </row>
    <row r="28029" spans="2:2" s="221" customFormat="1" ht="12.75" x14ac:dyDescent="0.2">
      <c r="B28029" s="1168"/>
    </row>
    <row r="28030" spans="2:2" s="221" customFormat="1" ht="12.75" x14ac:dyDescent="0.2">
      <c r="B28030" s="1168"/>
    </row>
    <row r="28031" spans="2:2" s="221" customFormat="1" ht="12.75" x14ac:dyDescent="0.2">
      <c r="B28031" s="1168"/>
    </row>
    <row r="28032" spans="2:2" s="221" customFormat="1" ht="12.75" x14ac:dyDescent="0.2">
      <c r="B28032" s="1168"/>
    </row>
    <row r="28033" spans="2:2" s="221" customFormat="1" ht="12.75" x14ac:dyDescent="0.2">
      <c r="B28033" s="1168"/>
    </row>
    <row r="28034" spans="2:2" s="221" customFormat="1" ht="12.75" x14ac:dyDescent="0.2">
      <c r="B28034" s="1168"/>
    </row>
    <row r="28035" spans="2:2" s="221" customFormat="1" ht="12.75" x14ac:dyDescent="0.2">
      <c r="B28035" s="1168"/>
    </row>
    <row r="28036" spans="2:2" s="221" customFormat="1" ht="12.75" x14ac:dyDescent="0.2">
      <c r="B28036" s="1168"/>
    </row>
    <row r="28037" spans="2:2" s="221" customFormat="1" ht="12.75" x14ac:dyDescent="0.2">
      <c r="B28037" s="1168"/>
    </row>
    <row r="28038" spans="2:2" s="221" customFormat="1" ht="12.75" x14ac:dyDescent="0.2">
      <c r="B28038" s="1168"/>
    </row>
    <row r="28039" spans="2:2" s="221" customFormat="1" ht="12.75" x14ac:dyDescent="0.2">
      <c r="B28039" s="1168"/>
    </row>
    <row r="28040" spans="2:2" s="221" customFormat="1" ht="12.75" x14ac:dyDescent="0.2">
      <c r="B28040" s="1168"/>
    </row>
    <row r="28041" spans="2:2" s="221" customFormat="1" ht="12.75" x14ac:dyDescent="0.2">
      <c r="B28041" s="1168"/>
    </row>
    <row r="28042" spans="2:2" s="221" customFormat="1" ht="12.75" x14ac:dyDescent="0.2">
      <c r="B28042" s="1168"/>
    </row>
    <row r="28043" spans="2:2" s="221" customFormat="1" ht="12.75" x14ac:dyDescent="0.2">
      <c r="B28043" s="1168"/>
    </row>
    <row r="28044" spans="2:2" s="221" customFormat="1" ht="12.75" x14ac:dyDescent="0.2">
      <c r="B28044" s="1168"/>
    </row>
    <row r="28045" spans="2:2" s="221" customFormat="1" ht="12.75" x14ac:dyDescent="0.2">
      <c r="B28045" s="1168"/>
    </row>
    <row r="28046" spans="2:2" s="221" customFormat="1" ht="12.75" x14ac:dyDescent="0.2">
      <c r="B28046" s="1168"/>
    </row>
    <row r="28047" spans="2:2" s="221" customFormat="1" ht="12.75" x14ac:dyDescent="0.2">
      <c r="B28047" s="1168"/>
    </row>
    <row r="28048" spans="2:2" s="221" customFormat="1" ht="12.75" x14ac:dyDescent="0.2">
      <c r="B28048" s="1168"/>
    </row>
    <row r="28049" spans="2:2" s="221" customFormat="1" ht="12.75" x14ac:dyDescent="0.2">
      <c r="B28049" s="1168"/>
    </row>
    <row r="28050" spans="2:2" s="221" customFormat="1" ht="12.75" x14ac:dyDescent="0.2">
      <c r="B28050" s="1168"/>
    </row>
    <row r="28051" spans="2:2" s="221" customFormat="1" ht="12.75" x14ac:dyDescent="0.2">
      <c r="B28051" s="1168"/>
    </row>
    <row r="28052" spans="2:2" s="221" customFormat="1" ht="12.75" x14ac:dyDescent="0.2">
      <c r="B28052" s="1168"/>
    </row>
    <row r="28053" spans="2:2" s="221" customFormat="1" ht="12.75" x14ac:dyDescent="0.2">
      <c r="B28053" s="1168"/>
    </row>
    <row r="28054" spans="2:2" s="221" customFormat="1" ht="12.75" x14ac:dyDescent="0.2">
      <c r="B28054" s="1168"/>
    </row>
    <row r="28055" spans="2:2" s="221" customFormat="1" ht="12.75" x14ac:dyDescent="0.2">
      <c r="B28055" s="1168"/>
    </row>
    <row r="28056" spans="2:2" s="221" customFormat="1" ht="12.75" x14ac:dyDescent="0.2">
      <c r="B28056" s="1168"/>
    </row>
    <row r="28057" spans="2:2" s="221" customFormat="1" ht="12.75" x14ac:dyDescent="0.2">
      <c r="B28057" s="1168"/>
    </row>
    <row r="28058" spans="2:2" s="221" customFormat="1" ht="12.75" x14ac:dyDescent="0.2">
      <c r="B28058" s="1168"/>
    </row>
    <row r="28059" spans="2:2" s="221" customFormat="1" ht="12.75" x14ac:dyDescent="0.2">
      <c r="B28059" s="1168"/>
    </row>
    <row r="28060" spans="2:2" s="221" customFormat="1" ht="12.75" x14ac:dyDescent="0.2">
      <c r="B28060" s="1168"/>
    </row>
    <row r="28061" spans="2:2" s="221" customFormat="1" ht="12.75" x14ac:dyDescent="0.2">
      <c r="B28061" s="1168"/>
    </row>
    <row r="28062" spans="2:2" s="221" customFormat="1" ht="12.75" x14ac:dyDescent="0.2">
      <c r="B28062" s="1168"/>
    </row>
    <row r="28063" spans="2:2" s="221" customFormat="1" ht="12.75" x14ac:dyDescent="0.2">
      <c r="B28063" s="1168"/>
    </row>
    <row r="28064" spans="2:2" s="221" customFormat="1" ht="12.75" x14ac:dyDescent="0.2">
      <c r="B28064" s="1168"/>
    </row>
    <row r="28065" spans="2:2" s="221" customFormat="1" ht="12.75" x14ac:dyDescent="0.2">
      <c r="B28065" s="1168"/>
    </row>
    <row r="28066" spans="2:2" s="221" customFormat="1" ht="12.75" x14ac:dyDescent="0.2">
      <c r="B28066" s="1168"/>
    </row>
    <row r="28067" spans="2:2" s="221" customFormat="1" ht="12.75" x14ac:dyDescent="0.2">
      <c r="B28067" s="1168"/>
    </row>
    <row r="28068" spans="2:2" s="221" customFormat="1" ht="12.75" x14ac:dyDescent="0.2">
      <c r="B28068" s="1168"/>
    </row>
    <row r="28069" spans="2:2" s="221" customFormat="1" ht="12.75" x14ac:dyDescent="0.2">
      <c r="B28069" s="1168"/>
    </row>
    <row r="28070" spans="2:2" s="221" customFormat="1" ht="12.75" x14ac:dyDescent="0.2">
      <c r="B28070" s="1168"/>
    </row>
    <row r="28071" spans="2:2" s="221" customFormat="1" ht="12.75" x14ac:dyDescent="0.2">
      <c r="B28071" s="1168"/>
    </row>
    <row r="28072" spans="2:2" s="221" customFormat="1" ht="12.75" x14ac:dyDescent="0.2">
      <c r="B28072" s="1168"/>
    </row>
    <row r="28073" spans="2:2" s="221" customFormat="1" ht="12.75" x14ac:dyDescent="0.2">
      <c r="B28073" s="1168"/>
    </row>
    <row r="28074" spans="2:2" s="221" customFormat="1" ht="12.75" x14ac:dyDescent="0.2">
      <c r="B28074" s="1168"/>
    </row>
    <row r="28075" spans="2:2" s="221" customFormat="1" ht="12.75" x14ac:dyDescent="0.2">
      <c r="B28075" s="1168"/>
    </row>
    <row r="28076" spans="2:2" s="221" customFormat="1" ht="12.75" x14ac:dyDescent="0.2">
      <c r="B28076" s="1168"/>
    </row>
    <row r="28077" spans="2:2" s="221" customFormat="1" ht="12.75" x14ac:dyDescent="0.2">
      <c r="B28077" s="1168"/>
    </row>
    <row r="28078" spans="2:2" s="221" customFormat="1" ht="12.75" x14ac:dyDescent="0.2">
      <c r="B28078" s="1168"/>
    </row>
    <row r="28079" spans="2:2" s="221" customFormat="1" ht="12.75" x14ac:dyDescent="0.2">
      <c r="B28079" s="1168"/>
    </row>
    <row r="28080" spans="2:2" s="221" customFormat="1" ht="12.75" x14ac:dyDescent="0.2">
      <c r="B28080" s="1168"/>
    </row>
    <row r="28081" spans="2:2" s="221" customFormat="1" ht="12.75" x14ac:dyDescent="0.2">
      <c r="B28081" s="1168"/>
    </row>
    <row r="28082" spans="2:2" s="221" customFormat="1" ht="12.75" x14ac:dyDescent="0.2">
      <c r="B28082" s="1168"/>
    </row>
    <row r="28083" spans="2:2" s="221" customFormat="1" ht="12.75" x14ac:dyDescent="0.2">
      <c r="B28083" s="1168"/>
    </row>
    <row r="28084" spans="2:2" s="221" customFormat="1" ht="12.75" x14ac:dyDescent="0.2">
      <c r="B28084" s="1168"/>
    </row>
    <row r="28085" spans="2:2" s="221" customFormat="1" ht="12.75" x14ac:dyDescent="0.2">
      <c r="B28085" s="1168"/>
    </row>
    <row r="28086" spans="2:2" s="221" customFormat="1" ht="12.75" x14ac:dyDescent="0.2">
      <c r="B28086" s="1168"/>
    </row>
    <row r="28087" spans="2:2" s="221" customFormat="1" ht="12.75" x14ac:dyDescent="0.2">
      <c r="B28087" s="1168"/>
    </row>
    <row r="28088" spans="2:2" s="221" customFormat="1" ht="12.75" x14ac:dyDescent="0.2">
      <c r="B28088" s="1168"/>
    </row>
    <row r="28089" spans="2:2" s="221" customFormat="1" ht="12.75" x14ac:dyDescent="0.2">
      <c r="B28089" s="1168"/>
    </row>
    <row r="28090" spans="2:2" s="221" customFormat="1" ht="12.75" x14ac:dyDescent="0.2">
      <c r="B28090" s="1168"/>
    </row>
    <row r="28091" spans="2:2" s="221" customFormat="1" ht="12.75" x14ac:dyDescent="0.2">
      <c r="B28091" s="1168"/>
    </row>
    <row r="28092" spans="2:2" s="221" customFormat="1" ht="12.75" x14ac:dyDescent="0.2">
      <c r="B28092" s="1168"/>
    </row>
    <row r="28093" spans="2:2" s="221" customFormat="1" ht="12.75" x14ac:dyDescent="0.2">
      <c r="B28093" s="1168"/>
    </row>
    <row r="28094" spans="2:2" s="221" customFormat="1" ht="12.75" x14ac:dyDescent="0.2">
      <c r="B28094" s="1168"/>
    </row>
    <row r="28095" spans="2:2" s="221" customFormat="1" ht="12.75" x14ac:dyDescent="0.2">
      <c r="B28095" s="1168"/>
    </row>
    <row r="28096" spans="2:2" s="221" customFormat="1" ht="12.75" x14ac:dyDescent="0.2">
      <c r="B28096" s="1168"/>
    </row>
    <row r="28097" spans="2:2" s="221" customFormat="1" ht="12.75" x14ac:dyDescent="0.2">
      <c r="B28097" s="1168"/>
    </row>
    <row r="28098" spans="2:2" s="221" customFormat="1" ht="12.75" x14ac:dyDescent="0.2">
      <c r="B28098" s="1168"/>
    </row>
    <row r="28099" spans="2:2" s="221" customFormat="1" ht="12.75" x14ac:dyDescent="0.2">
      <c r="B28099" s="1168"/>
    </row>
    <row r="28100" spans="2:2" s="221" customFormat="1" ht="12.75" x14ac:dyDescent="0.2">
      <c r="B28100" s="1168"/>
    </row>
    <row r="28101" spans="2:2" s="221" customFormat="1" ht="12.75" x14ac:dyDescent="0.2">
      <c r="B28101" s="1168"/>
    </row>
    <row r="28102" spans="2:2" s="221" customFormat="1" ht="12.75" x14ac:dyDescent="0.2">
      <c r="B28102" s="1168"/>
    </row>
    <row r="28103" spans="2:2" s="221" customFormat="1" ht="12.75" x14ac:dyDescent="0.2">
      <c r="B28103" s="1168"/>
    </row>
    <row r="28104" spans="2:2" s="221" customFormat="1" ht="12.75" x14ac:dyDescent="0.2">
      <c r="B28104" s="1168"/>
    </row>
    <row r="28105" spans="2:2" s="221" customFormat="1" ht="12.75" x14ac:dyDescent="0.2">
      <c r="B28105" s="1168"/>
    </row>
    <row r="28106" spans="2:2" s="221" customFormat="1" ht="12.75" x14ac:dyDescent="0.2">
      <c r="B28106" s="1168"/>
    </row>
    <row r="28107" spans="2:2" s="221" customFormat="1" ht="12.75" x14ac:dyDescent="0.2">
      <c r="B28107" s="1168"/>
    </row>
    <row r="28108" spans="2:2" s="221" customFormat="1" ht="12.75" x14ac:dyDescent="0.2">
      <c r="B28108" s="1168"/>
    </row>
    <row r="28109" spans="2:2" s="221" customFormat="1" ht="12.75" x14ac:dyDescent="0.2">
      <c r="B28109" s="1168"/>
    </row>
    <row r="28110" spans="2:2" s="221" customFormat="1" ht="12.75" x14ac:dyDescent="0.2">
      <c r="B28110" s="1168"/>
    </row>
    <row r="28111" spans="2:2" s="221" customFormat="1" ht="12.75" x14ac:dyDescent="0.2">
      <c r="B28111" s="1168"/>
    </row>
    <row r="28112" spans="2:2" s="221" customFormat="1" ht="12.75" x14ac:dyDescent="0.2">
      <c r="B28112" s="1168"/>
    </row>
    <row r="28113" spans="2:2" s="221" customFormat="1" ht="12.75" x14ac:dyDescent="0.2">
      <c r="B28113" s="1168"/>
    </row>
    <row r="28114" spans="2:2" s="221" customFormat="1" ht="12.75" x14ac:dyDescent="0.2">
      <c r="B28114" s="1168"/>
    </row>
    <row r="28115" spans="2:2" s="221" customFormat="1" ht="12.75" x14ac:dyDescent="0.2">
      <c r="B28115" s="1168"/>
    </row>
    <row r="28116" spans="2:2" s="221" customFormat="1" ht="12.75" x14ac:dyDescent="0.2">
      <c r="B28116" s="1168"/>
    </row>
    <row r="28117" spans="2:2" s="221" customFormat="1" ht="12.75" x14ac:dyDescent="0.2">
      <c r="B28117" s="1168"/>
    </row>
    <row r="28118" spans="2:2" s="221" customFormat="1" ht="12.75" x14ac:dyDescent="0.2">
      <c r="B28118" s="1168"/>
    </row>
    <row r="28119" spans="2:2" s="221" customFormat="1" ht="12.75" x14ac:dyDescent="0.2">
      <c r="B28119" s="1168"/>
    </row>
    <row r="28120" spans="2:2" s="221" customFormat="1" ht="12.75" x14ac:dyDescent="0.2">
      <c r="B28120" s="1168"/>
    </row>
    <row r="28121" spans="2:2" s="221" customFormat="1" ht="12.75" x14ac:dyDescent="0.2">
      <c r="B28121" s="1168"/>
    </row>
    <row r="28122" spans="2:2" s="221" customFormat="1" ht="12.75" x14ac:dyDescent="0.2">
      <c r="B28122" s="1168"/>
    </row>
    <row r="28123" spans="2:2" s="221" customFormat="1" ht="12.75" x14ac:dyDescent="0.2">
      <c r="B28123" s="1168"/>
    </row>
    <row r="28124" spans="2:2" s="221" customFormat="1" ht="12.75" x14ac:dyDescent="0.2">
      <c r="B28124" s="1168"/>
    </row>
    <row r="28125" spans="2:2" s="221" customFormat="1" ht="12.75" x14ac:dyDescent="0.2">
      <c r="B28125" s="1168"/>
    </row>
    <row r="28126" spans="2:2" s="221" customFormat="1" ht="12.75" x14ac:dyDescent="0.2">
      <c r="B28126" s="1168"/>
    </row>
    <row r="28127" spans="2:2" s="221" customFormat="1" ht="12.75" x14ac:dyDescent="0.2">
      <c r="B28127" s="1168"/>
    </row>
    <row r="28128" spans="2:2" s="221" customFormat="1" ht="12.75" x14ac:dyDescent="0.2">
      <c r="B28128" s="1168"/>
    </row>
    <row r="28129" spans="2:2" s="221" customFormat="1" ht="12.75" x14ac:dyDescent="0.2">
      <c r="B28129" s="1168"/>
    </row>
    <row r="28130" spans="2:2" s="221" customFormat="1" ht="12.75" x14ac:dyDescent="0.2">
      <c r="B28130" s="1168"/>
    </row>
    <row r="28131" spans="2:2" s="221" customFormat="1" ht="12.75" x14ac:dyDescent="0.2">
      <c r="B28131" s="1168"/>
    </row>
    <row r="28132" spans="2:2" s="221" customFormat="1" ht="12.75" x14ac:dyDescent="0.2">
      <c r="B28132" s="1168"/>
    </row>
    <row r="28133" spans="2:2" s="221" customFormat="1" ht="12.75" x14ac:dyDescent="0.2">
      <c r="B28133" s="1168"/>
    </row>
    <row r="28134" spans="2:2" s="221" customFormat="1" ht="12.75" x14ac:dyDescent="0.2">
      <c r="B28134" s="1168"/>
    </row>
    <row r="28135" spans="2:2" s="221" customFormat="1" ht="12.75" x14ac:dyDescent="0.2">
      <c r="B28135" s="1168"/>
    </row>
    <row r="28136" spans="2:2" s="221" customFormat="1" ht="12.75" x14ac:dyDescent="0.2">
      <c r="B28136" s="1168"/>
    </row>
    <row r="28137" spans="2:2" s="221" customFormat="1" ht="12.75" x14ac:dyDescent="0.2">
      <c r="B28137" s="1168"/>
    </row>
    <row r="28138" spans="2:2" s="221" customFormat="1" ht="12.75" x14ac:dyDescent="0.2">
      <c r="B28138" s="1168"/>
    </row>
    <row r="28139" spans="2:2" s="221" customFormat="1" ht="12.75" x14ac:dyDescent="0.2">
      <c r="B28139" s="1168"/>
    </row>
    <row r="28140" spans="2:2" s="221" customFormat="1" ht="12.75" x14ac:dyDescent="0.2">
      <c r="B28140" s="1168"/>
    </row>
    <row r="28141" spans="2:2" s="221" customFormat="1" ht="12.75" x14ac:dyDescent="0.2">
      <c r="B28141" s="1168"/>
    </row>
    <row r="28142" spans="2:2" s="221" customFormat="1" ht="12.75" x14ac:dyDescent="0.2">
      <c r="B28142" s="1168"/>
    </row>
    <row r="28143" spans="2:2" s="221" customFormat="1" ht="12.75" x14ac:dyDescent="0.2">
      <c r="B28143" s="1168"/>
    </row>
    <row r="28144" spans="2:2" s="221" customFormat="1" ht="12.75" x14ac:dyDescent="0.2">
      <c r="B28144" s="1168"/>
    </row>
    <row r="28145" spans="2:2" s="221" customFormat="1" ht="12.75" x14ac:dyDescent="0.2">
      <c r="B28145" s="1168"/>
    </row>
    <row r="28146" spans="2:2" s="221" customFormat="1" ht="12.75" x14ac:dyDescent="0.2">
      <c r="B28146" s="1168"/>
    </row>
    <row r="28147" spans="2:2" s="221" customFormat="1" ht="12.75" x14ac:dyDescent="0.2">
      <c r="B28147" s="1168"/>
    </row>
    <row r="28148" spans="2:2" s="221" customFormat="1" ht="12.75" x14ac:dyDescent="0.2">
      <c r="B28148" s="1168"/>
    </row>
    <row r="28149" spans="2:2" s="221" customFormat="1" ht="12.75" x14ac:dyDescent="0.2">
      <c r="B28149" s="1168"/>
    </row>
    <row r="28150" spans="2:2" s="221" customFormat="1" ht="12.75" x14ac:dyDescent="0.2">
      <c r="B28150" s="1168"/>
    </row>
    <row r="28151" spans="2:2" s="221" customFormat="1" ht="12.75" x14ac:dyDescent="0.2">
      <c r="B28151" s="1168"/>
    </row>
    <row r="28152" spans="2:2" s="221" customFormat="1" ht="12.75" x14ac:dyDescent="0.2">
      <c r="B28152" s="1168"/>
    </row>
    <row r="28153" spans="2:2" s="221" customFormat="1" ht="12.75" x14ac:dyDescent="0.2">
      <c r="B28153" s="1168"/>
    </row>
    <row r="28154" spans="2:2" s="221" customFormat="1" ht="12.75" x14ac:dyDescent="0.2">
      <c r="B28154" s="1168"/>
    </row>
    <row r="28155" spans="2:2" s="221" customFormat="1" ht="12.75" x14ac:dyDescent="0.2">
      <c r="B28155" s="1168"/>
    </row>
    <row r="28156" spans="2:2" s="221" customFormat="1" ht="12.75" x14ac:dyDescent="0.2">
      <c r="B28156" s="1168"/>
    </row>
    <row r="28157" spans="2:2" s="221" customFormat="1" ht="12.75" x14ac:dyDescent="0.2">
      <c r="B28157" s="1168"/>
    </row>
    <row r="28158" spans="2:2" s="221" customFormat="1" ht="12.75" x14ac:dyDescent="0.2">
      <c r="B28158" s="1168"/>
    </row>
    <row r="28159" spans="2:2" s="221" customFormat="1" ht="12.75" x14ac:dyDescent="0.2">
      <c r="B28159" s="1168"/>
    </row>
    <row r="28160" spans="2:2" s="221" customFormat="1" ht="12.75" x14ac:dyDescent="0.2">
      <c r="B28160" s="1168"/>
    </row>
    <row r="28161" spans="2:2" s="221" customFormat="1" ht="12.75" x14ac:dyDescent="0.2">
      <c r="B28161" s="1168"/>
    </row>
    <row r="28162" spans="2:2" s="221" customFormat="1" ht="12.75" x14ac:dyDescent="0.2">
      <c r="B28162" s="1168"/>
    </row>
    <row r="28163" spans="2:2" s="221" customFormat="1" ht="12.75" x14ac:dyDescent="0.2">
      <c r="B28163" s="1168"/>
    </row>
    <row r="28164" spans="2:2" s="221" customFormat="1" ht="12.75" x14ac:dyDescent="0.2">
      <c r="B28164" s="1168"/>
    </row>
    <row r="28165" spans="2:2" s="221" customFormat="1" ht="12.75" x14ac:dyDescent="0.2">
      <c r="B28165" s="1168"/>
    </row>
    <row r="28166" spans="2:2" s="221" customFormat="1" ht="12.75" x14ac:dyDescent="0.2">
      <c r="B28166" s="1168"/>
    </row>
    <row r="28167" spans="2:2" s="221" customFormat="1" ht="12.75" x14ac:dyDescent="0.2">
      <c r="B28167" s="1168"/>
    </row>
    <row r="28168" spans="2:2" s="221" customFormat="1" ht="12.75" x14ac:dyDescent="0.2">
      <c r="B28168" s="1168"/>
    </row>
    <row r="28169" spans="2:2" s="221" customFormat="1" ht="12.75" x14ac:dyDescent="0.2">
      <c r="B28169" s="1168"/>
    </row>
    <row r="28170" spans="2:2" s="221" customFormat="1" ht="12.75" x14ac:dyDescent="0.2">
      <c r="B28170" s="1168"/>
    </row>
    <row r="28171" spans="2:2" s="221" customFormat="1" ht="12.75" x14ac:dyDescent="0.2">
      <c r="B28171" s="1168"/>
    </row>
    <row r="28172" spans="2:2" s="221" customFormat="1" ht="12.75" x14ac:dyDescent="0.2">
      <c r="B28172" s="1168"/>
    </row>
    <row r="28173" spans="2:2" s="221" customFormat="1" ht="12.75" x14ac:dyDescent="0.2">
      <c r="B28173" s="1168"/>
    </row>
    <row r="28174" spans="2:2" s="221" customFormat="1" ht="12.75" x14ac:dyDescent="0.2">
      <c r="B28174" s="1168"/>
    </row>
    <row r="28175" spans="2:2" s="221" customFormat="1" ht="12.75" x14ac:dyDescent="0.2">
      <c r="B28175" s="1168"/>
    </row>
    <row r="28176" spans="2:2" s="221" customFormat="1" ht="12.75" x14ac:dyDescent="0.2">
      <c r="B28176" s="1168"/>
    </row>
    <row r="28177" spans="2:2" s="221" customFormat="1" ht="12.75" x14ac:dyDescent="0.2">
      <c r="B28177" s="1168"/>
    </row>
    <row r="28178" spans="2:2" s="221" customFormat="1" ht="12.75" x14ac:dyDescent="0.2">
      <c r="B28178" s="1168"/>
    </row>
    <row r="28179" spans="2:2" s="221" customFormat="1" ht="12.75" x14ac:dyDescent="0.2">
      <c r="B28179" s="1168"/>
    </row>
    <row r="28180" spans="2:2" s="221" customFormat="1" ht="12.75" x14ac:dyDescent="0.2">
      <c r="B28180" s="1168"/>
    </row>
    <row r="28181" spans="2:2" s="221" customFormat="1" ht="12.75" x14ac:dyDescent="0.2">
      <c r="B28181" s="1168"/>
    </row>
    <row r="28182" spans="2:2" s="221" customFormat="1" ht="12.75" x14ac:dyDescent="0.2">
      <c r="B28182" s="1168"/>
    </row>
    <row r="28183" spans="2:2" s="221" customFormat="1" ht="12.75" x14ac:dyDescent="0.2">
      <c r="B28183" s="1168"/>
    </row>
    <row r="28184" spans="2:2" s="221" customFormat="1" ht="12.75" x14ac:dyDescent="0.2">
      <c r="B28184" s="1168"/>
    </row>
    <row r="28185" spans="2:2" s="221" customFormat="1" ht="12.75" x14ac:dyDescent="0.2">
      <c r="B28185" s="1168"/>
    </row>
    <row r="28186" spans="2:2" s="221" customFormat="1" ht="12.75" x14ac:dyDescent="0.2">
      <c r="B28186" s="1168"/>
    </row>
    <row r="28187" spans="2:2" s="221" customFormat="1" ht="12.75" x14ac:dyDescent="0.2">
      <c r="B28187" s="1168"/>
    </row>
    <row r="28188" spans="2:2" s="221" customFormat="1" ht="12.75" x14ac:dyDescent="0.2">
      <c r="B28188" s="1168"/>
    </row>
    <row r="28189" spans="2:2" s="221" customFormat="1" ht="12.75" x14ac:dyDescent="0.2">
      <c r="B28189" s="1168"/>
    </row>
    <row r="28190" spans="2:2" s="221" customFormat="1" ht="12.75" x14ac:dyDescent="0.2">
      <c r="B28190" s="1168"/>
    </row>
    <row r="28191" spans="2:2" s="221" customFormat="1" ht="12.75" x14ac:dyDescent="0.2">
      <c r="B28191" s="1168"/>
    </row>
    <row r="28192" spans="2:2" s="221" customFormat="1" ht="12.75" x14ac:dyDescent="0.2">
      <c r="B28192" s="1168"/>
    </row>
    <row r="28193" spans="2:2" s="221" customFormat="1" ht="12.75" x14ac:dyDescent="0.2">
      <c r="B28193" s="1168"/>
    </row>
    <row r="28194" spans="2:2" s="221" customFormat="1" ht="12.75" x14ac:dyDescent="0.2">
      <c r="B28194" s="1168"/>
    </row>
    <row r="28195" spans="2:2" s="221" customFormat="1" ht="12.75" x14ac:dyDescent="0.2">
      <c r="B28195" s="1168"/>
    </row>
    <row r="28196" spans="2:2" s="221" customFormat="1" ht="12.75" x14ac:dyDescent="0.2">
      <c r="B28196" s="1168"/>
    </row>
    <row r="28197" spans="2:2" s="221" customFormat="1" ht="12.75" x14ac:dyDescent="0.2">
      <c r="B28197" s="1168"/>
    </row>
    <row r="28198" spans="2:2" s="221" customFormat="1" ht="12.75" x14ac:dyDescent="0.2">
      <c r="B28198" s="1168"/>
    </row>
    <row r="28199" spans="2:2" s="221" customFormat="1" ht="12.75" x14ac:dyDescent="0.2">
      <c r="B28199" s="1168"/>
    </row>
    <row r="28200" spans="2:2" s="221" customFormat="1" ht="12.75" x14ac:dyDescent="0.2">
      <c r="B28200" s="1168"/>
    </row>
    <row r="28201" spans="2:2" s="221" customFormat="1" ht="12.75" x14ac:dyDescent="0.2">
      <c r="B28201" s="1168"/>
    </row>
    <row r="28202" spans="2:2" s="221" customFormat="1" ht="12.75" x14ac:dyDescent="0.2">
      <c r="B28202" s="1168"/>
    </row>
    <row r="28203" spans="2:2" s="221" customFormat="1" ht="12.75" x14ac:dyDescent="0.2">
      <c r="B28203" s="1168"/>
    </row>
    <row r="28204" spans="2:2" s="221" customFormat="1" ht="12.75" x14ac:dyDescent="0.2">
      <c r="B28204" s="1168"/>
    </row>
    <row r="28205" spans="2:2" s="221" customFormat="1" ht="12.75" x14ac:dyDescent="0.2">
      <c r="B28205" s="1168"/>
    </row>
    <row r="28206" spans="2:2" s="221" customFormat="1" ht="12.75" x14ac:dyDescent="0.2">
      <c r="B28206" s="1168"/>
    </row>
    <row r="28207" spans="2:2" s="221" customFormat="1" ht="12.75" x14ac:dyDescent="0.2">
      <c r="B28207" s="1168"/>
    </row>
    <row r="28208" spans="2:2" s="221" customFormat="1" ht="12.75" x14ac:dyDescent="0.2">
      <c r="B28208" s="1168"/>
    </row>
    <row r="28209" spans="2:2" s="221" customFormat="1" ht="12.75" x14ac:dyDescent="0.2">
      <c r="B28209" s="1168"/>
    </row>
    <row r="28210" spans="2:2" s="221" customFormat="1" ht="12.75" x14ac:dyDescent="0.2">
      <c r="B28210" s="1168"/>
    </row>
    <row r="28211" spans="2:2" s="221" customFormat="1" ht="12.75" x14ac:dyDescent="0.2">
      <c r="B28211" s="1168"/>
    </row>
    <row r="28212" spans="2:2" s="221" customFormat="1" ht="12.75" x14ac:dyDescent="0.2">
      <c r="B28212" s="1168"/>
    </row>
    <row r="28213" spans="2:2" s="221" customFormat="1" ht="12.75" x14ac:dyDescent="0.2">
      <c r="B28213" s="1168"/>
    </row>
    <row r="28214" spans="2:2" s="221" customFormat="1" ht="12.75" x14ac:dyDescent="0.2">
      <c r="B28214" s="1168"/>
    </row>
    <row r="28215" spans="2:2" s="221" customFormat="1" ht="12.75" x14ac:dyDescent="0.2">
      <c r="B28215" s="1168"/>
    </row>
    <row r="28216" spans="2:2" s="221" customFormat="1" ht="12.75" x14ac:dyDescent="0.2">
      <c r="B28216" s="1168"/>
    </row>
    <row r="28217" spans="2:2" s="221" customFormat="1" ht="12.75" x14ac:dyDescent="0.2">
      <c r="B28217" s="1168"/>
    </row>
    <row r="28218" spans="2:2" s="221" customFormat="1" ht="12.75" x14ac:dyDescent="0.2">
      <c r="B28218" s="1168"/>
    </row>
    <row r="28219" spans="2:2" s="221" customFormat="1" ht="12.75" x14ac:dyDescent="0.2">
      <c r="B28219" s="1168"/>
    </row>
    <row r="28220" spans="2:2" s="221" customFormat="1" ht="12.75" x14ac:dyDescent="0.2">
      <c r="B28220" s="1168"/>
    </row>
    <row r="28221" spans="2:2" s="221" customFormat="1" ht="12.75" x14ac:dyDescent="0.2">
      <c r="B28221" s="1168"/>
    </row>
    <row r="28222" spans="2:2" s="221" customFormat="1" ht="12.75" x14ac:dyDescent="0.2">
      <c r="B28222" s="1168"/>
    </row>
    <row r="28223" spans="2:2" s="221" customFormat="1" ht="12.75" x14ac:dyDescent="0.2">
      <c r="B28223" s="1168"/>
    </row>
    <row r="28224" spans="2:2" s="221" customFormat="1" ht="12.75" x14ac:dyDescent="0.2">
      <c r="B28224" s="1168"/>
    </row>
    <row r="28225" spans="2:2" s="221" customFormat="1" ht="12.75" x14ac:dyDescent="0.2">
      <c r="B28225" s="1168"/>
    </row>
    <row r="28226" spans="2:2" s="221" customFormat="1" ht="12.75" x14ac:dyDescent="0.2">
      <c r="B28226" s="1168"/>
    </row>
    <row r="28227" spans="2:2" s="221" customFormat="1" ht="12.75" x14ac:dyDescent="0.2">
      <c r="B28227" s="1168"/>
    </row>
    <row r="28228" spans="2:2" s="221" customFormat="1" ht="12.75" x14ac:dyDescent="0.2">
      <c r="B28228" s="1168"/>
    </row>
    <row r="28229" spans="2:2" s="221" customFormat="1" ht="12.75" x14ac:dyDescent="0.2">
      <c r="B28229" s="1168"/>
    </row>
    <row r="28230" spans="2:2" s="221" customFormat="1" ht="12.75" x14ac:dyDescent="0.2">
      <c r="B28230" s="1168"/>
    </row>
    <row r="28231" spans="2:2" s="221" customFormat="1" ht="12.75" x14ac:dyDescent="0.2">
      <c r="B28231" s="1168"/>
    </row>
    <row r="28232" spans="2:2" s="221" customFormat="1" ht="12.75" x14ac:dyDescent="0.2">
      <c r="B28232" s="1168"/>
    </row>
    <row r="28233" spans="2:2" s="221" customFormat="1" ht="12.75" x14ac:dyDescent="0.2">
      <c r="B28233" s="1168"/>
    </row>
    <row r="28234" spans="2:2" s="221" customFormat="1" ht="12.75" x14ac:dyDescent="0.2">
      <c r="B28234" s="1168"/>
    </row>
    <row r="28235" spans="2:2" s="221" customFormat="1" ht="12.75" x14ac:dyDescent="0.2">
      <c r="B28235" s="1168"/>
    </row>
    <row r="28236" spans="2:2" s="221" customFormat="1" ht="12.75" x14ac:dyDescent="0.2">
      <c r="B28236" s="1168"/>
    </row>
    <row r="28237" spans="2:2" s="221" customFormat="1" ht="12.75" x14ac:dyDescent="0.2">
      <c r="B28237" s="1168"/>
    </row>
    <row r="28238" spans="2:2" s="221" customFormat="1" ht="12.75" x14ac:dyDescent="0.2">
      <c r="B28238" s="1168"/>
    </row>
    <row r="28239" spans="2:2" s="221" customFormat="1" ht="12.75" x14ac:dyDescent="0.2">
      <c r="B28239" s="1168"/>
    </row>
    <row r="28240" spans="2:2" s="221" customFormat="1" ht="12.75" x14ac:dyDescent="0.2">
      <c r="B28240" s="1168"/>
    </row>
    <row r="28241" spans="2:2" s="221" customFormat="1" ht="12.75" x14ac:dyDescent="0.2">
      <c r="B28241" s="1168"/>
    </row>
    <row r="28242" spans="2:2" s="221" customFormat="1" ht="12.75" x14ac:dyDescent="0.2">
      <c r="B28242" s="1168"/>
    </row>
    <row r="28243" spans="2:2" s="221" customFormat="1" ht="12.75" x14ac:dyDescent="0.2">
      <c r="B28243" s="1168"/>
    </row>
    <row r="28244" spans="2:2" s="221" customFormat="1" ht="12.75" x14ac:dyDescent="0.2">
      <c r="B28244" s="1168"/>
    </row>
    <row r="28245" spans="2:2" s="221" customFormat="1" ht="12.75" x14ac:dyDescent="0.2">
      <c r="B28245" s="1168"/>
    </row>
    <row r="28246" spans="2:2" s="221" customFormat="1" ht="12.75" x14ac:dyDescent="0.2">
      <c r="B28246" s="1168"/>
    </row>
    <row r="28247" spans="2:2" s="221" customFormat="1" ht="12.75" x14ac:dyDescent="0.2">
      <c r="B28247" s="1168"/>
    </row>
    <row r="28248" spans="2:2" s="221" customFormat="1" ht="12.75" x14ac:dyDescent="0.2">
      <c r="B28248" s="1168"/>
    </row>
    <row r="28249" spans="2:2" s="221" customFormat="1" ht="12.75" x14ac:dyDescent="0.2">
      <c r="B28249" s="1168"/>
    </row>
    <row r="28250" spans="2:2" s="221" customFormat="1" ht="12.75" x14ac:dyDescent="0.2">
      <c r="B28250" s="1168"/>
    </row>
    <row r="28251" spans="2:2" s="221" customFormat="1" ht="12.75" x14ac:dyDescent="0.2">
      <c r="B28251" s="1168"/>
    </row>
    <row r="28252" spans="2:2" s="221" customFormat="1" ht="12.75" x14ac:dyDescent="0.2">
      <c r="B28252" s="1168"/>
    </row>
    <row r="28253" spans="2:2" s="221" customFormat="1" ht="12.75" x14ac:dyDescent="0.2">
      <c r="B28253" s="1168"/>
    </row>
    <row r="28254" spans="2:2" s="221" customFormat="1" ht="12.75" x14ac:dyDescent="0.2">
      <c r="B28254" s="1168"/>
    </row>
    <row r="28255" spans="2:2" s="221" customFormat="1" ht="12.75" x14ac:dyDescent="0.2">
      <c r="B28255" s="1168"/>
    </row>
    <row r="28256" spans="2:2" s="221" customFormat="1" ht="12.75" x14ac:dyDescent="0.2">
      <c r="B28256" s="1168"/>
    </row>
    <row r="28257" spans="2:2" s="221" customFormat="1" ht="12.75" x14ac:dyDescent="0.2">
      <c r="B28257" s="1168"/>
    </row>
    <row r="28258" spans="2:2" s="221" customFormat="1" ht="12.75" x14ac:dyDescent="0.2">
      <c r="B28258" s="1168"/>
    </row>
    <row r="28259" spans="2:2" s="221" customFormat="1" ht="12.75" x14ac:dyDescent="0.2">
      <c r="B28259" s="1168"/>
    </row>
    <row r="28260" spans="2:2" s="221" customFormat="1" ht="12.75" x14ac:dyDescent="0.2">
      <c r="B28260" s="1168"/>
    </row>
    <row r="28261" spans="2:2" s="221" customFormat="1" ht="12.75" x14ac:dyDescent="0.2">
      <c r="B28261" s="1168"/>
    </row>
    <row r="28262" spans="2:2" s="221" customFormat="1" ht="12.75" x14ac:dyDescent="0.2">
      <c r="B28262" s="1168"/>
    </row>
    <row r="28263" spans="2:2" s="221" customFormat="1" ht="12.75" x14ac:dyDescent="0.2">
      <c r="B28263" s="1168"/>
    </row>
    <row r="28264" spans="2:2" s="221" customFormat="1" ht="12.75" x14ac:dyDescent="0.2">
      <c r="B28264" s="1168"/>
    </row>
    <row r="28265" spans="2:2" s="221" customFormat="1" ht="12.75" x14ac:dyDescent="0.2">
      <c r="B28265" s="1168"/>
    </row>
    <row r="28266" spans="2:2" s="221" customFormat="1" ht="12.75" x14ac:dyDescent="0.2">
      <c r="B28266" s="1168"/>
    </row>
    <row r="28267" spans="2:2" s="221" customFormat="1" ht="12.75" x14ac:dyDescent="0.2">
      <c r="B28267" s="1168"/>
    </row>
    <row r="28268" spans="2:2" s="221" customFormat="1" ht="12.75" x14ac:dyDescent="0.2">
      <c r="B28268" s="1168"/>
    </row>
    <row r="28269" spans="2:2" s="221" customFormat="1" ht="12.75" x14ac:dyDescent="0.2">
      <c r="B28269" s="1168"/>
    </row>
    <row r="28270" spans="2:2" s="221" customFormat="1" ht="12.75" x14ac:dyDescent="0.2">
      <c r="B28270" s="1168"/>
    </row>
    <row r="28271" spans="2:2" s="221" customFormat="1" ht="12.75" x14ac:dyDescent="0.2">
      <c r="B28271" s="1168"/>
    </row>
    <row r="28272" spans="2:2" s="221" customFormat="1" ht="12.75" x14ac:dyDescent="0.2">
      <c r="B28272" s="1168"/>
    </row>
    <row r="28273" spans="2:2" s="221" customFormat="1" ht="12.75" x14ac:dyDescent="0.2">
      <c r="B28273" s="1168"/>
    </row>
    <row r="28274" spans="2:2" s="221" customFormat="1" ht="12.75" x14ac:dyDescent="0.2">
      <c r="B28274" s="1168"/>
    </row>
    <row r="28275" spans="2:2" s="221" customFormat="1" ht="12.75" x14ac:dyDescent="0.2">
      <c r="B28275" s="1168"/>
    </row>
    <row r="28276" spans="2:2" s="221" customFormat="1" ht="12.75" x14ac:dyDescent="0.2">
      <c r="B28276" s="1168"/>
    </row>
    <row r="28277" spans="2:2" s="221" customFormat="1" ht="12.75" x14ac:dyDescent="0.2">
      <c r="B28277" s="1168"/>
    </row>
    <row r="28278" spans="2:2" s="221" customFormat="1" ht="12.75" x14ac:dyDescent="0.2">
      <c r="B28278" s="1168"/>
    </row>
    <row r="28279" spans="2:2" s="221" customFormat="1" ht="12.75" x14ac:dyDescent="0.2">
      <c r="B28279" s="1168"/>
    </row>
    <row r="28280" spans="2:2" s="221" customFormat="1" ht="12.75" x14ac:dyDescent="0.2">
      <c r="B28280" s="1168"/>
    </row>
    <row r="28281" spans="2:2" s="221" customFormat="1" ht="12.75" x14ac:dyDescent="0.2">
      <c r="B28281" s="1168"/>
    </row>
    <row r="28282" spans="2:2" s="221" customFormat="1" ht="12.75" x14ac:dyDescent="0.2">
      <c r="B28282" s="1168"/>
    </row>
    <row r="28283" spans="2:2" s="221" customFormat="1" ht="12.75" x14ac:dyDescent="0.2">
      <c r="B28283" s="1168"/>
    </row>
    <row r="28284" spans="2:2" s="221" customFormat="1" ht="12.75" x14ac:dyDescent="0.2">
      <c r="B28284" s="1168"/>
    </row>
    <row r="28285" spans="2:2" s="221" customFormat="1" ht="12.75" x14ac:dyDescent="0.2">
      <c r="B28285" s="1168"/>
    </row>
    <row r="28286" spans="2:2" s="221" customFormat="1" ht="12.75" x14ac:dyDescent="0.2">
      <c r="B28286" s="1168"/>
    </row>
    <row r="28287" spans="2:2" s="221" customFormat="1" ht="12.75" x14ac:dyDescent="0.2">
      <c r="B28287" s="1168"/>
    </row>
    <row r="28288" spans="2:2" s="221" customFormat="1" ht="12.75" x14ac:dyDescent="0.2">
      <c r="B28288" s="1168"/>
    </row>
    <row r="28289" spans="2:2" s="221" customFormat="1" ht="12.75" x14ac:dyDescent="0.2">
      <c r="B28289" s="1168"/>
    </row>
    <row r="28290" spans="2:2" s="221" customFormat="1" ht="12.75" x14ac:dyDescent="0.2">
      <c r="B28290" s="1168"/>
    </row>
    <row r="28291" spans="2:2" s="221" customFormat="1" ht="12.75" x14ac:dyDescent="0.2">
      <c r="B28291" s="1168"/>
    </row>
    <row r="28292" spans="2:2" s="221" customFormat="1" ht="12.75" x14ac:dyDescent="0.2">
      <c r="B28292" s="1168"/>
    </row>
    <row r="28293" spans="2:2" s="221" customFormat="1" ht="12.75" x14ac:dyDescent="0.2">
      <c r="B28293" s="1168"/>
    </row>
    <row r="28294" spans="2:2" s="221" customFormat="1" ht="12.75" x14ac:dyDescent="0.2">
      <c r="B28294" s="1168"/>
    </row>
    <row r="28295" spans="2:2" s="221" customFormat="1" ht="12.75" x14ac:dyDescent="0.2">
      <c r="B28295" s="1168"/>
    </row>
    <row r="28296" spans="2:2" s="221" customFormat="1" ht="12.75" x14ac:dyDescent="0.2">
      <c r="B28296" s="1168"/>
    </row>
    <row r="28297" spans="2:2" s="221" customFormat="1" ht="12.75" x14ac:dyDescent="0.2">
      <c r="B28297" s="1168"/>
    </row>
    <row r="28298" spans="2:2" s="221" customFormat="1" ht="12.75" x14ac:dyDescent="0.2">
      <c r="B28298" s="1168"/>
    </row>
    <row r="28299" spans="2:2" s="221" customFormat="1" ht="12.75" x14ac:dyDescent="0.2">
      <c r="B28299" s="1168"/>
    </row>
    <row r="28300" spans="2:2" s="221" customFormat="1" ht="12.75" x14ac:dyDescent="0.2">
      <c r="B28300" s="1168"/>
    </row>
    <row r="28301" spans="2:2" s="221" customFormat="1" ht="12.75" x14ac:dyDescent="0.2">
      <c r="B28301" s="1168"/>
    </row>
    <row r="28302" spans="2:2" s="221" customFormat="1" ht="12.75" x14ac:dyDescent="0.2">
      <c r="B28302" s="1168"/>
    </row>
    <row r="28303" spans="2:2" s="221" customFormat="1" ht="12.75" x14ac:dyDescent="0.2">
      <c r="B28303" s="1168"/>
    </row>
    <row r="28304" spans="2:2" s="221" customFormat="1" ht="12.75" x14ac:dyDescent="0.2">
      <c r="B28304" s="1168"/>
    </row>
    <row r="28305" spans="2:2" s="221" customFormat="1" ht="12.75" x14ac:dyDescent="0.2">
      <c r="B28305" s="1168"/>
    </row>
    <row r="28306" spans="2:2" s="221" customFormat="1" ht="12.75" x14ac:dyDescent="0.2">
      <c r="B28306" s="1168"/>
    </row>
    <row r="28307" spans="2:2" s="221" customFormat="1" ht="12.75" x14ac:dyDescent="0.2">
      <c r="B28307" s="1168"/>
    </row>
    <row r="28308" spans="2:2" s="221" customFormat="1" ht="12.75" x14ac:dyDescent="0.2">
      <c r="B28308" s="1168"/>
    </row>
    <row r="28309" spans="2:2" s="221" customFormat="1" ht="12.75" x14ac:dyDescent="0.2">
      <c r="B28309" s="1168"/>
    </row>
    <row r="28310" spans="2:2" s="221" customFormat="1" ht="12.75" x14ac:dyDescent="0.2">
      <c r="B28310" s="1168"/>
    </row>
    <row r="28311" spans="2:2" s="221" customFormat="1" ht="12.75" x14ac:dyDescent="0.2">
      <c r="B28311" s="1168"/>
    </row>
    <row r="28312" spans="2:2" s="221" customFormat="1" ht="12.75" x14ac:dyDescent="0.2">
      <c r="B28312" s="1168"/>
    </row>
    <row r="28313" spans="2:2" s="221" customFormat="1" ht="12.75" x14ac:dyDescent="0.2">
      <c r="B28313" s="1168"/>
    </row>
    <row r="28314" spans="2:2" s="221" customFormat="1" ht="12.75" x14ac:dyDescent="0.2">
      <c r="B28314" s="1168"/>
    </row>
    <row r="28315" spans="2:2" s="221" customFormat="1" ht="12.75" x14ac:dyDescent="0.2">
      <c r="B28315" s="1168"/>
    </row>
    <row r="28316" spans="2:2" s="221" customFormat="1" ht="12.75" x14ac:dyDescent="0.2">
      <c r="B28316" s="1168"/>
    </row>
    <row r="28317" spans="2:2" s="221" customFormat="1" ht="12.75" x14ac:dyDescent="0.2">
      <c r="B28317" s="1168"/>
    </row>
    <row r="28318" spans="2:2" s="221" customFormat="1" ht="12.75" x14ac:dyDescent="0.2">
      <c r="B28318" s="1168"/>
    </row>
    <row r="28319" spans="2:2" s="221" customFormat="1" ht="12.75" x14ac:dyDescent="0.2">
      <c r="B28319" s="1168"/>
    </row>
    <row r="28320" spans="2:2" s="221" customFormat="1" ht="12.75" x14ac:dyDescent="0.2">
      <c r="B28320" s="1168"/>
    </row>
    <row r="28321" spans="2:2" s="221" customFormat="1" ht="12.75" x14ac:dyDescent="0.2">
      <c r="B28321" s="1168"/>
    </row>
    <row r="28322" spans="2:2" s="221" customFormat="1" ht="12.75" x14ac:dyDescent="0.2">
      <c r="B28322" s="1168"/>
    </row>
    <row r="28323" spans="2:2" s="221" customFormat="1" ht="12.75" x14ac:dyDescent="0.2">
      <c r="B28323" s="1168"/>
    </row>
    <row r="28324" spans="2:2" s="221" customFormat="1" ht="12.75" x14ac:dyDescent="0.2">
      <c r="B28324" s="1168"/>
    </row>
    <row r="28325" spans="2:2" s="221" customFormat="1" ht="12.75" x14ac:dyDescent="0.2">
      <c r="B28325" s="1168"/>
    </row>
    <row r="28326" spans="2:2" s="221" customFormat="1" ht="12.75" x14ac:dyDescent="0.2">
      <c r="B28326" s="1168"/>
    </row>
    <row r="28327" spans="2:2" s="221" customFormat="1" ht="12.75" x14ac:dyDescent="0.2">
      <c r="B28327" s="1168"/>
    </row>
    <row r="28328" spans="2:2" s="221" customFormat="1" ht="12.75" x14ac:dyDescent="0.2">
      <c r="B28328" s="1168"/>
    </row>
    <row r="28329" spans="2:2" s="221" customFormat="1" ht="12.75" x14ac:dyDescent="0.2">
      <c r="B28329" s="1168"/>
    </row>
    <row r="28330" spans="2:2" s="221" customFormat="1" ht="12.75" x14ac:dyDescent="0.2">
      <c r="B28330" s="1168"/>
    </row>
    <row r="28331" spans="2:2" s="221" customFormat="1" ht="12.75" x14ac:dyDescent="0.2">
      <c r="B28331" s="1168"/>
    </row>
    <row r="28332" spans="2:2" s="221" customFormat="1" ht="12.75" x14ac:dyDescent="0.2">
      <c r="B28332" s="1168"/>
    </row>
    <row r="28333" spans="2:2" s="221" customFormat="1" ht="12.75" x14ac:dyDescent="0.2">
      <c r="B28333" s="1168"/>
    </row>
    <row r="28334" spans="2:2" s="221" customFormat="1" ht="12.75" x14ac:dyDescent="0.2">
      <c r="B28334" s="1168"/>
    </row>
    <row r="28335" spans="2:2" s="221" customFormat="1" ht="12.75" x14ac:dyDescent="0.2">
      <c r="B28335" s="1168"/>
    </row>
    <row r="28336" spans="2:2" s="221" customFormat="1" ht="12.75" x14ac:dyDescent="0.2">
      <c r="B28336" s="1168"/>
    </row>
    <row r="28337" spans="2:2" s="221" customFormat="1" ht="12.75" x14ac:dyDescent="0.2">
      <c r="B28337" s="1168"/>
    </row>
    <row r="28338" spans="2:2" s="221" customFormat="1" ht="12.75" x14ac:dyDescent="0.2">
      <c r="B28338" s="1168"/>
    </row>
    <row r="28339" spans="2:2" s="221" customFormat="1" ht="12.75" x14ac:dyDescent="0.2">
      <c r="B28339" s="1168"/>
    </row>
    <row r="28340" spans="2:2" s="221" customFormat="1" ht="12.75" x14ac:dyDescent="0.2">
      <c r="B28340" s="1168"/>
    </row>
    <row r="28341" spans="2:2" s="221" customFormat="1" ht="12.75" x14ac:dyDescent="0.2">
      <c r="B28341" s="1168"/>
    </row>
    <row r="28342" spans="2:2" s="221" customFormat="1" ht="12.75" x14ac:dyDescent="0.2">
      <c r="B28342" s="1168"/>
    </row>
    <row r="28343" spans="2:2" s="221" customFormat="1" ht="12.75" x14ac:dyDescent="0.2">
      <c r="B28343" s="1168"/>
    </row>
    <row r="28344" spans="2:2" s="221" customFormat="1" ht="12.75" x14ac:dyDescent="0.2">
      <c r="B28344" s="1168"/>
    </row>
    <row r="28345" spans="2:2" s="221" customFormat="1" ht="12.75" x14ac:dyDescent="0.2">
      <c r="B28345" s="1168"/>
    </row>
    <row r="28346" spans="2:2" s="221" customFormat="1" ht="12.75" x14ac:dyDescent="0.2">
      <c r="B28346" s="1168"/>
    </row>
    <row r="28347" spans="2:2" s="221" customFormat="1" ht="12.75" x14ac:dyDescent="0.2">
      <c r="B28347" s="1168"/>
    </row>
    <row r="28348" spans="2:2" s="221" customFormat="1" ht="12.75" x14ac:dyDescent="0.2">
      <c r="B28348" s="1168"/>
    </row>
    <row r="28349" spans="2:2" s="221" customFormat="1" ht="12.75" x14ac:dyDescent="0.2">
      <c r="B28349" s="1168"/>
    </row>
    <row r="28350" spans="2:2" s="221" customFormat="1" ht="12.75" x14ac:dyDescent="0.2">
      <c r="B28350" s="1168"/>
    </row>
    <row r="28351" spans="2:2" s="221" customFormat="1" ht="12.75" x14ac:dyDescent="0.2">
      <c r="B28351" s="1168"/>
    </row>
    <row r="28352" spans="2:2" s="221" customFormat="1" ht="12.75" x14ac:dyDescent="0.2">
      <c r="B28352" s="1168"/>
    </row>
    <row r="28353" spans="2:2" s="221" customFormat="1" ht="12.75" x14ac:dyDescent="0.2">
      <c r="B28353" s="1168"/>
    </row>
    <row r="28354" spans="2:2" s="221" customFormat="1" ht="12.75" x14ac:dyDescent="0.2">
      <c r="B28354" s="1168"/>
    </row>
    <row r="28355" spans="2:2" s="221" customFormat="1" ht="12.75" x14ac:dyDescent="0.2">
      <c r="B28355" s="1168"/>
    </row>
    <row r="28356" spans="2:2" s="221" customFormat="1" ht="12.75" x14ac:dyDescent="0.2">
      <c r="B28356" s="1168"/>
    </row>
    <row r="28357" spans="2:2" s="221" customFormat="1" ht="12.75" x14ac:dyDescent="0.2">
      <c r="B28357" s="1168"/>
    </row>
    <row r="28358" spans="2:2" s="221" customFormat="1" ht="12.75" x14ac:dyDescent="0.2">
      <c r="B28358" s="1168"/>
    </row>
    <row r="28359" spans="2:2" s="221" customFormat="1" ht="12.75" x14ac:dyDescent="0.2">
      <c r="B28359" s="1168"/>
    </row>
    <row r="28360" spans="2:2" s="221" customFormat="1" ht="12.75" x14ac:dyDescent="0.2">
      <c r="B28360" s="1168"/>
    </row>
    <row r="28361" spans="2:2" s="221" customFormat="1" ht="12.75" x14ac:dyDescent="0.2">
      <c r="B28361" s="1168"/>
    </row>
    <row r="28362" spans="2:2" s="221" customFormat="1" ht="12.75" x14ac:dyDescent="0.2">
      <c r="B28362" s="1168"/>
    </row>
    <row r="28363" spans="2:2" s="221" customFormat="1" ht="12.75" x14ac:dyDescent="0.2">
      <c r="B28363" s="1168"/>
    </row>
    <row r="28364" spans="2:2" s="221" customFormat="1" ht="12.75" x14ac:dyDescent="0.2">
      <c r="B28364" s="1168"/>
    </row>
    <row r="28365" spans="2:2" s="221" customFormat="1" ht="12.75" x14ac:dyDescent="0.2">
      <c r="B28365" s="1168"/>
    </row>
    <row r="28366" spans="2:2" s="221" customFormat="1" ht="12.75" x14ac:dyDescent="0.2">
      <c r="B28366" s="1168"/>
    </row>
    <row r="28367" spans="2:2" s="221" customFormat="1" ht="12.75" x14ac:dyDescent="0.2">
      <c r="B28367" s="1168"/>
    </row>
    <row r="28368" spans="2:2" s="221" customFormat="1" ht="12.75" x14ac:dyDescent="0.2">
      <c r="B28368" s="1168"/>
    </row>
    <row r="28369" spans="2:2" s="221" customFormat="1" ht="12.75" x14ac:dyDescent="0.2">
      <c r="B28369" s="1168"/>
    </row>
    <row r="28370" spans="2:2" s="221" customFormat="1" ht="12.75" x14ac:dyDescent="0.2">
      <c r="B28370" s="1168"/>
    </row>
    <row r="28371" spans="2:2" s="221" customFormat="1" ht="12.75" x14ac:dyDescent="0.2">
      <c r="B28371" s="1168"/>
    </row>
    <row r="28372" spans="2:2" s="221" customFormat="1" ht="12.75" x14ac:dyDescent="0.2">
      <c r="B28372" s="1168"/>
    </row>
    <row r="28373" spans="2:2" s="221" customFormat="1" ht="12.75" x14ac:dyDescent="0.2">
      <c r="B28373" s="1168"/>
    </row>
    <row r="28374" spans="2:2" s="221" customFormat="1" ht="12.75" x14ac:dyDescent="0.2">
      <c r="B28374" s="1168"/>
    </row>
    <row r="28375" spans="2:2" s="221" customFormat="1" ht="12.75" x14ac:dyDescent="0.2">
      <c r="B28375" s="1168"/>
    </row>
    <row r="28376" spans="2:2" s="221" customFormat="1" ht="12.75" x14ac:dyDescent="0.2">
      <c r="B28376" s="1168"/>
    </row>
    <row r="28377" spans="2:2" s="221" customFormat="1" ht="12.75" x14ac:dyDescent="0.2">
      <c r="B28377" s="1168"/>
    </row>
    <row r="28378" spans="2:2" s="221" customFormat="1" ht="12.75" x14ac:dyDescent="0.2">
      <c r="B28378" s="1168"/>
    </row>
    <row r="28379" spans="2:2" s="221" customFormat="1" ht="12.75" x14ac:dyDescent="0.2">
      <c r="B28379" s="1168"/>
    </row>
    <row r="28380" spans="2:2" s="221" customFormat="1" ht="12.75" x14ac:dyDescent="0.2">
      <c r="B28380" s="1168"/>
    </row>
    <row r="28381" spans="2:2" s="221" customFormat="1" ht="12.75" x14ac:dyDescent="0.2">
      <c r="B28381" s="1168"/>
    </row>
    <row r="28382" spans="2:2" s="221" customFormat="1" ht="12.75" x14ac:dyDescent="0.2">
      <c r="B28382" s="1168"/>
    </row>
    <row r="28383" spans="2:2" s="221" customFormat="1" ht="12.75" x14ac:dyDescent="0.2">
      <c r="B28383" s="1168"/>
    </row>
    <row r="28384" spans="2:2" s="221" customFormat="1" ht="12.75" x14ac:dyDescent="0.2">
      <c r="B28384" s="1168"/>
    </row>
    <row r="28385" spans="2:2" s="221" customFormat="1" ht="12.75" x14ac:dyDescent="0.2">
      <c r="B28385" s="1168"/>
    </row>
    <row r="28386" spans="2:2" s="221" customFormat="1" ht="12.75" x14ac:dyDescent="0.2">
      <c r="B28386" s="1168"/>
    </row>
    <row r="28387" spans="2:2" s="221" customFormat="1" ht="12.75" x14ac:dyDescent="0.2">
      <c r="B28387" s="1168"/>
    </row>
    <row r="28388" spans="2:2" s="221" customFormat="1" ht="12.75" x14ac:dyDescent="0.2">
      <c r="B28388" s="1168"/>
    </row>
    <row r="28389" spans="2:2" s="221" customFormat="1" ht="12.75" x14ac:dyDescent="0.2">
      <c r="B28389" s="1168"/>
    </row>
    <row r="28390" spans="2:2" s="221" customFormat="1" ht="12.75" x14ac:dyDescent="0.2">
      <c r="B28390" s="1168"/>
    </row>
    <row r="28391" spans="2:2" s="221" customFormat="1" ht="12.75" x14ac:dyDescent="0.2">
      <c r="B28391" s="1168"/>
    </row>
    <row r="28392" spans="2:2" s="221" customFormat="1" ht="12.75" x14ac:dyDescent="0.2">
      <c r="B28392" s="1168"/>
    </row>
    <row r="28393" spans="2:2" s="221" customFormat="1" ht="12.75" x14ac:dyDescent="0.2">
      <c r="B28393" s="1168"/>
    </row>
    <row r="28394" spans="2:2" s="221" customFormat="1" ht="12.75" x14ac:dyDescent="0.2">
      <c r="B28394" s="1168"/>
    </row>
    <row r="28395" spans="2:2" s="221" customFormat="1" ht="12.75" x14ac:dyDescent="0.2">
      <c r="B28395" s="1168"/>
    </row>
    <row r="28396" spans="2:2" s="221" customFormat="1" ht="12.75" x14ac:dyDescent="0.2">
      <c r="B28396" s="1168"/>
    </row>
    <row r="28397" spans="2:2" s="221" customFormat="1" ht="12.75" x14ac:dyDescent="0.2">
      <c r="B28397" s="1168"/>
    </row>
    <row r="28398" spans="2:2" s="221" customFormat="1" ht="12.75" x14ac:dyDescent="0.2">
      <c r="B28398" s="1168"/>
    </row>
    <row r="28399" spans="2:2" s="221" customFormat="1" ht="12.75" x14ac:dyDescent="0.2">
      <c r="B28399" s="1168"/>
    </row>
    <row r="28400" spans="2:2" s="221" customFormat="1" ht="12.75" x14ac:dyDescent="0.2">
      <c r="B28400" s="1168"/>
    </row>
    <row r="28401" spans="2:2" s="221" customFormat="1" ht="12.75" x14ac:dyDescent="0.2">
      <c r="B28401" s="1168"/>
    </row>
    <row r="28402" spans="2:2" s="221" customFormat="1" ht="12.75" x14ac:dyDescent="0.2">
      <c r="B28402" s="1168"/>
    </row>
    <row r="28403" spans="2:2" s="221" customFormat="1" ht="12.75" x14ac:dyDescent="0.2">
      <c r="B28403" s="1168"/>
    </row>
    <row r="28404" spans="2:2" s="221" customFormat="1" ht="12.75" x14ac:dyDescent="0.2">
      <c r="B28404" s="1168"/>
    </row>
    <row r="28405" spans="2:2" s="221" customFormat="1" ht="12.75" x14ac:dyDescent="0.2">
      <c r="B28405" s="1168"/>
    </row>
    <row r="28406" spans="2:2" s="221" customFormat="1" ht="12.75" x14ac:dyDescent="0.2">
      <c r="B28406" s="1168"/>
    </row>
    <row r="28407" spans="2:2" s="221" customFormat="1" ht="12.75" x14ac:dyDescent="0.2">
      <c r="B28407" s="1168"/>
    </row>
    <row r="28408" spans="2:2" s="221" customFormat="1" ht="12.75" x14ac:dyDescent="0.2">
      <c r="B28408" s="1168"/>
    </row>
    <row r="28409" spans="2:2" s="221" customFormat="1" ht="12.75" x14ac:dyDescent="0.2">
      <c r="B28409" s="1168"/>
    </row>
    <row r="28410" spans="2:2" s="221" customFormat="1" ht="12.75" x14ac:dyDescent="0.2">
      <c r="B28410" s="1168"/>
    </row>
    <row r="28411" spans="2:2" s="221" customFormat="1" ht="12.75" x14ac:dyDescent="0.2">
      <c r="B28411" s="1168"/>
    </row>
    <row r="28412" spans="2:2" s="221" customFormat="1" ht="12.75" x14ac:dyDescent="0.2">
      <c r="B28412" s="1168"/>
    </row>
    <row r="28413" spans="2:2" s="221" customFormat="1" ht="12.75" x14ac:dyDescent="0.2">
      <c r="B28413" s="1168"/>
    </row>
    <row r="28414" spans="2:2" s="221" customFormat="1" ht="12.75" x14ac:dyDescent="0.2">
      <c r="B28414" s="1168"/>
    </row>
    <row r="28415" spans="2:2" s="221" customFormat="1" ht="12.75" x14ac:dyDescent="0.2">
      <c r="B28415" s="1168"/>
    </row>
    <row r="28416" spans="2:2" s="221" customFormat="1" ht="12.75" x14ac:dyDescent="0.2">
      <c r="B28416" s="1168"/>
    </row>
    <row r="28417" spans="2:2" s="221" customFormat="1" ht="12.75" x14ac:dyDescent="0.2">
      <c r="B28417" s="1168"/>
    </row>
    <row r="28418" spans="2:2" s="221" customFormat="1" ht="12.75" x14ac:dyDescent="0.2">
      <c r="B28418" s="1168"/>
    </row>
    <row r="28419" spans="2:2" s="221" customFormat="1" ht="12.75" x14ac:dyDescent="0.2">
      <c r="B28419" s="1168"/>
    </row>
    <row r="28420" spans="2:2" s="221" customFormat="1" ht="12.75" x14ac:dyDescent="0.2">
      <c r="B28420" s="1168"/>
    </row>
    <row r="28421" spans="2:2" s="221" customFormat="1" ht="12.75" x14ac:dyDescent="0.2">
      <c r="B28421" s="1168"/>
    </row>
    <row r="28422" spans="2:2" s="221" customFormat="1" ht="12.75" x14ac:dyDescent="0.2">
      <c r="B28422" s="1168"/>
    </row>
    <row r="28423" spans="2:2" s="221" customFormat="1" ht="12.75" x14ac:dyDescent="0.2">
      <c r="B28423" s="1168"/>
    </row>
    <row r="28424" spans="2:2" s="221" customFormat="1" ht="12.75" x14ac:dyDescent="0.2">
      <c r="B28424" s="1168"/>
    </row>
    <row r="28425" spans="2:2" s="221" customFormat="1" ht="12.75" x14ac:dyDescent="0.2">
      <c r="B28425" s="1168"/>
    </row>
    <row r="28426" spans="2:2" s="221" customFormat="1" ht="12.75" x14ac:dyDescent="0.2">
      <c r="B28426" s="1168"/>
    </row>
    <row r="28427" spans="2:2" s="221" customFormat="1" ht="12.75" x14ac:dyDescent="0.2">
      <c r="B28427" s="1168"/>
    </row>
    <row r="28428" spans="2:2" s="221" customFormat="1" ht="12.75" x14ac:dyDescent="0.2">
      <c r="B28428" s="1168"/>
    </row>
    <row r="28429" spans="2:2" s="221" customFormat="1" ht="12.75" x14ac:dyDescent="0.2">
      <c r="B28429" s="1168"/>
    </row>
    <row r="28430" spans="2:2" s="221" customFormat="1" ht="12.75" x14ac:dyDescent="0.2">
      <c r="B28430" s="1168"/>
    </row>
    <row r="28431" spans="2:2" s="221" customFormat="1" ht="12.75" x14ac:dyDescent="0.2">
      <c r="B28431" s="1168"/>
    </row>
    <row r="28432" spans="2:2" s="221" customFormat="1" ht="12.75" x14ac:dyDescent="0.2">
      <c r="B28432" s="1168"/>
    </row>
    <row r="28433" spans="2:2" s="221" customFormat="1" ht="12.75" x14ac:dyDescent="0.2">
      <c r="B28433" s="1168"/>
    </row>
    <row r="28434" spans="2:2" s="221" customFormat="1" ht="12.75" x14ac:dyDescent="0.2">
      <c r="B28434" s="1168"/>
    </row>
    <row r="28435" spans="2:2" s="221" customFormat="1" ht="12.75" x14ac:dyDescent="0.2">
      <c r="B28435" s="1168"/>
    </row>
    <row r="28436" spans="2:2" s="221" customFormat="1" ht="12.75" x14ac:dyDescent="0.2">
      <c r="B28436" s="1168"/>
    </row>
    <row r="28437" spans="2:2" s="221" customFormat="1" ht="12.75" x14ac:dyDescent="0.2">
      <c r="B28437" s="1168"/>
    </row>
    <row r="28438" spans="2:2" s="221" customFormat="1" ht="12.75" x14ac:dyDescent="0.2">
      <c r="B28438" s="1168"/>
    </row>
    <row r="28439" spans="2:2" s="221" customFormat="1" ht="12.75" x14ac:dyDescent="0.2">
      <c r="B28439" s="1168"/>
    </row>
    <row r="28440" spans="2:2" s="221" customFormat="1" ht="12.75" x14ac:dyDescent="0.2">
      <c r="B28440" s="1168"/>
    </row>
    <row r="28441" spans="2:2" s="221" customFormat="1" ht="12.75" x14ac:dyDescent="0.2">
      <c r="B28441" s="1168"/>
    </row>
    <row r="28442" spans="2:2" s="221" customFormat="1" ht="12.75" x14ac:dyDescent="0.2">
      <c r="B28442" s="1168"/>
    </row>
    <row r="28443" spans="2:2" s="221" customFormat="1" ht="12.75" x14ac:dyDescent="0.2">
      <c r="B28443" s="1168"/>
    </row>
    <row r="28444" spans="2:2" s="221" customFormat="1" ht="12.75" x14ac:dyDescent="0.2">
      <c r="B28444" s="1168"/>
    </row>
    <row r="28445" spans="2:2" s="221" customFormat="1" ht="12.75" x14ac:dyDescent="0.2">
      <c r="B28445" s="1168"/>
    </row>
    <row r="28446" spans="2:2" s="221" customFormat="1" ht="12.75" x14ac:dyDescent="0.2">
      <c r="B28446" s="1168"/>
    </row>
    <row r="28447" spans="2:2" s="221" customFormat="1" ht="12.75" x14ac:dyDescent="0.2">
      <c r="B28447" s="1168"/>
    </row>
    <row r="28448" spans="2:2" s="221" customFormat="1" ht="12.75" x14ac:dyDescent="0.2">
      <c r="B28448" s="1168"/>
    </row>
    <row r="28449" spans="2:2" s="221" customFormat="1" ht="12.75" x14ac:dyDescent="0.2">
      <c r="B28449" s="1168"/>
    </row>
    <row r="28450" spans="2:2" s="221" customFormat="1" ht="12.75" x14ac:dyDescent="0.2">
      <c r="B28450" s="1168"/>
    </row>
    <row r="28451" spans="2:2" s="221" customFormat="1" ht="12.75" x14ac:dyDescent="0.2">
      <c r="B28451" s="1168"/>
    </row>
    <row r="28452" spans="2:2" s="221" customFormat="1" ht="12.75" x14ac:dyDescent="0.2">
      <c r="B28452" s="1168"/>
    </row>
    <row r="28453" spans="2:2" s="221" customFormat="1" ht="12.75" x14ac:dyDescent="0.2">
      <c r="B28453" s="1168"/>
    </row>
    <row r="28454" spans="2:2" s="221" customFormat="1" ht="12.75" x14ac:dyDescent="0.2">
      <c r="B28454" s="1168"/>
    </row>
    <row r="28455" spans="2:2" s="221" customFormat="1" ht="12.75" x14ac:dyDescent="0.2">
      <c r="B28455" s="1168"/>
    </row>
    <row r="28456" spans="2:2" s="221" customFormat="1" ht="12.75" x14ac:dyDescent="0.2">
      <c r="B28456" s="1168"/>
    </row>
    <row r="28457" spans="2:2" s="221" customFormat="1" ht="12.75" x14ac:dyDescent="0.2">
      <c r="B28457" s="1168"/>
    </row>
    <row r="28458" spans="2:2" s="221" customFormat="1" ht="12.75" x14ac:dyDescent="0.2">
      <c r="B28458" s="1168"/>
    </row>
    <row r="28459" spans="2:2" s="221" customFormat="1" ht="12.75" x14ac:dyDescent="0.2">
      <c r="B28459" s="1168"/>
    </row>
    <row r="28460" spans="2:2" s="221" customFormat="1" ht="12.75" x14ac:dyDescent="0.2">
      <c r="B28460" s="1168"/>
    </row>
    <row r="28461" spans="2:2" s="221" customFormat="1" ht="12.75" x14ac:dyDescent="0.2">
      <c r="B28461" s="1168"/>
    </row>
    <row r="28462" spans="2:2" s="221" customFormat="1" ht="12.75" x14ac:dyDescent="0.2">
      <c r="B28462" s="1168"/>
    </row>
    <row r="28463" spans="2:2" s="221" customFormat="1" ht="12.75" x14ac:dyDescent="0.2">
      <c r="B28463" s="1168"/>
    </row>
    <row r="28464" spans="2:2" s="221" customFormat="1" ht="12.75" x14ac:dyDescent="0.2">
      <c r="B28464" s="1168"/>
    </row>
    <row r="28465" spans="2:2" s="221" customFormat="1" ht="12.75" x14ac:dyDescent="0.2">
      <c r="B28465" s="1168"/>
    </row>
    <row r="28466" spans="2:2" s="221" customFormat="1" ht="12.75" x14ac:dyDescent="0.2">
      <c r="B28466" s="1168"/>
    </row>
    <row r="28467" spans="2:2" s="221" customFormat="1" ht="12.75" x14ac:dyDescent="0.2">
      <c r="B28467" s="1168"/>
    </row>
    <row r="28468" spans="2:2" s="221" customFormat="1" ht="12.75" x14ac:dyDescent="0.2">
      <c r="B28468" s="1168"/>
    </row>
    <row r="28469" spans="2:2" s="221" customFormat="1" ht="12.75" x14ac:dyDescent="0.2">
      <c r="B28469" s="1168"/>
    </row>
    <row r="28470" spans="2:2" s="221" customFormat="1" ht="12.75" x14ac:dyDescent="0.2">
      <c r="B28470" s="1168"/>
    </row>
    <row r="28471" spans="2:2" s="221" customFormat="1" ht="12.75" x14ac:dyDescent="0.2">
      <c r="B28471" s="1168"/>
    </row>
    <row r="28472" spans="2:2" s="221" customFormat="1" ht="12.75" x14ac:dyDescent="0.2">
      <c r="B28472" s="1168"/>
    </row>
    <row r="28473" spans="2:2" s="221" customFormat="1" ht="12.75" x14ac:dyDescent="0.2">
      <c r="B28473" s="1168"/>
    </row>
    <row r="28474" spans="2:2" s="221" customFormat="1" ht="12.75" x14ac:dyDescent="0.2">
      <c r="B28474" s="1168"/>
    </row>
    <row r="28475" spans="2:2" s="221" customFormat="1" ht="12.75" x14ac:dyDescent="0.2">
      <c r="B28475" s="1168"/>
    </row>
    <row r="28476" spans="2:2" s="221" customFormat="1" ht="12.75" x14ac:dyDescent="0.2">
      <c r="B28476" s="1168"/>
    </row>
    <row r="28477" spans="2:2" s="221" customFormat="1" ht="12.75" x14ac:dyDescent="0.2">
      <c r="B28477" s="1168"/>
    </row>
    <row r="28478" spans="2:2" s="221" customFormat="1" ht="12.75" x14ac:dyDescent="0.2">
      <c r="B28478" s="1168"/>
    </row>
    <row r="28479" spans="2:2" s="221" customFormat="1" ht="12.75" x14ac:dyDescent="0.2">
      <c r="B28479" s="1168"/>
    </row>
    <row r="28480" spans="2:2" s="221" customFormat="1" ht="12.75" x14ac:dyDescent="0.2">
      <c r="B28480" s="1168"/>
    </row>
    <row r="28481" spans="2:2" s="221" customFormat="1" ht="12.75" x14ac:dyDescent="0.2">
      <c r="B28481" s="1168"/>
    </row>
    <row r="28482" spans="2:2" s="221" customFormat="1" ht="12.75" x14ac:dyDescent="0.2">
      <c r="B28482" s="1168"/>
    </row>
    <row r="28483" spans="2:2" s="221" customFormat="1" ht="12.75" x14ac:dyDescent="0.2">
      <c r="B28483" s="1168"/>
    </row>
    <row r="28484" spans="2:2" s="221" customFormat="1" ht="12.75" x14ac:dyDescent="0.2">
      <c r="B28484" s="1168"/>
    </row>
    <row r="28485" spans="2:2" s="221" customFormat="1" ht="12.75" x14ac:dyDescent="0.2">
      <c r="B28485" s="1168"/>
    </row>
    <row r="28486" spans="2:2" s="221" customFormat="1" ht="12.75" x14ac:dyDescent="0.2">
      <c r="B28486" s="1168"/>
    </row>
    <row r="28487" spans="2:2" s="221" customFormat="1" ht="12.75" x14ac:dyDescent="0.2">
      <c r="B28487" s="1168"/>
    </row>
    <row r="28488" spans="2:2" s="221" customFormat="1" ht="12.75" x14ac:dyDescent="0.2">
      <c r="B28488" s="1168"/>
    </row>
    <row r="28489" spans="2:2" s="221" customFormat="1" ht="12.75" x14ac:dyDescent="0.2">
      <c r="B28489" s="1168"/>
    </row>
    <row r="28490" spans="2:2" s="221" customFormat="1" ht="12.75" x14ac:dyDescent="0.2">
      <c r="B28490" s="1168"/>
    </row>
    <row r="28491" spans="2:2" s="221" customFormat="1" ht="12.75" x14ac:dyDescent="0.2">
      <c r="B28491" s="1168"/>
    </row>
    <row r="28492" spans="2:2" s="221" customFormat="1" ht="12.75" x14ac:dyDescent="0.2">
      <c r="B28492" s="1168"/>
    </row>
    <row r="28493" spans="2:2" s="221" customFormat="1" ht="12.75" x14ac:dyDescent="0.2">
      <c r="B28493" s="1168"/>
    </row>
    <row r="28494" spans="2:2" s="221" customFormat="1" ht="12.75" x14ac:dyDescent="0.2">
      <c r="B28494" s="1168"/>
    </row>
    <row r="28495" spans="2:2" s="221" customFormat="1" ht="12.75" x14ac:dyDescent="0.2">
      <c r="B28495" s="1168"/>
    </row>
    <row r="28496" spans="2:2" s="221" customFormat="1" ht="12.75" x14ac:dyDescent="0.2">
      <c r="B28496" s="1168"/>
    </row>
    <row r="28497" spans="2:2" s="221" customFormat="1" ht="12.75" x14ac:dyDescent="0.2">
      <c r="B28497" s="1168"/>
    </row>
    <row r="28498" spans="2:2" s="221" customFormat="1" ht="12.75" x14ac:dyDescent="0.2">
      <c r="B28498" s="1168"/>
    </row>
    <row r="28499" spans="2:2" s="221" customFormat="1" ht="12.75" x14ac:dyDescent="0.2">
      <c r="B28499" s="1168"/>
    </row>
    <row r="28500" spans="2:2" s="221" customFormat="1" ht="12.75" x14ac:dyDescent="0.2">
      <c r="B28500" s="1168"/>
    </row>
    <row r="28501" spans="2:2" s="221" customFormat="1" ht="12.75" x14ac:dyDescent="0.2">
      <c r="B28501" s="1168"/>
    </row>
    <row r="28502" spans="2:2" s="221" customFormat="1" ht="12.75" x14ac:dyDescent="0.2">
      <c r="B28502" s="1168"/>
    </row>
    <row r="28503" spans="2:2" s="221" customFormat="1" ht="12.75" x14ac:dyDescent="0.2">
      <c r="B28503" s="1168"/>
    </row>
    <row r="28504" spans="2:2" s="221" customFormat="1" ht="12.75" x14ac:dyDescent="0.2">
      <c r="B28504" s="1168"/>
    </row>
    <row r="28505" spans="2:2" s="221" customFormat="1" ht="12.75" x14ac:dyDescent="0.2">
      <c r="B28505" s="1168"/>
    </row>
    <row r="28506" spans="2:2" s="221" customFormat="1" ht="12.75" x14ac:dyDescent="0.2">
      <c r="B28506" s="1168"/>
    </row>
    <row r="28507" spans="2:2" s="221" customFormat="1" ht="12.75" x14ac:dyDescent="0.2">
      <c r="B28507" s="1168"/>
    </row>
    <row r="28508" spans="2:2" s="221" customFormat="1" ht="12.75" x14ac:dyDescent="0.2">
      <c r="B28508" s="1168"/>
    </row>
    <row r="28509" spans="2:2" s="221" customFormat="1" ht="12.75" x14ac:dyDescent="0.2">
      <c r="B28509" s="1168"/>
    </row>
    <row r="28510" spans="2:2" s="221" customFormat="1" ht="12.75" x14ac:dyDescent="0.2">
      <c r="B28510" s="1168"/>
    </row>
    <row r="28511" spans="2:2" s="221" customFormat="1" ht="12.75" x14ac:dyDescent="0.2">
      <c r="B28511" s="1168"/>
    </row>
    <row r="28512" spans="2:2" s="221" customFormat="1" ht="12.75" x14ac:dyDescent="0.2">
      <c r="B28512" s="1168"/>
    </row>
    <row r="28513" spans="2:2" s="221" customFormat="1" ht="12.75" x14ac:dyDescent="0.2">
      <c r="B28513" s="1168"/>
    </row>
    <row r="28514" spans="2:2" s="221" customFormat="1" ht="12.75" x14ac:dyDescent="0.2">
      <c r="B28514" s="1168"/>
    </row>
    <row r="28515" spans="2:2" s="221" customFormat="1" ht="12.75" x14ac:dyDescent="0.2">
      <c r="B28515" s="1168"/>
    </row>
    <row r="28516" spans="2:2" s="221" customFormat="1" ht="12.75" x14ac:dyDescent="0.2">
      <c r="B28516" s="1168"/>
    </row>
    <row r="28517" spans="2:2" s="221" customFormat="1" ht="12.75" x14ac:dyDescent="0.2">
      <c r="B28517" s="1168"/>
    </row>
    <row r="28518" spans="2:2" s="221" customFormat="1" ht="12.75" x14ac:dyDescent="0.2">
      <c r="B28518" s="1168"/>
    </row>
    <row r="28519" spans="2:2" s="221" customFormat="1" ht="12.75" x14ac:dyDescent="0.2">
      <c r="B28519" s="1168"/>
    </row>
    <row r="28520" spans="2:2" s="221" customFormat="1" ht="12.75" x14ac:dyDescent="0.2">
      <c r="B28520" s="1168"/>
    </row>
    <row r="28521" spans="2:2" s="221" customFormat="1" ht="12.75" x14ac:dyDescent="0.2">
      <c r="B28521" s="1168"/>
    </row>
    <row r="28522" spans="2:2" s="221" customFormat="1" ht="12.75" x14ac:dyDescent="0.2">
      <c r="B28522" s="1168"/>
    </row>
    <row r="28523" spans="2:2" s="221" customFormat="1" ht="12.75" x14ac:dyDescent="0.2">
      <c r="B28523" s="1168"/>
    </row>
    <row r="28524" spans="2:2" s="221" customFormat="1" ht="12.75" x14ac:dyDescent="0.2">
      <c r="B28524" s="1168"/>
    </row>
    <row r="28525" spans="2:2" s="221" customFormat="1" ht="12.75" x14ac:dyDescent="0.2">
      <c r="B28525" s="1168"/>
    </row>
    <row r="28526" spans="2:2" s="221" customFormat="1" ht="12.75" x14ac:dyDescent="0.2">
      <c r="B28526" s="1168"/>
    </row>
    <row r="28527" spans="2:2" s="221" customFormat="1" ht="12.75" x14ac:dyDescent="0.2">
      <c r="B28527" s="1168"/>
    </row>
    <row r="28528" spans="2:2" s="221" customFormat="1" ht="12.75" x14ac:dyDescent="0.2">
      <c r="B28528" s="1168"/>
    </row>
    <row r="28529" spans="2:2" s="221" customFormat="1" ht="12.75" x14ac:dyDescent="0.2">
      <c r="B28529" s="1168"/>
    </row>
    <row r="28530" spans="2:2" s="221" customFormat="1" ht="12.75" x14ac:dyDescent="0.2">
      <c r="B28530" s="1168"/>
    </row>
    <row r="28531" spans="2:2" s="221" customFormat="1" ht="12.75" x14ac:dyDescent="0.2">
      <c r="B28531" s="1168"/>
    </row>
    <row r="28532" spans="2:2" s="221" customFormat="1" ht="12.75" x14ac:dyDescent="0.2">
      <c r="B28532" s="1168"/>
    </row>
    <row r="28533" spans="2:2" s="221" customFormat="1" ht="12.75" x14ac:dyDescent="0.2">
      <c r="B28533" s="1168"/>
    </row>
    <row r="28534" spans="2:2" s="221" customFormat="1" ht="12.75" x14ac:dyDescent="0.2">
      <c r="B28534" s="1168"/>
    </row>
    <row r="28535" spans="2:2" s="221" customFormat="1" ht="12.75" x14ac:dyDescent="0.2">
      <c r="B28535" s="1168"/>
    </row>
    <row r="28536" spans="2:2" s="221" customFormat="1" ht="12.75" x14ac:dyDescent="0.2">
      <c r="B28536" s="1168"/>
    </row>
    <row r="28537" spans="2:2" s="221" customFormat="1" ht="12.75" x14ac:dyDescent="0.2">
      <c r="B28537" s="1168"/>
    </row>
    <row r="28538" spans="2:2" s="221" customFormat="1" ht="12.75" x14ac:dyDescent="0.2">
      <c r="B28538" s="1168"/>
    </row>
    <row r="28539" spans="2:2" s="221" customFormat="1" ht="12.75" x14ac:dyDescent="0.2">
      <c r="B28539" s="1168"/>
    </row>
    <row r="28540" spans="2:2" s="221" customFormat="1" ht="12.75" x14ac:dyDescent="0.2">
      <c r="B28540" s="1168"/>
    </row>
    <row r="28541" spans="2:2" s="221" customFormat="1" ht="12.75" x14ac:dyDescent="0.2">
      <c r="B28541" s="1168"/>
    </row>
    <row r="28542" spans="2:2" s="221" customFormat="1" ht="12.75" x14ac:dyDescent="0.2">
      <c r="B28542" s="1168"/>
    </row>
    <row r="28543" spans="2:2" s="221" customFormat="1" ht="12.75" x14ac:dyDescent="0.2">
      <c r="B28543" s="1168"/>
    </row>
    <row r="28544" spans="2:2" s="221" customFormat="1" ht="12.75" x14ac:dyDescent="0.2">
      <c r="B28544" s="1168"/>
    </row>
    <row r="28545" spans="2:2" s="221" customFormat="1" ht="12.75" x14ac:dyDescent="0.2">
      <c r="B28545" s="1168"/>
    </row>
    <row r="28546" spans="2:2" s="221" customFormat="1" ht="12.75" x14ac:dyDescent="0.2">
      <c r="B28546" s="1168"/>
    </row>
    <row r="28547" spans="2:2" s="221" customFormat="1" ht="12.75" x14ac:dyDescent="0.2">
      <c r="B28547" s="1168"/>
    </row>
    <row r="28548" spans="2:2" s="221" customFormat="1" ht="12.75" x14ac:dyDescent="0.2">
      <c r="B28548" s="1168"/>
    </row>
    <row r="28549" spans="2:2" s="221" customFormat="1" ht="12.75" x14ac:dyDescent="0.2">
      <c r="B28549" s="1168"/>
    </row>
    <row r="28550" spans="2:2" s="221" customFormat="1" ht="12.75" x14ac:dyDescent="0.2">
      <c r="B28550" s="1168"/>
    </row>
    <row r="28551" spans="2:2" s="221" customFormat="1" ht="12.75" x14ac:dyDescent="0.2">
      <c r="B28551" s="1168"/>
    </row>
    <row r="28552" spans="2:2" s="221" customFormat="1" ht="12.75" x14ac:dyDescent="0.2">
      <c r="B28552" s="1168"/>
    </row>
    <row r="28553" spans="2:2" s="221" customFormat="1" ht="12.75" x14ac:dyDescent="0.2">
      <c r="B28553" s="1168"/>
    </row>
    <row r="28554" spans="2:2" s="221" customFormat="1" ht="12.75" x14ac:dyDescent="0.2">
      <c r="B28554" s="1168"/>
    </row>
    <row r="28555" spans="2:2" s="221" customFormat="1" ht="12.75" x14ac:dyDescent="0.2">
      <c r="B28555" s="1168"/>
    </row>
    <row r="28556" spans="2:2" s="221" customFormat="1" ht="12.75" x14ac:dyDescent="0.2">
      <c r="B28556" s="1168"/>
    </row>
    <row r="28557" spans="2:2" s="221" customFormat="1" ht="12.75" x14ac:dyDescent="0.2">
      <c r="B28557" s="1168"/>
    </row>
    <row r="28558" spans="2:2" s="221" customFormat="1" ht="12.75" x14ac:dyDescent="0.2">
      <c r="B28558" s="1168"/>
    </row>
    <row r="28559" spans="2:2" s="221" customFormat="1" ht="12.75" x14ac:dyDescent="0.2">
      <c r="B28559" s="1168"/>
    </row>
    <row r="28560" spans="2:2" s="221" customFormat="1" ht="12.75" x14ac:dyDescent="0.2">
      <c r="B28560" s="1168"/>
    </row>
    <row r="28561" spans="2:2" s="221" customFormat="1" ht="12.75" x14ac:dyDescent="0.2">
      <c r="B28561" s="1168"/>
    </row>
    <row r="28562" spans="2:2" s="221" customFormat="1" ht="12.75" x14ac:dyDescent="0.2">
      <c r="B28562" s="1168"/>
    </row>
    <row r="28563" spans="2:2" s="221" customFormat="1" ht="12.75" x14ac:dyDescent="0.2">
      <c r="B28563" s="1168"/>
    </row>
    <row r="28564" spans="2:2" s="221" customFormat="1" ht="12.75" x14ac:dyDescent="0.2">
      <c r="B28564" s="1168"/>
    </row>
    <row r="28565" spans="2:2" s="221" customFormat="1" ht="12.75" x14ac:dyDescent="0.2">
      <c r="B28565" s="1168"/>
    </row>
    <row r="28566" spans="2:2" s="221" customFormat="1" ht="12.75" x14ac:dyDescent="0.2">
      <c r="B28566" s="1168"/>
    </row>
    <row r="28567" spans="2:2" s="221" customFormat="1" ht="12.75" x14ac:dyDescent="0.2">
      <c r="B28567" s="1168"/>
    </row>
    <row r="28568" spans="2:2" s="221" customFormat="1" ht="12.75" x14ac:dyDescent="0.2">
      <c r="B28568" s="1168"/>
    </row>
    <row r="28569" spans="2:2" s="221" customFormat="1" ht="12.75" x14ac:dyDescent="0.2">
      <c r="B28569" s="1168"/>
    </row>
    <row r="28570" spans="2:2" s="221" customFormat="1" ht="12.75" x14ac:dyDescent="0.2">
      <c r="B28570" s="1168"/>
    </row>
    <row r="28571" spans="2:2" s="221" customFormat="1" ht="12.75" x14ac:dyDescent="0.2">
      <c r="B28571" s="1168"/>
    </row>
    <row r="28572" spans="2:2" s="221" customFormat="1" ht="12.75" x14ac:dyDescent="0.2">
      <c r="B28572" s="1168"/>
    </row>
    <row r="28573" spans="2:2" s="221" customFormat="1" ht="12.75" x14ac:dyDescent="0.2">
      <c r="B28573" s="1168"/>
    </row>
    <row r="28574" spans="2:2" s="221" customFormat="1" ht="12.75" x14ac:dyDescent="0.2">
      <c r="B28574" s="1168"/>
    </row>
    <row r="28575" spans="2:2" s="221" customFormat="1" ht="12.75" x14ac:dyDescent="0.2">
      <c r="B28575" s="1168"/>
    </row>
    <row r="28576" spans="2:2" s="221" customFormat="1" ht="12.75" x14ac:dyDescent="0.2">
      <c r="B28576" s="1168"/>
    </row>
    <row r="28577" spans="2:2" s="221" customFormat="1" ht="12.75" x14ac:dyDescent="0.2">
      <c r="B28577" s="1168"/>
    </row>
    <row r="28578" spans="2:2" s="221" customFormat="1" ht="12.75" x14ac:dyDescent="0.2">
      <c r="B28578" s="1168"/>
    </row>
    <row r="28579" spans="2:2" s="221" customFormat="1" ht="12.75" x14ac:dyDescent="0.2">
      <c r="B28579" s="1168"/>
    </row>
    <row r="28580" spans="2:2" s="221" customFormat="1" ht="12.75" x14ac:dyDescent="0.2">
      <c r="B28580" s="1168"/>
    </row>
    <row r="28581" spans="2:2" s="221" customFormat="1" ht="12.75" x14ac:dyDescent="0.2">
      <c r="B28581" s="1168"/>
    </row>
    <row r="28582" spans="2:2" s="221" customFormat="1" ht="12.75" x14ac:dyDescent="0.2">
      <c r="B28582" s="1168"/>
    </row>
    <row r="28583" spans="2:2" s="221" customFormat="1" ht="12.75" x14ac:dyDescent="0.2">
      <c r="B28583" s="1168"/>
    </row>
    <row r="28584" spans="2:2" s="221" customFormat="1" ht="12.75" x14ac:dyDescent="0.2">
      <c r="B28584" s="1168"/>
    </row>
    <row r="28585" spans="2:2" s="221" customFormat="1" ht="12.75" x14ac:dyDescent="0.2">
      <c r="B28585" s="1168"/>
    </row>
    <row r="28586" spans="2:2" s="221" customFormat="1" ht="12.75" x14ac:dyDescent="0.2">
      <c r="B28586" s="1168"/>
    </row>
    <row r="28587" spans="2:2" s="221" customFormat="1" ht="12.75" x14ac:dyDescent="0.2">
      <c r="B28587" s="1168"/>
    </row>
    <row r="28588" spans="2:2" s="221" customFormat="1" ht="12.75" x14ac:dyDescent="0.2">
      <c r="B28588" s="1168"/>
    </row>
    <row r="28589" spans="2:2" s="221" customFormat="1" ht="12.75" x14ac:dyDescent="0.2">
      <c r="B28589" s="1168"/>
    </row>
    <row r="28590" spans="2:2" s="221" customFormat="1" ht="12.75" x14ac:dyDescent="0.2">
      <c r="B28590" s="1168"/>
    </row>
    <row r="28591" spans="2:2" s="221" customFormat="1" ht="12.75" x14ac:dyDescent="0.2">
      <c r="B28591" s="1168"/>
    </row>
    <row r="28592" spans="2:2" s="221" customFormat="1" ht="12.75" x14ac:dyDescent="0.2">
      <c r="B28592" s="1168"/>
    </row>
    <row r="28593" spans="2:2" s="221" customFormat="1" ht="12.75" x14ac:dyDescent="0.2">
      <c r="B28593" s="1168"/>
    </row>
    <row r="28594" spans="2:2" s="221" customFormat="1" ht="12.75" x14ac:dyDescent="0.2">
      <c r="B28594" s="1168"/>
    </row>
    <row r="28595" spans="2:2" s="221" customFormat="1" ht="12.75" x14ac:dyDescent="0.2">
      <c r="B28595" s="1168"/>
    </row>
    <row r="28596" spans="2:2" s="221" customFormat="1" ht="12.75" x14ac:dyDescent="0.2">
      <c r="B28596" s="1168"/>
    </row>
    <row r="28597" spans="2:2" s="221" customFormat="1" ht="12.75" x14ac:dyDescent="0.2">
      <c r="B28597" s="1168"/>
    </row>
    <row r="28598" spans="2:2" s="221" customFormat="1" ht="12.75" x14ac:dyDescent="0.2">
      <c r="B28598" s="1168"/>
    </row>
    <row r="28599" spans="2:2" s="221" customFormat="1" ht="12.75" x14ac:dyDescent="0.2">
      <c r="B28599" s="1168"/>
    </row>
    <row r="28600" spans="2:2" s="221" customFormat="1" ht="12.75" x14ac:dyDescent="0.2">
      <c r="B28600" s="1168"/>
    </row>
    <row r="28601" spans="2:2" s="221" customFormat="1" ht="12.75" x14ac:dyDescent="0.2">
      <c r="B28601" s="1168"/>
    </row>
    <row r="28602" spans="2:2" s="221" customFormat="1" ht="12.75" x14ac:dyDescent="0.2">
      <c r="B28602" s="1168"/>
    </row>
    <row r="28603" spans="2:2" s="221" customFormat="1" ht="12.75" x14ac:dyDescent="0.2">
      <c r="B28603" s="1168"/>
    </row>
    <row r="28604" spans="2:2" s="221" customFormat="1" ht="12.75" x14ac:dyDescent="0.2">
      <c r="B28604" s="1168"/>
    </row>
    <row r="28605" spans="2:2" s="221" customFormat="1" ht="12.75" x14ac:dyDescent="0.2">
      <c r="B28605" s="1168"/>
    </row>
    <row r="28606" spans="2:2" s="221" customFormat="1" ht="12.75" x14ac:dyDescent="0.2">
      <c r="B28606" s="1168"/>
    </row>
    <row r="28607" spans="2:2" s="221" customFormat="1" ht="12.75" x14ac:dyDescent="0.2">
      <c r="B28607" s="1168"/>
    </row>
    <row r="28608" spans="2:2" s="221" customFormat="1" ht="12.75" x14ac:dyDescent="0.2">
      <c r="B28608" s="1168"/>
    </row>
    <row r="28609" spans="2:2" s="221" customFormat="1" ht="12.75" x14ac:dyDescent="0.2">
      <c r="B28609" s="1168"/>
    </row>
    <row r="28610" spans="2:2" s="221" customFormat="1" ht="12.75" x14ac:dyDescent="0.2">
      <c r="B28610" s="1168"/>
    </row>
    <row r="28611" spans="2:2" s="221" customFormat="1" ht="12.75" x14ac:dyDescent="0.2">
      <c r="B28611" s="1168"/>
    </row>
    <row r="28612" spans="2:2" s="221" customFormat="1" ht="12.75" x14ac:dyDescent="0.2">
      <c r="B28612" s="1168"/>
    </row>
    <row r="28613" spans="2:2" s="221" customFormat="1" ht="12.75" x14ac:dyDescent="0.2">
      <c r="B28613" s="1168"/>
    </row>
    <row r="28614" spans="2:2" s="221" customFormat="1" ht="12.75" x14ac:dyDescent="0.2">
      <c r="B28614" s="1168"/>
    </row>
    <row r="28615" spans="2:2" s="221" customFormat="1" ht="12.75" x14ac:dyDescent="0.2">
      <c r="B28615" s="1168"/>
    </row>
    <row r="28616" spans="2:2" s="221" customFormat="1" ht="12.75" x14ac:dyDescent="0.2">
      <c r="B28616" s="1168"/>
    </row>
    <row r="28617" spans="2:2" s="221" customFormat="1" ht="12.75" x14ac:dyDescent="0.2">
      <c r="B28617" s="1168"/>
    </row>
    <row r="28618" spans="2:2" s="221" customFormat="1" ht="12.75" x14ac:dyDescent="0.2">
      <c r="B28618" s="1168"/>
    </row>
    <row r="28619" spans="2:2" s="221" customFormat="1" ht="12.75" x14ac:dyDescent="0.2">
      <c r="B28619" s="1168"/>
    </row>
    <row r="28620" spans="2:2" s="221" customFormat="1" ht="12.75" x14ac:dyDescent="0.2">
      <c r="B28620" s="1168"/>
    </row>
    <row r="28621" spans="2:2" s="221" customFormat="1" ht="12.75" x14ac:dyDescent="0.2">
      <c r="B28621" s="1168"/>
    </row>
    <row r="28622" spans="2:2" s="221" customFormat="1" ht="12.75" x14ac:dyDescent="0.2">
      <c r="B28622" s="1168"/>
    </row>
    <row r="28623" spans="2:2" s="221" customFormat="1" ht="12.75" x14ac:dyDescent="0.2">
      <c r="B28623" s="1168"/>
    </row>
    <row r="28624" spans="2:2" s="221" customFormat="1" ht="12.75" x14ac:dyDescent="0.2">
      <c r="B28624" s="1168"/>
    </row>
    <row r="28625" spans="2:2" s="221" customFormat="1" ht="12.75" x14ac:dyDescent="0.2">
      <c r="B28625" s="1168"/>
    </row>
    <row r="28626" spans="2:2" s="221" customFormat="1" ht="12.75" x14ac:dyDescent="0.2">
      <c r="B28626" s="1168"/>
    </row>
    <row r="28627" spans="2:2" s="221" customFormat="1" ht="12.75" x14ac:dyDescent="0.2">
      <c r="B28627" s="1168"/>
    </row>
    <row r="28628" spans="2:2" s="221" customFormat="1" ht="12.75" x14ac:dyDescent="0.2">
      <c r="B28628" s="1168"/>
    </row>
    <row r="28629" spans="2:2" s="221" customFormat="1" ht="12.75" x14ac:dyDescent="0.2">
      <c r="B28629" s="1168"/>
    </row>
    <row r="28630" spans="2:2" s="221" customFormat="1" ht="12.75" x14ac:dyDescent="0.2">
      <c r="B28630" s="1168"/>
    </row>
    <row r="28631" spans="2:2" s="221" customFormat="1" ht="12.75" x14ac:dyDescent="0.2">
      <c r="B28631" s="1168"/>
    </row>
    <row r="28632" spans="2:2" s="221" customFormat="1" ht="12.75" x14ac:dyDescent="0.2">
      <c r="B28632" s="1168"/>
    </row>
    <row r="28633" spans="2:2" s="221" customFormat="1" ht="12.75" x14ac:dyDescent="0.2">
      <c r="B28633" s="1168"/>
    </row>
    <row r="28634" spans="2:2" s="221" customFormat="1" ht="12.75" x14ac:dyDescent="0.2">
      <c r="B28634" s="1168"/>
    </row>
    <row r="28635" spans="2:2" s="221" customFormat="1" ht="12.75" x14ac:dyDescent="0.2">
      <c r="B28635" s="1168"/>
    </row>
    <row r="28636" spans="2:2" s="221" customFormat="1" ht="12.75" x14ac:dyDescent="0.2">
      <c r="B28636" s="1168"/>
    </row>
    <row r="28637" spans="2:2" s="221" customFormat="1" ht="12.75" x14ac:dyDescent="0.2">
      <c r="B28637" s="1168"/>
    </row>
    <row r="28638" spans="2:2" s="221" customFormat="1" ht="12.75" x14ac:dyDescent="0.2">
      <c r="B28638" s="1168"/>
    </row>
    <row r="28639" spans="2:2" s="221" customFormat="1" ht="12.75" x14ac:dyDescent="0.2">
      <c r="B28639" s="1168"/>
    </row>
    <row r="28640" spans="2:2" s="221" customFormat="1" ht="12.75" x14ac:dyDescent="0.2">
      <c r="B28640" s="1168"/>
    </row>
    <row r="28641" spans="2:2" s="221" customFormat="1" ht="12.75" x14ac:dyDescent="0.2">
      <c r="B28641" s="1168"/>
    </row>
    <row r="28642" spans="2:2" s="221" customFormat="1" ht="12.75" x14ac:dyDescent="0.2">
      <c r="B28642" s="1168"/>
    </row>
    <row r="28643" spans="2:2" s="221" customFormat="1" ht="12.75" x14ac:dyDescent="0.2">
      <c r="B28643" s="1168"/>
    </row>
    <row r="28644" spans="2:2" s="221" customFormat="1" ht="12.75" x14ac:dyDescent="0.2">
      <c r="B28644" s="1168"/>
    </row>
    <row r="28645" spans="2:2" s="221" customFormat="1" ht="12.75" x14ac:dyDescent="0.2">
      <c r="B28645" s="1168"/>
    </row>
    <row r="28646" spans="2:2" s="221" customFormat="1" ht="12.75" x14ac:dyDescent="0.2">
      <c r="B28646" s="1168"/>
    </row>
    <row r="28647" spans="2:2" s="221" customFormat="1" ht="12.75" x14ac:dyDescent="0.2">
      <c r="B28647" s="1168"/>
    </row>
    <row r="28648" spans="2:2" s="221" customFormat="1" ht="12.75" x14ac:dyDescent="0.2">
      <c r="B28648" s="1168"/>
    </row>
    <row r="28649" spans="2:2" s="221" customFormat="1" ht="12.75" x14ac:dyDescent="0.2">
      <c r="B28649" s="1168"/>
    </row>
    <row r="28650" spans="2:2" s="221" customFormat="1" ht="12.75" x14ac:dyDescent="0.2">
      <c r="B28650" s="1168"/>
    </row>
    <row r="28651" spans="2:2" s="221" customFormat="1" ht="12.75" x14ac:dyDescent="0.2">
      <c r="B28651" s="1168"/>
    </row>
    <row r="28652" spans="2:2" s="221" customFormat="1" ht="12.75" x14ac:dyDescent="0.2">
      <c r="B28652" s="1168"/>
    </row>
    <row r="28653" spans="2:2" s="221" customFormat="1" ht="12.75" x14ac:dyDescent="0.2">
      <c r="B28653" s="1168"/>
    </row>
    <row r="28654" spans="2:2" s="221" customFormat="1" ht="12.75" x14ac:dyDescent="0.2">
      <c r="B28654" s="1168"/>
    </row>
    <row r="28655" spans="2:2" s="221" customFormat="1" ht="12.75" x14ac:dyDescent="0.2">
      <c r="B28655" s="1168"/>
    </row>
    <row r="28656" spans="2:2" s="221" customFormat="1" ht="12.75" x14ac:dyDescent="0.2">
      <c r="B28656" s="1168"/>
    </row>
    <row r="28657" spans="2:2" s="221" customFormat="1" ht="12.75" x14ac:dyDescent="0.2">
      <c r="B28657" s="1168"/>
    </row>
    <row r="28658" spans="2:2" s="221" customFormat="1" ht="12.75" x14ac:dyDescent="0.2">
      <c r="B28658" s="1168"/>
    </row>
    <row r="28659" spans="2:2" s="221" customFormat="1" ht="12.75" x14ac:dyDescent="0.2">
      <c r="B28659" s="1168"/>
    </row>
    <row r="28660" spans="2:2" s="221" customFormat="1" ht="12.75" x14ac:dyDescent="0.2">
      <c r="B28660" s="1168"/>
    </row>
    <row r="28661" spans="2:2" s="221" customFormat="1" ht="12.75" x14ac:dyDescent="0.2">
      <c r="B28661" s="1168"/>
    </row>
    <row r="28662" spans="2:2" s="221" customFormat="1" ht="12.75" x14ac:dyDescent="0.2">
      <c r="B28662" s="1168"/>
    </row>
    <row r="28663" spans="2:2" s="221" customFormat="1" ht="12.75" x14ac:dyDescent="0.2">
      <c r="B28663" s="1168"/>
    </row>
    <row r="28664" spans="2:2" s="221" customFormat="1" ht="12.75" x14ac:dyDescent="0.2">
      <c r="B28664" s="1168"/>
    </row>
    <row r="28665" spans="2:2" s="221" customFormat="1" ht="12.75" x14ac:dyDescent="0.2">
      <c r="B28665" s="1168"/>
    </row>
    <row r="28666" spans="2:2" s="221" customFormat="1" ht="12.75" x14ac:dyDescent="0.2">
      <c r="B28666" s="1168"/>
    </row>
    <row r="28667" spans="2:2" s="221" customFormat="1" ht="12.75" x14ac:dyDescent="0.2">
      <c r="B28667" s="1168"/>
    </row>
    <row r="28668" spans="2:2" s="221" customFormat="1" ht="12.75" x14ac:dyDescent="0.2">
      <c r="B28668" s="1168"/>
    </row>
    <row r="28669" spans="2:2" s="221" customFormat="1" ht="12.75" x14ac:dyDescent="0.2">
      <c r="B28669" s="1168"/>
    </row>
    <row r="28670" spans="2:2" s="221" customFormat="1" ht="12.75" x14ac:dyDescent="0.2">
      <c r="B28670" s="1168"/>
    </row>
    <row r="28671" spans="2:2" s="221" customFormat="1" ht="12.75" x14ac:dyDescent="0.2">
      <c r="B28671" s="1168"/>
    </row>
    <row r="28672" spans="2:2" s="221" customFormat="1" ht="12.75" x14ac:dyDescent="0.2">
      <c r="B28672" s="1168"/>
    </row>
    <row r="28673" spans="2:2" s="221" customFormat="1" ht="12.75" x14ac:dyDescent="0.2">
      <c r="B28673" s="1168"/>
    </row>
    <row r="28674" spans="2:2" s="221" customFormat="1" ht="12.75" x14ac:dyDescent="0.2">
      <c r="B28674" s="1168"/>
    </row>
    <row r="28675" spans="2:2" s="221" customFormat="1" ht="12.75" x14ac:dyDescent="0.2">
      <c r="B28675" s="1168"/>
    </row>
    <row r="28676" spans="2:2" s="221" customFormat="1" ht="12.75" x14ac:dyDescent="0.2">
      <c r="B28676" s="1168"/>
    </row>
    <row r="28677" spans="2:2" s="221" customFormat="1" ht="12.75" x14ac:dyDescent="0.2">
      <c r="B28677" s="1168"/>
    </row>
    <row r="28678" spans="2:2" s="221" customFormat="1" ht="12.75" x14ac:dyDescent="0.2">
      <c r="B28678" s="1168"/>
    </row>
    <row r="28679" spans="2:2" s="221" customFormat="1" ht="12.75" x14ac:dyDescent="0.2">
      <c r="B28679" s="1168"/>
    </row>
    <row r="28680" spans="2:2" s="221" customFormat="1" ht="12.75" x14ac:dyDescent="0.2">
      <c r="B28680" s="1168"/>
    </row>
    <row r="28681" spans="2:2" s="221" customFormat="1" ht="12.75" x14ac:dyDescent="0.2">
      <c r="B28681" s="1168"/>
    </row>
    <row r="28682" spans="2:2" s="221" customFormat="1" ht="12.75" x14ac:dyDescent="0.2">
      <c r="B28682" s="1168"/>
    </row>
    <row r="28683" spans="2:2" s="221" customFormat="1" ht="12.75" x14ac:dyDescent="0.2">
      <c r="B28683" s="1168"/>
    </row>
    <row r="28684" spans="2:2" s="221" customFormat="1" ht="12.75" x14ac:dyDescent="0.2">
      <c r="B28684" s="1168"/>
    </row>
    <row r="28685" spans="2:2" s="221" customFormat="1" ht="12.75" x14ac:dyDescent="0.2">
      <c r="B28685" s="1168"/>
    </row>
    <row r="28686" spans="2:2" s="221" customFormat="1" ht="12.75" x14ac:dyDescent="0.2">
      <c r="B28686" s="1168"/>
    </row>
    <row r="28687" spans="2:2" s="221" customFormat="1" ht="12.75" x14ac:dyDescent="0.2">
      <c r="B28687" s="1168"/>
    </row>
    <row r="28688" spans="2:2" s="221" customFormat="1" ht="12.75" x14ac:dyDescent="0.2">
      <c r="B28688" s="1168"/>
    </row>
    <row r="28689" spans="2:2" s="221" customFormat="1" ht="12.75" x14ac:dyDescent="0.2">
      <c r="B28689" s="1168"/>
    </row>
    <row r="28690" spans="2:2" s="221" customFormat="1" ht="12.75" x14ac:dyDescent="0.2">
      <c r="B28690" s="1168"/>
    </row>
    <row r="28691" spans="2:2" s="221" customFormat="1" ht="12.75" x14ac:dyDescent="0.2">
      <c r="B28691" s="1168"/>
    </row>
    <row r="28692" spans="2:2" s="221" customFormat="1" ht="12.75" x14ac:dyDescent="0.2">
      <c r="B28692" s="1168"/>
    </row>
    <row r="28693" spans="2:2" s="221" customFormat="1" ht="12.75" x14ac:dyDescent="0.2">
      <c r="B28693" s="1168"/>
    </row>
    <row r="28694" spans="2:2" s="221" customFormat="1" ht="12.75" x14ac:dyDescent="0.2">
      <c r="B28694" s="1168"/>
    </row>
    <row r="28695" spans="2:2" s="221" customFormat="1" ht="12.75" x14ac:dyDescent="0.2">
      <c r="B28695" s="1168"/>
    </row>
    <row r="28696" spans="2:2" s="221" customFormat="1" ht="12.75" x14ac:dyDescent="0.2">
      <c r="B28696" s="1168"/>
    </row>
    <row r="28697" spans="2:2" s="221" customFormat="1" ht="12.75" x14ac:dyDescent="0.2">
      <c r="B28697" s="1168"/>
    </row>
    <row r="28698" spans="2:2" s="221" customFormat="1" ht="12.75" x14ac:dyDescent="0.2">
      <c r="B28698" s="1168"/>
    </row>
    <row r="28699" spans="2:2" s="221" customFormat="1" ht="12.75" x14ac:dyDescent="0.2">
      <c r="B28699" s="1168"/>
    </row>
    <row r="28700" spans="2:2" s="221" customFormat="1" ht="12.75" x14ac:dyDescent="0.2">
      <c r="B28700" s="1168"/>
    </row>
    <row r="28701" spans="2:2" s="221" customFormat="1" ht="12.75" x14ac:dyDescent="0.2">
      <c r="B28701" s="1168"/>
    </row>
    <row r="28702" spans="2:2" s="221" customFormat="1" ht="12.75" x14ac:dyDescent="0.2">
      <c r="B28702" s="1168"/>
    </row>
    <row r="28703" spans="2:2" s="221" customFormat="1" ht="12.75" x14ac:dyDescent="0.2">
      <c r="B28703" s="1168"/>
    </row>
    <row r="28704" spans="2:2" s="221" customFormat="1" ht="12.75" x14ac:dyDescent="0.2">
      <c r="B28704" s="1168"/>
    </row>
    <row r="28705" spans="2:2" s="221" customFormat="1" ht="12.75" x14ac:dyDescent="0.2">
      <c r="B28705" s="1168"/>
    </row>
    <row r="28706" spans="2:2" s="221" customFormat="1" ht="12.75" x14ac:dyDescent="0.2">
      <c r="B28706" s="1168"/>
    </row>
    <row r="28707" spans="2:2" s="221" customFormat="1" ht="12.75" x14ac:dyDescent="0.2">
      <c r="B28707" s="1168"/>
    </row>
    <row r="28708" spans="2:2" s="221" customFormat="1" ht="12.75" x14ac:dyDescent="0.2">
      <c r="B28708" s="1168"/>
    </row>
    <row r="28709" spans="2:2" s="221" customFormat="1" ht="12.75" x14ac:dyDescent="0.2">
      <c r="B28709" s="1168"/>
    </row>
    <row r="28710" spans="2:2" s="221" customFormat="1" ht="12.75" x14ac:dyDescent="0.2">
      <c r="B28710" s="1168"/>
    </row>
    <row r="28711" spans="2:2" s="221" customFormat="1" ht="12.75" x14ac:dyDescent="0.2">
      <c r="B28711" s="1168"/>
    </row>
    <row r="28712" spans="2:2" s="221" customFormat="1" ht="12.75" x14ac:dyDescent="0.2">
      <c r="B28712" s="1168"/>
    </row>
    <row r="28713" spans="2:2" s="221" customFormat="1" ht="12.75" x14ac:dyDescent="0.2">
      <c r="B28713" s="1168"/>
    </row>
    <row r="28714" spans="2:2" s="221" customFormat="1" ht="12.75" x14ac:dyDescent="0.2">
      <c r="B28714" s="1168"/>
    </row>
    <row r="28715" spans="2:2" s="221" customFormat="1" ht="12.75" x14ac:dyDescent="0.2">
      <c r="B28715" s="1168"/>
    </row>
    <row r="28716" spans="2:2" s="221" customFormat="1" ht="12.75" x14ac:dyDescent="0.2">
      <c r="B28716" s="1168"/>
    </row>
    <row r="28717" spans="2:2" s="221" customFormat="1" ht="12.75" x14ac:dyDescent="0.2">
      <c r="B28717" s="1168"/>
    </row>
    <row r="28718" spans="2:2" s="221" customFormat="1" ht="12.75" x14ac:dyDescent="0.2">
      <c r="B28718" s="1168"/>
    </row>
    <row r="28719" spans="2:2" s="221" customFormat="1" ht="12.75" x14ac:dyDescent="0.2">
      <c r="B28719" s="1168"/>
    </row>
    <row r="28720" spans="2:2" s="221" customFormat="1" ht="12.75" x14ac:dyDescent="0.2">
      <c r="B28720" s="1168"/>
    </row>
    <row r="28721" spans="2:2" s="221" customFormat="1" ht="12.75" x14ac:dyDescent="0.2">
      <c r="B28721" s="1168"/>
    </row>
    <row r="28722" spans="2:2" s="221" customFormat="1" ht="12.75" x14ac:dyDescent="0.2">
      <c r="B28722" s="1168"/>
    </row>
    <row r="28723" spans="2:2" s="221" customFormat="1" ht="12.75" x14ac:dyDescent="0.2">
      <c r="B28723" s="1168"/>
    </row>
    <row r="28724" spans="2:2" s="221" customFormat="1" ht="12.75" x14ac:dyDescent="0.2">
      <c r="B28724" s="1168"/>
    </row>
    <row r="28725" spans="2:2" s="221" customFormat="1" ht="12.75" x14ac:dyDescent="0.2">
      <c r="B28725" s="1168"/>
    </row>
    <row r="28726" spans="2:2" s="221" customFormat="1" ht="12.75" x14ac:dyDescent="0.2">
      <c r="B28726" s="1168"/>
    </row>
    <row r="28727" spans="2:2" s="221" customFormat="1" ht="12.75" x14ac:dyDescent="0.2">
      <c r="B28727" s="1168"/>
    </row>
    <row r="28728" spans="2:2" s="221" customFormat="1" ht="12.75" x14ac:dyDescent="0.2">
      <c r="B28728" s="1168"/>
    </row>
    <row r="28729" spans="2:2" s="221" customFormat="1" ht="12.75" x14ac:dyDescent="0.2">
      <c r="B28729" s="1168"/>
    </row>
    <row r="28730" spans="2:2" s="221" customFormat="1" ht="12.75" x14ac:dyDescent="0.2">
      <c r="B28730" s="1168"/>
    </row>
    <row r="28731" spans="2:2" s="221" customFormat="1" ht="12.75" x14ac:dyDescent="0.2">
      <c r="B28731" s="1168"/>
    </row>
    <row r="28732" spans="2:2" s="221" customFormat="1" ht="12.75" x14ac:dyDescent="0.2">
      <c r="B28732" s="1168"/>
    </row>
    <row r="28733" spans="2:2" s="221" customFormat="1" ht="12.75" x14ac:dyDescent="0.2">
      <c r="B28733" s="1168"/>
    </row>
    <row r="28734" spans="2:2" s="221" customFormat="1" ht="12.75" x14ac:dyDescent="0.2">
      <c r="B28734" s="1168"/>
    </row>
    <row r="28735" spans="2:2" s="221" customFormat="1" ht="12.75" x14ac:dyDescent="0.2">
      <c r="B28735" s="1168"/>
    </row>
    <row r="28736" spans="2:2" s="221" customFormat="1" ht="12.75" x14ac:dyDescent="0.2">
      <c r="B28736" s="1168"/>
    </row>
    <row r="28737" spans="2:2" s="221" customFormat="1" ht="12.75" x14ac:dyDescent="0.2">
      <c r="B28737" s="1168"/>
    </row>
    <row r="28738" spans="2:2" s="221" customFormat="1" ht="12.75" x14ac:dyDescent="0.2">
      <c r="B28738" s="1168"/>
    </row>
    <row r="28739" spans="2:2" s="221" customFormat="1" ht="12.75" x14ac:dyDescent="0.2">
      <c r="B28739" s="1168"/>
    </row>
    <row r="28740" spans="2:2" s="221" customFormat="1" ht="12.75" x14ac:dyDescent="0.2">
      <c r="B28740" s="1168"/>
    </row>
    <row r="28741" spans="2:2" s="221" customFormat="1" ht="12.75" x14ac:dyDescent="0.2">
      <c r="B28741" s="1168"/>
    </row>
    <row r="28742" spans="2:2" s="221" customFormat="1" ht="12.75" x14ac:dyDescent="0.2">
      <c r="B28742" s="1168"/>
    </row>
    <row r="28743" spans="2:2" s="221" customFormat="1" ht="12.75" x14ac:dyDescent="0.2">
      <c r="B28743" s="1168"/>
    </row>
    <row r="28744" spans="2:2" s="221" customFormat="1" ht="12.75" x14ac:dyDescent="0.2">
      <c r="B28744" s="1168"/>
    </row>
    <row r="28745" spans="2:2" s="221" customFormat="1" ht="12.75" x14ac:dyDescent="0.2">
      <c r="B28745" s="1168"/>
    </row>
    <row r="28746" spans="2:2" s="221" customFormat="1" ht="12.75" x14ac:dyDescent="0.2">
      <c r="B28746" s="1168"/>
    </row>
    <row r="28747" spans="2:2" s="221" customFormat="1" ht="12.75" x14ac:dyDescent="0.2">
      <c r="B28747" s="1168"/>
    </row>
    <row r="28748" spans="2:2" s="221" customFormat="1" ht="12.75" x14ac:dyDescent="0.2">
      <c r="B28748" s="1168"/>
    </row>
    <row r="28749" spans="2:2" s="221" customFormat="1" ht="12.75" x14ac:dyDescent="0.2">
      <c r="B28749" s="1168"/>
    </row>
    <row r="28750" spans="2:2" s="221" customFormat="1" ht="12.75" x14ac:dyDescent="0.2">
      <c r="B28750" s="1168"/>
    </row>
    <row r="28751" spans="2:2" s="221" customFormat="1" ht="12.75" x14ac:dyDescent="0.2">
      <c r="B28751" s="1168"/>
    </row>
    <row r="28752" spans="2:2" s="221" customFormat="1" ht="12.75" x14ac:dyDescent="0.2">
      <c r="B28752" s="1168"/>
    </row>
    <row r="28753" spans="2:2" s="221" customFormat="1" ht="12.75" x14ac:dyDescent="0.2">
      <c r="B28753" s="1168"/>
    </row>
    <row r="28754" spans="2:2" s="221" customFormat="1" ht="12.75" x14ac:dyDescent="0.2">
      <c r="B28754" s="1168"/>
    </row>
    <row r="28755" spans="2:2" s="221" customFormat="1" ht="12.75" x14ac:dyDescent="0.2">
      <c r="B28755" s="1168"/>
    </row>
    <row r="28756" spans="2:2" s="221" customFormat="1" ht="12.75" x14ac:dyDescent="0.2">
      <c r="B28756" s="1168"/>
    </row>
    <row r="28757" spans="2:2" s="221" customFormat="1" ht="12.75" x14ac:dyDescent="0.2">
      <c r="B28757" s="1168"/>
    </row>
    <row r="28758" spans="2:2" s="221" customFormat="1" ht="12.75" x14ac:dyDescent="0.2">
      <c r="B28758" s="1168"/>
    </row>
    <row r="28759" spans="2:2" s="221" customFormat="1" ht="12.75" x14ac:dyDescent="0.2">
      <c r="B28759" s="1168"/>
    </row>
    <row r="28760" spans="2:2" s="221" customFormat="1" ht="12.75" x14ac:dyDescent="0.2">
      <c r="B28760" s="1168"/>
    </row>
    <row r="28761" spans="2:2" s="221" customFormat="1" ht="12.75" x14ac:dyDescent="0.2">
      <c r="B28761" s="1168"/>
    </row>
    <row r="28762" spans="2:2" s="221" customFormat="1" ht="12.75" x14ac:dyDescent="0.2">
      <c r="B28762" s="1168"/>
    </row>
    <row r="28763" spans="2:2" s="221" customFormat="1" ht="12.75" x14ac:dyDescent="0.2">
      <c r="B28763" s="1168"/>
    </row>
    <row r="28764" spans="2:2" s="221" customFormat="1" ht="12.75" x14ac:dyDescent="0.2">
      <c r="B28764" s="1168"/>
    </row>
    <row r="28765" spans="2:2" s="221" customFormat="1" ht="12.75" x14ac:dyDescent="0.2">
      <c r="B28765" s="1168"/>
    </row>
    <row r="28766" spans="2:2" s="221" customFormat="1" ht="12.75" x14ac:dyDescent="0.2">
      <c r="B28766" s="1168"/>
    </row>
    <row r="28767" spans="2:2" s="221" customFormat="1" ht="12.75" x14ac:dyDescent="0.2">
      <c r="B28767" s="1168"/>
    </row>
    <row r="28768" spans="2:2" s="221" customFormat="1" ht="12.75" x14ac:dyDescent="0.2">
      <c r="B28768" s="1168"/>
    </row>
    <row r="28769" spans="2:2" s="221" customFormat="1" ht="12.75" x14ac:dyDescent="0.2">
      <c r="B28769" s="1168"/>
    </row>
    <row r="28770" spans="2:2" s="221" customFormat="1" ht="12.75" x14ac:dyDescent="0.2">
      <c r="B28770" s="1168"/>
    </row>
    <row r="28771" spans="2:2" s="221" customFormat="1" ht="12.75" x14ac:dyDescent="0.2">
      <c r="B28771" s="1168"/>
    </row>
    <row r="28772" spans="2:2" s="221" customFormat="1" ht="12.75" x14ac:dyDescent="0.2">
      <c r="B28772" s="1168"/>
    </row>
    <row r="28773" spans="2:2" s="221" customFormat="1" ht="12.75" x14ac:dyDescent="0.2">
      <c r="B28773" s="1168"/>
    </row>
    <row r="28774" spans="2:2" s="221" customFormat="1" ht="12.75" x14ac:dyDescent="0.2">
      <c r="B28774" s="1168"/>
    </row>
    <row r="28775" spans="2:2" s="221" customFormat="1" ht="12.75" x14ac:dyDescent="0.2">
      <c r="B28775" s="1168"/>
    </row>
    <row r="28776" spans="2:2" s="221" customFormat="1" ht="12.75" x14ac:dyDescent="0.2">
      <c r="B28776" s="1168"/>
    </row>
    <row r="28777" spans="2:2" s="221" customFormat="1" ht="12.75" x14ac:dyDescent="0.2">
      <c r="B28777" s="1168"/>
    </row>
    <row r="28778" spans="2:2" s="221" customFormat="1" ht="12.75" x14ac:dyDescent="0.2">
      <c r="B28778" s="1168"/>
    </row>
    <row r="28779" spans="2:2" s="221" customFormat="1" ht="12.75" x14ac:dyDescent="0.2">
      <c r="B28779" s="1168"/>
    </row>
    <row r="28780" spans="2:2" s="221" customFormat="1" ht="12.75" x14ac:dyDescent="0.2">
      <c r="B28780" s="1168"/>
    </row>
    <row r="28781" spans="2:2" s="221" customFormat="1" ht="12.75" x14ac:dyDescent="0.2">
      <c r="B28781" s="1168"/>
    </row>
    <row r="28782" spans="2:2" s="221" customFormat="1" ht="12.75" x14ac:dyDescent="0.2">
      <c r="B28782" s="1168"/>
    </row>
    <row r="28783" spans="2:2" s="221" customFormat="1" ht="12.75" x14ac:dyDescent="0.2">
      <c r="B28783" s="1168"/>
    </row>
    <row r="28784" spans="2:2" s="221" customFormat="1" ht="12.75" x14ac:dyDescent="0.2">
      <c r="B28784" s="1168"/>
    </row>
    <row r="28785" spans="2:2" s="221" customFormat="1" ht="12.75" x14ac:dyDescent="0.2">
      <c r="B28785" s="1168"/>
    </row>
    <row r="28786" spans="2:2" s="221" customFormat="1" ht="12.75" x14ac:dyDescent="0.2">
      <c r="B28786" s="1168"/>
    </row>
    <row r="28787" spans="2:2" s="221" customFormat="1" ht="12.75" x14ac:dyDescent="0.2">
      <c r="B28787" s="1168"/>
    </row>
    <row r="28788" spans="2:2" s="221" customFormat="1" ht="12.75" x14ac:dyDescent="0.2">
      <c r="B28788" s="1168"/>
    </row>
    <row r="28789" spans="2:2" s="221" customFormat="1" ht="12.75" x14ac:dyDescent="0.2">
      <c r="B28789" s="1168"/>
    </row>
    <row r="28790" spans="2:2" s="221" customFormat="1" ht="12.75" x14ac:dyDescent="0.2">
      <c r="B28790" s="1168"/>
    </row>
    <row r="28791" spans="2:2" s="221" customFormat="1" ht="12.75" x14ac:dyDescent="0.2">
      <c r="B28791" s="1168"/>
    </row>
    <row r="28792" spans="2:2" s="221" customFormat="1" ht="12.75" x14ac:dyDescent="0.2">
      <c r="B28792" s="1168"/>
    </row>
    <row r="28793" spans="2:2" s="221" customFormat="1" ht="12.75" x14ac:dyDescent="0.2">
      <c r="B28793" s="1168"/>
    </row>
    <row r="28794" spans="2:2" s="221" customFormat="1" ht="12.75" x14ac:dyDescent="0.2">
      <c r="B28794" s="1168"/>
    </row>
    <row r="28795" spans="2:2" s="221" customFormat="1" ht="12.75" x14ac:dyDescent="0.2">
      <c r="B28795" s="1168"/>
    </row>
    <row r="28796" spans="2:2" s="221" customFormat="1" ht="12.75" x14ac:dyDescent="0.2">
      <c r="B28796" s="1168"/>
    </row>
    <row r="28797" spans="2:2" s="221" customFormat="1" ht="12.75" x14ac:dyDescent="0.2">
      <c r="B28797" s="1168"/>
    </row>
    <row r="28798" spans="2:2" s="221" customFormat="1" ht="12.75" x14ac:dyDescent="0.2">
      <c r="B28798" s="1168"/>
    </row>
    <row r="28799" spans="2:2" s="221" customFormat="1" ht="12.75" x14ac:dyDescent="0.2">
      <c r="B28799" s="1168"/>
    </row>
    <row r="28800" spans="2:2" s="221" customFormat="1" ht="12.75" x14ac:dyDescent="0.2">
      <c r="B28800" s="1168"/>
    </row>
    <row r="28801" spans="2:2" s="221" customFormat="1" ht="12.75" x14ac:dyDescent="0.2">
      <c r="B28801" s="1168"/>
    </row>
    <row r="28802" spans="2:2" s="221" customFormat="1" ht="12.75" x14ac:dyDescent="0.2">
      <c r="B28802" s="1168"/>
    </row>
    <row r="28803" spans="2:2" s="221" customFormat="1" ht="12.75" x14ac:dyDescent="0.2">
      <c r="B28803" s="1168"/>
    </row>
    <row r="28804" spans="2:2" s="221" customFormat="1" ht="12.75" x14ac:dyDescent="0.2">
      <c r="B28804" s="1168"/>
    </row>
    <row r="28805" spans="2:2" s="221" customFormat="1" ht="12.75" x14ac:dyDescent="0.2">
      <c r="B28805" s="1168"/>
    </row>
    <row r="28806" spans="2:2" s="221" customFormat="1" ht="12.75" x14ac:dyDescent="0.2">
      <c r="B28806" s="1168"/>
    </row>
    <row r="28807" spans="2:2" s="221" customFormat="1" ht="12.75" x14ac:dyDescent="0.2">
      <c r="B28807" s="1168"/>
    </row>
    <row r="28808" spans="2:2" s="221" customFormat="1" ht="12.75" x14ac:dyDescent="0.2">
      <c r="B28808" s="1168"/>
    </row>
    <row r="28809" spans="2:2" s="221" customFormat="1" ht="12.75" x14ac:dyDescent="0.2">
      <c r="B28809" s="1168"/>
    </row>
    <row r="28810" spans="2:2" s="221" customFormat="1" ht="12.75" x14ac:dyDescent="0.2">
      <c r="B28810" s="1168"/>
    </row>
    <row r="28811" spans="2:2" s="221" customFormat="1" ht="12.75" x14ac:dyDescent="0.2">
      <c r="B28811" s="1168"/>
    </row>
    <row r="28812" spans="2:2" s="221" customFormat="1" ht="12.75" x14ac:dyDescent="0.2">
      <c r="B28812" s="1168"/>
    </row>
    <row r="28813" spans="2:2" s="221" customFormat="1" ht="12.75" x14ac:dyDescent="0.2">
      <c r="B28813" s="1168"/>
    </row>
    <row r="28814" spans="2:2" s="221" customFormat="1" ht="12.75" x14ac:dyDescent="0.2">
      <c r="B28814" s="1168"/>
    </row>
    <row r="28815" spans="2:2" s="221" customFormat="1" ht="12.75" x14ac:dyDescent="0.2">
      <c r="B28815" s="1168"/>
    </row>
    <row r="28816" spans="2:2" s="221" customFormat="1" ht="12.75" x14ac:dyDescent="0.2">
      <c r="B28816" s="1168"/>
    </row>
    <row r="28817" spans="2:2" s="221" customFormat="1" ht="12.75" x14ac:dyDescent="0.2">
      <c r="B28817" s="1168"/>
    </row>
    <row r="28818" spans="2:2" s="221" customFormat="1" ht="12.75" x14ac:dyDescent="0.2">
      <c r="B28818" s="1168"/>
    </row>
    <row r="28819" spans="2:2" s="221" customFormat="1" ht="12.75" x14ac:dyDescent="0.2">
      <c r="B28819" s="1168"/>
    </row>
    <row r="28820" spans="2:2" s="221" customFormat="1" ht="12.75" x14ac:dyDescent="0.2">
      <c r="B28820" s="1168"/>
    </row>
    <row r="28821" spans="2:2" s="221" customFormat="1" ht="12.75" x14ac:dyDescent="0.2">
      <c r="B28821" s="1168"/>
    </row>
    <row r="28822" spans="2:2" s="221" customFormat="1" ht="12.75" x14ac:dyDescent="0.2">
      <c r="B28822" s="1168"/>
    </row>
    <row r="28823" spans="2:2" s="221" customFormat="1" ht="12.75" x14ac:dyDescent="0.2">
      <c r="B28823" s="1168"/>
    </row>
    <row r="28824" spans="2:2" s="221" customFormat="1" ht="12.75" x14ac:dyDescent="0.2">
      <c r="B28824" s="1168"/>
    </row>
    <row r="28825" spans="2:2" s="221" customFormat="1" ht="12.75" x14ac:dyDescent="0.2">
      <c r="B28825" s="1168"/>
    </row>
    <row r="28826" spans="2:2" s="221" customFormat="1" ht="12.75" x14ac:dyDescent="0.2">
      <c r="B28826" s="1168"/>
    </row>
    <row r="28827" spans="2:2" s="221" customFormat="1" ht="12.75" x14ac:dyDescent="0.2">
      <c r="B28827" s="1168"/>
    </row>
    <row r="28828" spans="2:2" s="221" customFormat="1" ht="12.75" x14ac:dyDescent="0.2">
      <c r="B28828" s="1168"/>
    </row>
    <row r="28829" spans="2:2" s="221" customFormat="1" ht="12.75" x14ac:dyDescent="0.2">
      <c r="B28829" s="1168"/>
    </row>
    <row r="28830" spans="2:2" s="221" customFormat="1" ht="12.75" x14ac:dyDescent="0.2">
      <c r="B28830" s="1168"/>
    </row>
    <row r="28831" spans="2:2" s="221" customFormat="1" ht="12.75" x14ac:dyDescent="0.2">
      <c r="B28831" s="1168"/>
    </row>
    <row r="28832" spans="2:2" s="221" customFormat="1" ht="12.75" x14ac:dyDescent="0.2">
      <c r="B28832" s="1168"/>
    </row>
    <row r="28833" spans="2:2" s="221" customFormat="1" ht="12.75" x14ac:dyDescent="0.2">
      <c r="B28833" s="1168"/>
    </row>
    <row r="28834" spans="2:2" s="221" customFormat="1" ht="12.75" x14ac:dyDescent="0.2">
      <c r="B28834" s="1168"/>
    </row>
    <row r="28835" spans="2:2" s="221" customFormat="1" ht="12.75" x14ac:dyDescent="0.2">
      <c r="B28835" s="1168"/>
    </row>
    <row r="28836" spans="2:2" s="221" customFormat="1" ht="12.75" x14ac:dyDescent="0.2">
      <c r="B28836" s="1168"/>
    </row>
    <row r="28837" spans="2:2" s="221" customFormat="1" ht="12.75" x14ac:dyDescent="0.2">
      <c r="B28837" s="1168"/>
    </row>
    <row r="28838" spans="2:2" s="221" customFormat="1" ht="12.75" x14ac:dyDescent="0.2">
      <c r="B28838" s="1168"/>
    </row>
    <row r="28839" spans="2:2" s="221" customFormat="1" ht="12.75" x14ac:dyDescent="0.2">
      <c r="B28839" s="1168"/>
    </row>
    <row r="28840" spans="2:2" s="221" customFormat="1" ht="12.75" x14ac:dyDescent="0.2">
      <c r="B28840" s="1168"/>
    </row>
    <row r="28841" spans="2:2" s="221" customFormat="1" ht="12.75" x14ac:dyDescent="0.2">
      <c r="B28841" s="1168"/>
    </row>
    <row r="28842" spans="2:2" s="221" customFormat="1" ht="12.75" x14ac:dyDescent="0.2">
      <c r="B28842" s="1168"/>
    </row>
    <row r="28843" spans="2:2" s="221" customFormat="1" ht="12.75" x14ac:dyDescent="0.2">
      <c r="B28843" s="1168"/>
    </row>
    <row r="28844" spans="2:2" s="221" customFormat="1" ht="12.75" x14ac:dyDescent="0.2">
      <c r="B28844" s="1168"/>
    </row>
    <row r="28845" spans="2:2" s="221" customFormat="1" ht="12.75" x14ac:dyDescent="0.2">
      <c r="B28845" s="1168"/>
    </row>
    <row r="28846" spans="2:2" s="221" customFormat="1" ht="12.75" x14ac:dyDescent="0.2">
      <c r="B28846" s="1168"/>
    </row>
    <row r="28847" spans="2:2" s="221" customFormat="1" ht="12.75" x14ac:dyDescent="0.2">
      <c r="B28847" s="1168"/>
    </row>
    <row r="28848" spans="2:2" s="221" customFormat="1" ht="12.75" x14ac:dyDescent="0.2">
      <c r="B28848" s="1168"/>
    </row>
    <row r="28849" spans="2:2" s="221" customFormat="1" ht="12.75" x14ac:dyDescent="0.2">
      <c r="B28849" s="1168"/>
    </row>
    <row r="28850" spans="2:2" s="221" customFormat="1" ht="12.75" x14ac:dyDescent="0.2">
      <c r="B28850" s="1168"/>
    </row>
    <row r="28851" spans="2:2" s="221" customFormat="1" ht="12.75" x14ac:dyDescent="0.2">
      <c r="B28851" s="1168"/>
    </row>
    <row r="28852" spans="2:2" s="221" customFormat="1" ht="12.75" x14ac:dyDescent="0.2">
      <c r="B28852" s="1168"/>
    </row>
    <row r="28853" spans="2:2" s="221" customFormat="1" ht="12.75" x14ac:dyDescent="0.2">
      <c r="B28853" s="1168"/>
    </row>
    <row r="28854" spans="2:2" s="221" customFormat="1" ht="12.75" x14ac:dyDescent="0.2">
      <c r="B28854" s="1168"/>
    </row>
    <row r="28855" spans="2:2" s="221" customFormat="1" ht="12.75" x14ac:dyDescent="0.2">
      <c r="B28855" s="1168"/>
    </row>
    <row r="28856" spans="2:2" s="221" customFormat="1" ht="12.75" x14ac:dyDescent="0.2">
      <c r="B28856" s="1168"/>
    </row>
    <row r="28857" spans="2:2" s="221" customFormat="1" ht="12.75" x14ac:dyDescent="0.2">
      <c r="B28857" s="1168"/>
    </row>
    <row r="28858" spans="2:2" s="221" customFormat="1" ht="12.75" x14ac:dyDescent="0.2">
      <c r="B28858" s="1168"/>
    </row>
    <row r="28859" spans="2:2" s="221" customFormat="1" ht="12.75" x14ac:dyDescent="0.2">
      <c r="B28859" s="1168"/>
    </row>
    <row r="28860" spans="2:2" s="221" customFormat="1" ht="12.75" x14ac:dyDescent="0.2">
      <c r="B28860" s="1168"/>
    </row>
    <row r="28861" spans="2:2" s="221" customFormat="1" ht="12.75" x14ac:dyDescent="0.2">
      <c r="B28861" s="1168"/>
    </row>
    <row r="28862" spans="2:2" s="221" customFormat="1" ht="12.75" x14ac:dyDescent="0.2">
      <c r="B28862" s="1168"/>
    </row>
    <row r="28863" spans="2:2" s="221" customFormat="1" ht="12.75" x14ac:dyDescent="0.2">
      <c r="B28863" s="1168"/>
    </row>
    <row r="28864" spans="2:2" s="221" customFormat="1" ht="12.75" x14ac:dyDescent="0.2">
      <c r="B28864" s="1168"/>
    </row>
    <row r="28865" spans="2:2" s="221" customFormat="1" ht="12.75" x14ac:dyDescent="0.2">
      <c r="B28865" s="1168"/>
    </row>
    <row r="28866" spans="2:2" s="221" customFormat="1" ht="12.75" x14ac:dyDescent="0.2">
      <c r="B28866" s="1168"/>
    </row>
    <row r="28867" spans="2:2" s="221" customFormat="1" ht="12.75" x14ac:dyDescent="0.2">
      <c r="B28867" s="1168"/>
    </row>
    <row r="28868" spans="2:2" s="221" customFormat="1" ht="12.75" x14ac:dyDescent="0.2">
      <c r="B28868" s="1168"/>
    </row>
    <row r="28869" spans="2:2" s="221" customFormat="1" ht="12.75" x14ac:dyDescent="0.2">
      <c r="B28869" s="1168"/>
    </row>
    <row r="28870" spans="2:2" s="221" customFormat="1" ht="12.75" x14ac:dyDescent="0.2">
      <c r="B28870" s="1168"/>
    </row>
    <row r="28871" spans="2:2" s="221" customFormat="1" ht="12.75" x14ac:dyDescent="0.2">
      <c r="B28871" s="1168"/>
    </row>
    <row r="28872" spans="2:2" s="221" customFormat="1" ht="12.75" x14ac:dyDescent="0.2">
      <c r="B28872" s="1168"/>
    </row>
    <row r="28873" spans="2:2" s="221" customFormat="1" ht="12.75" x14ac:dyDescent="0.2">
      <c r="B28873" s="1168"/>
    </row>
    <row r="28874" spans="2:2" s="221" customFormat="1" ht="12.75" x14ac:dyDescent="0.2">
      <c r="B28874" s="1168"/>
    </row>
    <row r="28875" spans="2:2" s="221" customFormat="1" ht="12.75" x14ac:dyDescent="0.2">
      <c r="B28875" s="1168"/>
    </row>
    <row r="28876" spans="2:2" s="221" customFormat="1" ht="12.75" x14ac:dyDescent="0.2">
      <c r="B28876" s="1168"/>
    </row>
    <row r="28877" spans="2:2" s="221" customFormat="1" ht="12.75" x14ac:dyDescent="0.2">
      <c r="B28877" s="1168"/>
    </row>
    <row r="28878" spans="2:2" s="221" customFormat="1" ht="12.75" x14ac:dyDescent="0.2">
      <c r="B28878" s="1168"/>
    </row>
    <row r="28879" spans="2:2" s="221" customFormat="1" ht="12.75" x14ac:dyDescent="0.2">
      <c r="B28879" s="1168"/>
    </row>
    <row r="28880" spans="2:2" s="221" customFormat="1" ht="12.75" x14ac:dyDescent="0.2">
      <c r="B28880" s="1168"/>
    </row>
    <row r="28881" spans="2:2" s="221" customFormat="1" ht="12.75" x14ac:dyDescent="0.2">
      <c r="B28881" s="1168"/>
    </row>
    <row r="28882" spans="2:2" s="221" customFormat="1" ht="12.75" x14ac:dyDescent="0.2">
      <c r="B28882" s="1168"/>
    </row>
    <row r="28883" spans="2:2" s="221" customFormat="1" ht="12.75" x14ac:dyDescent="0.2">
      <c r="B28883" s="1168"/>
    </row>
    <row r="28884" spans="2:2" s="221" customFormat="1" ht="12.75" x14ac:dyDescent="0.2">
      <c r="B28884" s="1168"/>
    </row>
    <row r="28885" spans="2:2" s="221" customFormat="1" ht="12.75" x14ac:dyDescent="0.2">
      <c r="B28885" s="1168"/>
    </row>
    <row r="28886" spans="2:2" s="221" customFormat="1" ht="12.75" x14ac:dyDescent="0.2">
      <c r="B28886" s="1168"/>
    </row>
    <row r="28887" spans="2:2" s="221" customFormat="1" ht="12.75" x14ac:dyDescent="0.2">
      <c r="B28887" s="1168"/>
    </row>
    <row r="28888" spans="2:2" s="221" customFormat="1" ht="12.75" x14ac:dyDescent="0.2">
      <c r="B28888" s="1168"/>
    </row>
    <row r="28889" spans="2:2" s="221" customFormat="1" ht="12.75" x14ac:dyDescent="0.2">
      <c r="B28889" s="1168"/>
    </row>
    <row r="28890" spans="2:2" s="221" customFormat="1" ht="12.75" x14ac:dyDescent="0.2">
      <c r="B28890" s="1168"/>
    </row>
    <row r="28891" spans="2:2" s="221" customFormat="1" ht="12.75" x14ac:dyDescent="0.2">
      <c r="B28891" s="1168"/>
    </row>
    <row r="28892" spans="2:2" s="221" customFormat="1" ht="12.75" x14ac:dyDescent="0.2">
      <c r="B28892" s="1168"/>
    </row>
    <row r="28893" spans="2:2" s="221" customFormat="1" ht="12.75" x14ac:dyDescent="0.2">
      <c r="B28893" s="1168"/>
    </row>
    <row r="28894" spans="2:2" s="221" customFormat="1" ht="12.75" x14ac:dyDescent="0.2">
      <c r="B28894" s="1168"/>
    </row>
    <row r="28895" spans="2:2" s="221" customFormat="1" ht="12.75" x14ac:dyDescent="0.2">
      <c r="B28895" s="1168"/>
    </row>
    <row r="28896" spans="2:2" s="221" customFormat="1" ht="12.75" x14ac:dyDescent="0.2">
      <c r="B28896" s="1168"/>
    </row>
    <row r="28897" spans="2:2" s="221" customFormat="1" ht="12.75" x14ac:dyDescent="0.2">
      <c r="B28897" s="1168"/>
    </row>
    <row r="28898" spans="2:2" s="221" customFormat="1" ht="12.75" x14ac:dyDescent="0.2">
      <c r="B28898" s="1168"/>
    </row>
    <row r="28899" spans="2:2" s="221" customFormat="1" ht="12.75" x14ac:dyDescent="0.2">
      <c r="B28899" s="1168"/>
    </row>
    <row r="28900" spans="2:2" s="221" customFormat="1" ht="12.75" x14ac:dyDescent="0.2">
      <c r="B28900" s="1168"/>
    </row>
    <row r="28901" spans="2:2" s="221" customFormat="1" ht="12.75" x14ac:dyDescent="0.2">
      <c r="B28901" s="1168"/>
    </row>
    <row r="28902" spans="2:2" s="221" customFormat="1" ht="12.75" x14ac:dyDescent="0.2">
      <c r="B28902" s="1168"/>
    </row>
    <row r="28903" spans="2:2" s="221" customFormat="1" ht="12.75" x14ac:dyDescent="0.2">
      <c r="B28903" s="1168"/>
    </row>
    <row r="28904" spans="2:2" s="221" customFormat="1" ht="12.75" x14ac:dyDescent="0.2">
      <c r="B28904" s="1168"/>
    </row>
    <row r="28905" spans="2:2" s="221" customFormat="1" ht="12.75" x14ac:dyDescent="0.2">
      <c r="B28905" s="1168"/>
    </row>
    <row r="28906" spans="2:2" s="221" customFormat="1" ht="12.75" x14ac:dyDescent="0.2">
      <c r="B28906" s="1168"/>
    </row>
    <row r="28907" spans="2:2" s="221" customFormat="1" ht="12.75" x14ac:dyDescent="0.2">
      <c r="B28907" s="1168"/>
    </row>
    <row r="28908" spans="2:2" s="221" customFormat="1" ht="12.75" x14ac:dyDescent="0.2">
      <c r="B28908" s="1168"/>
    </row>
    <row r="28909" spans="2:2" s="221" customFormat="1" ht="12.75" x14ac:dyDescent="0.2">
      <c r="B28909" s="1168"/>
    </row>
    <row r="28910" spans="2:2" s="221" customFormat="1" ht="12.75" x14ac:dyDescent="0.2">
      <c r="B28910" s="1168"/>
    </row>
    <row r="28911" spans="2:2" s="221" customFormat="1" ht="12.75" x14ac:dyDescent="0.2">
      <c r="B28911" s="1168"/>
    </row>
    <row r="28912" spans="2:2" s="221" customFormat="1" ht="12.75" x14ac:dyDescent="0.2">
      <c r="B28912" s="1168"/>
    </row>
    <row r="28913" spans="2:2" s="221" customFormat="1" ht="12.75" x14ac:dyDescent="0.2">
      <c r="B28913" s="1168"/>
    </row>
    <row r="28914" spans="2:2" s="221" customFormat="1" ht="12.75" x14ac:dyDescent="0.2">
      <c r="B28914" s="1168"/>
    </row>
    <row r="28915" spans="2:2" s="221" customFormat="1" ht="12.75" x14ac:dyDescent="0.2">
      <c r="B28915" s="1168"/>
    </row>
    <row r="28916" spans="2:2" s="221" customFormat="1" ht="12.75" x14ac:dyDescent="0.2">
      <c r="B28916" s="1168"/>
    </row>
    <row r="28917" spans="2:2" s="221" customFormat="1" ht="12.75" x14ac:dyDescent="0.2">
      <c r="B28917" s="1168"/>
    </row>
    <row r="28918" spans="2:2" s="221" customFormat="1" ht="12.75" x14ac:dyDescent="0.2">
      <c r="B28918" s="1168"/>
    </row>
    <row r="28919" spans="2:2" s="221" customFormat="1" ht="12.75" x14ac:dyDescent="0.2">
      <c r="B28919" s="1168"/>
    </row>
    <row r="28920" spans="2:2" s="221" customFormat="1" ht="12.75" x14ac:dyDescent="0.2">
      <c r="B28920" s="1168"/>
    </row>
    <row r="28921" spans="2:2" s="221" customFormat="1" ht="12.75" x14ac:dyDescent="0.2">
      <c r="B28921" s="1168"/>
    </row>
    <row r="28922" spans="2:2" s="221" customFormat="1" ht="12.75" x14ac:dyDescent="0.2">
      <c r="B28922" s="1168"/>
    </row>
    <row r="28923" spans="2:2" s="221" customFormat="1" ht="12.75" x14ac:dyDescent="0.2">
      <c r="B28923" s="1168"/>
    </row>
    <row r="28924" spans="2:2" s="221" customFormat="1" ht="12.75" x14ac:dyDescent="0.2">
      <c r="B28924" s="1168"/>
    </row>
    <row r="28925" spans="2:2" s="221" customFormat="1" ht="12.75" x14ac:dyDescent="0.2">
      <c r="B28925" s="1168"/>
    </row>
    <row r="28926" spans="2:2" s="221" customFormat="1" ht="12.75" x14ac:dyDescent="0.2">
      <c r="B28926" s="1168"/>
    </row>
    <row r="28927" spans="2:2" s="221" customFormat="1" ht="12.75" x14ac:dyDescent="0.2">
      <c r="B28927" s="1168"/>
    </row>
    <row r="28928" spans="2:2" s="221" customFormat="1" ht="12.75" x14ac:dyDescent="0.2">
      <c r="B28928" s="1168"/>
    </row>
    <row r="28929" spans="2:2" s="221" customFormat="1" ht="12.75" x14ac:dyDescent="0.2">
      <c r="B28929" s="1168"/>
    </row>
    <row r="28930" spans="2:2" s="221" customFormat="1" ht="12.75" x14ac:dyDescent="0.2">
      <c r="B28930" s="1168"/>
    </row>
    <row r="28931" spans="2:2" s="221" customFormat="1" ht="12.75" x14ac:dyDescent="0.2">
      <c r="B28931" s="1168"/>
    </row>
    <row r="28932" spans="2:2" s="221" customFormat="1" ht="12.75" x14ac:dyDescent="0.2">
      <c r="B28932" s="1168"/>
    </row>
    <row r="28933" spans="2:2" s="221" customFormat="1" ht="12.75" x14ac:dyDescent="0.2">
      <c r="B28933" s="1168"/>
    </row>
    <row r="28934" spans="2:2" s="221" customFormat="1" ht="12.75" x14ac:dyDescent="0.2">
      <c r="B28934" s="1168"/>
    </row>
    <row r="28935" spans="2:2" s="221" customFormat="1" ht="12.75" x14ac:dyDescent="0.2">
      <c r="B28935" s="1168"/>
    </row>
    <row r="28936" spans="2:2" s="221" customFormat="1" ht="12.75" x14ac:dyDescent="0.2">
      <c r="B28936" s="1168"/>
    </row>
    <row r="28937" spans="2:2" s="221" customFormat="1" ht="12.75" x14ac:dyDescent="0.2">
      <c r="B28937" s="1168"/>
    </row>
    <row r="28938" spans="2:2" s="221" customFormat="1" ht="12.75" x14ac:dyDescent="0.2">
      <c r="B28938" s="1168"/>
    </row>
    <row r="28939" spans="2:2" s="221" customFormat="1" ht="12.75" x14ac:dyDescent="0.2">
      <c r="B28939" s="1168"/>
    </row>
    <row r="28940" spans="2:2" s="221" customFormat="1" ht="12.75" x14ac:dyDescent="0.2">
      <c r="B28940" s="1168"/>
    </row>
    <row r="28941" spans="2:2" s="221" customFormat="1" ht="12.75" x14ac:dyDescent="0.2">
      <c r="B28941" s="1168"/>
    </row>
    <row r="28942" spans="2:2" s="221" customFormat="1" ht="12.75" x14ac:dyDescent="0.2">
      <c r="B28942" s="1168"/>
    </row>
    <row r="28943" spans="2:2" s="221" customFormat="1" ht="12.75" x14ac:dyDescent="0.2">
      <c r="B28943" s="1168"/>
    </row>
    <row r="28944" spans="2:2" s="221" customFormat="1" ht="12.75" x14ac:dyDescent="0.2">
      <c r="B28944" s="1168"/>
    </row>
    <row r="28945" spans="2:2" s="221" customFormat="1" ht="12.75" x14ac:dyDescent="0.2">
      <c r="B28945" s="1168"/>
    </row>
    <row r="28946" spans="2:2" s="221" customFormat="1" ht="12.75" x14ac:dyDescent="0.2">
      <c r="B28946" s="1168"/>
    </row>
    <row r="28947" spans="2:2" s="221" customFormat="1" ht="12.75" x14ac:dyDescent="0.2">
      <c r="B28947" s="1168"/>
    </row>
    <row r="28948" spans="2:2" s="221" customFormat="1" ht="12.75" x14ac:dyDescent="0.2">
      <c r="B28948" s="1168"/>
    </row>
    <row r="28949" spans="2:2" s="221" customFormat="1" ht="12.75" x14ac:dyDescent="0.2">
      <c r="B28949" s="1168"/>
    </row>
    <row r="28950" spans="2:2" s="221" customFormat="1" ht="12.75" x14ac:dyDescent="0.2">
      <c r="B28950" s="1168"/>
    </row>
    <row r="28951" spans="2:2" s="221" customFormat="1" ht="12.75" x14ac:dyDescent="0.2">
      <c r="B28951" s="1168"/>
    </row>
    <row r="28952" spans="2:2" s="221" customFormat="1" ht="12.75" x14ac:dyDescent="0.2">
      <c r="B28952" s="1168"/>
    </row>
    <row r="28953" spans="2:2" s="221" customFormat="1" ht="12.75" x14ac:dyDescent="0.2">
      <c r="B28953" s="1168"/>
    </row>
    <row r="28954" spans="2:2" s="221" customFormat="1" ht="12.75" x14ac:dyDescent="0.2">
      <c r="B28954" s="1168"/>
    </row>
    <row r="28955" spans="2:2" s="221" customFormat="1" ht="12.75" x14ac:dyDescent="0.2">
      <c r="B28955" s="1168"/>
    </row>
    <row r="28956" spans="2:2" s="221" customFormat="1" ht="12.75" x14ac:dyDescent="0.2">
      <c r="B28956" s="1168"/>
    </row>
    <row r="28957" spans="2:2" s="221" customFormat="1" ht="12.75" x14ac:dyDescent="0.2">
      <c r="B28957" s="1168"/>
    </row>
    <row r="28958" spans="2:2" s="221" customFormat="1" ht="12.75" x14ac:dyDescent="0.2">
      <c r="B28958" s="1168"/>
    </row>
    <row r="28959" spans="2:2" s="221" customFormat="1" ht="12.75" x14ac:dyDescent="0.2">
      <c r="B28959" s="1168"/>
    </row>
    <row r="28960" spans="2:2" s="221" customFormat="1" ht="12.75" x14ac:dyDescent="0.2">
      <c r="B28960" s="1168"/>
    </row>
    <row r="28961" spans="2:2" s="221" customFormat="1" ht="12.75" x14ac:dyDescent="0.2">
      <c r="B28961" s="1168"/>
    </row>
    <row r="28962" spans="2:2" s="221" customFormat="1" ht="12.75" x14ac:dyDescent="0.2">
      <c r="B28962" s="1168"/>
    </row>
    <row r="28963" spans="2:2" s="221" customFormat="1" ht="12.75" x14ac:dyDescent="0.2">
      <c r="B28963" s="1168"/>
    </row>
    <row r="28964" spans="2:2" s="221" customFormat="1" ht="12.75" x14ac:dyDescent="0.2">
      <c r="B28964" s="1168"/>
    </row>
    <row r="28965" spans="2:2" s="221" customFormat="1" ht="12.75" x14ac:dyDescent="0.2">
      <c r="B28965" s="1168"/>
    </row>
    <row r="28966" spans="2:2" s="221" customFormat="1" ht="12.75" x14ac:dyDescent="0.2">
      <c r="B28966" s="1168"/>
    </row>
    <row r="28967" spans="2:2" s="221" customFormat="1" ht="12.75" x14ac:dyDescent="0.2">
      <c r="B28967" s="1168"/>
    </row>
    <row r="28968" spans="2:2" s="221" customFormat="1" ht="12.75" x14ac:dyDescent="0.2">
      <c r="B28968" s="1168"/>
    </row>
    <row r="28969" spans="2:2" s="221" customFormat="1" ht="12.75" x14ac:dyDescent="0.2">
      <c r="B28969" s="1168"/>
    </row>
    <row r="28970" spans="2:2" s="221" customFormat="1" ht="12.75" x14ac:dyDescent="0.2">
      <c r="B28970" s="1168"/>
    </row>
    <row r="28971" spans="2:2" s="221" customFormat="1" ht="12.75" x14ac:dyDescent="0.2">
      <c r="B28971" s="1168"/>
    </row>
    <row r="28972" spans="2:2" s="221" customFormat="1" ht="12.75" x14ac:dyDescent="0.2">
      <c r="B28972" s="1168"/>
    </row>
    <row r="28973" spans="2:2" s="221" customFormat="1" ht="12.75" x14ac:dyDescent="0.2">
      <c r="B28973" s="1168"/>
    </row>
    <row r="28974" spans="2:2" s="221" customFormat="1" ht="12.75" x14ac:dyDescent="0.2">
      <c r="B28974" s="1168"/>
    </row>
    <row r="28975" spans="2:2" s="221" customFormat="1" ht="12.75" x14ac:dyDescent="0.2">
      <c r="B28975" s="1168"/>
    </row>
    <row r="28976" spans="2:2" s="221" customFormat="1" ht="12.75" x14ac:dyDescent="0.2">
      <c r="B28976" s="1168"/>
    </row>
    <row r="28977" spans="2:2" s="221" customFormat="1" ht="12.75" x14ac:dyDescent="0.2">
      <c r="B28977" s="1168"/>
    </row>
    <row r="28978" spans="2:2" s="221" customFormat="1" ht="12.75" x14ac:dyDescent="0.2">
      <c r="B28978" s="1168"/>
    </row>
    <row r="28979" spans="2:2" s="221" customFormat="1" ht="12.75" x14ac:dyDescent="0.2">
      <c r="B28979" s="1168"/>
    </row>
    <row r="28980" spans="2:2" s="221" customFormat="1" ht="12.75" x14ac:dyDescent="0.2">
      <c r="B28980" s="1168"/>
    </row>
    <row r="28981" spans="2:2" s="221" customFormat="1" ht="12.75" x14ac:dyDescent="0.2">
      <c r="B28981" s="1168"/>
    </row>
    <row r="28982" spans="2:2" s="221" customFormat="1" ht="12.75" x14ac:dyDescent="0.2">
      <c r="B28982" s="1168"/>
    </row>
    <row r="28983" spans="2:2" s="221" customFormat="1" ht="12.75" x14ac:dyDescent="0.2">
      <c r="B28983" s="1168"/>
    </row>
    <row r="28984" spans="2:2" s="221" customFormat="1" ht="12.75" x14ac:dyDescent="0.2">
      <c r="B28984" s="1168"/>
    </row>
    <row r="28985" spans="2:2" s="221" customFormat="1" ht="12.75" x14ac:dyDescent="0.2">
      <c r="B28985" s="1168"/>
    </row>
    <row r="28986" spans="2:2" s="221" customFormat="1" ht="12.75" x14ac:dyDescent="0.2">
      <c r="B28986" s="1168"/>
    </row>
    <row r="28987" spans="2:2" s="221" customFormat="1" ht="12.75" x14ac:dyDescent="0.2">
      <c r="B28987" s="1168"/>
    </row>
    <row r="28988" spans="2:2" s="221" customFormat="1" ht="12.75" x14ac:dyDescent="0.2">
      <c r="B28988" s="1168"/>
    </row>
    <row r="28989" spans="2:2" s="221" customFormat="1" ht="12.75" x14ac:dyDescent="0.2">
      <c r="B28989" s="1168"/>
    </row>
    <row r="28990" spans="2:2" s="221" customFormat="1" ht="12.75" x14ac:dyDescent="0.2">
      <c r="B28990" s="1168"/>
    </row>
    <row r="28991" spans="2:2" s="221" customFormat="1" ht="12.75" x14ac:dyDescent="0.2">
      <c r="B28991" s="1168"/>
    </row>
    <row r="28992" spans="2:2" s="221" customFormat="1" ht="12.75" x14ac:dyDescent="0.2">
      <c r="B28992" s="1168"/>
    </row>
    <row r="28993" spans="2:2" s="221" customFormat="1" ht="12.75" x14ac:dyDescent="0.2">
      <c r="B28993" s="1168"/>
    </row>
    <row r="28994" spans="2:2" s="221" customFormat="1" ht="12.75" x14ac:dyDescent="0.2">
      <c r="B28994" s="1168"/>
    </row>
    <row r="28995" spans="2:2" s="221" customFormat="1" ht="12.75" x14ac:dyDescent="0.2">
      <c r="B28995" s="1168"/>
    </row>
    <row r="28996" spans="2:2" s="221" customFormat="1" ht="12.75" x14ac:dyDescent="0.2">
      <c r="B28996" s="1168"/>
    </row>
    <row r="28997" spans="2:2" s="221" customFormat="1" ht="12.75" x14ac:dyDescent="0.2">
      <c r="B28997" s="1168"/>
    </row>
    <row r="28998" spans="2:2" s="221" customFormat="1" ht="12.75" x14ac:dyDescent="0.2">
      <c r="B28998" s="1168"/>
    </row>
    <row r="28999" spans="2:2" s="221" customFormat="1" ht="12.75" x14ac:dyDescent="0.2">
      <c r="B28999" s="1168"/>
    </row>
    <row r="29000" spans="2:2" s="221" customFormat="1" ht="12.75" x14ac:dyDescent="0.2">
      <c r="B29000" s="1168"/>
    </row>
    <row r="29001" spans="2:2" s="221" customFormat="1" ht="12.75" x14ac:dyDescent="0.2">
      <c r="B29001" s="1168"/>
    </row>
    <row r="29002" spans="2:2" s="221" customFormat="1" ht="12.75" x14ac:dyDescent="0.2">
      <c r="B29002" s="1168"/>
    </row>
    <row r="29003" spans="2:2" s="221" customFormat="1" ht="12.75" x14ac:dyDescent="0.2">
      <c r="B29003" s="1168"/>
    </row>
    <row r="29004" spans="2:2" s="221" customFormat="1" ht="12.75" x14ac:dyDescent="0.2">
      <c r="B29004" s="1168"/>
    </row>
    <row r="29005" spans="2:2" s="221" customFormat="1" ht="12.75" x14ac:dyDescent="0.2">
      <c r="B29005" s="1168"/>
    </row>
    <row r="29006" spans="2:2" s="221" customFormat="1" ht="12.75" x14ac:dyDescent="0.2">
      <c r="B29006" s="1168"/>
    </row>
    <row r="29007" spans="2:2" s="221" customFormat="1" ht="12.75" x14ac:dyDescent="0.2">
      <c r="B29007" s="1168"/>
    </row>
    <row r="29008" spans="2:2" s="221" customFormat="1" ht="12.75" x14ac:dyDescent="0.2">
      <c r="B29008" s="1168"/>
    </row>
    <row r="29009" spans="2:2" s="221" customFormat="1" ht="12.75" x14ac:dyDescent="0.2">
      <c r="B29009" s="1168"/>
    </row>
    <row r="29010" spans="2:2" s="221" customFormat="1" ht="12.75" x14ac:dyDescent="0.2">
      <c r="B29010" s="1168"/>
    </row>
    <row r="29011" spans="2:2" s="221" customFormat="1" ht="12.75" x14ac:dyDescent="0.2">
      <c r="B29011" s="1168"/>
    </row>
    <row r="29012" spans="2:2" s="221" customFormat="1" ht="12.75" x14ac:dyDescent="0.2">
      <c r="B29012" s="1168"/>
    </row>
    <row r="29013" spans="2:2" s="221" customFormat="1" ht="12.75" x14ac:dyDescent="0.2">
      <c r="B29013" s="1168"/>
    </row>
    <row r="29014" spans="2:2" s="221" customFormat="1" ht="12.75" x14ac:dyDescent="0.2">
      <c r="B29014" s="1168"/>
    </row>
    <row r="29015" spans="2:2" s="221" customFormat="1" ht="12.75" x14ac:dyDescent="0.2">
      <c r="B29015" s="1168"/>
    </row>
    <row r="29016" spans="2:2" s="221" customFormat="1" ht="12.75" x14ac:dyDescent="0.2">
      <c r="B29016" s="1168"/>
    </row>
    <row r="29017" spans="2:2" s="221" customFormat="1" ht="12.75" x14ac:dyDescent="0.2">
      <c r="B29017" s="1168"/>
    </row>
    <row r="29018" spans="2:2" s="221" customFormat="1" ht="12.75" x14ac:dyDescent="0.2">
      <c r="B29018" s="1168"/>
    </row>
    <row r="29019" spans="2:2" s="221" customFormat="1" ht="12.75" x14ac:dyDescent="0.2">
      <c r="B29019" s="1168"/>
    </row>
    <row r="29020" spans="2:2" s="221" customFormat="1" ht="12.75" x14ac:dyDescent="0.2">
      <c r="B29020" s="1168"/>
    </row>
    <row r="29021" spans="2:2" s="221" customFormat="1" ht="12.75" x14ac:dyDescent="0.2">
      <c r="B29021" s="1168"/>
    </row>
    <row r="29022" spans="2:2" s="221" customFormat="1" ht="12.75" x14ac:dyDescent="0.2">
      <c r="B29022" s="1168"/>
    </row>
    <row r="29023" spans="2:2" s="221" customFormat="1" ht="12.75" x14ac:dyDescent="0.2">
      <c r="B29023" s="1168"/>
    </row>
    <row r="29024" spans="2:2" s="221" customFormat="1" ht="12.75" x14ac:dyDescent="0.2">
      <c r="B29024" s="1168"/>
    </row>
    <row r="29025" spans="2:2" s="221" customFormat="1" ht="12.75" x14ac:dyDescent="0.2">
      <c r="B29025" s="1168"/>
    </row>
    <row r="29026" spans="2:2" s="221" customFormat="1" ht="12.75" x14ac:dyDescent="0.2">
      <c r="B29026" s="1168"/>
    </row>
    <row r="29027" spans="2:2" s="221" customFormat="1" ht="12.75" x14ac:dyDescent="0.2">
      <c r="B29027" s="1168"/>
    </row>
    <row r="29028" spans="2:2" s="221" customFormat="1" ht="12.75" x14ac:dyDescent="0.2">
      <c r="B29028" s="1168"/>
    </row>
    <row r="29029" spans="2:2" s="221" customFormat="1" ht="12.75" x14ac:dyDescent="0.2">
      <c r="B29029" s="1168"/>
    </row>
    <row r="29030" spans="2:2" s="221" customFormat="1" ht="12.75" x14ac:dyDescent="0.2">
      <c r="B29030" s="1168"/>
    </row>
    <row r="29031" spans="2:2" s="221" customFormat="1" ht="12.75" x14ac:dyDescent="0.2">
      <c r="B29031" s="1168"/>
    </row>
    <row r="29032" spans="2:2" s="221" customFormat="1" ht="12.75" x14ac:dyDescent="0.2">
      <c r="B29032" s="1168"/>
    </row>
    <row r="29033" spans="2:2" s="221" customFormat="1" ht="12.75" x14ac:dyDescent="0.2">
      <c r="B29033" s="1168"/>
    </row>
    <row r="29034" spans="2:2" s="221" customFormat="1" ht="12.75" x14ac:dyDescent="0.2">
      <c r="B29034" s="1168"/>
    </row>
    <row r="29035" spans="2:2" s="221" customFormat="1" ht="12.75" x14ac:dyDescent="0.2">
      <c r="B29035" s="1168"/>
    </row>
    <row r="29036" spans="2:2" s="221" customFormat="1" ht="12.75" x14ac:dyDescent="0.2">
      <c r="B29036" s="1168"/>
    </row>
    <row r="29037" spans="2:2" s="221" customFormat="1" ht="12.75" x14ac:dyDescent="0.2">
      <c r="B29037" s="1168"/>
    </row>
    <row r="29038" spans="2:2" s="221" customFormat="1" ht="12.75" x14ac:dyDescent="0.2">
      <c r="B29038" s="1168"/>
    </row>
    <row r="29039" spans="2:2" s="221" customFormat="1" ht="12.75" x14ac:dyDescent="0.2">
      <c r="B29039" s="1168"/>
    </row>
    <row r="29040" spans="2:2" s="221" customFormat="1" ht="12.75" x14ac:dyDescent="0.2">
      <c r="B29040" s="1168"/>
    </row>
    <row r="29041" spans="2:2" s="221" customFormat="1" ht="12.75" x14ac:dyDescent="0.2">
      <c r="B29041" s="1168"/>
    </row>
    <row r="29042" spans="2:2" s="221" customFormat="1" ht="12.75" x14ac:dyDescent="0.2">
      <c r="B29042" s="1168"/>
    </row>
    <row r="29043" spans="2:2" s="221" customFormat="1" ht="12.75" x14ac:dyDescent="0.2">
      <c r="B29043" s="1168"/>
    </row>
    <row r="29044" spans="2:2" s="221" customFormat="1" ht="12.75" x14ac:dyDescent="0.2">
      <c r="B29044" s="1168"/>
    </row>
    <row r="29045" spans="2:2" s="221" customFormat="1" ht="12.75" x14ac:dyDescent="0.2">
      <c r="B29045" s="1168"/>
    </row>
    <row r="29046" spans="2:2" s="221" customFormat="1" ht="12.75" x14ac:dyDescent="0.2">
      <c r="B29046" s="1168"/>
    </row>
    <row r="29047" spans="2:2" s="221" customFormat="1" ht="12.75" x14ac:dyDescent="0.2">
      <c r="B29047" s="1168"/>
    </row>
    <row r="29048" spans="2:2" s="221" customFormat="1" ht="12.75" x14ac:dyDescent="0.2">
      <c r="B29048" s="1168"/>
    </row>
    <row r="29049" spans="2:2" s="221" customFormat="1" ht="12.75" x14ac:dyDescent="0.2">
      <c r="B29049" s="1168"/>
    </row>
    <row r="29050" spans="2:2" s="221" customFormat="1" ht="12.75" x14ac:dyDescent="0.2">
      <c r="B29050" s="1168"/>
    </row>
    <row r="29051" spans="2:2" s="221" customFormat="1" ht="12.75" x14ac:dyDescent="0.2">
      <c r="B29051" s="1168"/>
    </row>
    <row r="29052" spans="2:2" s="221" customFormat="1" ht="12.75" x14ac:dyDescent="0.2">
      <c r="B29052" s="1168"/>
    </row>
    <row r="29053" spans="2:2" s="221" customFormat="1" ht="12.75" x14ac:dyDescent="0.2">
      <c r="B29053" s="1168"/>
    </row>
    <row r="29054" spans="2:2" s="221" customFormat="1" ht="12.75" x14ac:dyDescent="0.2">
      <c r="B29054" s="1168"/>
    </row>
    <row r="29055" spans="2:2" s="221" customFormat="1" ht="12.75" x14ac:dyDescent="0.2">
      <c r="B29055" s="1168"/>
    </row>
    <row r="29056" spans="2:2" s="221" customFormat="1" ht="12.75" x14ac:dyDescent="0.2">
      <c r="B29056" s="1168"/>
    </row>
    <row r="29057" spans="2:2" s="221" customFormat="1" ht="12.75" x14ac:dyDescent="0.2">
      <c r="B29057" s="1168"/>
    </row>
    <row r="29058" spans="2:2" s="221" customFormat="1" ht="12.75" x14ac:dyDescent="0.2">
      <c r="B29058" s="1168"/>
    </row>
    <row r="29059" spans="2:2" s="221" customFormat="1" ht="12.75" x14ac:dyDescent="0.2">
      <c r="B29059" s="1168"/>
    </row>
    <row r="29060" spans="2:2" s="221" customFormat="1" ht="12.75" x14ac:dyDescent="0.2">
      <c r="B29060" s="1168"/>
    </row>
    <row r="29061" spans="2:2" s="221" customFormat="1" ht="12.75" x14ac:dyDescent="0.2">
      <c r="B29061" s="1168"/>
    </row>
    <row r="29062" spans="2:2" s="221" customFormat="1" ht="12.75" x14ac:dyDescent="0.2">
      <c r="B29062" s="1168"/>
    </row>
    <row r="29063" spans="2:2" s="221" customFormat="1" ht="12.75" x14ac:dyDescent="0.2">
      <c r="B29063" s="1168"/>
    </row>
    <row r="29064" spans="2:2" s="221" customFormat="1" ht="12.75" x14ac:dyDescent="0.2">
      <c r="B29064" s="1168"/>
    </row>
    <row r="29065" spans="2:2" s="221" customFormat="1" ht="12.75" x14ac:dyDescent="0.2">
      <c r="B29065" s="1168"/>
    </row>
    <row r="29066" spans="2:2" s="221" customFormat="1" ht="12.75" x14ac:dyDescent="0.2">
      <c r="B29066" s="1168"/>
    </row>
    <row r="29067" spans="2:2" s="221" customFormat="1" ht="12.75" x14ac:dyDescent="0.2">
      <c r="B29067" s="1168"/>
    </row>
    <row r="29068" spans="2:2" s="221" customFormat="1" ht="12.75" x14ac:dyDescent="0.2">
      <c r="B29068" s="1168"/>
    </row>
    <row r="29069" spans="2:2" s="221" customFormat="1" ht="12.75" x14ac:dyDescent="0.2">
      <c r="B29069" s="1168"/>
    </row>
    <row r="29070" spans="2:2" s="221" customFormat="1" ht="12.75" x14ac:dyDescent="0.2">
      <c r="B29070" s="1168"/>
    </row>
    <row r="29071" spans="2:2" s="221" customFormat="1" ht="12.75" x14ac:dyDescent="0.2">
      <c r="B29071" s="1168"/>
    </row>
    <row r="29072" spans="2:2" s="221" customFormat="1" ht="12.75" x14ac:dyDescent="0.2">
      <c r="B29072" s="1168"/>
    </row>
    <row r="29073" spans="2:2" s="221" customFormat="1" ht="12.75" x14ac:dyDescent="0.2">
      <c r="B29073" s="1168"/>
    </row>
    <row r="29074" spans="2:2" s="221" customFormat="1" ht="12.75" x14ac:dyDescent="0.2">
      <c r="B29074" s="1168"/>
    </row>
    <row r="29075" spans="2:2" s="221" customFormat="1" ht="12.75" x14ac:dyDescent="0.2">
      <c r="B29075" s="1168"/>
    </row>
    <row r="29076" spans="2:2" s="221" customFormat="1" ht="12.75" x14ac:dyDescent="0.2">
      <c r="B29076" s="1168"/>
    </row>
    <row r="29077" spans="2:2" s="221" customFormat="1" ht="12.75" x14ac:dyDescent="0.2">
      <c r="B29077" s="1168"/>
    </row>
    <row r="29078" spans="2:2" s="221" customFormat="1" ht="12.75" x14ac:dyDescent="0.2">
      <c r="B29078" s="1168"/>
    </row>
    <row r="29079" spans="2:2" s="221" customFormat="1" ht="12.75" x14ac:dyDescent="0.2">
      <c r="B29079" s="1168"/>
    </row>
    <row r="29080" spans="2:2" s="221" customFormat="1" ht="12.75" x14ac:dyDescent="0.2">
      <c r="B29080" s="1168"/>
    </row>
    <row r="29081" spans="2:2" s="221" customFormat="1" ht="12.75" x14ac:dyDescent="0.2">
      <c r="B29081" s="1168"/>
    </row>
    <row r="29082" spans="2:2" s="221" customFormat="1" ht="12.75" x14ac:dyDescent="0.2">
      <c r="B29082" s="1168"/>
    </row>
    <row r="29083" spans="2:2" s="221" customFormat="1" ht="12.75" x14ac:dyDescent="0.2">
      <c r="B29083" s="1168"/>
    </row>
    <row r="29084" spans="2:2" s="221" customFormat="1" ht="12.75" x14ac:dyDescent="0.2">
      <c r="B29084" s="1168"/>
    </row>
    <row r="29085" spans="2:2" s="221" customFormat="1" ht="12.75" x14ac:dyDescent="0.2">
      <c r="B29085" s="1168"/>
    </row>
    <row r="29086" spans="2:2" s="221" customFormat="1" ht="12.75" x14ac:dyDescent="0.2">
      <c r="B29086" s="1168"/>
    </row>
    <row r="29087" spans="2:2" s="221" customFormat="1" ht="12.75" x14ac:dyDescent="0.2">
      <c r="B29087" s="1168"/>
    </row>
    <row r="29088" spans="2:2" s="221" customFormat="1" ht="12.75" x14ac:dyDescent="0.2">
      <c r="B29088" s="1168"/>
    </row>
    <row r="29089" spans="2:2" s="221" customFormat="1" ht="12.75" x14ac:dyDescent="0.2">
      <c r="B29089" s="1168"/>
    </row>
    <row r="29090" spans="2:2" s="221" customFormat="1" ht="12.75" x14ac:dyDescent="0.2">
      <c r="B29090" s="1168"/>
    </row>
    <row r="29091" spans="2:2" s="221" customFormat="1" ht="12.75" x14ac:dyDescent="0.2">
      <c r="B29091" s="1168"/>
    </row>
    <row r="29092" spans="2:2" s="221" customFormat="1" ht="12.75" x14ac:dyDescent="0.2">
      <c r="B29092" s="1168"/>
    </row>
    <row r="29093" spans="2:2" s="221" customFormat="1" ht="12.75" x14ac:dyDescent="0.2">
      <c r="B29093" s="1168"/>
    </row>
    <row r="29094" spans="2:2" s="221" customFormat="1" ht="12.75" x14ac:dyDescent="0.2">
      <c r="B29094" s="1168"/>
    </row>
    <row r="29095" spans="2:2" s="221" customFormat="1" ht="12.75" x14ac:dyDescent="0.2">
      <c r="B29095" s="1168"/>
    </row>
    <row r="29096" spans="2:2" s="221" customFormat="1" ht="12.75" x14ac:dyDescent="0.2">
      <c r="B29096" s="1168"/>
    </row>
    <row r="29097" spans="2:2" s="221" customFormat="1" ht="12.75" x14ac:dyDescent="0.2">
      <c r="B29097" s="1168"/>
    </row>
    <row r="29098" spans="2:2" s="221" customFormat="1" ht="12.75" x14ac:dyDescent="0.2">
      <c r="B29098" s="1168"/>
    </row>
    <row r="29099" spans="2:2" s="221" customFormat="1" ht="12.75" x14ac:dyDescent="0.2">
      <c r="B29099" s="1168"/>
    </row>
    <row r="29100" spans="2:2" s="221" customFormat="1" ht="12.75" x14ac:dyDescent="0.2">
      <c r="B29100" s="1168"/>
    </row>
    <row r="29101" spans="2:2" s="221" customFormat="1" ht="12.75" x14ac:dyDescent="0.2">
      <c r="B29101" s="1168"/>
    </row>
    <row r="29102" spans="2:2" s="221" customFormat="1" ht="12.75" x14ac:dyDescent="0.2">
      <c r="B29102" s="1168"/>
    </row>
    <row r="29103" spans="2:2" s="221" customFormat="1" ht="12.75" x14ac:dyDescent="0.2">
      <c r="B29103" s="1168"/>
    </row>
    <row r="29104" spans="2:2" s="221" customFormat="1" ht="12.75" x14ac:dyDescent="0.2">
      <c r="B29104" s="1168"/>
    </row>
    <row r="29105" spans="2:2" s="221" customFormat="1" ht="12.75" x14ac:dyDescent="0.2">
      <c r="B29105" s="1168"/>
    </row>
    <row r="29106" spans="2:2" s="221" customFormat="1" ht="12.75" x14ac:dyDescent="0.2">
      <c r="B29106" s="1168"/>
    </row>
    <row r="29107" spans="2:2" s="221" customFormat="1" ht="12.75" x14ac:dyDescent="0.2">
      <c r="B29107" s="1168"/>
    </row>
    <row r="29108" spans="2:2" s="221" customFormat="1" ht="12.75" x14ac:dyDescent="0.2">
      <c r="B29108" s="1168"/>
    </row>
    <row r="29109" spans="2:2" s="221" customFormat="1" ht="12.75" x14ac:dyDescent="0.2">
      <c r="B29109" s="1168"/>
    </row>
    <row r="29110" spans="2:2" s="221" customFormat="1" ht="12.75" x14ac:dyDescent="0.2">
      <c r="B29110" s="1168"/>
    </row>
    <row r="29111" spans="2:2" s="221" customFormat="1" ht="12.75" x14ac:dyDescent="0.2">
      <c r="B29111" s="1168"/>
    </row>
    <row r="29112" spans="2:2" s="221" customFormat="1" ht="12.75" x14ac:dyDescent="0.2">
      <c r="B29112" s="1168"/>
    </row>
    <row r="29113" spans="2:2" s="221" customFormat="1" ht="12.75" x14ac:dyDescent="0.2">
      <c r="B29113" s="1168"/>
    </row>
    <row r="29114" spans="2:2" s="221" customFormat="1" ht="12.75" x14ac:dyDescent="0.2">
      <c r="B29114" s="1168"/>
    </row>
    <row r="29115" spans="2:2" s="221" customFormat="1" ht="12.75" x14ac:dyDescent="0.2">
      <c r="B29115" s="1168"/>
    </row>
    <row r="29116" spans="2:2" s="221" customFormat="1" ht="12.75" x14ac:dyDescent="0.2">
      <c r="B29116" s="1168"/>
    </row>
    <row r="29117" spans="2:2" s="221" customFormat="1" ht="12.75" x14ac:dyDescent="0.2">
      <c r="B29117" s="1168"/>
    </row>
    <row r="29118" spans="2:2" s="221" customFormat="1" ht="12.75" x14ac:dyDescent="0.2">
      <c r="B29118" s="1168"/>
    </row>
    <row r="29119" spans="2:2" s="221" customFormat="1" ht="12.75" x14ac:dyDescent="0.2">
      <c r="B29119" s="1168"/>
    </row>
    <row r="29120" spans="2:2" s="221" customFormat="1" ht="12.75" x14ac:dyDescent="0.2">
      <c r="B29120" s="1168"/>
    </row>
    <row r="29121" spans="2:2" s="221" customFormat="1" ht="12.75" x14ac:dyDescent="0.2">
      <c r="B29121" s="1168"/>
    </row>
    <row r="29122" spans="2:2" s="221" customFormat="1" ht="12.75" x14ac:dyDescent="0.2">
      <c r="B29122" s="1168"/>
    </row>
    <row r="29123" spans="2:2" s="221" customFormat="1" ht="12.75" x14ac:dyDescent="0.2">
      <c r="B29123" s="1168"/>
    </row>
    <row r="29124" spans="2:2" s="221" customFormat="1" ht="12.75" x14ac:dyDescent="0.2">
      <c r="B29124" s="1168"/>
    </row>
    <row r="29125" spans="2:2" s="221" customFormat="1" ht="12.75" x14ac:dyDescent="0.2">
      <c r="B29125" s="1168"/>
    </row>
    <row r="29126" spans="2:2" s="221" customFormat="1" ht="12.75" x14ac:dyDescent="0.2">
      <c r="B29126" s="1168"/>
    </row>
    <row r="29127" spans="2:2" s="221" customFormat="1" ht="12.75" x14ac:dyDescent="0.2">
      <c r="B29127" s="1168"/>
    </row>
    <row r="29128" spans="2:2" s="221" customFormat="1" ht="12.75" x14ac:dyDescent="0.2">
      <c r="B29128" s="1168"/>
    </row>
    <row r="29129" spans="2:2" s="221" customFormat="1" ht="12.75" x14ac:dyDescent="0.2">
      <c r="B29129" s="1168"/>
    </row>
    <row r="29130" spans="2:2" s="221" customFormat="1" ht="12.75" x14ac:dyDescent="0.2">
      <c r="B29130" s="1168"/>
    </row>
    <row r="29131" spans="2:2" s="221" customFormat="1" ht="12.75" x14ac:dyDescent="0.2">
      <c r="B29131" s="1168"/>
    </row>
    <row r="29132" spans="2:2" s="221" customFormat="1" ht="12.75" x14ac:dyDescent="0.2">
      <c r="B29132" s="1168"/>
    </row>
    <row r="29133" spans="2:2" s="221" customFormat="1" ht="12.75" x14ac:dyDescent="0.2">
      <c r="B29133" s="1168"/>
    </row>
    <row r="29134" spans="2:2" s="221" customFormat="1" ht="12.75" x14ac:dyDescent="0.2">
      <c r="B29134" s="1168"/>
    </row>
    <row r="29135" spans="2:2" s="221" customFormat="1" ht="12.75" x14ac:dyDescent="0.2">
      <c r="B29135" s="1168"/>
    </row>
    <row r="29136" spans="2:2" s="221" customFormat="1" ht="12.75" x14ac:dyDescent="0.2">
      <c r="B29136" s="1168"/>
    </row>
    <row r="29137" spans="2:2" s="221" customFormat="1" ht="12.75" x14ac:dyDescent="0.2">
      <c r="B29137" s="1168"/>
    </row>
    <row r="29138" spans="2:2" s="221" customFormat="1" ht="12.75" x14ac:dyDescent="0.2">
      <c r="B29138" s="1168"/>
    </row>
    <row r="29139" spans="2:2" s="221" customFormat="1" ht="12.75" x14ac:dyDescent="0.2">
      <c r="B29139" s="1168"/>
    </row>
    <row r="29140" spans="2:2" s="221" customFormat="1" ht="12.75" x14ac:dyDescent="0.2">
      <c r="B29140" s="1168"/>
    </row>
    <row r="29141" spans="2:2" s="221" customFormat="1" ht="12.75" x14ac:dyDescent="0.2">
      <c r="B29141" s="1168"/>
    </row>
    <row r="29142" spans="2:2" s="221" customFormat="1" ht="12.75" x14ac:dyDescent="0.2">
      <c r="B29142" s="1168"/>
    </row>
    <row r="29143" spans="2:2" s="221" customFormat="1" ht="12.75" x14ac:dyDescent="0.2">
      <c r="B29143" s="1168"/>
    </row>
    <row r="29144" spans="2:2" s="221" customFormat="1" ht="12.75" x14ac:dyDescent="0.2">
      <c r="B29144" s="1168"/>
    </row>
    <row r="29145" spans="2:2" s="221" customFormat="1" ht="12.75" x14ac:dyDescent="0.2">
      <c r="B29145" s="1168"/>
    </row>
    <row r="29146" spans="2:2" s="221" customFormat="1" ht="12.75" x14ac:dyDescent="0.2">
      <c r="B29146" s="1168"/>
    </row>
    <row r="29147" spans="2:2" s="221" customFormat="1" ht="12.75" x14ac:dyDescent="0.2">
      <c r="B29147" s="1168"/>
    </row>
    <row r="29148" spans="2:2" s="221" customFormat="1" ht="12.75" x14ac:dyDescent="0.2">
      <c r="B29148" s="1168"/>
    </row>
    <row r="29149" spans="2:2" s="221" customFormat="1" ht="12.75" x14ac:dyDescent="0.2">
      <c r="B29149" s="1168"/>
    </row>
    <row r="29150" spans="2:2" s="221" customFormat="1" ht="12.75" x14ac:dyDescent="0.2">
      <c r="B29150" s="1168"/>
    </row>
    <row r="29151" spans="2:2" s="221" customFormat="1" ht="12.75" x14ac:dyDescent="0.2">
      <c r="B29151" s="1168"/>
    </row>
    <row r="29152" spans="2:2" s="221" customFormat="1" ht="12.75" x14ac:dyDescent="0.2">
      <c r="B29152" s="1168"/>
    </row>
    <row r="29153" spans="2:2" s="221" customFormat="1" ht="12.75" x14ac:dyDescent="0.2">
      <c r="B29153" s="1168"/>
    </row>
    <row r="29154" spans="2:2" s="221" customFormat="1" ht="12.75" x14ac:dyDescent="0.2">
      <c r="B29154" s="1168"/>
    </row>
    <row r="29155" spans="2:2" s="221" customFormat="1" ht="12.75" x14ac:dyDescent="0.2">
      <c r="B29155" s="1168"/>
    </row>
    <row r="29156" spans="2:2" s="221" customFormat="1" ht="12.75" x14ac:dyDescent="0.2">
      <c r="B29156" s="1168"/>
    </row>
    <row r="29157" spans="2:2" s="221" customFormat="1" ht="12.75" x14ac:dyDescent="0.2">
      <c r="B29157" s="1168"/>
    </row>
    <row r="29158" spans="2:2" s="221" customFormat="1" ht="12.75" x14ac:dyDescent="0.2">
      <c r="B29158" s="1168"/>
    </row>
    <row r="29159" spans="2:2" s="221" customFormat="1" ht="12.75" x14ac:dyDescent="0.2">
      <c r="B29159" s="1168"/>
    </row>
    <row r="29160" spans="2:2" s="221" customFormat="1" ht="12.75" x14ac:dyDescent="0.2">
      <c r="B29160" s="1168"/>
    </row>
    <row r="29161" spans="2:2" s="221" customFormat="1" ht="12.75" x14ac:dyDescent="0.2">
      <c r="B29161" s="1168"/>
    </row>
    <row r="29162" spans="2:2" s="221" customFormat="1" ht="12.75" x14ac:dyDescent="0.2">
      <c r="B29162" s="1168"/>
    </row>
    <row r="29163" spans="2:2" s="221" customFormat="1" ht="12.75" x14ac:dyDescent="0.2">
      <c r="B29163" s="1168"/>
    </row>
    <row r="29164" spans="2:2" s="221" customFormat="1" ht="12.75" x14ac:dyDescent="0.2">
      <c r="B29164" s="1168"/>
    </row>
    <row r="29165" spans="2:2" s="221" customFormat="1" ht="12.75" x14ac:dyDescent="0.2">
      <c r="B29165" s="1168"/>
    </row>
    <row r="29166" spans="2:2" s="221" customFormat="1" ht="12.75" x14ac:dyDescent="0.2">
      <c r="B29166" s="1168"/>
    </row>
    <row r="29167" spans="2:2" s="221" customFormat="1" ht="12.75" x14ac:dyDescent="0.2">
      <c r="B29167" s="1168"/>
    </row>
    <row r="29168" spans="2:2" s="221" customFormat="1" ht="12.75" x14ac:dyDescent="0.2">
      <c r="B29168" s="1168"/>
    </row>
    <row r="29169" spans="2:2" s="221" customFormat="1" ht="12.75" x14ac:dyDescent="0.2">
      <c r="B29169" s="1168"/>
    </row>
    <row r="29170" spans="2:2" s="221" customFormat="1" ht="12.75" x14ac:dyDescent="0.2">
      <c r="B29170" s="1168"/>
    </row>
    <row r="29171" spans="2:2" s="221" customFormat="1" ht="12.75" x14ac:dyDescent="0.2">
      <c r="B29171" s="1168"/>
    </row>
    <row r="29172" spans="2:2" s="221" customFormat="1" ht="12.75" x14ac:dyDescent="0.2">
      <c r="B29172" s="1168"/>
    </row>
    <row r="29173" spans="2:2" s="221" customFormat="1" ht="12.75" x14ac:dyDescent="0.2">
      <c r="B29173" s="1168"/>
    </row>
    <row r="29174" spans="2:2" s="221" customFormat="1" ht="12.75" x14ac:dyDescent="0.2">
      <c r="B29174" s="1168"/>
    </row>
    <row r="29175" spans="2:2" s="221" customFormat="1" ht="12.75" x14ac:dyDescent="0.2">
      <c r="B29175" s="1168"/>
    </row>
    <row r="29176" spans="2:2" s="221" customFormat="1" ht="12.75" x14ac:dyDescent="0.2">
      <c r="B29176" s="1168"/>
    </row>
    <row r="29177" spans="2:2" s="221" customFormat="1" ht="12.75" x14ac:dyDescent="0.2">
      <c r="B29177" s="1168"/>
    </row>
    <row r="29178" spans="2:2" s="221" customFormat="1" ht="12.75" x14ac:dyDescent="0.2">
      <c r="B29178" s="1168"/>
    </row>
    <row r="29179" spans="2:2" s="221" customFormat="1" ht="12.75" x14ac:dyDescent="0.2">
      <c r="B29179" s="1168"/>
    </row>
    <row r="29180" spans="2:2" s="221" customFormat="1" ht="12.75" x14ac:dyDescent="0.2">
      <c r="B29180" s="1168"/>
    </row>
    <row r="29181" spans="2:2" s="221" customFormat="1" ht="12.75" x14ac:dyDescent="0.2">
      <c r="B29181" s="1168"/>
    </row>
    <row r="29182" spans="2:2" s="221" customFormat="1" ht="12.75" x14ac:dyDescent="0.2">
      <c r="B29182" s="1168"/>
    </row>
    <row r="29183" spans="2:2" s="221" customFormat="1" ht="12.75" x14ac:dyDescent="0.2">
      <c r="B29183" s="1168"/>
    </row>
    <row r="29184" spans="2:2" s="221" customFormat="1" ht="12.75" x14ac:dyDescent="0.2">
      <c r="B29184" s="1168"/>
    </row>
    <row r="29185" spans="2:2" s="221" customFormat="1" ht="12.75" x14ac:dyDescent="0.2">
      <c r="B29185" s="1168"/>
    </row>
    <row r="29186" spans="2:2" s="221" customFormat="1" ht="12.75" x14ac:dyDescent="0.2">
      <c r="B29186" s="1168"/>
    </row>
    <row r="29187" spans="2:2" s="221" customFormat="1" ht="12.75" x14ac:dyDescent="0.2">
      <c r="B29187" s="1168"/>
    </row>
    <row r="29188" spans="2:2" s="221" customFormat="1" ht="12.75" x14ac:dyDescent="0.2">
      <c r="B29188" s="1168"/>
    </row>
    <row r="29189" spans="2:2" s="221" customFormat="1" ht="12.75" x14ac:dyDescent="0.2">
      <c r="B29189" s="1168"/>
    </row>
    <row r="29190" spans="2:2" s="221" customFormat="1" ht="12.75" x14ac:dyDescent="0.2">
      <c r="B29190" s="1168"/>
    </row>
    <row r="29191" spans="2:2" s="221" customFormat="1" ht="12.75" x14ac:dyDescent="0.2">
      <c r="B29191" s="1168"/>
    </row>
    <row r="29192" spans="2:2" s="221" customFormat="1" ht="12.75" x14ac:dyDescent="0.2">
      <c r="B29192" s="1168"/>
    </row>
    <row r="29193" spans="2:2" s="221" customFormat="1" ht="12.75" x14ac:dyDescent="0.2">
      <c r="B29193" s="1168"/>
    </row>
    <row r="29194" spans="2:2" s="221" customFormat="1" ht="12.75" x14ac:dyDescent="0.2">
      <c r="B29194" s="1168"/>
    </row>
    <row r="29195" spans="2:2" s="221" customFormat="1" ht="12.75" x14ac:dyDescent="0.2">
      <c r="B29195" s="1168"/>
    </row>
    <row r="29196" spans="2:2" s="221" customFormat="1" ht="12.75" x14ac:dyDescent="0.2">
      <c r="B29196" s="1168"/>
    </row>
    <row r="29197" spans="2:2" s="221" customFormat="1" ht="12.75" x14ac:dyDescent="0.2">
      <c r="B29197" s="1168"/>
    </row>
    <row r="29198" spans="2:2" s="221" customFormat="1" ht="12.75" x14ac:dyDescent="0.2">
      <c r="B29198" s="1168"/>
    </row>
    <row r="29199" spans="2:2" s="221" customFormat="1" ht="12.75" x14ac:dyDescent="0.2">
      <c r="B29199" s="1168"/>
    </row>
    <row r="29200" spans="2:2" s="221" customFormat="1" ht="12.75" x14ac:dyDescent="0.2">
      <c r="B29200" s="1168"/>
    </row>
    <row r="29201" spans="2:2" s="221" customFormat="1" ht="12.75" x14ac:dyDescent="0.2">
      <c r="B29201" s="1168"/>
    </row>
    <row r="29202" spans="2:2" s="221" customFormat="1" ht="12.75" x14ac:dyDescent="0.2">
      <c r="B29202" s="1168"/>
    </row>
    <row r="29203" spans="2:2" s="221" customFormat="1" ht="12.75" x14ac:dyDescent="0.2">
      <c r="B29203" s="1168"/>
    </row>
    <row r="29204" spans="2:2" s="221" customFormat="1" ht="12.75" x14ac:dyDescent="0.2">
      <c r="B29204" s="1168"/>
    </row>
    <row r="29205" spans="2:2" s="221" customFormat="1" ht="12.75" x14ac:dyDescent="0.2">
      <c r="B29205" s="1168"/>
    </row>
    <row r="29206" spans="2:2" s="221" customFormat="1" ht="12.75" x14ac:dyDescent="0.2">
      <c r="B29206" s="1168"/>
    </row>
    <row r="29207" spans="2:2" s="221" customFormat="1" ht="12.75" x14ac:dyDescent="0.2">
      <c r="B29207" s="1168"/>
    </row>
    <row r="29208" spans="2:2" s="221" customFormat="1" ht="12.75" x14ac:dyDescent="0.2">
      <c r="B29208" s="1168"/>
    </row>
    <row r="29209" spans="2:2" s="221" customFormat="1" ht="12.75" x14ac:dyDescent="0.2">
      <c r="B29209" s="1168"/>
    </row>
    <row r="29210" spans="2:2" s="221" customFormat="1" ht="12.75" x14ac:dyDescent="0.2">
      <c r="B29210" s="1168"/>
    </row>
    <row r="29211" spans="2:2" s="221" customFormat="1" ht="12.75" x14ac:dyDescent="0.2">
      <c r="B29211" s="1168"/>
    </row>
    <row r="29212" spans="2:2" s="221" customFormat="1" ht="12.75" x14ac:dyDescent="0.2">
      <c r="B29212" s="1168"/>
    </row>
    <row r="29213" spans="2:2" s="221" customFormat="1" ht="12.75" x14ac:dyDescent="0.2">
      <c r="B29213" s="1168"/>
    </row>
    <row r="29214" spans="2:2" s="221" customFormat="1" ht="12.75" x14ac:dyDescent="0.2">
      <c r="B29214" s="1168"/>
    </row>
    <row r="29215" spans="2:2" s="221" customFormat="1" ht="12.75" x14ac:dyDescent="0.2">
      <c r="B29215" s="1168"/>
    </row>
    <row r="29216" spans="2:2" s="221" customFormat="1" ht="12.75" x14ac:dyDescent="0.2">
      <c r="B29216" s="1168"/>
    </row>
    <row r="29217" spans="2:2" s="221" customFormat="1" ht="12.75" x14ac:dyDescent="0.2">
      <c r="B29217" s="1168"/>
    </row>
    <row r="29218" spans="2:2" s="221" customFormat="1" ht="12.75" x14ac:dyDescent="0.2">
      <c r="B29218" s="1168"/>
    </row>
    <row r="29219" spans="2:2" s="221" customFormat="1" ht="12.75" x14ac:dyDescent="0.2">
      <c r="B29219" s="1168"/>
    </row>
    <row r="29220" spans="2:2" s="221" customFormat="1" ht="12.75" x14ac:dyDescent="0.2">
      <c r="B29220" s="1168"/>
    </row>
    <row r="29221" spans="2:2" s="221" customFormat="1" ht="12.75" x14ac:dyDescent="0.2">
      <c r="B29221" s="1168"/>
    </row>
    <row r="29222" spans="2:2" s="221" customFormat="1" ht="12.75" x14ac:dyDescent="0.2">
      <c r="B29222" s="1168"/>
    </row>
    <row r="29223" spans="2:2" s="221" customFormat="1" ht="12.75" x14ac:dyDescent="0.2">
      <c r="B29223" s="1168"/>
    </row>
    <row r="29224" spans="2:2" s="221" customFormat="1" ht="12.75" x14ac:dyDescent="0.2">
      <c r="B29224" s="1168"/>
    </row>
    <row r="29225" spans="2:2" s="221" customFormat="1" ht="12.75" x14ac:dyDescent="0.2">
      <c r="B29225" s="1168"/>
    </row>
    <row r="29226" spans="2:2" s="221" customFormat="1" ht="12.75" x14ac:dyDescent="0.2">
      <c r="B29226" s="1168"/>
    </row>
    <row r="29227" spans="2:2" s="221" customFormat="1" ht="12.75" x14ac:dyDescent="0.2">
      <c r="B29227" s="1168"/>
    </row>
    <row r="29228" spans="2:2" s="221" customFormat="1" ht="12.75" x14ac:dyDescent="0.2">
      <c r="B29228" s="1168"/>
    </row>
    <row r="29229" spans="2:2" s="221" customFormat="1" ht="12.75" x14ac:dyDescent="0.2">
      <c r="B29229" s="1168"/>
    </row>
    <row r="29230" spans="2:2" s="221" customFormat="1" ht="12.75" x14ac:dyDescent="0.2">
      <c r="B29230" s="1168"/>
    </row>
    <row r="29231" spans="2:2" s="221" customFormat="1" ht="12.75" x14ac:dyDescent="0.2">
      <c r="B29231" s="1168"/>
    </row>
    <row r="29232" spans="2:2" s="221" customFormat="1" ht="12.75" x14ac:dyDescent="0.2">
      <c r="B29232" s="1168"/>
    </row>
    <row r="29233" spans="2:2" s="221" customFormat="1" ht="12.75" x14ac:dyDescent="0.2">
      <c r="B29233" s="1168"/>
    </row>
    <row r="29234" spans="2:2" s="221" customFormat="1" ht="12.75" x14ac:dyDescent="0.2">
      <c r="B29234" s="1168"/>
    </row>
    <row r="29235" spans="2:2" s="221" customFormat="1" ht="12.75" x14ac:dyDescent="0.2">
      <c r="B29235" s="1168"/>
    </row>
    <row r="29236" spans="2:2" s="221" customFormat="1" ht="12.75" x14ac:dyDescent="0.2">
      <c r="B29236" s="1168"/>
    </row>
    <row r="29237" spans="2:2" s="221" customFormat="1" ht="12.75" x14ac:dyDescent="0.2">
      <c r="B29237" s="1168"/>
    </row>
    <row r="29238" spans="2:2" s="221" customFormat="1" ht="12.75" x14ac:dyDescent="0.2">
      <c r="B29238" s="1168"/>
    </row>
    <row r="29239" spans="2:2" s="221" customFormat="1" ht="12.75" x14ac:dyDescent="0.2">
      <c r="B29239" s="1168"/>
    </row>
    <row r="29240" spans="2:2" s="221" customFormat="1" ht="12.75" x14ac:dyDescent="0.2">
      <c r="B29240" s="1168"/>
    </row>
    <row r="29241" spans="2:2" s="221" customFormat="1" ht="12.75" x14ac:dyDescent="0.2">
      <c r="B29241" s="1168"/>
    </row>
    <row r="29242" spans="2:2" s="221" customFormat="1" ht="12.75" x14ac:dyDescent="0.2">
      <c r="B29242" s="1168"/>
    </row>
    <row r="29243" spans="2:2" s="221" customFormat="1" ht="12.75" x14ac:dyDescent="0.2">
      <c r="B29243" s="1168"/>
    </row>
    <row r="29244" spans="2:2" s="221" customFormat="1" ht="12.75" x14ac:dyDescent="0.2">
      <c r="B29244" s="1168"/>
    </row>
    <row r="29245" spans="2:2" s="221" customFormat="1" ht="12.75" x14ac:dyDescent="0.2">
      <c r="B29245" s="1168"/>
    </row>
    <row r="29246" spans="2:2" s="221" customFormat="1" ht="12.75" x14ac:dyDescent="0.2">
      <c r="B29246" s="1168"/>
    </row>
    <row r="29247" spans="2:2" s="221" customFormat="1" ht="12.75" x14ac:dyDescent="0.2">
      <c r="B29247" s="1168"/>
    </row>
    <row r="29248" spans="2:2" s="221" customFormat="1" ht="12.75" x14ac:dyDescent="0.2">
      <c r="B29248" s="1168"/>
    </row>
    <row r="29249" spans="2:2" s="221" customFormat="1" ht="12.75" x14ac:dyDescent="0.2">
      <c r="B29249" s="1168"/>
    </row>
    <row r="29250" spans="2:2" s="221" customFormat="1" ht="12.75" x14ac:dyDescent="0.2">
      <c r="B29250" s="1168"/>
    </row>
    <row r="29251" spans="2:2" s="221" customFormat="1" ht="12.75" x14ac:dyDescent="0.2">
      <c r="B29251" s="1168"/>
    </row>
    <row r="29252" spans="2:2" s="221" customFormat="1" ht="12.75" x14ac:dyDescent="0.2">
      <c r="B29252" s="1168"/>
    </row>
    <row r="29253" spans="2:2" s="221" customFormat="1" ht="12.75" x14ac:dyDescent="0.2">
      <c r="B29253" s="1168"/>
    </row>
    <row r="29254" spans="2:2" s="221" customFormat="1" ht="12.75" x14ac:dyDescent="0.2">
      <c r="B29254" s="1168"/>
    </row>
    <row r="29255" spans="2:2" s="221" customFormat="1" ht="12.75" x14ac:dyDescent="0.2">
      <c r="B29255" s="1168"/>
    </row>
    <row r="29256" spans="2:2" s="221" customFormat="1" ht="12.75" x14ac:dyDescent="0.2">
      <c r="B29256" s="1168"/>
    </row>
    <row r="29257" spans="2:2" s="221" customFormat="1" ht="12.75" x14ac:dyDescent="0.2">
      <c r="B29257" s="1168"/>
    </row>
    <row r="29258" spans="2:2" s="221" customFormat="1" ht="12.75" x14ac:dyDescent="0.2">
      <c r="B29258" s="1168"/>
    </row>
    <row r="29259" spans="2:2" s="221" customFormat="1" ht="12.75" x14ac:dyDescent="0.2">
      <c r="B29259" s="1168"/>
    </row>
    <row r="29260" spans="2:2" s="221" customFormat="1" ht="12.75" x14ac:dyDescent="0.2">
      <c r="B29260" s="1168"/>
    </row>
    <row r="29261" spans="2:2" s="221" customFormat="1" ht="12.75" x14ac:dyDescent="0.2">
      <c r="B29261" s="1168"/>
    </row>
    <row r="29262" spans="2:2" s="221" customFormat="1" ht="12.75" x14ac:dyDescent="0.2">
      <c r="B29262" s="1168"/>
    </row>
    <row r="29263" spans="2:2" s="221" customFormat="1" ht="12.75" x14ac:dyDescent="0.2">
      <c r="B29263" s="1168"/>
    </row>
    <row r="29264" spans="2:2" s="221" customFormat="1" ht="12.75" x14ac:dyDescent="0.2">
      <c r="B29264" s="1168"/>
    </row>
    <row r="29265" spans="2:2" s="221" customFormat="1" ht="12.75" x14ac:dyDescent="0.2">
      <c r="B29265" s="1168"/>
    </row>
    <row r="29266" spans="2:2" s="221" customFormat="1" ht="12.75" x14ac:dyDescent="0.2">
      <c r="B29266" s="1168"/>
    </row>
    <row r="29267" spans="2:2" s="221" customFormat="1" ht="12.75" x14ac:dyDescent="0.2">
      <c r="B29267" s="1168"/>
    </row>
    <row r="29268" spans="2:2" s="221" customFormat="1" ht="12.75" x14ac:dyDescent="0.2">
      <c r="B29268" s="1168"/>
    </row>
    <row r="29269" spans="2:2" s="221" customFormat="1" ht="12.75" x14ac:dyDescent="0.2">
      <c r="B29269" s="1168"/>
    </row>
    <row r="29270" spans="2:2" s="221" customFormat="1" ht="12.75" x14ac:dyDescent="0.2">
      <c r="B29270" s="1168"/>
    </row>
    <row r="29271" spans="2:2" s="221" customFormat="1" ht="12.75" x14ac:dyDescent="0.2">
      <c r="B29271" s="1168"/>
    </row>
    <row r="29272" spans="2:2" s="221" customFormat="1" ht="12.75" x14ac:dyDescent="0.2">
      <c r="B29272" s="1168"/>
    </row>
    <row r="29273" spans="2:2" s="221" customFormat="1" ht="12.75" x14ac:dyDescent="0.2">
      <c r="B29273" s="1168"/>
    </row>
    <row r="29274" spans="2:2" s="221" customFormat="1" ht="12.75" x14ac:dyDescent="0.2">
      <c r="B29274" s="1168"/>
    </row>
    <row r="29275" spans="2:2" s="221" customFormat="1" ht="12.75" x14ac:dyDescent="0.2">
      <c r="B29275" s="1168"/>
    </row>
    <row r="29276" spans="2:2" s="221" customFormat="1" ht="12.75" x14ac:dyDescent="0.2">
      <c r="B29276" s="1168"/>
    </row>
    <row r="29277" spans="2:2" s="221" customFormat="1" ht="12.75" x14ac:dyDescent="0.2">
      <c r="B29277" s="1168"/>
    </row>
    <row r="29278" spans="2:2" s="221" customFormat="1" ht="12.75" x14ac:dyDescent="0.2">
      <c r="B29278" s="1168"/>
    </row>
    <row r="29279" spans="2:2" s="221" customFormat="1" ht="12.75" x14ac:dyDescent="0.2">
      <c r="B29279" s="1168"/>
    </row>
    <row r="29280" spans="2:2" s="221" customFormat="1" ht="12.75" x14ac:dyDescent="0.2">
      <c r="B29280" s="1168"/>
    </row>
    <row r="29281" spans="2:2" s="221" customFormat="1" ht="12.75" x14ac:dyDescent="0.2">
      <c r="B29281" s="1168"/>
    </row>
    <row r="29282" spans="2:2" s="221" customFormat="1" ht="12.75" x14ac:dyDescent="0.2">
      <c r="B29282" s="1168"/>
    </row>
    <row r="29283" spans="2:2" s="221" customFormat="1" ht="12.75" x14ac:dyDescent="0.2">
      <c r="B29283" s="1168"/>
    </row>
    <row r="29284" spans="2:2" s="221" customFormat="1" ht="12.75" x14ac:dyDescent="0.2">
      <c r="B29284" s="1168"/>
    </row>
    <row r="29285" spans="2:2" s="221" customFormat="1" ht="12.75" x14ac:dyDescent="0.2">
      <c r="B29285" s="1168"/>
    </row>
    <row r="29286" spans="2:2" s="221" customFormat="1" ht="12.75" x14ac:dyDescent="0.2">
      <c r="B29286" s="1168"/>
    </row>
    <row r="29287" spans="2:2" s="221" customFormat="1" ht="12.75" x14ac:dyDescent="0.2">
      <c r="B29287" s="1168"/>
    </row>
    <row r="29288" spans="2:2" s="221" customFormat="1" ht="12.75" x14ac:dyDescent="0.2">
      <c r="B29288" s="1168"/>
    </row>
    <row r="29289" spans="2:2" s="221" customFormat="1" ht="12.75" x14ac:dyDescent="0.2">
      <c r="B29289" s="1168"/>
    </row>
    <row r="29290" spans="2:2" s="221" customFormat="1" ht="12.75" x14ac:dyDescent="0.2">
      <c r="B29290" s="1168"/>
    </row>
    <row r="29291" spans="2:2" s="221" customFormat="1" ht="12.75" x14ac:dyDescent="0.2">
      <c r="B29291" s="1168"/>
    </row>
    <row r="29292" spans="2:2" s="221" customFormat="1" ht="12.75" x14ac:dyDescent="0.2">
      <c r="B29292" s="1168"/>
    </row>
    <row r="29293" spans="2:2" s="221" customFormat="1" ht="12.75" x14ac:dyDescent="0.2">
      <c r="B29293" s="1168"/>
    </row>
    <row r="29294" spans="2:2" s="221" customFormat="1" ht="12.75" x14ac:dyDescent="0.2">
      <c r="B29294" s="1168"/>
    </row>
    <row r="29295" spans="2:2" s="221" customFormat="1" ht="12.75" x14ac:dyDescent="0.2">
      <c r="B29295" s="1168"/>
    </row>
    <row r="29296" spans="2:2" s="221" customFormat="1" ht="12.75" x14ac:dyDescent="0.2">
      <c r="B29296" s="1168"/>
    </row>
    <row r="29297" spans="2:2" s="221" customFormat="1" ht="12.75" x14ac:dyDescent="0.2">
      <c r="B29297" s="1168"/>
    </row>
    <row r="29298" spans="2:2" s="221" customFormat="1" ht="12.75" x14ac:dyDescent="0.2">
      <c r="B29298" s="1168"/>
    </row>
    <row r="29299" spans="2:2" s="221" customFormat="1" ht="12.75" x14ac:dyDescent="0.2">
      <c r="B29299" s="1168"/>
    </row>
    <row r="29300" spans="2:2" s="221" customFormat="1" ht="12.75" x14ac:dyDescent="0.2">
      <c r="B29300" s="1168"/>
    </row>
    <row r="29301" spans="2:2" s="221" customFormat="1" ht="12.75" x14ac:dyDescent="0.2">
      <c r="B29301" s="1168"/>
    </row>
    <row r="29302" spans="2:2" s="221" customFormat="1" ht="12.75" x14ac:dyDescent="0.2">
      <c r="B29302" s="1168"/>
    </row>
    <row r="29303" spans="2:2" s="221" customFormat="1" ht="12.75" x14ac:dyDescent="0.2">
      <c r="B29303" s="1168"/>
    </row>
    <row r="29304" spans="2:2" s="221" customFormat="1" ht="12.75" x14ac:dyDescent="0.2">
      <c r="B29304" s="1168"/>
    </row>
    <row r="29305" spans="2:2" s="221" customFormat="1" ht="12.75" x14ac:dyDescent="0.2">
      <c r="B29305" s="1168"/>
    </row>
    <row r="29306" spans="2:2" s="221" customFormat="1" ht="12.75" x14ac:dyDescent="0.2">
      <c r="B29306" s="1168"/>
    </row>
    <row r="29307" spans="2:2" s="221" customFormat="1" ht="12.75" x14ac:dyDescent="0.2">
      <c r="B29307" s="1168"/>
    </row>
    <row r="29308" spans="2:2" s="221" customFormat="1" ht="12.75" x14ac:dyDescent="0.2">
      <c r="B29308" s="1168"/>
    </row>
    <row r="29309" spans="2:2" s="221" customFormat="1" ht="12.75" x14ac:dyDescent="0.2">
      <c r="B29309" s="1168"/>
    </row>
    <row r="29310" spans="2:2" s="221" customFormat="1" ht="12.75" x14ac:dyDescent="0.2">
      <c r="B29310" s="1168"/>
    </row>
    <row r="29311" spans="2:2" s="221" customFormat="1" ht="12.75" x14ac:dyDescent="0.2">
      <c r="B29311" s="1168"/>
    </row>
    <row r="29312" spans="2:2" s="221" customFormat="1" ht="12.75" x14ac:dyDescent="0.2">
      <c r="B29312" s="1168"/>
    </row>
    <row r="29313" spans="2:2" s="221" customFormat="1" ht="12.75" x14ac:dyDescent="0.2">
      <c r="B29313" s="1168"/>
    </row>
    <row r="29314" spans="2:2" s="221" customFormat="1" ht="12.75" x14ac:dyDescent="0.2">
      <c r="B29314" s="1168"/>
    </row>
    <row r="29315" spans="2:2" s="221" customFormat="1" ht="12.75" x14ac:dyDescent="0.2">
      <c r="B29315" s="1168"/>
    </row>
    <row r="29316" spans="2:2" s="221" customFormat="1" ht="12.75" x14ac:dyDescent="0.2">
      <c r="B29316" s="1168"/>
    </row>
    <row r="29317" spans="2:2" s="221" customFormat="1" ht="12.75" x14ac:dyDescent="0.2">
      <c r="B29317" s="1168"/>
    </row>
    <row r="29318" spans="2:2" s="221" customFormat="1" ht="12.75" x14ac:dyDescent="0.2">
      <c r="B29318" s="1168"/>
    </row>
    <row r="29319" spans="2:2" s="221" customFormat="1" ht="12.75" x14ac:dyDescent="0.2">
      <c r="B29319" s="1168"/>
    </row>
    <row r="29320" spans="2:2" s="221" customFormat="1" ht="12.75" x14ac:dyDescent="0.2">
      <c r="B29320" s="1168"/>
    </row>
    <row r="29321" spans="2:2" s="221" customFormat="1" ht="12.75" x14ac:dyDescent="0.2">
      <c r="B29321" s="1168"/>
    </row>
    <row r="29322" spans="2:2" s="221" customFormat="1" ht="12.75" x14ac:dyDescent="0.2">
      <c r="B29322" s="1168"/>
    </row>
    <row r="29323" spans="2:2" s="221" customFormat="1" ht="12.75" x14ac:dyDescent="0.2">
      <c r="B29323" s="1168"/>
    </row>
    <row r="29324" spans="2:2" s="221" customFormat="1" ht="12.75" x14ac:dyDescent="0.2">
      <c r="B29324" s="1168"/>
    </row>
    <row r="29325" spans="2:2" s="221" customFormat="1" ht="12.75" x14ac:dyDescent="0.2">
      <c r="B29325" s="1168"/>
    </row>
    <row r="29326" spans="2:2" s="221" customFormat="1" ht="12.75" x14ac:dyDescent="0.2">
      <c r="B29326" s="1168"/>
    </row>
    <row r="29327" spans="2:2" s="221" customFormat="1" ht="12.75" x14ac:dyDescent="0.2">
      <c r="B29327" s="1168"/>
    </row>
    <row r="29328" spans="2:2" s="221" customFormat="1" ht="12.75" x14ac:dyDescent="0.2">
      <c r="B29328" s="1168"/>
    </row>
    <row r="29329" spans="2:2" s="221" customFormat="1" ht="12.75" x14ac:dyDescent="0.2">
      <c r="B29329" s="1168"/>
    </row>
    <row r="29330" spans="2:2" s="221" customFormat="1" ht="12.75" x14ac:dyDescent="0.2">
      <c r="B29330" s="1168"/>
    </row>
    <row r="29331" spans="2:2" s="221" customFormat="1" ht="12.75" x14ac:dyDescent="0.2">
      <c r="B29331" s="1168"/>
    </row>
    <row r="29332" spans="2:2" s="221" customFormat="1" ht="12.75" x14ac:dyDescent="0.2">
      <c r="B29332" s="1168"/>
    </row>
    <row r="29333" spans="2:2" s="221" customFormat="1" ht="12.75" x14ac:dyDescent="0.2">
      <c r="B29333" s="1168"/>
    </row>
    <row r="29334" spans="2:2" s="221" customFormat="1" ht="12.75" x14ac:dyDescent="0.2">
      <c r="B29334" s="1168"/>
    </row>
    <row r="29335" spans="2:2" s="221" customFormat="1" ht="12.75" x14ac:dyDescent="0.2">
      <c r="B29335" s="1168"/>
    </row>
    <row r="29336" spans="2:2" s="221" customFormat="1" ht="12.75" x14ac:dyDescent="0.2">
      <c r="B29336" s="1168"/>
    </row>
    <row r="29337" spans="2:2" s="221" customFormat="1" ht="12.75" x14ac:dyDescent="0.2">
      <c r="B29337" s="1168"/>
    </row>
    <row r="29338" spans="2:2" s="221" customFormat="1" ht="12.75" x14ac:dyDescent="0.2">
      <c r="B29338" s="1168"/>
    </row>
    <row r="29339" spans="2:2" s="221" customFormat="1" ht="12.75" x14ac:dyDescent="0.2">
      <c r="B29339" s="1168"/>
    </row>
    <row r="29340" spans="2:2" s="221" customFormat="1" ht="12.75" x14ac:dyDescent="0.2">
      <c r="B29340" s="1168"/>
    </row>
    <row r="29341" spans="2:2" s="221" customFormat="1" ht="12.75" x14ac:dyDescent="0.2">
      <c r="B29341" s="1168"/>
    </row>
    <row r="29342" spans="2:2" s="221" customFormat="1" ht="12.75" x14ac:dyDescent="0.2">
      <c r="B29342" s="1168"/>
    </row>
    <row r="29343" spans="2:2" s="221" customFormat="1" ht="12.75" x14ac:dyDescent="0.2">
      <c r="B29343" s="1168"/>
    </row>
    <row r="29344" spans="2:2" s="221" customFormat="1" ht="12.75" x14ac:dyDescent="0.2">
      <c r="B29344" s="1168"/>
    </row>
    <row r="29345" spans="2:2" s="221" customFormat="1" ht="12.75" x14ac:dyDescent="0.2">
      <c r="B29345" s="1168"/>
    </row>
    <row r="29346" spans="2:2" s="221" customFormat="1" ht="12.75" x14ac:dyDescent="0.2">
      <c r="B29346" s="1168"/>
    </row>
    <row r="29347" spans="2:2" s="221" customFormat="1" ht="12.75" x14ac:dyDescent="0.2">
      <c r="B29347" s="1168"/>
    </row>
    <row r="29348" spans="2:2" s="221" customFormat="1" ht="12.75" x14ac:dyDescent="0.2">
      <c r="B29348" s="1168"/>
    </row>
    <row r="29349" spans="2:2" s="221" customFormat="1" ht="12.75" x14ac:dyDescent="0.2">
      <c r="B29349" s="1168"/>
    </row>
    <row r="29350" spans="2:2" s="221" customFormat="1" ht="12.75" x14ac:dyDescent="0.2">
      <c r="B29350" s="1168"/>
    </row>
    <row r="29351" spans="2:2" s="221" customFormat="1" ht="12.75" x14ac:dyDescent="0.2">
      <c r="B29351" s="1168"/>
    </row>
    <row r="29352" spans="2:2" s="221" customFormat="1" ht="12.75" x14ac:dyDescent="0.2">
      <c r="B29352" s="1168"/>
    </row>
    <row r="29353" spans="2:2" s="221" customFormat="1" ht="12.75" x14ac:dyDescent="0.2">
      <c r="B29353" s="1168"/>
    </row>
    <row r="29354" spans="2:2" s="221" customFormat="1" ht="12.75" x14ac:dyDescent="0.2">
      <c r="B29354" s="1168"/>
    </row>
    <row r="29355" spans="2:2" s="221" customFormat="1" ht="12.75" x14ac:dyDescent="0.2">
      <c r="B29355" s="1168"/>
    </row>
    <row r="29356" spans="2:2" s="221" customFormat="1" ht="12.75" x14ac:dyDescent="0.2">
      <c r="B29356" s="1168"/>
    </row>
    <row r="29357" spans="2:2" s="221" customFormat="1" ht="12.75" x14ac:dyDescent="0.2">
      <c r="B29357" s="1168"/>
    </row>
    <row r="29358" spans="2:2" s="221" customFormat="1" ht="12.75" x14ac:dyDescent="0.2">
      <c r="B29358" s="1168"/>
    </row>
    <row r="29359" spans="2:2" s="221" customFormat="1" ht="12.75" x14ac:dyDescent="0.2">
      <c r="B29359" s="1168"/>
    </row>
    <row r="29360" spans="2:2" s="221" customFormat="1" ht="12.75" x14ac:dyDescent="0.2">
      <c r="B29360" s="1168"/>
    </row>
    <row r="29361" spans="2:2" s="221" customFormat="1" ht="12.75" x14ac:dyDescent="0.2">
      <c r="B29361" s="1168"/>
    </row>
    <row r="29362" spans="2:2" s="221" customFormat="1" ht="12.75" x14ac:dyDescent="0.2">
      <c r="B29362" s="1168"/>
    </row>
    <row r="29363" spans="2:2" s="221" customFormat="1" ht="12.75" x14ac:dyDescent="0.2">
      <c r="B29363" s="1168"/>
    </row>
    <row r="29364" spans="2:2" s="221" customFormat="1" ht="12.75" x14ac:dyDescent="0.2">
      <c r="B29364" s="1168"/>
    </row>
    <row r="29365" spans="2:2" s="221" customFormat="1" ht="12.75" x14ac:dyDescent="0.2">
      <c r="B29365" s="1168"/>
    </row>
    <row r="29366" spans="2:2" s="221" customFormat="1" ht="12.75" x14ac:dyDescent="0.2">
      <c r="B29366" s="1168"/>
    </row>
    <row r="29367" spans="2:2" s="221" customFormat="1" ht="12.75" x14ac:dyDescent="0.2">
      <c r="B29367" s="1168"/>
    </row>
    <row r="29368" spans="2:2" s="221" customFormat="1" ht="12.75" x14ac:dyDescent="0.2">
      <c r="B29368" s="1168"/>
    </row>
    <row r="29369" spans="2:2" s="221" customFormat="1" ht="12.75" x14ac:dyDescent="0.2">
      <c r="B29369" s="1168"/>
    </row>
    <row r="29370" spans="2:2" s="221" customFormat="1" ht="12.75" x14ac:dyDescent="0.2">
      <c r="B29370" s="1168"/>
    </row>
    <row r="29371" spans="2:2" s="221" customFormat="1" ht="12.75" x14ac:dyDescent="0.2">
      <c r="B29371" s="1168"/>
    </row>
    <row r="29372" spans="2:2" s="221" customFormat="1" ht="12.75" x14ac:dyDescent="0.2">
      <c r="B29372" s="1168"/>
    </row>
    <row r="29373" spans="2:2" s="221" customFormat="1" ht="12.75" x14ac:dyDescent="0.2">
      <c r="B29373" s="1168"/>
    </row>
    <row r="29374" spans="2:2" s="221" customFormat="1" ht="12.75" x14ac:dyDescent="0.2">
      <c r="B29374" s="1168"/>
    </row>
    <row r="29375" spans="2:2" s="221" customFormat="1" ht="12.75" x14ac:dyDescent="0.2">
      <c r="B29375" s="1168"/>
    </row>
    <row r="29376" spans="2:2" s="221" customFormat="1" ht="12.75" x14ac:dyDescent="0.2">
      <c r="B29376" s="1168"/>
    </row>
    <row r="29377" spans="2:2" s="221" customFormat="1" ht="12.75" x14ac:dyDescent="0.2">
      <c r="B29377" s="1168"/>
    </row>
    <row r="29378" spans="2:2" s="221" customFormat="1" ht="12.75" x14ac:dyDescent="0.2">
      <c r="B29378" s="1168"/>
    </row>
    <row r="29379" spans="2:2" s="221" customFormat="1" ht="12.75" x14ac:dyDescent="0.2">
      <c r="B29379" s="1168"/>
    </row>
    <row r="29380" spans="2:2" s="221" customFormat="1" ht="12.75" x14ac:dyDescent="0.2">
      <c r="B29380" s="1168"/>
    </row>
    <row r="29381" spans="2:2" s="221" customFormat="1" ht="12.75" x14ac:dyDescent="0.2">
      <c r="B29381" s="1168"/>
    </row>
    <row r="29382" spans="2:2" s="221" customFormat="1" ht="12.75" x14ac:dyDescent="0.2">
      <c r="B29382" s="1168"/>
    </row>
    <row r="29383" spans="2:2" s="221" customFormat="1" ht="12.75" x14ac:dyDescent="0.2">
      <c r="B29383" s="1168"/>
    </row>
    <row r="29384" spans="2:2" s="221" customFormat="1" ht="12.75" x14ac:dyDescent="0.2">
      <c r="B29384" s="1168"/>
    </row>
    <row r="29385" spans="2:2" s="221" customFormat="1" ht="12.75" x14ac:dyDescent="0.2">
      <c r="B29385" s="1168"/>
    </row>
    <row r="29386" spans="2:2" s="221" customFormat="1" ht="12.75" x14ac:dyDescent="0.2">
      <c r="B29386" s="1168"/>
    </row>
    <row r="29387" spans="2:2" s="221" customFormat="1" ht="12.75" x14ac:dyDescent="0.2">
      <c r="B29387" s="1168"/>
    </row>
    <row r="29388" spans="2:2" s="221" customFormat="1" ht="12.75" x14ac:dyDescent="0.2">
      <c r="B29388" s="1168"/>
    </row>
    <row r="29389" spans="2:2" s="221" customFormat="1" ht="12.75" x14ac:dyDescent="0.2">
      <c r="B29389" s="1168"/>
    </row>
    <row r="29390" spans="2:2" s="221" customFormat="1" ht="12.75" x14ac:dyDescent="0.2">
      <c r="B29390" s="1168"/>
    </row>
    <row r="29391" spans="2:2" s="221" customFormat="1" ht="12.75" x14ac:dyDescent="0.2">
      <c r="B29391" s="1168"/>
    </row>
    <row r="29392" spans="2:2" s="221" customFormat="1" ht="12.75" x14ac:dyDescent="0.2">
      <c r="B29392" s="1168"/>
    </row>
    <row r="29393" spans="2:2" s="221" customFormat="1" ht="12.75" x14ac:dyDescent="0.2">
      <c r="B29393" s="1168"/>
    </row>
    <row r="29394" spans="2:2" s="221" customFormat="1" ht="12.75" x14ac:dyDescent="0.2">
      <c r="B29394" s="1168"/>
    </row>
    <row r="29395" spans="2:2" s="221" customFormat="1" ht="12.75" x14ac:dyDescent="0.2">
      <c r="B29395" s="1168"/>
    </row>
    <row r="29396" spans="2:2" s="221" customFormat="1" ht="12.75" x14ac:dyDescent="0.2">
      <c r="B29396" s="1168"/>
    </row>
    <row r="29397" spans="2:2" s="221" customFormat="1" ht="12.75" x14ac:dyDescent="0.2">
      <c r="B29397" s="1168"/>
    </row>
    <row r="29398" spans="2:2" s="221" customFormat="1" ht="12.75" x14ac:dyDescent="0.2">
      <c r="B29398" s="1168"/>
    </row>
    <row r="29399" spans="2:2" s="221" customFormat="1" ht="12.75" x14ac:dyDescent="0.2">
      <c r="B29399" s="1168"/>
    </row>
    <row r="29400" spans="2:2" s="221" customFormat="1" ht="12.75" x14ac:dyDescent="0.2">
      <c r="B29400" s="1168"/>
    </row>
    <row r="29401" spans="2:2" s="221" customFormat="1" ht="12.75" x14ac:dyDescent="0.2">
      <c r="B29401" s="1168"/>
    </row>
    <row r="29402" spans="2:2" s="221" customFormat="1" ht="12.75" x14ac:dyDescent="0.2">
      <c r="B29402" s="1168"/>
    </row>
    <row r="29403" spans="2:2" s="221" customFormat="1" ht="12.75" x14ac:dyDescent="0.2">
      <c r="B29403" s="1168"/>
    </row>
    <row r="29404" spans="2:2" s="221" customFormat="1" ht="12.75" x14ac:dyDescent="0.2">
      <c r="B29404" s="1168"/>
    </row>
    <row r="29405" spans="2:2" s="221" customFormat="1" ht="12.75" x14ac:dyDescent="0.2">
      <c r="B29405" s="1168"/>
    </row>
    <row r="29406" spans="2:2" s="221" customFormat="1" ht="12.75" x14ac:dyDescent="0.2">
      <c r="B29406" s="1168"/>
    </row>
    <row r="29407" spans="2:2" s="221" customFormat="1" ht="12.75" x14ac:dyDescent="0.2">
      <c r="B29407" s="1168"/>
    </row>
    <row r="29408" spans="2:2" s="221" customFormat="1" ht="12.75" x14ac:dyDescent="0.2">
      <c r="B29408" s="1168"/>
    </row>
    <row r="29409" spans="2:2" s="221" customFormat="1" ht="12.75" x14ac:dyDescent="0.2">
      <c r="B29409" s="1168"/>
    </row>
    <row r="29410" spans="2:2" s="221" customFormat="1" ht="12.75" x14ac:dyDescent="0.2">
      <c r="B29410" s="1168"/>
    </row>
    <row r="29411" spans="2:2" s="221" customFormat="1" ht="12.75" x14ac:dyDescent="0.2">
      <c r="B29411" s="1168"/>
    </row>
    <row r="29412" spans="2:2" s="221" customFormat="1" ht="12.75" x14ac:dyDescent="0.2">
      <c r="B29412" s="1168"/>
    </row>
    <row r="29413" spans="2:2" s="221" customFormat="1" ht="12.75" x14ac:dyDescent="0.2">
      <c r="B29413" s="1168"/>
    </row>
    <row r="29414" spans="2:2" s="221" customFormat="1" ht="12.75" x14ac:dyDescent="0.2">
      <c r="B29414" s="1168"/>
    </row>
    <row r="29415" spans="2:2" s="221" customFormat="1" ht="12.75" x14ac:dyDescent="0.2">
      <c r="B29415" s="1168"/>
    </row>
    <row r="29416" spans="2:2" s="221" customFormat="1" ht="12.75" x14ac:dyDescent="0.2">
      <c r="B29416" s="1168"/>
    </row>
    <row r="29417" spans="2:2" s="221" customFormat="1" ht="12.75" x14ac:dyDescent="0.2">
      <c r="B29417" s="1168"/>
    </row>
    <row r="29418" spans="2:2" s="221" customFormat="1" ht="12.75" x14ac:dyDescent="0.2">
      <c r="B29418" s="1168"/>
    </row>
    <row r="29419" spans="2:2" s="221" customFormat="1" ht="12.75" x14ac:dyDescent="0.2">
      <c r="B29419" s="1168"/>
    </row>
    <row r="29420" spans="2:2" s="221" customFormat="1" ht="12.75" x14ac:dyDescent="0.2">
      <c r="B29420" s="1168"/>
    </row>
    <row r="29421" spans="2:2" s="221" customFormat="1" ht="12.75" x14ac:dyDescent="0.2">
      <c r="B29421" s="1168"/>
    </row>
    <row r="29422" spans="2:2" s="221" customFormat="1" ht="12.75" x14ac:dyDescent="0.2">
      <c r="B29422" s="1168"/>
    </row>
    <row r="29423" spans="2:2" s="221" customFormat="1" ht="12.75" x14ac:dyDescent="0.2">
      <c r="B29423" s="1168"/>
    </row>
    <row r="29424" spans="2:2" s="221" customFormat="1" ht="12.75" x14ac:dyDescent="0.2">
      <c r="B29424" s="1168"/>
    </row>
    <row r="29425" spans="2:2" s="221" customFormat="1" ht="12.75" x14ac:dyDescent="0.2">
      <c r="B29425" s="1168"/>
    </row>
    <row r="29426" spans="2:2" s="221" customFormat="1" ht="12.75" x14ac:dyDescent="0.2">
      <c r="B29426" s="1168"/>
    </row>
    <row r="29427" spans="2:2" s="221" customFormat="1" ht="12.75" x14ac:dyDescent="0.2">
      <c r="B29427" s="1168"/>
    </row>
    <row r="29428" spans="2:2" s="221" customFormat="1" ht="12.75" x14ac:dyDescent="0.2">
      <c r="B29428" s="1168"/>
    </row>
    <row r="29429" spans="2:2" s="221" customFormat="1" ht="12.75" x14ac:dyDescent="0.2">
      <c r="B29429" s="1168"/>
    </row>
    <row r="29430" spans="2:2" s="221" customFormat="1" ht="12.75" x14ac:dyDescent="0.2">
      <c r="B29430" s="1168"/>
    </row>
    <row r="29431" spans="2:2" s="221" customFormat="1" ht="12.75" x14ac:dyDescent="0.2">
      <c r="B29431" s="1168"/>
    </row>
    <row r="29432" spans="2:2" s="221" customFormat="1" ht="12.75" x14ac:dyDescent="0.2">
      <c r="B29432" s="1168"/>
    </row>
    <row r="29433" spans="2:2" s="221" customFormat="1" ht="12.75" x14ac:dyDescent="0.2">
      <c r="B29433" s="1168"/>
    </row>
    <row r="29434" spans="2:2" s="221" customFormat="1" ht="12.75" x14ac:dyDescent="0.2">
      <c r="B29434" s="1168"/>
    </row>
    <row r="29435" spans="2:2" s="221" customFormat="1" ht="12.75" x14ac:dyDescent="0.2">
      <c r="B29435" s="1168"/>
    </row>
    <row r="29436" spans="2:2" s="221" customFormat="1" ht="12.75" x14ac:dyDescent="0.2">
      <c r="B29436" s="1168"/>
    </row>
    <row r="29437" spans="2:2" s="221" customFormat="1" ht="12.75" x14ac:dyDescent="0.2">
      <c r="B29437" s="1168"/>
    </row>
    <row r="29438" spans="2:2" s="221" customFormat="1" ht="12.75" x14ac:dyDescent="0.2">
      <c r="B29438" s="1168"/>
    </row>
    <row r="29439" spans="2:2" s="221" customFormat="1" ht="12.75" x14ac:dyDescent="0.2">
      <c r="B29439" s="1168"/>
    </row>
    <row r="29440" spans="2:2" s="221" customFormat="1" ht="12.75" x14ac:dyDescent="0.2">
      <c r="B29440" s="1168"/>
    </row>
    <row r="29441" spans="2:2" s="221" customFormat="1" ht="12.75" x14ac:dyDescent="0.2">
      <c r="B29441" s="1168"/>
    </row>
    <row r="29442" spans="2:2" s="221" customFormat="1" ht="12.75" x14ac:dyDescent="0.2">
      <c r="B29442" s="1168"/>
    </row>
    <row r="29443" spans="2:2" s="221" customFormat="1" ht="12.75" x14ac:dyDescent="0.2">
      <c r="B29443" s="1168"/>
    </row>
    <row r="29444" spans="2:2" s="221" customFormat="1" ht="12.75" x14ac:dyDescent="0.2">
      <c r="B29444" s="1168"/>
    </row>
    <row r="29445" spans="2:2" s="221" customFormat="1" ht="12.75" x14ac:dyDescent="0.2">
      <c r="B29445" s="1168"/>
    </row>
    <row r="29446" spans="2:2" s="221" customFormat="1" ht="12.75" x14ac:dyDescent="0.2">
      <c r="B29446" s="1168"/>
    </row>
    <row r="29447" spans="2:2" s="221" customFormat="1" ht="12.75" x14ac:dyDescent="0.2">
      <c r="B29447" s="1168"/>
    </row>
    <row r="29448" spans="2:2" s="221" customFormat="1" ht="12.75" x14ac:dyDescent="0.2">
      <c r="B29448" s="1168"/>
    </row>
    <row r="29449" spans="2:2" s="221" customFormat="1" ht="12.75" x14ac:dyDescent="0.2">
      <c r="B29449" s="1168"/>
    </row>
    <row r="29450" spans="2:2" s="221" customFormat="1" ht="12.75" x14ac:dyDescent="0.2">
      <c r="B29450" s="1168"/>
    </row>
    <row r="29451" spans="2:2" s="221" customFormat="1" ht="12.75" x14ac:dyDescent="0.2">
      <c r="B29451" s="1168"/>
    </row>
    <row r="29452" spans="2:2" s="221" customFormat="1" ht="12.75" x14ac:dyDescent="0.2">
      <c r="B29452" s="1168"/>
    </row>
    <row r="29453" spans="2:2" s="221" customFormat="1" ht="12.75" x14ac:dyDescent="0.2">
      <c r="B29453" s="1168"/>
    </row>
    <row r="29454" spans="2:2" s="221" customFormat="1" ht="12.75" x14ac:dyDescent="0.2">
      <c r="B29454" s="1168"/>
    </row>
    <row r="29455" spans="2:2" s="221" customFormat="1" ht="12.75" x14ac:dyDescent="0.2">
      <c r="B29455" s="1168"/>
    </row>
    <row r="29456" spans="2:2" s="221" customFormat="1" ht="12.75" x14ac:dyDescent="0.2">
      <c r="B29456" s="1168"/>
    </row>
    <row r="29457" spans="2:2" s="221" customFormat="1" ht="12.75" x14ac:dyDescent="0.2">
      <c r="B29457" s="1168"/>
    </row>
    <row r="29458" spans="2:2" s="221" customFormat="1" ht="12.75" x14ac:dyDescent="0.2">
      <c r="B29458" s="1168"/>
    </row>
    <row r="29459" spans="2:2" s="221" customFormat="1" ht="12.75" x14ac:dyDescent="0.2">
      <c r="B29459" s="1168"/>
    </row>
    <row r="29460" spans="2:2" s="221" customFormat="1" ht="12.75" x14ac:dyDescent="0.2">
      <c r="B29460" s="1168"/>
    </row>
    <row r="29461" spans="2:2" s="221" customFormat="1" ht="12.75" x14ac:dyDescent="0.2">
      <c r="B29461" s="1168"/>
    </row>
    <row r="29462" spans="2:2" s="221" customFormat="1" ht="12.75" x14ac:dyDescent="0.2">
      <c r="B29462" s="1168"/>
    </row>
    <row r="29463" spans="2:2" s="221" customFormat="1" ht="12.75" x14ac:dyDescent="0.2">
      <c r="B29463" s="1168"/>
    </row>
    <row r="29464" spans="2:2" s="221" customFormat="1" ht="12.75" x14ac:dyDescent="0.2">
      <c r="B29464" s="1168"/>
    </row>
    <row r="29465" spans="2:2" s="221" customFormat="1" ht="12.75" x14ac:dyDescent="0.2">
      <c r="B29465" s="1168"/>
    </row>
    <row r="29466" spans="2:2" s="221" customFormat="1" ht="12.75" x14ac:dyDescent="0.2">
      <c r="B29466" s="1168"/>
    </row>
    <row r="29467" spans="2:2" s="221" customFormat="1" ht="12.75" x14ac:dyDescent="0.2">
      <c r="B29467" s="1168"/>
    </row>
    <row r="29468" spans="2:2" s="221" customFormat="1" ht="12.75" x14ac:dyDescent="0.2">
      <c r="B29468" s="1168"/>
    </row>
    <row r="29469" spans="2:2" s="221" customFormat="1" ht="12.75" x14ac:dyDescent="0.2">
      <c r="B29469" s="1168"/>
    </row>
    <row r="29470" spans="2:2" s="221" customFormat="1" ht="12.75" x14ac:dyDescent="0.2">
      <c r="B29470" s="1168"/>
    </row>
    <row r="29471" spans="2:2" s="221" customFormat="1" ht="12.75" x14ac:dyDescent="0.2">
      <c r="B29471" s="1168"/>
    </row>
    <row r="29472" spans="2:2" s="221" customFormat="1" ht="12.75" x14ac:dyDescent="0.2">
      <c r="B29472" s="1168"/>
    </row>
    <row r="29473" spans="2:2" s="221" customFormat="1" ht="12.75" x14ac:dyDescent="0.2">
      <c r="B29473" s="1168"/>
    </row>
    <row r="29474" spans="2:2" s="221" customFormat="1" ht="12.75" x14ac:dyDescent="0.2">
      <c r="B29474" s="1168"/>
    </row>
    <row r="29475" spans="2:2" s="221" customFormat="1" ht="12.75" x14ac:dyDescent="0.2">
      <c r="B29475" s="1168"/>
    </row>
    <row r="29476" spans="2:2" s="221" customFormat="1" ht="12.75" x14ac:dyDescent="0.2">
      <c r="B29476" s="1168"/>
    </row>
    <row r="29477" spans="2:2" s="221" customFormat="1" ht="12.75" x14ac:dyDescent="0.2">
      <c r="B29477" s="1168"/>
    </row>
    <row r="29478" spans="2:2" s="221" customFormat="1" ht="12.75" x14ac:dyDescent="0.2">
      <c r="B29478" s="1168"/>
    </row>
    <row r="29479" spans="2:2" s="221" customFormat="1" ht="12.75" x14ac:dyDescent="0.2">
      <c r="B29479" s="1168"/>
    </row>
    <row r="29480" spans="2:2" s="221" customFormat="1" ht="12.75" x14ac:dyDescent="0.2">
      <c r="B29480" s="1168"/>
    </row>
    <row r="29481" spans="2:2" s="221" customFormat="1" ht="12.75" x14ac:dyDescent="0.2">
      <c r="B29481" s="1168"/>
    </row>
    <row r="29482" spans="2:2" s="221" customFormat="1" ht="12.75" x14ac:dyDescent="0.2">
      <c r="B29482" s="1168"/>
    </row>
    <row r="29483" spans="2:2" s="221" customFormat="1" ht="12.75" x14ac:dyDescent="0.2">
      <c r="B29483" s="1168"/>
    </row>
    <row r="29484" spans="2:2" s="221" customFormat="1" ht="12.75" x14ac:dyDescent="0.2">
      <c r="B29484" s="1168"/>
    </row>
    <row r="29485" spans="2:2" s="221" customFormat="1" ht="12.75" x14ac:dyDescent="0.2">
      <c r="B29485" s="1168"/>
    </row>
    <row r="29486" spans="2:2" s="221" customFormat="1" ht="12.75" x14ac:dyDescent="0.2">
      <c r="B29486" s="1168"/>
    </row>
    <row r="29487" spans="2:2" s="221" customFormat="1" ht="12.75" x14ac:dyDescent="0.2">
      <c r="B29487" s="1168"/>
    </row>
    <row r="29488" spans="2:2" s="221" customFormat="1" ht="12.75" x14ac:dyDescent="0.2">
      <c r="B29488" s="1168"/>
    </row>
    <row r="29489" spans="2:2" s="221" customFormat="1" ht="12.75" x14ac:dyDescent="0.2">
      <c r="B29489" s="1168"/>
    </row>
    <row r="29490" spans="2:2" s="221" customFormat="1" ht="12.75" x14ac:dyDescent="0.2">
      <c r="B29490" s="1168"/>
    </row>
    <row r="29491" spans="2:2" s="221" customFormat="1" ht="12.75" x14ac:dyDescent="0.2">
      <c r="B29491" s="1168"/>
    </row>
    <row r="29492" spans="2:2" s="221" customFormat="1" ht="12.75" x14ac:dyDescent="0.2">
      <c r="B29492" s="1168"/>
    </row>
    <row r="29493" spans="2:2" s="221" customFormat="1" ht="12.75" x14ac:dyDescent="0.2">
      <c r="B29493" s="1168"/>
    </row>
    <row r="29494" spans="2:2" s="221" customFormat="1" ht="12.75" x14ac:dyDescent="0.2">
      <c r="B29494" s="1168"/>
    </row>
    <row r="29495" spans="2:2" s="221" customFormat="1" ht="12.75" x14ac:dyDescent="0.2">
      <c r="B29495" s="1168"/>
    </row>
    <row r="29496" spans="2:2" s="221" customFormat="1" ht="12.75" x14ac:dyDescent="0.2">
      <c r="B29496" s="1168"/>
    </row>
    <row r="29497" spans="2:2" s="221" customFormat="1" ht="12.75" x14ac:dyDescent="0.2">
      <c r="B29497" s="1168"/>
    </row>
    <row r="29498" spans="2:2" s="221" customFormat="1" ht="12.75" x14ac:dyDescent="0.2">
      <c r="B29498" s="1168"/>
    </row>
    <row r="29499" spans="2:2" s="221" customFormat="1" ht="12.75" x14ac:dyDescent="0.2">
      <c r="B29499" s="1168"/>
    </row>
    <row r="29500" spans="2:2" s="221" customFormat="1" ht="12.75" x14ac:dyDescent="0.2">
      <c r="B29500" s="1168"/>
    </row>
    <row r="29501" spans="2:2" s="221" customFormat="1" ht="12.75" x14ac:dyDescent="0.2">
      <c r="B29501" s="1168"/>
    </row>
    <row r="29502" spans="2:2" s="221" customFormat="1" ht="12.75" x14ac:dyDescent="0.2">
      <c r="B29502" s="1168"/>
    </row>
    <row r="29503" spans="2:2" s="221" customFormat="1" ht="12.75" x14ac:dyDescent="0.2">
      <c r="B29503" s="1168"/>
    </row>
    <row r="29504" spans="2:2" s="221" customFormat="1" ht="12.75" x14ac:dyDescent="0.2">
      <c r="B29504" s="1168"/>
    </row>
    <row r="29505" spans="2:2" s="221" customFormat="1" ht="12.75" x14ac:dyDescent="0.2">
      <c r="B29505" s="1168"/>
    </row>
    <row r="29506" spans="2:2" s="221" customFormat="1" ht="12.75" x14ac:dyDescent="0.2">
      <c r="B29506" s="1168"/>
    </row>
    <row r="29507" spans="2:2" s="221" customFormat="1" ht="12.75" x14ac:dyDescent="0.2">
      <c r="B29507" s="1168"/>
    </row>
    <row r="29508" spans="2:2" s="221" customFormat="1" ht="12.75" x14ac:dyDescent="0.2">
      <c r="B29508" s="1168"/>
    </row>
    <row r="29509" spans="2:2" s="221" customFormat="1" ht="12.75" x14ac:dyDescent="0.2">
      <c r="B29509" s="1168"/>
    </row>
    <row r="29510" spans="2:2" s="221" customFormat="1" ht="12.75" x14ac:dyDescent="0.2">
      <c r="B29510" s="1168"/>
    </row>
    <row r="29511" spans="2:2" s="221" customFormat="1" ht="12.75" x14ac:dyDescent="0.2">
      <c r="B29511" s="1168"/>
    </row>
    <row r="29512" spans="2:2" s="221" customFormat="1" ht="12.75" x14ac:dyDescent="0.2">
      <c r="B29512" s="1168"/>
    </row>
    <row r="29513" spans="2:2" s="221" customFormat="1" ht="12.75" x14ac:dyDescent="0.2">
      <c r="B29513" s="1168"/>
    </row>
    <row r="29514" spans="2:2" s="221" customFormat="1" ht="12.75" x14ac:dyDescent="0.2">
      <c r="B29514" s="1168"/>
    </row>
    <row r="29515" spans="2:2" s="221" customFormat="1" ht="12.75" x14ac:dyDescent="0.2">
      <c r="B29515" s="1168"/>
    </row>
    <row r="29516" spans="2:2" s="221" customFormat="1" ht="12.75" x14ac:dyDescent="0.2">
      <c r="B29516" s="1168"/>
    </row>
    <row r="29517" spans="2:2" s="221" customFormat="1" ht="12.75" x14ac:dyDescent="0.2">
      <c r="B29517" s="1168"/>
    </row>
    <row r="29518" spans="2:2" s="221" customFormat="1" ht="12.75" x14ac:dyDescent="0.2">
      <c r="B29518" s="1168"/>
    </row>
    <row r="29519" spans="2:2" s="221" customFormat="1" ht="12.75" x14ac:dyDescent="0.2">
      <c r="B29519" s="1168"/>
    </row>
    <row r="29520" spans="2:2" s="221" customFormat="1" ht="12.75" x14ac:dyDescent="0.2">
      <c r="B29520" s="1168"/>
    </row>
    <row r="29521" spans="2:2" s="221" customFormat="1" ht="12.75" x14ac:dyDescent="0.2">
      <c r="B29521" s="1168"/>
    </row>
    <row r="29522" spans="2:2" s="221" customFormat="1" ht="12.75" x14ac:dyDescent="0.2">
      <c r="B29522" s="1168"/>
    </row>
    <row r="29523" spans="2:2" s="221" customFormat="1" ht="12.75" x14ac:dyDescent="0.2">
      <c r="B29523" s="1168"/>
    </row>
    <row r="29524" spans="2:2" s="221" customFormat="1" ht="12.75" x14ac:dyDescent="0.2">
      <c r="B29524" s="1168"/>
    </row>
    <row r="29525" spans="2:2" s="221" customFormat="1" ht="12.75" x14ac:dyDescent="0.2">
      <c r="B29525" s="1168"/>
    </row>
    <row r="29526" spans="2:2" s="221" customFormat="1" ht="12.75" x14ac:dyDescent="0.2">
      <c r="B29526" s="1168"/>
    </row>
    <row r="29527" spans="2:2" s="221" customFormat="1" ht="12.75" x14ac:dyDescent="0.2">
      <c r="B29527" s="1168"/>
    </row>
    <row r="29528" spans="2:2" s="221" customFormat="1" ht="12.75" x14ac:dyDescent="0.2">
      <c r="B29528" s="1168"/>
    </row>
    <row r="29529" spans="2:2" s="221" customFormat="1" ht="12.75" x14ac:dyDescent="0.2">
      <c r="B29529" s="1168"/>
    </row>
    <row r="29530" spans="2:2" s="221" customFormat="1" ht="12.75" x14ac:dyDescent="0.2">
      <c r="B29530" s="1168"/>
    </row>
    <row r="29531" spans="2:2" s="221" customFormat="1" ht="12.75" x14ac:dyDescent="0.2">
      <c r="B29531" s="1168"/>
    </row>
    <row r="29532" spans="2:2" s="221" customFormat="1" ht="12.75" x14ac:dyDescent="0.2">
      <c r="B29532" s="1168"/>
    </row>
    <row r="29533" spans="2:2" s="221" customFormat="1" ht="12.75" x14ac:dyDescent="0.2">
      <c r="B29533" s="1168"/>
    </row>
    <row r="29534" spans="2:2" s="221" customFormat="1" ht="12.75" x14ac:dyDescent="0.2">
      <c r="B29534" s="1168"/>
    </row>
    <row r="29535" spans="2:2" s="221" customFormat="1" ht="12.75" x14ac:dyDescent="0.2">
      <c r="B29535" s="1168"/>
    </row>
    <row r="29536" spans="2:2" s="221" customFormat="1" ht="12.75" x14ac:dyDescent="0.2">
      <c r="B29536" s="1168"/>
    </row>
    <row r="29537" spans="2:2" s="221" customFormat="1" ht="12.75" x14ac:dyDescent="0.2">
      <c r="B29537" s="1168"/>
    </row>
    <row r="29538" spans="2:2" s="221" customFormat="1" ht="12.75" x14ac:dyDescent="0.2">
      <c r="B29538" s="1168"/>
    </row>
    <row r="29539" spans="2:2" s="221" customFormat="1" ht="12.75" x14ac:dyDescent="0.2">
      <c r="B29539" s="1168"/>
    </row>
    <row r="29540" spans="2:2" s="221" customFormat="1" ht="12.75" x14ac:dyDescent="0.2">
      <c r="B29540" s="1168"/>
    </row>
    <row r="29541" spans="2:2" s="221" customFormat="1" ht="12.75" x14ac:dyDescent="0.2">
      <c r="B29541" s="1168"/>
    </row>
    <row r="29542" spans="2:2" s="221" customFormat="1" ht="12.75" x14ac:dyDescent="0.2">
      <c r="B29542" s="1168"/>
    </row>
    <row r="29543" spans="2:2" s="221" customFormat="1" ht="12.75" x14ac:dyDescent="0.2">
      <c r="B29543" s="1168"/>
    </row>
    <row r="29544" spans="2:2" s="221" customFormat="1" ht="12.75" x14ac:dyDescent="0.2">
      <c r="B29544" s="1168"/>
    </row>
    <row r="29545" spans="2:2" s="221" customFormat="1" ht="12.75" x14ac:dyDescent="0.2">
      <c r="B29545" s="1168"/>
    </row>
    <row r="29546" spans="2:2" s="221" customFormat="1" ht="12.75" x14ac:dyDescent="0.2">
      <c r="B29546" s="1168"/>
    </row>
    <row r="29547" spans="2:2" s="221" customFormat="1" ht="12.75" x14ac:dyDescent="0.2">
      <c r="B29547" s="1168"/>
    </row>
    <row r="29548" spans="2:2" s="221" customFormat="1" ht="12.75" x14ac:dyDescent="0.2">
      <c r="B29548" s="1168"/>
    </row>
    <row r="29549" spans="2:2" s="221" customFormat="1" ht="12.75" x14ac:dyDescent="0.2">
      <c r="B29549" s="1168"/>
    </row>
    <row r="29550" spans="2:2" s="221" customFormat="1" ht="12.75" x14ac:dyDescent="0.2">
      <c r="B29550" s="1168"/>
    </row>
    <row r="29551" spans="2:2" s="221" customFormat="1" ht="12.75" x14ac:dyDescent="0.2">
      <c r="B29551" s="1168"/>
    </row>
    <row r="29552" spans="2:2" s="221" customFormat="1" ht="12.75" x14ac:dyDescent="0.2">
      <c r="B29552" s="1168"/>
    </row>
    <row r="29553" spans="2:2" s="221" customFormat="1" ht="12.75" x14ac:dyDescent="0.2">
      <c r="B29553" s="1168"/>
    </row>
    <row r="29554" spans="2:2" s="221" customFormat="1" ht="12.75" x14ac:dyDescent="0.2">
      <c r="B29554" s="1168"/>
    </row>
    <row r="29555" spans="2:2" s="221" customFormat="1" ht="12.75" x14ac:dyDescent="0.2">
      <c r="B29555" s="1168"/>
    </row>
    <row r="29556" spans="2:2" s="221" customFormat="1" ht="12.75" x14ac:dyDescent="0.2">
      <c r="B29556" s="1168"/>
    </row>
    <row r="29557" spans="2:2" s="221" customFormat="1" ht="12.75" x14ac:dyDescent="0.2">
      <c r="B29557" s="1168"/>
    </row>
    <row r="29558" spans="2:2" s="221" customFormat="1" ht="12.75" x14ac:dyDescent="0.2">
      <c r="B29558" s="1168"/>
    </row>
    <row r="29559" spans="2:2" s="221" customFormat="1" ht="12.75" x14ac:dyDescent="0.2">
      <c r="B29559" s="1168"/>
    </row>
    <row r="29560" spans="2:2" s="221" customFormat="1" ht="12.75" x14ac:dyDescent="0.2">
      <c r="B29560" s="1168"/>
    </row>
    <row r="29561" spans="2:2" s="221" customFormat="1" ht="12.75" x14ac:dyDescent="0.2">
      <c r="B29561" s="1168"/>
    </row>
    <row r="29562" spans="2:2" s="221" customFormat="1" ht="12.75" x14ac:dyDescent="0.2">
      <c r="B29562" s="1168"/>
    </row>
    <row r="29563" spans="2:2" s="221" customFormat="1" ht="12.75" x14ac:dyDescent="0.2">
      <c r="B29563" s="1168"/>
    </row>
    <row r="29564" spans="2:2" s="221" customFormat="1" ht="12.75" x14ac:dyDescent="0.2">
      <c r="B29564" s="1168"/>
    </row>
    <row r="29565" spans="2:2" s="221" customFormat="1" ht="12.75" x14ac:dyDescent="0.2">
      <c r="B29565" s="1168"/>
    </row>
    <row r="29566" spans="2:2" s="221" customFormat="1" ht="12.75" x14ac:dyDescent="0.2">
      <c r="B29566" s="1168"/>
    </row>
    <row r="29567" spans="2:2" s="221" customFormat="1" ht="12.75" x14ac:dyDescent="0.2">
      <c r="B29567" s="1168"/>
    </row>
    <row r="29568" spans="2:2" s="221" customFormat="1" ht="12.75" x14ac:dyDescent="0.2">
      <c r="B29568" s="1168"/>
    </row>
    <row r="29569" spans="2:2" s="221" customFormat="1" ht="12.75" x14ac:dyDescent="0.2">
      <c r="B29569" s="1168"/>
    </row>
    <row r="29570" spans="2:2" s="221" customFormat="1" ht="12.75" x14ac:dyDescent="0.2">
      <c r="B29570" s="1168"/>
    </row>
    <row r="29571" spans="2:2" s="221" customFormat="1" ht="12.75" x14ac:dyDescent="0.2">
      <c r="B29571" s="1168"/>
    </row>
    <row r="29572" spans="2:2" s="221" customFormat="1" ht="12.75" x14ac:dyDescent="0.2">
      <c r="B29572" s="1168"/>
    </row>
    <row r="29573" spans="2:2" s="221" customFormat="1" ht="12.75" x14ac:dyDescent="0.2">
      <c r="B29573" s="1168"/>
    </row>
    <row r="29574" spans="2:2" s="221" customFormat="1" ht="12.75" x14ac:dyDescent="0.2">
      <c r="B29574" s="1168"/>
    </row>
    <row r="29575" spans="2:2" s="221" customFormat="1" ht="12.75" x14ac:dyDescent="0.2">
      <c r="B29575" s="1168"/>
    </row>
    <row r="29576" spans="2:2" s="221" customFormat="1" ht="12.75" x14ac:dyDescent="0.2">
      <c r="B29576" s="1168"/>
    </row>
    <row r="29577" spans="2:2" s="221" customFormat="1" ht="12.75" x14ac:dyDescent="0.2">
      <c r="B29577" s="1168"/>
    </row>
    <row r="29578" spans="2:2" s="221" customFormat="1" ht="12.75" x14ac:dyDescent="0.2">
      <c r="B29578" s="1168"/>
    </row>
    <row r="29579" spans="2:2" s="221" customFormat="1" ht="12.75" x14ac:dyDescent="0.2">
      <c r="B29579" s="1168"/>
    </row>
    <row r="29580" spans="2:2" s="221" customFormat="1" ht="12.75" x14ac:dyDescent="0.2">
      <c r="B29580" s="1168"/>
    </row>
    <row r="29581" spans="2:2" s="221" customFormat="1" ht="12.75" x14ac:dyDescent="0.2">
      <c r="B29581" s="1168"/>
    </row>
    <row r="29582" spans="2:2" s="221" customFormat="1" ht="12.75" x14ac:dyDescent="0.2">
      <c r="B29582" s="1168"/>
    </row>
    <row r="29583" spans="2:2" s="221" customFormat="1" ht="12.75" x14ac:dyDescent="0.2">
      <c r="B29583" s="1168"/>
    </row>
    <row r="29584" spans="2:2" s="221" customFormat="1" ht="12.75" x14ac:dyDescent="0.2">
      <c r="B29584" s="1168"/>
    </row>
    <row r="29585" spans="2:2" s="221" customFormat="1" ht="12.75" x14ac:dyDescent="0.2">
      <c r="B29585" s="1168"/>
    </row>
    <row r="29586" spans="2:2" s="221" customFormat="1" ht="12.75" x14ac:dyDescent="0.2">
      <c r="B29586" s="1168"/>
    </row>
    <row r="29587" spans="2:2" s="221" customFormat="1" ht="12.75" x14ac:dyDescent="0.2">
      <c r="B29587" s="1168"/>
    </row>
    <row r="29588" spans="2:2" s="221" customFormat="1" ht="12.75" x14ac:dyDescent="0.2">
      <c r="B29588" s="1168"/>
    </row>
    <row r="29589" spans="2:2" s="221" customFormat="1" ht="12.75" x14ac:dyDescent="0.2">
      <c r="B29589" s="1168"/>
    </row>
    <row r="29590" spans="2:2" s="221" customFormat="1" ht="12.75" x14ac:dyDescent="0.2">
      <c r="B29590" s="1168"/>
    </row>
    <row r="29591" spans="2:2" s="221" customFormat="1" ht="12.75" x14ac:dyDescent="0.2">
      <c r="B29591" s="1168"/>
    </row>
    <row r="29592" spans="2:2" s="221" customFormat="1" ht="12.75" x14ac:dyDescent="0.2">
      <c r="B29592" s="1168"/>
    </row>
    <row r="29593" spans="2:2" s="221" customFormat="1" ht="12.75" x14ac:dyDescent="0.2">
      <c r="B29593" s="1168"/>
    </row>
    <row r="29594" spans="2:2" s="221" customFormat="1" ht="12.75" x14ac:dyDescent="0.2">
      <c r="B29594" s="1168"/>
    </row>
    <row r="29595" spans="2:2" s="221" customFormat="1" ht="12.75" x14ac:dyDescent="0.2">
      <c r="B29595" s="1168"/>
    </row>
    <row r="29596" spans="2:2" s="221" customFormat="1" ht="12.75" x14ac:dyDescent="0.2">
      <c r="B29596" s="1168"/>
    </row>
    <row r="29597" spans="2:2" s="221" customFormat="1" ht="12.75" x14ac:dyDescent="0.2">
      <c r="B29597" s="1168"/>
    </row>
    <row r="29598" spans="2:2" s="221" customFormat="1" ht="12.75" x14ac:dyDescent="0.2">
      <c r="B29598" s="1168"/>
    </row>
    <row r="29599" spans="2:2" s="221" customFormat="1" ht="12.75" x14ac:dyDescent="0.2">
      <c r="B29599" s="1168"/>
    </row>
    <row r="29600" spans="2:2" s="221" customFormat="1" ht="12.75" x14ac:dyDescent="0.2">
      <c r="B29600" s="1168"/>
    </row>
    <row r="29601" spans="2:2" s="221" customFormat="1" ht="12.75" x14ac:dyDescent="0.2">
      <c r="B29601" s="1168"/>
    </row>
    <row r="29602" spans="2:2" s="221" customFormat="1" ht="12.75" x14ac:dyDescent="0.2">
      <c r="B29602" s="1168"/>
    </row>
    <row r="29603" spans="2:2" s="221" customFormat="1" ht="12.75" x14ac:dyDescent="0.2">
      <c r="B29603" s="1168"/>
    </row>
    <row r="29604" spans="2:2" s="221" customFormat="1" ht="12.75" x14ac:dyDescent="0.2">
      <c r="B29604" s="1168"/>
    </row>
    <row r="29605" spans="2:2" s="221" customFormat="1" ht="12.75" x14ac:dyDescent="0.2">
      <c r="B29605" s="1168"/>
    </row>
    <row r="29606" spans="2:2" s="221" customFormat="1" ht="12.75" x14ac:dyDescent="0.2">
      <c r="B29606" s="1168"/>
    </row>
    <row r="29607" spans="2:2" s="221" customFormat="1" ht="12.75" x14ac:dyDescent="0.2">
      <c r="B29607" s="1168"/>
    </row>
    <row r="29608" spans="2:2" s="221" customFormat="1" ht="12.75" x14ac:dyDescent="0.2">
      <c r="B29608" s="1168"/>
    </row>
    <row r="29609" spans="2:2" s="221" customFormat="1" ht="12.75" x14ac:dyDescent="0.2">
      <c r="B29609" s="1168"/>
    </row>
    <row r="29610" spans="2:2" s="221" customFormat="1" ht="12.75" x14ac:dyDescent="0.2">
      <c r="B29610" s="1168"/>
    </row>
    <row r="29611" spans="2:2" s="221" customFormat="1" ht="12.75" x14ac:dyDescent="0.2">
      <c r="B29611" s="1168"/>
    </row>
    <row r="29612" spans="2:2" s="221" customFormat="1" ht="12.75" x14ac:dyDescent="0.2">
      <c r="B29612" s="1168"/>
    </row>
    <row r="29613" spans="2:2" s="221" customFormat="1" ht="12.75" x14ac:dyDescent="0.2">
      <c r="B29613" s="1168"/>
    </row>
    <row r="29614" spans="2:2" s="221" customFormat="1" ht="12.75" x14ac:dyDescent="0.2">
      <c r="B29614" s="1168"/>
    </row>
    <row r="29615" spans="2:2" s="221" customFormat="1" ht="12.75" x14ac:dyDescent="0.2">
      <c r="B29615" s="1168"/>
    </row>
    <row r="29616" spans="2:2" s="221" customFormat="1" ht="12.75" x14ac:dyDescent="0.2">
      <c r="B29616" s="1168"/>
    </row>
    <row r="29617" spans="2:2" s="221" customFormat="1" ht="12.75" x14ac:dyDescent="0.2">
      <c r="B29617" s="1168"/>
    </row>
    <row r="29618" spans="2:2" s="221" customFormat="1" ht="12.75" x14ac:dyDescent="0.2">
      <c r="B29618" s="1168"/>
    </row>
    <row r="29619" spans="2:2" s="221" customFormat="1" ht="12.75" x14ac:dyDescent="0.2">
      <c r="B29619" s="1168"/>
    </row>
    <row r="29620" spans="2:2" s="221" customFormat="1" ht="12.75" x14ac:dyDescent="0.2">
      <c r="B29620" s="1168"/>
    </row>
    <row r="29621" spans="2:2" s="221" customFormat="1" ht="12.75" x14ac:dyDescent="0.2">
      <c r="B29621" s="1168"/>
    </row>
    <row r="29622" spans="2:2" s="221" customFormat="1" ht="12.75" x14ac:dyDescent="0.2">
      <c r="B29622" s="1168"/>
    </row>
    <row r="29623" spans="2:2" s="221" customFormat="1" ht="12.75" x14ac:dyDescent="0.2">
      <c r="B29623" s="1168"/>
    </row>
    <row r="29624" spans="2:2" s="221" customFormat="1" ht="12.75" x14ac:dyDescent="0.2">
      <c r="B29624" s="1168"/>
    </row>
    <row r="29625" spans="2:2" s="221" customFormat="1" ht="12.75" x14ac:dyDescent="0.2">
      <c r="B29625" s="1168"/>
    </row>
    <row r="29626" spans="2:2" s="221" customFormat="1" ht="12.75" x14ac:dyDescent="0.2">
      <c r="B29626" s="1168"/>
    </row>
    <row r="29627" spans="2:2" s="221" customFormat="1" ht="12.75" x14ac:dyDescent="0.2">
      <c r="B29627" s="1168"/>
    </row>
    <row r="29628" spans="2:2" s="221" customFormat="1" ht="12.75" x14ac:dyDescent="0.2">
      <c r="B29628" s="1168"/>
    </row>
    <row r="29629" spans="2:2" s="221" customFormat="1" ht="12.75" x14ac:dyDescent="0.2">
      <c r="B29629" s="1168"/>
    </row>
    <row r="29630" spans="2:2" s="221" customFormat="1" ht="12.75" x14ac:dyDescent="0.2">
      <c r="B29630" s="1168"/>
    </row>
    <row r="29631" spans="2:2" s="221" customFormat="1" ht="12.75" x14ac:dyDescent="0.2">
      <c r="B29631" s="1168"/>
    </row>
    <row r="29632" spans="2:2" s="221" customFormat="1" ht="12.75" x14ac:dyDescent="0.2">
      <c r="B29632" s="1168"/>
    </row>
    <row r="29633" spans="2:2" s="221" customFormat="1" ht="12.75" x14ac:dyDescent="0.2">
      <c r="B29633" s="1168"/>
    </row>
    <row r="29634" spans="2:2" s="221" customFormat="1" ht="12.75" x14ac:dyDescent="0.2">
      <c r="B29634" s="1168"/>
    </row>
    <row r="29635" spans="2:2" s="221" customFormat="1" ht="12.75" x14ac:dyDescent="0.2">
      <c r="B29635" s="1168"/>
    </row>
    <row r="29636" spans="2:2" s="221" customFormat="1" ht="12.75" x14ac:dyDescent="0.2">
      <c r="B29636" s="1168"/>
    </row>
    <row r="29637" spans="2:2" s="221" customFormat="1" ht="12.75" x14ac:dyDescent="0.2">
      <c r="B29637" s="1168"/>
    </row>
    <row r="29638" spans="2:2" s="221" customFormat="1" ht="12.75" x14ac:dyDescent="0.2">
      <c r="B29638" s="1168"/>
    </row>
    <row r="29639" spans="2:2" s="221" customFormat="1" ht="12.75" x14ac:dyDescent="0.2">
      <c r="B29639" s="1168"/>
    </row>
    <row r="29640" spans="2:2" s="221" customFormat="1" ht="12.75" x14ac:dyDescent="0.2">
      <c r="B29640" s="1168"/>
    </row>
    <row r="29641" spans="2:2" s="221" customFormat="1" ht="12.75" x14ac:dyDescent="0.2">
      <c r="B29641" s="1168"/>
    </row>
    <row r="29642" spans="2:2" s="221" customFormat="1" ht="12.75" x14ac:dyDescent="0.2">
      <c r="B29642" s="1168"/>
    </row>
    <row r="29643" spans="2:2" s="221" customFormat="1" ht="12.75" x14ac:dyDescent="0.2">
      <c r="B29643" s="1168"/>
    </row>
    <row r="29644" spans="2:2" s="221" customFormat="1" ht="12.75" x14ac:dyDescent="0.2">
      <c r="B29644" s="1168"/>
    </row>
    <row r="29645" spans="2:2" s="221" customFormat="1" ht="12.75" x14ac:dyDescent="0.2">
      <c r="B29645" s="1168"/>
    </row>
    <row r="29646" spans="2:2" s="221" customFormat="1" ht="12.75" x14ac:dyDescent="0.2">
      <c r="B29646" s="1168"/>
    </row>
    <row r="29647" spans="2:2" s="221" customFormat="1" ht="12.75" x14ac:dyDescent="0.2">
      <c r="B29647" s="1168"/>
    </row>
    <row r="29648" spans="2:2" s="221" customFormat="1" ht="12.75" x14ac:dyDescent="0.2">
      <c r="B29648" s="1168"/>
    </row>
    <row r="29649" spans="2:2" s="221" customFormat="1" ht="12.75" x14ac:dyDescent="0.2">
      <c r="B29649" s="1168"/>
    </row>
    <row r="29650" spans="2:2" s="221" customFormat="1" ht="12.75" x14ac:dyDescent="0.2">
      <c r="B29650" s="1168"/>
    </row>
    <row r="29651" spans="2:2" s="221" customFormat="1" ht="12.75" x14ac:dyDescent="0.2">
      <c r="B29651" s="1168"/>
    </row>
    <row r="29652" spans="2:2" s="221" customFormat="1" ht="12.75" x14ac:dyDescent="0.2">
      <c r="B29652" s="1168"/>
    </row>
    <row r="29653" spans="2:2" s="221" customFormat="1" ht="12.75" x14ac:dyDescent="0.2">
      <c r="B29653" s="1168"/>
    </row>
    <row r="29654" spans="2:2" s="221" customFormat="1" ht="12.75" x14ac:dyDescent="0.2">
      <c r="B29654" s="1168"/>
    </row>
    <row r="29655" spans="2:2" s="221" customFormat="1" ht="12.75" x14ac:dyDescent="0.2">
      <c r="B29655" s="1168"/>
    </row>
    <row r="29656" spans="2:2" s="221" customFormat="1" ht="12.75" x14ac:dyDescent="0.2">
      <c r="B29656" s="1168"/>
    </row>
    <row r="29657" spans="2:2" s="221" customFormat="1" ht="12.75" x14ac:dyDescent="0.2">
      <c r="B29657" s="1168"/>
    </row>
    <row r="29658" spans="2:2" s="221" customFormat="1" ht="12.75" x14ac:dyDescent="0.2">
      <c r="B29658" s="1168"/>
    </row>
    <row r="29659" spans="2:2" s="221" customFormat="1" ht="12.75" x14ac:dyDescent="0.2">
      <c r="B29659" s="1168"/>
    </row>
    <row r="29660" spans="2:2" s="221" customFormat="1" ht="12.75" x14ac:dyDescent="0.2">
      <c r="B29660" s="1168"/>
    </row>
    <row r="29661" spans="2:2" s="221" customFormat="1" ht="12.75" x14ac:dyDescent="0.2">
      <c r="B29661" s="1168"/>
    </row>
    <row r="29662" spans="2:2" s="221" customFormat="1" ht="12.75" x14ac:dyDescent="0.2">
      <c r="B29662" s="1168"/>
    </row>
    <row r="29663" spans="2:2" s="221" customFormat="1" ht="12.75" x14ac:dyDescent="0.2">
      <c r="B29663" s="1168"/>
    </row>
    <row r="29664" spans="2:2" s="221" customFormat="1" ht="12.75" x14ac:dyDescent="0.2">
      <c r="B29664" s="1168"/>
    </row>
    <row r="29665" spans="2:2" s="221" customFormat="1" ht="12.75" x14ac:dyDescent="0.2">
      <c r="B29665" s="1168"/>
    </row>
    <row r="29666" spans="2:2" s="221" customFormat="1" ht="12.75" x14ac:dyDescent="0.2">
      <c r="B29666" s="1168"/>
    </row>
    <row r="29667" spans="2:2" s="221" customFormat="1" ht="12.75" x14ac:dyDescent="0.2">
      <c r="B29667" s="1168"/>
    </row>
    <row r="29668" spans="2:2" s="221" customFormat="1" ht="12.75" x14ac:dyDescent="0.2">
      <c r="B29668" s="1168"/>
    </row>
    <row r="29669" spans="2:2" s="221" customFormat="1" ht="12.75" x14ac:dyDescent="0.2">
      <c r="B29669" s="1168"/>
    </row>
    <row r="29670" spans="2:2" s="221" customFormat="1" ht="12.75" x14ac:dyDescent="0.2">
      <c r="B29670" s="1168"/>
    </row>
    <row r="29671" spans="2:2" s="221" customFormat="1" ht="12.75" x14ac:dyDescent="0.2">
      <c r="B29671" s="1168"/>
    </row>
    <row r="29672" spans="2:2" s="221" customFormat="1" ht="12.75" x14ac:dyDescent="0.2">
      <c r="B29672" s="1168"/>
    </row>
    <row r="29673" spans="2:2" s="221" customFormat="1" ht="12.75" x14ac:dyDescent="0.2">
      <c r="B29673" s="1168"/>
    </row>
    <row r="29674" spans="2:2" s="221" customFormat="1" ht="12.75" x14ac:dyDescent="0.2">
      <c r="B29674" s="1168"/>
    </row>
    <row r="29675" spans="2:2" s="221" customFormat="1" ht="12.75" x14ac:dyDescent="0.2">
      <c r="B29675" s="1168"/>
    </row>
    <row r="29676" spans="2:2" s="221" customFormat="1" ht="12.75" x14ac:dyDescent="0.2">
      <c r="B29676" s="1168"/>
    </row>
    <row r="29677" spans="2:2" s="221" customFormat="1" ht="12.75" x14ac:dyDescent="0.2">
      <c r="B29677" s="1168"/>
    </row>
    <row r="29678" spans="2:2" s="221" customFormat="1" ht="12.75" x14ac:dyDescent="0.2">
      <c r="B29678" s="1168"/>
    </row>
    <row r="29679" spans="2:2" s="221" customFormat="1" ht="12.75" x14ac:dyDescent="0.2">
      <c r="B29679" s="1168"/>
    </row>
    <row r="29680" spans="2:2" s="221" customFormat="1" ht="12.75" x14ac:dyDescent="0.2">
      <c r="B29680" s="1168"/>
    </row>
    <row r="29681" spans="2:2" s="221" customFormat="1" ht="12.75" x14ac:dyDescent="0.2">
      <c r="B29681" s="1168"/>
    </row>
    <row r="29682" spans="2:2" s="221" customFormat="1" ht="12.75" x14ac:dyDescent="0.2">
      <c r="B29682" s="1168"/>
    </row>
    <row r="29683" spans="2:2" s="221" customFormat="1" ht="12.75" x14ac:dyDescent="0.2">
      <c r="B29683" s="1168"/>
    </row>
    <row r="29684" spans="2:2" s="221" customFormat="1" ht="12.75" x14ac:dyDescent="0.2">
      <c r="B29684" s="1168"/>
    </row>
    <row r="29685" spans="2:2" s="221" customFormat="1" ht="12.75" x14ac:dyDescent="0.2">
      <c r="B29685" s="1168"/>
    </row>
    <row r="29686" spans="2:2" s="221" customFormat="1" ht="12.75" x14ac:dyDescent="0.2">
      <c r="B29686" s="1168"/>
    </row>
    <row r="29687" spans="2:2" s="221" customFormat="1" ht="12.75" x14ac:dyDescent="0.2">
      <c r="B29687" s="1168"/>
    </row>
    <row r="29688" spans="2:2" s="221" customFormat="1" ht="12.75" x14ac:dyDescent="0.2">
      <c r="B29688" s="1168"/>
    </row>
    <row r="29689" spans="2:2" s="221" customFormat="1" ht="12.75" x14ac:dyDescent="0.2">
      <c r="B29689" s="1168"/>
    </row>
    <row r="29690" spans="2:2" s="221" customFormat="1" ht="12.75" x14ac:dyDescent="0.2">
      <c r="B29690" s="1168"/>
    </row>
    <row r="29691" spans="2:2" s="221" customFormat="1" ht="12.75" x14ac:dyDescent="0.2">
      <c r="B29691" s="1168"/>
    </row>
    <row r="29692" spans="2:2" s="221" customFormat="1" ht="12.75" x14ac:dyDescent="0.2">
      <c r="B29692" s="1168"/>
    </row>
    <row r="29693" spans="2:2" s="221" customFormat="1" ht="12.75" x14ac:dyDescent="0.2">
      <c r="B29693" s="1168"/>
    </row>
    <row r="29694" spans="2:2" s="221" customFormat="1" ht="12.75" x14ac:dyDescent="0.2">
      <c r="B29694" s="1168"/>
    </row>
    <row r="29695" spans="2:2" s="221" customFormat="1" ht="12.75" x14ac:dyDescent="0.2">
      <c r="B29695" s="1168"/>
    </row>
    <row r="29696" spans="2:2" s="221" customFormat="1" ht="12.75" x14ac:dyDescent="0.2">
      <c r="B29696" s="1168"/>
    </row>
    <row r="29697" spans="2:2" s="221" customFormat="1" ht="12.75" x14ac:dyDescent="0.2">
      <c r="B29697" s="1168"/>
    </row>
    <row r="29698" spans="2:2" s="221" customFormat="1" ht="12.75" x14ac:dyDescent="0.2">
      <c r="B29698" s="1168"/>
    </row>
    <row r="29699" spans="2:2" s="221" customFormat="1" ht="12.75" x14ac:dyDescent="0.2">
      <c r="B29699" s="1168"/>
    </row>
    <row r="29700" spans="2:2" s="221" customFormat="1" ht="12.75" x14ac:dyDescent="0.2">
      <c r="B29700" s="1168"/>
    </row>
    <row r="29701" spans="2:2" s="221" customFormat="1" ht="12.75" x14ac:dyDescent="0.2">
      <c r="B29701" s="1168"/>
    </row>
    <row r="29702" spans="2:2" s="221" customFormat="1" ht="12.75" x14ac:dyDescent="0.2">
      <c r="B29702" s="1168"/>
    </row>
    <row r="29703" spans="2:2" s="221" customFormat="1" ht="12.75" x14ac:dyDescent="0.2">
      <c r="B29703" s="1168"/>
    </row>
    <row r="29704" spans="2:2" s="221" customFormat="1" ht="12.75" x14ac:dyDescent="0.2">
      <c r="B29704" s="1168"/>
    </row>
    <row r="29705" spans="2:2" s="221" customFormat="1" ht="12.75" x14ac:dyDescent="0.2">
      <c r="B29705" s="1168"/>
    </row>
    <row r="29706" spans="2:2" s="221" customFormat="1" ht="12.75" x14ac:dyDescent="0.2">
      <c r="B29706" s="1168"/>
    </row>
    <row r="29707" spans="2:2" s="221" customFormat="1" ht="12.75" x14ac:dyDescent="0.2">
      <c r="B29707" s="1168"/>
    </row>
    <row r="29708" spans="2:2" s="221" customFormat="1" ht="12.75" x14ac:dyDescent="0.2">
      <c r="B29708" s="1168"/>
    </row>
    <row r="29709" spans="2:2" s="221" customFormat="1" ht="12.75" x14ac:dyDescent="0.2">
      <c r="B29709" s="1168"/>
    </row>
    <row r="29710" spans="2:2" s="221" customFormat="1" ht="12.75" x14ac:dyDescent="0.2">
      <c r="B29710" s="1168"/>
    </row>
    <row r="29711" spans="2:2" s="221" customFormat="1" ht="12.75" x14ac:dyDescent="0.2">
      <c r="B29711" s="1168"/>
    </row>
    <row r="29712" spans="2:2" s="221" customFormat="1" ht="12.75" x14ac:dyDescent="0.2">
      <c r="B29712" s="1168"/>
    </row>
    <row r="29713" spans="2:2" s="221" customFormat="1" ht="12.75" x14ac:dyDescent="0.2">
      <c r="B29713" s="1168"/>
    </row>
    <row r="29714" spans="2:2" s="221" customFormat="1" ht="12.75" x14ac:dyDescent="0.2">
      <c r="B29714" s="1168"/>
    </row>
    <row r="29715" spans="2:2" s="221" customFormat="1" ht="12.75" x14ac:dyDescent="0.2">
      <c r="B29715" s="1168"/>
    </row>
    <row r="29716" spans="2:2" s="221" customFormat="1" ht="12.75" x14ac:dyDescent="0.2">
      <c r="B29716" s="1168"/>
    </row>
    <row r="29717" spans="2:2" s="221" customFormat="1" ht="12.75" x14ac:dyDescent="0.2">
      <c r="B29717" s="1168"/>
    </row>
    <row r="29718" spans="2:2" s="221" customFormat="1" ht="12.75" x14ac:dyDescent="0.2">
      <c r="B29718" s="1168"/>
    </row>
    <row r="29719" spans="2:2" s="221" customFormat="1" ht="12.75" x14ac:dyDescent="0.2">
      <c r="B29719" s="1168"/>
    </row>
    <row r="29720" spans="2:2" s="221" customFormat="1" ht="12.75" x14ac:dyDescent="0.2">
      <c r="B29720" s="1168"/>
    </row>
    <row r="29721" spans="2:2" s="221" customFormat="1" ht="12.75" x14ac:dyDescent="0.2">
      <c r="B29721" s="1168"/>
    </row>
    <row r="29722" spans="2:2" s="221" customFormat="1" ht="12.75" x14ac:dyDescent="0.2">
      <c r="B29722" s="1168"/>
    </row>
    <row r="29723" spans="2:2" s="221" customFormat="1" ht="12.75" x14ac:dyDescent="0.2">
      <c r="B29723" s="1168"/>
    </row>
    <row r="29724" spans="2:2" s="221" customFormat="1" ht="12.75" x14ac:dyDescent="0.2">
      <c r="B29724" s="1168"/>
    </row>
    <row r="29725" spans="2:2" s="221" customFormat="1" ht="12.75" x14ac:dyDescent="0.2">
      <c r="B29725" s="1168"/>
    </row>
    <row r="29726" spans="2:2" s="221" customFormat="1" ht="12.75" x14ac:dyDescent="0.2">
      <c r="B29726" s="1168"/>
    </row>
    <row r="29727" spans="2:2" s="221" customFormat="1" ht="12.75" x14ac:dyDescent="0.2">
      <c r="B29727" s="1168"/>
    </row>
    <row r="29728" spans="2:2" s="221" customFormat="1" ht="12.75" x14ac:dyDescent="0.2">
      <c r="B29728" s="1168"/>
    </row>
    <row r="29729" spans="2:2" s="221" customFormat="1" ht="12.75" x14ac:dyDescent="0.2">
      <c r="B29729" s="1168"/>
    </row>
    <row r="29730" spans="2:2" s="221" customFormat="1" ht="12.75" x14ac:dyDescent="0.2">
      <c r="B29730" s="1168"/>
    </row>
    <row r="29731" spans="2:2" s="221" customFormat="1" ht="12.75" x14ac:dyDescent="0.2">
      <c r="B29731" s="1168"/>
    </row>
    <row r="29732" spans="2:2" s="221" customFormat="1" ht="12.75" x14ac:dyDescent="0.2">
      <c r="B29732" s="1168"/>
    </row>
    <row r="29733" spans="2:2" s="221" customFormat="1" ht="12.75" x14ac:dyDescent="0.2">
      <c r="B29733" s="1168"/>
    </row>
    <row r="29734" spans="2:2" s="221" customFormat="1" ht="12.75" x14ac:dyDescent="0.2">
      <c r="B29734" s="1168"/>
    </row>
    <row r="29735" spans="2:2" s="221" customFormat="1" ht="12.75" x14ac:dyDescent="0.2">
      <c r="B29735" s="1168"/>
    </row>
    <row r="29736" spans="2:2" s="221" customFormat="1" ht="12.75" x14ac:dyDescent="0.2">
      <c r="B29736" s="1168"/>
    </row>
    <row r="29737" spans="2:2" s="221" customFormat="1" ht="12.75" x14ac:dyDescent="0.2">
      <c r="B29737" s="1168"/>
    </row>
    <row r="29738" spans="2:2" s="221" customFormat="1" ht="12.75" x14ac:dyDescent="0.2">
      <c r="B29738" s="1168"/>
    </row>
    <row r="29739" spans="2:2" s="221" customFormat="1" ht="12.75" x14ac:dyDescent="0.2">
      <c r="B29739" s="1168"/>
    </row>
    <row r="29740" spans="2:2" s="221" customFormat="1" ht="12.75" x14ac:dyDescent="0.2">
      <c r="B29740" s="1168"/>
    </row>
    <row r="29741" spans="2:2" s="221" customFormat="1" ht="12.75" x14ac:dyDescent="0.2">
      <c r="B29741" s="1168"/>
    </row>
    <row r="29742" spans="2:2" s="221" customFormat="1" ht="12.75" x14ac:dyDescent="0.2">
      <c r="B29742" s="1168"/>
    </row>
    <row r="29743" spans="2:2" s="221" customFormat="1" ht="12.75" x14ac:dyDescent="0.2">
      <c r="B29743" s="1168"/>
    </row>
    <row r="29744" spans="2:2" s="221" customFormat="1" ht="12.75" x14ac:dyDescent="0.2">
      <c r="B29744" s="1168"/>
    </row>
    <row r="29745" spans="2:2" s="221" customFormat="1" ht="12.75" x14ac:dyDescent="0.2">
      <c r="B29745" s="1168"/>
    </row>
    <row r="29746" spans="2:2" s="221" customFormat="1" ht="12.75" x14ac:dyDescent="0.2">
      <c r="B29746" s="1168"/>
    </row>
    <row r="29747" spans="2:2" s="221" customFormat="1" ht="12.75" x14ac:dyDescent="0.2">
      <c r="B29747" s="1168"/>
    </row>
    <row r="29748" spans="2:2" s="221" customFormat="1" ht="12.75" x14ac:dyDescent="0.2">
      <c r="B29748" s="1168"/>
    </row>
    <row r="29749" spans="2:2" s="221" customFormat="1" ht="12.75" x14ac:dyDescent="0.2">
      <c r="B29749" s="1168"/>
    </row>
    <row r="29750" spans="2:2" s="221" customFormat="1" ht="12.75" x14ac:dyDescent="0.2">
      <c r="B29750" s="1168"/>
    </row>
    <row r="29751" spans="2:2" s="221" customFormat="1" ht="12.75" x14ac:dyDescent="0.2">
      <c r="B29751" s="1168"/>
    </row>
    <row r="29752" spans="2:2" s="221" customFormat="1" ht="12.75" x14ac:dyDescent="0.2">
      <c r="B29752" s="1168"/>
    </row>
    <row r="29753" spans="2:2" s="221" customFormat="1" ht="12.75" x14ac:dyDescent="0.2">
      <c r="B29753" s="1168"/>
    </row>
    <row r="29754" spans="2:2" s="221" customFormat="1" ht="12.75" x14ac:dyDescent="0.2">
      <c r="B29754" s="1168"/>
    </row>
    <row r="29755" spans="2:2" s="221" customFormat="1" ht="12.75" x14ac:dyDescent="0.2">
      <c r="B29755" s="1168"/>
    </row>
    <row r="29756" spans="2:2" s="221" customFormat="1" ht="12.75" x14ac:dyDescent="0.2">
      <c r="B29756" s="1168"/>
    </row>
    <row r="29757" spans="2:2" s="221" customFormat="1" ht="12.75" x14ac:dyDescent="0.2">
      <c r="B29757" s="1168"/>
    </row>
    <row r="29758" spans="2:2" s="221" customFormat="1" ht="12.75" x14ac:dyDescent="0.2">
      <c r="B29758" s="1168"/>
    </row>
    <row r="29759" spans="2:2" s="221" customFormat="1" ht="12.75" x14ac:dyDescent="0.2">
      <c r="B29759" s="1168"/>
    </row>
    <row r="29760" spans="2:2" s="221" customFormat="1" ht="12.75" x14ac:dyDescent="0.2">
      <c r="B29760" s="1168"/>
    </row>
    <row r="29761" spans="2:2" s="221" customFormat="1" ht="12.75" x14ac:dyDescent="0.2">
      <c r="B29761" s="1168"/>
    </row>
    <row r="29762" spans="2:2" s="221" customFormat="1" ht="12.75" x14ac:dyDescent="0.2">
      <c r="B29762" s="1168"/>
    </row>
    <row r="29763" spans="2:2" s="221" customFormat="1" ht="12.75" x14ac:dyDescent="0.2">
      <c r="B29763" s="1168"/>
    </row>
    <row r="29764" spans="2:2" s="221" customFormat="1" ht="12.75" x14ac:dyDescent="0.2">
      <c r="B29764" s="1168"/>
    </row>
    <row r="29765" spans="2:2" s="221" customFormat="1" ht="12.75" x14ac:dyDescent="0.2">
      <c r="B29765" s="1168"/>
    </row>
    <row r="29766" spans="2:2" s="221" customFormat="1" ht="12.75" x14ac:dyDescent="0.2">
      <c r="B29766" s="1168"/>
    </row>
    <row r="29767" spans="2:2" s="221" customFormat="1" ht="12.75" x14ac:dyDescent="0.2">
      <c r="B29767" s="1168"/>
    </row>
    <row r="29768" spans="2:2" s="221" customFormat="1" ht="12.75" x14ac:dyDescent="0.2">
      <c r="B29768" s="1168"/>
    </row>
    <row r="29769" spans="2:2" s="221" customFormat="1" ht="12.75" x14ac:dyDescent="0.2">
      <c r="B29769" s="1168"/>
    </row>
    <row r="29770" spans="2:2" s="221" customFormat="1" ht="12.75" x14ac:dyDescent="0.2">
      <c r="B29770" s="1168"/>
    </row>
    <row r="29771" spans="2:2" s="221" customFormat="1" ht="12.75" x14ac:dyDescent="0.2">
      <c r="B29771" s="1168"/>
    </row>
    <row r="29772" spans="2:2" s="221" customFormat="1" ht="12.75" x14ac:dyDescent="0.2">
      <c r="B29772" s="1168"/>
    </row>
    <row r="29773" spans="2:2" s="221" customFormat="1" ht="12.75" x14ac:dyDescent="0.2">
      <c r="B29773" s="1168"/>
    </row>
    <row r="29774" spans="2:2" s="221" customFormat="1" ht="12.75" x14ac:dyDescent="0.2">
      <c r="B29774" s="1168"/>
    </row>
    <row r="29775" spans="2:2" s="221" customFormat="1" ht="12.75" x14ac:dyDescent="0.2">
      <c r="B29775" s="1168"/>
    </row>
    <row r="29776" spans="2:2" s="221" customFormat="1" ht="12.75" x14ac:dyDescent="0.2">
      <c r="B29776" s="1168"/>
    </row>
    <row r="29777" spans="2:2" s="221" customFormat="1" ht="12.75" x14ac:dyDescent="0.2">
      <c r="B29777" s="1168"/>
    </row>
    <row r="29778" spans="2:2" s="221" customFormat="1" ht="12.75" x14ac:dyDescent="0.2">
      <c r="B29778" s="1168"/>
    </row>
    <row r="29779" spans="2:2" s="221" customFormat="1" ht="12.75" x14ac:dyDescent="0.2">
      <c r="B29779" s="1168"/>
    </row>
    <row r="29780" spans="2:2" s="221" customFormat="1" ht="12.75" x14ac:dyDescent="0.2">
      <c r="B29780" s="1168"/>
    </row>
    <row r="29781" spans="2:2" s="221" customFormat="1" ht="12.75" x14ac:dyDescent="0.2">
      <c r="B29781" s="1168"/>
    </row>
    <row r="29782" spans="2:2" s="221" customFormat="1" ht="12.75" x14ac:dyDescent="0.2">
      <c r="B29782" s="1168"/>
    </row>
    <row r="29783" spans="2:2" s="221" customFormat="1" ht="12.75" x14ac:dyDescent="0.2">
      <c r="B29783" s="1168"/>
    </row>
    <row r="29784" spans="2:2" s="221" customFormat="1" ht="12.75" x14ac:dyDescent="0.2">
      <c r="B29784" s="1168"/>
    </row>
    <row r="29785" spans="2:2" s="221" customFormat="1" ht="12.75" x14ac:dyDescent="0.2">
      <c r="B29785" s="1168"/>
    </row>
    <row r="29786" spans="2:2" s="221" customFormat="1" ht="12.75" x14ac:dyDescent="0.2">
      <c r="B29786" s="1168"/>
    </row>
    <row r="29787" spans="2:2" s="221" customFormat="1" ht="12.75" x14ac:dyDescent="0.2">
      <c r="B29787" s="1168"/>
    </row>
    <row r="29788" spans="2:2" s="221" customFormat="1" ht="12.75" x14ac:dyDescent="0.2">
      <c r="B29788" s="1168"/>
    </row>
    <row r="29789" spans="2:2" s="221" customFormat="1" ht="12.75" x14ac:dyDescent="0.2">
      <c r="B29789" s="1168"/>
    </row>
    <row r="29790" spans="2:2" s="221" customFormat="1" ht="12.75" x14ac:dyDescent="0.2">
      <c r="B29790" s="1168"/>
    </row>
    <row r="29791" spans="2:2" s="221" customFormat="1" ht="12.75" x14ac:dyDescent="0.2">
      <c r="B29791" s="1168"/>
    </row>
    <row r="29792" spans="2:2" s="221" customFormat="1" ht="12.75" x14ac:dyDescent="0.2">
      <c r="B29792" s="1168"/>
    </row>
    <row r="29793" spans="2:2" s="221" customFormat="1" ht="12.75" x14ac:dyDescent="0.2">
      <c r="B29793" s="1168"/>
    </row>
    <row r="29794" spans="2:2" s="221" customFormat="1" ht="12.75" x14ac:dyDescent="0.2">
      <c r="B29794" s="1168"/>
    </row>
    <row r="29795" spans="2:2" s="221" customFormat="1" ht="12.75" x14ac:dyDescent="0.2">
      <c r="B29795" s="1168"/>
    </row>
    <row r="29796" spans="2:2" s="221" customFormat="1" ht="12.75" x14ac:dyDescent="0.2">
      <c r="B29796" s="1168"/>
    </row>
    <row r="29797" spans="2:2" s="221" customFormat="1" ht="12.75" x14ac:dyDescent="0.2">
      <c r="B29797" s="1168"/>
    </row>
    <row r="29798" spans="2:2" s="221" customFormat="1" ht="12.75" x14ac:dyDescent="0.2">
      <c r="B29798" s="1168"/>
    </row>
    <row r="29799" spans="2:2" s="221" customFormat="1" ht="12.75" x14ac:dyDescent="0.2">
      <c r="B29799" s="1168"/>
    </row>
    <row r="29800" spans="2:2" s="221" customFormat="1" ht="12.75" x14ac:dyDescent="0.2">
      <c r="B29800" s="1168"/>
    </row>
    <row r="29801" spans="2:2" s="221" customFormat="1" ht="12.75" x14ac:dyDescent="0.2">
      <c r="B29801" s="1168"/>
    </row>
    <row r="29802" spans="2:2" s="221" customFormat="1" ht="12.75" x14ac:dyDescent="0.2">
      <c r="B29802" s="1168"/>
    </row>
    <row r="29803" spans="2:2" s="221" customFormat="1" ht="12.75" x14ac:dyDescent="0.2">
      <c r="B29803" s="1168"/>
    </row>
    <row r="29804" spans="2:2" s="221" customFormat="1" ht="12.75" x14ac:dyDescent="0.2">
      <c r="B29804" s="1168"/>
    </row>
    <row r="29805" spans="2:2" s="221" customFormat="1" ht="12.75" x14ac:dyDescent="0.2">
      <c r="B29805" s="1168"/>
    </row>
    <row r="29806" spans="2:2" s="221" customFormat="1" ht="12.75" x14ac:dyDescent="0.2">
      <c r="B29806" s="1168"/>
    </row>
    <row r="29807" spans="2:2" s="221" customFormat="1" ht="12.75" x14ac:dyDescent="0.2">
      <c r="B29807" s="1168"/>
    </row>
    <row r="29808" spans="2:2" s="221" customFormat="1" ht="12.75" x14ac:dyDescent="0.2">
      <c r="B29808" s="1168"/>
    </row>
    <row r="29809" spans="2:2" s="221" customFormat="1" ht="12.75" x14ac:dyDescent="0.2">
      <c r="B29809" s="1168"/>
    </row>
    <row r="29810" spans="2:2" s="221" customFormat="1" ht="12.75" x14ac:dyDescent="0.2">
      <c r="B29810" s="1168"/>
    </row>
    <row r="29811" spans="2:2" s="221" customFormat="1" ht="12.75" x14ac:dyDescent="0.2">
      <c r="B29811" s="1168"/>
    </row>
    <row r="29812" spans="2:2" s="221" customFormat="1" ht="12.75" x14ac:dyDescent="0.2">
      <c r="B29812" s="1168"/>
    </row>
    <row r="29813" spans="2:2" s="221" customFormat="1" ht="12.75" x14ac:dyDescent="0.2">
      <c r="B29813" s="1168"/>
    </row>
    <row r="29814" spans="2:2" s="221" customFormat="1" ht="12.75" x14ac:dyDescent="0.2">
      <c r="B29814" s="1168"/>
    </row>
    <row r="29815" spans="2:2" s="221" customFormat="1" ht="12.75" x14ac:dyDescent="0.2">
      <c r="B29815" s="1168"/>
    </row>
    <row r="29816" spans="2:2" s="221" customFormat="1" ht="12.75" x14ac:dyDescent="0.2">
      <c r="B29816" s="1168"/>
    </row>
    <row r="29817" spans="2:2" s="221" customFormat="1" ht="12.75" x14ac:dyDescent="0.2">
      <c r="B29817" s="1168"/>
    </row>
    <row r="29818" spans="2:2" s="221" customFormat="1" ht="12.75" x14ac:dyDescent="0.2">
      <c r="B29818" s="1168"/>
    </row>
    <row r="29819" spans="2:2" s="221" customFormat="1" ht="12.75" x14ac:dyDescent="0.2">
      <c r="B29819" s="1168"/>
    </row>
    <row r="29820" spans="2:2" s="221" customFormat="1" ht="12.75" x14ac:dyDescent="0.2">
      <c r="B29820" s="1168"/>
    </row>
    <row r="29821" spans="2:2" s="221" customFormat="1" ht="12.75" x14ac:dyDescent="0.2">
      <c r="B29821" s="1168"/>
    </row>
    <row r="29822" spans="2:2" s="221" customFormat="1" ht="12.75" x14ac:dyDescent="0.2">
      <c r="B29822" s="1168"/>
    </row>
    <row r="29823" spans="2:2" s="221" customFormat="1" ht="12.75" x14ac:dyDescent="0.2">
      <c r="B29823" s="1168"/>
    </row>
    <row r="29824" spans="2:2" s="221" customFormat="1" ht="12.75" x14ac:dyDescent="0.2">
      <c r="B29824" s="1168"/>
    </row>
    <row r="29825" spans="2:2" s="221" customFormat="1" ht="12.75" x14ac:dyDescent="0.2">
      <c r="B29825" s="1168"/>
    </row>
    <row r="29826" spans="2:2" s="221" customFormat="1" ht="12.75" x14ac:dyDescent="0.2">
      <c r="B29826" s="1168"/>
    </row>
    <row r="29827" spans="2:2" s="221" customFormat="1" ht="12.75" x14ac:dyDescent="0.2">
      <c r="B29827" s="1168"/>
    </row>
    <row r="29828" spans="2:2" s="221" customFormat="1" ht="12.75" x14ac:dyDescent="0.2">
      <c r="B29828" s="1168"/>
    </row>
    <row r="29829" spans="2:2" s="221" customFormat="1" ht="12.75" x14ac:dyDescent="0.2">
      <c r="B29829" s="1168"/>
    </row>
    <row r="29830" spans="2:2" s="221" customFormat="1" ht="12.75" x14ac:dyDescent="0.2">
      <c r="B29830" s="1168"/>
    </row>
    <row r="29831" spans="2:2" s="221" customFormat="1" ht="12.75" x14ac:dyDescent="0.2">
      <c r="B29831" s="1168"/>
    </row>
    <row r="29832" spans="2:2" s="221" customFormat="1" ht="12.75" x14ac:dyDescent="0.2">
      <c r="B29832" s="1168"/>
    </row>
    <row r="29833" spans="2:2" s="221" customFormat="1" ht="12.75" x14ac:dyDescent="0.2">
      <c r="B29833" s="1168"/>
    </row>
    <row r="29834" spans="2:2" s="221" customFormat="1" ht="12.75" x14ac:dyDescent="0.2">
      <c r="B29834" s="1168"/>
    </row>
    <row r="29835" spans="2:2" s="221" customFormat="1" ht="12.75" x14ac:dyDescent="0.2">
      <c r="B29835" s="1168"/>
    </row>
    <row r="29836" spans="2:2" s="221" customFormat="1" ht="12.75" x14ac:dyDescent="0.2">
      <c r="B29836" s="1168"/>
    </row>
    <row r="29837" spans="2:2" s="221" customFormat="1" ht="12.75" x14ac:dyDescent="0.2">
      <c r="B29837" s="1168"/>
    </row>
    <row r="29838" spans="2:2" s="221" customFormat="1" ht="12.75" x14ac:dyDescent="0.2">
      <c r="B29838" s="1168"/>
    </row>
    <row r="29839" spans="2:2" s="221" customFormat="1" ht="12.75" x14ac:dyDescent="0.2">
      <c r="B29839" s="1168"/>
    </row>
    <row r="29840" spans="2:2" s="221" customFormat="1" ht="12.75" x14ac:dyDescent="0.2">
      <c r="B29840" s="1168"/>
    </row>
    <row r="29841" spans="2:2" s="221" customFormat="1" ht="12.75" x14ac:dyDescent="0.2">
      <c r="B29841" s="1168"/>
    </row>
    <row r="29842" spans="2:2" s="221" customFormat="1" ht="12.75" x14ac:dyDescent="0.2">
      <c r="B29842" s="1168"/>
    </row>
    <row r="29843" spans="2:2" s="221" customFormat="1" ht="12.75" x14ac:dyDescent="0.2">
      <c r="B29843" s="1168"/>
    </row>
    <row r="29844" spans="2:2" s="221" customFormat="1" ht="12.75" x14ac:dyDescent="0.2">
      <c r="B29844" s="1168"/>
    </row>
    <row r="29845" spans="2:2" s="221" customFormat="1" ht="12.75" x14ac:dyDescent="0.2">
      <c r="B29845" s="1168"/>
    </row>
    <row r="29846" spans="2:2" s="221" customFormat="1" ht="12.75" x14ac:dyDescent="0.2">
      <c r="B29846" s="1168"/>
    </row>
    <row r="29847" spans="2:2" s="221" customFormat="1" ht="12.75" x14ac:dyDescent="0.2">
      <c r="B29847" s="1168"/>
    </row>
    <row r="29848" spans="2:2" s="221" customFormat="1" ht="12.75" x14ac:dyDescent="0.2">
      <c r="B29848" s="1168"/>
    </row>
    <row r="29849" spans="2:2" s="221" customFormat="1" ht="12.75" x14ac:dyDescent="0.2">
      <c r="B29849" s="1168"/>
    </row>
    <row r="29850" spans="2:2" s="221" customFormat="1" ht="12.75" x14ac:dyDescent="0.2">
      <c r="B29850" s="1168"/>
    </row>
    <row r="29851" spans="2:2" s="221" customFormat="1" ht="12.75" x14ac:dyDescent="0.2">
      <c r="B29851" s="1168"/>
    </row>
    <row r="29852" spans="2:2" s="221" customFormat="1" ht="12.75" x14ac:dyDescent="0.2">
      <c r="B29852" s="1168"/>
    </row>
    <row r="29853" spans="2:2" s="221" customFormat="1" ht="12.75" x14ac:dyDescent="0.2">
      <c r="B29853" s="1168"/>
    </row>
    <row r="29854" spans="2:2" s="221" customFormat="1" ht="12.75" x14ac:dyDescent="0.2">
      <c r="B29854" s="1168"/>
    </row>
    <row r="29855" spans="2:2" s="221" customFormat="1" ht="12.75" x14ac:dyDescent="0.2">
      <c r="B29855" s="1168"/>
    </row>
    <row r="29856" spans="2:2" s="221" customFormat="1" ht="12.75" x14ac:dyDescent="0.2">
      <c r="B29856" s="1168"/>
    </row>
    <row r="29857" spans="2:2" s="221" customFormat="1" ht="12.75" x14ac:dyDescent="0.2">
      <c r="B29857" s="1168"/>
    </row>
    <row r="29858" spans="2:2" s="221" customFormat="1" ht="12.75" x14ac:dyDescent="0.2">
      <c r="B29858" s="1168"/>
    </row>
    <row r="29859" spans="2:2" s="221" customFormat="1" ht="12.75" x14ac:dyDescent="0.2">
      <c r="B29859" s="1168"/>
    </row>
    <row r="29860" spans="2:2" s="221" customFormat="1" ht="12.75" x14ac:dyDescent="0.2">
      <c r="B29860" s="1168"/>
    </row>
    <row r="29861" spans="2:2" s="221" customFormat="1" ht="12.75" x14ac:dyDescent="0.2">
      <c r="B29861" s="1168"/>
    </row>
    <row r="29862" spans="2:2" s="221" customFormat="1" ht="12.75" x14ac:dyDescent="0.2">
      <c r="B29862" s="1168"/>
    </row>
    <row r="29863" spans="2:2" s="221" customFormat="1" ht="12.75" x14ac:dyDescent="0.2">
      <c r="B29863" s="1168"/>
    </row>
    <row r="29864" spans="2:2" s="221" customFormat="1" ht="12.75" x14ac:dyDescent="0.2">
      <c r="B29864" s="1168"/>
    </row>
    <row r="29865" spans="2:2" s="221" customFormat="1" ht="12.75" x14ac:dyDescent="0.2">
      <c r="B29865" s="1168"/>
    </row>
    <row r="29866" spans="2:2" s="221" customFormat="1" ht="12.75" x14ac:dyDescent="0.2">
      <c r="B29866" s="1168"/>
    </row>
    <row r="29867" spans="2:2" s="221" customFormat="1" ht="12.75" x14ac:dyDescent="0.2">
      <c r="B29867" s="1168"/>
    </row>
    <row r="29868" spans="2:2" s="221" customFormat="1" ht="12.75" x14ac:dyDescent="0.2">
      <c r="B29868" s="1168"/>
    </row>
    <row r="29869" spans="2:2" s="221" customFormat="1" ht="12.75" x14ac:dyDescent="0.2">
      <c r="B29869" s="1168"/>
    </row>
    <row r="29870" spans="2:2" s="221" customFormat="1" ht="12.75" x14ac:dyDescent="0.2">
      <c r="B29870" s="1168"/>
    </row>
    <row r="29871" spans="2:2" s="221" customFormat="1" ht="12.75" x14ac:dyDescent="0.2">
      <c r="B29871" s="1168"/>
    </row>
    <row r="29872" spans="2:2" s="221" customFormat="1" ht="12.75" x14ac:dyDescent="0.2">
      <c r="B29872" s="1168"/>
    </row>
    <row r="29873" spans="2:2" s="221" customFormat="1" ht="12.75" x14ac:dyDescent="0.2">
      <c r="B29873" s="1168"/>
    </row>
    <row r="29874" spans="2:2" s="221" customFormat="1" ht="12.75" x14ac:dyDescent="0.2">
      <c r="B29874" s="1168"/>
    </row>
    <row r="29875" spans="2:2" s="221" customFormat="1" ht="12.75" x14ac:dyDescent="0.2">
      <c r="B29875" s="1168"/>
    </row>
    <row r="29876" spans="2:2" s="221" customFormat="1" ht="12.75" x14ac:dyDescent="0.2">
      <c r="B29876" s="1168"/>
    </row>
    <row r="29877" spans="2:2" s="221" customFormat="1" ht="12.75" x14ac:dyDescent="0.2">
      <c r="B29877" s="1168"/>
    </row>
    <row r="29878" spans="2:2" s="221" customFormat="1" ht="12.75" x14ac:dyDescent="0.2">
      <c r="B29878" s="1168"/>
    </row>
    <row r="29879" spans="2:2" s="221" customFormat="1" ht="12.75" x14ac:dyDescent="0.2">
      <c r="B29879" s="1168"/>
    </row>
    <row r="29880" spans="2:2" s="221" customFormat="1" ht="12.75" x14ac:dyDescent="0.2">
      <c r="B29880" s="1168"/>
    </row>
    <row r="29881" spans="2:2" s="221" customFormat="1" ht="12.75" x14ac:dyDescent="0.2">
      <c r="B29881" s="1168"/>
    </row>
    <row r="29882" spans="2:2" s="221" customFormat="1" ht="12.75" x14ac:dyDescent="0.2">
      <c r="B29882" s="1168"/>
    </row>
    <row r="29883" spans="2:2" s="221" customFormat="1" ht="12.75" x14ac:dyDescent="0.2">
      <c r="B29883" s="1168"/>
    </row>
    <row r="29884" spans="2:2" s="221" customFormat="1" ht="12.75" x14ac:dyDescent="0.2">
      <c r="B29884" s="1168"/>
    </row>
    <row r="29885" spans="2:2" s="221" customFormat="1" ht="12.75" x14ac:dyDescent="0.2">
      <c r="B29885" s="1168"/>
    </row>
    <row r="29886" spans="2:2" s="221" customFormat="1" ht="12.75" x14ac:dyDescent="0.2">
      <c r="B29886" s="1168"/>
    </row>
    <row r="29887" spans="2:2" s="221" customFormat="1" ht="12.75" x14ac:dyDescent="0.2">
      <c r="B29887" s="1168"/>
    </row>
    <row r="29888" spans="2:2" s="221" customFormat="1" ht="12.75" x14ac:dyDescent="0.2">
      <c r="B29888" s="1168"/>
    </row>
    <row r="29889" spans="2:2" s="221" customFormat="1" ht="12.75" x14ac:dyDescent="0.2">
      <c r="B29889" s="1168"/>
    </row>
    <row r="29890" spans="2:2" s="221" customFormat="1" ht="12.75" x14ac:dyDescent="0.2">
      <c r="B29890" s="1168"/>
    </row>
    <row r="29891" spans="2:2" s="221" customFormat="1" ht="12.75" x14ac:dyDescent="0.2">
      <c r="B29891" s="1168"/>
    </row>
    <row r="29892" spans="2:2" s="221" customFormat="1" ht="12.75" x14ac:dyDescent="0.2">
      <c r="B29892" s="1168"/>
    </row>
    <row r="29893" spans="2:2" s="221" customFormat="1" ht="12.75" x14ac:dyDescent="0.2">
      <c r="B29893" s="1168"/>
    </row>
    <row r="29894" spans="2:2" s="221" customFormat="1" ht="12.75" x14ac:dyDescent="0.2">
      <c r="B29894" s="1168"/>
    </row>
    <row r="29895" spans="2:2" s="221" customFormat="1" ht="12.75" x14ac:dyDescent="0.2">
      <c r="B29895" s="1168"/>
    </row>
    <row r="29896" spans="2:2" s="221" customFormat="1" ht="12.75" x14ac:dyDescent="0.2">
      <c r="B29896" s="1168"/>
    </row>
    <row r="29897" spans="2:2" s="221" customFormat="1" ht="12.75" x14ac:dyDescent="0.2">
      <c r="B29897" s="1168"/>
    </row>
    <row r="29898" spans="2:2" s="221" customFormat="1" ht="12.75" x14ac:dyDescent="0.2">
      <c r="B29898" s="1168"/>
    </row>
    <row r="29899" spans="2:2" s="221" customFormat="1" ht="12.75" x14ac:dyDescent="0.2">
      <c r="B29899" s="1168"/>
    </row>
    <row r="29900" spans="2:2" s="221" customFormat="1" ht="12.75" x14ac:dyDescent="0.2">
      <c r="B29900" s="1168"/>
    </row>
    <row r="29901" spans="2:2" s="221" customFormat="1" ht="12.75" x14ac:dyDescent="0.2">
      <c r="B29901" s="1168"/>
    </row>
    <row r="29902" spans="2:2" s="221" customFormat="1" ht="12.75" x14ac:dyDescent="0.2">
      <c r="B29902" s="1168"/>
    </row>
    <row r="29903" spans="2:2" s="221" customFormat="1" ht="12.75" x14ac:dyDescent="0.2">
      <c r="B29903" s="1168"/>
    </row>
    <row r="29904" spans="2:2" s="221" customFormat="1" ht="12.75" x14ac:dyDescent="0.2">
      <c r="B29904" s="1168"/>
    </row>
    <row r="29905" spans="2:2" s="221" customFormat="1" ht="12.75" x14ac:dyDescent="0.2">
      <c r="B29905" s="1168"/>
    </row>
    <row r="29906" spans="2:2" s="221" customFormat="1" ht="12.75" x14ac:dyDescent="0.2">
      <c r="B29906" s="1168"/>
    </row>
    <row r="29907" spans="2:2" s="221" customFormat="1" ht="12.75" x14ac:dyDescent="0.2">
      <c r="B29907" s="1168"/>
    </row>
    <row r="29908" spans="2:2" s="221" customFormat="1" ht="12.75" x14ac:dyDescent="0.2">
      <c r="B29908" s="1168"/>
    </row>
    <row r="29909" spans="2:2" s="221" customFormat="1" ht="12.75" x14ac:dyDescent="0.2">
      <c r="B29909" s="1168"/>
    </row>
    <row r="29910" spans="2:2" s="221" customFormat="1" ht="12.75" x14ac:dyDescent="0.2">
      <c r="B29910" s="1168"/>
    </row>
    <row r="29911" spans="2:2" s="221" customFormat="1" ht="12.75" x14ac:dyDescent="0.2">
      <c r="B29911" s="1168"/>
    </row>
    <row r="29912" spans="2:2" s="221" customFormat="1" ht="12.75" x14ac:dyDescent="0.2">
      <c r="B29912" s="1168"/>
    </row>
    <row r="29913" spans="2:2" s="221" customFormat="1" ht="12.75" x14ac:dyDescent="0.2">
      <c r="B29913" s="1168"/>
    </row>
    <row r="29914" spans="2:2" s="221" customFormat="1" ht="12.75" x14ac:dyDescent="0.2">
      <c r="B29914" s="1168"/>
    </row>
    <row r="29915" spans="2:2" s="221" customFormat="1" ht="12.75" x14ac:dyDescent="0.2">
      <c r="B29915" s="1168"/>
    </row>
    <row r="29916" spans="2:2" s="221" customFormat="1" ht="12.75" x14ac:dyDescent="0.2">
      <c r="B29916" s="1168"/>
    </row>
    <row r="29917" spans="2:2" s="221" customFormat="1" ht="12.75" x14ac:dyDescent="0.2">
      <c r="B29917" s="1168"/>
    </row>
    <row r="29918" spans="2:2" s="221" customFormat="1" ht="12.75" x14ac:dyDescent="0.2">
      <c r="B29918" s="1168"/>
    </row>
    <row r="29919" spans="2:2" s="221" customFormat="1" ht="12.75" x14ac:dyDescent="0.2">
      <c r="B29919" s="1168"/>
    </row>
    <row r="29920" spans="2:2" s="221" customFormat="1" ht="12.75" x14ac:dyDescent="0.2">
      <c r="B29920" s="1168"/>
    </row>
    <row r="29921" spans="2:2" s="221" customFormat="1" ht="12.75" x14ac:dyDescent="0.2">
      <c r="B29921" s="1168"/>
    </row>
    <row r="29922" spans="2:2" s="221" customFormat="1" ht="12.75" x14ac:dyDescent="0.2">
      <c r="B29922" s="1168"/>
    </row>
    <row r="29923" spans="2:2" s="221" customFormat="1" ht="12.75" x14ac:dyDescent="0.2">
      <c r="B29923" s="1168"/>
    </row>
    <row r="29924" spans="2:2" s="221" customFormat="1" ht="12.75" x14ac:dyDescent="0.2">
      <c r="B29924" s="1168"/>
    </row>
    <row r="29925" spans="2:2" s="221" customFormat="1" ht="12.75" x14ac:dyDescent="0.2">
      <c r="B29925" s="1168"/>
    </row>
    <row r="29926" spans="2:2" s="221" customFormat="1" ht="12.75" x14ac:dyDescent="0.2">
      <c r="B29926" s="1168"/>
    </row>
    <row r="29927" spans="2:2" s="221" customFormat="1" ht="12.75" x14ac:dyDescent="0.2">
      <c r="B29927" s="1168"/>
    </row>
    <row r="29928" spans="2:2" s="221" customFormat="1" ht="12.75" x14ac:dyDescent="0.2">
      <c r="B29928" s="1168"/>
    </row>
    <row r="29929" spans="2:2" s="221" customFormat="1" ht="12.75" x14ac:dyDescent="0.2">
      <c r="B29929" s="1168"/>
    </row>
    <row r="29930" spans="2:2" s="221" customFormat="1" ht="12.75" x14ac:dyDescent="0.2">
      <c r="B29930" s="1168"/>
    </row>
    <row r="29931" spans="2:2" s="221" customFormat="1" ht="12.75" x14ac:dyDescent="0.2">
      <c r="B29931" s="1168"/>
    </row>
    <row r="29932" spans="2:2" s="221" customFormat="1" ht="12.75" x14ac:dyDescent="0.2">
      <c r="B29932" s="1168"/>
    </row>
    <row r="29933" spans="2:2" s="221" customFormat="1" ht="12.75" x14ac:dyDescent="0.2">
      <c r="B29933" s="1168"/>
    </row>
    <row r="29934" spans="2:2" s="221" customFormat="1" ht="12.75" x14ac:dyDescent="0.2">
      <c r="B29934" s="1168"/>
    </row>
    <row r="29935" spans="2:2" s="221" customFormat="1" ht="12.75" x14ac:dyDescent="0.2">
      <c r="B29935" s="1168"/>
    </row>
    <row r="29936" spans="2:2" s="221" customFormat="1" ht="12.75" x14ac:dyDescent="0.2">
      <c r="B29936" s="1168"/>
    </row>
    <row r="29937" spans="2:2" s="221" customFormat="1" ht="12.75" x14ac:dyDescent="0.2">
      <c r="B29937" s="1168"/>
    </row>
    <row r="29938" spans="2:2" s="221" customFormat="1" ht="12.75" x14ac:dyDescent="0.2">
      <c r="B29938" s="1168"/>
    </row>
    <row r="29939" spans="2:2" s="221" customFormat="1" ht="12.75" x14ac:dyDescent="0.2">
      <c r="B29939" s="1168"/>
    </row>
    <row r="29940" spans="2:2" s="221" customFormat="1" ht="12.75" x14ac:dyDescent="0.2">
      <c r="B29940" s="1168"/>
    </row>
    <row r="29941" spans="2:2" s="221" customFormat="1" ht="12.75" x14ac:dyDescent="0.2">
      <c r="B29941" s="1168"/>
    </row>
    <row r="29942" spans="2:2" s="221" customFormat="1" ht="12.75" x14ac:dyDescent="0.2">
      <c r="B29942" s="1168"/>
    </row>
    <row r="29943" spans="2:2" s="221" customFormat="1" ht="12.75" x14ac:dyDescent="0.2">
      <c r="B29943" s="1168"/>
    </row>
    <row r="29944" spans="2:2" s="221" customFormat="1" ht="12.75" x14ac:dyDescent="0.2">
      <c r="B29944" s="1168"/>
    </row>
    <row r="29945" spans="2:2" s="221" customFormat="1" ht="12.75" x14ac:dyDescent="0.2">
      <c r="B29945" s="1168"/>
    </row>
    <row r="29946" spans="2:2" s="221" customFormat="1" ht="12.75" x14ac:dyDescent="0.2">
      <c r="B29946" s="1168"/>
    </row>
    <row r="29947" spans="2:2" s="221" customFormat="1" ht="12.75" x14ac:dyDescent="0.2">
      <c r="B29947" s="1168"/>
    </row>
    <row r="29948" spans="2:2" s="221" customFormat="1" ht="12.75" x14ac:dyDescent="0.2">
      <c r="B29948" s="1168"/>
    </row>
    <row r="29949" spans="2:2" s="221" customFormat="1" ht="12.75" x14ac:dyDescent="0.2">
      <c r="B29949" s="1168"/>
    </row>
    <row r="29950" spans="2:2" s="221" customFormat="1" ht="12.75" x14ac:dyDescent="0.2">
      <c r="B29950" s="1168"/>
    </row>
    <row r="29951" spans="2:2" s="221" customFormat="1" ht="12.75" x14ac:dyDescent="0.2">
      <c r="B29951" s="1168"/>
    </row>
    <row r="29952" spans="2:2" s="221" customFormat="1" ht="12.75" x14ac:dyDescent="0.2">
      <c r="B29952" s="1168"/>
    </row>
    <row r="29953" spans="2:2" s="221" customFormat="1" ht="12.75" x14ac:dyDescent="0.2">
      <c r="B29953" s="1168"/>
    </row>
    <row r="29954" spans="2:2" s="221" customFormat="1" ht="12.75" x14ac:dyDescent="0.2">
      <c r="B29954" s="1168"/>
    </row>
    <row r="29955" spans="2:2" s="221" customFormat="1" ht="12.75" x14ac:dyDescent="0.2">
      <c r="B29955" s="1168"/>
    </row>
    <row r="29956" spans="2:2" s="221" customFormat="1" ht="12.75" x14ac:dyDescent="0.2">
      <c r="B29956" s="1168"/>
    </row>
    <row r="29957" spans="2:2" s="221" customFormat="1" ht="12.75" x14ac:dyDescent="0.2">
      <c r="B29957" s="1168"/>
    </row>
    <row r="29958" spans="2:2" s="221" customFormat="1" ht="12.75" x14ac:dyDescent="0.2">
      <c r="B29958" s="1168"/>
    </row>
    <row r="29959" spans="2:2" s="221" customFormat="1" ht="12.75" x14ac:dyDescent="0.2">
      <c r="B29959" s="1168"/>
    </row>
    <row r="29960" spans="2:2" s="221" customFormat="1" ht="12.75" x14ac:dyDescent="0.2">
      <c r="B29960" s="1168"/>
    </row>
    <row r="29961" spans="2:2" s="221" customFormat="1" ht="12.75" x14ac:dyDescent="0.2">
      <c r="B29961" s="1168"/>
    </row>
    <row r="29962" spans="2:2" s="221" customFormat="1" ht="12.75" x14ac:dyDescent="0.2">
      <c r="B29962" s="1168"/>
    </row>
    <row r="29963" spans="2:2" s="221" customFormat="1" ht="12.75" x14ac:dyDescent="0.2">
      <c r="B29963" s="1168"/>
    </row>
    <row r="29964" spans="2:2" s="221" customFormat="1" ht="12.75" x14ac:dyDescent="0.2">
      <c r="B29964" s="1168"/>
    </row>
    <row r="29965" spans="2:2" s="221" customFormat="1" ht="12.75" x14ac:dyDescent="0.2">
      <c r="B29965" s="1168"/>
    </row>
    <row r="29966" spans="2:2" s="221" customFormat="1" ht="12.75" x14ac:dyDescent="0.2">
      <c r="B29966" s="1168"/>
    </row>
    <row r="29967" spans="2:2" s="221" customFormat="1" ht="12.75" x14ac:dyDescent="0.2">
      <c r="B29967" s="1168"/>
    </row>
    <row r="29968" spans="2:2" s="221" customFormat="1" ht="12.75" x14ac:dyDescent="0.2">
      <c r="B29968" s="1168"/>
    </row>
    <row r="29969" spans="2:2" s="221" customFormat="1" ht="12.75" x14ac:dyDescent="0.2">
      <c r="B29969" s="1168"/>
    </row>
    <row r="29970" spans="2:2" s="221" customFormat="1" ht="12.75" x14ac:dyDescent="0.2">
      <c r="B29970" s="1168"/>
    </row>
    <row r="29971" spans="2:2" s="221" customFormat="1" ht="12.75" x14ac:dyDescent="0.2">
      <c r="B29971" s="1168"/>
    </row>
    <row r="29972" spans="2:2" s="221" customFormat="1" ht="12.75" x14ac:dyDescent="0.2">
      <c r="B29972" s="1168"/>
    </row>
    <row r="29973" spans="2:2" s="221" customFormat="1" ht="12.75" x14ac:dyDescent="0.2">
      <c r="B29973" s="1168"/>
    </row>
    <row r="29974" spans="2:2" s="221" customFormat="1" ht="12.75" x14ac:dyDescent="0.2">
      <c r="B29974" s="1168"/>
    </row>
    <row r="29975" spans="2:2" s="221" customFormat="1" ht="12.75" x14ac:dyDescent="0.2">
      <c r="B29975" s="1168"/>
    </row>
    <row r="29976" spans="2:2" s="221" customFormat="1" ht="12.75" x14ac:dyDescent="0.2">
      <c r="B29976" s="1168"/>
    </row>
    <row r="29977" spans="2:2" s="221" customFormat="1" ht="12.75" x14ac:dyDescent="0.2">
      <c r="B29977" s="1168"/>
    </row>
    <row r="29978" spans="2:2" s="221" customFormat="1" ht="12.75" x14ac:dyDescent="0.2">
      <c r="B29978" s="1168"/>
    </row>
    <row r="29979" spans="2:2" s="221" customFormat="1" ht="12.75" x14ac:dyDescent="0.2">
      <c r="B29979" s="1168"/>
    </row>
    <row r="29980" spans="2:2" s="221" customFormat="1" ht="12.75" x14ac:dyDescent="0.2">
      <c r="B29980" s="1168"/>
    </row>
    <row r="29981" spans="2:2" s="221" customFormat="1" ht="12.75" x14ac:dyDescent="0.2">
      <c r="B29981" s="1168"/>
    </row>
    <row r="29982" spans="2:2" s="221" customFormat="1" ht="12.75" x14ac:dyDescent="0.2">
      <c r="B29982" s="1168"/>
    </row>
    <row r="29983" spans="2:2" s="221" customFormat="1" ht="12.75" x14ac:dyDescent="0.2">
      <c r="B29983" s="1168"/>
    </row>
    <row r="29984" spans="2:2" s="221" customFormat="1" ht="12.75" x14ac:dyDescent="0.2">
      <c r="B29984" s="1168"/>
    </row>
    <row r="29985" spans="2:2" s="221" customFormat="1" ht="12.75" x14ac:dyDescent="0.2">
      <c r="B29985" s="1168"/>
    </row>
    <row r="29986" spans="2:2" s="221" customFormat="1" ht="12.75" x14ac:dyDescent="0.2">
      <c r="B29986" s="1168"/>
    </row>
    <row r="29987" spans="2:2" s="221" customFormat="1" ht="12.75" x14ac:dyDescent="0.2">
      <c r="B29987" s="1168"/>
    </row>
    <row r="29988" spans="2:2" s="221" customFormat="1" ht="12.75" x14ac:dyDescent="0.2">
      <c r="B29988" s="1168"/>
    </row>
    <row r="29989" spans="2:2" s="221" customFormat="1" ht="12.75" x14ac:dyDescent="0.2">
      <c r="B29989" s="1168"/>
    </row>
    <row r="29990" spans="2:2" s="221" customFormat="1" ht="12.75" x14ac:dyDescent="0.2">
      <c r="B29990" s="1168"/>
    </row>
    <row r="29991" spans="2:2" s="221" customFormat="1" ht="12.75" x14ac:dyDescent="0.2">
      <c r="B29991" s="1168"/>
    </row>
    <row r="29992" spans="2:2" s="221" customFormat="1" ht="12.75" x14ac:dyDescent="0.2">
      <c r="B29992" s="1168"/>
    </row>
    <row r="29993" spans="2:2" s="221" customFormat="1" ht="12.75" x14ac:dyDescent="0.2">
      <c r="B29993" s="1168"/>
    </row>
    <row r="29994" spans="2:2" s="221" customFormat="1" ht="12.75" x14ac:dyDescent="0.2">
      <c r="B29994" s="1168"/>
    </row>
    <row r="29995" spans="2:2" s="221" customFormat="1" ht="12.75" x14ac:dyDescent="0.2">
      <c r="B29995" s="1168"/>
    </row>
    <row r="29996" spans="2:2" s="221" customFormat="1" ht="12.75" x14ac:dyDescent="0.2">
      <c r="B29996" s="1168"/>
    </row>
    <row r="29997" spans="2:2" s="221" customFormat="1" ht="12.75" x14ac:dyDescent="0.2">
      <c r="B29997" s="1168"/>
    </row>
    <row r="29998" spans="2:2" s="221" customFormat="1" ht="12.75" x14ac:dyDescent="0.2">
      <c r="B29998" s="1168"/>
    </row>
    <row r="29999" spans="2:2" s="221" customFormat="1" ht="12.75" x14ac:dyDescent="0.2">
      <c r="B29999" s="1168"/>
    </row>
    <row r="30000" spans="2:2" s="221" customFormat="1" ht="12.75" x14ac:dyDescent="0.2">
      <c r="B30000" s="1168"/>
    </row>
    <row r="30001" spans="2:2" s="221" customFormat="1" ht="12.75" x14ac:dyDescent="0.2">
      <c r="B30001" s="1168"/>
    </row>
    <row r="30002" spans="2:2" s="221" customFormat="1" ht="12.75" x14ac:dyDescent="0.2">
      <c r="B30002" s="1168"/>
    </row>
    <row r="30003" spans="2:2" s="221" customFormat="1" ht="12.75" x14ac:dyDescent="0.2">
      <c r="B30003" s="1168"/>
    </row>
    <row r="30004" spans="2:2" s="221" customFormat="1" ht="12.75" x14ac:dyDescent="0.2">
      <c r="B30004" s="1168"/>
    </row>
    <row r="30005" spans="2:2" s="221" customFormat="1" ht="12.75" x14ac:dyDescent="0.2">
      <c r="B30005" s="1168"/>
    </row>
    <row r="30006" spans="2:2" s="221" customFormat="1" ht="12.75" x14ac:dyDescent="0.2">
      <c r="B30006" s="1168"/>
    </row>
    <row r="30007" spans="2:2" s="221" customFormat="1" ht="12.75" x14ac:dyDescent="0.2">
      <c r="B30007" s="1168"/>
    </row>
    <row r="30008" spans="2:2" s="221" customFormat="1" ht="12.75" x14ac:dyDescent="0.2">
      <c r="B30008" s="1168"/>
    </row>
    <row r="30009" spans="2:2" s="221" customFormat="1" ht="12.75" x14ac:dyDescent="0.2">
      <c r="B30009" s="1168"/>
    </row>
    <row r="30010" spans="2:2" s="221" customFormat="1" ht="12.75" x14ac:dyDescent="0.2">
      <c r="B30010" s="1168"/>
    </row>
    <row r="30011" spans="2:2" s="221" customFormat="1" ht="12.75" x14ac:dyDescent="0.2">
      <c r="B30011" s="1168"/>
    </row>
    <row r="30012" spans="2:2" s="221" customFormat="1" ht="12.75" x14ac:dyDescent="0.2">
      <c r="B30012" s="1168"/>
    </row>
    <row r="30013" spans="2:2" s="221" customFormat="1" ht="12.75" x14ac:dyDescent="0.2">
      <c r="B30013" s="1168"/>
    </row>
    <row r="30014" spans="2:2" s="221" customFormat="1" ht="12.75" x14ac:dyDescent="0.2">
      <c r="B30014" s="1168"/>
    </row>
    <row r="30015" spans="2:2" s="221" customFormat="1" ht="12.75" x14ac:dyDescent="0.2">
      <c r="B30015" s="1168"/>
    </row>
    <row r="30016" spans="2:2" s="221" customFormat="1" ht="12.75" x14ac:dyDescent="0.2">
      <c r="B30016" s="1168"/>
    </row>
    <row r="30017" spans="2:2" s="221" customFormat="1" ht="12.75" x14ac:dyDescent="0.2">
      <c r="B30017" s="1168"/>
    </row>
    <row r="30018" spans="2:2" s="221" customFormat="1" ht="12.75" x14ac:dyDescent="0.2">
      <c r="B30018" s="1168"/>
    </row>
    <row r="30019" spans="2:2" s="221" customFormat="1" ht="12.75" x14ac:dyDescent="0.2">
      <c r="B30019" s="1168"/>
    </row>
    <row r="30020" spans="2:2" s="221" customFormat="1" ht="12.75" x14ac:dyDescent="0.2">
      <c r="B30020" s="1168"/>
    </row>
    <row r="30021" spans="2:2" s="221" customFormat="1" ht="12.75" x14ac:dyDescent="0.2">
      <c r="B30021" s="1168"/>
    </row>
    <row r="30022" spans="2:2" s="221" customFormat="1" ht="12.75" x14ac:dyDescent="0.2">
      <c r="B30022" s="1168"/>
    </row>
    <row r="30023" spans="2:2" s="221" customFormat="1" ht="12.75" x14ac:dyDescent="0.2">
      <c r="B30023" s="1168"/>
    </row>
    <row r="30024" spans="2:2" s="221" customFormat="1" ht="12.75" x14ac:dyDescent="0.2">
      <c r="B30024" s="1168"/>
    </row>
    <row r="30025" spans="2:2" s="221" customFormat="1" ht="12.75" x14ac:dyDescent="0.2">
      <c r="B30025" s="1168"/>
    </row>
    <row r="30026" spans="2:2" s="221" customFormat="1" ht="12.75" x14ac:dyDescent="0.2">
      <c r="B30026" s="1168"/>
    </row>
    <row r="30027" spans="2:2" s="221" customFormat="1" ht="12.75" x14ac:dyDescent="0.2">
      <c r="B30027" s="1168"/>
    </row>
    <row r="30028" spans="2:2" s="221" customFormat="1" ht="12.75" x14ac:dyDescent="0.2">
      <c r="B30028" s="1168"/>
    </row>
    <row r="30029" spans="2:2" s="221" customFormat="1" ht="12.75" x14ac:dyDescent="0.2">
      <c r="B30029" s="1168"/>
    </row>
    <row r="30030" spans="2:2" s="221" customFormat="1" ht="12.75" x14ac:dyDescent="0.2">
      <c r="B30030" s="1168"/>
    </row>
    <row r="30031" spans="2:2" s="221" customFormat="1" ht="12.75" x14ac:dyDescent="0.2">
      <c r="B30031" s="1168"/>
    </row>
    <row r="30032" spans="2:2" s="221" customFormat="1" ht="12.75" x14ac:dyDescent="0.2">
      <c r="B30032" s="1168"/>
    </row>
    <row r="30033" spans="2:2" s="221" customFormat="1" ht="12.75" x14ac:dyDescent="0.2">
      <c r="B30033" s="1168"/>
    </row>
    <row r="30034" spans="2:2" s="221" customFormat="1" ht="12.75" x14ac:dyDescent="0.2">
      <c r="B30034" s="1168"/>
    </row>
    <row r="30035" spans="2:2" s="221" customFormat="1" ht="12.75" x14ac:dyDescent="0.2">
      <c r="B30035" s="1168"/>
    </row>
    <row r="30036" spans="2:2" s="221" customFormat="1" ht="12.75" x14ac:dyDescent="0.2">
      <c r="B30036" s="1168"/>
    </row>
    <row r="30037" spans="2:2" s="221" customFormat="1" ht="12.75" x14ac:dyDescent="0.2">
      <c r="B30037" s="1168"/>
    </row>
    <row r="30038" spans="2:2" s="221" customFormat="1" ht="12.75" x14ac:dyDescent="0.2">
      <c r="B30038" s="1168"/>
    </row>
    <row r="30039" spans="2:2" s="221" customFormat="1" ht="12.75" x14ac:dyDescent="0.2">
      <c r="B30039" s="1168"/>
    </row>
    <row r="30040" spans="2:2" s="221" customFormat="1" ht="12.75" x14ac:dyDescent="0.2">
      <c r="B30040" s="1168"/>
    </row>
    <row r="30041" spans="2:2" s="221" customFormat="1" ht="12.75" x14ac:dyDescent="0.2">
      <c r="B30041" s="1168"/>
    </row>
    <row r="30042" spans="2:2" s="221" customFormat="1" ht="12.75" x14ac:dyDescent="0.2">
      <c r="B30042" s="1168"/>
    </row>
    <row r="30043" spans="2:2" s="221" customFormat="1" ht="12.75" x14ac:dyDescent="0.2">
      <c r="B30043" s="1168"/>
    </row>
    <row r="30044" spans="2:2" s="221" customFormat="1" ht="12.75" x14ac:dyDescent="0.2">
      <c r="B30044" s="1168"/>
    </row>
    <row r="30045" spans="2:2" s="221" customFormat="1" ht="12.75" x14ac:dyDescent="0.2">
      <c r="B30045" s="1168"/>
    </row>
    <row r="30046" spans="2:2" s="221" customFormat="1" ht="12.75" x14ac:dyDescent="0.2">
      <c r="B30046" s="1168"/>
    </row>
    <row r="30047" spans="2:2" s="221" customFormat="1" ht="12.75" x14ac:dyDescent="0.2">
      <c r="B30047" s="1168"/>
    </row>
    <row r="30048" spans="2:2" s="221" customFormat="1" ht="12.75" x14ac:dyDescent="0.2">
      <c r="B30048" s="1168"/>
    </row>
    <row r="30049" spans="2:2" s="221" customFormat="1" ht="12.75" x14ac:dyDescent="0.2">
      <c r="B30049" s="1168"/>
    </row>
    <row r="30050" spans="2:2" s="221" customFormat="1" ht="12.75" x14ac:dyDescent="0.2">
      <c r="B30050" s="1168"/>
    </row>
    <row r="30051" spans="2:2" s="221" customFormat="1" ht="12.75" x14ac:dyDescent="0.2">
      <c r="B30051" s="1168"/>
    </row>
    <row r="30052" spans="2:2" s="221" customFormat="1" ht="12.75" x14ac:dyDescent="0.2">
      <c r="B30052" s="1168"/>
    </row>
    <row r="30053" spans="2:2" s="221" customFormat="1" ht="12.75" x14ac:dyDescent="0.2">
      <c r="B30053" s="1168"/>
    </row>
    <row r="30054" spans="2:2" s="221" customFormat="1" ht="12.75" x14ac:dyDescent="0.2">
      <c r="B30054" s="1168"/>
    </row>
    <row r="30055" spans="2:2" s="221" customFormat="1" ht="12.75" x14ac:dyDescent="0.2">
      <c r="B30055" s="1168"/>
    </row>
    <row r="30056" spans="2:2" s="221" customFormat="1" ht="12.75" x14ac:dyDescent="0.2">
      <c r="B30056" s="1168"/>
    </row>
    <row r="30057" spans="2:2" s="221" customFormat="1" ht="12.75" x14ac:dyDescent="0.2">
      <c r="B30057" s="1168"/>
    </row>
    <row r="30058" spans="2:2" s="221" customFormat="1" ht="12.75" x14ac:dyDescent="0.2">
      <c r="B30058" s="1168"/>
    </row>
    <row r="30059" spans="2:2" s="221" customFormat="1" ht="12.75" x14ac:dyDescent="0.2">
      <c r="B30059" s="1168"/>
    </row>
    <row r="30060" spans="2:2" s="221" customFormat="1" ht="12.75" x14ac:dyDescent="0.2">
      <c r="B30060" s="1168"/>
    </row>
    <row r="30061" spans="2:2" s="221" customFormat="1" ht="12.75" x14ac:dyDescent="0.2">
      <c r="B30061" s="1168"/>
    </row>
    <row r="30062" spans="2:2" s="221" customFormat="1" ht="12.75" x14ac:dyDescent="0.2">
      <c r="B30062" s="1168"/>
    </row>
    <row r="30063" spans="2:2" s="221" customFormat="1" ht="12.75" x14ac:dyDescent="0.2">
      <c r="B30063" s="1168"/>
    </row>
    <row r="30064" spans="2:2" s="221" customFormat="1" ht="12.75" x14ac:dyDescent="0.2">
      <c r="B30064" s="1168"/>
    </row>
    <row r="30065" spans="2:2" s="221" customFormat="1" ht="12.75" x14ac:dyDescent="0.2">
      <c r="B30065" s="1168"/>
    </row>
    <row r="30066" spans="2:2" s="221" customFormat="1" ht="12.75" x14ac:dyDescent="0.2">
      <c r="B30066" s="1168"/>
    </row>
    <row r="30067" spans="2:2" s="221" customFormat="1" ht="12.75" x14ac:dyDescent="0.2">
      <c r="B30067" s="1168"/>
    </row>
    <row r="30068" spans="2:2" s="221" customFormat="1" ht="12.75" x14ac:dyDescent="0.2">
      <c r="B30068" s="1168"/>
    </row>
    <row r="30069" spans="2:2" s="221" customFormat="1" ht="12.75" x14ac:dyDescent="0.2">
      <c r="B30069" s="1168"/>
    </row>
    <row r="30070" spans="2:2" s="221" customFormat="1" ht="12.75" x14ac:dyDescent="0.2">
      <c r="B30070" s="1168"/>
    </row>
    <row r="30071" spans="2:2" s="221" customFormat="1" ht="12.75" x14ac:dyDescent="0.2">
      <c r="B30071" s="1168"/>
    </row>
    <row r="30072" spans="2:2" s="221" customFormat="1" ht="12.75" x14ac:dyDescent="0.2">
      <c r="B30072" s="1168"/>
    </row>
    <row r="30073" spans="2:2" s="221" customFormat="1" ht="12.75" x14ac:dyDescent="0.2">
      <c r="B30073" s="1168"/>
    </row>
    <row r="30074" spans="2:2" s="221" customFormat="1" ht="12.75" x14ac:dyDescent="0.2">
      <c r="B30074" s="1168"/>
    </row>
    <row r="30075" spans="2:2" s="221" customFormat="1" ht="12.75" x14ac:dyDescent="0.2">
      <c r="B30075" s="1168"/>
    </row>
    <row r="30076" spans="2:2" s="221" customFormat="1" ht="12.75" x14ac:dyDescent="0.2">
      <c r="B30076" s="1168"/>
    </row>
    <row r="30077" spans="2:2" s="221" customFormat="1" ht="12.75" x14ac:dyDescent="0.2">
      <c r="B30077" s="1168"/>
    </row>
    <row r="30078" spans="2:2" s="221" customFormat="1" ht="12.75" x14ac:dyDescent="0.2">
      <c r="B30078" s="1168"/>
    </row>
    <row r="30079" spans="2:2" s="221" customFormat="1" ht="12.75" x14ac:dyDescent="0.2">
      <c r="B30079" s="1168"/>
    </row>
    <row r="30080" spans="2:2" s="221" customFormat="1" ht="12.75" x14ac:dyDescent="0.2">
      <c r="B30080" s="1168"/>
    </row>
    <row r="30081" spans="2:2" s="221" customFormat="1" ht="12.75" x14ac:dyDescent="0.2">
      <c r="B30081" s="1168"/>
    </row>
    <row r="30082" spans="2:2" s="221" customFormat="1" ht="12.75" x14ac:dyDescent="0.2">
      <c r="B30082" s="1168"/>
    </row>
    <row r="30083" spans="2:2" s="221" customFormat="1" ht="12.75" x14ac:dyDescent="0.2">
      <c r="B30083" s="1168"/>
    </row>
    <row r="30084" spans="2:2" s="221" customFormat="1" ht="12.75" x14ac:dyDescent="0.2">
      <c r="B30084" s="1168"/>
    </row>
    <row r="30085" spans="2:2" s="221" customFormat="1" ht="12.75" x14ac:dyDescent="0.2">
      <c r="B30085" s="1168"/>
    </row>
    <row r="30086" spans="2:2" s="221" customFormat="1" ht="12.75" x14ac:dyDescent="0.2">
      <c r="B30086" s="1168"/>
    </row>
    <row r="30087" spans="2:2" s="221" customFormat="1" ht="12.75" x14ac:dyDescent="0.2">
      <c r="B30087" s="1168"/>
    </row>
    <row r="30088" spans="2:2" s="221" customFormat="1" ht="12.75" x14ac:dyDescent="0.2">
      <c r="B30088" s="1168"/>
    </row>
    <row r="30089" spans="2:2" s="221" customFormat="1" ht="12.75" x14ac:dyDescent="0.2">
      <c r="B30089" s="1168"/>
    </row>
    <row r="30090" spans="2:2" s="221" customFormat="1" ht="12.75" x14ac:dyDescent="0.2">
      <c r="B30090" s="1168"/>
    </row>
    <row r="30091" spans="2:2" s="221" customFormat="1" ht="12.75" x14ac:dyDescent="0.2">
      <c r="B30091" s="1168"/>
    </row>
    <row r="30092" spans="2:2" s="221" customFormat="1" ht="12.75" x14ac:dyDescent="0.2">
      <c r="B30092" s="1168"/>
    </row>
    <row r="30093" spans="2:2" s="221" customFormat="1" ht="12.75" x14ac:dyDescent="0.2">
      <c r="B30093" s="1168"/>
    </row>
    <row r="30094" spans="2:2" s="221" customFormat="1" ht="12.75" x14ac:dyDescent="0.2">
      <c r="B30094" s="1168"/>
    </row>
    <row r="30095" spans="2:2" s="221" customFormat="1" ht="12.75" x14ac:dyDescent="0.2">
      <c r="B30095" s="1168"/>
    </row>
    <row r="30096" spans="2:2" s="221" customFormat="1" ht="12.75" x14ac:dyDescent="0.2">
      <c r="B30096" s="1168"/>
    </row>
    <row r="30097" spans="2:2" s="221" customFormat="1" ht="12.75" x14ac:dyDescent="0.2">
      <c r="B30097" s="1168"/>
    </row>
    <row r="30098" spans="2:2" s="221" customFormat="1" ht="12.75" x14ac:dyDescent="0.2">
      <c r="B30098" s="1168"/>
    </row>
    <row r="30099" spans="2:2" s="221" customFormat="1" ht="12.75" x14ac:dyDescent="0.2">
      <c r="B30099" s="1168"/>
    </row>
    <row r="30100" spans="2:2" s="221" customFormat="1" ht="12.75" x14ac:dyDescent="0.2">
      <c r="B30100" s="1168"/>
    </row>
    <row r="30101" spans="2:2" s="221" customFormat="1" ht="12.75" x14ac:dyDescent="0.2">
      <c r="B30101" s="1168"/>
    </row>
    <row r="30102" spans="2:2" s="221" customFormat="1" ht="12.75" x14ac:dyDescent="0.2">
      <c r="B30102" s="1168"/>
    </row>
    <row r="30103" spans="2:2" s="221" customFormat="1" ht="12.75" x14ac:dyDescent="0.2">
      <c r="B30103" s="1168"/>
    </row>
    <row r="30104" spans="2:2" s="221" customFormat="1" ht="12.75" x14ac:dyDescent="0.2">
      <c r="B30104" s="1168"/>
    </row>
    <row r="30105" spans="2:2" s="221" customFormat="1" ht="12.75" x14ac:dyDescent="0.2">
      <c r="B30105" s="1168"/>
    </row>
    <row r="30106" spans="2:2" s="221" customFormat="1" ht="12.75" x14ac:dyDescent="0.2">
      <c r="B30106" s="1168"/>
    </row>
    <row r="30107" spans="2:2" s="221" customFormat="1" ht="12.75" x14ac:dyDescent="0.2">
      <c r="B30107" s="1168"/>
    </row>
    <row r="30108" spans="2:2" s="221" customFormat="1" ht="12.75" x14ac:dyDescent="0.2">
      <c r="B30108" s="1168"/>
    </row>
    <row r="30109" spans="2:2" s="221" customFormat="1" ht="12.75" x14ac:dyDescent="0.2">
      <c r="B30109" s="1168"/>
    </row>
    <row r="30110" spans="2:2" s="221" customFormat="1" ht="12.75" x14ac:dyDescent="0.2">
      <c r="B30110" s="1168"/>
    </row>
    <row r="30111" spans="2:2" s="221" customFormat="1" ht="12.75" x14ac:dyDescent="0.2">
      <c r="B30111" s="1168"/>
    </row>
    <row r="30112" spans="2:2" s="221" customFormat="1" ht="12.75" x14ac:dyDescent="0.2">
      <c r="B30112" s="1168"/>
    </row>
    <row r="30113" spans="2:2" s="221" customFormat="1" ht="12.75" x14ac:dyDescent="0.2">
      <c r="B30113" s="1168"/>
    </row>
    <row r="30114" spans="2:2" s="221" customFormat="1" ht="12.75" x14ac:dyDescent="0.2">
      <c r="B30114" s="1168"/>
    </row>
    <row r="30115" spans="2:2" s="221" customFormat="1" ht="12.75" x14ac:dyDescent="0.2">
      <c r="B30115" s="1168"/>
    </row>
    <row r="30116" spans="2:2" s="221" customFormat="1" ht="12.75" x14ac:dyDescent="0.2">
      <c r="B30116" s="1168"/>
    </row>
    <row r="30117" spans="2:2" s="221" customFormat="1" ht="12.75" x14ac:dyDescent="0.2">
      <c r="B30117" s="1168"/>
    </row>
    <row r="30118" spans="2:2" s="221" customFormat="1" ht="12.75" x14ac:dyDescent="0.2">
      <c r="B30118" s="1168"/>
    </row>
    <row r="30119" spans="2:2" s="221" customFormat="1" ht="12.75" x14ac:dyDescent="0.2">
      <c r="B30119" s="1168"/>
    </row>
    <row r="30120" spans="2:2" s="221" customFormat="1" ht="12.75" x14ac:dyDescent="0.2">
      <c r="B30120" s="1168"/>
    </row>
    <row r="30121" spans="2:2" s="221" customFormat="1" ht="12.75" x14ac:dyDescent="0.2">
      <c r="B30121" s="1168"/>
    </row>
    <row r="30122" spans="2:2" s="221" customFormat="1" ht="12.75" x14ac:dyDescent="0.2">
      <c r="B30122" s="1168"/>
    </row>
    <row r="30123" spans="2:2" s="221" customFormat="1" ht="12.75" x14ac:dyDescent="0.2">
      <c r="B30123" s="1168"/>
    </row>
    <row r="30124" spans="2:2" s="221" customFormat="1" ht="12.75" x14ac:dyDescent="0.2">
      <c r="B30124" s="1168"/>
    </row>
    <row r="30125" spans="2:2" s="221" customFormat="1" ht="12.75" x14ac:dyDescent="0.2">
      <c r="B30125" s="1168"/>
    </row>
    <row r="30126" spans="2:2" s="221" customFormat="1" ht="12.75" x14ac:dyDescent="0.2">
      <c r="B30126" s="1168"/>
    </row>
    <row r="30127" spans="2:2" s="221" customFormat="1" ht="12.75" x14ac:dyDescent="0.2">
      <c r="B30127" s="1168"/>
    </row>
    <row r="30128" spans="2:2" s="221" customFormat="1" ht="12.75" x14ac:dyDescent="0.2">
      <c r="B30128" s="1168"/>
    </row>
    <row r="30129" spans="2:2" s="221" customFormat="1" ht="12.75" x14ac:dyDescent="0.2">
      <c r="B30129" s="1168"/>
    </row>
    <row r="30130" spans="2:2" s="221" customFormat="1" ht="12.75" x14ac:dyDescent="0.2">
      <c r="B30130" s="1168"/>
    </row>
    <row r="30131" spans="2:2" s="221" customFormat="1" ht="12.75" x14ac:dyDescent="0.2">
      <c r="B30131" s="1168"/>
    </row>
    <row r="30132" spans="2:2" s="221" customFormat="1" ht="12.75" x14ac:dyDescent="0.2">
      <c r="B30132" s="1168"/>
    </row>
    <row r="30133" spans="2:2" s="221" customFormat="1" ht="12.75" x14ac:dyDescent="0.2">
      <c r="B30133" s="1168"/>
    </row>
    <row r="30134" spans="2:2" s="221" customFormat="1" ht="12.75" x14ac:dyDescent="0.2">
      <c r="B30134" s="1168"/>
    </row>
    <row r="30135" spans="2:2" s="221" customFormat="1" ht="12.75" x14ac:dyDescent="0.2">
      <c r="B30135" s="1168"/>
    </row>
    <row r="30136" spans="2:2" s="221" customFormat="1" ht="12.75" x14ac:dyDescent="0.2">
      <c r="B30136" s="1168"/>
    </row>
    <row r="30137" spans="2:2" s="221" customFormat="1" ht="12.75" x14ac:dyDescent="0.2">
      <c r="B30137" s="1168"/>
    </row>
    <row r="30138" spans="2:2" s="221" customFormat="1" ht="12.75" x14ac:dyDescent="0.2">
      <c r="B30138" s="1168"/>
    </row>
    <row r="30139" spans="2:2" s="221" customFormat="1" ht="12.75" x14ac:dyDescent="0.2">
      <c r="B30139" s="1168"/>
    </row>
    <row r="30140" spans="2:2" s="221" customFormat="1" ht="12.75" x14ac:dyDescent="0.2">
      <c r="B30140" s="1168"/>
    </row>
    <row r="30141" spans="2:2" s="221" customFormat="1" ht="12.75" x14ac:dyDescent="0.2">
      <c r="B30141" s="1168"/>
    </row>
    <row r="30142" spans="2:2" s="221" customFormat="1" ht="12.75" x14ac:dyDescent="0.2">
      <c r="B30142" s="1168"/>
    </row>
    <row r="30143" spans="2:2" s="221" customFormat="1" ht="12.75" x14ac:dyDescent="0.2">
      <c r="B30143" s="1168"/>
    </row>
    <row r="30144" spans="2:2" s="221" customFormat="1" ht="12.75" x14ac:dyDescent="0.2">
      <c r="B30144" s="1168"/>
    </row>
    <row r="30145" spans="2:2" s="221" customFormat="1" ht="12.75" x14ac:dyDescent="0.2">
      <c r="B30145" s="1168"/>
    </row>
    <row r="30146" spans="2:2" s="221" customFormat="1" ht="12.75" x14ac:dyDescent="0.2">
      <c r="B30146" s="1168"/>
    </row>
    <row r="30147" spans="2:2" s="221" customFormat="1" ht="12.75" x14ac:dyDescent="0.2">
      <c r="B30147" s="1168"/>
    </row>
    <row r="30148" spans="2:2" s="221" customFormat="1" ht="12.75" x14ac:dyDescent="0.2">
      <c r="B30148" s="1168"/>
    </row>
    <row r="30149" spans="2:2" s="221" customFormat="1" ht="12.75" x14ac:dyDescent="0.2">
      <c r="B30149" s="1168"/>
    </row>
    <row r="30150" spans="2:2" s="221" customFormat="1" ht="12.75" x14ac:dyDescent="0.2">
      <c r="B30150" s="1168"/>
    </row>
    <row r="30151" spans="2:2" s="221" customFormat="1" ht="12.75" x14ac:dyDescent="0.2">
      <c r="B30151" s="1168"/>
    </row>
    <row r="30152" spans="2:2" s="221" customFormat="1" ht="12.75" x14ac:dyDescent="0.2">
      <c r="B30152" s="1168"/>
    </row>
    <row r="30153" spans="2:2" s="221" customFormat="1" ht="12.75" x14ac:dyDescent="0.2">
      <c r="B30153" s="1168"/>
    </row>
    <row r="30154" spans="2:2" s="221" customFormat="1" ht="12.75" x14ac:dyDescent="0.2">
      <c r="B30154" s="1168"/>
    </row>
    <row r="30155" spans="2:2" s="221" customFormat="1" ht="12.75" x14ac:dyDescent="0.2">
      <c r="B30155" s="1168"/>
    </row>
    <row r="30156" spans="2:2" s="221" customFormat="1" ht="12.75" x14ac:dyDescent="0.2">
      <c r="B30156" s="1168"/>
    </row>
    <row r="30157" spans="2:2" s="221" customFormat="1" ht="12.75" x14ac:dyDescent="0.2">
      <c r="B30157" s="1168"/>
    </row>
    <row r="30158" spans="2:2" s="221" customFormat="1" ht="12.75" x14ac:dyDescent="0.2">
      <c r="B30158" s="1168"/>
    </row>
    <row r="30159" spans="2:2" s="221" customFormat="1" ht="12.75" x14ac:dyDescent="0.2">
      <c r="B30159" s="1168"/>
    </row>
    <row r="30160" spans="2:2" s="221" customFormat="1" ht="12.75" x14ac:dyDescent="0.2">
      <c r="B30160" s="1168"/>
    </row>
    <row r="30161" spans="2:2" s="221" customFormat="1" ht="12.75" x14ac:dyDescent="0.2">
      <c r="B30161" s="1168"/>
    </row>
    <row r="30162" spans="2:2" s="221" customFormat="1" ht="12.75" x14ac:dyDescent="0.2">
      <c r="B30162" s="1168"/>
    </row>
    <row r="30163" spans="2:2" s="221" customFormat="1" ht="12.75" x14ac:dyDescent="0.2">
      <c r="B30163" s="1168"/>
    </row>
    <row r="30164" spans="2:2" s="221" customFormat="1" ht="12.75" x14ac:dyDescent="0.2">
      <c r="B30164" s="1168"/>
    </row>
    <row r="30165" spans="2:2" s="221" customFormat="1" ht="12.75" x14ac:dyDescent="0.2">
      <c r="B30165" s="1168"/>
    </row>
    <row r="30166" spans="2:2" s="221" customFormat="1" ht="12.75" x14ac:dyDescent="0.2">
      <c r="B30166" s="1168"/>
    </row>
    <row r="30167" spans="2:2" s="221" customFormat="1" ht="12.75" x14ac:dyDescent="0.2">
      <c r="B30167" s="1168"/>
    </row>
    <row r="30168" spans="2:2" s="221" customFormat="1" ht="12.75" x14ac:dyDescent="0.2">
      <c r="B30168" s="1168"/>
    </row>
    <row r="30169" spans="2:2" s="221" customFormat="1" ht="12.75" x14ac:dyDescent="0.2">
      <c r="B30169" s="1168"/>
    </row>
    <row r="30170" spans="2:2" s="221" customFormat="1" ht="12.75" x14ac:dyDescent="0.2">
      <c r="B30170" s="1168"/>
    </row>
    <row r="30171" spans="2:2" s="221" customFormat="1" ht="12.75" x14ac:dyDescent="0.2">
      <c r="B30171" s="1168"/>
    </row>
    <row r="30172" spans="2:2" s="221" customFormat="1" ht="12.75" x14ac:dyDescent="0.2">
      <c r="B30172" s="1168"/>
    </row>
    <row r="30173" spans="2:2" s="221" customFormat="1" ht="12.75" x14ac:dyDescent="0.2">
      <c r="B30173" s="1168"/>
    </row>
    <row r="30174" spans="2:2" s="221" customFormat="1" ht="12.75" x14ac:dyDescent="0.2">
      <c r="B30174" s="1168"/>
    </row>
    <row r="30175" spans="2:2" s="221" customFormat="1" ht="12.75" x14ac:dyDescent="0.2">
      <c r="B30175" s="1168"/>
    </row>
    <row r="30176" spans="2:2" s="221" customFormat="1" ht="12.75" x14ac:dyDescent="0.2">
      <c r="B30176" s="1168"/>
    </row>
    <row r="30177" spans="2:2" s="221" customFormat="1" ht="12.75" x14ac:dyDescent="0.2">
      <c r="B30177" s="1168"/>
    </row>
    <row r="30178" spans="2:2" s="221" customFormat="1" ht="12.75" x14ac:dyDescent="0.2">
      <c r="B30178" s="1168"/>
    </row>
    <row r="30179" spans="2:2" s="221" customFormat="1" ht="12.75" x14ac:dyDescent="0.2">
      <c r="B30179" s="1168"/>
    </row>
    <row r="30180" spans="2:2" s="221" customFormat="1" ht="12.75" x14ac:dyDescent="0.2">
      <c r="B30180" s="1168"/>
    </row>
    <row r="30181" spans="2:2" s="221" customFormat="1" ht="12.75" x14ac:dyDescent="0.2">
      <c r="B30181" s="1168"/>
    </row>
    <row r="30182" spans="2:2" s="221" customFormat="1" ht="12.75" x14ac:dyDescent="0.2">
      <c r="B30182" s="1168"/>
    </row>
    <row r="30183" spans="2:2" s="221" customFormat="1" ht="12.75" x14ac:dyDescent="0.2">
      <c r="B30183" s="1168"/>
    </row>
    <row r="30184" spans="2:2" s="221" customFormat="1" ht="12.75" x14ac:dyDescent="0.2">
      <c r="B30184" s="1168"/>
    </row>
    <row r="30185" spans="2:2" s="221" customFormat="1" ht="12.75" x14ac:dyDescent="0.2">
      <c r="B30185" s="1168"/>
    </row>
    <row r="30186" spans="2:2" s="221" customFormat="1" ht="12.75" x14ac:dyDescent="0.2">
      <c r="B30186" s="1168"/>
    </row>
    <row r="30187" spans="2:2" s="221" customFormat="1" ht="12.75" x14ac:dyDescent="0.2">
      <c r="B30187" s="1168"/>
    </row>
    <row r="30188" spans="2:2" s="221" customFormat="1" ht="12.75" x14ac:dyDescent="0.2">
      <c r="B30188" s="1168"/>
    </row>
    <row r="30189" spans="2:2" s="221" customFormat="1" ht="12.75" x14ac:dyDescent="0.2">
      <c r="B30189" s="1168"/>
    </row>
    <row r="30190" spans="2:2" s="221" customFormat="1" ht="12.75" x14ac:dyDescent="0.2">
      <c r="B30190" s="1168"/>
    </row>
    <row r="30191" spans="2:2" s="221" customFormat="1" ht="12.75" x14ac:dyDescent="0.2">
      <c r="B30191" s="1168"/>
    </row>
    <row r="30192" spans="2:2" s="221" customFormat="1" ht="12.75" x14ac:dyDescent="0.2">
      <c r="B30192" s="1168"/>
    </row>
    <row r="30193" spans="2:2" s="221" customFormat="1" ht="12.75" x14ac:dyDescent="0.2">
      <c r="B30193" s="1168"/>
    </row>
    <row r="30194" spans="2:2" s="221" customFormat="1" ht="12.75" x14ac:dyDescent="0.2">
      <c r="B30194" s="1168"/>
    </row>
    <row r="30195" spans="2:2" s="221" customFormat="1" ht="12.75" x14ac:dyDescent="0.2">
      <c r="B30195" s="1168"/>
    </row>
    <row r="30196" spans="2:2" s="221" customFormat="1" ht="12.75" x14ac:dyDescent="0.2">
      <c r="B30196" s="1168"/>
    </row>
    <row r="30197" spans="2:2" s="221" customFormat="1" ht="12.75" x14ac:dyDescent="0.2">
      <c r="B30197" s="1168"/>
    </row>
    <row r="30198" spans="2:2" s="221" customFormat="1" ht="12.75" x14ac:dyDescent="0.2">
      <c r="B30198" s="1168"/>
    </row>
    <row r="30199" spans="2:2" s="221" customFormat="1" ht="12.75" x14ac:dyDescent="0.2">
      <c r="B30199" s="1168"/>
    </row>
    <row r="30200" spans="2:2" s="221" customFormat="1" ht="12.75" x14ac:dyDescent="0.2">
      <c r="B30200" s="1168"/>
    </row>
    <row r="30201" spans="2:2" s="221" customFormat="1" ht="12.75" x14ac:dyDescent="0.2">
      <c r="B30201" s="1168"/>
    </row>
    <row r="30202" spans="2:2" s="221" customFormat="1" ht="12.75" x14ac:dyDescent="0.2">
      <c r="B30202" s="1168"/>
    </row>
    <row r="30203" spans="2:2" s="221" customFormat="1" ht="12.75" x14ac:dyDescent="0.2">
      <c r="B30203" s="1168"/>
    </row>
    <row r="30204" spans="2:2" s="221" customFormat="1" ht="12.75" x14ac:dyDescent="0.2">
      <c r="B30204" s="1168"/>
    </row>
    <row r="30205" spans="2:2" s="221" customFormat="1" ht="12.75" x14ac:dyDescent="0.2">
      <c r="B30205" s="1168"/>
    </row>
    <row r="30206" spans="2:2" s="221" customFormat="1" ht="12.75" x14ac:dyDescent="0.2">
      <c r="B30206" s="1168"/>
    </row>
    <row r="30207" spans="2:2" s="221" customFormat="1" ht="12.75" x14ac:dyDescent="0.2">
      <c r="B30207" s="1168"/>
    </row>
    <row r="30208" spans="2:2" s="221" customFormat="1" ht="12.75" x14ac:dyDescent="0.2">
      <c r="B30208" s="1168"/>
    </row>
    <row r="30209" spans="2:2" s="221" customFormat="1" ht="12.75" x14ac:dyDescent="0.2">
      <c r="B30209" s="1168"/>
    </row>
    <row r="30210" spans="2:2" s="221" customFormat="1" ht="12.75" x14ac:dyDescent="0.2">
      <c r="B30210" s="1168"/>
    </row>
    <row r="30211" spans="2:2" s="221" customFormat="1" ht="12.75" x14ac:dyDescent="0.2">
      <c r="B30211" s="1168"/>
    </row>
    <row r="30212" spans="2:2" s="221" customFormat="1" ht="12.75" x14ac:dyDescent="0.2">
      <c r="B30212" s="1168"/>
    </row>
    <row r="30213" spans="2:2" s="221" customFormat="1" ht="12.75" x14ac:dyDescent="0.2">
      <c r="B30213" s="1168"/>
    </row>
    <row r="30214" spans="2:2" s="221" customFormat="1" ht="12.75" x14ac:dyDescent="0.2">
      <c r="B30214" s="1168"/>
    </row>
    <row r="30215" spans="2:2" s="221" customFormat="1" ht="12.75" x14ac:dyDescent="0.2">
      <c r="B30215" s="1168"/>
    </row>
    <row r="30216" spans="2:2" s="221" customFormat="1" ht="12.75" x14ac:dyDescent="0.2">
      <c r="B30216" s="1168"/>
    </row>
    <row r="30217" spans="2:2" s="221" customFormat="1" ht="12.75" x14ac:dyDescent="0.2">
      <c r="B30217" s="1168"/>
    </row>
    <row r="30218" spans="2:2" s="221" customFormat="1" ht="12.75" x14ac:dyDescent="0.2">
      <c r="B30218" s="1168"/>
    </row>
    <row r="30219" spans="2:2" s="221" customFormat="1" ht="12.75" x14ac:dyDescent="0.2">
      <c r="B30219" s="1168"/>
    </row>
    <row r="30220" spans="2:2" s="221" customFormat="1" ht="12.75" x14ac:dyDescent="0.2">
      <c r="B30220" s="1168"/>
    </row>
    <row r="30221" spans="2:2" s="221" customFormat="1" ht="12.75" x14ac:dyDescent="0.2">
      <c r="B30221" s="1168"/>
    </row>
    <row r="30222" spans="2:2" s="221" customFormat="1" ht="12.75" x14ac:dyDescent="0.2">
      <c r="B30222" s="1168"/>
    </row>
    <row r="30223" spans="2:2" s="221" customFormat="1" ht="12.75" x14ac:dyDescent="0.2">
      <c r="B30223" s="1168"/>
    </row>
    <row r="30224" spans="2:2" s="221" customFormat="1" ht="12.75" x14ac:dyDescent="0.2">
      <c r="B30224" s="1168"/>
    </row>
    <row r="30225" spans="2:2" s="221" customFormat="1" ht="12.75" x14ac:dyDescent="0.2">
      <c r="B30225" s="1168"/>
    </row>
    <row r="30226" spans="2:2" s="221" customFormat="1" ht="12.75" x14ac:dyDescent="0.2">
      <c r="B30226" s="1168"/>
    </row>
    <row r="30227" spans="2:2" s="221" customFormat="1" ht="12.75" x14ac:dyDescent="0.2">
      <c r="B30227" s="1168"/>
    </row>
    <row r="30228" spans="2:2" s="221" customFormat="1" ht="12.75" x14ac:dyDescent="0.2">
      <c r="B30228" s="1168"/>
    </row>
    <row r="30229" spans="2:2" s="221" customFormat="1" ht="12.75" x14ac:dyDescent="0.2">
      <c r="B30229" s="1168"/>
    </row>
    <row r="30230" spans="2:2" s="221" customFormat="1" ht="12.75" x14ac:dyDescent="0.2">
      <c r="B30230" s="1168"/>
    </row>
    <row r="30231" spans="2:2" s="221" customFormat="1" ht="12.75" x14ac:dyDescent="0.2">
      <c r="B30231" s="1168"/>
    </row>
    <row r="30232" spans="2:2" s="221" customFormat="1" ht="12.75" x14ac:dyDescent="0.2">
      <c r="B30232" s="1168"/>
    </row>
    <row r="30233" spans="2:2" s="221" customFormat="1" ht="12.75" x14ac:dyDescent="0.2">
      <c r="B30233" s="1168"/>
    </row>
    <row r="30234" spans="2:2" s="221" customFormat="1" ht="12.75" x14ac:dyDescent="0.2">
      <c r="B30234" s="1168"/>
    </row>
    <row r="30235" spans="2:2" s="221" customFormat="1" ht="12.75" x14ac:dyDescent="0.2">
      <c r="B30235" s="1168"/>
    </row>
    <row r="30236" spans="2:2" s="221" customFormat="1" ht="12.75" x14ac:dyDescent="0.2">
      <c r="B30236" s="1168"/>
    </row>
    <row r="30237" spans="2:2" s="221" customFormat="1" ht="12.75" x14ac:dyDescent="0.2">
      <c r="B30237" s="1168"/>
    </row>
    <row r="30238" spans="2:2" s="221" customFormat="1" ht="12.75" x14ac:dyDescent="0.2">
      <c r="B30238" s="1168"/>
    </row>
    <row r="30239" spans="2:2" s="221" customFormat="1" ht="12.75" x14ac:dyDescent="0.2">
      <c r="B30239" s="1168"/>
    </row>
    <row r="30240" spans="2:2" s="221" customFormat="1" ht="12.75" x14ac:dyDescent="0.2">
      <c r="B30240" s="1168"/>
    </row>
    <row r="30241" spans="2:2" s="221" customFormat="1" ht="12.75" x14ac:dyDescent="0.2">
      <c r="B30241" s="1168"/>
    </row>
    <row r="30242" spans="2:2" s="221" customFormat="1" ht="12.75" x14ac:dyDescent="0.2">
      <c r="B30242" s="1168"/>
    </row>
    <row r="30243" spans="2:2" s="221" customFormat="1" ht="12.75" x14ac:dyDescent="0.2">
      <c r="B30243" s="1168"/>
    </row>
    <row r="30244" spans="2:2" s="221" customFormat="1" ht="12.75" x14ac:dyDescent="0.2">
      <c r="B30244" s="1168"/>
    </row>
    <row r="30245" spans="2:2" s="221" customFormat="1" ht="12.75" x14ac:dyDescent="0.2">
      <c r="B30245" s="1168"/>
    </row>
    <row r="30246" spans="2:2" s="221" customFormat="1" ht="12.75" x14ac:dyDescent="0.2">
      <c r="B30246" s="1168"/>
    </row>
    <row r="30247" spans="2:2" s="221" customFormat="1" ht="12.75" x14ac:dyDescent="0.2">
      <c r="B30247" s="1168"/>
    </row>
    <row r="30248" spans="2:2" s="221" customFormat="1" ht="12.75" x14ac:dyDescent="0.2">
      <c r="B30248" s="1168"/>
    </row>
    <row r="30249" spans="2:2" s="221" customFormat="1" ht="12.75" x14ac:dyDescent="0.2">
      <c r="B30249" s="1168"/>
    </row>
    <row r="30250" spans="2:2" s="221" customFormat="1" ht="12.75" x14ac:dyDescent="0.2">
      <c r="B30250" s="1168"/>
    </row>
    <row r="30251" spans="2:2" s="221" customFormat="1" ht="12.75" x14ac:dyDescent="0.2">
      <c r="B30251" s="1168"/>
    </row>
    <row r="30252" spans="2:2" s="221" customFormat="1" ht="12.75" x14ac:dyDescent="0.2">
      <c r="B30252" s="1168"/>
    </row>
    <row r="30253" spans="2:2" s="221" customFormat="1" ht="12.75" x14ac:dyDescent="0.2">
      <c r="B30253" s="1168"/>
    </row>
    <row r="30254" spans="2:2" s="221" customFormat="1" ht="12.75" x14ac:dyDescent="0.2">
      <c r="B30254" s="1168"/>
    </row>
    <row r="30255" spans="2:2" s="221" customFormat="1" ht="12.75" x14ac:dyDescent="0.2">
      <c r="B30255" s="1168"/>
    </row>
    <row r="30256" spans="2:2" s="221" customFormat="1" ht="12.75" x14ac:dyDescent="0.2">
      <c r="B30256" s="1168"/>
    </row>
    <row r="30257" spans="2:2" s="221" customFormat="1" ht="12.75" x14ac:dyDescent="0.2">
      <c r="B30257" s="1168"/>
    </row>
    <row r="30258" spans="2:2" s="221" customFormat="1" ht="12.75" x14ac:dyDescent="0.2">
      <c r="B30258" s="1168"/>
    </row>
    <row r="30259" spans="2:2" s="221" customFormat="1" ht="12.75" x14ac:dyDescent="0.2">
      <c r="B30259" s="1168"/>
    </row>
    <row r="30260" spans="2:2" s="221" customFormat="1" ht="12.75" x14ac:dyDescent="0.2">
      <c r="B30260" s="1168"/>
    </row>
    <row r="30261" spans="2:2" s="221" customFormat="1" ht="12.75" x14ac:dyDescent="0.2">
      <c r="B30261" s="1168"/>
    </row>
    <row r="30262" spans="2:2" s="221" customFormat="1" ht="12.75" x14ac:dyDescent="0.2">
      <c r="B30262" s="1168"/>
    </row>
    <row r="30263" spans="2:2" s="221" customFormat="1" ht="12.75" x14ac:dyDescent="0.2">
      <c r="B30263" s="1168"/>
    </row>
    <row r="30264" spans="2:2" s="221" customFormat="1" ht="12.75" x14ac:dyDescent="0.2">
      <c r="B30264" s="1168"/>
    </row>
    <row r="30265" spans="2:2" s="221" customFormat="1" ht="12.75" x14ac:dyDescent="0.2">
      <c r="B30265" s="1168"/>
    </row>
    <row r="30266" spans="2:2" s="221" customFormat="1" ht="12.75" x14ac:dyDescent="0.2">
      <c r="B30266" s="1168"/>
    </row>
    <row r="30267" spans="2:2" s="221" customFormat="1" ht="12.75" x14ac:dyDescent="0.2">
      <c r="B30267" s="1168"/>
    </row>
    <row r="30268" spans="2:2" s="221" customFormat="1" ht="12.75" x14ac:dyDescent="0.2">
      <c r="B30268" s="1168"/>
    </row>
    <row r="30269" spans="2:2" s="221" customFormat="1" ht="12.75" x14ac:dyDescent="0.2">
      <c r="B30269" s="1168"/>
    </row>
    <row r="30270" spans="2:2" s="221" customFormat="1" ht="12.75" x14ac:dyDescent="0.2">
      <c r="B30270" s="1168"/>
    </row>
    <row r="30271" spans="2:2" s="221" customFormat="1" ht="12.75" x14ac:dyDescent="0.2">
      <c r="B30271" s="1168"/>
    </row>
    <row r="30272" spans="2:2" s="221" customFormat="1" ht="12.75" x14ac:dyDescent="0.2">
      <c r="B30272" s="1168"/>
    </row>
    <row r="30273" spans="2:2" s="221" customFormat="1" ht="12.75" x14ac:dyDescent="0.2">
      <c r="B30273" s="1168"/>
    </row>
    <row r="30274" spans="2:2" s="221" customFormat="1" ht="12.75" x14ac:dyDescent="0.2">
      <c r="B30274" s="1168"/>
    </row>
    <row r="30275" spans="2:2" s="221" customFormat="1" ht="12.75" x14ac:dyDescent="0.2">
      <c r="B30275" s="1168"/>
    </row>
    <row r="30276" spans="2:2" s="221" customFormat="1" ht="12.75" x14ac:dyDescent="0.2">
      <c r="B30276" s="1168"/>
    </row>
    <row r="30277" spans="2:2" s="221" customFormat="1" ht="12.75" x14ac:dyDescent="0.2">
      <c r="B30277" s="1168"/>
    </row>
    <row r="30278" spans="2:2" s="221" customFormat="1" ht="12.75" x14ac:dyDescent="0.2">
      <c r="B30278" s="1168"/>
    </row>
    <row r="30279" spans="2:2" s="221" customFormat="1" ht="12.75" x14ac:dyDescent="0.2">
      <c r="B30279" s="1168"/>
    </row>
    <row r="30280" spans="2:2" s="221" customFormat="1" ht="12.75" x14ac:dyDescent="0.2">
      <c r="B30280" s="1168"/>
    </row>
    <row r="30281" spans="2:2" s="221" customFormat="1" ht="12.75" x14ac:dyDescent="0.2">
      <c r="B30281" s="1168"/>
    </row>
    <row r="30282" spans="2:2" s="221" customFormat="1" ht="12.75" x14ac:dyDescent="0.2">
      <c r="B30282" s="1168"/>
    </row>
    <row r="30283" spans="2:2" s="221" customFormat="1" ht="12.75" x14ac:dyDescent="0.2">
      <c r="B30283" s="1168"/>
    </row>
    <row r="30284" spans="2:2" s="221" customFormat="1" ht="12.75" x14ac:dyDescent="0.2">
      <c r="B30284" s="1168"/>
    </row>
    <row r="30285" spans="2:2" s="221" customFormat="1" ht="12.75" x14ac:dyDescent="0.2">
      <c r="B30285" s="1168"/>
    </row>
    <row r="30286" spans="2:2" s="221" customFormat="1" ht="12.75" x14ac:dyDescent="0.2">
      <c r="B30286" s="1168"/>
    </row>
    <row r="30287" spans="2:2" s="221" customFormat="1" ht="12.75" x14ac:dyDescent="0.2">
      <c r="B30287" s="1168"/>
    </row>
    <row r="30288" spans="2:2" s="221" customFormat="1" ht="12.75" x14ac:dyDescent="0.2">
      <c r="B30288" s="1168"/>
    </row>
    <row r="30289" spans="2:2" s="221" customFormat="1" ht="12.75" x14ac:dyDescent="0.2">
      <c r="B30289" s="1168"/>
    </row>
    <row r="30290" spans="2:2" s="221" customFormat="1" ht="12.75" x14ac:dyDescent="0.2">
      <c r="B30290" s="1168"/>
    </row>
    <row r="30291" spans="2:2" s="221" customFormat="1" ht="12.75" x14ac:dyDescent="0.2">
      <c r="B30291" s="1168"/>
    </row>
    <row r="30292" spans="2:2" s="221" customFormat="1" ht="12.75" x14ac:dyDescent="0.2">
      <c r="B30292" s="1168"/>
    </row>
    <row r="30293" spans="2:2" s="221" customFormat="1" ht="12.75" x14ac:dyDescent="0.2">
      <c r="B30293" s="1168"/>
    </row>
    <row r="30294" spans="2:2" s="221" customFormat="1" ht="12.75" x14ac:dyDescent="0.2">
      <c r="B30294" s="1168"/>
    </row>
    <row r="30295" spans="2:2" s="221" customFormat="1" ht="12.75" x14ac:dyDescent="0.2">
      <c r="B30295" s="1168"/>
    </row>
    <row r="30296" spans="2:2" s="221" customFormat="1" ht="12.75" x14ac:dyDescent="0.2">
      <c r="B30296" s="1168"/>
    </row>
    <row r="30297" spans="2:2" s="221" customFormat="1" ht="12.75" x14ac:dyDescent="0.2">
      <c r="B30297" s="1168"/>
    </row>
    <row r="30298" spans="2:2" s="221" customFormat="1" ht="12.75" x14ac:dyDescent="0.2">
      <c r="B30298" s="1168"/>
    </row>
    <row r="30299" spans="2:2" s="221" customFormat="1" ht="12.75" x14ac:dyDescent="0.2">
      <c r="B30299" s="1168"/>
    </row>
    <row r="30300" spans="2:2" s="221" customFormat="1" ht="12.75" x14ac:dyDescent="0.2">
      <c r="B30300" s="1168"/>
    </row>
    <row r="30301" spans="2:2" s="221" customFormat="1" ht="12.75" x14ac:dyDescent="0.2">
      <c r="B30301" s="1168"/>
    </row>
    <row r="30302" spans="2:2" s="221" customFormat="1" ht="12.75" x14ac:dyDescent="0.2">
      <c r="B30302" s="1168"/>
    </row>
    <row r="30303" spans="2:2" s="221" customFormat="1" ht="12.75" x14ac:dyDescent="0.2">
      <c r="B30303" s="1168"/>
    </row>
    <row r="30304" spans="2:2" s="221" customFormat="1" ht="12.75" x14ac:dyDescent="0.2">
      <c r="B30304" s="1168"/>
    </row>
    <row r="30305" spans="2:2" s="221" customFormat="1" ht="12.75" x14ac:dyDescent="0.2">
      <c r="B30305" s="1168"/>
    </row>
    <row r="30306" spans="2:2" s="221" customFormat="1" ht="12.75" x14ac:dyDescent="0.2">
      <c r="B30306" s="1168"/>
    </row>
    <row r="30307" spans="2:2" s="221" customFormat="1" ht="12.75" x14ac:dyDescent="0.2">
      <c r="B30307" s="1168"/>
    </row>
    <row r="30308" spans="2:2" s="221" customFormat="1" ht="12.75" x14ac:dyDescent="0.2">
      <c r="B30308" s="1168"/>
    </row>
    <row r="30309" spans="2:2" s="221" customFormat="1" ht="12.75" x14ac:dyDescent="0.2">
      <c r="B30309" s="1168"/>
    </row>
    <row r="30310" spans="2:2" s="221" customFormat="1" ht="12.75" x14ac:dyDescent="0.2">
      <c r="B30310" s="1168"/>
    </row>
    <row r="30311" spans="2:2" s="221" customFormat="1" ht="12.75" x14ac:dyDescent="0.2">
      <c r="B30311" s="1168"/>
    </row>
    <row r="30312" spans="2:2" s="221" customFormat="1" ht="12.75" x14ac:dyDescent="0.2">
      <c r="B30312" s="1168"/>
    </row>
    <row r="30313" spans="2:2" s="221" customFormat="1" ht="12.75" x14ac:dyDescent="0.2">
      <c r="B30313" s="1168"/>
    </row>
    <row r="30314" spans="2:2" s="221" customFormat="1" ht="12.75" x14ac:dyDescent="0.2">
      <c r="B30314" s="1168"/>
    </row>
    <row r="30315" spans="2:2" s="221" customFormat="1" ht="12.75" x14ac:dyDescent="0.2">
      <c r="B30315" s="1168"/>
    </row>
    <row r="30316" spans="2:2" s="221" customFormat="1" ht="12.75" x14ac:dyDescent="0.2">
      <c r="B30316" s="1168"/>
    </row>
    <row r="30317" spans="2:2" s="221" customFormat="1" ht="12.75" x14ac:dyDescent="0.2">
      <c r="B30317" s="1168"/>
    </row>
    <row r="30318" spans="2:2" s="221" customFormat="1" ht="12.75" x14ac:dyDescent="0.2">
      <c r="B30318" s="1168"/>
    </row>
    <row r="30319" spans="2:2" s="221" customFormat="1" ht="12.75" x14ac:dyDescent="0.2">
      <c r="B30319" s="1168"/>
    </row>
    <row r="30320" spans="2:2" s="221" customFormat="1" ht="12.75" x14ac:dyDescent="0.2">
      <c r="B30320" s="1168"/>
    </row>
    <row r="30321" spans="2:2" s="221" customFormat="1" ht="12.75" x14ac:dyDescent="0.2">
      <c r="B30321" s="1168"/>
    </row>
    <row r="30322" spans="2:2" s="221" customFormat="1" ht="12.75" x14ac:dyDescent="0.2">
      <c r="B30322" s="1168"/>
    </row>
    <row r="30323" spans="2:2" s="221" customFormat="1" ht="12.75" x14ac:dyDescent="0.2">
      <c r="B30323" s="1168"/>
    </row>
    <row r="30324" spans="2:2" s="221" customFormat="1" ht="12.75" x14ac:dyDescent="0.2">
      <c r="B30324" s="1168"/>
    </row>
    <row r="30325" spans="2:2" s="221" customFormat="1" ht="12.75" x14ac:dyDescent="0.2">
      <c r="B30325" s="1168"/>
    </row>
    <row r="30326" spans="2:2" s="221" customFormat="1" ht="12.75" x14ac:dyDescent="0.2">
      <c r="B30326" s="1168"/>
    </row>
    <row r="30327" spans="2:2" s="221" customFormat="1" ht="12.75" x14ac:dyDescent="0.2">
      <c r="B30327" s="1168"/>
    </row>
    <row r="30328" spans="2:2" s="221" customFormat="1" ht="12.75" x14ac:dyDescent="0.2">
      <c r="B30328" s="1168"/>
    </row>
    <row r="30329" spans="2:2" s="221" customFormat="1" ht="12.75" x14ac:dyDescent="0.2">
      <c r="B30329" s="1168"/>
    </row>
    <row r="30330" spans="2:2" s="221" customFormat="1" ht="12.75" x14ac:dyDescent="0.2">
      <c r="B30330" s="1168"/>
    </row>
    <row r="30331" spans="2:2" s="221" customFormat="1" ht="12.75" x14ac:dyDescent="0.2">
      <c r="B30331" s="1168"/>
    </row>
    <row r="30332" spans="2:2" s="221" customFormat="1" ht="12.75" x14ac:dyDescent="0.2">
      <c r="B30332" s="1168"/>
    </row>
    <row r="30333" spans="2:2" s="221" customFormat="1" ht="12.75" x14ac:dyDescent="0.2">
      <c r="B30333" s="1168"/>
    </row>
    <row r="30334" spans="2:2" s="221" customFormat="1" ht="12.75" x14ac:dyDescent="0.2">
      <c r="B30334" s="1168"/>
    </row>
    <row r="30335" spans="2:2" s="221" customFormat="1" ht="12.75" x14ac:dyDescent="0.2">
      <c r="B30335" s="1168"/>
    </row>
    <row r="30336" spans="2:2" s="221" customFormat="1" ht="12.75" x14ac:dyDescent="0.2">
      <c r="B30336" s="1168"/>
    </row>
    <row r="30337" spans="2:2" s="221" customFormat="1" ht="12.75" x14ac:dyDescent="0.2">
      <c r="B30337" s="1168"/>
    </row>
    <row r="30338" spans="2:2" s="221" customFormat="1" ht="12.75" x14ac:dyDescent="0.2">
      <c r="B30338" s="1168"/>
    </row>
    <row r="30339" spans="2:2" s="221" customFormat="1" ht="12.75" x14ac:dyDescent="0.2">
      <c r="B30339" s="1168"/>
    </row>
    <row r="30340" spans="2:2" s="221" customFormat="1" ht="12.75" x14ac:dyDescent="0.2">
      <c r="B30340" s="1168"/>
    </row>
    <row r="30341" spans="2:2" s="221" customFormat="1" ht="12.75" x14ac:dyDescent="0.2">
      <c r="B30341" s="1168"/>
    </row>
    <row r="30342" spans="2:2" s="221" customFormat="1" ht="12.75" x14ac:dyDescent="0.2">
      <c r="B30342" s="1168"/>
    </row>
    <row r="30343" spans="2:2" s="221" customFormat="1" ht="12.75" x14ac:dyDescent="0.2">
      <c r="B30343" s="1168"/>
    </row>
    <row r="30344" spans="2:2" s="221" customFormat="1" ht="12.75" x14ac:dyDescent="0.2">
      <c r="B30344" s="1168"/>
    </row>
    <row r="30345" spans="2:2" s="221" customFormat="1" ht="12.75" x14ac:dyDescent="0.2">
      <c r="B30345" s="1168"/>
    </row>
    <row r="30346" spans="2:2" s="221" customFormat="1" ht="12.75" x14ac:dyDescent="0.2">
      <c r="B30346" s="1168"/>
    </row>
    <row r="30347" spans="2:2" s="221" customFormat="1" ht="12.75" x14ac:dyDescent="0.2">
      <c r="B30347" s="1168"/>
    </row>
    <row r="30348" spans="2:2" s="221" customFormat="1" ht="12.75" x14ac:dyDescent="0.2">
      <c r="B30348" s="1168"/>
    </row>
    <row r="30349" spans="2:2" s="221" customFormat="1" ht="12.75" x14ac:dyDescent="0.2">
      <c r="B30349" s="1168"/>
    </row>
    <row r="30350" spans="2:2" s="221" customFormat="1" ht="12.75" x14ac:dyDescent="0.2">
      <c r="B30350" s="1168"/>
    </row>
    <row r="30351" spans="2:2" s="221" customFormat="1" ht="12.75" x14ac:dyDescent="0.2">
      <c r="B30351" s="1168"/>
    </row>
    <row r="30352" spans="2:2" s="221" customFormat="1" ht="12.75" x14ac:dyDescent="0.2">
      <c r="B30352" s="1168"/>
    </row>
    <row r="30353" spans="2:2" s="221" customFormat="1" ht="12.75" x14ac:dyDescent="0.2">
      <c r="B30353" s="1168"/>
    </row>
    <row r="30354" spans="2:2" s="221" customFormat="1" ht="12.75" x14ac:dyDescent="0.2">
      <c r="B30354" s="1168"/>
    </row>
    <row r="30355" spans="2:2" s="221" customFormat="1" ht="12.75" x14ac:dyDescent="0.2">
      <c r="B30355" s="1168"/>
    </row>
    <row r="30356" spans="2:2" s="221" customFormat="1" ht="12.75" x14ac:dyDescent="0.2">
      <c r="B30356" s="1168"/>
    </row>
    <row r="30357" spans="2:2" s="221" customFormat="1" ht="12.75" x14ac:dyDescent="0.2">
      <c r="B30357" s="1168"/>
    </row>
    <row r="30358" spans="2:2" s="221" customFormat="1" ht="12.75" x14ac:dyDescent="0.2">
      <c r="B30358" s="1168"/>
    </row>
    <row r="30359" spans="2:2" s="221" customFormat="1" ht="12.75" x14ac:dyDescent="0.2">
      <c r="B30359" s="1168"/>
    </row>
    <row r="30360" spans="2:2" s="221" customFormat="1" ht="12.75" x14ac:dyDescent="0.2">
      <c r="B30360" s="1168"/>
    </row>
    <row r="30361" spans="2:2" s="221" customFormat="1" ht="12.75" x14ac:dyDescent="0.2">
      <c r="B30361" s="1168"/>
    </row>
    <row r="30362" spans="2:2" s="221" customFormat="1" ht="12.75" x14ac:dyDescent="0.2">
      <c r="B30362" s="1168"/>
    </row>
    <row r="30363" spans="2:2" s="221" customFormat="1" ht="12.75" x14ac:dyDescent="0.2">
      <c r="B30363" s="1168"/>
    </row>
    <row r="30364" spans="2:2" s="221" customFormat="1" ht="12.75" x14ac:dyDescent="0.2">
      <c r="B30364" s="1168"/>
    </row>
    <row r="30365" spans="2:2" s="221" customFormat="1" ht="12.75" x14ac:dyDescent="0.2">
      <c r="B30365" s="1168"/>
    </row>
    <row r="30366" spans="2:2" s="221" customFormat="1" ht="12.75" x14ac:dyDescent="0.2">
      <c r="B30366" s="1168"/>
    </row>
    <row r="30367" spans="2:2" s="221" customFormat="1" ht="12.75" x14ac:dyDescent="0.2">
      <c r="B30367" s="1168"/>
    </row>
    <row r="30368" spans="2:2" s="221" customFormat="1" ht="12.75" x14ac:dyDescent="0.2">
      <c r="B30368" s="1168"/>
    </row>
    <row r="30369" spans="2:2" s="221" customFormat="1" ht="12.75" x14ac:dyDescent="0.2">
      <c r="B30369" s="1168"/>
    </row>
    <row r="30370" spans="2:2" s="221" customFormat="1" ht="12.75" x14ac:dyDescent="0.2">
      <c r="B30370" s="1168"/>
    </row>
    <row r="30371" spans="2:2" s="221" customFormat="1" ht="12.75" x14ac:dyDescent="0.2">
      <c r="B30371" s="1168"/>
    </row>
    <row r="30372" spans="2:2" s="221" customFormat="1" ht="12.75" x14ac:dyDescent="0.2">
      <c r="B30372" s="1168"/>
    </row>
    <row r="30373" spans="2:2" s="221" customFormat="1" ht="12.75" x14ac:dyDescent="0.2">
      <c r="B30373" s="1168"/>
    </row>
    <row r="30374" spans="2:2" s="221" customFormat="1" ht="12.75" x14ac:dyDescent="0.2">
      <c r="B30374" s="1168"/>
    </row>
    <row r="30375" spans="2:2" s="221" customFormat="1" ht="12.75" x14ac:dyDescent="0.2">
      <c r="B30375" s="1168"/>
    </row>
    <row r="30376" spans="2:2" s="221" customFormat="1" ht="12.75" x14ac:dyDescent="0.2">
      <c r="B30376" s="1168"/>
    </row>
    <row r="30377" spans="2:2" s="221" customFormat="1" ht="12.75" x14ac:dyDescent="0.2">
      <c r="B30377" s="1168"/>
    </row>
    <row r="30378" spans="2:2" s="221" customFormat="1" ht="12.75" x14ac:dyDescent="0.2">
      <c r="B30378" s="1168"/>
    </row>
    <row r="30379" spans="2:2" s="221" customFormat="1" ht="12.75" x14ac:dyDescent="0.2">
      <c r="B30379" s="1168"/>
    </row>
    <row r="30380" spans="2:2" s="221" customFormat="1" ht="12.75" x14ac:dyDescent="0.2">
      <c r="B30380" s="1168"/>
    </row>
    <row r="30381" spans="2:2" s="221" customFormat="1" ht="12.75" x14ac:dyDescent="0.2">
      <c r="B30381" s="1168"/>
    </row>
    <row r="30382" spans="2:2" s="221" customFormat="1" ht="12.75" x14ac:dyDescent="0.2">
      <c r="B30382" s="1168"/>
    </row>
    <row r="30383" spans="2:2" s="221" customFormat="1" ht="12.75" x14ac:dyDescent="0.2">
      <c r="B30383" s="1168"/>
    </row>
    <row r="30384" spans="2:2" s="221" customFormat="1" ht="12.75" x14ac:dyDescent="0.2">
      <c r="B30384" s="1168"/>
    </row>
    <row r="30385" spans="2:2" s="221" customFormat="1" ht="12.75" x14ac:dyDescent="0.2">
      <c r="B30385" s="1168"/>
    </row>
    <row r="30386" spans="2:2" s="221" customFormat="1" ht="12.75" x14ac:dyDescent="0.2">
      <c r="B30386" s="1168"/>
    </row>
    <row r="30387" spans="2:2" s="221" customFormat="1" ht="12.75" x14ac:dyDescent="0.2">
      <c r="B30387" s="1168"/>
    </row>
    <row r="30388" spans="2:2" s="221" customFormat="1" ht="12.75" x14ac:dyDescent="0.2">
      <c r="B30388" s="1168"/>
    </row>
    <row r="30389" spans="2:2" s="221" customFormat="1" ht="12.75" x14ac:dyDescent="0.2">
      <c r="B30389" s="1168"/>
    </row>
    <row r="30390" spans="2:2" s="221" customFormat="1" ht="12.75" x14ac:dyDescent="0.2">
      <c r="B30390" s="1168"/>
    </row>
    <row r="30391" spans="2:2" s="221" customFormat="1" ht="12.75" x14ac:dyDescent="0.2">
      <c r="B30391" s="1168"/>
    </row>
    <row r="30392" spans="2:2" s="221" customFormat="1" ht="12.75" x14ac:dyDescent="0.2">
      <c r="B30392" s="1168"/>
    </row>
    <row r="30393" spans="2:2" s="221" customFormat="1" ht="12.75" x14ac:dyDescent="0.2">
      <c r="B30393" s="1168"/>
    </row>
    <row r="30394" spans="2:2" s="221" customFormat="1" ht="12.75" x14ac:dyDescent="0.2">
      <c r="B30394" s="1168"/>
    </row>
    <row r="30395" spans="2:2" s="221" customFormat="1" ht="12.75" x14ac:dyDescent="0.2">
      <c r="B30395" s="1168"/>
    </row>
    <row r="30396" spans="2:2" s="221" customFormat="1" ht="12.75" x14ac:dyDescent="0.2">
      <c r="B30396" s="1168"/>
    </row>
    <row r="30397" spans="2:2" s="221" customFormat="1" ht="12.75" x14ac:dyDescent="0.2">
      <c r="B30397" s="1168"/>
    </row>
    <row r="30398" spans="2:2" s="221" customFormat="1" ht="12.75" x14ac:dyDescent="0.2">
      <c r="B30398" s="1168"/>
    </row>
    <row r="30399" spans="2:2" s="221" customFormat="1" ht="12.75" x14ac:dyDescent="0.2">
      <c r="B30399" s="1168"/>
    </row>
    <row r="30400" spans="2:2" s="221" customFormat="1" ht="12.75" x14ac:dyDescent="0.2">
      <c r="B30400" s="1168"/>
    </row>
    <row r="30401" spans="2:2" s="221" customFormat="1" ht="12.75" x14ac:dyDescent="0.2">
      <c r="B30401" s="1168"/>
    </row>
    <row r="30402" spans="2:2" s="221" customFormat="1" ht="12.75" x14ac:dyDescent="0.2">
      <c r="B30402" s="1168"/>
    </row>
    <row r="30403" spans="2:2" s="221" customFormat="1" ht="12.75" x14ac:dyDescent="0.2">
      <c r="B30403" s="1168"/>
    </row>
    <row r="30404" spans="2:2" s="221" customFormat="1" ht="12.75" x14ac:dyDescent="0.2">
      <c r="B30404" s="1168"/>
    </row>
    <row r="30405" spans="2:2" s="221" customFormat="1" ht="12.75" x14ac:dyDescent="0.2">
      <c r="B30405" s="1168"/>
    </row>
    <row r="30406" spans="2:2" s="221" customFormat="1" ht="12.75" x14ac:dyDescent="0.2">
      <c r="B30406" s="1168"/>
    </row>
    <row r="30407" spans="2:2" s="221" customFormat="1" ht="12.75" x14ac:dyDescent="0.2">
      <c r="B30407" s="1168"/>
    </row>
    <row r="30408" spans="2:2" s="221" customFormat="1" ht="12.75" x14ac:dyDescent="0.2">
      <c r="B30408" s="1168"/>
    </row>
    <row r="30409" spans="2:2" s="221" customFormat="1" ht="12.75" x14ac:dyDescent="0.2">
      <c r="B30409" s="1168"/>
    </row>
    <row r="30410" spans="2:2" s="221" customFormat="1" ht="12.75" x14ac:dyDescent="0.2">
      <c r="B30410" s="1168"/>
    </row>
    <row r="30411" spans="2:2" s="221" customFormat="1" ht="12.75" x14ac:dyDescent="0.2">
      <c r="B30411" s="1168"/>
    </row>
    <row r="30412" spans="2:2" s="221" customFormat="1" ht="12.75" x14ac:dyDescent="0.2">
      <c r="B30412" s="1168"/>
    </row>
    <row r="30413" spans="2:2" s="221" customFormat="1" ht="12.75" x14ac:dyDescent="0.2">
      <c r="B30413" s="1168"/>
    </row>
    <row r="30414" spans="2:2" s="221" customFormat="1" ht="12.75" x14ac:dyDescent="0.2">
      <c r="B30414" s="1168"/>
    </row>
    <row r="30415" spans="2:2" s="221" customFormat="1" ht="12.75" x14ac:dyDescent="0.2">
      <c r="B30415" s="1168"/>
    </row>
    <row r="30416" spans="2:2" s="221" customFormat="1" ht="12.75" x14ac:dyDescent="0.2">
      <c r="B30416" s="1168"/>
    </row>
    <row r="30417" spans="2:2" s="221" customFormat="1" ht="12.75" x14ac:dyDescent="0.2">
      <c r="B30417" s="1168"/>
    </row>
    <row r="30418" spans="2:2" s="221" customFormat="1" ht="12.75" x14ac:dyDescent="0.2">
      <c r="B30418" s="1168"/>
    </row>
    <row r="30419" spans="2:2" s="221" customFormat="1" ht="12.75" x14ac:dyDescent="0.2">
      <c r="B30419" s="1168"/>
    </row>
    <row r="30420" spans="2:2" s="221" customFormat="1" ht="12.75" x14ac:dyDescent="0.2">
      <c r="B30420" s="1168"/>
    </row>
    <row r="30421" spans="2:2" s="221" customFormat="1" ht="12.75" x14ac:dyDescent="0.2">
      <c r="B30421" s="1168"/>
    </row>
    <row r="30422" spans="2:2" s="221" customFormat="1" ht="12.75" x14ac:dyDescent="0.2">
      <c r="B30422" s="1168"/>
    </row>
    <row r="30423" spans="2:2" s="221" customFormat="1" ht="12.75" x14ac:dyDescent="0.2">
      <c r="B30423" s="1168"/>
    </row>
    <row r="30424" spans="2:2" s="221" customFormat="1" ht="12.75" x14ac:dyDescent="0.2">
      <c r="B30424" s="1168"/>
    </row>
    <row r="30425" spans="2:2" s="221" customFormat="1" ht="12.75" x14ac:dyDescent="0.2">
      <c r="B30425" s="1168"/>
    </row>
    <row r="30426" spans="2:2" s="221" customFormat="1" ht="12.75" x14ac:dyDescent="0.2">
      <c r="B30426" s="1168"/>
    </row>
    <row r="30427" spans="2:2" s="221" customFormat="1" ht="12.75" x14ac:dyDescent="0.2">
      <c r="B30427" s="1168"/>
    </row>
    <row r="30428" spans="2:2" s="221" customFormat="1" ht="12.75" x14ac:dyDescent="0.2">
      <c r="B30428" s="1168"/>
    </row>
    <row r="30429" spans="2:2" s="221" customFormat="1" ht="12.75" x14ac:dyDescent="0.2">
      <c r="B30429" s="1168"/>
    </row>
    <row r="30430" spans="2:2" s="221" customFormat="1" ht="12.75" x14ac:dyDescent="0.2">
      <c r="B30430" s="1168"/>
    </row>
    <row r="30431" spans="2:2" s="221" customFormat="1" ht="12.75" x14ac:dyDescent="0.2">
      <c r="B30431" s="1168"/>
    </row>
    <row r="30432" spans="2:2" s="221" customFormat="1" ht="12.75" x14ac:dyDescent="0.2">
      <c r="B30432" s="1168"/>
    </row>
    <row r="30433" spans="2:2" s="221" customFormat="1" ht="12.75" x14ac:dyDescent="0.2">
      <c r="B30433" s="1168"/>
    </row>
    <row r="30434" spans="2:2" s="221" customFormat="1" ht="12.75" x14ac:dyDescent="0.2">
      <c r="B30434" s="1168"/>
    </row>
    <row r="30435" spans="2:2" s="221" customFormat="1" ht="12.75" x14ac:dyDescent="0.2">
      <c r="B30435" s="1168"/>
    </row>
    <row r="30436" spans="2:2" s="221" customFormat="1" ht="12.75" x14ac:dyDescent="0.2">
      <c r="B30436" s="1168"/>
    </row>
    <row r="30437" spans="2:2" s="221" customFormat="1" ht="12.75" x14ac:dyDescent="0.2">
      <c r="B30437" s="1168"/>
    </row>
    <row r="30438" spans="2:2" s="221" customFormat="1" ht="12.75" x14ac:dyDescent="0.2">
      <c r="B30438" s="1168"/>
    </row>
    <row r="30439" spans="2:2" s="221" customFormat="1" ht="12.75" x14ac:dyDescent="0.2">
      <c r="B30439" s="1168"/>
    </row>
    <row r="30440" spans="2:2" s="221" customFormat="1" ht="12.75" x14ac:dyDescent="0.2">
      <c r="B30440" s="1168"/>
    </row>
    <row r="30441" spans="2:2" s="221" customFormat="1" ht="12.75" x14ac:dyDescent="0.2">
      <c r="B30441" s="1168"/>
    </row>
    <row r="30442" spans="2:2" s="221" customFormat="1" ht="12.75" x14ac:dyDescent="0.2">
      <c r="B30442" s="1168"/>
    </row>
    <row r="30443" spans="2:2" s="221" customFormat="1" ht="12.75" x14ac:dyDescent="0.2">
      <c r="B30443" s="1168"/>
    </row>
    <row r="30444" spans="2:2" s="221" customFormat="1" ht="12.75" x14ac:dyDescent="0.2">
      <c r="B30444" s="1168"/>
    </row>
    <row r="30445" spans="2:2" s="221" customFormat="1" ht="12.75" x14ac:dyDescent="0.2">
      <c r="B30445" s="1168"/>
    </row>
    <row r="30446" spans="2:2" s="221" customFormat="1" ht="12.75" x14ac:dyDescent="0.2">
      <c r="B30446" s="1168"/>
    </row>
    <row r="30447" spans="2:2" s="221" customFormat="1" ht="12.75" x14ac:dyDescent="0.2">
      <c r="B30447" s="1168"/>
    </row>
    <row r="30448" spans="2:2" s="221" customFormat="1" ht="12.75" x14ac:dyDescent="0.2">
      <c r="B30448" s="1168"/>
    </row>
    <row r="30449" spans="2:2" s="221" customFormat="1" ht="12.75" x14ac:dyDescent="0.2">
      <c r="B30449" s="1168"/>
    </row>
    <row r="30450" spans="2:2" s="221" customFormat="1" ht="12.75" x14ac:dyDescent="0.2">
      <c r="B30450" s="1168"/>
    </row>
    <row r="30451" spans="2:2" s="221" customFormat="1" ht="12.75" x14ac:dyDescent="0.2">
      <c r="B30451" s="1168"/>
    </row>
    <row r="30452" spans="2:2" s="221" customFormat="1" ht="12.75" x14ac:dyDescent="0.2">
      <c r="B30452" s="1168"/>
    </row>
    <row r="30453" spans="2:2" s="221" customFormat="1" ht="12.75" x14ac:dyDescent="0.2">
      <c r="B30453" s="1168"/>
    </row>
    <row r="30454" spans="2:2" s="221" customFormat="1" ht="12.75" x14ac:dyDescent="0.2">
      <c r="B30454" s="1168"/>
    </row>
    <row r="30455" spans="2:2" s="221" customFormat="1" ht="12.75" x14ac:dyDescent="0.2">
      <c r="B30455" s="1168"/>
    </row>
    <row r="30456" spans="2:2" s="221" customFormat="1" ht="12.75" x14ac:dyDescent="0.2">
      <c r="B30456" s="1168"/>
    </row>
    <row r="30457" spans="2:2" s="221" customFormat="1" ht="12.75" x14ac:dyDescent="0.2">
      <c r="B30457" s="1168"/>
    </row>
    <row r="30458" spans="2:2" s="221" customFormat="1" ht="12.75" x14ac:dyDescent="0.2">
      <c r="B30458" s="1168"/>
    </row>
    <row r="30459" spans="2:2" s="221" customFormat="1" ht="12.75" x14ac:dyDescent="0.2">
      <c r="B30459" s="1168"/>
    </row>
    <row r="30460" spans="2:2" s="221" customFormat="1" ht="12.75" x14ac:dyDescent="0.2">
      <c r="B30460" s="1168"/>
    </row>
    <row r="30461" spans="2:2" s="221" customFormat="1" ht="12.75" x14ac:dyDescent="0.2">
      <c r="B30461" s="1168"/>
    </row>
    <row r="30462" spans="2:2" s="221" customFormat="1" ht="12.75" x14ac:dyDescent="0.2">
      <c r="B30462" s="1168"/>
    </row>
    <row r="30463" spans="2:2" s="221" customFormat="1" ht="12.75" x14ac:dyDescent="0.2">
      <c r="B30463" s="1168"/>
    </row>
    <row r="30464" spans="2:2" s="221" customFormat="1" ht="12.75" x14ac:dyDescent="0.2">
      <c r="B30464" s="1168"/>
    </row>
    <row r="30465" spans="2:2" s="221" customFormat="1" ht="12.75" x14ac:dyDescent="0.2">
      <c r="B30465" s="1168"/>
    </row>
    <row r="30466" spans="2:2" s="221" customFormat="1" ht="12.75" x14ac:dyDescent="0.2">
      <c r="B30466" s="1168"/>
    </row>
    <row r="30467" spans="2:2" s="221" customFormat="1" ht="12.75" x14ac:dyDescent="0.2">
      <c r="B30467" s="1168"/>
    </row>
    <row r="30468" spans="2:2" s="221" customFormat="1" ht="12.75" x14ac:dyDescent="0.2">
      <c r="B30468" s="1168"/>
    </row>
    <row r="30469" spans="2:2" s="221" customFormat="1" ht="12.75" x14ac:dyDescent="0.2">
      <c r="B30469" s="1168"/>
    </row>
    <row r="30470" spans="2:2" s="221" customFormat="1" ht="12.75" x14ac:dyDescent="0.2">
      <c r="B30470" s="1168"/>
    </row>
    <row r="30471" spans="2:2" s="221" customFormat="1" ht="12.75" x14ac:dyDescent="0.2">
      <c r="B30471" s="1168"/>
    </row>
    <row r="30472" spans="2:2" s="221" customFormat="1" ht="12.75" x14ac:dyDescent="0.2">
      <c r="B30472" s="1168"/>
    </row>
    <row r="30473" spans="2:2" s="221" customFormat="1" ht="12.75" x14ac:dyDescent="0.2">
      <c r="B30473" s="1168"/>
    </row>
    <row r="30474" spans="2:2" s="221" customFormat="1" ht="12.75" x14ac:dyDescent="0.2">
      <c r="B30474" s="1168"/>
    </row>
    <row r="30475" spans="2:2" s="221" customFormat="1" ht="12.75" x14ac:dyDescent="0.2">
      <c r="B30475" s="1168"/>
    </row>
    <row r="30476" spans="2:2" s="221" customFormat="1" ht="12.75" x14ac:dyDescent="0.2">
      <c r="B30476" s="1168"/>
    </row>
    <row r="30477" spans="2:2" s="221" customFormat="1" ht="12.75" x14ac:dyDescent="0.2">
      <c r="B30477" s="1168"/>
    </row>
    <row r="30478" spans="2:2" s="221" customFormat="1" ht="12.75" x14ac:dyDescent="0.2">
      <c r="B30478" s="1168"/>
    </row>
    <row r="30479" spans="2:2" s="221" customFormat="1" ht="12.75" x14ac:dyDescent="0.2">
      <c r="B30479" s="1168"/>
    </row>
    <row r="30480" spans="2:2" s="221" customFormat="1" ht="12.75" x14ac:dyDescent="0.2">
      <c r="B30480" s="1168"/>
    </row>
    <row r="30481" spans="2:2" s="221" customFormat="1" ht="12.75" x14ac:dyDescent="0.2">
      <c r="B30481" s="1168"/>
    </row>
    <row r="30482" spans="2:2" s="221" customFormat="1" ht="12.75" x14ac:dyDescent="0.2">
      <c r="B30482" s="1168"/>
    </row>
    <row r="30483" spans="2:2" s="221" customFormat="1" ht="12.75" x14ac:dyDescent="0.2">
      <c r="B30483" s="1168"/>
    </row>
    <row r="30484" spans="2:2" s="221" customFormat="1" ht="12.75" x14ac:dyDescent="0.2">
      <c r="B30484" s="1168"/>
    </row>
    <row r="30485" spans="2:2" s="221" customFormat="1" ht="12.75" x14ac:dyDescent="0.2">
      <c r="B30485" s="1168"/>
    </row>
    <row r="30486" spans="2:2" s="221" customFormat="1" ht="12.75" x14ac:dyDescent="0.2">
      <c r="B30486" s="1168"/>
    </row>
    <row r="30487" spans="2:2" s="221" customFormat="1" ht="12.75" x14ac:dyDescent="0.2">
      <c r="B30487" s="1168"/>
    </row>
    <row r="30488" spans="2:2" s="221" customFormat="1" ht="12.75" x14ac:dyDescent="0.2">
      <c r="B30488" s="1168"/>
    </row>
    <row r="30489" spans="2:2" s="221" customFormat="1" ht="12.75" x14ac:dyDescent="0.2">
      <c r="B30489" s="1168"/>
    </row>
    <row r="30490" spans="2:2" s="221" customFormat="1" ht="12.75" x14ac:dyDescent="0.2">
      <c r="B30490" s="1168"/>
    </row>
    <row r="30491" spans="2:2" s="221" customFormat="1" ht="12.75" x14ac:dyDescent="0.2">
      <c r="B30491" s="1168"/>
    </row>
    <row r="30492" spans="2:2" s="221" customFormat="1" ht="12.75" x14ac:dyDescent="0.2">
      <c r="B30492" s="1168"/>
    </row>
    <row r="30493" spans="2:2" s="221" customFormat="1" ht="12.75" x14ac:dyDescent="0.2">
      <c r="B30493" s="1168"/>
    </row>
    <row r="30494" spans="2:2" s="221" customFormat="1" ht="12.75" x14ac:dyDescent="0.2">
      <c r="B30494" s="1168"/>
    </row>
    <row r="30495" spans="2:2" s="221" customFormat="1" ht="12.75" x14ac:dyDescent="0.2">
      <c r="B30495" s="1168"/>
    </row>
    <row r="30496" spans="2:2" s="221" customFormat="1" ht="12.75" x14ac:dyDescent="0.2">
      <c r="B30496" s="1168"/>
    </row>
    <row r="30497" spans="2:2" s="221" customFormat="1" ht="12.75" x14ac:dyDescent="0.2">
      <c r="B30497" s="1168"/>
    </row>
    <row r="30498" spans="2:2" s="221" customFormat="1" ht="12.75" x14ac:dyDescent="0.2">
      <c r="B30498" s="1168"/>
    </row>
    <row r="30499" spans="2:2" s="221" customFormat="1" ht="12.75" x14ac:dyDescent="0.2">
      <c r="B30499" s="1168"/>
    </row>
    <row r="30500" spans="2:2" s="221" customFormat="1" ht="12.75" x14ac:dyDescent="0.2">
      <c r="B30500" s="1168"/>
    </row>
    <row r="30501" spans="2:2" s="221" customFormat="1" ht="12.75" x14ac:dyDescent="0.2">
      <c r="B30501" s="1168"/>
    </row>
    <row r="30502" spans="2:2" s="221" customFormat="1" ht="12.75" x14ac:dyDescent="0.2">
      <c r="B30502" s="1168"/>
    </row>
    <row r="30503" spans="2:2" s="221" customFormat="1" ht="12.75" x14ac:dyDescent="0.2">
      <c r="B30503" s="1168"/>
    </row>
    <row r="30504" spans="2:2" s="221" customFormat="1" ht="12.75" x14ac:dyDescent="0.2">
      <c r="B30504" s="1168"/>
    </row>
    <row r="30505" spans="2:2" s="221" customFormat="1" ht="12.75" x14ac:dyDescent="0.2">
      <c r="B30505" s="1168"/>
    </row>
    <row r="30506" spans="2:2" s="221" customFormat="1" ht="12.75" x14ac:dyDescent="0.2">
      <c r="B30506" s="1168"/>
    </row>
    <row r="30507" spans="2:2" s="221" customFormat="1" ht="12.75" x14ac:dyDescent="0.2">
      <c r="B30507" s="1168"/>
    </row>
    <row r="30508" spans="2:2" s="221" customFormat="1" ht="12.75" x14ac:dyDescent="0.2">
      <c r="B30508" s="1168"/>
    </row>
    <row r="30509" spans="2:2" s="221" customFormat="1" ht="12.75" x14ac:dyDescent="0.2">
      <c r="B30509" s="1168"/>
    </row>
    <row r="30510" spans="2:2" s="221" customFormat="1" ht="12.75" x14ac:dyDescent="0.2">
      <c r="B30510" s="1168"/>
    </row>
    <row r="30511" spans="2:2" s="221" customFormat="1" ht="12.75" x14ac:dyDescent="0.2">
      <c r="B30511" s="1168"/>
    </row>
    <row r="30512" spans="2:2" s="221" customFormat="1" ht="12.75" x14ac:dyDescent="0.2">
      <c r="B30512" s="1168"/>
    </row>
    <row r="30513" spans="2:2" s="221" customFormat="1" ht="12.75" x14ac:dyDescent="0.2">
      <c r="B30513" s="1168"/>
    </row>
    <row r="30514" spans="2:2" s="221" customFormat="1" ht="12.75" x14ac:dyDescent="0.2">
      <c r="B30514" s="1168"/>
    </row>
    <row r="30515" spans="2:2" s="221" customFormat="1" ht="12.75" x14ac:dyDescent="0.2">
      <c r="B30515" s="1168"/>
    </row>
    <row r="30516" spans="2:2" s="221" customFormat="1" ht="12.75" x14ac:dyDescent="0.2">
      <c r="B30516" s="1168"/>
    </row>
    <row r="30517" spans="2:2" s="221" customFormat="1" ht="12.75" x14ac:dyDescent="0.2">
      <c r="B30517" s="1168"/>
    </row>
    <row r="30518" spans="2:2" s="221" customFormat="1" ht="12.75" x14ac:dyDescent="0.2">
      <c r="B30518" s="1168"/>
    </row>
    <row r="30519" spans="2:2" s="221" customFormat="1" ht="12.75" x14ac:dyDescent="0.2">
      <c r="B30519" s="1168"/>
    </row>
    <row r="30520" spans="2:2" s="221" customFormat="1" ht="12.75" x14ac:dyDescent="0.2">
      <c r="B30520" s="1168"/>
    </row>
    <row r="30521" spans="2:2" s="221" customFormat="1" ht="12.75" x14ac:dyDescent="0.2">
      <c r="B30521" s="1168"/>
    </row>
    <row r="30522" spans="2:2" s="221" customFormat="1" ht="12.75" x14ac:dyDescent="0.2">
      <c r="B30522" s="1168"/>
    </row>
    <row r="30523" spans="2:2" s="221" customFormat="1" ht="12.75" x14ac:dyDescent="0.2">
      <c r="B30523" s="1168"/>
    </row>
    <row r="30524" spans="2:2" s="221" customFormat="1" ht="12.75" x14ac:dyDescent="0.2">
      <c r="B30524" s="1168"/>
    </row>
    <row r="30525" spans="2:2" s="221" customFormat="1" ht="12.75" x14ac:dyDescent="0.2">
      <c r="B30525" s="1168"/>
    </row>
    <row r="30526" spans="2:2" s="221" customFormat="1" ht="12.75" x14ac:dyDescent="0.2">
      <c r="B30526" s="1168"/>
    </row>
    <row r="30527" spans="2:2" s="221" customFormat="1" ht="12.75" x14ac:dyDescent="0.2">
      <c r="B30527" s="1168"/>
    </row>
    <row r="30528" spans="2:2" s="221" customFormat="1" ht="12.75" x14ac:dyDescent="0.2">
      <c r="B30528" s="1168"/>
    </row>
    <row r="30529" spans="2:2" s="221" customFormat="1" ht="12.75" x14ac:dyDescent="0.2">
      <c r="B30529" s="1168"/>
    </row>
    <row r="30530" spans="2:2" s="221" customFormat="1" ht="12.75" x14ac:dyDescent="0.2">
      <c r="B30530" s="1168"/>
    </row>
    <row r="30531" spans="2:2" s="221" customFormat="1" ht="12.75" x14ac:dyDescent="0.2">
      <c r="B30531" s="1168"/>
    </row>
    <row r="30532" spans="2:2" s="221" customFormat="1" ht="12.75" x14ac:dyDescent="0.2">
      <c r="B30532" s="1168"/>
    </row>
    <row r="30533" spans="2:2" s="221" customFormat="1" ht="12.75" x14ac:dyDescent="0.2">
      <c r="B30533" s="1168"/>
    </row>
    <row r="30534" spans="2:2" s="221" customFormat="1" ht="12.75" x14ac:dyDescent="0.2">
      <c r="B30534" s="1168"/>
    </row>
    <row r="30535" spans="2:2" s="221" customFormat="1" ht="12.75" x14ac:dyDescent="0.2">
      <c r="B30535" s="1168"/>
    </row>
    <row r="30536" spans="2:2" s="221" customFormat="1" ht="12.75" x14ac:dyDescent="0.2">
      <c r="B30536" s="1168"/>
    </row>
    <row r="30537" spans="2:2" s="221" customFormat="1" ht="12.75" x14ac:dyDescent="0.2">
      <c r="B30537" s="1168"/>
    </row>
    <row r="30538" spans="2:2" s="221" customFormat="1" ht="12.75" x14ac:dyDescent="0.2">
      <c r="B30538" s="1168"/>
    </row>
    <row r="30539" spans="2:2" s="221" customFormat="1" ht="12.75" x14ac:dyDescent="0.2">
      <c r="B30539" s="1168"/>
    </row>
    <row r="30540" spans="2:2" s="221" customFormat="1" ht="12.75" x14ac:dyDescent="0.2">
      <c r="B30540" s="1168"/>
    </row>
    <row r="30541" spans="2:2" s="221" customFormat="1" ht="12.75" x14ac:dyDescent="0.2">
      <c r="B30541" s="1168"/>
    </row>
    <row r="30542" spans="2:2" s="221" customFormat="1" ht="12.75" x14ac:dyDescent="0.2">
      <c r="B30542" s="1168"/>
    </row>
    <row r="30543" spans="2:2" s="221" customFormat="1" ht="12.75" x14ac:dyDescent="0.2">
      <c r="B30543" s="1168"/>
    </row>
    <row r="30544" spans="2:2" s="221" customFormat="1" ht="12.75" x14ac:dyDescent="0.2">
      <c r="B30544" s="1168"/>
    </row>
    <row r="30545" spans="2:2" s="221" customFormat="1" ht="12.75" x14ac:dyDescent="0.2">
      <c r="B30545" s="1168"/>
    </row>
    <row r="30546" spans="2:2" s="221" customFormat="1" ht="12.75" x14ac:dyDescent="0.2">
      <c r="B30546" s="1168"/>
    </row>
    <row r="30547" spans="2:2" s="221" customFormat="1" ht="12.75" x14ac:dyDescent="0.2">
      <c r="B30547" s="1168"/>
    </row>
    <row r="30548" spans="2:2" s="221" customFormat="1" ht="12.75" x14ac:dyDescent="0.2">
      <c r="B30548" s="1168"/>
    </row>
    <row r="30549" spans="2:2" s="221" customFormat="1" ht="12.75" x14ac:dyDescent="0.2">
      <c r="B30549" s="1168"/>
    </row>
    <row r="30550" spans="2:2" s="221" customFormat="1" ht="12.75" x14ac:dyDescent="0.2">
      <c r="B30550" s="1168"/>
    </row>
    <row r="30551" spans="2:2" s="221" customFormat="1" ht="12.75" x14ac:dyDescent="0.2">
      <c r="B30551" s="1168"/>
    </row>
    <row r="30552" spans="2:2" s="221" customFormat="1" ht="12.75" x14ac:dyDescent="0.2">
      <c r="B30552" s="1168"/>
    </row>
    <row r="30553" spans="2:2" s="221" customFormat="1" ht="12.75" x14ac:dyDescent="0.2">
      <c r="B30553" s="1168"/>
    </row>
    <row r="30554" spans="2:2" s="221" customFormat="1" ht="12.75" x14ac:dyDescent="0.2">
      <c r="B30554" s="1168"/>
    </row>
    <row r="30555" spans="2:2" s="221" customFormat="1" ht="12.75" x14ac:dyDescent="0.2">
      <c r="B30555" s="1168"/>
    </row>
    <row r="30556" spans="2:2" s="221" customFormat="1" ht="12.75" x14ac:dyDescent="0.2">
      <c r="B30556" s="1168"/>
    </row>
    <row r="30557" spans="2:2" s="221" customFormat="1" ht="12.75" x14ac:dyDescent="0.2">
      <c r="B30557" s="1168"/>
    </row>
    <row r="30558" spans="2:2" s="221" customFormat="1" ht="12.75" x14ac:dyDescent="0.2">
      <c r="B30558" s="1168"/>
    </row>
    <row r="30559" spans="2:2" s="221" customFormat="1" ht="12.75" x14ac:dyDescent="0.2">
      <c r="B30559" s="1168"/>
    </row>
    <row r="30560" spans="2:2" s="221" customFormat="1" ht="12.75" x14ac:dyDescent="0.2">
      <c r="B30560" s="1168"/>
    </row>
    <row r="30561" spans="2:2" s="221" customFormat="1" ht="12.75" x14ac:dyDescent="0.2">
      <c r="B30561" s="1168"/>
    </row>
    <row r="30562" spans="2:2" s="221" customFormat="1" ht="12.75" x14ac:dyDescent="0.2">
      <c r="B30562" s="1168"/>
    </row>
    <row r="30563" spans="2:2" s="221" customFormat="1" ht="12.75" x14ac:dyDescent="0.2">
      <c r="B30563" s="1168"/>
    </row>
    <row r="30564" spans="2:2" s="221" customFormat="1" ht="12.75" x14ac:dyDescent="0.2">
      <c r="B30564" s="1168"/>
    </row>
    <row r="30565" spans="2:2" s="221" customFormat="1" ht="12.75" x14ac:dyDescent="0.2">
      <c r="B30565" s="1168"/>
    </row>
    <row r="30566" spans="2:2" s="221" customFormat="1" ht="12.75" x14ac:dyDescent="0.2">
      <c r="B30566" s="1168"/>
    </row>
    <row r="30567" spans="2:2" s="221" customFormat="1" ht="12.75" x14ac:dyDescent="0.2">
      <c r="B30567" s="1168"/>
    </row>
    <row r="30568" spans="2:2" s="221" customFormat="1" ht="12.75" x14ac:dyDescent="0.2">
      <c r="B30568" s="1168"/>
    </row>
    <row r="30569" spans="2:2" s="221" customFormat="1" ht="12.75" x14ac:dyDescent="0.2">
      <c r="B30569" s="1168"/>
    </row>
    <row r="30570" spans="2:2" s="221" customFormat="1" ht="12.75" x14ac:dyDescent="0.2">
      <c r="B30570" s="1168"/>
    </row>
    <row r="30571" spans="2:2" s="221" customFormat="1" ht="12.75" x14ac:dyDescent="0.2">
      <c r="B30571" s="1168"/>
    </row>
    <row r="30572" spans="2:2" s="221" customFormat="1" ht="12.75" x14ac:dyDescent="0.2">
      <c r="B30572" s="1168"/>
    </row>
    <row r="30573" spans="2:2" s="221" customFormat="1" ht="12.75" x14ac:dyDescent="0.2">
      <c r="B30573" s="1168"/>
    </row>
    <row r="30574" spans="2:2" s="221" customFormat="1" ht="12.75" x14ac:dyDescent="0.2">
      <c r="B30574" s="1168"/>
    </row>
    <row r="30575" spans="2:2" s="221" customFormat="1" ht="12.75" x14ac:dyDescent="0.2">
      <c r="B30575" s="1168"/>
    </row>
    <row r="30576" spans="2:2" s="221" customFormat="1" ht="12.75" x14ac:dyDescent="0.2">
      <c r="B30576" s="1168"/>
    </row>
    <row r="30577" spans="2:2" s="221" customFormat="1" ht="12.75" x14ac:dyDescent="0.2">
      <c r="B30577" s="1168"/>
    </row>
    <row r="30578" spans="2:2" s="221" customFormat="1" ht="12.75" x14ac:dyDescent="0.2">
      <c r="B30578" s="1168"/>
    </row>
    <row r="30579" spans="2:2" s="221" customFormat="1" ht="12.75" x14ac:dyDescent="0.2">
      <c r="B30579" s="1168"/>
    </row>
    <row r="30580" spans="2:2" s="221" customFormat="1" ht="12.75" x14ac:dyDescent="0.2">
      <c r="B30580" s="1168"/>
    </row>
    <row r="30581" spans="2:2" s="221" customFormat="1" ht="12.75" x14ac:dyDescent="0.2">
      <c r="B30581" s="1168"/>
    </row>
    <row r="30582" spans="2:2" s="221" customFormat="1" ht="12.75" x14ac:dyDescent="0.2">
      <c r="B30582" s="1168"/>
    </row>
    <row r="30583" spans="2:2" s="221" customFormat="1" ht="12.75" x14ac:dyDescent="0.2">
      <c r="B30583" s="1168"/>
    </row>
    <row r="30584" spans="2:2" s="221" customFormat="1" ht="12.75" x14ac:dyDescent="0.2">
      <c r="B30584" s="1168"/>
    </row>
    <row r="30585" spans="2:2" s="221" customFormat="1" ht="12.75" x14ac:dyDescent="0.2">
      <c r="B30585" s="1168"/>
    </row>
    <row r="30586" spans="2:2" s="221" customFormat="1" ht="12.75" x14ac:dyDescent="0.2">
      <c r="B30586" s="1168"/>
    </row>
    <row r="30587" spans="2:2" s="221" customFormat="1" ht="12.75" x14ac:dyDescent="0.2">
      <c r="B30587" s="1168"/>
    </row>
    <row r="30588" spans="2:2" s="221" customFormat="1" ht="12.75" x14ac:dyDescent="0.2">
      <c r="B30588" s="1168"/>
    </row>
    <row r="30589" spans="2:2" s="221" customFormat="1" ht="12.75" x14ac:dyDescent="0.2">
      <c r="B30589" s="1168"/>
    </row>
    <row r="30590" spans="2:2" s="221" customFormat="1" ht="12.75" x14ac:dyDescent="0.2">
      <c r="B30590" s="1168"/>
    </row>
    <row r="30591" spans="2:2" s="221" customFormat="1" ht="12.75" x14ac:dyDescent="0.2">
      <c r="B30591" s="1168"/>
    </row>
    <row r="30592" spans="2:2" s="221" customFormat="1" ht="12.75" x14ac:dyDescent="0.2">
      <c r="B30592" s="1168"/>
    </row>
    <row r="30593" spans="2:2" s="221" customFormat="1" ht="12.75" x14ac:dyDescent="0.2">
      <c r="B30593" s="1168"/>
    </row>
    <row r="30594" spans="2:2" s="221" customFormat="1" ht="12.75" x14ac:dyDescent="0.2">
      <c r="B30594" s="1168"/>
    </row>
    <row r="30595" spans="2:2" s="221" customFormat="1" ht="12.75" x14ac:dyDescent="0.2">
      <c r="B30595" s="1168"/>
    </row>
    <row r="30596" spans="2:2" s="221" customFormat="1" ht="12.75" x14ac:dyDescent="0.2">
      <c r="B30596" s="1168"/>
    </row>
    <row r="30597" spans="2:2" s="221" customFormat="1" ht="12.75" x14ac:dyDescent="0.2">
      <c r="B30597" s="1168"/>
    </row>
    <row r="30598" spans="2:2" s="221" customFormat="1" ht="12.75" x14ac:dyDescent="0.2">
      <c r="B30598" s="1168"/>
    </row>
    <row r="30599" spans="2:2" s="221" customFormat="1" ht="12.75" x14ac:dyDescent="0.2">
      <c r="B30599" s="1168"/>
    </row>
    <row r="30600" spans="2:2" s="221" customFormat="1" ht="12.75" x14ac:dyDescent="0.2">
      <c r="B30600" s="1168"/>
    </row>
    <row r="30601" spans="2:2" s="221" customFormat="1" ht="12.75" x14ac:dyDescent="0.2">
      <c r="B30601" s="1168"/>
    </row>
    <row r="30602" spans="2:2" s="221" customFormat="1" ht="12.75" x14ac:dyDescent="0.2">
      <c r="B30602" s="1168"/>
    </row>
    <row r="30603" spans="2:2" s="221" customFormat="1" ht="12.75" x14ac:dyDescent="0.2">
      <c r="B30603" s="1168"/>
    </row>
    <row r="30604" spans="2:2" s="221" customFormat="1" ht="12.75" x14ac:dyDescent="0.2">
      <c r="B30604" s="1168"/>
    </row>
    <row r="30605" spans="2:2" s="221" customFormat="1" ht="12.75" x14ac:dyDescent="0.2">
      <c r="B30605" s="1168"/>
    </row>
    <row r="30606" spans="2:2" s="221" customFormat="1" ht="12.75" x14ac:dyDescent="0.2">
      <c r="B30606" s="1168"/>
    </row>
    <row r="30607" spans="2:2" s="221" customFormat="1" ht="12.75" x14ac:dyDescent="0.2">
      <c r="B30607" s="1168"/>
    </row>
    <row r="30608" spans="2:2" s="221" customFormat="1" ht="12.75" x14ac:dyDescent="0.2">
      <c r="B30608" s="1168"/>
    </row>
    <row r="30609" spans="2:2" s="221" customFormat="1" ht="12.75" x14ac:dyDescent="0.2">
      <c r="B30609" s="1168"/>
    </row>
    <row r="30610" spans="2:2" s="221" customFormat="1" ht="12.75" x14ac:dyDescent="0.2">
      <c r="B30610" s="1168"/>
    </row>
    <row r="30611" spans="2:2" s="221" customFormat="1" ht="12.75" x14ac:dyDescent="0.2">
      <c r="B30611" s="1168"/>
    </row>
    <row r="30612" spans="2:2" s="221" customFormat="1" ht="12.75" x14ac:dyDescent="0.2">
      <c r="B30612" s="1168"/>
    </row>
    <row r="30613" spans="2:2" s="221" customFormat="1" ht="12.75" x14ac:dyDescent="0.2">
      <c r="B30613" s="1168"/>
    </row>
    <row r="30614" spans="2:2" s="221" customFormat="1" ht="12.75" x14ac:dyDescent="0.2">
      <c r="B30614" s="1168"/>
    </row>
    <row r="30615" spans="2:2" s="221" customFormat="1" ht="12.75" x14ac:dyDescent="0.2">
      <c r="B30615" s="1168"/>
    </row>
    <row r="30616" spans="2:2" s="221" customFormat="1" ht="12.75" x14ac:dyDescent="0.2">
      <c r="B30616" s="1168"/>
    </row>
    <row r="30617" spans="2:2" s="221" customFormat="1" ht="12.75" x14ac:dyDescent="0.2">
      <c r="B30617" s="1168"/>
    </row>
    <row r="30618" spans="2:2" s="221" customFormat="1" ht="12.75" x14ac:dyDescent="0.2">
      <c r="B30618" s="1168"/>
    </row>
    <row r="30619" spans="2:2" s="221" customFormat="1" ht="12.75" x14ac:dyDescent="0.2">
      <c r="B30619" s="1168"/>
    </row>
    <row r="30620" spans="2:2" s="221" customFormat="1" ht="12.75" x14ac:dyDescent="0.2">
      <c r="B30620" s="1168"/>
    </row>
    <row r="30621" spans="2:2" s="221" customFormat="1" ht="12.75" x14ac:dyDescent="0.2">
      <c r="B30621" s="1168"/>
    </row>
    <row r="30622" spans="2:2" s="221" customFormat="1" ht="12.75" x14ac:dyDescent="0.2">
      <c r="B30622" s="1168"/>
    </row>
    <row r="30623" spans="2:2" s="221" customFormat="1" ht="12.75" x14ac:dyDescent="0.2">
      <c r="B30623" s="1168"/>
    </row>
    <row r="30624" spans="2:2" s="221" customFormat="1" ht="12.75" x14ac:dyDescent="0.2">
      <c r="B30624" s="1168"/>
    </row>
    <row r="30625" spans="2:2" s="221" customFormat="1" ht="12.75" x14ac:dyDescent="0.2">
      <c r="B30625" s="1168"/>
    </row>
    <row r="30626" spans="2:2" s="221" customFormat="1" ht="12.75" x14ac:dyDescent="0.2">
      <c r="B30626" s="1168"/>
    </row>
    <row r="30627" spans="2:2" s="221" customFormat="1" ht="12.75" x14ac:dyDescent="0.2">
      <c r="B30627" s="1168"/>
    </row>
    <row r="30628" spans="2:2" s="221" customFormat="1" ht="12.75" x14ac:dyDescent="0.2">
      <c r="B30628" s="1168"/>
    </row>
    <row r="30629" spans="2:2" s="221" customFormat="1" ht="12.75" x14ac:dyDescent="0.2">
      <c r="B30629" s="1168"/>
    </row>
    <row r="30630" spans="2:2" s="221" customFormat="1" ht="12.75" x14ac:dyDescent="0.2">
      <c r="B30630" s="1168"/>
    </row>
    <row r="30631" spans="2:2" s="221" customFormat="1" ht="12.75" x14ac:dyDescent="0.2">
      <c r="B30631" s="1168"/>
    </row>
    <row r="30632" spans="2:2" s="221" customFormat="1" ht="12.75" x14ac:dyDescent="0.2">
      <c r="B30632" s="1168"/>
    </row>
    <row r="30633" spans="2:2" s="221" customFormat="1" ht="12.75" x14ac:dyDescent="0.2">
      <c r="B30633" s="1168"/>
    </row>
    <row r="30634" spans="2:2" s="221" customFormat="1" ht="12.75" x14ac:dyDescent="0.2">
      <c r="B30634" s="1168"/>
    </row>
    <row r="30635" spans="2:2" s="221" customFormat="1" ht="12.75" x14ac:dyDescent="0.2">
      <c r="B30635" s="1168"/>
    </row>
    <row r="30636" spans="2:2" s="221" customFormat="1" ht="12.75" x14ac:dyDescent="0.2">
      <c r="B30636" s="1168"/>
    </row>
    <row r="30637" spans="2:2" s="221" customFormat="1" ht="12.75" x14ac:dyDescent="0.2">
      <c r="B30637" s="1168"/>
    </row>
    <row r="30638" spans="2:2" s="221" customFormat="1" ht="12.75" x14ac:dyDescent="0.2">
      <c r="B30638" s="1168"/>
    </row>
    <row r="30639" spans="2:2" s="221" customFormat="1" ht="12.75" x14ac:dyDescent="0.2">
      <c r="B30639" s="1168"/>
    </row>
    <row r="30640" spans="2:2" s="221" customFormat="1" ht="12.75" x14ac:dyDescent="0.2">
      <c r="B30640" s="1168"/>
    </row>
    <row r="30641" spans="2:2" s="221" customFormat="1" ht="12.75" x14ac:dyDescent="0.2">
      <c r="B30641" s="1168"/>
    </row>
    <row r="30642" spans="2:2" s="221" customFormat="1" ht="12.75" x14ac:dyDescent="0.2">
      <c r="B30642" s="1168"/>
    </row>
    <row r="30643" spans="2:2" s="221" customFormat="1" ht="12.75" x14ac:dyDescent="0.2">
      <c r="B30643" s="1168"/>
    </row>
    <row r="30644" spans="2:2" s="221" customFormat="1" ht="12.75" x14ac:dyDescent="0.2">
      <c r="B30644" s="1168"/>
    </row>
    <row r="30645" spans="2:2" s="221" customFormat="1" ht="12.75" x14ac:dyDescent="0.2">
      <c r="B30645" s="1168"/>
    </row>
    <row r="30646" spans="2:2" s="221" customFormat="1" ht="12.75" x14ac:dyDescent="0.2">
      <c r="B30646" s="1168"/>
    </row>
    <row r="30647" spans="2:2" s="221" customFormat="1" ht="12.75" x14ac:dyDescent="0.2">
      <c r="B30647" s="1168"/>
    </row>
    <row r="30648" spans="2:2" s="221" customFormat="1" ht="12.75" x14ac:dyDescent="0.2">
      <c r="B30648" s="1168"/>
    </row>
    <row r="30649" spans="2:2" s="221" customFormat="1" ht="12.75" x14ac:dyDescent="0.2">
      <c r="B30649" s="1168"/>
    </row>
    <row r="30650" spans="2:2" s="221" customFormat="1" ht="12.75" x14ac:dyDescent="0.2">
      <c r="B30650" s="1168"/>
    </row>
    <row r="30651" spans="2:2" s="221" customFormat="1" ht="12.75" x14ac:dyDescent="0.2">
      <c r="B30651" s="1168"/>
    </row>
    <row r="30652" spans="2:2" s="221" customFormat="1" ht="12.75" x14ac:dyDescent="0.2">
      <c r="B30652" s="1168"/>
    </row>
    <row r="30653" spans="2:2" s="221" customFormat="1" ht="12.75" x14ac:dyDescent="0.2">
      <c r="B30653" s="1168"/>
    </row>
    <row r="30654" spans="2:2" s="221" customFormat="1" ht="12.75" x14ac:dyDescent="0.2">
      <c r="B30654" s="1168"/>
    </row>
    <row r="30655" spans="2:2" s="221" customFormat="1" ht="12.75" x14ac:dyDescent="0.2">
      <c r="B30655" s="1168"/>
    </row>
    <row r="30656" spans="2:2" s="221" customFormat="1" ht="12.75" x14ac:dyDescent="0.2">
      <c r="B30656" s="1168"/>
    </row>
    <row r="30657" spans="2:2" s="221" customFormat="1" ht="12.75" x14ac:dyDescent="0.2">
      <c r="B30657" s="1168"/>
    </row>
    <row r="30658" spans="2:2" s="221" customFormat="1" ht="12.75" x14ac:dyDescent="0.2">
      <c r="B30658" s="1168"/>
    </row>
    <row r="30659" spans="2:2" s="221" customFormat="1" ht="12.75" x14ac:dyDescent="0.2">
      <c r="B30659" s="1168"/>
    </row>
    <row r="30660" spans="2:2" s="221" customFormat="1" ht="12.75" x14ac:dyDescent="0.2">
      <c r="B30660" s="1168"/>
    </row>
    <row r="30661" spans="2:2" s="221" customFormat="1" ht="12.75" x14ac:dyDescent="0.2">
      <c r="B30661" s="1168"/>
    </row>
    <row r="30662" spans="2:2" s="221" customFormat="1" ht="12.75" x14ac:dyDescent="0.2">
      <c r="B30662" s="1168"/>
    </row>
    <row r="30663" spans="2:2" s="221" customFormat="1" ht="12.75" x14ac:dyDescent="0.2">
      <c r="B30663" s="1168"/>
    </row>
    <row r="30664" spans="2:2" s="221" customFormat="1" ht="12.75" x14ac:dyDescent="0.2">
      <c r="B30664" s="1168"/>
    </row>
    <row r="30665" spans="2:2" s="221" customFormat="1" ht="12.75" x14ac:dyDescent="0.2">
      <c r="B30665" s="1168"/>
    </row>
    <row r="30666" spans="2:2" s="221" customFormat="1" ht="12.75" x14ac:dyDescent="0.2">
      <c r="B30666" s="1168"/>
    </row>
    <row r="30667" spans="2:2" s="221" customFormat="1" ht="12.75" x14ac:dyDescent="0.2">
      <c r="B30667" s="1168"/>
    </row>
    <row r="30668" spans="2:2" s="221" customFormat="1" ht="12.75" x14ac:dyDescent="0.2">
      <c r="B30668" s="1168"/>
    </row>
    <row r="30669" spans="2:2" s="221" customFormat="1" ht="12.75" x14ac:dyDescent="0.2">
      <c r="B30669" s="1168"/>
    </row>
    <row r="30670" spans="2:2" s="221" customFormat="1" ht="12.75" x14ac:dyDescent="0.2">
      <c r="B30670" s="1168"/>
    </row>
    <row r="30671" spans="2:2" s="221" customFormat="1" ht="12.75" x14ac:dyDescent="0.2">
      <c r="B30671" s="1168"/>
    </row>
    <row r="30672" spans="2:2" s="221" customFormat="1" ht="12.75" x14ac:dyDescent="0.2">
      <c r="B30672" s="1168"/>
    </row>
    <row r="30673" spans="2:2" s="221" customFormat="1" ht="12.75" x14ac:dyDescent="0.2">
      <c r="B30673" s="1168"/>
    </row>
    <row r="30674" spans="2:2" s="221" customFormat="1" ht="12.75" x14ac:dyDescent="0.2">
      <c r="B30674" s="1168"/>
    </row>
    <row r="30675" spans="2:2" s="221" customFormat="1" ht="12.75" x14ac:dyDescent="0.2">
      <c r="B30675" s="1168"/>
    </row>
    <row r="30676" spans="2:2" s="221" customFormat="1" ht="12.75" x14ac:dyDescent="0.2">
      <c r="B30676" s="1168"/>
    </row>
    <row r="30677" spans="2:2" s="221" customFormat="1" ht="12.75" x14ac:dyDescent="0.2">
      <c r="B30677" s="1168"/>
    </row>
    <row r="30678" spans="2:2" s="221" customFormat="1" ht="12.75" x14ac:dyDescent="0.2">
      <c r="B30678" s="1168"/>
    </row>
    <row r="30679" spans="2:2" s="221" customFormat="1" ht="12.75" x14ac:dyDescent="0.2">
      <c r="B30679" s="1168"/>
    </row>
    <row r="30680" spans="2:2" s="221" customFormat="1" ht="12.75" x14ac:dyDescent="0.2">
      <c r="B30680" s="1168"/>
    </row>
    <row r="30681" spans="2:2" s="221" customFormat="1" ht="12.75" x14ac:dyDescent="0.2">
      <c r="B30681" s="1168"/>
    </row>
    <row r="30682" spans="2:2" s="221" customFormat="1" ht="12.75" x14ac:dyDescent="0.2">
      <c r="B30682" s="1168"/>
    </row>
    <row r="30683" spans="2:2" s="221" customFormat="1" ht="12.75" x14ac:dyDescent="0.2">
      <c r="B30683" s="1168"/>
    </row>
    <row r="30684" spans="2:2" s="221" customFormat="1" ht="12.75" x14ac:dyDescent="0.2">
      <c r="B30684" s="1168"/>
    </row>
    <row r="30685" spans="2:2" s="221" customFormat="1" ht="12.75" x14ac:dyDescent="0.2">
      <c r="B30685" s="1168"/>
    </row>
    <row r="30686" spans="2:2" s="221" customFormat="1" ht="12.75" x14ac:dyDescent="0.2">
      <c r="B30686" s="1168"/>
    </row>
    <row r="30687" spans="2:2" s="221" customFormat="1" ht="12.75" x14ac:dyDescent="0.2">
      <c r="B30687" s="1168"/>
    </row>
    <row r="30688" spans="2:2" s="221" customFormat="1" ht="12.75" x14ac:dyDescent="0.2">
      <c r="B30688" s="1168"/>
    </row>
    <row r="30689" spans="2:2" s="221" customFormat="1" ht="12.75" x14ac:dyDescent="0.2">
      <c r="B30689" s="1168"/>
    </row>
    <row r="30690" spans="2:2" s="221" customFormat="1" ht="12.75" x14ac:dyDescent="0.2">
      <c r="B30690" s="1168"/>
    </row>
    <row r="30691" spans="2:2" s="221" customFormat="1" ht="12.75" x14ac:dyDescent="0.2">
      <c r="B30691" s="1168"/>
    </row>
    <row r="30692" spans="2:2" s="221" customFormat="1" ht="12.75" x14ac:dyDescent="0.2">
      <c r="B30692" s="1168"/>
    </row>
    <row r="30693" spans="2:2" s="221" customFormat="1" ht="12.75" x14ac:dyDescent="0.2">
      <c r="B30693" s="1168"/>
    </row>
    <row r="30694" spans="2:2" s="221" customFormat="1" ht="12.75" x14ac:dyDescent="0.2">
      <c r="B30694" s="1168"/>
    </row>
    <row r="30695" spans="2:2" s="221" customFormat="1" ht="12.75" x14ac:dyDescent="0.2">
      <c r="B30695" s="1168"/>
    </row>
    <row r="30696" spans="2:2" s="221" customFormat="1" ht="12.75" x14ac:dyDescent="0.2">
      <c r="B30696" s="1168"/>
    </row>
    <row r="30697" spans="2:2" s="221" customFormat="1" ht="12.75" x14ac:dyDescent="0.2">
      <c r="B30697" s="1168"/>
    </row>
    <row r="30698" spans="2:2" s="221" customFormat="1" ht="12.75" x14ac:dyDescent="0.2">
      <c r="B30698" s="1168"/>
    </row>
    <row r="30699" spans="2:2" s="221" customFormat="1" ht="12.75" x14ac:dyDescent="0.2">
      <c r="B30699" s="1168"/>
    </row>
    <row r="30700" spans="2:2" s="221" customFormat="1" ht="12.75" x14ac:dyDescent="0.2">
      <c r="B30700" s="1168"/>
    </row>
    <row r="30701" spans="2:2" s="221" customFormat="1" ht="12.75" x14ac:dyDescent="0.2">
      <c r="B30701" s="1168"/>
    </row>
    <row r="30702" spans="2:2" s="221" customFormat="1" ht="12.75" x14ac:dyDescent="0.2">
      <c r="B30702" s="1168"/>
    </row>
    <row r="30703" spans="2:2" s="221" customFormat="1" ht="12.75" x14ac:dyDescent="0.2">
      <c r="B30703" s="1168"/>
    </row>
    <row r="30704" spans="2:2" s="221" customFormat="1" ht="12.75" x14ac:dyDescent="0.2">
      <c r="B30704" s="1168"/>
    </row>
    <row r="30705" spans="2:2" s="221" customFormat="1" ht="12.75" x14ac:dyDescent="0.2">
      <c r="B30705" s="1168"/>
    </row>
    <row r="30706" spans="2:2" s="221" customFormat="1" ht="12.75" x14ac:dyDescent="0.2">
      <c r="B30706" s="1168"/>
    </row>
    <row r="30707" spans="2:2" s="221" customFormat="1" ht="12.75" x14ac:dyDescent="0.2">
      <c r="B30707" s="1168"/>
    </row>
    <row r="30708" spans="2:2" s="221" customFormat="1" ht="12.75" x14ac:dyDescent="0.2">
      <c r="B30708" s="1168"/>
    </row>
    <row r="30709" spans="2:2" s="221" customFormat="1" ht="12.75" x14ac:dyDescent="0.2">
      <c r="B30709" s="1168"/>
    </row>
    <row r="30710" spans="2:2" s="221" customFormat="1" ht="12.75" x14ac:dyDescent="0.2">
      <c r="B30710" s="1168"/>
    </row>
    <row r="30711" spans="2:2" s="221" customFormat="1" ht="12.75" x14ac:dyDescent="0.2">
      <c r="B30711" s="1168"/>
    </row>
    <row r="30712" spans="2:2" s="221" customFormat="1" ht="12.75" x14ac:dyDescent="0.2">
      <c r="B30712" s="1168"/>
    </row>
    <row r="30713" spans="2:2" s="221" customFormat="1" ht="12.75" x14ac:dyDescent="0.2">
      <c r="B30713" s="1168"/>
    </row>
    <row r="30714" spans="2:2" s="221" customFormat="1" ht="12.75" x14ac:dyDescent="0.2">
      <c r="B30714" s="1168"/>
    </row>
    <row r="30715" spans="2:2" s="221" customFormat="1" ht="12.75" x14ac:dyDescent="0.2">
      <c r="B30715" s="1168"/>
    </row>
    <row r="30716" spans="2:2" s="221" customFormat="1" ht="12.75" x14ac:dyDescent="0.2">
      <c r="B30716" s="1168"/>
    </row>
    <row r="30717" spans="2:2" s="221" customFormat="1" ht="12.75" x14ac:dyDescent="0.2">
      <c r="B30717" s="1168"/>
    </row>
    <row r="30718" spans="2:2" s="221" customFormat="1" ht="12.75" x14ac:dyDescent="0.2">
      <c r="B30718" s="1168"/>
    </row>
    <row r="30719" spans="2:2" s="221" customFormat="1" ht="12.75" x14ac:dyDescent="0.2">
      <c r="B30719" s="1168"/>
    </row>
    <row r="30720" spans="2:2" s="221" customFormat="1" ht="12.75" x14ac:dyDescent="0.2">
      <c r="B30720" s="1168"/>
    </row>
    <row r="30721" spans="2:2" s="221" customFormat="1" ht="12.75" x14ac:dyDescent="0.2">
      <c r="B30721" s="1168"/>
    </row>
    <row r="30722" spans="2:2" s="221" customFormat="1" ht="12.75" x14ac:dyDescent="0.2">
      <c r="B30722" s="1168"/>
    </row>
    <row r="30723" spans="2:2" s="221" customFormat="1" ht="12.75" x14ac:dyDescent="0.2">
      <c r="B30723" s="1168"/>
    </row>
    <row r="30724" spans="2:2" s="221" customFormat="1" ht="12.75" x14ac:dyDescent="0.2">
      <c r="B30724" s="1168"/>
    </row>
    <row r="30725" spans="2:2" s="221" customFormat="1" ht="12.75" x14ac:dyDescent="0.2">
      <c r="B30725" s="1168"/>
    </row>
    <row r="30726" spans="2:2" s="221" customFormat="1" ht="12.75" x14ac:dyDescent="0.2">
      <c r="B30726" s="1168"/>
    </row>
    <row r="30727" spans="2:2" s="221" customFormat="1" ht="12.75" x14ac:dyDescent="0.2">
      <c r="B30727" s="1168"/>
    </row>
    <row r="30728" spans="2:2" s="221" customFormat="1" ht="12.75" x14ac:dyDescent="0.2">
      <c r="B30728" s="1168"/>
    </row>
    <row r="30729" spans="2:2" s="221" customFormat="1" ht="12.75" x14ac:dyDescent="0.2">
      <c r="B30729" s="1168"/>
    </row>
    <row r="30730" spans="2:2" s="221" customFormat="1" ht="12.75" x14ac:dyDescent="0.2">
      <c r="B30730" s="1168"/>
    </row>
    <row r="30731" spans="2:2" s="221" customFormat="1" ht="12.75" x14ac:dyDescent="0.2">
      <c r="B30731" s="1168"/>
    </row>
    <row r="30732" spans="2:2" s="221" customFormat="1" ht="12.75" x14ac:dyDescent="0.2">
      <c r="B30732" s="1168"/>
    </row>
    <row r="30733" spans="2:2" s="221" customFormat="1" ht="12.75" x14ac:dyDescent="0.2">
      <c r="B30733" s="1168"/>
    </row>
    <row r="30734" spans="2:2" s="221" customFormat="1" ht="12.75" x14ac:dyDescent="0.2">
      <c r="B30734" s="1168"/>
    </row>
    <row r="30735" spans="2:2" s="221" customFormat="1" ht="12.75" x14ac:dyDescent="0.2">
      <c r="B30735" s="1168"/>
    </row>
    <row r="30736" spans="2:2" s="221" customFormat="1" ht="12.75" x14ac:dyDescent="0.2">
      <c r="B30736" s="1168"/>
    </row>
    <row r="30737" spans="2:2" s="221" customFormat="1" ht="12.75" x14ac:dyDescent="0.2">
      <c r="B30737" s="1168"/>
    </row>
    <row r="30738" spans="2:2" s="221" customFormat="1" ht="12.75" x14ac:dyDescent="0.2">
      <c r="B30738" s="1168"/>
    </row>
    <row r="30739" spans="2:2" s="221" customFormat="1" ht="12.75" x14ac:dyDescent="0.2">
      <c r="B30739" s="1168"/>
    </row>
    <row r="30740" spans="2:2" s="221" customFormat="1" ht="12.75" x14ac:dyDescent="0.2">
      <c r="B30740" s="1168"/>
    </row>
    <row r="30741" spans="2:2" s="221" customFormat="1" ht="12.75" x14ac:dyDescent="0.2">
      <c r="B30741" s="1168"/>
    </row>
    <row r="30742" spans="2:2" s="221" customFormat="1" ht="12.75" x14ac:dyDescent="0.2">
      <c r="B30742" s="1168"/>
    </row>
    <row r="30743" spans="2:2" s="221" customFormat="1" ht="12.75" x14ac:dyDescent="0.2">
      <c r="B30743" s="1168"/>
    </row>
    <row r="30744" spans="2:2" s="221" customFormat="1" ht="12.75" x14ac:dyDescent="0.2">
      <c r="B30744" s="1168"/>
    </row>
    <row r="30745" spans="2:2" s="221" customFormat="1" ht="12.75" x14ac:dyDescent="0.2">
      <c r="B30745" s="1168"/>
    </row>
    <row r="30746" spans="2:2" s="221" customFormat="1" ht="12.75" x14ac:dyDescent="0.2">
      <c r="B30746" s="1168"/>
    </row>
    <row r="30747" spans="2:2" s="221" customFormat="1" ht="12.75" x14ac:dyDescent="0.2">
      <c r="B30747" s="1168"/>
    </row>
    <row r="30748" spans="2:2" s="221" customFormat="1" ht="12.75" x14ac:dyDescent="0.2">
      <c r="B30748" s="1168"/>
    </row>
    <row r="30749" spans="2:2" s="221" customFormat="1" ht="12.75" x14ac:dyDescent="0.2">
      <c r="B30749" s="1168"/>
    </row>
    <row r="30750" spans="2:2" s="221" customFormat="1" ht="12.75" x14ac:dyDescent="0.2">
      <c r="B30750" s="1168"/>
    </row>
    <row r="30751" spans="2:2" s="221" customFormat="1" ht="12.75" x14ac:dyDescent="0.2">
      <c r="B30751" s="1168"/>
    </row>
    <row r="30752" spans="2:2" s="221" customFormat="1" ht="12.75" x14ac:dyDescent="0.2">
      <c r="B30752" s="1168"/>
    </row>
    <row r="30753" spans="2:2" s="221" customFormat="1" ht="12.75" x14ac:dyDescent="0.2">
      <c r="B30753" s="1168"/>
    </row>
    <row r="30754" spans="2:2" s="221" customFormat="1" ht="12.75" x14ac:dyDescent="0.2">
      <c r="B30754" s="1168"/>
    </row>
    <row r="30755" spans="2:2" s="221" customFormat="1" ht="12.75" x14ac:dyDescent="0.2">
      <c r="B30755" s="1168"/>
    </row>
    <row r="30756" spans="2:2" s="221" customFormat="1" ht="12.75" x14ac:dyDescent="0.2">
      <c r="B30756" s="1168"/>
    </row>
    <row r="30757" spans="2:2" s="221" customFormat="1" ht="12.75" x14ac:dyDescent="0.2">
      <c r="B30757" s="1168"/>
    </row>
    <row r="30758" spans="2:2" s="221" customFormat="1" ht="12.75" x14ac:dyDescent="0.2">
      <c r="B30758" s="1168"/>
    </row>
    <row r="30759" spans="2:2" s="221" customFormat="1" ht="12.75" x14ac:dyDescent="0.2">
      <c r="B30759" s="1168"/>
    </row>
    <row r="30760" spans="2:2" s="221" customFormat="1" ht="12.75" x14ac:dyDescent="0.2">
      <c r="B30760" s="1168"/>
    </row>
    <row r="30761" spans="2:2" s="221" customFormat="1" ht="12.75" x14ac:dyDescent="0.2">
      <c r="B30761" s="1168"/>
    </row>
    <row r="30762" spans="2:2" s="221" customFormat="1" ht="12.75" x14ac:dyDescent="0.2">
      <c r="B30762" s="1168"/>
    </row>
    <row r="30763" spans="2:2" s="221" customFormat="1" ht="12.75" x14ac:dyDescent="0.2">
      <c r="B30763" s="1168"/>
    </row>
    <row r="30764" spans="2:2" s="221" customFormat="1" ht="12.75" x14ac:dyDescent="0.2">
      <c r="B30764" s="1168"/>
    </row>
    <row r="30765" spans="2:2" s="221" customFormat="1" ht="12.75" x14ac:dyDescent="0.2">
      <c r="B30765" s="1168"/>
    </row>
    <row r="30766" spans="2:2" s="221" customFormat="1" ht="12.75" x14ac:dyDescent="0.2">
      <c r="B30766" s="1168"/>
    </row>
    <row r="30767" spans="2:2" s="221" customFormat="1" ht="12.75" x14ac:dyDescent="0.2">
      <c r="B30767" s="1168"/>
    </row>
    <row r="30768" spans="2:2" s="221" customFormat="1" ht="12.75" x14ac:dyDescent="0.2">
      <c r="B30768" s="1168"/>
    </row>
    <row r="30769" spans="2:2" s="221" customFormat="1" ht="12.75" x14ac:dyDescent="0.2">
      <c r="B30769" s="1168"/>
    </row>
    <row r="30770" spans="2:2" s="221" customFormat="1" ht="12.75" x14ac:dyDescent="0.2">
      <c r="B30770" s="1168"/>
    </row>
    <row r="30771" spans="2:2" s="221" customFormat="1" ht="12.75" x14ac:dyDescent="0.2">
      <c r="B30771" s="1168"/>
    </row>
    <row r="30772" spans="2:2" s="221" customFormat="1" ht="12.75" x14ac:dyDescent="0.2">
      <c r="B30772" s="1168"/>
    </row>
    <row r="30773" spans="2:2" s="221" customFormat="1" ht="12.75" x14ac:dyDescent="0.2">
      <c r="B30773" s="1168"/>
    </row>
    <row r="30774" spans="2:2" s="221" customFormat="1" ht="12.75" x14ac:dyDescent="0.2">
      <c r="B30774" s="1168"/>
    </row>
    <row r="30775" spans="2:2" s="221" customFormat="1" ht="12.75" x14ac:dyDescent="0.2">
      <c r="B30775" s="1168"/>
    </row>
    <row r="30776" spans="2:2" s="221" customFormat="1" ht="12.75" x14ac:dyDescent="0.2">
      <c r="B30776" s="1168"/>
    </row>
    <row r="30777" spans="2:2" s="221" customFormat="1" ht="12.75" x14ac:dyDescent="0.2">
      <c r="B30777" s="1168"/>
    </row>
    <row r="30778" spans="2:2" s="221" customFormat="1" ht="12.75" x14ac:dyDescent="0.2">
      <c r="B30778" s="1168"/>
    </row>
    <row r="30779" spans="2:2" s="221" customFormat="1" ht="12.75" x14ac:dyDescent="0.2">
      <c r="B30779" s="1168"/>
    </row>
    <row r="30780" spans="2:2" s="221" customFormat="1" ht="12.75" x14ac:dyDescent="0.2">
      <c r="B30780" s="1168"/>
    </row>
    <row r="30781" spans="2:2" s="221" customFormat="1" ht="12.75" x14ac:dyDescent="0.2">
      <c r="B30781" s="1168"/>
    </row>
    <row r="30782" spans="2:2" s="221" customFormat="1" ht="12.75" x14ac:dyDescent="0.2">
      <c r="B30782" s="1168"/>
    </row>
    <row r="30783" spans="2:2" s="221" customFormat="1" ht="12.75" x14ac:dyDescent="0.2">
      <c r="B30783" s="1168"/>
    </row>
    <row r="30784" spans="2:2" s="221" customFormat="1" ht="12.75" x14ac:dyDescent="0.2">
      <c r="B30784" s="1168"/>
    </row>
    <row r="30785" spans="2:2" s="221" customFormat="1" ht="12.75" x14ac:dyDescent="0.2">
      <c r="B30785" s="1168"/>
    </row>
    <row r="30786" spans="2:2" s="221" customFormat="1" ht="12.75" x14ac:dyDescent="0.2">
      <c r="B30786" s="1168"/>
    </row>
    <row r="30787" spans="2:2" s="221" customFormat="1" ht="12.75" x14ac:dyDescent="0.2">
      <c r="B30787" s="1168"/>
    </row>
    <row r="30788" spans="2:2" s="221" customFormat="1" ht="12.75" x14ac:dyDescent="0.2">
      <c r="B30788" s="1168"/>
    </row>
    <row r="30789" spans="2:2" s="221" customFormat="1" ht="12.75" x14ac:dyDescent="0.2">
      <c r="B30789" s="1168"/>
    </row>
    <row r="30790" spans="2:2" s="221" customFormat="1" ht="12.75" x14ac:dyDescent="0.2">
      <c r="B30790" s="1168"/>
    </row>
    <row r="30791" spans="2:2" s="221" customFormat="1" ht="12.75" x14ac:dyDescent="0.2">
      <c r="B30791" s="1168"/>
    </row>
    <row r="30792" spans="2:2" s="221" customFormat="1" ht="12.75" x14ac:dyDescent="0.2">
      <c r="B30792" s="1168"/>
    </row>
    <row r="30793" spans="2:2" s="221" customFormat="1" ht="12.75" x14ac:dyDescent="0.2">
      <c r="B30793" s="1168"/>
    </row>
    <row r="30794" spans="2:2" s="221" customFormat="1" ht="12.75" x14ac:dyDescent="0.2">
      <c r="B30794" s="1168"/>
    </row>
    <row r="30795" spans="2:2" s="221" customFormat="1" ht="12.75" x14ac:dyDescent="0.2">
      <c r="B30795" s="1168"/>
    </row>
    <row r="30796" spans="2:2" s="221" customFormat="1" ht="12.75" x14ac:dyDescent="0.2">
      <c r="B30796" s="1168"/>
    </row>
    <row r="30797" spans="2:2" s="221" customFormat="1" ht="12.75" x14ac:dyDescent="0.2">
      <c r="B30797" s="1168"/>
    </row>
    <row r="30798" spans="2:2" s="221" customFormat="1" ht="12.75" x14ac:dyDescent="0.2">
      <c r="B30798" s="1168"/>
    </row>
    <row r="30799" spans="2:2" s="221" customFormat="1" ht="12.75" x14ac:dyDescent="0.2">
      <c r="B30799" s="1168"/>
    </row>
    <row r="30800" spans="2:2" s="221" customFormat="1" ht="12.75" x14ac:dyDescent="0.2">
      <c r="B30800" s="1168"/>
    </row>
    <row r="30801" spans="2:2" s="221" customFormat="1" ht="12.75" x14ac:dyDescent="0.2">
      <c r="B30801" s="1168"/>
    </row>
    <row r="30802" spans="2:2" s="221" customFormat="1" ht="12.75" x14ac:dyDescent="0.2">
      <c r="B30802" s="1168"/>
    </row>
    <row r="30803" spans="2:2" s="221" customFormat="1" ht="12.75" x14ac:dyDescent="0.2">
      <c r="B30803" s="1168"/>
    </row>
    <row r="30804" spans="2:2" s="221" customFormat="1" ht="12.75" x14ac:dyDescent="0.2">
      <c r="B30804" s="1168"/>
    </row>
    <row r="30805" spans="2:2" s="221" customFormat="1" ht="12.75" x14ac:dyDescent="0.2">
      <c r="B30805" s="1168"/>
    </row>
    <row r="30806" spans="2:2" s="221" customFormat="1" ht="12.75" x14ac:dyDescent="0.2">
      <c r="B30806" s="1168"/>
    </row>
    <row r="30807" spans="2:2" s="221" customFormat="1" ht="12.75" x14ac:dyDescent="0.2">
      <c r="B30807" s="1168"/>
    </row>
    <row r="30808" spans="2:2" s="221" customFormat="1" ht="12.75" x14ac:dyDescent="0.2">
      <c r="B30808" s="1168"/>
    </row>
    <row r="30809" spans="2:2" s="221" customFormat="1" ht="12.75" x14ac:dyDescent="0.2">
      <c r="B30809" s="1168"/>
    </row>
    <row r="30810" spans="2:2" s="221" customFormat="1" ht="12.75" x14ac:dyDescent="0.2">
      <c r="B30810" s="1168"/>
    </row>
    <row r="30811" spans="2:2" s="221" customFormat="1" ht="12.75" x14ac:dyDescent="0.2">
      <c r="B30811" s="1168"/>
    </row>
    <row r="30812" spans="2:2" s="221" customFormat="1" ht="12.75" x14ac:dyDescent="0.2">
      <c r="B30812" s="1168"/>
    </row>
    <row r="30813" spans="2:2" s="221" customFormat="1" ht="12.75" x14ac:dyDescent="0.2">
      <c r="B30813" s="1168"/>
    </row>
    <row r="30814" spans="2:2" s="221" customFormat="1" ht="12.75" x14ac:dyDescent="0.2">
      <c r="B30814" s="1168"/>
    </row>
    <row r="30815" spans="2:2" s="221" customFormat="1" ht="12.75" x14ac:dyDescent="0.2">
      <c r="B30815" s="1168"/>
    </row>
    <row r="30816" spans="2:2" s="221" customFormat="1" ht="12.75" x14ac:dyDescent="0.2">
      <c r="B30816" s="1168"/>
    </row>
    <row r="30817" spans="2:2" s="221" customFormat="1" ht="12.75" x14ac:dyDescent="0.2">
      <c r="B30817" s="1168"/>
    </row>
    <row r="30818" spans="2:2" s="221" customFormat="1" ht="12.75" x14ac:dyDescent="0.2">
      <c r="B30818" s="1168"/>
    </row>
    <row r="30819" spans="2:2" s="221" customFormat="1" ht="12.75" x14ac:dyDescent="0.2">
      <c r="B30819" s="1168"/>
    </row>
    <row r="30820" spans="2:2" s="221" customFormat="1" ht="12.75" x14ac:dyDescent="0.2">
      <c r="B30820" s="1168"/>
    </row>
    <row r="30821" spans="2:2" s="221" customFormat="1" ht="12.75" x14ac:dyDescent="0.2">
      <c r="B30821" s="1168"/>
    </row>
    <row r="30822" spans="2:2" s="221" customFormat="1" ht="12.75" x14ac:dyDescent="0.2">
      <c r="B30822" s="1168"/>
    </row>
    <row r="30823" spans="2:2" s="221" customFormat="1" ht="12.75" x14ac:dyDescent="0.2">
      <c r="B30823" s="1168"/>
    </row>
    <row r="30824" spans="2:2" s="221" customFormat="1" ht="12.75" x14ac:dyDescent="0.2">
      <c r="B30824" s="1168"/>
    </row>
    <row r="30825" spans="2:2" s="221" customFormat="1" ht="12.75" x14ac:dyDescent="0.2">
      <c r="B30825" s="1168"/>
    </row>
    <row r="30826" spans="2:2" s="221" customFormat="1" ht="12.75" x14ac:dyDescent="0.2">
      <c r="B30826" s="1168"/>
    </row>
    <row r="30827" spans="2:2" s="221" customFormat="1" ht="12.75" x14ac:dyDescent="0.2">
      <c r="B30827" s="1168"/>
    </row>
    <row r="30828" spans="2:2" s="221" customFormat="1" ht="12.75" x14ac:dyDescent="0.2">
      <c r="B30828" s="1168"/>
    </row>
    <row r="30829" spans="2:2" s="221" customFormat="1" ht="12.75" x14ac:dyDescent="0.2">
      <c r="B30829" s="1168"/>
    </row>
    <row r="30830" spans="2:2" s="221" customFormat="1" ht="12.75" x14ac:dyDescent="0.2">
      <c r="B30830" s="1168"/>
    </row>
    <row r="30831" spans="2:2" s="221" customFormat="1" ht="12.75" x14ac:dyDescent="0.2">
      <c r="B30831" s="1168"/>
    </row>
    <row r="30832" spans="2:2" s="221" customFormat="1" ht="12.75" x14ac:dyDescent="0.2">
      <c r="B30832" s="1168"/>
    </row>
    <row r="30833" spans="2:2" s="221" customFormat="1" ht="12.75" x14ac:dyDescent="0.2">
      <c r="B30833" s="1168"/>
    </row>
    <row r="30834" spans="2:2" s="221" customFormat="1" ht="12.75" x14ac:dyDescent="0.2">
      <c r="B30834" s="1168"/>
    </row>
    <row r="30835" spans="2:2" s="221" customFormat="1" ht="12.75" x14ac:dyDescent="0.2">
      <c r="B30835" s="1168"/>
    </row>
    <row r="30836" spans="2:2" s="221" customFormat="1" ht="12.75" x14ac:dyDescent="0.2">
      <c r="B30836" s="1168"/>
    </row>
    <row r="30837" spans="2:2" s="221" customFormat="1" ht="12.75" x14ac:dyDescent="0.2">
      <c r="B30837" s="1168"/>
    </row>
    <row r="30838" spans="2:2" s="221" customFormat="1" ht="12.75" x14ac:dyDescent="0.2">
      <c r="B30838" s="1168"/>
    </row>
    <row r="30839" spans="2:2" s="221" customFormat="1" ht="12.75" x14ac:dyDescent="0.2">
      <c r="B30839" s="1168"/>
    </row>
    <row r="30840" spans="2:2" s="221" customFormat="1" ht="12.75" x14ac:dyDescent="0.2">
      <c r="B30840" s="1168"/>
    </row>
    <row r="30841" spans="2:2" s="221" customFormat="1" ht="12.75" x14ac:dyDescent="0.2">
      <c r="B30841" s="1168"/>
    </row>
    <row r="30842" spans="2:2" s="221" customFormat="1" ht="12.75" x14ac:dyDescent="0.2">
      <c r="B30842" s="1168"/>
    </row>
    <row r="30843" spans="2:2" s="221" customFormat="1" ht="12.75" x14ac:dyDescent="0.2">
      <c r="B30843" s="1168"/>
    </row>
    <row r="30844" spans="2:2" s="221" customFormat="1" ht="12.75" x14ac:dyDescent="0.2">
      <c r="B30844" s="1168"/>
    </row>
    <row r="30845" spans="2:2" s="221" customFormat="1" ht="12.75" x14ac:dyDescent="0.2">
      <c r="B30845" s="1168"/>
    </row>
    <row r="30846" spans="2:2" s="221" customFormat="1" ht="12.75" x14ac:dyDescent="0.2">
      <c r="B30846" s="1168"/>
    </row>
    <row r="30847" spans="2:2" s="221" customFormat="1" ht="12.75" x14ac:dyDescent="0.2">
      <c r="B30847" s="1168"/>
    </row>
    <row r="30848" spans="2:2" s="221" customFormat="1" ht="12.75" x14ac:dyDescent="0.2">
      <c r="B30848" s="1168"/>
    </row>
    <row r="30849" spans="2:2" s="221" customFormat="1" ht="12.75" x14ac:dyDescent="0.2">
      <c r="B30849" s="1168"/>
    </row>
    <row r="30850" spans="2:2" s="221" customFormat="1" ht="12.75" x14ac:dyDescent="0.2">
      <c r="B30850" s="1168"/>
    </row>
    <row r="30851" spans="2:2" s="221" customFormat="1" ht="12.75" x14ac:dyDescent="0.2">
      <c r="B30851" s="1168"/>
    </row>
    <row r="30852" spans="2:2" s="221" customFormat="1" ht="12.75" x14ac:dyDescent="0.2">
      <c r="B30852" s="1168"/>
    </row>
    <row r="30853" spans="2:2" s="221" customFormat="1" ht="12.75" x14ac:dyDescent="0.2">
      <c r="B30853" s="1168"/>
    </row>
    <row r="30854" spans="2:2" s="221" customFormat="1" ht="12.75" x14ac:dyDescent="0.2">
      <c r="B30854" s="1168"/>
    </row>
    <row r="30855" spans="2:2" s="221" customFormat="1" ht="12.75" x14ac:dyDescent="0.2">
      <c r="B30855" s="1168"/>
    </row>
    <row r="30856" spans="2:2" s="221" customFormat="1" ht="12.75" x14ac:dyDescent="0.2">
      <c r="B30856" s="1168"/>
    </row>
    <row r="30857" spans="2:2" s="221" customFormat="1" ht="12.75" x14ac:dyDescent="0.2">
      <c r="B30857" s="1168"/>
    </row>
    <row r="30858" spans="2:2" s="221" customFormat="1" ht="12.75" x14ac:dyDescent="0.2">
      <c r="B30858" s="1168"/>
    </row>
    <row r="30859" spans="2:2" s="221" customFormat="1" ht="12.75" x14ac:dyDescent="0.2">
      <c r="B30859" s="1168"/>
    </row>
    <row r="30860" spans="2:2" s="221" customFormat="1" ht="12.75" x14ac:dyDescent="0.2">
      <c r="B30860" s="1168"/>
    </row>
    <row r="30861" spans="2:2" s="221" customFormat="1" ht="12.75" x14ac:dyDescent="0.2">
      <c r="B30861" s="1168"/>
    </row>
    <row r="30862" spans="2:2" s="221" customFormat="1" ht="12.75" x14ac:dyDescent="0.2">
      <c r="B30862" s="1168"/>
    </row>
    <row r="30863" spans="2:2" s="221" customFormat="1" ht="12.75" x14ac:dyDescent="0.2">
      <c r="B30863" s="1168"/>
    </row>
    <row r="30864" spans="2:2" s="221" customFormat="1" ht="12.75" x14ac:dyDescent="0.2">
      <c r="B30864" s="1168"/>
    </row>
    <row r="30865" spans="2:2" s="221" customFormat="1" ht="12.75" x14ac:dyDescent="0.2">
      <c r="B30865" s="1168"/>
    </row>
    <row r="30866" spans="2:2" s="221" customFormat="1" ht="12.75" x14ac:dyDescent="0.2">
      <c r="B30866" s="1168"/>
    </row>
    <row r="30867" spans="2:2" s="221" customFormat="1" ht="12.75" x14ac:dyDescent="0.2">
      <c r="B30867" s="1168"/>
    </row>
    <row r="30868" spans="2:2" s="221" customFormat="1" ht="12.75" x14ac:dyDescent="0.2">
      <c r="B30868" s="1168"/>
    </row>
    <row r="30869" spans="2:2" s="221" customFormat="1" ht="12.75" x14ac:dyDescent="0.2">
      <c r="B30869" s="1168"/>
    </row>
    <row r="30870" spans="2:2" s="221" customFormat="1" ht="12.75" x14ac:dyDescent="0.2">
      <c r="B30870" s="1168"/>
    </row>
    <row r="30871" spans="2:2" s="221" customFormat="1" ht="12.75" x14ac:dyDescent="0.2">
      <c r="B30871" s="1168"/>
    </row>
    <row r="30872" spans="2:2" s="221" customFormat="1" ht="12.75" x14ac:dyDescent="0.2">
      <c r="B30872" s="1168"/>
    </row>
    <row r="30873" spans="2:2" s="221" customFormat="1" ht="12.75" x14ac:dyDescent="0.2">
      <c r="B30873" s="1168"/>
    </row>
    <row r="30874" spans="2:2" s="221" customFormat="1" ht="12.75" x14ac:dyDescent="0.2">
      <c r="B30874" s="1168"/>
    </row>
    <row r="30875" spans="2:2" s="221" customFormat="1" ht="12.75" x14ac:dyDescent="0.2">
      <c r="B30875" s="1168"/>
    </row>
    <row r="30876" spans="2:2" s="221" customFormat="1" ht="12.75" x14ac:dyDescent="0.2">
      <c r="B30876" s="1168"/>
    </row>
    <row r="30877" spans="2:2" s="221" customFormat="1" ht="12.75" x14ac:dyDescent="0.2">
      <c r="B30877" s="1168"/>
    </row>
    <row r="30878" spans="2:2" s="221" customFormat="1" ht="12.75" x14ac:dyDescent="0.2">
      <c r="B30878" s="1168"/>
    </row>
    <row r="30879" spans="2:2" s="221" customFormat="1" ht="12.75" x14ac:dyDescent="0.2">
      <c r="B30879" s="1168"/>
    </row>
    <row r="30880" spans="2:2" s="221" customFormat="1" ht="12.75" x14ac:dyDescent="0.2">
      <c r="B30880" s="1168"/>
    </row>
    <row r="30881" spans="2:2" s="221" customFormat="1" ht="12.75" x14ac:dyDescent="0.2">
      <c r="B30881" s="1168"/>
    </row>
    <row r="30882" spans="2:2" s="221" customFormat="1" ht="12.75" x14ac:dyDescent="0.2">
      <c r="B30882" s="1168"/>
    </row>
    <row r="30883" spans="2:2" s="221" customFormat="1" ht="12.75" x14ac:dyDescent="0.2">
      <c r="B30883" s="1168"/>
    </row>
    <row r="30884" spans="2:2" s="221" customFormat="1" ht="12.75" x14ac:dyDescent="0.2">
      <c r="B30884" s="1168"/>
    </row>
    <row r="30885" spans="2:2" s="221" customFormat="1" ht="12.75" x14ac:dyDescent="0.2">
      <c r="B30885" s="1168"/>
    </row>
    <row r="30886" spans="2:2" s="221" customFormat="1" ht="12.75" x14ac:dyDescent="0.2">
      <c r="B30886" s="1168"/>
    </row>
    <row r="30887" spans="2:2" s="221" customFormat="1" ht="12.75" x14ac:dyDescent="0.2">
      <c r="B30887" s="1168"/>
    </row>
    <row r="30888" spans="2:2" s="221" customFormat="1" ht="12.75" x14ac:dyDescent="0.2">
      <c r="B30888" s="1168"/>
    </row>
    <row r="30889" spans="2:2" s="221" customFormat="1" ht="12.75" x14ac:dyDescent="0.2">
      <c r="B30889" s="1168"/>
    </row>
    <row r="30890" spans="2:2" s="221" customFormat="1" ht="12.75" x14ac:dyDescent="0.2">
      <c r="B30890" s="1168"/>
    </row>
    <row r="30891" spans="2:2" s="221" customFormat="1" ht="12.75" x14ac:dyDescent="0.2">
      <c r="B30891" s="1168"/>
    </row>
    <row r="30892" spans="2:2" s="221" customFormat="1" ht="12.75" x14ac:dyDescent="0.2">
      <c r="B30892" s="1168"/>
    </row>
    <row r="30893" spans="2:2" s="221" customFormat="1" ht="12.75" x14ac:dyDescent="0.2">
      <c r="B30893" s="1168"/>
    </row>
    <row r="30894" spans="2:2" s="221" customFormat="1" ht="12.75" x14ac:dyDescent="0.2">
      <c r="B30894" s="1168"/>
    </row>
    <row r="30895" spans="2:2" s="221" customFormat="1" ht="12.75" x14ac:dyDescent="0.2">
      <c r="B30895" s="1168"/>
    </row>
    <row r="30896" spans="2:2" s="221" customFormat="1" ht="12.75" x14ac:dyDescent="0.2">
      <c r="B30896" s="1168"/>
    </row>
    <row r="30897" spans="2:2" s="221" customFormat="1" ht="12.75" x14ac:dyDescent="0.2">
      <c r="B30897" s="1168"/>
    </row>
    <row r="30898" spans="2:2" s="221" customFormat="1" ht="12.75" x14ac:dyDescent="0.2">
      <c r="B30898" s="1168"/>
    </row>
    <row r="30899" spans="2:2" s="221" customFormat="1" ht="12.75" x14ac:dyDescent="0.2">
      <c r="B30899" s="1168"/>
    </row>
    <row r="30900" spans="2:2" s="221" customFormat="1" ht="12.75" x14ac:dyDescent="0.2">
      <c r="B30900" s="1168"/>
    </row>
    <row r="30901" spans="2:2" s="221" customFormat="1" ht="12.75" x14ac:dyDescent="0.2">
      <c r="B30901" s="1168"/>
    </row>
    <row r="30902" spans="2:2" s="221" customFormat="1" ht="12.75" x14ac:dyDescent="0.2">
      <c r="B30902" s="1168"/>
    </row>
    <row r="30903" spans="2:2" s="221" customFormat="1" ht="12.75" x14ac:dyDescent="0.2">
      <c r="B30903" s="1168"/>
    </row>
    <row r="30904" spans="2:2" s="221" customFormat="1" ht="12.75" x14ac:dyDescent="0.2">
      <c r="B30904" s="1168"/>
    </row>
    <row r="30905" spans="2:2" s="221" customFormat="1" ht="12.75" x14ac:dyDescent="0.2">
      <c r="B30905" s="1168"/>
    </row>
    <row r="30906" spans="2:2" s="221" customFormat="1" ht="12.75" x14ac:dyDescent="0.2">
      <c r="B30906" s="1168"/>
    </row>
    <row r="30907" spans="2:2" s="221" customFormat="1" ht="12.75" x14ac:dyDescent="0.2">
      <c r="B30907" s="1168"/>
    </row>
    <row r="30908" spans="2:2" s="221" customFormat="1" ht="12.75" x14ac:dyDescent="0.2">
      <c r="B30908" s="1168"/>
    </row>
    <row r="30909" spans="2:2" s="221" customFormat="1" ht="12.75" x14ac:dyDescent="0.2">
      <c r="B30909" s="1168"/>
    </row>
    <row r="30910" spans="2:2" s="221" customFormat="1" ht="12.75" x14ac:dyDescent="0.2">
      <c r="B30910" s="1168"/>
    </row>
    <row r="30911" spans="2:2" s="221" customFormat="1" ht="12.75" x14ac:dyDescent="0.2">
      <c r="B30911" s="1168"/>
    </row>
    <row r="30912" spans="2:2" s="221" customFormat="1" ht="12.75" x14ac:dyDescent="0.2">
      <c r="B30912" s="1168"/>
    </row>
    <row r="30913" spans="2:2" s="221" customFormat="1" ht="12.75" x14ac:dyDescent="0.2">
      <c r="B30913" s="1168"/>
    </row>
    <row r="30914" spans="2:2" s="221" customFormat="1" ht="12.75" x14ac:dyDescent="0.2">
      <c r="B30914" s="1168"/>
    </row>
    <row r="30915" spans="2:2" s="221" customFormat="1" ht="12.75" x14ac:dyDescent="0.2">
      <c r="B30915" s="1168"/>
    </row>
    <row r="30916" spans="2:2" s="221" customFormat="1" ht="12.75" x14ac:dyDescent="0.2">
      <c r="B30916" s="1168"/>
    </row>
    <row r="30917" spans="2:2" s="221" customFormat="1" ht="12.75" x14ac:dyDescent="0.2">
      <c r="B30917" s="1168"/>
    </row>
    <row r="30918" spans="2:2" s="221" customFormat="1" ht="12.75" x14ac:dyDescent="0.2">
      <c r="B30918" s="1168"/>
    </row>
    <row r="30919" spans="2:2" s="221" customFormat="1" ht="12.75" x14ac:dyDescent="0.2">
      <c r="B30919" s="1168"/>
    </row>
    <row r="30920" spans="2:2" s="221" customFormat="1" ht="12.75" x14ac:dyDescent="0.2">
      <c r="B30920" s="1168"/>
    </row>
    <row r="30921" spans="2:2" s="221" customFormat="1" ht="12.75" x14ac:dyDescent="0.2">
      <c r="B30921" s="1168"/>
    </row>
    <row r="30922" spans="2:2" s="221" customFormat="1" ht="12.75" x14ac:dyDescent="0.2">
      <c r="B30922" s="1168"/>
    </row>
    <row r="30923" spans="2:2" s="221" customFormat="1" ht="12.75" x14ac:dyDescent="0.2">
      <c r="B30923" s="1168"/>
    </row>
    <row r="30924" spans="2:2" s="221" customFormat="1" ht="12.75" x14ac:dyDescent="0.2">
      <c r="B30924" s="1168"/>
    </row>
    <row r="30925" spans="2:2" s="221" customFormat="1" ht="12.75" x14ac:dyDescent="0.2">
      <c r="B30925" s="1168"/>
    </row>
    <row r="30926" spans="2:2" s="221" customFormat="1" ht="12.75" x14ac:dyDescent="0.2">
      <c r="B30926" s="1168"/>
    </row>
    <row r="30927" spans="2:2" s="221" customFormat="1" ht="12.75" x14ac:dyDescent="0.2">
      <c r="B30927" s="1168"/>
    </row>
    <row r="30928" spans="2:2" s="221" customFormat="1" ht="12.75" x14ac:dyDescent="0.2">
      <c r="B30928" s="1168"/>
    </row>
    <row r="30929" spans="2:2" s="221" customFormat="1" ht="12.75" x14ac:dyDescent="0.2">
      <c r="B30929" s="1168"/>
    </row>
    <row r="30930" spans="2:2" s="221" customFormat="1" ht="12.75" x14ac:dyDescent="0.2">
      <c r="B30930" s="1168"/>
    </row>
    <row r="30931" spans="2:2" s="221" customFormat="1" ht="12.75" x14ac:dyDescent="0.2">
      <c r="B30931" s="1168"/>
    </row>
    <row r="30932" spans="2:2" s="221" customFormat="1" ht="12.75" x14ac:dyDescent="0.2">
      <c r="B30932" s="1168"/>
    </row>
    <row r="30933" spans="2:2" s="221" customFormat="1" ht="12.75" x14ac:dyDescent="0.2">
      <c r="B30933" s="1168"/>
    </row>
    <row r="30934" spans="2:2" s="221" customFormat="1" ht="12.75" x14ac:dyDescent="0.2">
      <c r="B30934" s="1168"/>
    </row>
    <row r="30935" spans="2:2" s="221" customFormat="1" ht="12.75" x14ac:dyDescent="0.2">
      <c r="B30935" s="1168"/>
    </row>
    <row r="30936" spans="2:2" s="221" customFormat="1" ht="12.75" x14ac:dyDescent="0.2">
      <c r="B30936" s="1168"/>
    </row>
    <row r="30937" spans="2:2" s="221" customFormat="1" ht="12.75" x14ac:dyDescent="0.2">
      <c r="B30937" s="1168"/>
    </row>
    <row r="30938" spans="2:2" s="221" customFormat="1" ht="12.75" x14ac:dyDescent="0.2">
      <c r="B30938" s="1168"/>
    </row>
    <row r="30939" spans="2:2" s="221" customFormat="1" ht="12.75" x14ac:dyDescent="0.2">
      <c r="B30939" s="1168"/>
    </row>
    <row r="30940" spans="2:2" s="221" customFormat="1" ht="12.75" x14ac:dyDescent="0.2">
      <c r="B30940" s="1168"/>
    </row>
    <row r="30941" spans="2:2" s="221" customFormat="1" ht="12.75" x14ac:dyDescent="0.2">
      <c r="B30941" s="1168"/>
    </row>
    <row r="30942" spans="2:2" s="221" customFormat="1" ht="12.75" x14ac:dyDescent="0.2">
      <c r="B30942" s="1168"/>
    </row>
    <row r="30943" spans="2:2" s="221" customFormat="1" ht="12.75" x14ac:dyDescent="0.2">
      <c r="B30943" s="1168"/>
    </row>
    <row r="30944" spans="2:2" s="221" customFormat="1" ht="12.75" x14ac:dyDescent="0.2">
      <c r="B30944" s="1168"/>
    </row>
    <row r="30945" spans="2:2" s="221" customFormat="1" ht="12.75" x14ac:dyDescent="0.2">
      <c r="B30945" s="1168"/>
    </row>
    <row r="30946" spans="2:2" s="221" customFormat="1" ht="12.75" x14ac:dyDescent="0.2">
      <c r="B30946" s="1168"/>
    </row>
    <row r="30947" spans="2:2" s="221" customFormat="1" ht="12.75" x14ac:dyDescent="0.2">
      <c r="B30947" s="1168"/>
    </row>
    <row r="30948" spans="2:2" s="221" customFormat="1" ht="12.75" x14ac:dyDescent="0.2">
      <c r="B30948" s="1168"/>
    </row>
    <row r="30949" spans="2:2" s="221" customFormat="1" ht="12.75" x14ac:dyDescent="0.2">
      <c r="B30949" s="1168"/>
    </row>
    <row r="30950" spans="2:2" s="221" customFormat="1" ht="12.75" x14ac:dyDescent="0.2">
      <c r="B30950" s="1168"/>
    </row>
    <row r="30951" spans="2:2" s="221" customFormat="1" ht="12.75" x14ac:dyDescent="0.2">
      <c r="B30951" s="1168"/>
    </row>
    <row r="30952" spans="2:2" s="221" customFormat="1" ht="12.75" x14ac:dyDescent="0.2">
      <c r="B30952" s="1168"/>
    </row>
    <row r="30953" spans="2:2" s="221" customFormat="1" ht="12.75" x14ac:dyDescent="0.2">
      <c r="B30953" s="1168"/>
    </row>
    <row r="30954" spans="2:2" s="221" customFormat="1" ht="12.75" x14ac:dyDescent="0.2">
      <c r="B30954" s="1168"/>
    </row>
    <row r="30955" spans="2:2" s="221" customFormat="1" ht="12.75" x14ac:dyDescent="0.2">
      <c r="B30955" s="1168"/>
    </row>
    <row r="30956" spans="2:2" s="221" customFormat="1" ht="12.75" x14ac:dyDescent="0.2">
      <c r="B30956" s="1168"/>
    </row>
    <row r="30957" spans="2:2" s="221" customFormat="1" ht="12.75" x14ac:dyDescent="0.2">
      <c r="B30957" s="1168"/>
    </row>
    <row r="30958" spans="2:2" s="221" customFormat="1" ht="12.75" x14ac:dyDescent="0.2">
      <c r="B30958" s="1168"/>
    </row>
    <row r="30959" spans="2:2" s="221" customFormat="1" ht="12.75" x14ac:dyDescent="0.2">
      <c r="B30959" s="1168"/>
    </row>
    <row r="30960" spans="2:2" s="221" customFormat="1" ht="12.75" x14ac:dyDescent="0.2">
      <c r="B30960" s="1168"/>
    </row>
    <row r="30961" spans="2:2" s="221" customFormat="1" ht="12.75" x14ac:dyDescent="0.2">
      <c r="B30961" s="1168"/>
    </row>
    <row r="30962" spans="2:2" s="221" customFormat="1" ht="12.75" x14ac:dyDescent="0.2">
      <c r="B30962" s="1168"/>
    </row>
    <row r="30963" spans="2:2" s="221" customFormat="1" ht="12.75" x14ac:dyDescent="0.2">
      <c r="B30963" s="1168"/>
    </row>
    <row r="30964" spans="2:2" s="221" customFormat="1" ht="12.75" x14ac:dyDescent="0.2">
      <c r="B30964" s="1168"/>
    </row>
    <row r="30965" spans="2:2" s="221" customFormat="1" ht="12.75" x14ac:dyDescent="0.2">
      <c r="B30965" s="1168"/>
    </row>
    <row r="30966" spans="2:2" s="221" customFormat="1" ht="12.75" x14ac:dyDescent="0.2">
      <c r="B30966" s="1168"/>
    </row>
    <row r="30967" spans="2:2" s="221" customFormat="1" ht="12.75" x14ac:dyDescent="0.2">
      <c r="B30967" s="1168"/>
    </row>
    <row r="30968" spans="2:2" s="221" customFormat="1" ht="12.75" x14ac:dyDescent="0.2">
      <c r="B30968" s="1168"/>
    </row>
    <row r="30969" spans="2:2" s="221" customFormat="1" ht="12.75" x14ac:dyDescent="0.2">
      <c r="B30969" s="1168"/>
    </row>
    <row r="30970" spans="2:2" s="221" customFormat="1" ht="12.75" x14ac:dyDescent="0.2">
      <c r="B30970" s="1168"/>
    </row>
    <row r="30971" spans="2:2" s="221" customFormat="1" ht="12.75" x14ac:dyDescent="0.2">
      <c r="B30971" s="1168"/>
    </row>
    <row r="30972" spans="2:2" s="221" customFormat="1" ht="12.75" x14ac:dyDescent="0.2">
      <c r="B30972" s="1168"/>
    </row>
    <row r="30973" spans="2:2" s="221" customFormat="1" ht="12.75" x14ac:dyDescent="0.2">
      <c r="B30973" s="1168"/>
    </row>
    <row r="30974" spans="2:2" s="221" customFormat="1" ht="12.75" x14ac:dyDescent="0.2">
      <c r="B30974" s="1168"/>
    </row>
    <row r="30975" spans="2:2" s="221" customFormat="1" ht="12.75" x14ac:dyDescent="0.2">
      <c r="B30975" s="1168"/>
    </row>
    <row r="30976" spans="2:2" s="221" customFormat="1" ht="12.75" x14ac:dyDescent="0.2">
      <c r="B30976" s="1168"/>
    </row>
    <row r="30977" spans="2:2" s="221" customFormat="1" ht="12.75" x14ac:dyDescent="0.2">
      <c r="B30977" s="1168"/>
    </row>
    <row r="30978" spans="2:2" s="221" customFormat="1" ht="12.75" x14ac:dyDescent="0.2">
      <c r="B30978" s="1168"/>
    </row>
    <row r="30979" spans="2:2" s="221" customFormat="1" ht="12.75" x14ac:dyDescent="0.2">
      <c r="B30979" s="1168"/>
    </row>
    <row r="30980" spans="2:2" s="221" customFormat="1" ht="12.75" x14ac:dyDescent="0.2">
      <c r="B30980" s="1168"/>
    </row>
    <row r="30981" spans="2:2" s="221" customFormat="1" ht="12.75" x14ac:dyDescent="0.2">
      <c r="B30981" s="1168"/>
    </row>
    <row r="30982" spans="2:2" s="221" customFormat="1" ht="12.75" x14ac:dyDescent="0.2">
      <c r="B30982" s="1168"/>
    </row>
    <row r="30983" spans="2:2" s="221" customFormat="1" ht="12.75" x14ac:dyDescent="0.2">
      <c r="B30983" s="1168"/>
    </row>
    <row r="30984" spans="2:2" s="221" customFormat="1" ht="12.75" x14ac:dyDescent="0.2">
      <c r="B30984" s="1168"/>
    </row>
    <row r="30985" spans="2:2" s="221" customFormat="1" ht="12.75" x14ac:dyDescent="0.2">
      <c r="B30985" s="1168"/>
    </row>
    <row r="30986" spans="2:2" s="221" customFormat="1" ht="12.75" x14ac:dyDescent="0.2">
      <c r="B30986" s="1168"/>
    </row>
    <row r="30987" spans="2:2" s="221" customFormat="1" ht="12.75" x14ac:dyDescent="0.2">
      <c r="B30987" s="1168"/>
    </row>
    <row r="30988" spans="2:2" s="221" customFormat="1" ht="12.75" x14ac:dyDescent="0.2">
      <c r="B30988" s="1168"/>
    </row>
    <row r="30989" spans="2:2" s="221" customFormat="1" ht="12.75" x14ac:dyDescent="0.2">
      <c r="B30989" s="1168"/>
    </row>
    <row r="30990" spans="2:2" s="221" customFormat="1" ht="12.75" x14ac:dyDescent="0.2">
      <c r="B30990" s="1168"/>
    </row>
    <row r="30991" spans="2:2" s="221" customFormat="1" ht="12.75" x14ac:dyDescent="0.2">
      <c r="B30991" s="1168"/>
    </row>
    <row r="30992" spans="2:2" s="221" customFormat="1" ht="12.75" x14ac:dyDescent="0.2">
      <c r="B30992" s="1168"/>
    </row>
    <row r="30993" spans="2:2" s="221" customFormat="1" ht="12.75" x14ac:dyDescent="0.2">
      <c r="B30993" s="1168"/>
    </row>
    <row r="30994" spans="2:2" s="221" customFormat="1" ht="12.75" x14ac:dyDescent="0.2">
      <c r="B30994" s="1168"/>
    </row>
    <row r="30995" spans="2:2" s="221" customFormat="1" ht="12.75" x14ac:dyDescent="0.2">
      <c r="B30995" s="1168"/>
    </row>
    <row r="30996" spans="2:2" s="221" customFormat="1" ht="12.75" x14ac:dyDescent="0.2">
      <c r="B30996" s="1168"/>
    </row>
    <row r="30997" spans="2:2" s="221" customFormat="1" ht="12.75" x14ac:dyDescent="0.2">
      <c r="B30997" s="1168"/>
    </row>
    <row r="30998" spans="2:2" s="221" customFormat="1" ht="12.75" x14ac:dyDescent="0.2">
      <c r="B30998" s="1168"/>
    </row>
    <row r="30999" spans="2:2" s="221" customFormat="1" ht="12.75" x14ac:dyDescent="0.2">
      <c r="B30999" s="1168"/>
    </row>
    <row r="31000" spans="2:2" s="221" customFormat="1" ht="12.75" x14ac:dyDescent="0.2">
      <c r="B31000" s="1168"/>
    </row>
    <row r="31001" spans="2:2" s="221" customFormat="1" ht="12.75" x14ac:dyDescent="0.2">
      <c r="B31001" s="1168"/>
    </row>
    <row r="31002" spans="2:2" s="221" customFormat="1" ht="12.75" x14ac:dyDescent="0.2">
      <c r="B31002" s="1168"/>
    </row>
    <row r="31003" spans="2:2" s="221" customFormat="1" ht="12.75" x14ac:dyDescent="0.2">
      <c r="B31003" s="1168"/>
    </row>
    <row r="31004" spans="2:2" s="221" customFormat="1" ht="12.75" x14ac:dyDescent="0.2">
      <c r="B31004" s="1168"/>
    </row>
    <row r="31005" spans="2:2" s="221" customFormat="1" ht="12.75" x14ac:dyDescent="0.2">
      <c r="B31005" s="1168"/>
    </row>
    <row r="31006" spans="2:2" s="221" customFormat="1" ht="12.75" x14ac:dyDescent="0.2">
      <c r="B31006" s="1168"/>
    </row>
    <row r="31007" spans="2:2" s="221" customFormat="1" ht="12.75" x14ac:dyDescent="0.2">
      <c r="B31007" s="1168"/>
    </row>
    <row r="31008" spans="2:2" s="221" customFormat="1" ht="12.75" x14ac:dyDescent="0.2">
      <c r="B31008" s="1168"/>
    </row>
    <row r="31009" spans="2:2" s="221" customFormat="1" ht="12.75" x14ac:dyDescent="0.2">
      <c r="B31009" s="1168"/>
    </row>
    <row r="31010" spans="2:2" s="221" customFormat="1" ht="12.75" x14ac:dyDescent="0.2">
      <c r="B31010" s="1168"/>
    </row>
    <row r="31011" spans="2:2" s="221" customFormat="1" ht="12.75" x14ac:dyDescent="0.2">
      <c r="B31011" s="1168"/>
    </row>
    <row r="31012" spans="2:2" s="221" customFormat="1" ht="12.75" x14ac:dyDescent="0.2">
      <c r="B31012" s="1168"/>
    </row>
    <row r="31013" spans="2:2" s="221" customFormat="1" ht="12.75" x14ac:dyDescent="0.2">
      <c r="B31013" s="1168"/>
    </row>
    <row r="31014" spans="2:2" s="221" customFormat="1" ht="12.75" x14ac:dyDescent="0.2">
      <c r="B31014" s="1168"/>
    </row>
    <row r="31015" spans="2:2" s="221" customFormat="1" ht="12.75" x14ac:dyDescent="0.2">
      <c r="B31015" s="1168"/>
    </row>
    <row r="31016" spans="2:2" s="221" customFormat="1" ht="12.75" x14ac:dyDescent="0.2">
      <c r="B31016" s="1168"/>
    </row>
    <row r="31017" spans="2:2" s="221" customFormat="1" ht="12.75" x14ac:dyDescent="0.2">
      <c r="B31017" s="1168"/>
    </row>
    <row r="31018" spans="2:2" s="221" customFormat="1" ht="12.75" x14ac:dyDescent="0.2">
      <c r="B31018" s="1168"/>
    </row>
    <row r="31019" spans="2:2" s="221" customFormat="1" ht="12.75" x14ac:dyDescent="0.2">
      <c r="B31019" s="1168"/>
    </row>
    <row r="31020" spans="2:2" s="221" customFormat="1" ht="12.75" x14ac:dyDescent="0.2">
      <c r="B31020" s="1168"/>
    </row>
    <row r="31021" spans="2:2" s="221" customFormat="1" ht="12.75" x14ac:dyDescent="0.2">
      <c r="B31021" s="1168"/>
    </row>
    <row r="31022" spans="2:2" s="221" customFormat="1" ht="12.75" x14ac:dyDescent="0.2">
      <c r="B31022" s="1168"/>
    </row>
    <row r="31023" spans="2:2" s="221" customFormat="1" ht="12.75" x14ac:dyDescent="0.2">
      <c r="B31023" s="1168"/>
    </row>
    <row r="31024" spans="2:2" s="221" customFormat="1" ht="12.75" x14ac:dyDescent="0.2">
      <c r="B31024" s="1168"/>
    </row>
    <row r="31025" spans="2:2" s="221" customFormat="1" ht="12.75" x14ac:dyDescent="0.2">
      <c r="B31025" s="1168"/>
    </row>
    <row r="31026" spans="2:2" s="221" customFormat="1" ht="12.75" x14ac:dyDescent="0.2">
      <c r="B31026" s="1168"/>
    </row>
    <row r="31027" spans="2:2" s="221" customFormat="1" ht="12.75" x14ac:dyDescent="0.2">
      <c r="B31027" s="1168"/>
    </row>
    <row r="31028" spans="2:2" s="221" customFormat="1" ht="12.75" x14ac:dyDescent="0.2">
      <c r="B31028" s="1168"/>
    </row>
    <row r="31029" spans="2:2" s="221" customFormat="1" ht="12.75" x14ac:dyDescent="0.2">
      <c r="B31029" s="1168"/>
    </row>
    <row r="31030" spans="2:2" s="221" customFormat="1" ht="12.75" x14ac:dyDescent="0.2">
      <c r="B31030" s="1168"/>
    </row>
    <row r="31031" spans="2:2" s="221" customFormat="1" ht="12.75" x14ac:dyDescent="0.2">
      <c r="B31031" s="1168"/>
    </row>
    <row r="31032" spans="2:2" s="221" customFormat="1" ht="12.75" x14ac:dyDescent="0.2">
      <c r="B31032" s="1168"/>
    </row>
    <row r="31033" spans="2:2" s="221" customFormat="1" ht="12.75" x14ac:dyDescent="0.2">
      <c r="B31033" s="1168"/>
    </row>
    <row r="31034" spans="2:2" s="221" customFormat="1" ht="12.75" x14ac:dyDescent="0.2">
      <c r="B31034" s="1168"/>
    </row>
    <row r="31035" spans="2:2" s="221" customFormat="1" ht="12.75" x14ac:dyDescent="0.2">
      <c r="B31035" s="1168"/>
    </row>
    <row r="31036" spans="2:2" s="221" customFormat="1" ht="12.75" x14ac:dyDescent="0.2">
      <c r="B31036" s="1168"/>
    </row>
    <row r="31037" spans="2:2" s="221" customFormat="1" ht="12.75" x14ac:dyDescent="0.2">
      <c r="B31037" s="1168"/>
    </row>
    <row r="31038" spans="2:2" s="221" customFormat="1" ht="12.75" x14ac:dyDescent="0.2">
      <c r="B31038" s="1168"/>
    </row>
    <row r="31039" spans="2:2" s="221" customFormat="1" ht="12.75" x14ac:dyDescent="0.2">
      <c r="B31039" s="1168"/>
    </row>
    <row r="31040" spans="2:2" s="221" customFormat="1" ht="12.75" x14ac:dyDescent="0.2">
      <c r="B31040" s="1168"/>
    </row>
    <row r="31041" spans="2:2" s="221" customFormat="1" ht="12.75" x14ac:dyDescent="0.2">
      <c r="B31041" s="1168"/>
    </row>
    <row r="31042" spans="2:2" s="221" customFormat="1" ht="12.75" x14ac:dyDescent="0.2">
      <c r="B31042" s="1168"/>
    </row>
    <row r="31043" spans="2:2" s="221" customFormat="1" ht="12.75" x14ac:dyDescent="0.2">
      <c r="B31043" s="1168"/>
    </row>
    <row r="31044" spans="2:2" s="221" customFormat="1" ht="12.75" x14ac:dyDescent="0.2">
      <c r="B31044" s="1168"/>
    </row>
    <row r="31045" spans="2:2" s="221" customFormat="1" ht="12.75" x14ac:dyDescent="0.2">
      <c r="B31045" s="1168"/>
    </row>
    <row r="31046" spans="2:2" s="221" customFormat="1" ht="12.75" x14ac:dyDescent="0.2">
      <c r="B31046" s="1168"/>
    </row>
    <row r="31047" spans="2:2" s="221" customFormat="1" ht="12.75" x14ac:dyDescent="0.2">
      <c r="B31047" s="1168"/>
    </row>
    <row r="31048" spans="2:2" s="221" customFormat="1" ht="12.75" x14ac:dyDescent="0.2">
      <c r="B31048" s="1168"/>
    </row>
    <row r="31049" spans="2:2" s="221" customFormat="1" ht="12.75" x14ac:dyDescent="0.2">
      <c r="B31049" s="1168"/>
    </row>
    <row r="31050" spans="2:2" s="221" customFormat="1" ht="12.75" x14ac:dyDescent="0.2">
      <c r="B31050" s="1168"/>
    </row>
    <row r="31051" spans="2:2" s="221" customFormat="1" ht="12.75" x14ac:dyDescent="0.2">
      <c r="B31051" s="1168"/>
    </row>
    <row r="31052" spans="2:2" s="221" customFormat="1" ht="12.75" x14ac:dyDescent="0.2">
      <c r="B31052" s="1168"/>
    </row>
    <row r="31053" spans="2:2" s="221" customFormat="1" ht="12.75" x14ac:dyDescent="0.2">
      <c r="B31053" s="1168"/>
    </row>
    <row r="31054" spans="2:2" s="221" customFormat="1" ht="12.75" x14ac:dyDescent="0.2">
      <c r="B31054" s="1168"/>
    </row>
    <row r="31055" spans="2:2" s="221" customFormat="1" ht="12.75" x14ac:dyDescent="0.2">
      <c r="B31055" s="1168"/>
    </row>
    <row r="31056" spans="2:2" s="221" customFormat="1" ht="12.75" x14ac:dyDescent="0.2">
      <c r="B31056" s="1168"/>
    </row>
    <row r="31057" spans="2:2" s="221" customFormat="1" ht="12.75" x14ac:dyDescent="0.2">
      <c r="B31057" s="1168"/>
    </row>
    <row r="31058" spans="2:2" s="221" customFormat="1" ht="12.75" x14ac:dyDescent="0.2">
      <c r="B31058" s="1168"/>
    </row>
    <row r="31059" spans="2:2" s="221" customFormat="1" ht="12.75" x14ac:dyDescent="0.2">
      <c r="B31059" s="1168"/>
    </row>
    <row r="31060" spans="2:2" s="221" customFormat="1" ht="12.75" x14ac:dyDescent="0.2">
      <c r="B31060" s="1168"/>
    </row>
    <row r="31061" spans="2:2" s="221" customFormat="1" ht="12.75" x14ac:dyDescent="0.2">
      <c r="B31061" s="1168"/>
    </row>
    <row r="31062" spans="2:2" s="221" customFormat="1" ht="12.75" x14ac:dyDescent="0.2">
      <c r="B31062" s="1168"/>
    </row>
    <row r="31063" spans="2:2" s="221" customFormat="1" ht="12.75" x14ac:dyDescent="0.2">
      <c r="B31063" s="1168"/>
    </row>
    <row r="31064" spans="2:2" s="221" customFormat="1" ht="12.75" x14ac:dyDescent="0.2">
      <c r="B31064" s="1168"/>
    </row>
    <row r="31065" spans="2:2" s="221" customFormat="1" ht="12.75" x14ac:dyDescent="0.2">
      <c r="B31065" s="1168"/>
    </row>
    <row r="31066" spans="2:2" s="221" customFormat="1" ht="12.75" x14ac:dyDescent="0.2">
      <c r="B31066" s="1168"/>
    </row>
    <row r="31067" spans="2:2" s="221" customFormat="1" ht="12.75" x14ac:dyDescent="0.2">
      <c r="B31067" s="1168"/>
    </row>
    <row r="31068" spans="2:2" s="221" customFormat="1" ht="12.75" x14ac:dyDescent="0.2">
      <c r="B31068" s="1168"/>
    </row>
    <row r="31069" spans="2:2" s="221" customFormat="1" ht="12.75" x14ac:dyDescent="0.2">
      <c r="B31069" s="1168"/>
    </row>
    <row r="31070" spans="2:2" s="221" customFormat="1" ht="12.75" x14ac:dyDescent="0.2">
      <c r="B31070" s="1168"/>
    </row>
    <row r="31071" spans="2:2" s="221" customFormat="1" ht="12.75" x14ac:dyDescent="0.2">
      <c r="B31071" s="1168"/>
    </row>
    <row r="31072" spans="2:2" s="221" customFormat="1" ht="12.75" x14ac:dyDescent="0.2">
      <c r="B31072" s="1168"/>
    </row>
    <row r="31073" spans="2:2" s="221" customFormat="1" ht="12.75" x14ac:dyDescent="0.2">
      <c r="B31073" s="1168"/>
    </row>
    <row r="31074" spans="2:2" s="221" customFormat="1" ht="12.75" x14ac:dyDescent="0.2">
      <c r="B31074" s="1168"/>
    </row>
    <row r="31075" spans="2:2" s="221" customFormat="1" ht="12.75" x14ac:dyDescent="0.2">
      <c r="B31075" s="1168"/>
    </row>
    <row r="31076" spans="2:2" s="221" customFormat="1" ht="12.75" x14ac:dyDescent="0.2">
      <c r="B31076" s="1168"/>
    </row>
    <row r="31077" spans="2:2" s="221" customFormat="1" ht="12.75" x14ac:dyDescent="0.2">
      <c r="B31077" s="1168"/>
    </row>
    <row r="31078" spans="2:2" s="221" customFormat="1" ht="12.75" x14ac:dyDescent="0.2">
      <c r="B31078" s="1168"/>
    </row>
    <row r="31079" spans="2:2" s="221" customFormat="1" ht="12.75" x14ac:dyDescent="0.2">
      <c r="B31079" s="1168"/>
    </row>
    <row r="31080" spans="2:2" s="221" customFormat="1" ht="12.75" x14ac:dyDescent="0.2">
      <c r="B31080" s="1168"/>
    </row>
    <row r="31081" spans="2:2" s="221" customFormat="1" ht="12.75" x14ac:dyDescent="0.2">
      <c r="B31081" s="1168"/>
    </row>
    <row r="31082" spans="2:2" s="221" customFormat="1" ht="12.75" x14ac:dyDescent="0.2">
      <c r="B31082" s="1168"/>
    </row>
    <row r="31083" spans="2:2" s="221" customFormat="1" ht="12.75" x14ac:dyDescent="0.2">
      <c r="B31083" s="1168"/>
    </row>
    <row r="31084" spans="2:2" s="221" customFormat="1" ht="12.75" x14ac:dyDescent="0.2">
      <c r="B31084" s="1168"/>
    </row>
    <row r="31085" spans="2:2" s="221" customFormat="1" ht="12.75" x14ac:dyDescent="0.2">
      <c r="B31085" s="1168"/>
    </row>
    <row r="31086" spans="2:2" s="221" customFormat="1" ht="12.75" x14ac:dyDescent="0.2">
      <c r="B31086" s="1168"/>
    </row>
    <row r="31087" spans="2:2" s="221" customFormat="1" ht="12.75" x14ac:dyDescent="0.2">
      <c r="B31087" s="1168"/>
    </row>
    <row r="31088" spans="2:2" s="221" customFormat="1" ht="12.75" x14ac:dyDescent="0.2">
      <c r="B31088" s="1168"/>
    </row>
    <row r="31089" spans="2:2" s="221" customFormat="1" ht="12.75" x14ac:dyDescent="0.2">
      <c r="B31089" s="1168"/>
    </row>
    <row r="31090" spans="2:2" s="221" customFormat="1" ht="12.75" x14ac:dyDescent="0.2">
      <c r="B31090" s="1168"/>
    </row>
    <row r="31091" spans="2:2" s="221" customFormat="1" ht="12.75" x14ac:dyDescent="0.2">
      <c r="B31091" s="1168"/>
    </row>
    <row r="31092" spans="2:2" s="221" customFormat="1" ht="12.75" x14ac:dyDescent="0.2">
      <c r="B31092" s="1168"/>
    </row>
    <row r="31093" spans="2:2" s="221" customFormat="1" ht="12.75" x14ac:dyDescent="0.2">
      <c r="B31093" s="1168"/>
    </row>
    <row r="31094" spans="2:2" s="221" customFormat="1" ht="12.75" x14ac:dyDescent="0.2">
      <c r="B31094" s="1168"/>
    </row>
    <row r="31095" spans="2:2" s="221" customFormat="1" ht="12.75" x14ac:dyDescent="0.2">
      <c r="B31095" s="1168"/>
    </row>
    <row r="31096" spans="2:2" s="221" customFormat="1" ht="12.75" x14ac:dyDescent="0.2">
      <c r="B31096" s="1168"/>
    </row>
    <row r="31097" spans="2:2" s="221" customFormat="1" ht="12.75" x14ac:dyDescent="0.2">
      <c r="B31097" s="1168"/>
    </row>
    <row r="31098" spans="2:2" s="221" customFormat="1" ht="12.75" x14ac:dyDescent="0.2">
      <c r="B31098" s="1168"/>
    </row>
    <row r="31099" spans="2:2" s="221" customFormat="1" ht="12.75" x14ac:dyDescent="0.2">
      <c r="B31099" s="1168"/>
    </row>
    <row r="31100" spans="2:2" s="221" customFormat="1" ht="12.75" x14ac:dyDescent="0.2">
      <c r="B31100" s="1168"/>
    </row>
    <row r="31101" spans="2:2" s="221" customFormat="1" ht="12.75" x14ac:dyDescent="0.2">
      <c r="B31101" s="1168"/>
    </row>
    <row r="31102" spans="2:2" s="221" customFormat="1" ht="12.75" x14ac:dyDescent="0.2">
      <c r="B31102" s="1168"/>
    </row>
    <row r="31103" spans="2:2" s="221" customFormat="1" ht="12.75" x14ac:dyDescent="0.2">
      <c r="B31103" s="1168"/>
    </row>
    <row r="31104" spans="2:2" s="221" customFormat="1" ht="12.75" x14ac:dyDescent="0.2">
      <c r="B31104" s="1168"/>
    </row>
    <row r="31105" spans="2:2" s="221" customFormat="1" ht="12.75" x14ac:dyDescent="0.2">
      <c r="B31105" s="1168"/>
    </row>
    <row r="31106" spans="2:2" s="221" customFormat="1" ht="12.75" x14ac:dyDescent="0.2">
      <c r="B31106" s="1168"/>
    </row>
    <row r="31107" spans="2:2" s="221" customFormat="1" ht="12.75" x14ac:dyDescent="0.2">
      <c r="B31107" s="1168"/>
    </row>
    <row r="31108" spans="2:2" s="221" customFormat="1" ht="12.75" x14ac:dyDescent="0.2">
      <c r="B31108" s="1168"/>
    </row>
    <row r="31109" spans="2:2" s="221" customFormat="1" ht="12.75" x14ac:dyDescent="0.2">
      <c r="B31109" s="1168"/>
    </row>
    <row r="31110" spans="2:2" s="221" customFormat="1" ht="12.75" x14ac:dyDescent="0.2">
      <c r="B31110" s="1168"/>
    </row>
    <row r="31111" spans="2:2" s="221" customFormat="1" ht="12.75" x14ac:dyDescent="0.2">
      <c r="B31111" s="1168"/>
    </row>
    <row r="31112" spans="2:2" s="221" customFormat="1" ht="12.75" x14ac:dyDescent="0.2">
      <c r="B31112" s="1168"/>
    </row>
    <row r="31113" spans="2:2" s="221" customFormat="1" ht="12.75" x14ac:dyDescent="0.2">
      <c r="B31113" s="1168"/>
    </row>
    <row r="31114" spans="2:2" s="221" customFormat="1" ht="12.75" x14ac:dyDescent="0.2">
      <c r="B31114" s="1168"/>
    </row>
    <row r="31115" spans="2:2" s="221" customFormat="1" ht="12.75" x14ac:dyDescent="0.2">
      <c r="B31115" s="1168"/>
    </row>
    <row r="31116" spans="2:2" s="221" customFormat="1" ht="12.75" x14ac:dyDescent="0.2">
      <c r="B31116" s="1168"/>
    </row>
    <row r="31117" spans="2:2" s="221" customFormat="1" ht="12.75" x14ac:dyDescent="0.2">
      <c r="B31117" s="1168"/>
    </row>
    <row r="31118" spans="2:2" s="221" customFormat="1" ht="12.75" x14ac:dyDescent="0.2">
      <c r="B31118" s="1168"/>
    </row>
    <row r="31119" spans="2:2" s="221" customFormat="1" ht="12.75" x14ac:dyDescent="0.2">
      <c r="B31119" s="1168"/>
    </row>
    <row r="31120" spans="2:2" s="221" customFormat="1" ht="12.75" x14ac:dyDescent="0.2">
      <c r="B31120" s="1168"/>
    </row>
    <row r="31121" spans="2:2" s="221" customFormat="1" ht="12.75" x14ac:dyDescent="0.2">
      <c r="B31121" s="1168"/>
    </row>
    <row r="31122" spans="2:2" s="221" customFormat="1" ht="12.75" x14ac:dyDescent="0.2">
      <c r="B31122" s="1168"/>
    </row>
    <row r="31123" spans="2:2" s="221" customFormat="1" ht="12.75" x14ac:dyDescent="0.2">
      <c r="B31123" s="1168"/>
    </row>
    <row r="31124" spans="2:2" s="221" customFormat="1" ht="12.75" x14ac:dyDescent="0.2">
      <c r="B31124" s="1168"/>
    </row>
    <row r="31125" spans="2:2" s="221" customFormat="1" ht="12.75" x14ac:dyDescent="0.2">
      <c r="B31125" s="1168"/>
    </row>
    <row r="31126" spans="2:2" s="221" customFormat="1" ht="12.75" x14ac:dyDescent="0.2">
      <c r="B31126" s="1168"/>
    </row>
    <row r="31127" spans="2:2" s="221" customFormat="1" ht="12.75" x14ac:dyDescent="0.2">
      <c r="B31127" s="1168"/>
    </row>
    <row r="31128" spans="2:2" s="221" customFormat="1" ht="12.75" x14ac:dyDescent="0.2">
      <c r="B31128" s="1168"/>
    </row>
    <row r="31129" spans="2:2" s="221" customFormat="1" ht="12.75" x14ac:dyDescent="0.2">
      <c r="B31129" s="1168"/>
    </row>
    <row r="31130" spans="2:2" s="221" customFormat="1" ht="12.75" x14ac:dyDescent="0.2">
      <c r="B31130" s="1168"/>
    </row>
    <row r="31131" spans="2:2" s="221" customFormat="1" ht="12.75" x14ac:dyDescent="0.2">
      <c r="B31131" s="1168"/>
    </row>
    <row r="31132" spans="2:2" s="221" customFormat="1" ht="12.75" x14ac:dyDescent="0.2">
      <c r="B31132" s="1168"/>
    </row>
    <row r="31133" spans="2:2" s="221" customFormat="1" ht="12.75" x14ac:dyDescent="0.2">
      <c r="B31133" s="1168"/>
    </row>
    <row r="31134" spans="2:2" s="221" customFormat="1" ht="12.75" x14ac:dyDescent="0.2">
      <c r="B31134" s="1168"/>
    </row>
    <row r="31135" spans="2:2" s="221" customFormat="1" ht="12.75" x14ac:dyDescent="0.2">
      <c r="B31135" s="1168"/>
    </row>
    <row r="31136" spans="2:2" s="221" customFormat="1" ht="12.75" x14ac:dyDescent="0.2">
      <c r="B31136" s="1168"/>
    </row>
    <row r="31137" spans="2:2" s="221" customFormat="1" ht="12.75" x14ac:dyDescent="0.2">
      <c r="B31137" s="1168"/>
    </row>
    <row r="31138" spans="2:2" s="221" customFormat="1" ht="12.75" x14ac:dyDescent="0.2">
      <c r="B31138" s="1168"/>
    </row>
    <row r="31139" spans="2:2" s="221" customFormat="1" ht="12.75" x14ac:dyDescent="0.2">
      <c r="B31139" s="1168"/>
    </row>
    <row r="31140" spans="2:2" s="221" customFormat="1" ht="12.75" x14ac:dyDescent="0.2">
      <c r="B31140" s="1168"/>
    </row>
    <row r="31141" spans="2:2" s="221" customFormat="1" ht="12.75" x14ac:dyDescent="0.2">
      <c r="B31141" s="1168"/>
    </row>
    <row r="31142" spans="2:2" s="221" customFormat="1" ht="12.75" x14ac:dyDescent="0.2">
      <c r="B31142" s="1168"/>
    </row>
    <row r="31143" spans="2:2" s="221" customFormat="1" ht="12.75" x14ac:dyDescent="0.2">
      <c r="B31143" s="1168"/>
    </row>
    <row r="31144" spans="2:2" s="221" customFormat="1" ht="12.75" x14ac:dyDescent="0.2">
      <c r="B31144" s="1168"/>
    </row>
    <row r="31145" spans="2:2" s="221" customFormat="1" ht="12.75" x14ac:dyDescent="0.2">
      <c r="B31145" s="1168"/>
    </row>
    <row r="31146" spans="2:2" s="221" customFormat="1" ht="12.75" x14ac:dyDescent="0.2">
      <c r="B31146" s="1168"/>
    </row>
    <row r="31147" spans="2:2" s="221" customFormat="1" ht="12.75" x14ac:dyDescent="0.2">
      <c r="B31147" s="1168"/>
    </row>
    <row r="31148" spans="2:2" s="221" customFormat="1" ht="12.75" x14ac:dyDescent="0.2">
      <c r="B31148" s="1168"/>
    </row>
    <row r="31149" spans="2:2" s="221" customFormat="1" ht="12.75" x14ac:dyDescent="0.2">
      <c r="B31149" s="1168"/>
    </row>
    <row r="31150" spans="2:2" s="221" customFormat="1" ht="12.75" x14ac:dyDescent="0.2">
      <c r="B31150" s="1168"/>
    </row>
    <row r="31151" spans="2:2" s="221" customFormat="1" ht="12.75" x14ac:dyDescent="0.2">
      <c r="B31151" s="1168"/>
    </row>
    <row r="31152" spans="2:2" s="221" customFormat="1" ht="12.75" x14ac:dyDescent="0.2">
      <c r="B31152" s="1168"/>
    </row>
    <row r="31153" spans="2:2" s="221" customFormat="1" ht="12.75" x14ac:dyDescent="0.2">
      <c r="B31153" s="1168"/>
    </row>
    <row r="31154" spans="2:2" s="221" customFormat="1" ht="12.75" x14ac:dyDescent="0.2">
      <c r="B31154" s="1168"/>
    </row>
    <row r="31155" spans="2:2" s="221" customFormat="1" ht="12.75" x14ac:dyDescent="0.2">
      <c r="B31155" s="1168"/>
    </row>
    <row r="31156" spans="2:2" s="221" customFormat="1" ht="12.75" x14ac:dyDescent="0.2">
      <c r="B31156" s="1168"/>
    </row>
    <row r="31157" spans="2:2" s="221" customFormat="1" ht="12.75" x14ac:dyDescent="0.2">
      <c r="B31157" s="1168"/>
    </row>
    <row r="31158" spans="2:2" s="221" customFormat="1" ht="12.75" x14ac:dyDescent="0.2">
      <c r="B31158" s="1168"/>
    </row>
    <row r="31159" spans="2:2" s="221" customFormat="1" ht="12.75" x14ac:dyDescent="0.2">
      <c r="B31159" s="1168"/>
    </row>
    <row r="31160" spans="2:2" s="221" customFormat="1" ht="12.75" x14ac:dyDescent="0.2">
      <c r="B31160" s="1168"/>
    </row>
    <row r="31161" spans="2:2" s="221" customFormat="1" ht="12.75" x14ac:dyDescent="0.2">
      <c r="B31161" s="1168"/>
    </row>
    <row r="31162" spans="2:2" s="221" customFormat="1" ht="12.75" x14ac:dyDescent="0.2">
      <c r="B31162" s="1168"/>
    </row>
    <row r="31163" spans="2:2" s="221" customFormat="1" ht="12.75" x14ac:dyDescent="0.2">
      <c r="B31163" s="1168"/>
    </row>
    <row r="31164" spans="2:2" s="221" customFormat="1" ht="12.75" x14ac:dyDescent="0.2">
      <c r="B31164" s="1168"/>
    </row>
    <row r="31165" spans="2:2" s="221" customFormat="1" ht="12.75" x14ac:dyDescent="0.2">
      <c r="B31165" s="1168"/>
    </row>
    <row r="31166" spans="2:2" s="221" customFormat="1" ht="12.75" x14ac:dyDescent="0.2">
      <c r="B31166" s="1168"/>
    </row>
    <row r="31167" spans="2:2" s="221" customFormat="1" ht="12.75" x14ac:dyDescent="0.2">
      <c r="B31167" s="1168"/>
    </row>
    <row r="31168" spans="2:2" s="221" customFormat="1" ht="12.75" x14ac:dyDescent="0.2">
      <c r="B31168" s="1168"/>
    </row>
    <row r="31169" spans="2:2" s="221" customFormat="1" ht="12.75" x14ac:dyDescent="0.2">
      <c r="B31169" s="1168"/>
    </row>
    <row r="31170" spans="2:2" s="221" customFormat="1" ht="12.75" x14ac:dyDescent="0.2">
      <c r="B31170" s="1168"/>
    </row>
    <row r="31171" spans="2:2" s="221" customFormat="1" ht="12.75" x14ac:dyDescent="0.2">
      <c r="B31171" s="1168"/>
    </row>
    <row r="31172" spans="2:2" s="221" customFormat="1" ht="12.75" x14ac:dyDescent="0.2">
      <c r="B31172" s="1168"/>
    </row>
    <row r="31173" spans="2:2" s="221" customFormat="1" ht="12.75" x14ac:dyDescent="0.2">
      <c r="B31173" s="1168"/>
    </row>
    <row r="31174" spans="2:2" s="221" customFormat="1" ht="12.75" x14ac:dyDescent="0.2">
      <c r="B31174" s="1168"/>
    </row>
    <row r="31175" spans="2:2" s="221" customFormat="1" ht="12.75" x14ac:dyDescent="0.2">
      <c r="B31175" s="1168"/>
    </row>
    <row r="31176" spans="2:2" s="221" customFormat="1" ht="12.75" x14ac:dyDescent="0.2">
      <c r="B31176" s="1168"/>
    </row>
    <row r="31177" spans="2:2" s="221" customFormat="1" ht="12.75" x14ac:dyDescent="0.2">
      <c r="B31177" s="1168"/>
    </row>
    <row r="31178" spans="2:2" s="221" customFormat="1" ht="12.75" x14ac:dyDescent="0.2">
      <c r="B31178" s="1168"/>
    </row>
    <row r="31179" spans="2:2" s="221" customFormat="1" ht="12.75" x14ac:dyDescent="0.2">
      <c r="B31179" s="1168"/>
    </row>
    <row r="31180" spans="2:2" s="221" customFormat="1" ht="12.75" x14ac:dyDescent="0.2">
      <c r="B31180" s="1168"/>
    </row>
    <row r="31181" spans="2:2" s="221" customFormat="1" ht="12.75" x14ac:dyDescent="0.2">
      <c r="B31181" s="1168"/>
    </row>
    <row r="31182" spans="2:2" s="221" customFormat="1" ht="12.75" x14ac:dyDescent="0.2">
      <c r="B31182" s="1168"/>
    </row>
    <row r="31183" spans="2:2" s="221" customFormat="1" ht="12.75" x14ac:dyDescent="0.2">
      <c r="B31183" s="1168"/>
    </row>
    <row r="31184" spans="2:2" s="221" customFormat="1" ht="12.75" x14ac:dyDescent="0.2">
      <c r="B31184" s="1168"/>
    </row>
    <row r="31185" spans="2:2" s="221" customFormat="1" ht="12.75" x14ac:dyDescent="0.2">
      <c r="B31185" s="1168"/>
    </row>
    <row r="31186" spans="2:2" s="221" customFormat="1" ht="12.75" x14ac:dyDescent="0.2">
      <c r="B31186" s="1168"/>
    </row>
    <row r="31187" spans="2:2" s="221" customFormat="1" ht="12.75" x14ac:dyDescent="0.2">
      <c r="B31187" s="1168"/>
    </row>
    <row r="31188" spans="2:2" s="221" customFormat="1" ht="12.75" x14ac:dyDescent="0.2">
      <c r="B31188" s="1168"/>
    </row>
    <row r="31189" spans="2:2" s="221" customFormat="1" ht="12.75" x14ac:dyDescent="0.2">
      <c r="B31189" s="1168"/>
    </row>
    <row r="31190" spans="2:2" s="221" customFormat="1" ht="12.75" x14ac:dyDescent="0.2">
      <c r="B31190" s="1168"/>
    </row>
    <row r="31191" spans="2:2" s="221" customFormat="1" ht="12.75" x14ac:dyDescent="0.2">
      <c r="B31191" s="1168"/>
    </row>
    <row r="31192" spans="2:2" s="221" customFormat="1" ht="12.75" x14ac:dyDescent="0.2">
      <c r="B31192" s="1168"/>
    </row>
    <row r="31193" spans="2:2" s="221" customFormat="1" ht="12.75" x14ac:dyDescent="0.2">
      <c r="B31193" s="1168"/>
    </row>
    <row r="31194" spans="2:2" s="221" customFormat="1" ht="12.75" x14ac:dyDescent="0.2">
      <c r="B31194" s="1168"/>
    </row>
    <row r="31195" spans="2:2" s="221" customFormat="1" ht="12.75" x14ac:dyDescent="0.2">
      <c r="B31195" s="1168"/>
    </row>
    <row r="31196" spans="2:2" s="221" customFormat="1" ht="12.75" x14ac:dyDescent="0.2">
      <c r="B31196" s="1168"/>
    </row>
    <row r="31197" spans="2:2" s="221" customFormat="1" ht="12.75" x14ac:dyDescent="0.2">
      <c r="B31197" s="1168"/>
    </row>
    <row r="31198" spans="2:2" s="221" customFormat="1" ht="12.75" x14ac:dyDescent="0.2">
      <c r="B31198" s="1168"/>
    </row>
    <row r="31199" spans="2:2" s="221" customFormat="1" ht="12.75" x14ac:dyDescent="0.2">
      <c r="B31199" s="1168"/>
    </row>
    <row r="31200" spans="2:2" s="221" customFormat="1" ht="12.75" x14ac:dyDescent="0.2">
      <c r="B31200" s="1168"/>
    </row>
    <row r="31201" spans="2:2" s="221" customFormat="1" ht="12.75" x14ac:dyDescent="0.2">
      <c r="B31201" s="1168"/>
    </row>
    <row r="31202" spans="2:2" s="221" customFormat="1" ht="12.75" x14ac:dyDescent="0.2">
      <c r="B31202" s="1168"/>
    </row>
    <row r="31203" spans="2:2" s="221" customFormat="1" ht="12.75" x14ac:dyDescent="0.2">
      <c r="B31203" s="1168"/>
    </row>
    <row r="31204" spans="2:2" s="221" customFormat="1" ht="12.75" x14ac:dyDescent="0.2">
      <c r="B31204" s="1168"/>
    </row>
    <row r="31205" spans="2:2" s="221" customFormat="1" ht="12.75" x14ac:dyDescent="0.2">
      <c r="B31205" s="1168"/>
    </row>
    <row r="31206" spans="2:2" s="221" customFormat="1" ht="12.75" x14ac:dyDescent="0.2">
      <c r="B31206" s="1168"/>
    </row>
    <row r="31207" spans="2:2" s="221" customFormat="1" ht="12.75" x14ac:dyDescent="0.2">
      <c r="B31207" s="1168"/>
    </row>
    <row r="31208" spans="2:2" s="221" customFormat="1" ht="12.75" x14ac:dyDescent="0.2">
      <c r="B31208" s="1168"/>
    </row>
    <row r="31209" spans="2:2" s="221" customFormat="1" ht="12.75" x14ac:dyDescent="0.2">
      <c r="B31209" s="1168"/>
    </row>
    <row r="31210" spans="2:2" s="221" customFormat="1" ht="12.75" x14ac:dyDescent="0.2">
      <c r="B31210" s="1168"/>
    </row>
    <row r="31211" spans="2:2" s="221" customFormat="1" ht="12.75" x14ac:dyDescent="0.2">
      <c r="B31211" s="1168"/>
    </row>
    <row r="31212" spans="2:2" s="221" customFormat="1" ht="12.75" x14ac:dyDescent="0.2">
      <c r="B31212" s="1168"/>
    </row>
    <row r="31213" spans="2:2" s="221" customFormat="1" ht="12.75" x14ac:dyDescent="0.2">
      <c r="B31213" s="1168"/>
    </row>
    <row r="31214" spans="2:2" s="221" customFormat="1" ht="12.75" x14ac:dyDescent="0.2">
      <c r="B31214" s="1168"/>
    </row>
    <row r="31215" spans="2:2" s="221" customFormat="1" ht="12.75" x14ac:dyDescent="0.2">
      <c r="B31215" s="1168"/>
    </row>
    <row r="31216" spans="2:2" s="221" customFormat="1" ht="12.75" x14ac:dyDescent="0.2">
      <c r="B31216" s="1168"/>
    </row>
    <row r="31217" spans="2:2" s="221" customFormat="1" ht="12.75" x14ac:dyDescent="0.2">
      <c r="B31217" s="1168"/>
    </row>
    <row r="31218" spans="2:2" s="221" customFormat="1" ht="12.75" x14ac:dyDescent="0.2">
      <c r="B31218" s="1168"/>
    </row>
    <row r="31219" spans="2:2" s="221" customFormat="1" ht="12.75" x14ac:dyDescent="0.2">
      <c r="B31219" s="1168"/>
    </row>
    <row r="31220" spans="2:2" s="221" customFormat="1" ht="12.75" x14ac:dyDescent="0.2">
      <c r="B31220" s="1168"/>
    </row>
    <row r="31221" spans="2:2" s="221" customFormat="1" ht="12.75" x14ac:dyDescent="0.2">
      <c r="B31221" s="1168"/>
    </row>
    <row r="31222" spans="2:2" s="221" customFormat="1" ht="12.75" x14ac:dyDescent="0.2">
      <c r="B31222" s="1168"/>
    </row>
    <row r="31223" spans="2:2" s="221" customFormat="1" ht="12.75" x14ac:dyDescent="0.2">
      <c r="B31223" s="1168"/>
    </row>
    <row r="31224" spans="2:2" s="221" customFormat="1" ht="12.75" x14ac:dyDescent="0.2">
      <c r="B31224" s="1168"/>
    </row>
    <row r="31225" spans="2:2" s="221" customFormat="1" ht="12.75" x14ac:dyDescent="0.2">
      <c r="B31225" s="1168"/>
    </row>
    <row r="31226" spans="2:2" s="221" customFormat="1" ht="12.75" x14ac:dyDescent="0.2">
      <c r="B31226" s="1168"/>
    </row>
    <row r="31227" spans="2:2" s="221" customFormat="1" ht="12.75" x14ac:dyDescent="0.2">
      <c r="B31227" s="1168"/>
    </row>
    <row r="31228" spans="2:2" s="221" customFormat="1" ht="12.75" x14ac:dyDescent="0.2">
      <c r="B31228" s="1168"/>
    </row>
    <row r="31229" spans="2:2" s="221" customFormat="1" ht="12.75" x14ac:dyDescent="0.2">
      <c r="B31229" s="1168"/>
    </row>
    <row r="31230" spans="2:2" s="221" customFormat="1" ht="12.75" x14ac:dyDescent="0.2">
      <c r="B31230" s="1168"/>
    </row>
    <row r="31231" spans="2:2" s="221" customFormat="1" ht="12.75" x14ac:dyDescent="0.2">
      <c r="B31231" s="1168"/>
    </row>
    <row r="31232" spans="2:2" s="221" customFormat="1" ht="12.75" x14ac:dyDescent="0.2">
      <c r="B31232" s="1168"/>
    </row>
    <row r="31233" spans="2:2" s="221" customFormat="1" ht="12.75" x14ac:dyDescent="0.2">
      <c r="B31233" s="1168"/>
    </row>
    <row r="31234" spans="2:2" s="221" customFormat="1" ht="12.75" x14ac:dyDescent="0.2">
      <c r="B31234" s="1168"/>
    </row>
    <row r="31235" spans="2:2" s="221" customFormat="1" ht="12.75" x14ac:dyDescent="0.2">
      <c r="B31235" s="1168"/>
    </row>
    <row r="31236" spans="2:2" s="221" customFormat="1" ht="12.75" x14ac:dyDescent="0.2">
      <c r="B31236" s="1168"/>
    </row>
    <row r="31237" spans="2:2" s="221" customFormat="1" ht="12.75" x14ac:dyDescent="0.2">
      <c r="B31237" s="1168"/>
    </row>
    <row r="31238" spans="2:2" s="221" customFormat="1" ht="12.75" x14ac:dyDescent="0.2">
      <c r="B31238" s="1168"/>
    </row>
    <row r="31239" spans="2:2" s="221" customFormat="1" ht="12.75" x14ac:dyDescent="0.2">
      <c r="B31239" s="1168"/>
    </row>
    <row r="31240" spans="2:2" s="221" customFormat="1" ht="12.75" x14ac:dyDescent="0.2">
      <c r="B31240" s="1168"/>
    </row>
    <row r="31241" spans="2:2" s="221" customFormat="1" ht="12.75" x14ac:dyDescent="0.2">
      <c r="B31241" s="1168"/>
    </row>
    <row r="31242" spans="2:2" s="221" customFormat="1" ht="12.75" x14ac:dyDescent="0.2">
      <c r="B31242" s="1168"/>
    </row>
    <row r="31243" spans="2:2" s="221" customFormat="1" ht="12.75" x14ac:dyDescent="0.2">
      <c r="B31243" s="1168"/>
    </row>
    <row r="31244" spans="2:2" s="221" customFormat="1" ht="12.75" x14ac:dyDescent="0.2">
      <c r="B31244" s="1168"/>
    </row>
    <row r="31245" spans="2:2" s="221" customFormat="1" ht="12.75" x14ac:dyDescent="0.2">
      <c r="B31245" s="1168"/>
    </row>
    <row r="31246" spans="2:2" s="221" customFormat="1" ht="12.75" x14ac:dyDescent="0.2">
      <c r="B31246" s="1168"/>
    </row>
    <row r="31247" spans="2:2" s="221" customFormat="1" ht="12.75" x14ac:dyDescent="0.2">
      <c r="B31247" s="1168"/>
    </row>
    <row r="31248" spans="2:2" s="221" customFormat="1" ht="12.75" x14ac:dyDescent="0.2">
      <c r="B31248" s="1168"/>
    </row>
    <row r="31249" spans="2:2" s="221" customFormat="1" ht="12.75" x14ac:dyDescent="0.2">
      <c r="B31249" s="1168"/>
    </row>
    <row r="31250" spans="2:2" s="221" customFormat="1" ht="12.75" x14ac:dyDescent="0.2">
      <c r="B31250" s="1168"/>
    </row>
    <row r="31251" spans="2:2" s="221" customFormat="1" ht="12.75" x14ac:dyDescent="0.2">
      <c r="B31251" s="1168"/>
    </row>
    <row r="31252" spans="2:2" s="221" customFormat="1" ht="12.75" x14ac:dyDescent="0.2">
      <c r="B31252" s="1168"/>
    </row>
    <row r="31253" spans="2:2" s="221" customFormat="1" ht="12.75" x14ac:dyDescent="0.2">
      <c r="B31253" s="1168"/>
    </row>
    <row r="31254" spans="2:2" s="221" customFormat="1" ht="12.75" x14ac:dyDescent="0.2">
      <c r="B31254" s="1168"/>
    </row>
    <row r="31255" spans="2:2" s="221" customFormat="1" ht="12.75" x14ac:dyDescent="0.2">
      <c r="B31255" s="1168"/>
    </row>
    <row r="31256" spans="2:2" s="221" customFormat="1" ht="12.75" x14ac:dyDescent="0.2">
      <c r="B31256" s="1168"/>
    </row>
    <row r="31257" spans="2:2" s="221" customFormat="1" ht="12.75" x14ac:dyDescent="0.2">
      <c r="B31257" s="1168"/>
    </row>
    <row r="31258" spans="2:2" s="221" customFormat="1" ht="12.75" x14ac:dyDescent="0.2">
      <c r="B31258" s="1168"/>
    </row>
    <row r="31259" spans="2:2" s="221" customFormat="1" ht="12.75" x14ac:dyDescent="0.2">
      <c r="B31259" s="1168"/>
    </row>
    <row r="31260" spans="2:2" s="221" customFormat="1" ht="12.75" x14ac:dyDescent="0.2">
      <c r="B31260" s="1168"/>
    </row>
    <row r="31261" spans="2:2" s="221" customFormat="1" ht="12.75" x14ac:dyDescent="0.2">
      <c r="B31261" s="1168"/>
    </row>
    <row r="31262" spans="2:2" s="221" customFormat="1" ht="12.75" x14ac:dyDescent="0.2">
      <c r="B31262" s="1168"/>
    </row>
    <row r="31263" spans="2:2" s="221" customFormat="1" ht="12.75" x14ac:dyDescent="0.2">
      <c r="B31263" s="1168"/>
    </row>
    <row r="31264" spans="2:2" s="221" customFormat="1" ht="12.75" x14ac:dyDescent="0.2">
      <c r="B31264" s="1168"/>
    </row>
    <row r="31265" spans="2:2" s="221" customFormat="1" ht="12.75" x14ac:dyDescent="0.2">
      <c r="B31265" s="1168"/>
    </row>
    <row r="31266" spans="2:2" s="221" customFormat="1" ht="12.75" x14ac:dyDescent="0.2">
      <c r="B31266" s="1168"/>
    </row>
    <row r="31267" spans="2:2" s="221" customFormat="1" ht="12.75" x14ac:dyDescent="0.2">
      <c r="B31267" s="1168"/>
    </row>
    <row r="31268" spans="2:2" s="221" customFormat="1" ht="12.75" x14ac:dyDescent="0.2">
      <c r="B31268" s="1168"/>
    </row>
    <row r="31269" spans="2:2" s="221" customFormat="1" ht="12.75" x14ac:dyDescent="0.2">
      <c r="B31269" s="1168"/>
    </row>
    <row r="31270" spans="2:2" s="221" customFormat="1" ht="12.75" x14ac:dyDescent="0.2">
      <c r="B31270" s="1168"/>
    </row>
    <row r="31271" spans="2:2" s="221" customFormat="1" ht="12.75" x14ac:dyDescent="0.2">
      <c r="B31271" s="1168"/>
    </row>
    <row r="31272" spans="2:2" s="221" customFormat="1" ht="12.75" x14ac:dyDescent="0.2">
      <c r="B31272" s="1168"/>
    </row>
    <row r="31273" spans="2:2" s="221" customFormat="1" ht="12.75" x14ac:dyDescent="0.2">
      <c r="B31273" s="1168"/>
    </row>
    <row r="31274" spans="2:2" s="221" customFormat="1" ht="12.75" x14ac:dyDescent="0.2">
      <c r="B31274" s="1168"/>
    </row>
    <row r="31275" spans="2:2" s="221" customFormat="1" ht="12.75" x14ac:dyDescent="0.2">
      <c r="B31275" s="1168"/>
    </row>
    <row r="31276" spans="2:2" s="221" customFormat="1" ht="12.75" x14ac:dyDescent="0.2">
      <c r="B31276" s="1168"/>
    </row>
    <row r="31277" spans="2:2" s="221" customFormat="1" ht="12.75" x14ac:dyDescent="0.2">
      <c r="B31277" s="1168"/>
    </row>
    <row r="31278" spans="2:2" s="221" customFormat="1" ht="12.75" x14ac:dyDescent="0.2">
      <c r="B31278" s="1168"/>
    </row>
    <row r="31279" spans="2:2" s="221" customFormat="1" ht="12.75" x14ac:dyDescent="0.2">
      <c r="B31279" s="1168"/>
    </row>
    <row r="31280" spans="2:2" s="221" customFormat="1" ht="12.75" x14ac:dyDescent="0.2">
      <c r="B31280" s="1168"/>
    </row>
    <row r="31281" spans="2:2" s="221" customFormat="1" ht="12.75" x14ac:dyDescent="0.2">
      <c r="B31281" s="1168"/>
    </row>
    <row r="31282" spans="2:2" s="221" customFormat="1" ht="12.75" x14ac:dyDescent="0.2">
      <c r="B31282" s="1168"/>
    </row>
    <row r="31283" spans="2:2" s="221" customFormat="1" ht="12.75" x14ac:dyDescent="0.2">
      <c r="B31283" s="1168"/>
    </row>
    <row r="31284" spans="2:2" s="221" customFormat="1" ht="12.75" x14ac:dyDescent="0.2">
      <c r="B31284" s="1168"/>
    </row>
    <row r="31285" spans="2:2" s="221" customFormat="1" ht="12.75" x14ac:dyDescent="0.2">
      <c r="B31285" s="1168"/>
    </row>
    <row r="31286" spans="2:2" s="221" customFormat="1" ht="12.75" x14ac:dyDescent="0.2">
      <c r="B31286" s="1168"/>
    </row>
    <row r="31287" spans="2:2" s="221" customFormat="1" ht="12.75" x14ac:dyDescent="0.2">
      <c r="B31287" s="1168"/>
    </row>
    <row r="31288" spans="2:2" s="221" customFormat="1" ht="12.75" x14ac:dyDescent="0.2">
      <c r="B31288" s="1168"/>
    </row>
    <row r="31289" spans="2:2" s="221" customFormat="1" ht="12.75" x14ac:dyDescent="0.2">
      <c r="B31289" s="1168"/>
    </row>
    <row r="31290" spans="2:2" s="221" customFormat="1" ht="12.75" x14ac:dyDescent="0.2">
      <c r="B31290" s="1168"/>
    </row>
    <row r="31291" spans="2:2" s="221" customFormat="1" ht="12.75" x14ac:dyDescent="0.2">
      <c r="B31291" s="1168"/>
    </row>
    <row r="31292" spans="2:2" s="221" customFormat="1" ht="12.75" x14ac:dyDescent="0.2">
      <c r="B31292" s="1168"/>
    </row>
    <row r="31293" spans="2:2" s="221" customFormat="1" ht="12.75" x14ac:dyDescent="0.2">
      <c r="B31293" s="1168"/>
    </row>
    <row r="31294" spans="2:2" s="221" customFormat="1" ht="12.75" x14ac:dyDescent="0.2">
      <c r="B31294" s="1168"/>
    </row>
    <row r="31295" spans="2:2" s="221" customFormat="1" ht="12.75" x14ac:dyDescent="0.2">
      <c r="B31295" s="1168"/>
    </row>
    <row r="31296" spans="2:2" s="221" customFormat="1" ht="12.75" x14ac:dyDescent="0.2">
      <c r="B31296" s="1168"/>
    </row>
    <row r="31297" spans="2:2" s="221" customFormat="1" ht="12.75" x14ac:dyDescent="0.2">
      <c r="B31297" s="1168"/>
    </row>
    <row r="31298" spans="2:2" s="221" customFormat="1" ht="12.75" x14ac:dyDescent="0.2">
      <c r="B31298" s="1168"/>
    </row>
    <row r="31299" spans="2:2" s="221" customFormat="1" ht="12.75" x14ac:dyDescent="0.2">
      <c r="B31299" s="1168"/>
    </row>
    <row r="31300" spans="2:2" s="221" customFormat="1" ht="12.75" x14ac:dyDescent="0.2">
      <c r="B31300" s="1168"/>
    </row>
    <row r="31301" spans="2:2" s="221" customFormat="1" ht="12.75" x14ac:dyDescent="0.2">
      <c r="B31301" s="1168"/>
    </row>
    <row r="31302" spans="2:2" s="221" customFormat="1" ht="12.75" x14ac:dyDescent="0.2">
      <c r="B31302" s="1168"/>
    </row>
    <row r="31303" spans="2:2" s="221" customFormat="1" ht="12.75" x14ac:dyDescent="0.2">
      <c r="B31303" s="1168"/>
    </row>
    <row r="31304" spans="2:2" s="221" customFormat="1" ht="12.75" x14ac:dyDescent="0.2">
      <c r="B31304" s="1168"/>
    </row>
    <row r="31305" spans="2:2" s="221" customFormat="1" ht="12.75" x14ac:dyDescent="0.2">
      <c r="B31305" s="1168"/>
    </row>
    <row r="31306" spans="2:2" s="221" customFormat="1" ht="12.75" x14ac:dyDescent="0.2">
      <c r="B31306" s="1168"/>
    </row>
    <row r="31307" spans="2:2" s="221" customFormat="1" ht="12.75" x14ac:dyDescent="0.2">
      <c r="B31307" s="1168"/>
    </row>
    <row r="31308" spans="2:2" s="221" customFormat="1" ht="12.75" x14ac:dyDescent="0.2">
      <c r="B31308" s="1168"/>
    </row>
    <row r="31309" spans="2:2" s="221" customFormat="1" ht="12.75" x14ac:dyDescent="0.2">
      <c r="B31309" s="1168"/>
    </row>
    <row r="31310" spans="2:2" s="221" customFormat="1" ht="12.75" x14ac:dyDescent="0.2">
      <c r="B31310" s="1168"/>
    </row>
    <row r="31311" spans="2:2" s="221" customFormat="1" ht="12.75" x14ac:dyDescent="0.2">
      <c r="B31311" s="1168"/>
    </row>
    <row r="31312" spans="2:2" s="221" customFormat="1" ht="12.75" x14ac:dyDescent="0.2">
      <c r="B31312" s="1168"/>
    </row>
    <row r="31313" spans="2:2" s="221" customFormat="1" ht="12.75" x14ac:dyDescent="0.2">
      <c r="B31313" s="1168"/>
    </row>
    <row r="31314" spans="2:2" s="221" customFormat="1" ht="12.75" x14ac:dyDescent="0.2">
      <c r="B31314" s="1168"/>
    </row>
    <row r="31315" spans="2:2" s="221" customFormat="1" ht="12.75" x14ac:dyDescent="0.2">
      <c r="B31315" s="1168"/>
    </row>
    <row r="31316" spans="2:2" s="221" customFormat="1" ht="12.75" x14ac:dyDescent="0.2">
      <c r="B31316" s="1168"/>
    </row>
    <row r="31317" spans="2:2" s="221" customFormat="1" ht="12.75" x14ac:dyDescent="0.2">
      <c r="B31317" s="1168"/>
    </row>
    <row r="31318" spans="2:2" s="221" customFormat="1" ht="12.75" x14ac:dyDescent="0.2">
      <c r="B31318" s="1168"/>
    </row>
    <row r="31319" spans="2:2" s="221" customFormat="1" ht="12.75" x14ac:dyDescent="0.2">
      <c r="B31319" s="1168"/>
    </row>
    <row r="31320" spans="2:2" s="221" customFormat="1" ht="12.75" x14ac:dyDescent="0.2">
      <c r="B31320" s="1168"/>
    </row>
    <row r="31321" spans="2:2" s="221" customFormat="1" ht="12.75" x14ac:dyDescent="0.2">
      <c r="B31321" s="1168"/>
    </row>
    <row r="31322" spans="2:2" s="221" customFormat="1" ht="12.75" x14ac:dyDescent="0.2">
      <c r="B31322" s="1168"/>
    </row>
    <row r="31323" spans="2:2" s="221" customFormat="1" ht="12.75" x14ac:dyDescent="0.2">
      <c r="B31323" s="1168"/>
    </row>
    <row r="31324" spans="2:2" s="221" customFormat="1" ht="12.75" x14ac:dyDescent="0.2">
      <c r="B31324" s="1168"/>
    </row>
    <row r="31325" spans="2:2" s="221" customFormat="1" ht="12.75" x14ac:dyDescent="0.2">
      <c r="B31325" s="1168"/>
    </row>
    <row r="31326" spans="2:2" s="221" customFormat="1" ht="12.75" x14ac:dyDescent="0.2">
      <c r="B31326" s="1168"/>
    </row>
    <row r="31327" spans="2:2" s="221" customFormat="1" ht="12.75" x14ac:dyDescent="0.2">
      <c r="B31327" s="1168"/>
    </row>
    <row r="31328" spans="2:2" s="221" customFormat="1" ht="12.75" x14ac:dyDescent="0.2">
      <c r="B31328" s="1168"/>
    </row>
    <row r="31329" spans="2:2" s="221" customFormat="1" ht="12.75" x14ac:dyDescent="0.2">
      <c r="B31329" s="1168"/>
    </row>
    <row r="31330" spans="2:2" s="221" customFormat="1" ht="12.75" x14ac:dyDescent="0.2">
      <c r="B31330" s="1168"/>
    </row>
    <row r="31331" spans="2:2" s="221" customFormat="1" ht="12.75" x14ac:dyDescent="0.2">
      <c r="B31331" s="1168"/>
    </row>
    <row r="31332" spans="2:2" s="221" customFormat="1" ht="12.75" x14ac:dyDescent="0.2">
      <c r="B31332" s="1168"/>
    </row>
    <row r="31333" spans="2:2" s="221" customFormat="1" ht="12.75" x14ac:dyDescent="0.2">
      <c r="B31333" s="1168"/>
    </row>
    <row r="31334" spans="2:2" s="221" customFormat="1" ht="12.75" x14ac:dyDescent="0.2">
      <c r="B31334" s="1168"/>
    </row>
    <row r="31335" spans="2:2" s="221" customFormat="1" ht="12.75" x14ac:dyDescent="0.2">
      <c r="B31335" s="1168"/>
    </row>
    <row r="31336" spans="2:2" s="221" customFormat="1" ht="12.75" x14ac:dyDescent="0.2">
      <c r="B31336" s="1168"/>
    </row>
    <row r="31337" spans="2:2" s="221" customFormat="1" ht="12.75" x14ac:dyDescent="0.2">
      <c r="B31337" s="1168"/>
    </row>
    <row r="31338" spans="2:2" s="221" customFormat="1" ht="12.75" x14ac:dyDescent="0.2">
      <c r="B31338" s="1168"/>
    </row>
    <row r="31339" spans="2:2" s="221" customFormat="1" ht="12.75" x14ac:dyDescent="0.2">
      <c r="B31339" s="1168"/>
    </row>
    <row r="31340" spans="2:2" s="221" customFormat="1" ht="12.75" x14ac:dyDescent="0.2">
      <c r="B31340" s="1168"/>
    </row>
    <row r="31341" spans="2:2" s="221" customFormat="1" ht="12.75" x14ac:dyDescent="0.2">
      <c r="B31341" s="1168"/>
    </row>
    <row r="31342" spans="2:2" s="221" customFormat="1" ht="12.75" x14ac:dyDescent="0.2">
      <c r="B31342" s="1168"/>
    </row>
    <row r="31343" spans="2:2" s="221" customFormat="1" ht="12.75" x14ac:dyDescent="0.2">
      <c r="B31343" s="1168"/>
    </row>
    <row r="31344" spans="2:2" s="221" customFormat="1" ht="12.75" x14ac:dyDescent="0.2">
      <c r="B31344" s="1168"/>
    </row>
    <row r="31345" spans="2:2" s="221" customFormat="1" ht="12.75" x14ac:dyDescent="0.2">
      <c r="B31345" s="1168"/>
    </row>
    <row r="31346" spans="2:2" s="221" customFormat="1" ht="12.75" x14ac:dyDescent="0.2">
      <c r="B31346" s="1168"/>
    </row>
    <row r="31347" spans="2:2" s="221" customFormat="1" ht="12.75" x14ac:dyDescent="0.2">
      <c r="B31347" s="1168"/>
    </row>
    <row r="31348" spans="2:2" s="221" customFormat="1" ht="12.75" x14ac:dyDescent="0.2">
      <c r="B31348" s="1168"/>
    </row>
    <row r="31349" spans="2:2" s="221" customFormat="1" ht="12.75" x14ac:dyDescent="0.2">
      <c r="B31349" s="1168"/>
    </row>
    <row r="31350" spans="2:2" s="221" customFormat="1" ht="12.75" x14ac:dyDescent="0.2">
      <c r="B31350" s="1168"/>
    </row>
    <row r="31351" spans="2:2" s="221" customFormat="1" ht="12.75" x14ac:dyDescent="0.2">
      <c r="B31351" s="1168"/>
    </row>
    <row r="31352" spans="2:2" s="221" customFormat="1" ht="12.75" x14ac:dyDescent="0.2">
      <c r="B31352" s="1168"/>
    </row>
    <row r="31353" spans="2:2" s="221" customFormat="1" ht="12.75" x14ac:dyDescent="0.2">
      <c r="B31353" s="1168"/>
    </row>
    <row r="31354" spans="2:2" s="221" customFormat="1" ht="12.75" x14ac:dyDescent="0.2">
      <c r="B31354" s="1168"/>
    </row>
    <row r="31355" spans="2:2" s="221" customFormat="1" ht="12.75" x14ac:dyDescent="0.2">
      <c r="B31355" s="1168"/>
    </row>
    <row r="31356" spans="2:2" s="221" customFormat="1" ht="12.75" x14ac:dyDescent="0.2">
      <c r="B31356" s="1168"/>
    </row>
    <row r="31357" spans="2:2" s="221" customFormat="1" ht="12.75" x14ac:dyDescent="0.2">
      <c r="B31357" s="1168"/>
    </row>
    <row r="31358" spans="2:2" s="221" customFormat="1" ht="12.75" x14ac:dyDescent="0.2">
      <c r="B31358" s="1168"/>
    </row>
    <row r="31359" spans="2:2" s="221" customFormat="1" ht="12.75" x14ac:dyDescent="0.2">
      <c r="B31359" s="1168"/>
    </row>
    <row r="31360" spans="2:2" s="221" customFormat="1" ht="12.75" x14ac:dyDescent="0.2">
      <c r="B31360" s="1168"/>
    </row>
    <row r="31361" spans="2:2" s="221" customFormat="1" ht="12.75" x14ac:dyDescent="0.2">
      <c r="B31361" s="1168"/>
    </row>
    <row r="31362" spans="2:2" s="221" customFormat="1" ht="12.75" x14ac:dyDescent="0.2">
      <c r="B31362" s="1168"/>
    </row>
    <row r="31363" spans="2:2" s="221" customFormat="1" ht="12.75" x14ac:dyDescent="0.2">
      <c r="B31363" s="1168"/>
    </row>
    <row r="31364" spans="2:2" s="221" customFormat="1" ht="12.75" x14ac:dyDescent="0.2">
      <c r="B31364" s="1168"/>
    </row>
    <row r="31365" spans="2:2" s="221" customFormat="1" ht="12.75" x14ac:dyDescent="0.2">
      <c r="B31365" s="1168"/>
    </row>
    <row r="31366" spans="2:2" s="221" customFormat="1" ht="12.75" x14ac:dyDescent="0.2">
      <c r="B31366" s="1168"/>
    </row>
    <row r="31367" spans="2:2" s="221" customFormat="1" ht="12.75" x14ac:dyDescent="0.2">
      <c r="B31367" s="1168"/>
    </row>
    <row r="31368" spans="2:2" s="221" customFormat="1" ht="12.75" x14ac:dyDescent="0.2">
      <c r="B31368" s="1168"/>
    </row>
    <row r="31369" spans="2:2" s="221" customFormat="1" ht="12.75" x14ac:dyDescent="0.2">
      <c r="B31369" s="1168"/>
    </row>
    <row r="31370" spans="2:2" s="221" customFormat="1" ht="12.75" x14ac:dyDescent="0.2">
      <c r="B31370" s="1168"/>
    </row>
    <row r="31371" spans="2:2" s="221" customFormat="1" ht="12.75" x14ac:dyDescent="0.2">
      <c r="B31371" s="1168"/>
    </row>
    <row r="31372" spans="2:2" s="221" customFormat="1" ht="12.75" x14ac:dyDescent="0.2">
      <c r="B31372" s="1168"/>
    </row>
    <row r="31373" spans="2:2" s="221" customFormat="1" ht="12.75" x14ac:dyDescent="0.2">
      <c r="B31373" s="1168"/>
    </row>
    <row r="31374" spans="2:2" s="221" customFormat="1" ht="12.75" x14ac:dyDescent="0.2">
      <c r="B31374" s="1168"/>
    </row>
    <row r="31375" spans="2:2" s="221" customFormat="1" ht="12.75" x14ac:dyDescent="0.2">
      <c r="B31375" s="1168"/>
    </row>
    <row r="31376" spans="2:2" s="221" customFormat="1" ht="12.75" x14ac:dyDescent="0.2">
      <c r="B31376" s="1168"/>
    </row>
    <row r="31377" spans="2:2" s="221" customFormat="1" ht="12.75" x14ac:dyDescent="0.2">
      <c r="B31377" s="1168"/>
    </row>
    <row r="31378" spans="2:2" s="221" customFormat="1" ht="12.75" x14ac:dyDescent="0.2">
      <c r="B31378" s="1168"/>
    </row>
    <row r="31379" spans="2:2" s="221" customFormat="1" ht="12.75" x14ac:dyDescent="0.2">
      <c r="B31379" s="1168"/>
    </row>
    <row r="31380" spans="2:2" s="221" customFormat="1" ht="12.75" x14ac:dyDescent="0.2">
      <c r="B31380" s="1168"/>
    </row>
    <row r="31381" spans="2:2" s="221" customFormat="1" ht="12.75" x14ac:dyDescent="0.2">
      <c r="B31381" s="1168"/>
    </row>
    <row r="31382" spans="2:2" s="221" customFormat="1" ht="12.75" x14ac:dyDescent="0.2">
      <c r="B31382" s="1168"/>
    </row>
    <row r="31383" spans="2:2" s="221" customFormat="1" ht="12.75" x14ac:dyDescent="0.2">
      <c r="B31383" s="1168"/>
    </row>
    <row r="31384" spans="2:2" s="221" customFormat="1" ht="12.75" x14ac:dyDescent="0.2">
      <c r="B31384" s="1168"/>
    </row>
    <row r="31385" spans="2:2" s="221" customFormat="1" ht="12.75" x14ac:dyDescent="0.2">
      <c r="B31385" s="1168"/>
    </row>
    <row r="31386" spans="2:2" s="221" customFormat="1" ht="12.75" x14ac:dyDescent="0.2">
      <c r="B31386" s="1168"/>
    </row>
    <row r="31387" spans="2:2" s="221" customFormat="1" ht="12.75" x14ac:dyDescent="0.2">
      <c r="B31387" s="1168"/>
    </row>
    <row r="31388" spans="2:2" s="221" customFormat="1" ht="12.75" x14ac:dyDescent="0.2">
      <c r="B31388" s="1168"/>
    </row>
    <row r="31389" spans="2:2" s="221" customFormat="1" ht="12.75" x14ac:dyDescent="0.2">
      <c r="B31389" s="1168"/>
    </row>
    <row r="31390" spans="2:2" s="221" customFormat="1" ht="12.75" x14ac:dyDescent="0.2">
      <c r="B31390" s="1168"/>
    </row>
    <row r="31391" spans="2:2" s="221" customFormat="1" ht="12.75" x14ac:dyDescent="0.2">
      <c r="B31391" s="1168"/>
    </row>
    <row r="31392" spans="2:2" s="221" customFormat="1" ht="12.75" x14ac:dyDescent="0.2">
      <c r="B31392" s="1168"/>
    </row>
    <row r="31393" spans="2:2" s="221" customFormat="1" ht="12.75" x14ac:dyDescent="0.2">
      <c r="B31393" s="1168"/>
    </row>
    <row r="31394" spans="2:2" s="221" customFormat="1" ht="12.75" x14ac:dyDescent="0.2">
      <c r="B31394" s="1168"/>
    </row>
    <row r="31395" spans="2:2" s="221" customFormat="1" ht="12.75" x14ac:dyDescent="0.2">
      <c r="B31395" s="1168"/>
    </row>
    <row r="31396" spans="2:2" s="221" customFormat="1" ht="12.75" x14ac:dyDescent="0.2">
      <c r="B31396" s="1168"/>
    </row>
    <row r="31397" spans="2:2" s="221" customFormat="1" ht="12.75" x14ac:dyDescent="0.2">
      <c r="B31397" s="1168"/>
    </row>
    <row r="31398" spans="2:2" s="221" customFormat="1" ht="12.75" x14ac:dyDescent="0.2">
      <c r="B31398" s="1168"/>
    </row>
    <row r="31399" spans="2:2" s="221" customFormat="1" ht="12.75" x14ac:dyDescent="0.2">
      <c r="B31399" s="1168"/>
    </row>
    <row r="31400" spans="2:2" s="221" customFormat="1" ht="12.75" x14ac:dyDescent="0.2">
      <c r="B31400" s="1168"/>
    </row>
    <row r="31401" spans="2:2" s="221" customFormat="1" ht="12.75" x14ac:dyDescent="0.2">
      <c r="B31401" s="1168"/>
    </row>
    <row r="31402" spans="2:2" s="221" customFormat="1" ht="12.75" x14ac:dyDescent="0.2">
      <c r="B31402" s="1168"/>
    </row>
    <row r="31403" spans="2:2" s="221" customFormat="1" ht="12.75" x14ac:dyDescent="0.2">
      <c r="B31403" s="1168"/>
    </row>
    <row r="31404" spans="2:2" s="221" customFormat="1" ht="12.75" x14ac:dyDescent="0.2">
      <c r="B31404" s="1168"/>
    </row>
    <row r="31405" spans="2:2" s="221" customFormat="1" ht="12.75" x14ac:dyDescent="0.2">
      <c r="B31405" s="1168"/>
    </row>
    <row r="31406" spans="2:2" s="221" customFormat="1" ht="12.75" x14ac:dyDescent="0.2">
      <c r="B31406" s="1168"/>
    </row>
    <row r="31407" spans="2:2" s="221" customFormat="1" ht="12.75" x14ac:dyDescent="0.2">
      <c r="B31407" s="1168"/>
    </row>
    <row r="31408" spans="2:2" s="221" customFormat="1" ht="12.75" x14ac:dyDescent="0.2">
      <c r="B31408" s="1168"/>
    </row>
    <row r="31409" spans="2:2" s="221" customFormat="1" ht="12.75" x14ac:dyDescent="0.2">
      <c r="B31409" s="1168"/>
    </row>
    <row r="31410" spans="2:2" s="221" customFormat="1" ht="12.75" x14ac:dyDescent="0.2">
      <c r="B31410" s="1168"/>
    </row>
    <row r="31411" spans="2:2" s="221" customFormat="1" ht="12.75" x14ac:dyDescent="0.2">
      <c r="B31411" s="1168"/>
    </row>
    <row r="31412" spans="2:2" s="221" customFormat="1" ht="12.75" x14ac:dyDescent="0.2">
      <c r="B31412" s="1168"/>
    </row>
    <row r="31413" spans="2:2" s="221" customFormat="1" ht="12.75" x14ac:dyDescent="0.2">
      <c r="B31413" s="1168"/>
    </row>
    <row r="31414" spans="2:2" s="221" customFormat="1" ht="12.75" x14ac:dyDescent="0.2">
      <c r="B31414" s="1168"/>
    </row>
    <row r="31415" spans="2:2" s="221" customFormat="1" ht="12.75" x14ac:dyDescent="0.2">
      <c r="B31415" s="1168"/>
    </row>
    <row r="31416" spans="2:2" s="221" customFormat="1" ht="12.75" x14ac:dyDescent="0.2">
      <c r="B31416" s="1168"/>
    </row>
    <row r="31417" spans="2:2" s="221" customFormat="1" ht="12.75" x14ac:dyDescent="0.2">
      <c r="B31417" s="1168"/>
    </row>
    <row r="31418" spans="2:2" s="221" customFormat="1" ht="12.75" x14ac:dyDescent="0.2">
      <c r="B31418" s="1168"/>
    </row>
    <row r="31419" spans="2:2" s="221" customFormat="1" ht="12.75" x14ac:dyDescent="0.2">
      <c r="B31419" s="1168"/>
    </row>
    <row r="31420" spans="2:2" s="221" customFormat="1" ht="12.75" x14ac:dyDescent="0.2">
      <c r="B31420" s="1168"/>
    </row>
    <row r="31421" spans="2:2" s="221" customFormat="1" ht="12.75" x14ac:dyDescent="0.2">
      <c r="B31421" s="1168"/>
    </row>
    <row r="31422" spans="2:2" s="221" customFormat="1" ht="12.75" x14ac:dyDescent="0.2">
      <c r="B31422" s="1168"/>
    </row>
    <row r="31423" spans="2:2" s="221" customFormat="1" ht="12.75" x14ac:dyDescent="0.2">
      <c r="B31423" s="1168"/>
    </row>
    <row r="31424" spans="2:2" s="221" customFormat="1" ht="12.75" x14ac:dyDescent="0.2">
      <c r="B31424" s="1168"/>
    </row>
    <row r="31425" spans="2:2" s="221" customFormat="1" ht="12.75" x14ac:dyDescent="0.2">
      <c r="B31425" s="1168"/>
    </row>
    <row r="31426" spans="2:2" s="221" customFormat="1" ht="12.75" x14ac:dyDescent="0.2">
      <c r="B31426" s="1168"/>
    </row>
    <row r="31427" spans="2:2" s="221" customFormat="1" ht="12.75" x14ac:dyDescent="0.2">
      <c r="B31427" s="1168"/>
    </row>
    <row r="31428" spans="2:2" s="221" customFormat="1" ht="12.75" x14ac:dyDescent="0.2">
      <c r="B31428" s="1168"/>
    </row>
    <row r="31429" spans="2:2" s="221" customFormat="1" ht="12.75" x14ac:dyDescent="0.2">
      <c r="B31429" s="1168"/>
    </row>
    <row r="31430" spans="2:2" s="221" customFormat="1" ht="12.75" x14ac:dyDescent="0.2">
      <c r="B31430" s="1168"/>
    </row>
    <row r="31431" spans="2:2" s="221" customFormat="1" ht="12.75" x14ac:dyDescent="0.2">
      <c r="B31431" s="1168"/>
    </row>
    <row r="31432" spans="2:2" s="221" customFormat="1" ht="12.75" x14ac:dyDescent="0.2">
      <c r="B31432" s="1168"/>
    </row>
    <row r="31433" spans="2:2" s="221" customFormat="1" ht="12.75" x14ac:dyDescent="0.2">
      <c r="B31433" s="1168"/>
    </row>
    <row r="31434" spans="2:2" s="221" customFormat="1" ht="12.75" x14ac:dyDescent="0.2">
      <c r="B31434" s="1168"/>
    </row>
    <row r="31435" spans="2:2" s="221" customFormat="1" ht="12.75" x14ac:dyDescent="0.2">
      <c r="B31435" s="1168"/>
    </row>
    <row r="31436" spans="2:2" s="221" customFormat="1" ht="12.75" x14ac:dyDescent="0.2">
      <c r="B31436" s="1168"/>
    </row>
    <row r="31437" spans="2:2" s="221" customFormat="1" ht="12.75" x14ac:dyDescent="0.2">
      <c r="B31437" s="1168"/>
    </row>
    <row r="31438" spans="2:2" s="221" customFormat="1" ht="12.75" x14ac:dyDescent="0.2">
      <c r="B31438" s="1168"/>
    </row>
    <row r="31439" spans="2:2" s="221" customFormat="1" ht="12.75" x14ac:dyDescent="0.2">
      <c r="B31439" s="1168"/>
    </row>
    <row r="31440" spans="2:2" s="221" customFormat="1" ht="12.75" x14ac:dyDescent="0.2">
      <c r="B31440" s="1168"/>
    </row>
    <row r="31441" spans="2:2" s="221" customFormat="1" ht="12.75" x14ac:dyDescent="0.2">
      <c r="B31441" s="1168"/>
    </row>
    <row r="31442" spans="2:2" s="221" customFormat="1" ht="12.75" x14ac:dyDescent="0.2">
      <c r="B31442" s="1168"/>
    </row>
    <row r="31443" spans="2:2" s="221" customFormat="1" ht="12.75" x14ac:dyDescent="0.2">
      <c r="B31443" s="1168"/>
    </row>
    <row r="31444" spans="2:2" s="221" customFormat="1" ht="12.75" x14ac:dyDescent="0.2">
      <c r="B31444" s="1168"/>
    </row>
    <row r="31445" spans="2:2" s="221" customFormat="1" ht="12.75" x14ac:dyDescent="0.2">
      <c r="B31445" s="1168"/>
    </row>
    <row r="31446" spans="2:2" s="221" customFormat="1" ht="12.75" x14ac:dyDescent="0.2">
      <c r="B31446" s="1168"/>
    </row>
    <row r="31447" spans="2:2" s="221" customFormat="1" ht="12.75" x14ac:dyDescent="0.2">
      <c r="B31447" s="1168"/>
    </row>
    <row r="31448" spans="2:2" s="221" customFormat="1" ht="12.75" x14ac:dyDescent="0.2">
      <c r="B31448" s="1168"/>
    </row>
    <row r="31449" spans="2:2" s="221" customFormat="1" ht="12.75" x14ac:dyDescent="0.2">
      <c r="B31449" s="1168"/>
    </row>
    <row r="31450" spans="2:2" s="221" customFormat="1" ht="12.75" x14ac:dyDescent="0.2">
      <c r="B31450" s="1168"/>
    </row>
    <row r="31451" spans="2:2" s="221" customFormat="1" ht="12.75" x14ac:dyDescent="0.2">
      <c r="B31451" s="1168"/>
    </row>
    <row r="31452" spans="2:2" s="221" customFormat="1" ht="12.75" x14ac:dyDescent="0.2">
      <c r="B31452" s="1168"/>
    </row>
    <row r="31453" spans="2:2" s="221" customFormat="1" ht="12.75" x14ac:dyDescent="0.2">
      <c r="B31453" s="1168"/>
    </row>
    <row r="31454" spans="2:2" s="221" customFormat="1" ht="12.75" x14ac:dyDescent="0.2">
      <c r="B31454" s="1168"/>
    </row>
    <row r="31455" spans="2:2" s="221" customFormat="1" ht="12.75" x14ac:dyDescent="0.2">
      <c r="B31455" s="1168"/>
    </row>
    <row r="31456" spans="2:2" s="221" customFormat="1" ht="12.75" x14ac:dyDescent="0.2">
      <c r="B31456" s="1168"/>
    </row>
    <row r="31457" spans="2:2" s="221" customFormat="1" ht="12.75" x14ac:dyDescent="0.2">
      <c r="B31457" s="1168"/>
    </row>
    <row r="31458" spans="2:2" s="221" customFormat="1" ht="12.75" x14ac:dyDescent="0.2">
      <c r="B31458" s="1168"/>
    </row>
    <row r="31459" spans="2:2" s="221" customFormat="1" ht="12.75" x14ac:dyDescent="0.2">
      <c r="B31459" s="1168"/>
    </row>
    <row r="31460" spans="2:2" s="221" customFormat="1" ht="12.75" x14ac:dyDescent="0.2">
      <c r="B31460" s="1168"/>
    </row>
    <row r="31461" spans="2:2" s="221" customFormat="1" ht="12.75" x14ac:dyDescent="0.2">
      <c r="B31461" s="1168"/>
    </row>
    <row r="31462" spans="2:2" s="221" customFormat="1" ht="12.75" x14ac:dyDescent="0.2">
      <c r="B31462" s="1168"/>
    </row>
    <row r="31463" spans="2:2" s="221" customFormat="1" ht="12.75" x14ac:dyDescent="0.2">
      <c r="B31463" s="1168"/>
    </row>
    <row r="31464" spans="2:2" s="221" customFormat="1" ht="12.75" x14ac:dyDescent="0.2">
      <c r="B31464" s="1168"/>
    </row>
    <row r="31465" spans="2:2" s="221" customFormat="1" ht="12.75" x14ac:dyDescent="0.2">
      <c r="B31465" s="1168"/>
    </row>
    <row r="31466" spans="2:2" s="221" customFormat="1" ht="12.75" x14ac:dyDescent="0.2">
      <c r="B31466" s="1168"/>
    </row>
    <row r="31467" spans="2:2" s="221" customFormat="1" ht="12.75" x14ac:dyDescent="0.2">
      <c r="B31467" s="1168"/>
    </row>
    <row r="31468" spans="2:2" s="221" customFormat="1" ht="12.75" x14ac:dyDescent="0.2">
      <c r="B31468" s="1168"/>
    </row>
    <row r="31469" spans="2:2" s="221" customFormat="1" ht="12.75" x14ac:dyDescent="0.2">
      <c r="B31469" s="1168"/>
    </row>
    <row r="31470" spans="2:2" s="221" customFormat="1" ht="12.75" x14ac:dyDescent="0.2">
      <c r="B31470" s="1168"/>
    </row>
    <row r="31471" spans="2:2" s="221" customFormat="1" ht="12.75" x14ac:dyDescent="0.2">
      <c r="B31471" s="1168"/>
    </row>
    <row r="31472" spans="2:2" s="221" customFormat="1" ht="12.75" x14ac:dyDescent="0.2">
      <c r="B31472" s="1168"/>
    </row>
    <row r="31473" spans="2:2" s="221" customFormat="1" ht="12.75" x14ac:dyDescent="0.2">
      <c r="B31473" s="1168"/>
    </row>
    <row r="31474" spans="2:2" s="221" customFormat="1" ht="12.75" x14ac:dyDescent="0.2">
      <c r="B31474" s="1168"/>
    </row>
    <row r="31475" spans="2:2" s="221" customFormat="1" ht="12.75" x14ac:dyDescent="0.2">
      <c r="B31475" s="1168"/>
    </row>
    <row r="31476" spans="2:2" s="221" customFormat="1" ht="12.75" x14ac:dyDescent="0.2">
      <c r="B31476" s="1168"/>
    </row>
    <row r="31477" spans="2:2" s="221" customFormat="1" ht="12.75" x14ac:dyDescent="0.2">
      <c r="B31477" s="1168"/>
    </row>
    <row r="31478" spans="2:2" s="221" customFormat="1" ht="12.75" x14ac:dyDescent="0.2">
      <c r="B31478" s="1168"/>
    </row>
    <row r="31479" spans="2:2" s="221" customFormat="1" ht="12.75" x14ac:dyDescent="0.2">
      <c r="B31479" s="1168"/>
    </row>
    <row r="31480" spans="2:2" s="221" customFormat="1" ht="12.75" x14ac:dyDescent="0.2">
      <c r="B31480" s="1168"/>
    </row>
    <row r="31481" spans="2:2" s="221" customFormat="1" ht="12.75" x14ac:dyDescent="0.2">
      <c r="B31481" s="1168"/>
    </row>
    <row r="31482" spans="2:2" s="221" customFormat="1" ht="12.75" x14ac:dyDescent="0.2">
      <c r="B31482" s="1168"/>
    </row>
    <row r="31483" spans="2:2" s="221" customFormat="1" ht="12.75" x14ac:dyDescent="0.2">
      <c r="B31483" s="1168"/>
    </row>
    <row r="31484" spans="2:2" s="221" customFormat="1" ht="12.75" x14ac:dyDescent="0.2">
      <c r="B31484" s="1168"/>
    </row>
    <row r="31485" spans="2:2" s="221" customFormat="1" ht="12.75" x14ac:dyDescent="0.2">
      <c r="B31485" s="1168"/>
    </row>
    <row r="31486" spans="2:2" s="221" customFormat="1" ht="12.75" x14ac:dyDescent="0.2">
      <c r="B31486" s="1168"/>
    </row>
    <row r="31487" spans="2:2" s="221" customFormat="1" ht="12.75" x14ac:dyDescent="0.2">
      <c r="B31487" s="1168"/>
    </row>
    <row r="31488" spans="2:2" s="221" customFormat="1" ht="12.75" x14ac:dyDescent="0.2">
      <c r="B31488" s="1168"/>
    </row>
    <row r="31489" spans="2:2" s="221" customFormat="1" ht="12.75" x14ac:dyDescent="0.2">
      <c r="B31489" s="1168"/>
    </row>
    <row r="31490" spans="2:2" s="221" customFormat="1" ht="12.75" x14ac:dyDescent="0.2">
      <c r="B31490" s="1168"/>
    </row>
    <row r="31491" spans="2:2" s="221" customFormat="1" ht="12.75" x14ac:dyDescent="0.2">
      <c r="B31491" s="1168"/>
    </row>
    <row r="31492" spans="2:2" s="221" customFormat="1" ht="12.75" x14ac:dyDescent="0.2">
      <c r="B31492" s="1168"/>
    </row>
    <row r="31493" spans="2:2" s="221" customFormat="1" ht="12.75" x14ac:dyDescent="0.2">
      <c r="B31493" s="1168"/>
    </row>
    <row r="31494" spans="2:2" s="221" customFormat="1" ht="12.75" x14ac:dyDescent="0.2">
      <c r="B31494" s="1168"/>
    </row>
    <row r="31495" spans="2:2" s="221" customFormat="1" ht="12.75" x14ac:dyDescent="0.2">
      <c r="B31495" s="1168"/>
    </row>
    <row r="31496" spans="2:2" s="221" customFormat="1" ht="12.75" x14ac:dyDescent="0.2">
      <c r="B31496" s="1168"/>
    </row>
    <row r="31497" spans="2:2" s="221" customFormat="1" ht="12.75" x14ac:dyDescent="0.2">
      <c r="B31497" s="1168"/>
    </row>
    <row r="31498" spans="2:2" s="221" customFormat="1" ht="12.75" x14ac:dyDescent="0.2">
      <c r="B31498" s="1168"/>
    </row>
    <row r="31499" spans="2:2" s="221" customFormat="1" ht="12.75" x14ac:dyDescent="0.2">
      <c r="B31499" s="1168"/>
    </row>
    <row r="31500" spans="2:2" s="221" customFormat="1" ht="12.75" x14ac:dyDescent="0.2">
      <c r="B31500" s="1168"/>
    </row>
    <row r="31501" spans="2:2" s="221" customFormat="1" ht="12.75" x14ac:dyDescent="0.2">
      <c r="B31501" s="1168"/>
    </row>
    <row r="31502" spans="2:2" s="221" customFormat="1" ht="12.75" x14ac:dyDescent="0.2">
      <c r="B31502" s="1168"/>
    </row>
    <row r="31503" spans="2:2" s="221" customFormat="1" ht="12.75" x14ac:dyDescent="0.2">
      <c r="B31503" s="1168"/>
    </row>
    <row r="31504" spans="2:2" s="221" customFormat="1" ht="12.75" x14ac:dyDescent="0.2">
      <c r="B31504" s="1168"/>
    </row>
    <row r="31505" spans="2:2" s="221" customFormat="1" ht="12.75" x14ac:dyDescent="0.2">
      <c r="B31505" s="1168"/>
    </row>
    <row r="31506" spans="2:2" s="221" customFormat="1" ht="12.75" x14ac:dyDescent="0.2">
      <c r="B31506" s="1168"/>
    </row>
    <row r="31507" spans="2:2" s="221" customFormat="1" ht="12.75" x14ac:dyDescent="0.2">
      <c r="B31507" s="1168"/>
    </row>
    <row r="31508" spans="2:2" s="221" customFormat="1" ht="12.75" x14ac:dyDescent="0.2">
      <c r="B31508" s="1168"/>
    </row>
    <row r="31509" spans="2:2" s="221" customFormat="1" ht="12.75" x14ac:dyDescent="0.2">
      <c r="B31509" s="1168"/>
    </row>
    <row r="31510" spans="2:2" s="221" customFormat="1" ht="12.75" x14ac:dyDescent="0.2">
      <c r="B31510" s="1168"/>
    </row>
    <row r="31511" spans="2:2" s="221" customFormat="1" ht="12.75" x14ac:dyDescent="0.2">
      <c r="B31511" s="1168"/>
    </row>
    <row r="31512" spans="2:2" s="221" customFormat="1" ht="12.75" x14ac:dyDescent="0.2">
      <c r="B31512" s="1168"/>
    </row>
    <row r="31513" spans="2:2" s="221" customFormat="1" ht="12.75" x14ac:dyDescent="0.2">
      <c r="B31513" s="1168"/>
    </row>
    <row r="31514" spans="2:2" s="221" customFormat="1" ht="12.75" x14ac:dyDescent="0.2">
      <c r="B31514" s="1168"/>
    </row>
    <row r="31515" spans="2:2" s="221" customFormat="1" ht="12.75" x14ac:dyDescent="0.2">
      <c r="B31515" s="1168"/>
    </row>
    <row r="31516" spans="2:2" s="221" customFormat="1" ht="12.75" x14ac:dyDescent="0.2">
      <c r="B31516" s="1168"/>
    </row>
    <row r="31517" spans="2:2" s="221" customFormat="1" ht="12.75" x14ac:dyDescent="0.2">
      <c r="B31517" s="1168"/>
    </row>
    <row r="31518" spans="2:2" s="221" customFormat="1" ht="12.75" x14ac:dyDescent="0.2">
      <c r="B31518" s="1168"/>
    </row>
    <row r="31519" spans="2:2" s="221" customFormat="1" ht="12.75" x14ac:dyDescent="0.2">
      <c r="B31519" s="1168"/>
    </row>
    <row r="31520" spans="2:2" s="221" customFormat="1" ht="12.75" x14ac:dyDescent="0.2">
      <c r="B31520" s="1168"/>
    </row>
    <row r="31521" spans="2:2" s="221" customFormat="1" ht="12.75" x14ac:dyDescent="0.2">
      <c r="B31521" s="1168"/>
    </row>
    <row r="31522" spans="2:2" s="221" customFormat="1" ht="12.75" x14ac:dyDescent="0.2">
      <c r="B31522" s="1168"/>
    </row>
    <row r="31523" spans="2:2" s="221" customFormat="1" ht="12.75" x14ac:dyDescent="0.2">
      <c r="B31523" s="1168"/>
    </row>
    <row r="31524" spans="2:2" s="221" customFormat="1" ht="12.75" x14ac:dyDescent="0.2">
      <c r="B31524" s="1168"/>
    </row>
    <row r="31525" spans="2:2" s="221" customFormat="1" ht="12.75" x14ac:dyDescent="0.2">
      <c r="B31525" s="1168"/>
    </row>
    <row r="31526" spans="2:2" s="221" customFormat="1" ht="12.75" x14ac:dyDescent="0.2">
      <c r="B31526" s="1168"/>
    </row>
    <row r="31527" spans="2:2" s="221" customFormat="1" ht="12.75" x14ac:dyDescent="0.2">
      <c r="B31527" s="1168"/>
    </row>
    <row r="31528" spans="2:2" s="221" customFormat="1" ht="12.75" x14ac:dyDescent="0.2">
      <c r="B31528" s="1168"/>
    </row>
    <row r="31529" spans="2:2" s="221" customFormat="1" ht="12.75" x14ac:dyDescent="0.2">
      <c r="B31529" s="1168"/>
    </row>
    <row r="31530" spans="2:2" s="221" customFormat="1" ht="12.75" x14ac:dyDescent="0.2">
      <c r="B31530" s="1168"/>
    </row>
    <row r="31531" spans="2:2" s="221" customFormat="1" ht="12.75" x14ac:dyDescent="0.2">
      <c r="B31531" s="1168"/>
    </row>
    <row r="31532" spans="2:2" s="221" customFormat="1" ht="12.75" x14ac:dyDescent="0.2">
      <c r="B31532" s="1168"/>
    </row>
    <row r="31533" spans="2:2" s="221" customFormat="1" ht="12.75" x14ac:dyDescent="0.2">
      <c r="B31533" s="1168"/>
    </row>
    <row r="31534" spans="2:2" s="221" customFormat="1" ht="12.75" x14ac:dyDescent="0.2">
      <c r="B31534" s="1168"/>
    </row>
    <row r="31535" spans="2:2" s="221" customFormat="1" ht="12.75" x14ac:dyDescent="0.2">
      <c r="B31535" s="1168"/>
    </row>
    <row r="31536" spans="2:2" s="221" customFormat="1" ht="12.75" x14ac:dyDescent="0.2">
      <c r="B31536" s="1168"/>
    </row>
    <row r="31537" spans="2:2" s="221" customFormat="1" ht="12.75" x14ac:dyDescent="0.2">
      <c r="B31537" s="1168"/>
    </row>
    <row r="31538" spans="2:2" s="221" customFormat="1" ht="12.75" x14ac:dyDescent="0.2">
      <c r="B31538" s="1168"/>
    </row>
    <row r="31539" spans="2:2" s="221" customFormat="1" ht="12.75" x14ac:dyDescent="0.2">
      <c r="B31539" s="1168"/>
    </row>
    <row r="31540" spans="2:2" s="221" customFormat="1" ht="12.75" x14ac:dyDescent="0.2">
      <c r="B31540" s="1168"/>
    </row>
    <row r="31541" spans="2:2" s="221" customFormat="1" ht="12.75" x14ac:dyDescent="0.2">
      <c r="B31541" s="1168"/>
    </row>
    <row r="31542" spans="2:2" s="221" customFormat="1" ht="12.75" x14ac:dyDescent="0.2">
      <c r="B31542" s="1168"/>
    </row>
    <row r="31543" spans="2:2" s="221" customFormat="1" ht="12.75" x14ac:dyDescent="0.2">
      <c r="B31543" s="1168"/>
    </row>
    <row r="31544" spans="2:2" s="221" customFormat="1" ht="12.75" x14ac:dyDescent="0.2">
      <c r="B31544" s="1168"/>
    </row>
    <row r="31545" spans="2:2" s="221" customFormat="1" ht="12.75" x14ac:dyDescent="0.2">
      <c r="B31545" s="1168"/>
    </row>
    <row r="31546" spans="2:2" s="221" customFormat="1" ht="12.75" x14ac:dyDescent="0.2">
      <c r="B31546" s="1168"/>
    </row>
    <row r="31547" spans="2:2" s="221" customFormat="1" ht="12.75" x14ac:dyDescent="0.2">
      <c r="B31547" s="1168"/>
    </row>
    <row r="31548" spans="2:2" s="221" customFormat="1" ht="12.75" x14ac:dyDescent="0.2">
      <c r="B31548" s="1168"/>
    </row>
    <row r="31549" spans="2:2" s="221" customFormat="1" ht="12.75" x14ac:dyDescent="0.2">
      <c r="B31549" s="1168"/>
    </row>
    <row r="31550" spans="2:2" s="221" customFormat="1" ht="12.75" x14ac:dyDescent="0.2">
      <c r="B31550" s="1168"/>
    </row>
    <row r="31551" spans="2:2" s="221" customFormat="1" ht="12.75" x14ac:dyDescent="0.2">
      <c r="B31551" s="1168"/>
    </row>
    <row r="31552" spans="2:2" s="221" customFormat="1" ht="12.75" x14ac:dyDescent="0.2">
      <c r="B31552" s="1168"/>
    </row>
    <row r="31553" spans="2:2" s="221" customFormat="1" ht="12.75" x14ac:dyDescent="0.2">
      <c r="B31553" s="1168"/>
    </row>
    <row r="31554" spans="2:2" s="221" customFormat="1" ht="12.75" x14ac:dyDescent="0.2">
      <c r="B31554" s="1168"/>
    </row>
    <row r="31555" spans="2:2" s="221" customFormat="1" ht="12.75" x14ac:dyDescent="0.2">
      <c r="B31555" s="1168"/>
    </row>
    <row r="31556" spans="2:2" s="221" customFormat="1" ht="12.75" x14ac:dyDescent="0.2">
      <c r="B31556" s="1168"/>
    </row>
    <row r="31557" spans="2:2" s="221" customFormat="1" ht="12.75" x14ac:dyDescent="0.2">
      <c r="B31557" s="1168"/>
    </row>
    <row r="31558" spans="2:2" s="221" customFormat="1" ht="12.75" x14ac:dyDescent="0.2">
      <c r="B31558" s="1168"/>
    </row>
    <row r="31559" spans="2:2" s="221" customFormat="1" ht="12.75" x14ac:dyDescent="0.2">
      <c r="B31559" s="1168"/>
    </row>
    <row r="31560" spans="2:2" s="221" customFormat="1" ht="12.75" x14ac:dyDescent="0.2">
      <c r="B31560" s="1168"/>
    </row>
    <row r="31561" spans="2:2" s="221" customFormat="1" ht="12.75" x14ac:dyDescent="0.2">
      <c r="B31561" s="1168"/>
    </row>
    <row r="31562" spans="2:2" s="221" customFormat="1" ht="12.75" x14ac:dyDescent="0.2">
      <c r="B31562" s="1168"/>
    </row>
    <row r="31563" spans="2:2" s="221" customFormat="1" ht="12.75" x14ac:dyDescent="0.2">
      <c r="B31563" s="1168"/>
    </row>
    <row r="31564" spans="2:2" s="221" customFormat="1" ht="12.75" x14ac:dyDescent="0.2">
      <c r="B31564" s="1168"/>
    </row>
    <row r="31565" spans="2:2" s="221" customFormat="1" ht="12.75" x14ac:dyDescent="0.2">
      <c r="B31565" s="1168"/>
    </row>
    <row r="31566" spans="2:2" s="221" customFormat="1" ht="12.75" x14ac:dyDescent="0.2">
      <c r="B31566" s="1168"/>
    </row>
    <row r="31567" spans="2:2" s="221" customFormat="1" ht="12.75" x14ac:dyDescent="0.2">
      <c r="B31567" s="1168"/>
    </row>
    <row r="31568" spans="2:2" s="221" customFormat="1" ht="12.75" x14ac:dyDescent="0.2">
      <c r="B31568" s="1168"/>
    </row>
    <row r="31569" spans="2:2" s="221" customFormat="1" ht="12.75" x14ac:dyDescent="0.2">
      <c r="B31569" s="1168"/>
    </row>
    <row r="31570" spans="2:2" s="221" customFormat="1" ht="12.75" x14ac:dyDescent="0.2">
      <c r="B31570" s="1168"/>
    </row>
    <row r="31571" spans="2:2" s="221" customFormat="1" ht="12.75" x14ac:dyDescent="0.2">
      <c r="B31571" s="1168"/>
    </row>
    <row r="31572" spans="2:2" s="221" customFormat="1" ht="12.75" x14ac:dyDescent="0.2">
      <c r="B31572" s="1168"/>
    </row>
    <row r="31573" spans="2:2" s="221" customFormat="1" ht="12.75" x14ac:dyDescent="0.2">
      <c r="B31573" s="1168"/>
    </row>
    <row r="31574" spans="2:2" s="221" customFormat="1" ht="12.75" x14ac:dyDescent="0.2">
      <c r="B31574" s="1168"/>
    </row>
    <row r="31575" spans="2:2" s="221" customFormat="1" ht="12.75" x14ac:dyDescent="0.2">
      <c r="B31575" s="1168"/>
    </row>
    <row r="31576" spans="2:2" s="221" customFormat="1" ht="12.75" x14ac:dyDescent="0.2">
      <c r="B31576" s="1168"/>
    </row>
    <row r="31577" spans="2:2" s="221" customFormat="1" ht="12.75" x14ac:dyDescent="0.2">
      <c r="B31577" s="1168"/>
    </row>
    <row r="31578" spans="2:2" s="221" customFormat="1" ht="12.75" x14ac:dyDescent="0.2">
      <c r="B31578" s="1168"/>
    </row>
    <row r="31579" spans="2:2" s="221" customFormat="1" ht="12.75" x14ac:dyDescent="0.2">
      <c r="B31579" s="1168"/>
    </row>
    <row r="31580" spans="2:2" s="221" customFormat="1" ht="12.75" x14ac:dyDescent="0.2">
      <c r="B31580" s="1168"/>
    </row>
    <row r="31581" spans="2:2" s="221" customFormat="1" ht="12.75" x14ac:dyDescent="0.2">
      <c r="B31581" s="1168"/>
    </row>
    <row r="31582" spans="2:2" s="221" customFormat="1" ht="12.75" x14ac:dyDescent="0.2">
      <c r="B31582" s="1168"/>
    </row>
    <row r="31583" spans="2:2" s="221" customFormat="1" ht="12.75" x14ac:dyDescent="0.2">
      <c r="B31583" s="1168"/>
    </row>
    <row r="31584" spans="2:2" s="221" customFormat="1" ht="12.75" x14ac:dyDescent="0.2">
      <c r="B31584" s="1168"/>
    </row>
    <row r="31585" spans="2:2" s="221" customFormat="1" ht="12.75" x14ac:dyDescent="0.2">
      <c r="B31585" s="1168"/>
    </row>
    <row r="31586" spans="2:2" s="221" customFormat="1" ht="12.75" x14ac:dyDescent="0.2">
      <c r="B31586" s="1168"/>
    </row>
    <row r="31587" spans="2:2" s="221" customFormat="1" ht="12.75" x14ac:dyDescent="0.2">
      <c r="B31587" s="1168"/>
    </row>
    <row r="31588" spans="2:2" s="221" customFormat="1" ht="12.75" x14ac:dyDescent="0.2">
      <c r="B31588" s="1168"/>
    </row>
    <row r="31589" spans="2:2" s="221" customFormat="1" ht="12.75" x14ac:dyDescent="0.2">
      <c r="B31589" s="1168"/>
    </row>
    <row r="31590" spans="2:2" s="221" customFormat="1" ht="12.75" x14ac:dyDescent="0.2">
      <c r="B31590" s="1168"/>
    </row>
    <row r="31591" spans="2:2" s="221" customFormat="1" ht="12.75" x14ac:dyDescent="0.2">
      <c r="B31591" s="1168"/>
    </row>
    <row r="31592" spans="2:2" s="221" customFormat="1" ht="12.75" x14ac:dyDescent="0.2">
      <c r="B31592" s="1168"/>
    </row>
    <row r="31593" spans="2:2" s="221" customFormat="1" ht="12.75" x14ac:dyDescent="0.2">
      <c r="B31593" s="1168"/>
    </row>
    <row r="31594" spans="2:2" s="221" customFormat="1" ht="12.75" x14ac:dyDescent="0.2">
      <c r="B31594" s="1168"/>
    </row>
    <row r="31595" spans="2:2" s="221" customFormat="1" ht="12.75" x14ac:dyDescent="0.2">
      <c r="B31595" s="1168"/>
    </row>
    <row r="31596" spans="2:2" s="221" customFormat="1" ht="12.75" x14ac:dyDescent="0.2">
      <c r="B31596" s="1168"/>
    </row>
    <row r="31597" spans="2:2" s="221" customFormat="1" ht="12.75" x14ac:dyDescent="0.2">
      <c r="B31597" s="1168"/>
    </row>
    <row r="31598" spans="2:2" s="221" customFormat="1" ht="12.75" x14ac:dyDescent="0.2">
      <c r="B31598" s="1168"/>
    </row>
    <row r="31599" spans="2:2" s="221" customFormat="1" ht="12.75" x14ac:dyDescent="0.2">
      <c r="B31599" s="1168"/>
    </row>
    <row r="31600" spans="2:2" s="221" customFormat="1" ht="12.75" x14ac:dyDescent="0.2">
      <c r="B31600" s="1168"/>
    </row>
    <row r="31601" spans="2:2" s="221" customFormat="1" ht="12.75" x14ac:dyDescent="0.2">
      <c r="B31601" s="1168"/>
    </row>
    <row r="31602" spans="2:2" s="221" customFormat="1" ht="12.75" x14ac:dyDescent="0.2">
      <c r="B31602" s="1168"/>
    </row>
    <row r="31603" spans="2:2" s="221" customFormat="1" ht="12.75" x14ac:dyDescent="0.2">
      <c r="B31603" s="1168"/>
    </row>
    <row r="31604" spans="2:2" s="221" customFormat="1" ht="12.75" x14ac:dyDescent="0.2">
      <c r="B31604" s="1168"/>
    </row>
    <row r="31605" spans="2:2" s="221" customFormat="1" ht="12.75" x14ac:dyDescent="0.2">
      <c r="B31605" s="1168"/>
    </row>
    <row r="31606" spans="2:2" s="221" customFormat="1" ht="12.75" x14ac:dyDescent="0.2">
      <c r="B31606" s="1168"/>
    </row>
    <row r="31607" spans="2:2" s="221" customFormat="1" ht="12.75" x14ac:dyDescent="0.2">
      <c r="B31607" s="1168"/>
    </row>
    <row r="31608" spans="2:2" s="221" customFormat="1" ht="12.75" x14ac:dyDescent="0.2">
      <c r="B31608" s="1168"/>
    </row>
    <row r="31609" spans="2:2" s="221" customFormat="1" ht="12.75" x14ac:dyDescent="0.2">
      <c r="B31609" s="1168"/>
    </row>
    <row r="31610" spans="2:2" s="221" customFormat="1" ht="12.75" x14ac:dyDescent="0.2">
      <c r="B31610" s="1168"/>
    </row>
    <row r="31611" spans="2:2" s="221" customFormat="1" ht="12.75" x14ac:dyDescent="0.2">
      <c r="B31611" s="1168"/>
    </row>
    <row r="31612" spans="2:2" s="221" customFormat="1" ht="12.75" x14ac:dyDescent="0.2">
      <c r="B31612" s="1168"/>
    </row>
    <row r="31613" spans="2:2" s="221" customFormat="1" ht="12.75" x14ac:dyDescent="0.2">
      <c r="B31613" s="1168"/>
    </row>
    <row r="31614" spans="2:2" s="221" customFormat="1" ht="12.75" x14ac:dyDescent="0.2">
      <c r="B31614" s="1168"/>
    </row>
    <row r="31615" spans="2:2" s="221" customFormat="1" ht="12.75" x14ac:dyDescent="0.2">
      <c r="B31615" s="1168"/>
    </row>
    <row r="31616" spans="2:2" s="221" customFormat="1" ht="12.75" x14ac:dyDescent="0.2">
      <c r="B31616" s="1168"/>
    </row>
    <row r="31617" spans="2:2" s="221" customFormat="1" ht="12.75" x14ac:dyDescent="0.2">
      <c r="B31617" s="1168"/>
    </row>
    <row r="31618" spans="2:2" s="221" customFormat="1" ht="12.75" x14ac:dyDescent="0.2">
      <c r="B31618" s="1168"/>
    </row>
    <row r="31619" spans="2:2" s="221" customFormat="1" ht="12.75" x14ac:dyDescent="0.2">
      <c r="B31619" s="1168"/>
    </row>
    <row r="31620" spans="2:2" s="221" customFormat="1" ht="12.75" x14ac:dyDescent="0.2">
      <c r="B31620" s="1168"/>
    </row>
    <row r="31621" spans="2:2" s="221" customFormat="1" ht="12.75" x14ac:dyDescent="0.2">
      <c r="B31621" s="1168"/>
    </row>
    <row r="31622" spans="2:2" s="221" customFormat="1" ht="12.75" x14ac:dyDescent="0.2">
      <c r="B31622" s="1168"/>
    </row>
    <row r="31623" spans="2:2" s="221" customFormat="1" ht="12.75" x14ac:dyDescent="0.2">
      <c r="B31623" s="1168"/>
    </row>
    <row r="31624" spans="2:2" s="221" customFormat="1" ht="12.75" x14ac:dyDescent="0.2">
      <c r="B31624" s="1168"/>
    </row>
    <row r="31625" spans="2:2" s="221" customFormat="1" ht="12.75" x14ac:dyDescent="0.2">
      <c r="B31625" s="1168"/>
    </row>
    <row r="31626" spans="2:2" s="221" customFormat="1" ht="12.75" x14ac:dyDescent="0.2">
      <c r="B31626" s="1168"/>
    </row>
    <row r="31627" spans="2:2" s="221" customFormat="1" ht="12.75" x14ac:dyDescent="0.2">
      <c r="B31627" s="1168"/>
    </row>
    <row r="31628" spans="2:2" s="221" customFormat="1" ht="12.75" x14ac:dyDescent="0.2">
      <c r="B31628" s="1168"/>
    </row>
    <row r="31629" spans="2:2" s="221" customFormat="1" ht="12.75" x14ac:dyDescent="0.2">
      <c r="B31629" s="1168"/>
    </row>
    <row r="31630" spans="2:2" s="221" customFormat="1" ht="12.75" x14ac:dyDescent="0.2">
      <c r="B31630" s="1168"/>
    </row>
    <row r="31631" spans="2:2" s="221" customFormat="1" ht="12.75" x14ac:dyDescent="0.2">
      <c r="B31631" s="1168"/>
    </row>
    <row r="31632" spans="2:2" s="221" customFormat="1" ht="12.75" x14ac:dyDescent="0.2">
      <c r="B31632" s="1168"/>
    </row>
    <row r="31633" spans="2:2" s="221" customFormat="1" ht="12.75" x14ac:dyDescent="0.2">
      <c r="B31633" s="1168"/>
    </row>
    <row r="31634" spans="2:2" s="221" customFormat="1" ht="12.75" x14ac:dyDescent="0.2">
      <c r="B31634" s="1168"/>
    </row>
    <row r="31635" spans="2:2" s="221" customFormat="1" ht="12.75" x14ac:dyDescent="0.2">
      <c r="B31635" s="1168"/>
    </row>
    <row r="31636" spans="2:2" s="221" customFormat="1" ht="12.75" x14ac:dyDescent="0.2">
      <c r="B31636" s="1168"/>
    </row>
    <row r="31637" spans="2:2" s="221" customFormat="1" ht="12.75" x14ac:dyDescent="0.2">
      <c r="B31637" s="1168"/>
    </row>
    <row r="31638" spans="2:2" s="221" customFormat="1" ht="12.75" x14ac:dyDescent="0.2">
      <c r="B31638" s="1168"/>
    </row>
    <row r="31639" spans="2:2" s="221" customFormat="1" ht="12.75" x14ac:dyDescent="0.2">
      <c r="B31639" s="1168"/>
    </row>
    <row r="31640" spans="2:2" s="221" customFormat="1" ht="12.75" x14ac:dyDescent="0.2">
      <c r="B31640" s="1168"/>
    </row>
    <row r="31641" spans="2:2" s="221" customFormat="1" ht="12.75" x14ac:dyDescent="0.2">
      <c r="B31641" s="1168"/>
    </row>
    <row r="31642" spans="2:2" s="221" customFormat="1" ht="12.75" x14ac:dyDescent="0.2">
      <c r="B31642" s="1168"/>
    </row>
    <row r="31643" spans="2:2" s="221" customFormat="1" ht="12.75" x14ac:dyDescent="0.2">
      <c r="B31643" s="1168"/>
    </row>
    <row r="31644" spans="2:2" s="221" customFormat="1" ht="12.75" x14ac:dyDescent="0.2">
      <c r="B31644" s="1168"/>
    </row>
    <row r="31645" spans="2:2" s="221" customFormat="1" ht="12.75" x14ac:dyDescent="0.2">
      <c r="B31645" s="1168"/>
    </row>
    <row r="31646" spans="2:2" s="221" customFormat="1" ht="12.75" x14ac:dyDescent="0.2">
      <c r="B31646" s="1168"/>
    </row>
    <row r="31647" spans="2:2" s="221" customFormat="1" ht="12.75" x14ac:dyDescent="0.2">
      <c r="B31647" s="1168"/>
    </row>
    <row r="31648" spans="2:2" s="221" customFormat="1" ht="12.75" x14ac:dyDescent="0.2">
      <c r="B31648" s="1168"/>
    </row>
    <row r="31649" spans="2:2" s="221" customFormat="1" ht="12.75" x14ac:dyDescent="0.2">
      <c r="B31649" s="1168"/>
    </row>
    <row r="31650" spans="2:2" s="221" customFormat="1" ht="12.75" x14ac:dyDescent="0.2">
      <c r="B31650" s="1168"/>
    </row>
    <row r="31651" spans="2:2" s="221" customFormat="1" ht="12.75" x14ac:dyDescent="0.2">
      <c r="B31651" s="1168"/>
    </row>
    <row r="31652" spans="2:2" s="221" customFormat="1" ht="12.75" x14ac:dyDescent="0.2">
      <c r="B31652" s="1168"/>
    </row>
    <row r="31653" spans="2:2" s="221" customFormat="1" ht="12.75" x14ac:dyDescent="0.2">
      <c r="B31653" s="1168"/>
    </row>
    <row r="31654" spans="2:2" s="221" customFormat="1" ht="12.75" x14ac:dyDescent="0.2">
      <c r="B31654" s="1168"/>
    </row>
    <row r="31655" spans="2:2" s="221" customFormat="1" ht="12.75" x14ac:dyDescent="0.2">
      <c r="B31655" s="1168"/>
    </row>
    <row r="31656" spans="2:2" s="221" customFormat="1" ht="12.75" x14ac:dyDescent="0.2">
      <c r="B31656" s="1168"/>
    </row>
    <row r="31657" spans="2:2" s="221" customFormat="1" ht="12.75" x14ac:dyDescent="0.2">
      <c r="B31657" s="1168"/>
    </row>
    <row r="31658" spans="2:2" s="221" customFormat="1" ht="12.75" x14ac:dyDescent="0.2">
      <c r="B31658" s="1168"/>
    </row>
    <row r="31659" spans="2:2" s="221" customFormat="1" ht="12.75" x14ac:dyDescent="0.2">
      <c r="B31659" s="1168"/>
    </row>
    <row r="31660" spans="2:2" s="221" customFormat="1" ht="12.75" x14ac:dyDescent="0.2">
      <c r="B31660" s="1168"/>
    </row>
    <row r="31661" spans="2:2" s="221" customFormat="1" ht="12.75" x14ac:dyDescent="0.2">
      <c r="B31661" s="1168"/>
    </row>
    <row r="31662" spans="2:2" s="221" customFormat="1" ht="12.75" x14ac:dyDescent="0.2">
      <c r="B31662" s="1168"/>
    </row>
    <row r="31663" spans="2:2" s="221" customFormat="1" ht="12.75" x14ac:dyDescent="0.2">
      <c r="B31663" s="1168"/>
    </row>
    <row r="31664" spans="2:2" s="221" customFormat="1" ht="12.75" x14ac:dyDescent="0.2">
      <c r="B31664" s="1168"/>
    </row>
    <row r="31665" spans="2:2" s="221" customFormat="1" ht="12.75" x14ac:dyDescent="0.2">
      <c r="B31665" s="1168"/>
    </row>
    <row r="31666" spans="2:2" s="221" customFormat="1" ht="12.75" x14ac:dyDescent="0.2">
      <c r="B31666" s="1168"/>
    </row>
    <row r="31667" spans="2:2" s="221" customFormat="1" ht="12.75" x14ac:dyDescent="0.2">
      <c r="B31667" s="1168"/>
    </row>
    <row r="31668" spans="2:2" s="221" customFormat="1" ht="12.75" x14ac:dyDescent="0.2">
      <c r="B31668" s="1168"/>
    </row>
    <row r="31669" spans="2:2" s="221" customFormat="1" ht="12.75" x14ac:dyDescent="0.2">
      <c r="B31669" s="1168"/>
    </row>
    <row r="31670" spans="2:2" s="221" customFormat="1" ht="12.75" x14ac:dyDescent="0.2">
      <c r="B31670" s="1168"/>
    </row>
    <row r="31671" spans="2:2" s="221" customFormat="1" ht="12.75" x14ac:dyDescent="0.2">
      <c r="B31671" s="1168"/>
    </row>
    <row r="31672" spans="2:2" s="221" customFormat="1" ht="12.75" x14ac:dyDescent="0.2">
      <c r="B31672" s="1168"/>
    </row>
    <row r="31673" spans="2:2" s="221" customFormat="1" ht="12.75" x14ac:dyDescent="0.2">
      <c r="B31673" s="1168"/>
    </row>
    <row r="31674" spans="2:2" s="221" customFormat="1" ht="12.75" x14ac:dyDescent="0.2">
      <c r="B31674" s="1168"/>
    </row>
    <row r="31675" spans="2:2" s="221" customFormat="1" ht="12.75" x14ac:dyDescent="0.2">
      <c r="B31675" s="1168"/>
    </row>
    <row r="31676" spans="2:2" s="221" customFormat="1" ht="12.75" x14ac:dyDescent="0.2">
      <c r="B31676" s="1168"/>
    </row>
    <row r="31677" spans="2:2" s="221" customFormat="1" ht="12.75" x14ac:dyDescent="0.2">
      <c r="B31677" s="1168"/>
    </row>
    <row r="31678" spans="2:2" s="221" customFormat="1" ht="12.75" x14ac:dyDescent="0.2">
      <c r="B31678" s="1168"/>
    </row>
    <row r="31679" spans="2:2" s="221" customFormat="1" ht="12.75" x14ac:dyDescent="0.2">
      <c r="B31679" s="1168"/>
    </row>
    <row r="31680" spans="2:2" s="221" customFormat="1" ht="12.75" x14ac:dyDescent="0.2">
      <c r="B31680" s="1168"/>
    </row>
    <row r="31681" spans="2:2" s="221" customFormat="1" ht="12.75" x14ac:dyDescent="0.2">
      <c r="B31681" s="1168"/>
    </row>
    <row r="31682" spans="2:2" s="221" customFormat="1" ht="12.75" x14ac:dyDescent="0.2">
      <c r="B31682" s="1168"/>
    </row>
    <row r="31683" spans="2:2" s="221" customFormat="1" ht="12.75" x14ac:dyDescent="0.2">
      <c r="B31683" s="1168"/>
    </row>
    <row r="31684" spans="2:2" s="221" customFormat="1" ht="12.75" x14ac:dyDescent="0.2">
      <c r="B31684" s="1168"/>
    </row>
    <row r="31685" spans="2:2" s="221" customFormat="1" ht="12.75" x14ac:dyDescent="0.2">
      <c r="B31685" s="1168"/>
    </row>
    <row r="31686" spans="2:2" s="221" customFormat="1" ht="12.75" x14ac:dyDescent="0.2">
      <c r="B31686" s="1168"/>
    </row>
    <row r="31687" spans="2:2" s="221" customFormat="1" ht="12.75" x14ac:dyDescent="0.2">
      <c r="B31687" s="1168"/>
    </row>
    <row r="31688" spans="2:2" s="221" customFormat="1" ht="12.75" x14ac:dyDescent="0.2">
      <c r="B31688" s="1168"/>
    </row>
    <row r="31689" spans="2:2" s="221" customFormat="1" ht="12.75" x14ac:dyDescent="0.2">
      <c r="B31689" s="1168"/>
    </row>
    <row r="31690" spans="2:2" s="221" customFormat="1" ht="12.75" x14ac:dyDescent="0.2">
      <c r="B31690" s="1168"/>
    </row>
    <row r="31691" spans="2:2" s="221" customFormat="1" ht="12.75" x14ac:dyDescent="0.2">
      <c r="B31691" s="1168"/>
    </row>
    <row r="31692" spans="2:2" s="221" customFormat="1" ht="12.75" x14ac:dyDescent="0.2">
      <c r="B31692" s="1168"/>
    </row>
    <row r="31693" spans="2:2" s="221" customFormat="1" ht="12.75" x14ac:dyDescent="0.2">
      <c r="B31693" s="1168"/>
    </row>
    <row r="31694" spans="2:2" s="221" customFormat="1" ht="12.75" x14ac:dyDescent="0.2">
      <c r="B31694" s="1168"/>
    </row>
    <row r="31695" spans="2:2" s="221" customFormat="1" ht="12.75" x14ac:dyDescent="0.2">
      <c r="B31695" s="1168"/>
    </row>
    <row r="31696" spans="2:2" s="221" customFormat="1" ht="12.75" x14ac:dyDescent="0.2">
      <c r="B31696" s="1168"/>
    </row>
    <row r="31697" spans="2:2" s="221" customFormat="1" ht="12.75" x14ac:dyDescent="0.2">
      <c r="B31697" s="1168"/>
    </row>
    <row r="31698" spans="2:2" s="221" customFormat="1" ht="12.75" x14ac:dyDescent="0.2">
      <c r="B31698" s="1168"/>
    </row>
    <row r="31699" spans="2:2" s="221" customFormat="1" ht="12.75" x14ac:dyDescent="0.2">
      <c r="B31699" s="1168"/>
    </row>
    <row r="31700" spans="2:2" s="221" customFormat="1" ht="12.75" x14ac:dyDescent="0.2">
      <c r="B31700" s="1168"/>
    </row>
    <row r="31701" spans="2:2" s="221" customFormat="1" ht="12.75" x14ac:dyDescent="0.2">
      <c r="B31701" s="1168"/>
    </row>
    <row r="31702" spans="2:2" s="221" customFormat="1" ht="12.75" x14ac:dyDescent="0.2">
      <c r="B31702" s="1168"/>
    </row>
    <row r="31703" spans="2:2" s="221" customFormat="1" ht="12.75" x14ac:dyDescent="0.2">
      <c r="B31703" s="1168"/>
    </row>
    <row r="31704" spans="2:2" s="221" customFormat="1" ht="12.75" x14ac:dyDescent="0.2">
      <c r="B31704" s="1168"/>
    </row>
    <row r="31705" spans="2:2" s="221" customFormat="1" ht="12.75" x14ac:dyDescent="0.2">
      <c r="B31705" s="1168"/>
    </row>
    <row r="31706" spans="2:2" s="221" customFormat="1" ht="12.75" x14ac:dyDescent="0.2">
      <c r="B31706" s="1168"/>
    </row>
    <row r="31707" spans="2:2" s="221" customFormat="1" ht="12.75" x14ac:dyDescent="0.2">
      <c r="B31707" s="1168"/>
    </row>
    <row r="31708" spans="2:2" s="221" customFormat="1" ht="12.75" x14ac:dyDescent="0.2">
      <c r="B31708" s="1168"/>
    </row>
    <row r="31709" spans="2:2" s="221" customFormat="1" ht="12.75" x14ac:dyDescent="0.2">
      <c r="B31709" s="1168"/>
    </row>
    <row r="31710" spans="2:2" s="221" customFormat="1" ht="12.75" x14ac:dyDescent="0.2">
      <c r="B31710" s="1168"/>
    </row>
    <row r="31711" spans="2:2" s="221" customFormat="1" ht="12.75" x14ac:dyDescent="0.2">
      <c r="B31711" s="1168"/>
    </row>
    <row r="31712" spans="2:2" s="221" customFormat="1" ht="12.75" x14ac:dyDescent="0.2">
      <c r="B31712" s="1168"/>
    </row>
    <row r="31713" spans="2:2" s="221" customFormat="1" ht="12.75" x14ac:dyDescent="0.2">
      <c r="B31713" s="1168"/>
    </row>
    <row r="31714" spans="2:2" s="221" customFormat="1" ht="12.75" x14ac:dyDescent="0.2">
      <c r="B31714" s="1168"/>
    </row>
    <row r="31715" spans="2:2" s="221" customFormat="1" ht="12.75" x14ac:dyDescent="0.2">
      <c r="B31715" s="1168"/>
    </row>
    <row r="31716" spans="2:2" s="221" customFormat="1" ht="12.75" x14ac:dyDescent="0.2">
      <c r="B31716" s="1168"/>
    </row>
    <row r="31717" spans="2:2" s="221" customFormat="1" ht="12.75" x14ac:dyDescent="0.2">
      <c r="B31717" s="1168"/>
    </row>
    <row r="31718" spans="2:2" s="221" customFormat="1" ht="12.75" x14ac:dyDescent="0.2">
      <c r="B31718" s="1168"/>
    </row>
    <row r="31719" spans="2:2" s="221" customFormat="1" ht="12.75" x14ac:dyDescent="0.2">
      <c r="B31719" s="1168"/>
    </row>
    <row r="31720" spans="2:2" s="221" customFormat="1" ht="12.75" x14ac:dyDescent="0.2">
      <c r="B31720" s="1168"/>
    </row>
    <row r="31721" spans="2:2" s="221" customFormat="1" ht="12.75" x14ac:dyDescent="0.2">
      <c r="B31721" s="1168"/>
    </row>
    <row r="31722" spans="2:2" s="221" customFormat="1" ht="12.75" x14ac:dyDescent="0.2">
      <c r="B31722" s="1168"/>
    </row>
    <row r="31723" spans="2:2" s="221" customFormat="1" ht="12.75" x14ac:dyDescent="0.2">
      <c r="B31723" s="1168"/>
    </row>
    <row r="31724" spans="2:2" s="221" customFormat="1" ht="12.75" x14ac:dyDescent="0.2">
      <c r="B31724" s="1168"/>
    </row>
    <row r="31725" spans="2:2" s="221" customFormat="1" ht="12.75" x14ac:dyDescent="0.2">
      <c r="B31725" s="1168"/>
    </row>
    <row r="31726" spans="2:2" s="221" customFormat="1" ht="12.75" x14ac:dyDescent="0.2">
      <c r="B31726" s="1168"/>
    </row>
    <row r="31727" spans="2:2" s="221" customFormat="1" ht="12.75" x14ac:dyDescent="0.2">
      <c r="B31727" s="1168"/>
    </row>
    <row r="31728" spans="2:2" s="221" customFormat="1" ht="12.75" x14ac:dyDescent="0.2">
      <c r="B31728" s="1168"/>
    </row>
    <row r="31729" spans="2:2" s="221" customFormat="1" ht="12.75" x14ac:dyDescent="0.2">
      <c r="B31729" s="1168"/>
    </row>
    <row r="31730" spans="2:2" s="221" customFormat="1" ht="12.75" x14ac:dyDescent="0.2">
      <c r="B31730" s="1168"/>
    </row>
    <row r="31731" spans="2:2" s="221" customFormat="1" ht="12.75" x14ac:dyDescent="0.2">
      <c r="B31731" s="1168"/>
    </row>
    <row r="31732" spans="2:2" s="221" customFormat="1" ht="12.75" x14ac:dyDescent="0.2">
      <c r="B31732" s="1168"/>
    </row>
    <row r="31733" spans="2:2" s="221" customFormat="1" ht="12.75" x14ac:dyDescent="0.2">
      <c r="B31733" s="1168"/>
    </row>
    <row r="31734" spans="2:2" s="221" customFormat="1" ht="12.75" x14ac:dyDescent="0.2">
      <c r="B31734" s="1168"/>
    </row>
    <row r="31735" spans="2:2" s="221" customFormat="1" ht="12.75" x14ac:dyDescent="0.2">
      <c r="B31735" s="1168"/>
    </row>
    <row r="31736" spans="2:2" s="221" customFormat="1" ht="12.75" x14ac:dyDescent="0.2">
      <c r="B31736" s="1168"/>
    </row>
    <row r="31737" spans="2:2" s="221" customFormat="1" ht="12.75" x14ac:dyDescent="0.2">
      <c r="B31737" s="1168"/>
    </row>
    <row r="31738" spans="2:2" s="221" customFormat="1" ht="12.75" x14ac:dyDescent="0.2">
      <c r="B31738" s="1168"/>
    </row>
    <row r="31739" spans="2:2" s="221" customFormat="1" ht="12.75" x14ac:dyDescent="0.2">
      <c r="B31739" s="1168"/>
    </row>
    <row r="31740" spans="2:2" s="221" customFormat="1" ht="12.75" x14ac:dyDescent="0.2">
      <c r="B31740" s="1168"/>
    </row>
    <row r="31741" spans="2:2" s="221" customFormat="1" ht="12.75" x14ac:dyDescent="0.2">
      <c r="B31741" s="1168"/>
    </row>
    <row r="31742" spans="2:2" s="221" customFormat="1" ht="12.75" x14ac:dyDescent="0.2">
      <c r="B31742" s="1168"/>
    </row>
    <row r="31743" spans="2:2" s="221" customFormat="1" ht="12.75" x14ac:dyDescent="0.2">
      <c r="B31743" s="1168"/>
    </row>
    <row r="31744" spans="2:2" s="221" customFormat="1" ht="12.75" x14ac:dyDescent="0.2">
      <c r="B31744" s="1168"/>
    </row>
    <row r="31745" spans="2:2" s="221" customFormat="1" ht="12.75" x14ac:dyDescent="0.2">
      <c r="B31745" s="1168"/>
    </row>
    <row r="31746" spans="2:2" s="221" customFormat="1" ht="12.75" x14ac:dyDescent="0.2">
      <c r="B31746" s="1168"/>
    </row>
    <row r="31747" spans="2:2" s="221" customFormat="1" ht="12.75" x14ac:dyDescent="0.2">
      <c r="B31747" s="1168"/>
    </row>
    <row r="31748" spans="2:2" s="221" customFormat="1" ht="12.75" x14ac:dyDescent="0.2">
      <c r="B31748" s="1168"/>
    </row>
    <row r="31749" spans="2:2" s="221" customFormat="1" ht="12.75" x14ac:dyDescent="0.2">
      <c r="B31749" s="1168"/>
    </row>
    <row r="31750" spans="2:2" s="221" customFormat="1" ht="12.75" x14ac:dyDescent="0.2">
      <c r="B31750" s="1168"/>
    </row>
    <row r="31751" spans="2:2" s="221" customFormat="1" ht="12.75" x14ac:dyDescent="0.2">
      <c r="B31751" s="1168"/>
    </row>
    <row r="31752" spans="2:2" s="221" customFormat="1" ht="12.75" x14ac:dyDescent="0.2">
      <c r="B31752" s="1168"/>
    </row>
    <row r="31753" spans="2:2" s="221" customFormat="1" ht="12.75" x14ac:dyDescent="0.2">
      <c r="B31753" s="1168"/>
    </row>
    <row r="31754" spans="2:2" s="221" customFormat="1" ht="12.75" x14ac:dyDescent="0.2">
      <c r="B31754" s="1168"/>
    </row>
    <row r="31755" spans="2:2" s="221" customFormat="1" ht="12.75" x14ac:dyDescent="0.2">
      <c r="B31755" s="1168"/>
    </row>
    <row r="31756" spans="2:2" s="221" customFormat="1" ht="12.75" x14ac:dyDescent="0.2">
      <c r="B31756" s="1168"/>
    </row>
    <row r="31757" spans="2:2" s="221" customFormat="1" ht="12.75" x14ac:dyDescent="0.2">
      <c r="B31757" s="1168"/>
    </row>
    <row r="31758" spans="2:2" s="221" customFormat="1" ht="12.75" x14ac:dyDescent="0.2">
      <c r="B31758" s="1168"/>
    </row>
    <row r="31759" spans="2:2" s="221" customFormat="1" ht="12.75" x14ac:dyDescent="0.2">
      <c r="B31759" s="1168"/>
    </row>
    <row r="31760" spans="2:2" s="221" customFormat="1" ht="12.75" x14ac:dyDescent="0.2">
      <c r="B31760" s="1168"/>
    </row>
    <row r="31761" spans="2:2" s="221" customFormat="1" ht="12.75" x14ac:dyDescent="0.2">
      <c r="B31761" s="1168"/>
    </row>
    <row r="31762" spans="2:2" s="221" customFormat="1" ht="12.75" x14ac:dyDescent="0.2">
      <c r="B31762" s="1168"/>
    </row>
    <row r="31763" spans="2:2" s="221" customFormat="1" ht="12.75" x14ac:dyDescent="0.2">
      <c r="B31763" s="1168"/>
    </row>
    <row r="31764" spans="2:2" s="221" customFormat="1" ht="12.75" x14ac:dyDescent="0.2">
      <c r="B31764" s="1168"/>
    </row>
    <row r="31765" spans="2:2" s="221" customFormat="1" ht="12.75" x14ac:dyDescent="0.2">
      <c r="B31765" s="1168"/>
    </row>
    <row r="31766" spans="2:2" s="221" customFormat="1" ht="12.75" x14ac:dyDescent="0.2">
      <c r="B31766" s="1168"/>
    </row>
    <row r="31767" spans="2:2" s="221" customFormat="1" ht="12.75" x14ac:dyDescent="0.2">
      <c r="B31767" s="1168"/>
    </row>
    <row r="31768" spans="2:2" s="221" customFormat="1" ht="12.75" x14ac:dyDescent="0.2">
      <c r="B31768" s="1168"/>
    </row>
    <row r="31769" spans="2:2" s="221" customFormat="1" ht="12.75" x14ac:dyDescent="0.2">
      <c r="B31769" s="1168"/>
    </row>
    <row r="31770" spans="2:2" s="221" customFormat="1" ht="12.75" x14ac:dyDescent="0.2">
      <c r="B31770" s="1168"/>
    </row>
    <row r="31771" spans="2:2" s="221" customFormat="1" ht="12.75" x14ac:dyDescent="0.2">
      <c r="B31771" s="1168"/>
    </row>
    <row r="31772" spans="2:2" s="221" customFormat="1" ht="12.75" x14ac:dyDescent="0.2">
      <c r="B31772" s="1168"/>
    </row>
    <row r="31773" spans="2:2" s="221" customFormat="1" ht="12.75" x14ac:dyDescent="0.2">
      <c r="B31773" s="1168"/>
    </row>
    <row r="31774" spans="2:2" s="221" customFormat="1" ht="12.75" x14ac:dyDescent="0.2">
      <c r="B31774" s="1168"/>
    </row>
    <row r="31775" spans="2:2" s="221" customFormat="1" ht="12.75" x14ac:dyDescent="0.2">
      <c r="B31775" s="1168"/>
    </row>
    <row r="31776" spans="2:2" s="221" customFormat="1" ht="12.75" x14ac:dyDescent="0.2">
      <c r="B31776" s="1168"/>
    </row>
    <row r="31777" spans="2:2" s="221" customFormat="1" ht="12.75" x14ac:dyDescent="0.2">
      <c r="B31777" s="1168"/>
    </row>
    <row r="31778" spans="2:2" s="221" customFormat="1" ht="12.75" x14ac:dyDescent="0.2">
      <c r="B31778" s="1168"/>
    </row>
    <row r="31779" spans="2:2" s="221" customFormat="1" ht="12.75" x14ac:dyDescent="0.2">
      <c r="B31779" s="1168"/>
    </row>
    <row r="31780" spans="2:2" s="221" customFormat="1" ht="12.75" x14ac:dyDescent="0.2">
      <c r="B31780" s="1168"/>
    </row>
    <row r="31781" spans="2:2" s="221" customFormat="1" ht="12.75" x14ac:dyDescent="0.2">
      <c r="B31781" s="1168"/>
    </row>
    <row r="31782" spans="2:2" s="221" customFormat="1" ht="12.75" x14ac:dyDescent="0.2">
      <c r="B31782" s="1168"/>
    </row>
    <row r="31783" spans="2:2" s="221" customFormat="1" ht="12.75" x14ac:dyDescent="0.2">
      <c r="B31783" s="1168"/>
    </row>
    <row r="31784" spans="2:2" s="221" customFormat="1" ht="12.75" x14ac:dyDescent="0.2">
      <c r="B31784" s="1168"/>
    </row>
    <row r="31785" spans="2:2" s="221" customFormat="1" ht="12.75" x14ac:dyDescent="0.2">
      <c r="B31785" s="1168"/>
    </row>
    <row r="31786" spans="2:2" s="221" customFormat="1" ht="12.75" x14ac:dyDescent="0.2">
      <c r="B31786" s="1168"/>
    </row>
    <row r="31787" spans="2:2" s="221" customFormat="1" ht="12.75" x14ac:dyDescent="0.2">
      <c r="B31787" s="1168"/>
    </row>
    <row r="31788" spans="2:2" s="221" customFormat="1" ht="12.75" x14ac:dyDescent="0.2">
      <c r="B31788" s="1168"/>
    </row>
    <row r="31789" spans="2:2" s="221" customFormat="1" ht="12.75" x14ac:dyDescent="0.2">
      <c r="B31789" s="1168"/>
    </row>
    <row r="31790" spans="2:2" s="221" customFormat="1" ht="12.75" x14ac:dyDescent="0.2">
      <c r="B31790" s="1168"/>
    </row>
    <row r="31791" spans="2:2" s="221" customFormat="1" ht="12.75" x14ac:dyDescent="0.2">
      <c r="B31791" s="1168"/>
    </row>
    <row r="31792" spans="2:2" s="221" customFormat="1" ht="12.75" x14ac:dyDescent="0.2">
      <c r="B31792" s="1168"/>
    </row>
    <row r="31793" spans="2:2" s="221" customFormat="1" ht="12.75" x14ac:dyDescent="0.2">
      <c r="B31793" s="1168"/>
    </row>
    <row r="31794" spans="2:2" s="221" customFormat="1" ht="12.75" x14ac:dyDescent="0.2">
      <c r="B31794" s="1168"/>
    </row>
    <row r="31795" spans="2:2" s="221" customFormat="1" ht="12.75" x14ac:dyDescent="0.2">
      <c r="B31795" s="1168"/>
    </row>
    <row r="31796" spans="2:2" s="221" customFormat="1" ht="12.75" x14ac:dyDescent="0.2">
      <c r="B31796" s="1168"/>
    </row>
    <row r="31797" spans="2:2" s="221" customFormat="1" ht="12.75" x14ac:dyDescent="0.2">
      <c r="B31797" s="1168"/>
    </row>
    <row r="31798" spans="2:2" s="221" customFormat="1" ht="12.75" x14ac:dyDescent="0.2">
      <c r="B31798" s="1168"/>
    </row>
    <row r="31799" spans="2:2" s="221" customFormat="1" ht="12.75" x14ac:dyDescent="0.2">
      <c r="B31799" s="1168"/>
    </row>
    <row r="31800" spans="2:2" s="221" customFormat="1" ht="12.75" x14ac:dyDescent="0.2">
      <c r="B31800" s="1168"/>
    </row>
    <row r="31801" spans="2:2" s="221" customFormat="1" ht="12.75" x14ac:dyDescent="0.2">
      <c r="B31801" s="1168"/>
    </row>
    <row r="31802" spans="2:2" s="221" customFormat="1" ht="12.75" x14ac:dyDescent="0.2">
      <c r="B31802" s="1168"/>
    </row>
    <row r="31803" spans="2:2" s="221" customFormat="1" ht="12.75" x14ac:dyDescent="0.2">
      <c r="B31803" s="1168"/>
    </row>
    <row r="31804" spans="2:2" s="221" customFormat="1" ht="12.75" x14ac:dyDescent="0.2">
      <c r="B31804" s="1168"/>
    </row>
    <row r="31805" spans="2:2" s="221" customFormat="1" ht="12.75" x14ac:dyDescent="0.2">
      <c r="B31805" s="1168"/>
    </row>
    <row r="31806" spans="2:2" s="221" customFormat="1" ht="12.75" x14ac:dyDescent="0.2">
      <c r="B31806" s="1168"/>
    </row>
    <row r="31807" spans="2:2" s="221" customFormat="1" ht="12.75" x14ac:dyDescent="0.2">
      <c r="B31807" s="1168"/>
    </row>
    <row r="31808" spans="2:2" s="221" customFormat="1" ht="12.75" x14ac:dyDescent="0.2">
      <c r="B31808" s="1168"/>
    </row>
    <row r="31809" spans="2:2" s="221" customFormat="1" ht="12.75" x14ac:dyDescent="0.2">
      <c r="B31809" s="1168"/>
    </row>
    <row r="31810" spans="2:2" s="221" customFormat="1" ht="12.75" x14ac:dyDescent="0.2">
      <c r="B31810" s="1168"/>
    </row>
    <row r="31811" spans="2:2" s="221" customFormat="1" ht="12.75" x14ac:dyDescent="0.2">
      <c r="B31811" s="1168"/>
    </row>
    <row r="31812" spans="2:2" s="221" customFormat="1" ht="12.75" x14ac:dyDescent="0.2">
      <c r="B31812" s="1168"/>
    </row>
    <row r="31813" spans="2:2" s="221" customFormat="1" ht="12.75" x14ac:dyDescent="0.2">
      <c r="B31813" s="1168"/>
    </row>
    <row r="31814" spans="2:2" s="221" customFormat="1" ht="12.75" x14ac:dyDescent="0.2">
      <c r="B31814" s="1168"/>
    </row>
    <row r="31815" spans="2:2" s="221" customFormat="1" ht="12.75" x14ac:dyDescent="0.2">
      <c r="B31815" s="1168"/>
    </row>
    <row r="31816" spans="2:2" s="221" customFormat="1" ht="12.75" x14ac:dyDescent="0.2">
      <c r="B31816" s="1168"/>
    </row>
    <row r="31817" spans="2:2" s="221" customFormat="1" ht="12.75" x14ac:dyDescent="0.2">
      <c r="B31817" s="1168"/>
    </row>
    <row r="31818" spans="2:2" s="221" customFormat="1" ht="12.75" x14ac:dyDescent="0.2">
      <c r="B31818" s="1168"/>
    </row>
    <row r="31819" spans="2:2" s="221" customFormat="1" ht="12.75" x14ac:dyDescent="0.2">
      <c r="B31819" s="1168"/>
    </row>
    <row r="31820" spans="2:2" s="221" customFormat="1" ht="12.75" x14ac:dyDescent="0.2">
      <c r="B31820" s="1168"/>
    </row>
    <row r="31821" spans="2:2" s="221" customFormat="1" ht="12.75" x14ac:dyDescent="0.2">
      <c r="B31821" s="1168"/>
    </row>
    <row r="31822" spans="2:2" s="221" customFormat="1" ht="12.75" x14ac:dyDescent="0.2">
      <c r="B31822" s="1168"/>
    </row>
    <row r="31823" spans="2:2" s="221" customFormat="1" ht="12.75" x14ac:dyDescent="0.2">
      <c r="B31823" s="1168"/>
    </row>
    <row r="31824" spans="2:2" s="221" customFormat="1" ht="12.75" x14ac:dyDescent="0.2">
      <c r="B31824" s="1168"/>
    </row>
    <row r="31825" spans="2:2" s="221" customFormat="1" ht="12.75" x14ac:dyDescent="0.2">
      <c r="B31825" s="1168"/>
    </row>
    <row r="31826" spans="2:2" s="221" customFormat="1" ht="12.75" x14ac:dyDescent="0.2">
      <c r="B31826" s="1168"/>
    </row>
    <row r="31827" spans="2:2" s="221" customFormat="1" ht="12.75" x14ac:dyDescent="0.2">
      <c r="B31827" s="1168"/>
    </row>
    <row r="31828" spans="2:2" s="221" customFormat="1" ht="12.75" x14ac:dyDescent="0.2">
      <c r="B31828" s="1168"/>
    </row>
    <row r="31829" spans="2:2" s="221" customFormat="1" ht="12.75" x14ac:dyDescent="0.2">
      <c r="B31829" s="1168"/>
    </row>
    <row r="31830" spans="2:2" s="221" customFormat="1" ht="12.75" x14ac:dyDescent="0.2">
      <c r="B31830" s="1168"/>
    </row>
    <row r="31831" spans="2:2" s="221" customFormat="1" ht="12.75" x14ac:dyDescent="0.2">
      <c r="B31831" s="1168"/>
    </row>
    <row r="31832" spans="2:2" s="221" customFormat="1" ht="12.75" x14ac:dyDescent="0.2">
      <c r="B31832" s="1168"/>
    </row>
    <row r="31833" spans="2:2" s="221" customFormat="1" ht="12.75" x14ac:dyDescent="0.2">
      <c r="B31833" s="1168"/>
    </row>
    <row r="31834" spans="2:2" s="221" customFormat="1" ht="12.75" x14ac:dyDescent="0.2">
      <c r="B31834" s="1168"/>
    </row>
    <row r="31835" spans="2:2" s="221" customFormat="1" ht="12.75" x14ac:dyDescent="0.2">
      <c r="B31835" s="1168"/>
    </row>
    <row r="31836" spans="2:2" s="221" customFormat="1" ht="12.75" x14ac:dyDescent="0.2">
      <c r="B31836" s="1168"/>
    </row>
    <row r="31837" spans="2:2" s="221" customFormat="1" ht="12.75" x14ac:dyDescent="0.2">
      <c r="B31837" s="1168"/>
    </row>
    <row r="31838" spans="2:2" s="221" customFormat="1" ht="12.75" x14ac:dyDescent="0.2">
      <c r="B31838" s="1168"/>
    </row>
    <row r="31839" spans="2:2" s="221" customFormat="1" ht="12.75" x14ac:dyDescent="0.2">
      <c r="B31839" s="1168"/>
    </row>
    <row r="31840" spans="2:2" s="221" customFormat="1" ht="12.75" x14ac:dyDescent="0.2">
      <c r="B31840" s="1168"/>
    </row>
    <row r="31841" spans="2:2" s="221" customFormat="1" ht="12.75" x14ac:dyDescent="0.2">
      <c r="B31841" s="1168"/>
    </row>
    <row r="31842" spans="2:2" s="221" customFormat="1" ht="12.75" x14ac:dyDescent="0.2">
      <c r="B31842" s="1168"/>
    </row>
    <row r="31843" spans="2:2" s="221" customFormat="1" ht="12.75" x14ac:dyDescent="0.2">
      <c r="B31843" s="1168"/>
    </row>
    <row r="31844" spans="2:2" s="221" customFormat="1" ht="12.75" x14ac:dyDescent="0.2">
      <c r="B31844" s="1168"/>
    </row>
    <row r="31845" spans="2:2" s="221" customFormat="1" ht="12.75" x14ac:dyDescent="0.2">
      <c r="B31845" s="1168"/>
    </row>
    <row r="31846" spans="2:2" s="221" customFormat="1" ht="12.75" x14ac:dyDescent="0.2">
      <c r="B31846" s="1168"/>
    </row>
    <row r="31847" spans="2:2" s="221" customFormat="1" ht="12.75" x14ac:dyDescent="0.2">
      <c r="B31847" s="1168"/>
    </row>
    <row r="31848" spans="2:2" s="221" customFormat="1" ht="12.75" x14ac:dyDescent="0.2">
      <c r="B31848" s="1168"/>
    </row>
    <row r="31849" spans="2:2" s="221" customFormat="1" ht="12.75" x14ac:dyDescent="0.2">
      <c r="B31849" s="1168"/>
    </row>
    <row r="31850" spans="2:2" s="221" customFormat="1" ht="12.75" x14ac:dyDescent="0.2">
      <c r="B31850" s="1168"/>
    </row>
    <row r="31851" spans="2:2" s="221" customFormat="1" ht="12.75" x14ac:dyDescent="0.2">
      <c r="B31851" s="1168"/>
    </row>
    <row r="31852" spans="2:2" s="221" customFormat="1" ht="12.75" x14ac:dyDescent="0.2">
      <c r="B31852" s="1168"/>
    </row>
    <row r="31853" spans="2:2" s="221" customFormat="1" ht="12.75" x14ac:dyDescent="0.2">
      <c r="B31853" s="1168"/>
    </row>
    <row r="31854" spans="2:2" s="221" customFormat="1" ht="12.75" x14ac:dyDescent="0.2">
      <c r="B31854" s="1168"/>
    </row>
    <row r="31855" spans="2:2" s="221" customFormat="1" ht="12.75" x14ac:dyDescent="0.2">
      <c r="B31855" s="1168"/>
    </row>
    <row r="31856" spans="2:2" s="221" customFormat="1" ht="12.75" x14ac:dyDescent="0.2">
      <c r="B31856" s="1168"/>
    </row>
    <row r="31857" spans="2:2" s="221" customFormat="1" ht="12.75" x14ac:dyDescent="0.2">
      <c r="B31857" s="1168"/>
    </row>
    <row r="31858" spans="2:2" s="221" customFormat="1" ht="12.75" x14ac:dyDescent="0.2">
      <c r="B31858" s="1168"/>
    </row>
    <row r="31859" spans="2:2" s="221" customFormat="1" ht="12.75" x14ac:dyDescent="0.2">
      <c r="B31859" s="1168"/>
    </row>
    <row r="31860" spans="2:2" s="221" customFormat="1" ht="12.75" x14ac:dyDescent="0.2">
      <c r="B31860" s="1168"/>
    </row>
    <row r="31861" spans="2:2" s="221" customFormat="1" ht="12.75" x14ac:dyDescent="0.2">
      <c r="B31861" s="1168"/>
    </row>
    <row r="31862" spans="2:2" s="221" customFormat="1" ht="12.75" x14ac:dyDescent="0.2">
      <c r="B31862" s="1168"/>
    </row>
    <row r="31863" spans="2:2" s="221" customFormat="1" ht="12.75" x14ac:dyDescent="0.2">
      <c r="B31863" s="1168"/>
    </row>
    <row r="31864" spans="2:2" s="221" customFormat="1" ht="12.75" x14ac:dyDescent="0.2">
      <c r="B31864" s="1168"/>
    </row>
    <row r="31865" spans="2:2" s="221" customFormat="1" ht="12.75" x14ac:dyDescent="0.2">
      <c r="B31865" s="1168"/>
    </row>
    <row r="31866" spans="2:2" s="221" customFormat="1" ht="12.75" x14ac:dyDescent="0.2">
      <c r="B31866" s="1168"/>
    </row>
    <row r="31867" spans="2:2" s="221" customFormat="1" ht="12.75" x14ac:dyDescent="0.2">
      <c r="B31867" s="1168"/>
    </row>
    <row r="31868" spans="2:2" s="221" customFormat="1" ht="12.75" x14ac:dyDescent="0.2">
      <c r="B31868" s="1168"/>
    </row>
    <row r="31869" spans="2:2" s="221" customFormat="1" ht="12.75" x14ac:dyDescent="0.2">
      <c r="B31869" s="1168"/>
    </row>
    <row r="31870" spans="2:2" s="221" customFormat="1" ht="12.75" x14ac:dyDescent="0.2">
      <c r="B31870" s="1168"/>
    </row>
    <row r="31871" spans="2:2" s="221" customFormat="1" ht="12.75" x14ac:dyDescent="0.2">
      <c r="B31871" s="1168"/>
    </row>
    <row r="31872" spans="2:2" s="221" customFormat="1" ht="12.75" x14ac:dyDescent="0.2">
      <c r="B31872" s="1168"/>
    </row>
    <row r="31873" spans="2:2" s="221" customFormat="1" ht="12.75" x14ac:dyDescent="0.2">
      <c r="B31873" s="1168"/>
    </row>
    <row r="31874" spans="2:2" s="221" customFormat="1" ht="12.75" x14ac:dyDescent="0.2">
      <c r="B31874" s="1168"/>
    </row>
    <row r="31875" spans="2:2" s="221" customFormat="1" ht="12.75" x14ac:dyDescent="0.2">
      <c r="B31875" s="1168"/>
    </row>
    <row r="31876" spans="2:2" s="221" customFormat="1" ht="12.75" x14ac:dyDescent="0.2">
      <c r="B31876" s="1168"/>
    </row>
    <row r="31877" spans="2:2" s="221" customFormat="1" ht="12.75" x14ac:dyDescent="0.2">
      <c r="B31877" s="1168"/>
    </row>
    <row r="31878" spans="2:2" s="221" customFormat="1" ht="12.75" x14ac:dyDescent="0.2">
      <c r="B31878" s="1168"/>
    </row>
    <row r="31879" spans="2:2" s="221" customFormat="1" ht="12.75" x14ac:dyDescent="0.2">
      <c r="B31879" s="1168"/>
    </row>
    <row r="31880" spans="2:2" s="221" customFormat="1" ht="12.75" x14ac:dyDescent="0.2">
      <c r="B31880" s="1168"/>
    </row>
    <row r="31881" spans="2:2" s="221" customFormat="1" ht="12.75" x14ac:dyDescent="0.2">
      <c r="B31881" s="1168"/>
    </row>
    <row r="31882" spans="2:2" s="221" customFormat="1" ht="12.75" x14ac:dyDescent="0.2">
      <c r="B31882" s="1168"/>
    </row>
    <row r="31883" spans="2:2" s="221" customFormat="1" ht="12.75" x14ac:dyDescent="0.2">
      <c r="B31883" s="1168"/>
    </row>
    <row r="31884" spans="2:2" s="221" customFormat="1" ht="12.75" x14ac:dyDescent="0.2">
      <c r="B31884" s="1168"/>
    </row>
    <row r="31885" spans="2:2" s="221" customFormat="1" ht="12.75" x14ac:dyDescent="0.2">
      <c r="B31885" s="1168"/>
    </row>
    <row r="31886" spans="2:2" s="221" customFormat="1" ht="12.75" x14ac:dyDescent="0.2">
      <c r="B31886" s="1168"/>
    </row>
    <row r="31887" spans="2:2" s="221" customFormat="1" ht="12.75" x14ac:dyDescent="0.2">
      <c r="B31887" s="1168"/>
    </row>
    <row r="31888" spans="2:2" s="221" customFormat="1" ht="12.75" x14ac:dyDescent="0.2">
      <c r="B31888" s="1168"/>
    </row>
    <row r="31889" spans="2:2" s="221" customFormat="1" ht="12.75" x14ac:dyDescent="0.2">
      <c r="B31889" s="1168"/>
    </row>
    <row r="31890" spans="2:2" s="221" customFormat="1" ht="12.75" x14ac:dyDescent="0.2">
      <c r="B31890" s="1168"/>
    </row>
    <row r="31891" spans="2:2" s="221" customFormat="1" ht="12.75" x14ac:dyDescent="0.2">
      <c r="B31891" s="1168"/>
    </row>
    <row r="31892" spans="2:2" s="221" customFormat="1" ht="12.75" x14ac:dyDescent="0.2">
      <c r="B31892" s="1168"/>
    </row>
    <row r="31893" spans="2:2" s="221" customFormat="1" ht="12.75" x14ac:dyDescent="0.2">
      <c r="B31893" s="1168"/>
    </row>
    <row r="31894" spans="2:2" s="221" customFormat="1" ht="12.75" x14ac:dyDescent="0.2">
      <c r="B31894" s="1168"/>
    </row>
    <row r="31895" spans="2:2" s="221" customFormat="1" ht="12.75" x14ac:dyDescent="0.2">
      <c r="B31895" s="1168"/>
    </row>
    <row r="31896" spans="2:2" s="221" customFormat="1" ht="12.75" x14ac:dyDescent="0.2">
      <c r="B31896" s="1168"/>
    </row>
    <row r="31897" spans="2:2" s="221" customFormat="1" ht="12.75" x14ac:dyDescent="0.2">
      <c r="B31897" s="1168"/>
    </row>
    <row r="31898" spans="2:2" s="221" customFormat="1" ht="12.75" x14ac:dyDescent="0.2">
      <c r="B31898" s="1168"/>
    </row>
    <row r="31899" spans="2:2" s="221" customFormat="1" ht="12.75" x14ac:dyDescent="0.2">
      <c r="B31899" s="1168"/>
    </row>
    <row r="31900" spans="2:2" s="221" customFormat="1" ht="12.75" x14ac:dyDescent="0.2">
      <c r="B31900" s="1168"/>
    </row>
    <row r="31901" spans="2:2" s="221" customFormat="1" ht="12.75" x14ac:dyDescent="0.2">
      <c r="B31901" s="1168"/>
    </row>
    <row r="31902" spans="2:2" s="221" customFormat="1" ht="12.75" x14ac:dyDescent="0.2">
      <c r="B31902" s="1168"/>
    </row>
    <row r="31903" spans="2:2" s="221" customFormat="1" ht="12.75" x14ac:dyDescent="0.2">
      <c r="B31903" s="1168"/>
    </row>
    <row r="31904" spans="2:2" s="221" customFormat="1" ht="12.75" x14ac:dyDescent="0.2">
      <c r="B31904" s="1168"/>
    </row>
    <row r="31905" spans="2:2" s="221" customFormat="1" ht="12.75" x14ac:dyDescent="0.2">
      <c r="B31905" s="1168"/>
    </row>
    <row r="31906" spans="2:2" s="221" customFormat="1" ht="12.75" x14ac:dyDescent="0.2">
      <c r="B31906" s="1168"/>
    </row>
    <row r="31907" spans="2:2" s="221" customFormat="1" ht="12.75" x14ac:dyDescent="0.2">
      <c r="B31907" s="1168"/>
    </row>
    <row r="31908" spans="2:2" s="221" customFormat="1" ht="12.75" x14ac:dyDescent="0.2">
      <c r="B31908" s="1168"/>
    </row>
    <row r="31909" spans="2:2" s="221" customFormat="1" ht="12.75" x14ac:dyDescent="0.2">
      <c r="B31909" s="1168"/>
    </row>
    <row r="31910" spans="2:2" s="221" customFormat="1" ht="12.75" x14ac:dyDescent="0.2">
      <c r="B31910" s="1168"/>
    </row>
    <row r="31911" spans="2:2" s="221" customFormat="1" ht="12.75" x14ac:dyDescent="0.2">
      <c r="B31911" s="1168"/>
    </row>
    <row r="31912" spans="2:2" s="221" customFormat="1" ht="12.75" x14ac:dyDescent="0.2">
      <c r="B31912" s="1168"/>
    </row>
    <row r="31913" spans="2:2" s="221" customFormat="1" ht="12.75" x14ac:dyDescent="0.2">
      <c r="B31913" s="1168"/>
    </row>
    <row r="31914" spans="2:2" s="221" customFormat="1" ht="12.75" x14ac:dyDescent="0.2">
      <c r="B31914" s="1168"/>
    </row>
    <row r="31915" spans="2:2" s="221" customFormat="1" ht="12.75" x14ac:dyDescent="0.2">
      <c r="B31915" s="1168"/>
    </row>
    <row r="31916" spans="2:2" s="221" customFormat="1" ht="12.75" x14ac:dyDescent="0.2">
      <c r="B31916" s="1168"/>
    </row>
    <row r="31917" spans="2:2" s="221" customFormat="1" ht="12.75" x14ac:dyDescent="0.2">
      <c r="B31917" s="1168"/>
    </row>
    <row r="31918" spans="2:2" s="221" customFormat="1" ht="12.75" x14ac:dyDescent="0.2">
      <c r="B31918" s="1168"/>
    </row>
    <row r="31919" spans="2:2" s="221" customFormat="1" ht="12.75" x14ac:dyDescent="0.2">
      <c r="B31919" s="1168"/>
    </row>
    <row r="31920" spans="2:2" s="221" customFormat="1" ht="12.75" x14ac:dyDescent="0.2">
      <c r="B31920" s="1168"/>
    </row>
    <row r="31921" spans="2:2" s="221" customFormat="1" ht="12.75" x14ac:dyDescent="0.2">
      <c r="B31921" s="1168"/>
    </row>
    <row r="31922" spans="2:2" s="221" customFormat="1" ht="12.75" x14ac:dyDescent="0.2">
      <c r="B31922" s="1168"/>
    </row>
    <row r="31923" spans="2:2" s="221" customFormat="1" ht="12.75" x14ac:dyDescent="0.2">
      <c r="B31923" s="1168"/>
    </row>
    <row r="31924" spans="2:2" s="221" customFormat="1" ht="12.75" x14ac:dyDescent="0.2">
      <c r="B31924" s="1168"/>
    </row>
    <row r="31925" spans="2:2" s="221" customFormat="1" ht="12.75" x14ac:dyDescent="0.2">
      <c r="B31925" s="1168"/>
    </row>
    <row r="31926" spans="2:2" s="221" customFormat="1" ht="12.75" x14ac:dyDescent="0.2">
      <c r="B31926" s="1168"/>
    </row>
    <row r="31927" spans="2:2" s="221" customFormat="1" ht="12.75" x14ac:dyDescent="0.2">
      <c r="B31927" s="1168"/>
    </row>
    <row r="31928" spans="2:2" s="221" customFormat="1" ht="12.75" x14ac:dyDescent="0.2">
      <c r="B31928" s="1168"/>
    </row>
    <row r="31929" spans="2:2" s="221" customFormat="1" ht="12.75" x14ac:dyDescent="0.2">
      <c r="B31929" s="1168"/>
    </row>
    <row r="31930" spans="2:2" s="221" customFormat="1" ht="12.75" x14ac:dyDescent="0.2">
      <c r="B31930" s="1168"/>
    </row>
    <row r="31931" spans="2:2" s="221" customFormat="1" ht="12.75" x14ac:dyDescent="0.2">
      <c r="B31931" s="1168"/>
    </row>
    <row r="31932" spans="2:2" s="221" customFormat="1" ht="12.75" x14ac:dyDescent="0.2">
      <c r="B31932" s="1168"/>
    </row>
    <row r="31933" spans="2:2" s="221" customFormat="1" ht="12.75" x14ac:dyDescent="0.2">
      <c r="B31933" s="1168"/>
    </row>
    <row r="31934" spans="2:2" s="221" customFormat="1" ht="12.75" x14ac:dyDescent="0.2">
      <c r="B31934" s="1168"/>
    </row>
    <row r="31935" spans="2:2" s="221" customFormat="1" ht="12.75" x14ac:dyDescent="0.2">
      <c r="B31935" s="1168"/>
    </row>
    <row r="31936" spans="2:2" s="221" customFormat="1" ht="12.75" x14ac:dyDescent="0.2">
      <c r="B31936" s="1168"/>
    </row>
    <row r="31937" spans="2:2" s="221" customFormat="1" ht="12.75" x14ac:dyDescent="0.2">
      <c r="B31937" s="1168"/>
    </row>
    <row r="31938" spans="2:2" s="221" customFormat="1" ht="12.75" x14ac:dyDescent="0.2">
      <c r="B31938" s="1168"/>
    </row>
    <row r="31939" spans="2:2" s="221" customFormat="1" ht="12.75" x14ac:dyDescent="0.2">
      <c r="B31939" s="1168"/>
    </row>
    <row r="31940" spans="2:2" s="221" customFormat="1" ht="12.75" x14ac:dyDescent="0.2">
      <c r="B31940" s="1168"/>
    </row>
    <row r="31941" spans="2:2" s="221" customFormat="1" ht="12.75" x14ac:dyDescent="0.2">
      <c r="B31941" s="1168"/>
    </row>
    <row r="31942" spans="2:2" s="221" customFormat="1" ht="12.75" x14ac:dyDescent="0.2">
      <c r="B31942" s="1168"/>
    </row>
    <row r="31943" spans="2:2" s="221" customFormat="1" ht="12.75" x14ac:dyDescent="0.2">
      <c r="B31943" s="1168"/>
    </row>
    <row r="31944" spans="2:2" s="221" customFormat="1" ht="12.75" x14ac:dyDescent="0.2">
      <c r="B31944" s="1168"/>
    </row>
    <row r="31945" spans="2:2" s="221" customFormat="1" ht="12.75" x14ac:dyDescent="0.2">
      <c r="B31945" s="1168"/>
    </row>
    <row r="31946" spans="2:2" s="221" customFormat="1" ht="12.75" x14ac:dyDescent="0.2">
      <c r="B31946" s="1168"/>
    </row>
    <row r="31947" spans="2:2" s="221" customFormat="1" ht="12.75" x14ac:dyDescent="0.2">
      <c r="B31947" s="1168"/>
    </row>
    <row r="31948" spans="2:2" s="221" customFormat="1" ht="12.75" x14ac:dyDescent="0.2">
      <c r="B31948" s="1168"/>
    </row>
    <row r="31949" spans="2:2" s="221" customFormat="1" ht="12.75" x14ac:dyDescent="0.2">
      <c r="B31949" s="1168"/>
    </row>
    <row r="31950" spans="2:2" s="221" customFormat="1" ht="12.75" x14ac:dyDescent="0.2">
      <c r="B31950" s="1168"/>
    </row>
    <row r="31951" spans="2:2" s="221" customFormat="1" ht="12.75" x14ac:dyDescent="0.2">
      <c r="B31951" s="1168"/>
    </row>
    <row r="31952" spans="2:2" s="221" customFormat="1" ht="12.75" x14ac:dyDescent="0.2">
      <c r="B31952" s="1168"/>
    </row>
    <row r="31953" spans="2:2" s="221" customFormat="1" ht="12.75" x14ac:dyDescent="0.2">
      <c r="B31953" s="1168"/>
    </row>
    <row r="31954" spans="2:2" s="221" customFormat="1" ht="12.75" x14ac:dyDescent="0.2">
      <c r="B31954" s="1168"/>
    </row>
    <row r="31955" spans="2:2" s="221" customFormat="1" ht="12.75" x14ac:dyDescent="0.2">
      <c r="B31955" s="1168"/>
    </row>
    <row r="31956" spans="2:2" s="221" customFormat="1" ht="12.75" x14ac:dyDescent="0.2">
      <c r="B31956" s="1168"/>
    </row>
    <row r="31957" spans="2:2" s="221" customFormat="1" ht="12.75" x14ac:dyDescent="0.2">
      <c r="B31957" s="1168"/>
    </row>
    <row r="31958" spans="2:2" s="221" customFormat="1" ht="12.75" x14ac:dyDescent="0.2">
      <c r="B31958" s="1168"/>
    </row>
    <row r="31959" spans="2:2" s="221" customFormat="1" ht="12.75" x14ac:dyDescent="0.2">
      <c r="B31959" s="1168"/>
    </row>
    <row r="31960" spans="2:2" s="221" customFormat="1" ht="12.75" x14ac:dyDescent="0.2">
      <c r="B31960" s="1168"/>
    </row>
    <row r="31961" spans="2:2" s="221" customFormat="1" ht="12.75" x14ac:dyDescent="0.2">
      <c r="B31961" s="1168"/>
    </row>
    <row r="31962" spans="2:2" s="221" customFormat="1" ht="12.75" x14ac:dyDescent="0.2">
      <c r="B31962" s="1168"/>
    </row>
    <row r="31963" spans="2:2" s="221" customFormat="1" ht="12.75" x14ac:dyDescent="0.2">
      <c r="B31963" s="1168"/>
    </row>
    <row r="31964" spans="2:2" s="221" customFormat="1" ht="12.75" x14ac:dyDescent="0.2">
      <c r="B31964" s="1168"/>
    </row>
    <row r="31965" spans="2:2" s="221" customFormat="1" ht="12.75" x14ac:dyDescent="0.2">
      <c r="B31965" s="1168"/>
    </row>
    <row r="31966" spans="2:2" s="221" customFormat="1" ht="12.75" x14ac:dyDescent="0.2">
      <c r="B31966" s="1168"/>
    </row>
    <row r="31967" spans="2:2" s="221" customFormat="1" ht="12.75" x14ac:dyDescent="0.2">
      <c r="B31967" s="1168"/>
    </row>
    <row r="31968" spans="2:2" s="221" customFormat="1" ht="12.75" x14ac:dyDescent="0.2">
      <c r="B31968" s="1168"/>
    </row>
    <row r="31969" spans="2:2" s="221" customFormat="1" ht="12.75" x14ac:dyDescent="0.2">
      <c r="B31969" s="1168"/>
    </row>
    <row r="31970" spans="2:2" s="221" customFormat="1" ht="12.75" x14ac:dyDescent="0.2">
      <c r="B31970" s="1168"/>
    </row>
    <row r="31971" spans="2:2" s="221" customFormat="1" ht="12.75" x14ac:dyDescent="0.2">
      <c r="B31971" s="1168"/>
    </row>
    <row r="31972" spans="2:2" s="221" customFormat="1" ht="12.75" x14ac:dyDescent="0.2">
      <c r="B31972" s="1168"/>
    </row>
    <row r="31973" spans="2:2" s="221" customFormat="1" ht="12.75" x14ac:dyDescent="0.2">
      <c r="B31973" s="1168"/>
    </row>
    <row r="31974" spans="2:2" s="221" customFormat="1" ht="12.75" x14ac:dyDescent="0.2">
      <c r="B31974" s="1168"/>
    </row>
    <row r="31975" spans="2:2" s="221" customFormat="1" ht="12.75" x14ac:dyDescent="0.2">
      <c r="B31975" s="1168"/>
    </row>
    <row r="31976" spans="2:2" s="221" customFormat="1" ht="12.75" x14ac:dyDescent="0.2">
      <c r="B31976" s="1168"/>
    </row>
    <row r="31977" spans="2:2" s="221" customFormat="1" ht="12.75" x14ac:dyDescent="0.2">
      <c r="B31977" s="1168"/>
    </row>
    <row r="31978" spans="2:2" s="221" customFormat="1" ht="12.75" x14ac:dyDescent="0.2">
      <c r="B31978" s="1168"/>
    </row>
    <row r="31979" spans="2:2" s="221" customFormat="1" ht="12.75" x14ac:dyDescent="0.2">
      <c r="B31979" s="1168"/>
    </row>
    <row r="31980" spans="2:2" s="221" customFormat="1" ht="12.75" x14ac:dyDescent="0.2">
      <c r="B31980" s="1168"/>
    </row>
    <row r="31981" spans="2:2" s="221" customFormat="1" ht="12.75" x14ac:dyDescent="0.2">
      <c r="B31981" s="1168"/>
    </row>
    <row r="31982" spans="2:2" s="221" customFormat="1" ht="12.75" x14ac:dyDescent="0.2">
      <c r="B31982" s="1168"/>
    </row>
    <row r="31983" spans="2:2" s="221" customFormat="1" ht="12.75" x14ac:dyDescent="0.2">
      <c r="B31983" s="1168"/>
    </row>
    <row r="31984" spans="2:2" s="221" customFormat="1" ht="12.75" x14ac:dyDescent="0.2">
      <c r="B31984" s="1168"/>
    </row>
    <row r="31985" spans="2:2" s="221" customFormat="1" ht="12.75" x14ac:dyDescent="0.2">
      <c r="B31985" s="1168"/>
    </row>
    <row r="31986" spans="2:2" s="221" customFormat="1" ht="12.75" x14ac:dyDescent="0.2">
      <c r="B31986" s="1168"/>
    </row>
    <row r="31987" spans="2:2" s="221" customFormat="1" ht="12.75" x14ac:dyDescent="0.2">
      <c r="B31987" s="1168"/>
    </row>
    <row r="31988" spans="2:2" s="221" customFormat="1" ht="12.75" x14ac:dyDescent="0.2">
      <c r="B31988" s="1168"/>
    </row>
    <row r="31989" spans="2:2" s="221" customFormat="1" ht="12.75" x14ac:dyDescent="0.2">
      <c r="B31989" s="1168"/>
    </row>
    <row r="31990" spans="2:2" s="221" customFormat="1" ht="12.75" x14ac:dyDescent="0.2">
      <c r="B31990" s="1168"/>
    </row>
    <row r="31991" spans="2:2" s="221" customFormat="1" ht="12.75" x14ac:dyDescent="0.2">
      <c r="B31991" s="1168"/>
    </row>
    <row r="31992" spans="2:2" s="221" customFormat="1" ht="12.75" x14ac:dyDescent="0.2">
      <c r="B31992" s="1168"/>
    </row>
    <row r="31993" spans="2:2" s="221" customFormat="1" ht="12.75" x14ac:dyDescent="0.2">
      <c r="B31993" s="1168"/>
    </row>
    <row r="31994" spans="2:2" s="221" customFormat="1" ht="12.75" x14ac:dyDescent="0.2">
      <c r="B31994" s="1168"/>
    </row>
    <row r="31995" spans="2:2" s="221" customFormat="1" ht="12.75" x14ac:dyDescent="0.2">
      <c r="B31995" s="1168"/>
    </row>
    <row r="31996" spans="2:2" s="221" customFormat="1" ht="12.75" x14ac:dyDescent="0.2">
      <c r="B31996" s="1168"/>
    </row>
    <row r="31997" spans="2:2" s="221" customFormat="1" ht="12.75" x14ac:dyDescent="0.2">
      <c r="B31997" s="1168"/>
    </row>
    <row r="31998" spans="2:2" s="221" customFormat="1" ht="12.75" x14ac:dyDescent="0.2">
      <c r="B31998" s="1168"/>
    </row>
    <row r="31999" spans="2:2" s="221" customFormat="1" ht="12.75" x14ac:dyDescent="0.2">
      <c r="B31999" s="1168"/>
    </row>
    <row r="32000" spans="2:2" s="221" customFormat="1" ht="12.75" x14ac:dyDescent="0.2">
      <c r="B32000" s="1168"/>
    </row>
    <row r="32001" spans="2:2" s="221" customFormat="1" ht="12.75" x14ac:dyDescent="0.2">
      <c r="B32001" s="1168"/>
    </row>
    <row r="32002" spans="2:2" s="221" customFormat="1" ht="12.75" x14ac:dyDescent="0.2">
      <c r="B32002" s="1168"/>
    </row>
    <row r="32003" spans="2:2" s="221" customFormat="1" ht="12.75" x14ac:dyDescent="0.2">
      <c r="B32003" s="1168"/>
    </row>
    <row r="32004" spans="2:2" s="221" customFormat="1" ht="12.75" x14ac:dyDescent="0.2">
      <c r="B32004" s="1168"/>
    </row>
    <row r="32005" spans="2:2" s="221" customFormat="1" ht="12.75" x14ac:dyDescent="0.2">
      <c r="B32005" s="1168"/>
    </row>
    <row r="32006" spans="2:2" s="221" customFormat="1" ht="12.75" x14ac:dyDescent="0.2">
      <c r="B32006" s="1168"/>
    </row>
    <row r="32007" spans="2:2" s="221" customFormat="1" ht="12.75" x14ac:dyDescent="0.2">
      <c r="B32007" s="1168"/>
    </row>
    <row r="32008" spans="2:2" s="221" customFormat="1" ht="12.75" x14ac:dyDescent="0.2">
      <c r="B32008" s="1168"/>
    </row>
    <row r="32009" spans="2:2" s="221" customFormat="1" ht="12.75" x14ac:dyDescent="0.2">
      <c r="B32009" s="1168"/>
    </row>
    <row r="32010" spans="2:2" s="221" customFormat="1" ht="12.75" x14ac:dyDescent="0.2">
      <c r="B32010" s="1168"/>
    </row>
    <row r="32011" spans="2:2" s="221" customFormat="1" ht="12.75" x14ac:dyDescent="0.2">
      <c r="B32011" s="1168"/>
    </row>
    <row r="32012" spans="2:2" s="221" customFormat="1" ht="12.75" x14ac:dyDescent="0.2">
      <c r="B32012" s="1168"/>
    </row>
    <row r="32013" spans="2:2" s="221" customFormat="1" ht="12.75" x14ac:dyDescent="0.2">
      <c r="B32013" s="1168"/>
    </row>
    <row r="32014" spans="2:2" s="221" customFormat="1" ht="12.75" x14ac:dyDescent="0.2">
      <c r="B32014" s="1168"/>
    </row>
    <row r="32015" spans="2:2" s="221" customFormat="1" ht="12.75" x14ac:dyDescent="0.2">
      <c r="B32015" s="1168"/>
    </row>
    <row r="32016" spans="2:2" s="221" customFormat="1" ht="12.75" x14ac:dyDescent="0.2">
      <c r="B32016" s="1168"/>
    </row>
    <row r="32017" spans="2:2" s="221" customFormat="1" ht="12.75" x14ac:dyDescent="0.2">
      <c r="B32017" s="1168"/>
    </row>
    <row r="32018" spans="2:2" s="221" customFormat="1" ht="12.75" x14ac:dyDescent="0.2">
      <c r="B32018" s="1168"/>
    </row>
    <row r="32019" spans="2:2" s="221" customFormat="1" ht="12.75" x14ac:dyDescent="0.2">
      <c r="B32019" s="1168"/>
    </row>
    <row r="32020" spans="2:2" s="221" customFormat="1" ht="12.75" x14ac:dyDescent="0.2">
      <c r="B32020" s="1168"/>
    </row>
    <row r="32021" spans="2:2" s="221" customFormat="1" ht="12.75" x14ac:dyDescent="0.2">
      <c r="B32021" s="1168"/>
    </row>
    <row r="32022" spans="2:2" s="221" customFormat="1" ht="12.75" x14ac:dyDescent="0.2">
      <c r="B32022" s="1168"/>
    </row>
    <row r="32023" spans="2:2" s="221" customFormat="1" ht="12.75" x14ac:dyDescent="0.2">
      <c r="B32023" s="1168"/>
    </row>
    <row r="32024" spans="2:2" s="221" customFormat="1" ht="12.75" x14ac:dyDescent="0.2">
      <c r="B32024" s="1168"/>
    </row>
    <row r="32025" spans="2:2" s="221" customFormat="1" ht="12.75" x14ac:dyDescent="0.2">
      <c r="B32025" s="1168"/>
    </row>
    <row r="32026" spans="2:2" s="221" customFormat="1" ht="12.75" x14ac:dyDescent="0.2">
      <c r="B32026" s="1168"/>
    </row>
    <row r="32027" spans="2:2" s="221" customFormat="1" ht="12.75" x14ac:dyDescent="0.2">
      <c r="B32027" s="1168"/>
    </row>
    <row r="32028" spans="2:2" s="221" customFormat="1" ht="12.75" x14ac:dyDescent="0.2">
      <c r="B32028" s="1168"/>
    </row>
    <row r="32029" spans="2:2" s="221" customFormat="1" ht="12.75" x14ac:dyDescent="0.2">
      <c r="B32029" s="1168"/>
    </row>
    <row r="32030" spans="2:2" s="221" customFormat="1" ht="12.75" x14ac:dyDescent="0.2">
      <c r="B32030" s="1168"/>
    </row>
    <row r="32031" spans="2:2" s="221" customFormat="1" ht="12.75" x14ac:dyDescent="0.2">
      <c r="B32031" s="1168"/>
    </row>
    <row r="32032" spans="2:2" s="221" customFormat="1" ht="12.75" x14ac:dyDescent="0.2">
      <c r="B32032" s="1168"/>
    </row>
    <row r="32033" spans="2:2" s="221" customFormat="1" ht="12.75" x14ac:dyDescent="0.2">
      <c r="B32033" s="1168"/>
    </row>
    <row r="32034" spans="2:2" s="221" customFormat="1" ht="12.75" x14ac:dyDescent="0.2">
      <c r="B32034" s="1168"/>
    </row>
    <row r="32035" spans="2:2" s="221" customFormat="1" ht="12.75" x14ac:dyDescent="0.2">
      <c r="B32035" s="1168"/>
    </row>
    <row r="32036" spans="2:2" s="221" customFormat="1" ht="12.75" x14ac:dyDescent="0.2">
      <c r="B32036" s="1168"/>
    </row>
    <row r="32037" spans="2:2" s="221" customFormat="1" ht="12.75" x14ac:dyDescent="0.2">
      <c r="B32037" s="1168"/>
    </row>
    <row r="32038" spans="2:2" s="221" customFormat="1" ht="12.75" x14ac:dyDescent="0.2">
      <c r="B32038" s="1168"/>
    </row>
    <row r="32039" spans="2:2" s="221" customFormat="1" ht="12.75" x14ac:dyDescent="0.2">
      <c r="B32039" s="1168"/>
    </row>
    <row r="32040" spans="2:2" s="221" customFormat="1" ht="12.75" x14ac:dyDescent="0.2">
      <c r="B32040" s="1168"/>
    </row>
    <row r="32041" spans="2:2" s="221" customFormat="1" ht="12.75" x14ac:dyDescent="0.2">
      <c r="B32041" s="1168"/>
    </row>
    <row r="32042" spans="2:2" s="221" customFormat="1" ht="12.75" x14ac:dyDescent="0.2">
      <c r="B32042" s="1168"/>
    </row>
    <row r="32043" spans="2:2" s="221" customFormat="1" ht="12.75" x14ac:dyDescent="0.2">
      <c r="B32043" s="1168"/>
    </row>
    <row r="32044" spans="2:2" s="221" customFormat="1" ht="12.75" x14ac:dyDescent="0.2">
      <c r="B32044" s="1168"/>
    </row>
    <row r="32045" spans="2:2" s="221" customFormat="1" ht="12.75" x14ac:dyDescent="0.2">
      <c r="B32045" s="1168"/>
    </row>
    <row r="32046" spans="2:2" s="221" customFormat="1" ht="12.75" x14ac:dyDescent="0.2">
      <c r="B32046" s="1168"/>
    </row>
    <row r="32047" spans="2:2" s="221" customFormat="1" ht="12.75" x14ac:dyDescent="0.2">
      <c r="B32047" s="1168"/>
    </row>
    <row r="32048" spans="2:2" s="221" customFormat="1" ht="12.75" x14ac:dyDescent="0.2">
      <c r="B32048" s="1168"/>
    </row>
    <row r="32049" spans="2:2" s="221" customFormat="1" ht="12.75" x14ac:dyDescent="0.2">
      <c r="B32049" s="1168"/>
    </row>
    <row r="32050" spans="2:2" s="221" customFormat="1" ht="12.75" x14ac:dyDescent="0.2">
      <c r="B32050" s="1168"/>
    </row>
    <row r="32051" spans="2:2" s="221" customFormat="1" ht="12.75" x14ac:dyDescent="0.2">
      <c r="B32051" s="1168"/>
    </row>
    <row r="32052" spans="2:2" s="221" customFormat="1" ht="12.75" x14ac:dyDescent="0.2">
      <c r="B32052" s="1168"/>
    </row>
    <row r="32053" spans="2:2" s="221" customFormat="1" ht="12.75" x14ac:dyDescent="0.2">
      <c r="B32053" s="1168"/>
    </row>
    <row r="32054" spans="2:2" s="221" customFormat="1" ht="12.75" x14ac:dyDescent="0.2">
      <c r="B32054" s="1168"/>
    </row>
    <row r="32055" spans="2:2" s="221" customFormat="1" ht="12.75" x14ac:dyDescent="0.2">
      <c r="B32055" s="1168"/>
    </row>
    <row r="32056" spans="2:2" s="221" customFormat="1" ht="12.75" x14ac:dyDescent="0.2">
      <c r="B32056" s="1168"/>
    </row>
    <row r="32057" spans="2:2" s="221" customFormat="1" ht="12.75" x14ac:dyDescent="0.2">
      <c r="B32057" s="1168"/>
    </row>
    <row r="32058" spans="2:2" s="221" customFormat="1" ht="12.75" x14ac:dyDescent="0.2">
      <c r="B32058" s="1168"/>
    </row>
    <row r="32059" spans="2:2" s="221" customFormat="1" ht="12.75" x14ac:dyDescent="0.2">
      <c r="B32059" s="1168"/>
    </row>
    <row r="32060" spans="2:2" s="221" customFormat="1" ht="12.75" x14ac:dyDescent="0.2">
      <c r="B32060" s="1168"/>
    </row>
    <row r="32061" spans="2:2" s="221" customFormat="1" ht="12.75" x14ac:dyDescent="0.2">
      <c r="B32061" s="1168"/>
    </row>
    <row r="32062" spans="2:2" s="221" customFormat="1" ht="12.75" x14ac:dyDescent="0.2">
      <c r="B32062" s="1168"/>
    </row>
    <row r="32063" spans="2:2" s="221" customFormat="1" ht="12.75" x14ac:dyDescent="0.2">
      <c r="B32063" s="1168"/>
    </row>
    <row r="32064" spans="2:2" s="221" customFormat="1" ht="12.75" x14ac:dyDescent="0.2">
      <c r="B32064" s="1168"/>
    </row>
    <row r="32065" spans="2:2" s="221" customFormat="1" ht="12.75" x14ac:dyDescent="0.2">
      <c r="B32065" s="1168"/>
    </row>
    <row r="32066" spans="2:2" s="221" customFormat="1" ht="12.75" x14ac:dyDescent="0.2">
      <c r="B32066" s="1168"/>
    </row>
    <row r="32067" spans="2:2" s="221" customFormat="1" ht="12.75" x14ac:dyDescent="0.2">
      <c r="B32067" s="1168"/>
    </row>
    <row r="32068" spans="2:2" s="221" customFormat="1" ht="12.75" x14ac:dyDescent="0.2">
      <c r="B32068" s="1168"/>
    </row>
    <row r="32069" spans="2:2" s="221" customFormat="1" ht="12.75" x14ac:dyDescent="0.2">
      <c r="B32069" s="1168"/>
    </row>
    <row r="32070" spans="2:2" s="221" customFormat="1" ht="12.75" x14ac:dyDescent="0.2">
      <c r="B32070" s="1168"/>
    </row>
    <row r="32071" spans="2:2" s="221" customFormat="1" ht="12.75" x14ac:dyDescent="0.2">
      <c r="B32071" s="1168"/>
    </row>
    <row r="32072" spans="2:2" s="221" customFormat="1" ht="12.75" x14ac:dyDescent="0.2">
      <c r="B32072" s="1168"/>
    </row>
    <row r="32073" spans="2:2" s="221" customFormat="1" ht="12.75" x14ac:dyDescent="0.2">
      <c r="B32073" s="1168"/>
    </row>
    <row r="32074" spans="2:2" s="221" customFormat="1" ht="12.75" x14ac:dyDescent="0.2">
      <c r="B32074" s="1168"/>
    </row>
    <row r="32075" spans="2:2" s="221" customFormat="1" ht="12.75" x14ac:dyDescent="0.2">
      <c r="B32075" s="1168"/>
    </row>
    <row r="32076" spans="2:2" s="221" customFormat="1" ht="12.75" x14ac:dyDescent="0.2">
      <c r="B32076" s="1168"/>
    </row>
    <row r="32077" spans="2:2" s="221" customFormat="1" ht="12.75" x14ac:dyDescent="0.2">
      <c r="B32077" s="1168"/>
    </row>
    <row r="32078" spans="2:2" s="221" customFormat="1" ht="12.75" x14ac:dyDescent="0.2">
      <c r="B32078" s="1168"/>
    </row>
    <row r="32079" spans="2:2" s="221" customFormat="1" ht="12.75" x14ac:dyDescent="0.2">
      <c r="B32079" s="1168"/>
    </row>
    <row r="32080" spans="2:2" s="221" customFormat="1" ht="12.75" x14ac:dyDescent="0.2">
      <c r="B32080" s="1168"/>
    </row>
    <row r="32081" spans="2:2" s="221" customFormat="1" ht="12.75" x14ac:dyDescent="0.2">
      <c r="B32081" s="1168"/>
    </row>
    <row r="32082" spans="2:2" s="221" customFormat="1" ht="12.75" x14ac:dyDescent="0.2">
      <c r="B32082" s="1168"/>
    </row>
    <row r="32083" spans="2:2" s="221" customFormat="1" ht="12.75" x14ac:dyDescent="0.2">
      <c r="B32083" s="1168"/>
    </row>
    <row r="32084" spans="2:2" s="221" customFormat="1" ht="12.75" x14ac:dyDescent="0.2">
      <c r="B32084" s="1168"/>
    </row>
    <row r="32085" spans="2:2" s="221" customFormat="1" ht="12.75" x14ac:dyDescent="0.2">
      <c r="B32085" s="1168"/>
    </row>
    <row r="32086" spans="2:2" s="221" customFormat="1" ht="12.75" x14ac:dyDescent="0.2">
      <c r="B32086" s="1168"/>
    </row>
    <row r="32087" spans="2:2" s="221" customFormat="1" ht="12.75" x14ac:dyDescent="0.2">
      <c r="B32087" s="1168"/>
    </row>
    <row r="32088" spans="2:2" s="221" customFormat="1" ht="12.75" x14ac:dyDescent="0.2">
      <c r="B32088" s="1168"/>
    </row>
    <row r="32089" spans="2:2" s="221" customFormat="1" ht="12.75" x14ac:dyDescent="0.2">
      <c r="B32089" s="1168"/>
    </row>
    <row r="32090" spans="2:2" s="221" customFormat="1" ht="12.75" x14ac:dyDescent="0.2">
      <c r="B32090" s="1168"/>
    </row>
    <row r="32091" spans="2:2" s="221" customFormat="1" ht="12.75" x14ac:dyDescent="0.2">
      <c r="B32091" s="1168"/>
    </row>
    <row r="32092" spans="2:2" s="221" customFormat="1" ht="12.75" x14ac:dyDescent="0.2">
      <c r="B32092" s="1168"/>
    </row>
    <row r="32093" spans="2:2" s="221" customFormat="1" ht="12.75" x14ac:dyDescent="0.2">
      <c r="B32093" s="1168"/>
    </row>
    <row r="32094" spans="2:2" s="221" customFormat="1" ht="12.75" x14ac:dyDescent="0.2">
      <c r="B32094" s="1168"/>
    </row>
    <row r="32095" spans="2:2" s="221" customFormat="1" ht="12.75" x14ac:dyDescent="0.2">
      <c r="B32095" s="1168"/>
    </row>
    <row r="32096" spans="2:2" s="221" customFormat="1" ht="12.75" x14ac:dyDescent="0.2">
      <c r="B32096" s="1168"/>
    </row>
    <row r="32097" spans="2:2" s="221" customFormat="1" ht="12.75" x14ac:dyDescent="0.2">
      <c r="B32097" s="1168"/>
    </row>
    <row r="32098" spans="2:2" s="221" customFormat="1" ht="12.75" x14ac:dyDescent="0.2">
      <c r="B32098" s="1168"/>
    </row>
    <row r="32099" spans="2:2" s="221" customFormat="1" ht="12.75" x14ac:dyDescent="0.2">
      <c r="B32099" s="1168"/>
    </row>
    <row r="32100" spans="2:2" s="221" customFormat="1" ht="12.75" x14ac:dyDescent="0.2">
      <c r="B32100" s="1168"/>
    </row>
    <row r="32101" spans="2:2" s="221" customFormat="1" ht="12.75" x14ac:dyDescent="0.2">
      <c r="B32101" s="1168"/>
    </row>
    <row r="32102" spans="2:2" s="221" customFormat="1" ht="12.75" x14ac:dyDescent="0.2">
      <c r="B32102" s="1168"/>
    </row>
    <row r="32103" spans="2:2" s="221" customFormat="1" ht="12.75" x14ac:dyDescent="0.2">
      <c r="B32103" s="1168"/>
    </row>
    <row r="32104" spans="2:2" s="221" customFormat="1" ht="12.75" x14ac:dyDescent="0.2">
      <c r="B32104" s="1168"/>
    </row>
    <row r="32105" spans="2:2" s="221" customFormat="1" ht="12.75" x14ac:dyDescent="0.2">
      <c r="B32105" s="1168"/>
    </row>
    <row r="32106" spans="2:2" s="221" customFormat="1" ht="12.75" x14ac:dyDescent="0.2">
      <c r="B32106" s="1168"/>
    </row>
    <row r="32107" spans="2:2" s="221" customFormat="1" ht="12.75" x14ac:dyDescent="0.2">
      <c r="B32107" s="1168"/>
    </row>
    <row r="32108" spans="2:2" s="221" customFormat="1" ht="12.75" x14ac:dyDescent="0.2">
      <c r="B32108" s="1168"/>
    </row>
    <row r="32109" spans="2:2" s="221" customFormat="1" ht="12.75" x14ac:dyDescent="0.2">
      <c r="B32109" s="1168"/>
    </row>
    <row r="32110" spans="2:2" s="221" customFormat="1" ht="12.75" x14ac:dyDescent="0.2">
      <c r="B32110" s="1168"/>
    </row>
    <row r="32111" spans="2:2" s="221" customFormat="1" ht="12.75" x14ac:dyDescent="0.2">
      <c r="B32111" s="1168"/>
    </row>
    <row r="32112" spans="2:2" s="221" customFormat="1" ht="12.75" x14ac:dyDescent="0.2">
      <c r="B32112" s="1168"/>
    </row>
    <row r="32113" spans="2:2" s="221" customFormat="1" ht="12.75" x14ac:dyDescent="0.2">
      <c r="B32113" s="1168"/>
    </row>
    <row r="32114" spans="2:2" s="221" customFormat="1" ht="12.75" x14ac:dyDescent="0.2">
      <c r="B32114" s="1168"/>
    </row>
    <row r="32115" spans="2:2" s="221" customFormat="1" ht="12.75" x14ac:dyDescent="0.2">
      <c r="B32115" s="1168"/>
    </row>
    <row r="32116" spans="2:2" s="221" customFormat="1" ht="12.75" x14ac:dyDescent="0.2">
      <c r="B32116" s="1168"/>
    </row>
    <row r="32117" spans="2:2" s="221" customFormat="1" ht="12.75" x14ac:dyDescent="0.2">
      <c r="B32117" s="1168"/>
    </row>
    <row r="32118" spans="2:2" s="221" customFormat="1" ht="12.75" x14ac:dyDescent="0.2">
      <c r="B32118" s="1168"/>
    </row>
    <row r="32119" spans="2:2" s="221" customFormat="1" ht="12.75" x14ac:dyDescent="0.2">
      <c r="B32119" s="1168"/>
    </row>
    <row r="32120" spans="2:2" s="221" customFormat="1" ht="12.75" x14ac:dyDescent="0.2">
      <c r="B32120" s="1168"/>
    </row>
    <row r="32121" spans="2:2" s="221" customFormat="1" ht="12.75" x14ac:dyDescent="0.2">
      <c r="B32121" s="1168"/>
    </row>
    <row r="32122" spans="2:2" s="221" customFormat="1" ht="12.75" x14ac:dyDescent="0.2">
      <c r="B32122" s="1168"/>
    </row>
    <row r="32123" spans="2:2" s="221" customFormat="1" ht="12.75" x14ac:dyDescent="0.2">
      <c r="B32123" s="1168"/>
    </row>
    <row r="32124" spans="2:2" s="221" customFormat="1" ht="12.75" x14ac:dyDescent="0.2">
      <c r="B32124" s="1168"/>
    </row>
    <row r="32125" spans="2:2" s="221" customFormat="1" ht="12.75" x14ac:dyDescent="0.2">
      <c r="B32125" s="1168"/>
    </row>
    <row r="32126" spans="2:2" s="221" customFormat="1" ht="12.75" x14ac:dyDescent="0.2">
      <c r="B32126" s="1168"/>
    </row>
    <row r="32127" spans="2:2" s="221" customFormat="1" ht="12.75" x14ac:dyDescent="0.2">
      <c r="B32127" s="1168"/>
    </row>
    <row r="32128" spans="2:2" s="221" customFormat="1" ht="12.75" x14ac:dyDescent="0.2">
      <c r="B32128" s="1168"/>
    </row>
    <row r="32129" spans="2:2" s="221" customFormat="1" ht="12.75" x14ac:dyDescent="0.2">
      <c r="B32129" s="1168"/>
    </row>
    <row r="32130" spans="2:2" s="221" customFormat="1" ht="12.75" x14ac:dyDescent="0.2">
      <c r="B32130" s="1168"/>
    </row>
    <row r="32131" spans="2:2" s="221" customFormat="1" ht="12.75" x14ac:dyDescent="0.2">
      <c r="B32131" s="1168"/>
    </row>
    <row r="32132" spans="2:2" s="221" customFormat="1" ht="12.75" x14ac:dyDescent="0.2">
      <c r="B32132" s="1168"/>
    </row>
    <row r="32133" spans="2:2" s="221" customFormat="1" ht="12.75" x14ac:dyDescent="0.2">
      <c r="B32133" s="1168"/>
    </row>
    <row r="32134" spans="2:2" s="221" customFormat="1" ht="12.75" x14ac:dyDescent="0.2">
      <c r="B32134" s="1168"/>
    </row>
    <row r="32135" spans="2:2" s="221" customFormat="1" ht="12.75" x14ac:dyDescent="0.2">
      <c r="B32135" s="1168"/>
    </row>
    <row r="32136" spans="2:2" s="221" customFormat="1" ht="12.75" x14ac:dyDescent="0.2">
      <c r="B32136" s="1168"/>
    </row>
    <row r="32137" spans="2:2" s="221" customFormat="1" ht="12.75" x14ac:dyDescent="0.2">
      <c r="B32137" s="1168"/>
    </row>
    <row r="32138" spans="2:2" s="221" customFormat="1" ht="12.75" x14ac:dyDescent="0.2">
      <c r="B32138" s="1168"/>
    </row>
    <row r="32139" spans="2:2" s="221" customFormat="1" ht="12.75" x14ac:dyDescent="0.2">
      <c r="B32139" s="1168"/>
    </row>
    <row r="32140" spans="2:2" s="221" customFormat="1" ht="12.75" x14ac:dyDescent="0.2">
      <c r="B32140" s="1168"/>
    </row>
    <row r="32141" spans="2:2" s="221" customFormat="1" ht="12.75" x14ac:dyDescent="0.2">
      <c r="B32141" s="1168"/>
    </row>
    <row r="32142" spans="2:2" s="221" customFormat="1" ht="12.75" x14ac:dyDescent="0.2">
      <c r="B32142" s="1168"/>
    </row>
    <row r="32143" spans="2:2" s="221" customFormat="1" ht="12.75" x14ac:dyDescent="0.2">
      <c r="B32143" s="1168"/>
    </row>
    <row r="32144" spans="2:2" s="221" customFormat="1" ht="12.75" x14ac:dyDescent="0.2">
      <c r="B32144" s="1168"/>
    </row>
    <row r="32145" spans="2:2" s="221" customFormat="1" ht="12.75" x14ac:dyDescent="0.2">
      <c r="B32145" s="1168"/>
    </row>
    <row r="32146" spans="2:2" s="221" customFormat="1" ht="12.75" x14ac:dyDescent="0.2">
      <c r="B32146" s="1168"/>
    </row>
    <row r="32147" spans="2:2" s="221" customFormat="1" ht="12.75" x14ac:dyDescent="0.2">
      <c r="B32147" s="1168"/>
    </row>
    <row r="32148" spans="2:2" s="221" customFormat="1" ht="12.75" x14ac:dyDescent="0.2">
      <c r="B32148" s="1168"/>
    </row>
    <row r="32149" spans="2:2" s="221" customFormat="1" ht="12.75" x14ac:dyDescent="0.2">
      <c r="B32149" s="1168"/>
    </row>
    <row r="32150" spans="2:2" s="221" customFormat="1" ht="12.75" x14ac:dyDescent="0.2">
      <c r="B32150" s="1168"/>
    </row>
    <row r="32151" spans="2:2" s="221" customFormat="1" ht="12.75" x14ac:dyDescent="0.2">
      <c r="B32151" s="1168"/>
    </row>
    <row r="32152" spans="2:2" s="221" customFormat="1" ht="12.75" x14ac:dyDescent="0.2">
      <c r="B32152" s="1168"/>
    </row>
    <row r="32153" spans="2:2" s="221" customFormat="1" ht="12.75" x14ac:dyDescent="0.2">
      <c r="B32153" s="1168"/>
    </row>
    <row r="32154" spans="2:2" s="221" customFormat="1" ht="12.75" x14ac:dyDescent="0.2">
      <c r="B32154" s="1168"/>
    </row>
    <row r="32155" spans="2:2" s="221" customFormat="1" ht="12.75" x14ac:dyDescent="0.2">
      <c r="B32155" s="1168"/>
    </row>
    <row r="32156" spans="2:2" s="221" customFormat="1" ht="12.75" x14ac:dyDescent="0.2">
      <c r="B32156" s="1168"/>
    </row>
    <row r="32157" spans="2:2" s="221" customFormat="1" ht="12.75" x14ac:dyDescent="0.2">
      <c r="B32157" s="1168"/>
    </row>
    <row r="32158" spans="2:2" s="221" customFormat="1" ht="12.75" x14ac:dyDescent="0.2">
      <c r="B32158" s="1168"/>
    </row>
    <row r="32159" spans="2:2" s="221" customFormat="1" ht="12.75" x14ac:dyDescent="0.2">
      <c r="B32159" s="1168"/>
    </row>
    <row r="32160" spans="2:2" s="221" customFormat="1" ht="12.75" x14ac:dyDescent="0.2">
      <c r="B32160" s="1168"/>
    </row>
    <row r="32161" spans="2:2" s="221" customFormat="1" ht="12.75" x14ac:dyDescent="0.2">
      <c r="B32161" s="1168"/>
    </row>
    <row r="32162" spans="2:2" s="221" customFormat="1" ht="12.75" x14ac:dyDescent="0.2">
      <c r="B32162" s="1168"/>
    </row>
    <row r="32163" spans="2:2" s="221" customFormat="1" ht="12.75" x14ac:dyDescent="0.2">
      <c r="B32163" s="1168"/>
    </row>
    <row r="32164" spans="2:2" s="221" customFormat="1" ht="12.75" x14ac:dyDescent="0.2">
      <c r="B32164" s="1168"/>
    </row>
    <row r="32165" spans="2:2" s="221" customFormat="1" ht="12.75" x14ac:dyDescent="0.2">
      <c r="B32165" s="1168"/>
    </row>
    <row r="32166" spans="2:2" s="221" customFormat="1" ht="12.75" x14ac:dyDescent="0.2">
      <c r="B32166" s="1168"/>
    </row>
    <row r="32167" spans="2:2" s="221" customFormat="1" ht="12.75" x14ac:dyDescent="0.2">
      <c r="B32167" s="1168"/>
    </row>
    <row r="32168" spans="2:2" s="221" customFormat="1" ht="12.75" x14ac:dyDescent="0.2">
      <c r="B32168" s="1168"/>
    </row>
    <row r="32169" spans="2:2" s="221" customFormat="1" ht="12.75" x14ac:dyDescent="0.2">
      <c r="B32169" s="1168"/>
    </row>
    <row r="32170" spans="2:2" s="221" customFormat="1" ht="12.75" x14ac:dyDescent="0.2">
      <c r="B32170" s="1168"/>
    </row>
    <row r="32171" spans="2:2" s="221" customFormat="1" ht="12.75" x14ac:dyDescent="0.2">
      <c r="B32171" s="1168"/>
    </row>
    <row r="32172" spans="2:2" s="221" customFormat="1" ht="12.75" x14ac:dyDescent="0.2">
      <c r="B32172" s="1168"/>
    </row>
    <row r="32173" spans="2:2" s="221" customFormat="1" ht="12.75" x14ac:dyDescent="0.2">
      <c r="B32173" s="1168"/>
    </row>
    <row r="32174" spans="2:2" s="221" customFormat="1" ht="12.75" x14ac:dyDescent="0.2">
      <c r="B32174" s="1168"/>
    </row>
    <row r="32175" spans="2:2" s="221" customFormat="1" ht="12.75" x14ac:dyDescent="0.2">
      <c r="B32175" s="1168"/>
    </row>
    <row r="32176" spans="2:2" s="221" customFormat="1" ht="12.75" x14ac:dyDescent="0.2">
      <c r="B32176" s="1168"/>
    </row>
    <row r="32177" spans="2:2" s="221" customFormat="1" ht="12.75" x14ac:dyDescent="0.2">
      <c r="B32177" s="1168"/>
    </row>
    <row r="32178" spans="2:2" s="221" customFormat="1" ht="12.75" x14ac:dyDescent="0.2">
      <c r="B32178" s="1168"/>
    </row>
    <row r="32179" spans="2:2" s="221" customFormat="1" ht="12.75" x14ac:dyDescent="0.2">
      <c r="B32179" s="1168"/>
    </row>
    <row r="32180" spans="2:2" s="221" customFormat="1" ht="12.75" x14ac:dyDescent="0.2">
      <c r="B32180" s="1168"/>
    </row>
    <row r="32181" spans="2:2" s="221" customFormat="1" ht="12.75" x14ac:dyDescent="0.2">
      <c r="B32181" s="1168"/>
    </row>
    <row r="32182" spans="2:2" s="221" customFormat="1" ht="12.75" x14ac:dyDescent="0.2">
      <c r="B32182" s="1168"/>
    </row>
    <row r="32183" spans="2:2" s="221" customFormat="1" ht="12.75" x14ac:dyDescent="0.2">
      <c r="B32183" s="1168"/>
    </row>
    <row r="32184" spans="2:2" s="221" customFormat="1" ht="12.75" x14ac:dyDescent="0.2">
      <c r="B32184" s="1168"/>
    </row>
    <row r="32185" spans="2:2" s="221" customFormat="1" ht="12.75" x14ac:dyDescent="0.2">
      <c r="B32185" s="1168"/>
    </row>
    <row r="32186" spans="2:2" s="221" customFormat="1" ht="12.75" x14ac:dyDescent="0.2">
      <c r="B32186" s="1168"/>
    </row>
    <row r="32187" spans="2:2" s="221" customFormat="1" ht="12.75" x14ac:dyDescent="0.2">
      <c r="B32187" s="1168"/>
    </row>
    <row r="32188" spans="2:2" s="221" customFormat="1" ht="12.75" x14ac:dyDescent="0.2">
      <c r="B32188" s="1168"/>
    </row>
    <row r="32189" spans="2:2" s="221" customFormat="1" ht="12.75" x14ac:dyDescent="0.2">
      <c r="B32189" s="1168"/>
    </row>
    <row r="32190" spans="2:2" s="221" customFormat="1" ht="12.75" x14ac:dyDescent="0.2">
      <c r="B32190" s="1168"/>
    </row>
    <row r="32191" spans="2:2" s="221" customFormat="1" ht="12.75" x14ac:dyDescent="0.2">
      <c r="B32191" s="1168"/>
    </row>
    <row r="32192" spans="2:2" s="221" customFormat="1" ht="12.75" x14ac:dyDescent="0.2">
      <c r="B32192" s="1168"/>
    </row>
    <row r="32193" spans="2:2" s="221" customFormat="1" ht="12.75" x14ac:dyDescent="0.2">
      <c r="B32193" s="1168"/>
    </row>
    <row r="32194" spans="2:2" s="221" customFormat="1" ht="12.75" x14ac:dyDescent="0.2">
      <c r="B32194" s="1168"/>
    </row>
    <row r="32195" spans="2:2" s="221" customFormat="1" ht="12.75" x14ac:dyDescent="0.2">
      <c r="B32195" s="1168"/>
    </row>
    <row r="32196" spans="2:2" s="221" customFormat="1" ht="12.75" x14ac:dyDescent="0.2">
      <c r="B32196" s="1168"/>
    </row>
    <row r="32197" spans="2:2" s="221" customFormat="1" ht="12.75" x14ac:dyDescent="0.2">
      <c r="B32197" s="1168"/>
    </row>
    <row r="32198" spans="2:2" s="221" customFormat="1" ht="12.75" x14ac:dyDescent="0.2">
      <c r="B32198" s="1168"/>
    </row>
    <row r="32199" spans="2:2" s="221" customFormat="1" ht="12.75" x14ac:dyDescent="0.2">
      <c r="B32199" s="1168"/>
    </row>
    <row r="32200" spans="2:2" s="221" customFormat="1" ht="12.75" x14ac:dyDescent="0.2">
      <c r="B32200" s="1168"/>
    </row>
    <row r="32201" spans="2:2" s="221" customFormat="1" ht="12.75" x14ac:dyDescent="0.2">
      <c r="B32201" s="1168"/>
    </row>
    <row r="32202" spans="2:2" s="221" customFormat="1" ht="12.75" x14ac:dyDescent="0.2">
      <c r="B32202" s="1168"/>
    </row>
    <row r="32203" spans="2:2" s="221" customFormat="1" ht="12.75" x14ac:dyDescent="0.2">
      <c r="B32203" s="1168"/>
    </row>
    <row r="32204" spans="2:2" s="221" customFormat="1" ht="12.75" x14ac:dyDescent="0.2">
      <c r="B32204" s="1168"/>
    </row>
    <row r="32205" spans="2:2" s="221" customFormat="1" ht="12.75" x14ac:dyDescent="0.2">
      <c r="B32205" s="1168"/>
    </row>
    <row r="32206" spans="2:2" s="221" customFormat="1" ht="12.75" x14ac:dyDescent="0.2">
      <c r="B32206" s="1168"/>
    </row>
    <row r="32207" spans="2:2" s="221" customFormat="1" ht="12.75" x14ac:dyDescent="0.2">
      <c r="B32207" s="1168"/>
    </row>
    <row r="32208" spans="2:2" s="221" customFormat="1" ht="12.75" x14ac:dyDescent="0.2">
      <c r="B32208" s="1168"/>
    </row>
    <row r="32209" spans="2:2" s="221" customFormat="1" ht="12.75" x14ac:dyDescent="0.2">
      <c r="B32209" s="1168"/>
    </row>
    <row r="32210" spans="2:2" s="221" customFormat="1" ht="12.75" x14ac:dyDescent="0.2">
      <c r="B32210" s="1168"/>
    </row>
    <row r="32211" spans="2:2" s="221" customFormat="1" ht="12.75" x14ac:dyDescent="0.2">
      <c r="B32211" s="1168"/>
    </row>
    <row r="32212" spans="2:2" s="221" customFormat="1" ht="12.75" x14ac:dyDescent="0.2">
      <c r="B32212" s="1168"/>
    </row>
    <row r="32213" spans="2:2" s="221" customFormat="1" ht="12.75" x14ac:dyDescent="0.2">
      <c r="B32213" s="1168"/>
    </row>
    <row r="32214" spans="2:2" s="221" customFormat="1" ht="12.75" x14ac:dyDescent="0.2">
      <c r="B32214" s="1168"/>
    </row>
    <row r="32215" spans="2:2" s="221" customFormat="1" ht="12.75" x14ac:dyDescent="0.2">
      <c r="B32215" s="1168"/>
    </row>
    <row r="32216" spans="2:2" s="221" customFormat="1" ht="12.75" x14ac:dyDescent="0.2">
      <c r="B32216" s="1168"/>
    </row>
    <row r="32217" spans="2:2" s="221" customFormat="1" ht="12.75" x14ac:dyDescent="0.2">
      <c r="B32217" s="1168"/>
    </row>
    <row r="32218" spans="2:2" s="221" customFormat="1" ht="12.75" x14ac:dyDescent="0.2">
      <c r="B32218" s="1168"/>
    </row>
    <row r="32219" spans="2:2" s="221" customFormat="1" ht="12.75" x14ac:dyDescent="0.2">
      <c r="B32219" s="1168"/>
    </row>
    <row r="32220" spans="2:2" s="221" customFormat="1" ht="12.75" x14ac:dyDescent="0.2">
      <c r="B32220" s="1168"/>
    </row>
    <row r="32221" spans="2:2" s="221" customFormat="1" ht="12.75" x14ac:dyDescent="0.2">
      <c r="B32221" s="1168"/>
    </row>
    <row r="32222" spans="2:2" s="221" customFormat="1" ht="12.75" x14ac:dyDescent="0.2">
      <c r="B32222" s="1168"/>
    </row>
    <row r="32223" spans="2:2" s="221" customFormat="1" ht="12.75" x14ac:dyDescent="0.2">
      <c r="B32223" s="1168"/>
    </row>
    <row r="32224" spans="2:2" s="221" customFormat="1" ht="12.75" x14ac:dyDescent="0.2">
      <c r="B32224" s="1168"/>
    </row>
    <row r="32225" spans="2:2" s="221" customFormat="1" ht="12.75" x14ac:dyDescent="0.2">
      <c r="B32225" s="1168"/>
    </row>
    <row r="32226" spans="2:2" s="221" customFormat="1" ht="12.75" x14ac:dyDescent="0.2">
      <c r="B32226" s="1168"/>
    </row>
    <row r="32227" spans="2:2" s="221" customFormat="1" ht="12.75" x14ac:dyDescent="0.2">
      <c r="B32227" s="1168"/>
    </row>
    <row r="32228" spans="2:2" s="221" customFormat="1" ht="12.75" x14ac:dyDescent="0.2">
      <c r="B32228" s="1168"/>
    </row>
    <row r="32229" spans="2:2" s="221" customFormat="1" ht="12.75" x14ac:dyDescent="0.2">
      <c r="B32229" s="1168"/>
    </row>
    <row r="32230" spans="2:2" s="221" customFormat="1" ht="12.75" x14ac:dyDescent="0.2">
      <c r="B32230" s="1168"/>
    </row>
    <row r="32231" spans="2:2" s="221" customFormat="1" ht="12.75" x14ac:dyDescent="0.2">
      <c r="B32231" s="1168"/>
    </row>
    <row r="32232" spans="2:2" s="221" customFormat="1" ht="12.75" x14ac:dyDescent="0.2">
      <c r="B32232" s="1168"/>
    </row>
    <row r="32233" spans="2:2" s="221" customFormat="1" ht="12.75" x14ac:dyDescent="0.2">
      <c r="B32233" s="1168"/>
    </row>
    <row r="32234" spans="2:2" s="221" customFormat="1" ht="12.75" x14ac:dyDescent="0.2">
      <c r="B32234" s="1168"/>
    </row>
    <row r="32235" spans="2:2" s="221" customFormat="1" ht="12.75" x14ac:dyDescent="0.2">
      <c r="B32235" s="1168"/>
    </row>
    <row r="32236" spans="2:2" s="221" customFormat="1" ht="12.75" x14ac:dyDescent="0.2">
      <c r="B32236" s="1168"/>
    </row>
    <row r="32237" spans="2:2" s="221" customFormat="1" ht="12.75" x14ac:dyDescent="0.2">
      <c r="B32237" s="1168"/>
    </row>
    <row r="32238" spans="2:2" s="221" customFormat="1" ht="12.75" x14ac:dyDescent="0.2">
      <c r="B32238" s="1168"/>
    </row>
    <row r="32239" spans="2:2" s="221" customFormat="1" ht="12.75" x14ac:dyDescent="0.2">
      <c r="B32239" s="1168"/>
    </row>
    <row r="32240" spans="2:2" s="221" customFormat="1" ht="12.75" x14ac:dyDescent="0.2">
      <c r="B32240" s="1168"/>
    </row>
    <row r="32241" spans="2:2" s="221" customFormat="1" ht="12.75" x14ac:dyDescent="0.2">
      <c r="B32241" s="1168"/>
    </row>
    <row r="32242" spans="2:2" s="221" customFormat="1" ht="12.75" x14ac:dyDescent="0.2">
      <c r="B32242" s="1168"/>
    </row>
    <row r="32243" spans="2:2" s="221" customFormat="1" ht="12.75" x14ac:dyDescent="0.2">
      <c r="B32243" s="1168"/>
    </row>
    <row r="32244" spans="2:2" s="221" customFormat="1" ht="12.75" x14ac:dyDescent="0.2">
      <c r="B32244" s="1168"/>
    </row>
    <row r="32245" spans="2:2" s="221" customFormat="1" ht="12.75" x14ac:dyDescent="0.2">
      <c r="B32245" s="1168"/>
    </row>
    <row r="32246" spans="2:2" s="221" customFormat="1" ht="12.75" x14ac:dyDescent="0.2">
      <c r="B32246" s="1168"/>
    </row>
    <row r="32247" spans="2:2" s="221" customFormat="1" ht="12.75" x14ac:dyDescent="0.2">
      <c r="B32247" s="1168"/>
    </row>
    <row r="32248" spans="2:2" s="221" customFormat="1" ht="12.75" x14ac:dyDescent="0.2">
      <c r="B32248" s="1168"/>
    </row>
    <row r="32249" spans="2:2" s="221" customFormat="1" ht="12.75" x14ac:dyDescent="0.2">
      <c r="B32249" s="1168"/>
    </row>
    <row r="32250" spans="2:2" s="221" customFormat="1" ht="12.75" x14ac:dyDescent="0.2">
      <c r="B32250" s="1168"/>
    </row>
    <row r="32251" spans="2:2" s="221" customFormat="1" ht="12.75" x14ac:dyDescent="0.2">
      <c r="B32251" s="1168"/>
    </row>
    <row r="32252" spans="2:2" s="221" customFormat="1" ht="12.75" x14ac:dyDescent="0.2">
      <c r="B32252" s="1168"/>
    </row>
    <row r="32253" spans="2:2" s="221" customFormat="1" ht="12.75" x14ac:dyDescent="0.2">
      <c r="B32253" s="1168"/>
    </row>
    <row r="32254" spans="2:2" s="221" customFormat="1" ht="12.75" x14ac:dyDescent="0.2">
      <c r="B32254" s="1168"/>
    </row>
    <row r="32255" spans="2:2" s="221" customFormat="1" ht="12.75" x14ac:dyDescent="0.2">
      <c r="B32255" s="1168"/>
    </row>
    <row r="32256" spans="2:2" s="221" customFormat="1" ht="12.75" x14ac:dyDescent="0.2">
      <c r="B32256" s="1168"/>
    </row>
    <row r="32257" spans="2:2" s="221" customFormat="1" ht="12.75" x14ac:dyDescent="0.2">
      <c r="B32257" s="1168"/>
    </row>
    <row r="32258" spans="2:2" s="221" customFormat="1" ht="12.75" x14ac:dyDescent="0.2">
      <c r="B32258" s="1168"/>
    </row>
    <row r="32259" spans="2:2" s="221" customFormat="1" ht="12.75" x14ac:dyDescent="0.2">
      <c r="B32259" s="1168"/>
    </row>
    <row r="32260" spans="2:2" s="221" customFormat="1" ht="12.75" x14ac:dyDescent="0.2">
      <c r="B32260" s="1168"/>
    </row>
    <row r="32261" spans="2:2" s="221" customFormat="1" ht="12.75" x14ac:dyDescent="0.2">
      <c r="B32261" s="1168"/>
    </row>
    <row r="32262" spans="2:2" s="221" customFormat="1" ht="12.75" x14ac:dyDescent="0.2">
      <c r="B32262" s="1168"/>
    </row>
    <row r="32263" spans="2:2" s="221" customFormat="1" ht="12.75" x14ac:dyDescent="0.2">
      <c r="B32263" s="1168"/>
    </row>
    <row r="32264" spans="2:2" s="221" customFormat="1" ht="12.75" x14ac:dyDescent="0.2">
      <c r="B32264" s="1168"/>
    </row>
    <row r="32265" spans="2:2" s="221" customFormat="1" ht="12.75" x14ac:dyDescent="0.2">
      <c r="B32265" s="1168"/>
    </row>
    <row r="32266" spans="2:2" s="221" customFormat="1" ht="12.75" x14ac:dyDescent="0.2">
      <c r="B32266" s="1168"/>
    </row>
    <row r="32267" spans="2:2" s="221" customFormat="1" ht="12.75" x14ac:dyDescent="0.2">
      <c r="B32267" s="1168"/>
    </row>
    <row r="32268" spans="2:2" s="221" customFormat="1" ht="12.75" x14ac:dyDescent="0.2">
      <c r="B32268" s="1168"/>
    </row>
    <row r="32269" spans="2:2" s="221" customFormat="1" ht="12.75" x14ac:dyDescent="0.2">
      <c r="B32269" s="1168"/>
    </row>
    <row r="32270" spans="2:2" s="221" customFormat="1" ht="12.75" x14ac:dyDescent="0.2">
      <c r="B32270" s="1168"/>
    </row>
    <row r="32271" spans="2:2" s="221" customFormat="1" ht="12.75" x14ac:dyDescent="0.2">
      <c r="B32271" s="1168"/>
    </row>
    <row r="32272" spans="2:2" s="221" customFormat="1" ht="12.75" x14ac:dyDescent="0.2">
      <c r="B32272" s="1168"/>
    </row>
    <row r="32273" spans="2:2" s="221" customFormat="1" ht="12.75" x14ac:dyDescent="0.2">
      <c r="B32273" s="1168"/>
    </row>
    <row r="32274" spans="2:2" s="221" customFormat="1" ht="12.75" x14ac:dyDescent="0.2">
      <c r="B32274" s="1168"/>
    </row>
    <row r="32275" spans="2:2" s="221" customFormat="1" ht="12.75" x14ac:dyDescent="0.2">
      <c r="B32275" s="1168"/>
    </row>
    <row r="32276" spans="2:2" s="221" customFormat="1" ht="12.75" x14ac:dyDescent="0.2">
      <c r="B32276" s="1168"/>
    </row>
    <row r="32277" spans="2:2" s="221" customFormat="1" ht="12.75" x14ac:dyDescent="0.2">
      <c r="B32277" s="1168"/>
    </row>
    <row r="32278" spans="2:2" s="221" customFormat="1" ht="12.75" x14ac:dyDescent="0.2">
      <c r="B32278" s="1168"/>
    </row>
    <row r="32279" spans="2:2" s="221" customFormat="1" ht="12.75" x14ac:dyDescent="0.2">
      <c r="B32279" s="1168"/>
    </row>
    <row r="32280" spans="2:2" s="221" customFormat="1" ht="12.75" x14ac:dyDescent="0.2">
      <c r="B32280" s="1168"/>
    </row>
    <row r="32281" spans="2:2" s="221" customFormat="1" ht="12.75" x14ac:dyDescent="0.2">
      <c r="B32281" s="1168"/>
    </row>
    <row r="32282" spans="2:2" s="221" customFormat="1" ht="12.75" x14ac:dyDescent="0.2">
      <c r="B32282" s="1168"/>
    </row>
    <row r="32283" spans="2:2" s="221" customFormat="1" ht="12.75" x14ac:dyDescent="0.2">
      <c r="B32283" s="1168"/>
    </row>
    <row r="32284" spans="2:2" s="221" customFormat="1" ht="12.75" x14ac:dyDescent="0.2">
      <c r="B32284" s="1168"/>
    </row>
    <row r="32285" spans="2:2" s="221" customFormat="1" ht="12.75" x14ac:dyDescent="0.2">
      <c r="B32285" s="1168"/>
    </row>
    <row r="32286" spans="2:2" s="221" customFormat="1" ht="12.75" x14ac:dyDescent="0.2">
      <c r="B32286" s="1168"/>
    </row>
    <row r="32287" spans="2:2" s="221" customFormat="1" ht="12.75" x14ac:dyDescent="0.2">
      <c r="B32287" s="1168"/>
    </row>
    <row r="32288" spans="2:2" s="221" customFormat="1" ht="12.75" x14ac:dyDescent="0.2">
      <c r="B32288" s="1168"/>
    </row>
    <row r="32289" spans="2:2" s="221" customFormat="1" ht="12.75" x14ac:dyDescent="0.2">
      <c r="B32289" s="1168"/>
    </row>
    <row r="32290" spans="2:2" s="221" customFormat="1" ht="12.75" x14ac:dyDescent="0.2">
      <c r="B32290" s="1168"/>
    </row>
    <row r="32291" spans="2:2" s="221" customFormat="1" ht="12.75" x14ac:dyDescent="0.2">
      <c r="B32291" s="1168"/>
    </row>
    <row r="32292" spans="2:2" s="221" customFormat="1" ht="12.75" x14ac:dyDescent="0.2">
      <c r="B32292" s="1168"/>
    </row>
    <row r="32293" spans="2:2" s="221" customFormat="1" ht="12.75" x14ac:dyDescent="0.2">
      <c r="B32293" s="1168"/>
    </row>
    <row r="32294" spans="2:2" s="221" customFormat="1" ht="12.75" x14ac:dyDescent="0.2">
      <c r="B32294" s="1168"/>
    </row>
    <row r="32295" spans="2:2" s="221" customFormat="1" ht="12.75" x14ac:dyDescent="0.2">
      <c r="B32295" s="1168"/>
    </row>
    <row r="32296" spans="2:2" s="221" customFormat="1" ht="12.75" x14ac:dyDescent="0.2">
      <c r="B32296" s="1168"/>
    </row>
    <row r="32297" spans="2:2" s="221" customFormat="1" ht="12.75" x14ac:dyDescent="0.2">
      <c r="B32297" s="1168"/>
    </row>
    <row r="32298" spans="2:2" s="221" customFormat="1" ht="12.75" x14ac:dyDescent="0.2">
      <c r="B32298" s="1168"/>
    </row>
    <row r="32299" spans="2:2" s="221" customFormat="1" ht="12.75" x14ac:dyDescent="0.2">
      <c r="B32299" s="1168"/>
    </row>
    <row r="32300" spans="2:2" s="221" customFormat="1" ht="12.75" x14ac:dyDescent="0.2">
      <c r="B32300" s="1168"/>
    </row>
    <row r="32301" spans="2:2" s="221" customFormat="1" ht="12.75" x14ac:dyDescent="0.2">
      <c r="B32301" s="1168"/>
    </row>
    <row r="32302" spans="2:2" s="221" customFormat="1" ht="12.75" x14ac:dyDescent="0.2">
      <c r="B32302" s="1168"/>
    </row>
    <row r="32303" spans="2:2" s="221" customFormat="1" ht="12.75" x14ac:dyDescent="0.2">
      <c r="B32303" s="1168"/>
    </row>
    <row r="32304" spans="2:2" s="221" customFormat="1" ht="12.75" x14ac:dyDescent="0.2">
      <c r="B32304" s="1168"/>
    </row>
    <row r="32305" spans="2:2" s="221" customFormat="1" ht="12.75" x14ac:dyDescent="0.2">
      <c r="B32305" s="1168"/>
    </row>
    <row r="32306" spans="2:2" s="221" customFormat="1" ht="12.75" x14ac:dyDescent="0.2">
      <c r="B32306" s="1168"/>
    </row>
    <row r="32307" spans="2:2" s="221" customFormat="1" ht="12.75" x14ac:dyDescent="0.2">
      <c r="B32307" s="1168"/>
    </row>
    <row r="32308" spans="2:2" s="221" customFormat="1" ht="12.75" x14ac:dyDescent="0.2">
      <c r="B32308" s="1168"/>
    </row>
    <row r="32309" spans="2:2" s="221" customFormat="1" ht="12.75" x14ac:dyDescent="0.2">
      <c r="B32309" s="1168"/>
    </row>
    <row r="32310" spans="2:2" s="221" customFormat="1" ht="12.75" x14ac:dyDescent="0.2">
      <c r="B32310" s="1168"/>
    </row>
    <row r="32311" spans="2:2" s="221" customFormat="1" ht="12.75" x14ac:dyDescent="0.2">
      <c r="B32311" s="1168"/>
    </row>
    <row r="32312" spans="2:2" s="221" customFormat="1" ht="12.75" x14ac:dyDescent="0.2">
      <c r="B32312" s="1168"/>
    </row>
    <row r="32313" spans="2:2" s="221" customFormat="1" ht="12.75" x14ac:dyDescent="0.2">
      <c r="B32313" s="1168"/>
    </row>
    <row r="32314" spans="2:2" s="221" customFormat="1" ht="12.75" x14ac:dyDescent="0.2">
      <c r="B32314" s="1168"/>
    </row>
    <row r="32315" spans="2:2" s="221" customFormat="1" ht="12.75" x14ac:dyDescent="0.2">
      <c r="B32315" s="1168"/>
    </row>
    <row r="32316" spans="2:2" s="221" customFormat="1" ht="12.75" x14ac:dyDescent="0.2">
      <c r="B32316" s="1168"/>
    </row>
    <row r="32317" spans="2:2" s="221" customFormat="1" ht="12.75" x14ac:dyDescent="0.2">
      <c r="B32317" s="1168"/>
    </row>
    <row r="32318" spans="2:2" s="221" customFormat="1" ht="12.75" x14ac:dyDescent="0.2">
      <c r="B32318" s="1168"/>
    </row>
    <row r="32319" spans="2:2" s="221" customFormat="1" ht="12.75" x14ac:dyDescent="0.2">
      <c r="B32319" s="1168"/>
    </row>
    <row r="32320" spans="2:2" s="221" customFormat="1" ht="12.75" x14ac:dyDescent="0.2">
      <c r="B32320" s="1168"/>
    </row>
    <row r="32321" spans="2:2" s="221" customFormat="1" ht="12.75" x14ac:dyDescent="0.2">
      <c r="B32321" s="1168"/>
    </row>
    <row r="32322" spans="2:2" s="221" customFormat="1" ht="12.75" x14ac:dyDescent="0.2">
      <c r="B32322" s="1168"/>
    </row>
    <row r="32323" spans="2:2" s="221" customFormat="1" ht="12.75" x14ac:dyDescent="0.2">
      <c r="B32323" s="1168"/>
    </row>
    <row r="32324" spans="2:2" s="221" customFormat="1" ht="12.75" x14ac:dyDescent="0.2">
      <c r="B32324" s="1168"/>
    </row>
    <row r="32325" spans="2:2" s="221" customFormat="1" ht="12.75" x14ac:dyDescent="0.2">
      <c r="B32325" s="1168"/>
    </row>
    <row r="32326" spans="2:2" s="221" customFormat="1" ht="12.75" x14ac:dyDescent="0.2">
      <c r="B32326" s="1168"/>
    </row>
    <row r="32327" spans="2:2" s="221" customFormat="1" ht="12.75" x14ac:dyDescent="0.2">
      <c r="B32327" s="1168"/>
    </row>
    <row r="32328" spans="2:2" s="221" customFormat="1" ht="12.75" x14ac:dyDescent="0.2">
      <c r="B32328" s="1168"/>
    </row>
    <row r="32329" spans="2:2" s="221" customFormat="1" ht="12.75" x14ac:dyDescent="0.2">
      <c r="B32329" s="1168"/>
    </row>
    <row r="32330" spans="2:2" s="221" customFormat="1" ht="12.75" x14ac:dyDescent="0.2">
      <c r="B32330" s="1168"/>
    </row>
    <row r="32331" spans="2:2" s="221" customFormat="1" ht="12.75" x14ac:dyDescent="0.2">
      <c r="B32331" s="1168"/>
    </row>
    <row r="32332" spans="2:2" s="221" customFormat="1" ht="12.75" x14ac:dyDescent="0.2">
      <c r="B32332" s="1168"/>
    </row>
    <row r="32333" spans="2:2" s="221" customFormat="1" ht="12.75" x14ac:dyDescent="0.2">
      <c r="B32333" s="1168"/>
    </row>
    <row r="32334" spans="2:2" s="221" customFormat="1" ht="12.75" x14ac:dyDescent="0.2">
      <c r="B32334" s="1168"/>
    </row>
    <row r="32335" spans="2:2" s="221" customFormat="1" ht="12.75" x14ac:dyDescent="0.2">
      <c r="B32335" s="1168"/>
    </row>
    <row r="32336" spans="2:2" s="221" customFormat="1" ht="12.75" x14ac:dyDescent="0.2">
      <c r="B32336" s="1168"/>
    </row>
    <row r="32337" spans="2:2" s="221" customFormat="1" ht="12.75" x14ac:dyDescent="0.2">
      <c r="B32337" s="1168"/>
    </row>
    <row r="32338" spans="2:2" s="221" customFormat="1" ht="12.75" x14ac:dyDescent="0.2">
      <c r="B32338" s="1168"/>
    </row>
    <row r="32339" spans="2:2" s="221" customFormat="1" ht="12.75" x14ac:dyDescent="0.2">
      <c r="B32339" s="1168"/>
    </row>
    <row r="32340" spans="2:2" s="221" customFormat="1" ht="12.75" x14ac:dyDescent="0.2">
      <c r="B32340" s="1168"/>
    </row>
    <row r="32341" spans="2:2" s="221" customFormat="1" ht="12.75" x14ac:dyDescent="0.2">
      <c r="B32341" s="1168"/>
    </row>
    <row r="32342" spans="2:2" s="221" customFormat="1" ht="12.75" x14ac:dyDescent="0.2">
      <c r="B32342" s="1168"/>
    </row>
    <row r="32343" spans="2:2" s="221" customFormat="1" ht="12.75" x14ac:dyDescent="0.2">
      <c r="B32343" s="1168"/>
    </row>
    <row r="32344" spans="2:2" s="221" customFormat="1" ht="12.75" x14ac:dyDescent="0.2">
      <c r="B32344" s="1168"/>
    </row>
    <row r="32345" spans="2:2" s="221" customFormat="1" ht="12.75" x14ac:dyDescent="0.2">
      <c r="B32345" s="1168"/>
    </row>
    <row r="32346" spans="2:2" s="221" customFormat="1" ht="12.75" x14ac:dyDescent="0.2">
      <c r="B32346" s="1168"/>
    </row>
    <row r="32347" spans="2:2" s="221" customFormat="1" ht="12.75" x14ac:dyDescent="0.2">
      <c r="B32347" s="1168"/>
    </row>
    <row r="32348" spans="2:2" s="221" customFormat="1" ht="12.75" x14ac:dyDescent="0.2">
      <c r="B32348" s="1168"/>
    </row>
    <row r="32349" spans="2:2" s="221" customFormat="1" ht="12.75" x14ac:dyDescent="0.2">
      <c r="B32349" s="1168"/>
    </row>
    <row r="32350" spans="2:2" s="221" customFormat="1" ht="12.75" x14ac:dyDescent="0.2">
      <c r="B32350" s="1168"/>
    </row>
    <row r="32351" spans="2:2" s="221" customFormat="1" ht="12.75" x14ac:dyDescent="0.2">
      <c r="B32351" s="1168"/>
    </row>
    <row r="32352" spans="2:2" s="221" customFormat="1" ht="12.75" x14ac:dyDescent="0.2">
      <c r="B32352" s="1168"/>
    </row>
    <row r="32353" spans="2:2" s="221" customFormat="1" ht="12.75" x14ac:dyDescent="0.2">
      <c r="B32353" s="1168"/>
    </row>
    <row r="32354" spans="2:2" s="221" customFormat="1" ht="12.75" x14ac:dyDescent="0.2">
      <c r="B32354" s="1168"/>
    </row>
    <row r="32355" spans="2:2" s="221" customFormat="1" ht="12.75" x14ac:dyDescent="0.2">
      <c r="B32355" s="1168"/>
    </row>
    <row r="32356" spans="2:2" s="221" customFormat="1" ht="12.75" x14ac:dyDescent="0.2">
      <c r="B32356" s="1168"/>
    </row>
    <row r="32357" spans="2:2" s="221" customFormat="1" ht="12.75" x14ac:dyDescent="0.2">
      <c r="B32357" s="1168"/>
    </row>
    <row r="32358" spans="2:2" s="221" customFormat="1" ht="12.75" x14ac:dyDescent="0.2">
      <c r="B32358" s="1168"/>
    </row>
    <row r="32359" spans="2:2" s="221" customFormat="1" ht="12.75" x14ac:dyDescent="0.2">
      <c r="B32359" s="1168"/>
    </row>
    <row r="32360" spans="2:2" s="221" customFormat="1" ht="12.75" x14ac:dyDescent="0.2">
      <c r="B32360" s="1168"/>
    </row>
    <row r="32361" spans="2:2" s="221" customFormat="1" ht="12.75" x14ac:dyDescent="0.2">
      <c r="B32361" s="1168"/>
    </row>
    <row r="32362" spans="2:2" s="221" customFormat="1" ht="12.75" x14ac:dyDescent="0.2">
      <c r="B32362" s="1168"/>
    </row>
    <row r="32363" spans="2:2" s="221" customFormat="1" ht="12.75" x14ac:dyDescent="0.2">
      <c r="B32363" s="1168"/>
    </row>
    <row r="32364" spans="2:2" s="221" customFormat="1" ht="12.75" x14ac:dyDescent="0.2">
      <c r="B32364" s="1168"/>
    </row>
    <row r="32365" spans="2:2" s="221" customFormat="1" ht="12.75" x14ac:dyDescent="0.2">
      <c r="B32365" s="1168"/>
    </row>
    <row r="32366" spans="2:2" s="221" customFormat="1" ht="12.75" x14ac:dyDescent="0.2">
      <c r="B32366" s="1168"/>
    </row>
    <row r="32367" spans="2:2" s="221" customFormat="1" ht="12.75" x14ac:dyDescent="0.2">
      <c r="B32367" s="1168"/>
    </row>
    <row r="32368" spans="2:2" s="221" customFormat="1" ht="12.75" x14ac:dyDescent="0.2">
      <c r="B32368" s="1168"/>
    </row>
    <row r="32369" spans="2:2" s="221" customFormat="1" ht="12.75" x14ac:dyDescent="0.2">
      <c r="B32369" s="1168"/>
    </row>
    <row r="32370" spans="2:2" s="221" customFormat="1" ht="12.75" x14ac:dyDescent="0.2">
      <c r="B32370" s="1168"/>
    </row>
    <row r="32371" spans="2:2" s="221" customFormat="1" ht="12.75" x14ac:dyDescent="0.2">
      <c r="B32371" s="1168"/>
    </row>
    <row r="32372" spans="2:2" s="221" customFormat="1" ht="12.75" x14ac:dyDescent="0.2">
      <c r="B32372" s="1168"/>
    </row>
    <row r="32373" spans="2:2" s="221" customFormat="1" ht="12.75" x14ac:dyDescent="0.2">
      <c r="B32373" s="1168"/>
    </row>
    <row r="32374" spans="2:2" s="221" customFormat="1" ht="12.75" x14ac:dyDescent="0.2">
      <c r="B32374" s="1168"/>
    </row>
    <row r="32375" spans="2:2" s="221" customFormat="1" ht="12.75" x14ac:dyDescent="0.2">
      <c r="B32375" s="1168"/>
    </row>
    <row r="32376" spans="2:2" s="221" customFormat="1" ht="12.75" x14ac:dyDescent="0.2">
      <c r="B32376" s="1168"/>
    </row>
    <row r="32377" spans="2:2" s="221" customFormat="1" ht="12.75" x14ac:dyDescent="0.2">
      <c r="B32377" s="1168"/>
    </row>
    <row r="32378" spans="2:2" s="221" customFormat="1" ht="12.75" x14ac:dyDescent="0.2">
      <c r="B32378" s="1168"/>
    </row>
    <row r="32379" spans="2:2" s="221" customFormat="1" ht="12.75" x14ac:dyDescent="0.2">
      <c r="B32379" s="1168"/>
    </row>
    <row r="32380" spans="2:2" s="221" customFormat="1" ht="12.75" x14ac:dyDescent="0.2">
      <c r="B32380" s="1168"/>
    </row>
    <row r="32381" spans="2:2" s="221" customFormat="1" ht="12.75" x14ac:dyDescent="0.2">
      <c r="B32381" s="1168"/>
    </row>
    <row r="32382" spans="2:2" s="221" customFormat="1" ht="12.75" x14ac:dyDescent="0.2">
      <c r="B32382" s="1168"/>
    </row>
    <row r="32383" spans="2:2" s="221" customFormat="1" ht="12.75" x14ac:dyDescent="0.2">
      <c r="B32383" s="1168"/>
    </row>
    <row r="32384" spans="2:2" s="221" customFormat="1" ht="12.75" x14ac:dyDescent="0.2">
      <c r="B32384" s="1168"/>
    </row>
    <row r="32385" spans="2:2" s="221" customFormat="1" ht="12.75" x14ac:dyDescent="0.2">
      <c r="B32385" s="1168"/>
    </row>
    <row r="32386" spans="2:2" s="221" customFormat="1" ht="12.75" x14ac:dyDescent="0.2">
      <c r="B32386" s="1168"/>
    </row>
    <row r="32387" spans="2:2" s="221" customFormat="1" ht="12.75" x14ac:dyDescent="0.2">
      <c r="B32387" s="1168"/>
    </row>
    <row r="32388" spans="2:2" s="221" customFormat="1" ht="12.75" x14ac:dyDescent="0.2">
      <c r="B32388" s="1168"/>
    </row>
    <row r="32389" spans="2:2" s="221" customFormat="1" ht="12.75" x14ac:dyDescent="0.2">
      <c r="B32389" s="1168"/>
    </row>
    <row r="32390" spans="2:2" s="221" customFormat="1" ht="12.75" x14ac:dyDescent="0.2">
      <c r="B32390" s="1168"/>
    </row>
    <row r="32391" spans="2:2" s="221" customFormat="1" ht="12.75" x14ac:dyDescent="0.2">
      <c r="B32391" s="1168"/>
    </row>
    <row r="32392" spans="2:2" s="221" customFormat="1" ht="12.75" x14ac:dyDescent="0.2">
      <c r="B32392" s="1168"/>
    </row>
    <row r="32393" spans="2:2" s="221" customFormat="1" ht="12.75" x14ac:dyDescent="0.2">
      <c r="B32393" s="1168"/>
    </row>
    <row r="32394" spans="2:2" s="221" customFormat="1" ht="12.75" x14ac:dyDescent="0.2">
      <c r="B32394" s="1168"/>
    </row>
    <row r="32395" spans="2:2" s="221" customFormat="1" ht="12.75" x14ac:dyDescent="0.2">
      <c r="B32395" s="1168"/>
    </row>
    <row r="32396" spans="2:2" s="221" customFormat="1" ht="12.75" x14ac:dyDescent="0.2">
      <c r="B32396" s="1168"/>
    </row>
    <row r="32397" spans="2:2" s="221" customFormat="1" ht="12.75" x14ac:dyDescent="0.2">
      <c r="B32397" s="1168"/>
    </row>
    <row r="32398" spans="2:2" s="221" customFormat="1" ht="12.75" x14ac:dyDescent="0.2">
      <c r="B32398" s="1168"/>
    </row>
    <row r="32399" spans="2:2" s="221" customFormat="1" ht="12.75" x14ac:dyDescent="0.2">
      <c r="B32399" s="1168"/>
    </row>
    <row r="32400" spans="2:2" s="221" customFormat="1" ht="12.75" x14ac:dyDescent="0.2">
      <c r="B32400" s="1168"/>
    </row>
    <row r="32401" spans="2:2" s="221" customFormat="1" ht="12.75" x14ac:dyDescent="0.2">
      <c r="B32401" s="1168"/>
    </row>
    <row r="32402" spans="2:2" s="221" customFormat="1" ht="12.75" x14ac:dyDescent="0.2">
      <c r="B32402" s="1168"/>
    </row>
    <row r="32403" spans="2:2" s="221" customFormat="1" ht="12.75" x14ac:dyDescent="0.2">
      <c r="B32403" s="1168"/>
    </row>
    <row r="32404" spans="2:2" s="221" customFormat="1" ht="12.75" x14ac:dyDescent="0.2">
      <c r="B32404" s="1168"/>
    </row>
    <row r="32405" spans="2:2" s="221" customFormat="1" ht="12.75" x14ac:dyDescent="0.2">
      <c r="B32405" s="1168"/>
    </row>
    <row r="32406" spans="2:2" s="221" customFormat="1" ht="12.75" x14ac:dyDescent="0.2">
      <c r="B32406" s="1168"/>
    </row>
    <row r="32407" spans="2:2" s="221" customFormat="1" ht="12.75" x14ac:dyDescent="0.2">
      <c r="B32407" s="1168"/>
    </row>
    <row r="32408" spans="2:2" s="221" customFormat="1" ht="12.75" x14ac:dyDescent="0.2">
      <c r="B32408" s="1168"/>
    </row>
    <row r="32409" spans="2:2" s="221" customFormat="1" ht="12.75" x14ac:dyDescent="0.2">
      <c r="B32409" s="1168"/>
    </row>
    <row r="32410" spans="2:2" s="221" customFormat="1" ht="12.75" x14ac:dyDescent="0.2">
      <c r="B32410" s="1168"/>
    </row>
    <row r="32411" spans="2:2" s="221" customFormat="1" ht="12.75" x14ac:dyDescent="0.2">
      <c r="B32411" s="1168"/>
    </row>
    <row r="32412" spans="2:2" s="221" customFormat="1" ht="12.75" x14ac:dyDescent="0.2">
      <c r="B32412" s="1168"/>
    </row>
    <row r="32413" spans="2:2" s="221" customFormat="1" ht="12.75" x14ac:dyDescent="0.2">
      <c r="B32413" s="1168"/>
    </row>
    <row r="32414" spans="2:2" s="221" customFormat="1" ht="12.75" x14ac:dyDescent="0.2">
      <c r="B32414" s="1168"/>
    </row>
    <row r="32415" spans="2:2" s="221" customFormat="1" ht="12.75" x14ac:dyDescent="0.2">
      <c r="B32415" s="1168"/>
    </row>
    <row r="32416" spans="2:2" s="221" customFormat="1" ht="12.75" x14ac:dyDescent="0.2">
      <c r="B32416" s="1168"/>
    </row>
    <row r="32417" spans="2:2" s="221" customFormat="1" ht="12.75" x14ac:dyDescent="0.2">
      <c r="B32417" s="1168"/>
    </row>
    <row r="32418" spans="2:2" s="221" customFormat="1" ht="12.75" x14ac:dyDescent="0.2">
      <c r="B32418" s="1168"/>
    </row>
    <row r="32419" spans="2:2" s="221" customFormat="1" ht="12.75" x14ac:dyDescent="0.2">
      <c r="B32419" s="1168"/>
    </row>
    <row r="32420" spans="2:2" s="221" customFormat="1" ht="12.75" x14ac:dyDescent="0.2">
      <c r="B32420" s="1168"/>
    </row>
    <row r="32421" spans="2:2" s="221" customFormat="1" ht="12.75" x14ac:dyDescent="0.2">
      <c r="B32421" s="1168"/>
    </row>
    <row r="32422" spans="2:2" s="221" customFormat="1" ht="12.75" x14ac:dyDescent="0.2">
      <c r="B32422" s="1168"/>
    </row>
    <row r="32423" spans="2:2" s="221" customFormat="1" ht="12.75" x14ac:dyDescent="0.2">
      <c r="B32423" s="1168"/>
    </row>
    <row r="32424" spans="2:2" s="221" customFormat="1" ht="12.75" x14ac:dyDescent="0.2">
      <c r="B32424" s="1168"/>
    </row>
    <row r="32425" spans="2:2" s="221" customFormat="1" ht="12.75" x14ac:dyDescent="0.2">
      <c r="B32425" s="1168"/>
    </row>
    <row r="32426" spans="2:2" s="221" customFormat="1" ht="12.75" x14ac:dyDescent="0.2">
      <c r="B32426" s="1168"/>
    </row>
    <row r="32427" spans="2:2" s="221" customFormat="1" ht="12.75" x14ac:dyDescent="0.2">
      <c r="B32427" s="1168"/>
    </row>
    <row r="32428" spans="2:2" s="221" customFormat="1" ht="12.75" x14ac:dyDescent="0.2">
      <c r="B32428" s="1168"/>
    </row>
    <row r="32429" spans="2:2" s="221" customFormat="1" ht="12.75" x14ac:dyDescent="0.2">
      <c r="B32429" s="1168"/>
    </row>
    <row r="32430" spans="2:2" s="221" customFormat="1" ht="12.75" x14ac:dyDescent="0.2">
      <c r="B32430" s="1168"/>
    </row>
    <row r="32431" spans="2:2" s="221" customFormat="1" ht="12.75" x14ac:dyDescent="0.2">
      <c r="B32431" s="1168"/>
    </row>
    <row r="32432" spans="2:2" s="221" customFormat="1" ht="12.75" x14ac:dyDescent="0.2">
      <c r="B32432" s="1168"/>
    </row>
    <row r="32433" spans="2:2" s="221" customFormat="1" ht="12.75" x14ac:dyDescent="0.2">
      <c r="B32433" s="1168"/>
    </row>
    <row r="32434" spans="2:2" s="221" customFormat="1" ht="12.75" x14ac:dyDescent="0.2">
      <c r="B32434" s="1168"/>
    </row>
    <row r="32435" spans="2:2" s="221" customFormat="1" ht="12.75" x14ac:dyDescent="0.2">
      <c r="B32435" s="1168"/>
    </row>
    <row r="32436" spans="2:2" s="221" customFormat="1" ht="12.75" x14ac:dyDescent="0.2">
      <c r="B32436" s="1168"/>
    </row>
    <row r="32437" spans="2:2" s="221" customFormat="1" ht="12.75" x14ac:dyDescent="0.2">
      <c r="B32437" s="1168"/>
    </row>
    <row r="32438" spans="2:2" s="221" customFormat="1" ht="12.75" x14ac:dyDescent="0.2">
      <c r="B32438" s="1168"/>
    </row>
    <row r="32439" spans="2:2" s="221" customFormat="1" ht="12.75" x14ac:dyDescent="0.2">
      <c r="B32439" s="1168"/>
    </row>
    <row r="32440" spans="2:2" s="221" customFormat="1" ht="12.75" x14ac:dyDescent="0.2">
      <c r="B32440" s="1168"/>
    </row>
    <row r="32441" spans="2:2" s="221" customFormat="1" ht="12.75" x14ac:dyDescent="0.2">
      <c r="B32441" s="1168"/>
    </row>
    <row r="32442" spans="2:2" s="221" customFormat="1" ht="12.75" x14ac:dyDescent="0.2">
      <c r="B32442" s="1168"/>
    </row>
    <row r="32443" spans="2:2" s="221" customFormat="1" ht="12.75" x14ac:dyDescent="0.2">
      <c r="B32443" s="1168"/>
    </row>
    <row r="32444" spans="2:2" s="221" customFormat="1" ht="12.75" x14ac:dyDescent="0.2">
      <c r="B32444" s="1168"/>
    </row>
    <row r="32445" spans="2:2" s="221" customFormat="1" ht="12.75" x14ac:dyDescent="0.2">
      <c r="B32445" s="1168"/>
    </row>
    <row r="32446" spans="2:2" s="221" customFormat="1" ht="12.75" x14ac:dyDescent="0.2">
      <c r="B32446" s="1168"/>
    </row>
    <row r="32447" spans="2:2" s="221" customFormat="1" ht="12.75" x14ac:dyDescent="0.2">
      <c r="B32447" s="1168"/>
    </row>
    <row r="32448" spans="2:2" s="221" customFormat="1" ht="12.75" x14ac:dyDescent="0.2">
      <c r="B32448" s="1168"/>
    </row>
    <row r="32449" spans="2:2" s="221" customFormat="1" ht="12.75" x14ac:dyDescent="0.2">
      <c r="B32449" s="1168"/>
    </row>
    <row r="32450" spans="2:2" s="221" customFormat="1" ht="12.75" x14ac:dyDescent="0.2">
      <c r="B32450" s="1168"/>
    </row>
    <row r="32451" spans="2:2" s="221" customFormat="1" ht="12.75" x14ac:dyDescent="0.2">
      <c r="B32451" s="1168"/>
    </row>
    <row r="32452" spans="2:2" s="221" customFormat="1" ht="12.75" x14ac:dyDescent="0.2">
      <c r="B32452" s="1168"/>
    </row>
    <row r="32453" spans="2:2" s="221" customFormat="1" ht="12.75" x14ac:dyDescent="0.2">
      <c r="B32453" s="1168"/>
    </row>
    <row r="32454" spans="2:2" s="221" customFormat="1" ht="12.75" x14ac:dyDescent="0.2">
      <c r="B32454" s="1168"/>
    </row>
    <row r="32455" spans="2:2" s="221" customFormat="1" ht="12.75" x14ac:dyDescent="0.2">
      <c r="B32455" s="1168"/>
    </row>
    <row r="32456" spans="2:2" s="221" customFormat="1" ht="12.75" x14ac:dyDescent="0.2">
      <c r="B32456" s="1168"/>
    </row>
    <row r="32457" spans="2:2" s="221" customFormat="1" ht="12.75" x14ac:dyDescent="0.2">
      <c r="B32457" s="1168"/>
    </row>
    <row r="32458" spans="2:2" s="221" customFormat="1" ht="12.75" x14ac:dyDescent="0.2">
      <c r="B32458" s="1168"/>
    </row>
    <row r="32459" spans="2:2" s="221" customFormat="1" ht="12.75" x14ac:dyDescent="0.2">
      <c r="B32459" s="1168"/>
    </row>
    <row r="32460" spans="2:2" s="221" customFormat="1" ht="12.75" x14ac:dyDescent="0.2">
      <c r="B32460" s="1168"/>
    </row>
    <row r="32461" spans="2:2" s="221" customFormat="1" ht="12.75" x14ac:dyDescent="0.2">
      <c r="B32461" s="1168"/>
    </row>
    <row r="32462" spans="2:2" s="221" customFormat="1" ht="12.75" x14ac:dyDescent="0.2">
      <c r="B32462" s="1168"/>
    </row>
    <row r="32463" spans="2:2" s="221" customFormat="1" ht="12.75" x14ac:dyDescent="0.2">
      <c r="B32463" s="1168"/>
    </row>
    <row r="32464" spans="2:2" s="221" customFormat="1" ht="12.75" x14ac:dyDescent="0.2">
      <c r="B32464" s="1168"/>
    </row>
    <row r="32465" spans="2:2" s="221" customFormat="1" ht="12.75" x14ac:dyDescent="0.2">
      <c r="B32465" s="1168"/>
    </row>
    <row r="32466" spans="2:2" s="221" customFormat="1" ht="12.75" x14ac:dyDescent="0.2">
      <c r="B32466" s="1168"/>
    </row>
    <row r="32467" spans="2:2" s="221" customFormat="1" ht="12.75" x14ac:dyDescent="0.2">
      <c r="B32467" s="1168"/>
    </row>
    <row r="32468" spans="2:2" s="221" customFormat="1" ht="12.75" x14ac:dyDescent="0.2">
      <c r="B32468" s="1168"/>
    </row>
    <row r="32469" spans="2:2" s="221" customFormat="1" ht="12.75" x14ac:dyDescent="0.2">
      <c r="B32469" s="1168"/>
    </row>
    <row r="32470" spans="2:2" s="221" customFormat="1" ht="12.75" x14ac:dyDescent="0.2">
      <c r="B32470" s="1168"/>
    </row>
    <row r="32471" spans="2:2" s="221" customFormat="1" ht="12.75" x14ac:dyDescent="0.2">
      <c r="B32471" s="1168"/>
    </row>
    <row r="32472" spans="2:2" s="221" customFormat="1" ht="12.75" x14ac:dyDescent="0.2">
      <c r="B32472" s="1168"/>
    </row>
    <row r="32473" spans="2:2" s="221" customFormat="1" ht="12.75" x14ac:dyDescent="0.2">
      <c r="B32473" s="1168"/>
    </row>
    <row r="32474" spans="2:2" s="221" customFormat="1" ht="12.75" x14ac:dyDescent="0.2">
      <c r="B32474" s="1168"/>
    </row>
    <row r="32475" spans="2:2" s="221" customFormat="1" ht="12.75" x14ac:dyDescent="0.2">
      <c r="B32475" s="1168"/>
    </row>
    <row r="32476" spans="2:2" s="221" customFormat="1" ht="12.75" x14ac:dyDescent="0.2">
      <c r="B32476" s="1168"/>
    </row>
    <row r="32477" spans="2:2" s="221" customFormat="1" ht="12.75" x14ac:dyDescent="0.2">
      <c r="B32477" s="1168"/>
    </row>
    <row r="32478" spans="2:2" s="221" customFormat="1" ht="12.75" x14ac:dyDescent="0.2">
      <c r="B32478" s="1168"/>
    </row>
    <row r="32479" spans="2:2" s="221" customFormat="1" ht="12.75" x14ac:dyDescent="0.2">
      <c r="B32479" s="1168"/>
    </row>
    <row r="32480" spans="2:2" s="221" customFormat="1" ht="12.75" x14ac:dyDescent="0.2">
      <c r="B32480" s="1168"/>
    </row>
    <row r="32481" spans="2:2" s="221" customFormat="1" ht="12.75" x14ac:dyDescent="0.2">
      <c r="B32481" s="1168"/>
    </row>
    <row r="32482" spans="2:2" s="221" customFormat="1" ht="12.75" x14ac:dyDescent="0.2">
      <c r="B32482" s="1168"/>
    </row>
    <row r="32483" spans="2:2" s="221" customFormat="1" ht="12.75" x14ac:dyDescent="0.2">
      <c r="B32483" s="1168"/>
    </row>
    <row r="32484" spans="2:2" s="221" customFormat="1" ht="12.75" x14ac:dyDescent="0.2">
      <c r="B32484" s="1168"/>
    </row>
    <row r="32485" spans="2:2" s="221" customFormat="1" ht="12.75" x14ac:dyDescent="0.2">
      <c r="B32485" s="1168"/>
    </row>
    <row r="32486" spans="2:2" s="221" customFormat="1" ht="12.75" x14ac:dyDescent="0.2">
      <c r="B32486" s="1168"/>
    </row>
    <row r="32487" spans="2:2" s="221" customFormat="1" ht="12.75" x14ac:dyDescent="0.2">
      <c r="B32487" s="1168"/>
    </row>
    <row r="32488" spans="2:2" s="221" customFormat="1" ht="12.75" x14ac:dyDescent="0.2">
      <c r="B32488" s="1168"/>
    </row>
    <row r="32489" spans="2:2" s="221" customFormat="1" ht="12.75" x14ac:dyDescent="0.2">
      <c r="B32489" s="1168"/>
    </row>
    <row r="32490" spans="2:2" s="221" customFormat="1" ht="12.75" x14ac:dyDescent="0.2">
      <c r="B32490" s="1168"/>
    </row>
    <row r="32491" spans="2:2" s="221" customFormat="1" ht="12.75" x14ac:dyDescent="0.2">
      <c r="B32491" s="1168"/>
    </row>
    <row r="32492" spans="2:2" s="221" customFormat="1" ht="12.75" x14ac:dyDescent="0.2">
      <c r="B32492" s="1168"/>
    </row>
    <row r="32493" spans="2:2" s="221" customFormat="1" ht="12.75" x14ac:dyDescent="0.2">
      <c r="B32493" s="1168"/>
    </row>
    <row r="32494" spans="2:2" s="221" customFormat="1" ht="12.75" x14ac:dyDescent="0.2">
      <c r="B32494" s="1168"/>
    </row>
    <row r="32495" spans="2:2" s="221" customFormat="1" ht="12.75" x14ac:dyDescent="0.2">
      <c r="B32495" s="1168"/>
    </row>
    <row r="32496" spans="2:2" s="221" customFormat="1" ht="12.75" x14ac:dyDescent="0.2">
      <c r="B32496" s="1168"/>
    </row>
    <row r="32497" spans="2:2" s="221" customFormat="1" ht="12.75" x14ac:dyDescent="0.2">
      <c r="B32497" s="1168"/>
    </row>
    <row r="32498" spans="2:2" s="221" customFormat="1" ht="12.75" x14ac:dyDescent="0.2">
      <c r="B32498" s="1168"/>
    </row>
    <row r="32499" spans="2:2" s="221" customFormat="1" ht="12.75" x14ac:dyDescent="0.2">
      <c r="B32499" s="1168"/>
    </row>
    <row r="32500" spans="2:2" s="221" customFormat="1" ht="12.75" x14ac:dyDescent="0.2">
      <c r="B32500" s="1168"/>
    </row>
    <row r="32501" spans="2:2" s="221" customFormat="1" ht="12.75" x14ac:dyDescent="0.2">
      <c r="B32501" s="1168"/>
    </row>
    <row r="32502" spans="2:2" s="221" customFormat="1" ht="12.75" x14ac:dyDescent="0.2">
      <c r="B32502" s="1168"/>
    </row>
    <row r="32503" spans="2:2" s="221" customFormat="1" ht="12.75" x14ac:dyDescent="0.2">
      <c r="B32503" s="1168"/>
    </row>
    <row r="32504" spans="2:2" s="221" customFormat="1" ht="12.75" x14ac:dyDescent="0.2">
      <c r="B32504" s="1168"/>
    </row>
    <row r="32505" spans="2:2" s="221" customFormat="1" ht="12.75" x14ac:dyDescent="0.2">
      <c r="B32505" s="1168"/>
    </row>
    <row r="32506" spans="2:2" s="221" customFormat="1" ht="12.75" x14ac:dyDescent="0.2">
      <c r="B32506" s="1168"/>
    </row>
    <row r="32507" spans="2:2" s="221" customFormat="1" ht="12.75" x14ac:dyDescent="0.2">
      <c r="B32507" s="1168"/>
    </row>
    <row r="32508" spans="2:2" s="221" customFormat="1" ht="12.75" x14ac:dyDescent="0.2">
      <c r="B32508" s="1168"/>
    </row>
    <row r="32509" spans="2:2" s="221" customFormat="1" ht="12.75" x14ac:dyDescent="0.2">
      <c r="B32509" s="1168"/>
    </row>
    <row r="32510" spans="2:2" s="221" customFormat="1" ht="12.75" x14ac:dyDescent="0.2">
      <c r="B32510" s="1168"/>
    </row>
    <row r="32511" spans="2:2" s="221" customFormat="1" ht="12.75" x14ac:dyDescent="0.2">
      <c r="B32511" s="1168"/>
    </row>
    <row r="32512" spans="2:2" s="221" customFormat="1" ht="12.75" x14ac:dyDescent="0.2">
      <c r="B32512" s="1168"/>
    </row>
    <row r="32513" spans="2:2" s="221" customFormat="1" ht="12.75" x14ac:dyDescent="0.2">
      <c r="B32513" s="1168"/>
    </row>
    <row r="32514" spans="2:2" s="221" customFormat="1" ht="12.75" x14ac:dyDescent="0.2">
      <c r="B32514" s="1168"/>
    </row>
    <row r="32515" spans="2:2" s="221" customFormat="1" ht="12.75" x14ac:dyDescent="0.2">
      <c r="B32515" s="1168"/>
    </row>
    <row r="32516" spans="2:2" s="221" customFormat="1" ht="12.75" x14ac:dyDescent="0.2">
      <c r="B32516" s="1168"/>
    </row>
    <row r="32517" spans="2:2" s="221" customFormat="1" ht="12.75" x14ac:dyDescent="0.2">
      <c r="B32517" s="1168"/>
    </row>
    <row r="32518" spans="2:2" s="221" customFormat="1" ht="12.75" x14ac:dyDescent="0.2">
      <c r="B32518" s="1168"/>
    </row>
    <row r="32519" spans="2:2" s="221" customFormat="1" ht="12.75" x14ac:dyDescent="0.2">
      <c r="B32519" s="1168"/>
    </row>
    <row r="32520" spans="2:2" s="221" customFormat="1" ht="12.75" x14ac:dyDescent="0.2">
      <c r="B32520" s="1168"/>
    </row>
    <row r="32521" spans="2:2" s="221" customFormat="1" ht="12.75" x14ac:dyDescent="0.2">
      <c r="B32521" s="1168"/>
    </row>
    <row r="32522" spans="2:2" s="221" customFormat="1" ht="12.75" x14ac:dyDescent="0.2">
      <c r="B32522" s="1168"/>
    </row>
    <row r="32523" spans="2:2" s="221" customFormat="1" ht="12.75" x14ac:dyDescent="0.2">
      <c r="B32523" s="1168"/>
    </row>
    <row r="32524" spans="2:2" s="221" customFormat="1" ht="12.75" x14ac:dyDescent="0.2">
      <c r="B32524" s="1168"/>
    </row>
    <row r="32525" spans="2:2" s="221" customFormat="1" ht="12.75" x14ac:dyDescent="0.2">
      <c r="B32525" s="1168"/>
    </row>
    <row r="32526" spans="2:2" s="221" customFormat="1" ht="12.75" x14ac:dyDescent="0.2">
      <c r="B32526" s="1168"/>
    </row>
    <row r="32527" spans="2:2" s="221" customFormat="1" ht="12.75" x14ac:dyDescent="0.2">
      <c r="B32527" s="1168"/>
    </row>
    <row r="32528" spans="2:2" s="221" customFormat="1" ht="12.75" x14ac:dyDescent="0.2">
      <c r="B32528" s="1168"/>
    </row>
    <row r="32529" spans="2:2" s="221" customFormat="1" ht="12.75" x14ac:dyDescent="0.2">
      <c r="B32529" s="1168"/>
    </row>
    <row r="32530" spans="2:2" s="221" customFormat="1" ht="12.75" x14ac:dyDescent="0.2">
      <c r="B32530" s="1168"/>
    </row>
    <row r="32531" spans="2:2" s="221" customFormat="1" ht="12.75" x14ac:dyDescent="0.2">
      <c r="B32531" s="1168"/>
    </row>
    <row r="32532" spans="2:2" s="221" customFormat="1" ht="12.75" x14ac:dyDescent="0.2">
      <c r="B32532" s="1168"/>
    </row>
    <row r="32533" spans="2:2" s="221" customFormat="1" ht="12.75" x14ac:dyDescent="0.2">
      <c r="B32533" s="1168"/>
    </row>
    <row r="32534" spans="2:2" s="221" customFormat="1" ht="12.75" x14ac:dyDescent="0.2">
      <c r="B32534" s="1168"/>
    </row>
    <row r="32535" spans="2:2" s="221" customFormat="1" ht="12.75" x14ac:dyDescent="0.2">
      <c r="B32535" s="1168"/>
    </row>
    <row r="32536" spans="2:2" s="221" customFormat="1" ht="12.75" x14ac:dyDescent="0.2">
      <c r="B32536" s="1168"/>
    </row>
    <row r="32537" spans="2:2" s="221" customFormat="1" ht="12.75" x14ac:dyDescent="0.2">
      <c r="B32537" s="1168"/>
    </row>
    <row r="32538" spans="2:2" s="221" customFormat="1" ht="12.75" x14ac:dyDescent="0.2">
      <c r="B32538" s="1168"/>
    </row>
    <row r="32539" spans="2:2" s="221" customFormat="1" ht="12.75" x14ac:dyDescent="0.2">
      <c r="B32539" s="1168"/>
    </row>
    <row r="32540" spans="2:2" s="221" customFormat="1" ht="12.75" x14ac:dyDescent="0.2">
      <c r="B32540" s="1168"/>
    </row>
    <row r="32541" spans="2:2" s="221" customFormat="1" ht="12.75" x14ac:dyDescent="0.2">
      <c r="B32541" s="1168"/>
    </row>
    <row r="32542" spans="2:2" s="221" customFormat="1" ht="12.75" x14ac:dyDescent="0.2">
      <c r="B32542" s="1168"/>
    </row>
    <row r="32543" spans="2:2" s="221" customFormat="1" ht="12.75" x14ac:dyDescent="0.2">
      <c r="B32543" s="1168"/>
    </row>
    <row r="32544" spans="2:2" s="221" customFormat="1" ht="12.75" x14ac:dyDescent="0.2">
      <c r="B32544" s="1168"/>
    </row>
    <row r="32545" spans="2:2" s="221" customFormat="1" ht="12.75" x14ac:dyDescent="0.2">
      <c r="B32545" s="1168"/>
    </row>
    <row r="32546" spans="2:2" s="221" customFormat="1" ht="12.75" x14ac:dyDescent="0.2">
      <c r="B32546" s="1168"/>
    </row>
    <row r="32547" spans="2:2" s="221" customFormat="1" ht="12.75" x14ac:dyDescent="0.2">
      <c r="B32547" s="1168"/>
    </row>
    <row r="32548" spans="2:2" s="221" customFormat="1" ht="12.75" x14ac:dyDescent="0.2">
      <c r="B32548" s="1168"/>
    </row>
    <row r="32549" spans="2:2" s="221" customFormat="1" ht="12.75" x14ac:dyDescent="0.2">
      <c r="B32549" s="1168"/>
    </row>
    <row r="32550" spans="2:2" s="221" customFormat="1" ht="12.75" x14ac:dyDescent="0.2">
      <c r="B32550" s="1168"/>
    </row>
    <row r="32551" spans="2:2" s="221" customFormat="1" ht="12.75" x14ac:dyDescent="0.2">
      <c r="B32551" s="1168"/>
    </row>
    <row r="32552" spans="2:2" s="221" customFormat="1" ht="12.75" x14ac:dyDescent="0.2">
      <c r="B32552" s="1168"/>
    </row>
    <row r="32553" spans="2:2" s="221" customFormat="1" ht="12.75" x14ac:dyDescent="0.2">
      <c r="B32553" s="1168"/>
    </row>
    <row r="32554" spans="2:2" s="221" customFormat="1" ht="12.75" x14ac:dyDescent="0.2">
      <c r="B32554" s="1168"/>
    </row>
    <row r="32555" spans="2:2" s="221" customFormat="1" ht="12.75" x14ac:dyDescent="0.2">
      <c r="B32555" s="1168"/>
    </row>
    <row r="32556" spans="2:2" s="221" customFormat="1" ht="12.75" x14ac:dyDescent="0.2">
      <c r="B32556" s="1168"/>
    </row>
    <row r="32557" spans="2:2" s="221" customFormat="1" ht="12.75" x14ac:dyDescent="0.2">
      <c r="B32557" s="1168"/>
    </row>
    <row r="32558" spans="2:2" s="221" customFormat="1" ht="12.75" x14ac:dyDescent="0.2">
      <c r="B32558" s="1168"/>
    </row>
    <row r="32559" spans="2:2" s="221" customFormat="1" ht="12.75" x14ac:dyDescent="0.2">
      <c r="B32559" s="1168"/>
    </row>
    <row r="32560" spans="2:2" s="221" customFormat="1" ht="12.75" x14ac:dyDescent="0.2">
      <c r="B32560" s="1168"/>
    </row>
    <row r="32561" spans="2:2" s="221" customFormat="1" ht="12.75" x14ac:dyDescent="0.2">
      <c r="B32561" s="1168"/>
    </row>
    <row r="32562" spans="2:2" s="221" customFormat="1" ht="12.75" x14ac:dyDescent="0.2">
      <c r="B32562" s="1168"/>
    </row>
    <row r="32563" spans="2:2" s="221" customFormat="1" ht="12.75" x14ac:dyDescent="0.2">
      <c r="B32563" s="1168"/>
    </row>
    <row r="32564" spans="2:2" s="221" customFormat="1" ht="12.75" x14ac:dyDescent="0.2">
      <c r="B32564" s="1168"/>
    </row>
    <row r="32565" spans="2:2" s="221" customFormat="1" ht="12.75" x14ac:dyDescent="0.2">
      <c r="B32565" s="1168"/>
    </row>
    <row r="32566" spans="2:2" s="221" customFormat="1" ht="12.75" x14ac:dyDescent="0.2">
      <c r="B32566" s="1168"/>
    </row>
    <row r="32567" spans="2:2" s="221" customFormat="1" ht="12.75" x14ac:dyDescent="0.2">
      <c r="B32567" s="1168"/>
    </row>
    <row r="32568" spans="2:2" s="221" customFormat="1" ht="12.75" x14ac:dyDescent="0.2">
      <c r="B32568" s="1168"/>
    </row>
    <row r="32569" spans="2:2" s="221" customFormat="1" ht="12.75" x14ac:dyDescent="0.2">
      <c r="B32569" s="1168"/>
    </row>
    <row r="32570" spans="2:2" s="221" customFormat="1" ht="12.75" x14ac:dyDescent="0.2">
      <c r="B32570" s="1168"/>
    </row>
    <row r="32571" spans="2:2" s="221" customFormat="1" ht="12.75" x14ac:dyDescent="0.2">
      <c r="B32571" s="1168"/>
    </row>
    <row r="32572" spans="2:2" s="221" customFormat="1" ht="12.75" x14ac:dyDescent="0.2">
      <c r="B32572" s="1168"/>
    </row>
    <row r="32573" spans="2:2" s="221" customFormat="1" ht="12.75" x14ac:dyDescent="0.2">
      <c r="B32573" s="1168"/>
    </row>
    <row r="32574" spans="2:2" s="221" customFormat="1" ht="12.75" x14ac:dyDescent="0.2">
      <c r="B32574" s="1168"/>
    </row>
    <row r="32575" spans="2:2" s="221" customFormat="1" ht="12.75" x14ac:dyDescent="0.2">
      <c r="B32575" s="1168"/>
    </row>
    <row r="32576" spans="2:2" s="221" customFormat="1" ht="12.75" x14ac:dyDescent="0.2">
      <c r="B32576" s="1168"/>
    </row>
    <row r="32577" spans="2:2" s="221" customFormat="1" ht="12.75" x14ac:dyDescent="0.2">
      <c r="B32577" s="1168"/>
    </row>
    <row r="32578" spans="2:2" s="221" customFormat="1" ht="12.75" x14ac:dyDescent="0.2">
      <c r="B32578" s="1168"/>
    </row>
    <row r="32579" spans="2:2" s="221" customFormat="1" ht="12.75" x14ac:dyDescent="0.2">
      <c r="B32579" s="1168"/>
    </row>
    <row r="32580" spans="2:2" s="221" customFormat="1" ht="12.75" x14ac:dyDescent="0.2">
      <c r="B32580" s="1168"/>
    </row>
    <row r="32581" spans="2:2" s="221" customFormat="1" ht="12.75" x14ac:dyDescent="0.2">
      <c r="B32581" s="1168"/>
    </row>
    <row r="32582" spans="2:2" s="221" customFormat="1" ht="12.75" x14ac:dyDescent="0.2">
      <c r="B32582" s="1168"/>
    </row>
    <row r="32583" spans="2:2" s="221" customFormat="1" ht="12.75" x14ac:dyDescent="0.2">
      <c r="B32583" s="1168"/>
    </row>
    <row r="32584" spans="2:2" s="221" customFormat="1" ht="12.75" x14ac:dyDescent="0.2">
      <c r="B32584" s="1168"/>
    </row>
    <row r="32585" spans="2:2" s="221" customFormat="1" ht="12.75" x14ac:dyDescent="0.2">
      <c r="B32585" s="1168"/>
    </row>
    <row r="32586" spans="2:2" s="221" customFormat="1" ht="12.75" x14ac:dyDescent="0.2">
      <c r="B32586" s="1168"/>
    </row>
    <row r="32587" spans="2:2" s="221" customFormat="1" ht="12.75" x14ac:dyDescent="0.2">
      <c r="B32587" s="1168"/>
    </row>
    <row r="32588" spans="2:2" s="221" customFormat="1" ht="12.75" x14ac:dyDescent="0.2">
      <c r="B32588" s="1168"/>
    </row>
    <row r="32589" spans="2:2" s="221" customFormat="1" ht="12.75" x14ac:dyDescent="0.2">
      <c r="B32589" s="1168"/>
    </row>
    <row r="32590" spans="2:2" s="221" customFormat="1" ht="12.75" x14ac:dyDescent="0.2">
      <c r="B32590" s="1168"/>
    </row>
    <row r="32591" spans="2:2" s="221" customFormat="1" ht="12.75" x14ac:dyDescent="0.2">
      <c r="B32591" s="1168"/>
    </row>
    <row r="32592" spans="2:2" s="221" customFormat="1" ht="12.75" x14ac:dyDescent="0.2">
      <c r="B32592" s="1168"/>
    </row>
    <row r="32593" spans="2:2" s="221" customFormat="1" ht="12.75" x14ac:dyDescent="0.2">
      <c r="B32593" s="1168"/>
    </row>
    <row r="32594" spans="2:2" s="221" customFormat="1" ht="12.75" x14ac:dyDescent="0.2">
      <c r="B32594" s="1168"/>
    </row>
    <row r="32595" spans="2:2" s="221" customFormat="1" ht="12.75" x14ac:dyDescent="0.2">
      <c r="B32595" s="1168"/>
    </row>
    <row r="32596" spans="2:2" s="221" customFormat="1" ht="12.75" x14ac:dyDescent="0.2">
      <c r="B32596" s="1168"/>
    </row>
    <row r="32597" spans="2:2" s="221" customFormat="1" ht="12.75" x14ac:dyDescent="0.2">
      <c r="B32597" s="1168"/>
    </row>
    <row r="32598" spans="2:2" s="221" customFormat="1" ht="12.75" x14ac:dyDescent="0.2">
      <c r="B32598" s="1168"/>
    </row>
    <row r="32599" spans="2:2" s="221" customFormat="1" ht="12.75" x14ac:dyDescent="0.2">
      <c r="B32599" s="1168"/>
    </row>
    <row r="32600" spans="2:2" s="221" customFormat="1" ht="12.75" x14ac:dyDescent="0.2">
      <c r="B32600" s="1168"/>
    </row>
    <row r="32601" spans="2:2" s="221" customFormat="1" ht="12.75" x14ac:dyDescent="0.2">
      <c r="B32601" s="1168"/>
    </row>
    <row r="32602" spans="2:2" s="221" customFormat="1" ht="12.75" x14ac:dyDescent="0.2">
      <c r="B32602" s="1168"/>
    </row>
    <row r="32603" spans="2:2" s="221" customFormat="1" ht="12.75" x14ac:dyDescent="0.2">
      <c r="B32603" s="1168"/>
    </row>
    <row r="32604" spans="2:2" s="221" customFormat="1" ht="12.75" x14ac:dyDescent="0.2">
      <c r="B32604" s="1168"/>
    </row>
    <row r="32605" spans="2:2" s="221" customFormat="1" ht="12.75" x14ac:dyDescent="0.2">
      <c r="B32605" s="1168"/>
    </row>
    <row r="32606" spans="2:2" s="221" customFormat="1" ht="12.75" x14ac:dyDescent="0.2">
      <c r="B32606" s="1168"/>
    </row>
    <row r="32607" spans="2:2" s="221" customFormat="1" ht="12.75" x14ac:dyDescent="0.2">
      <c r="B32607" s="1168"/>
    </row>
    <row r="32608" spans="2:2" s="221" customFormat="1" ht="12.75" x14ac:dyDescent="0.2">
      <c r="B32608" s="1168"/>
    </row>
    <row r="32609" spans="2:2" s="221" customFormat="1" ht="12.75" x14ac:dyDescent="0.2">
      <c r="B32609" s="1168"/>
    </row>
    <row r="32610" spans="2:2" s="221" customFormat="1" ht="12.75" x14ac:dyDescent="0.2">
      <c r="B32610" s="1168"/>
    </row>
    <row r="32611" spans="2:2" s="221" customFormat="1" ht="12.75" x14ac:dyDescent="0.2">
      <c r="B32611" s="1168"/>
    </row>
    <row r="32612" spans="2:2" s="221" customFormat="1" ht="12.75" x14ac:dyDescent="0.2">
      <c r="B32612" s="1168"/>
    </row>
    <row r="32613" spans="2:2" s="221" customFormat="1" ht="12.75" x14ac:dyDescent="0.2">
      <c r="B32613" s="1168"/>
    </row>
    <row r="32614" spans="2:2" s="221" customFormat="1" ht="12.75" x14ac:dyDescent="0.2">
      <c r="B32614" s="1168"/>
    </row>
    <row r="32615" spans="2:2" s="221" customFormat="1" ht="12.75" x14ac:dyDescent="0.2">
      <c r="B32615" s="1168"/>
    </row>
    <row r="32616" spans="2:2" s="221" customFormat="1" ht="12.75" x14ac:dyDescent="0.2">
      <c r="B32616" s="1168"/>
    </row>
    <row r="32617" spans="2:2" s="221" customFormat="1" ht="12.75" x14ac:dyDescent="0.2">
      <c r="B32617" s="1168"/>
    </row>
    <row r="32618" spans="2:2" s="221" customFormat="1" ht="12.75" x14ac:dyDescent="0.2">
      <c r="B32618" s="1168"/>
    </row>
    <row r="32619" spans="2:2" s="221" customFormat="1" ht="12.75" x14ac:dyDescent="0.2">
      <c r="B32619" s="1168"/>
    </row>
    <row r="32620" spans="2:2" s="221" customFormat="1" ht="12.75" x14ac:dyDescent="0.2">
      <c r="B32620" s="1168"/>
    </row>
    <row r="32621" spans="2:2" s="221" customFormat="1" ht="12.75" x14ac:dyDescent="0.2">
      <c r="B32621" s="1168"/>
    </row>
    <row r="32622" spans="2:2" s="221" customFormat="1" ht="12.75" x14ac:dyDescent="0.2">
      <c r="B32622" s="1168"/>
    </row>
    <row r="32623" spans="2:2" s="221" customFormat="1" ht="12.75" x14ac:dyDescent="0.2">
      <c r="B32623" s="1168"/>
    </row>
    <row r="32624" spans="2:2" s="221" customFormat="1" ht="12.75" x14ac:dyDescent="0.2">
      <c r="B32624" s="1168"/>
    </row>
    <row r="32625" spans="2:2" s="221" customFormat="1" ht="12.75" x14ac:dyDescent="0.2">
      <c r="B32625" s="1168"/>
    </row>
    <row r="32626" spans="2:2" s="221" customFormat="1" ht="12.75" x14ac:dyDescent="0.2">
      <c r="B32626" s="1168"/>
    </row>
    <row r="32627" spans="2:2" s="221" customFormat="1" ht="12.75" x14ac:dyDescent="0.2">
      <c r="B32627" s="1168"/>
    </row>
    <row r="32628" spans="2:2" s="221" customFormat="1" ht="12.75" x14ac:dyDescent="0.2">
      <c r="B32628" s="1168"/>
    </row>
    <row r="32629" spans="2:2" s="221" customFormat="1" ht="12.75" x14ac:dyDescent="0.2">
      <c r="B32629" s="1168"/>
    </row>
    <row r="32630" spans="2:2" s="221" customFormat="1" ht="12.75" x14ac:dyDescent="0.2">
      <c r="B32630" s="1168"/>
    </row>
    <row r="32631" spans="2:2" s="221" customFormat="1" ht="12.75" x14ac:dyDescent="0.2">
      <c r="B32631" s="1168"/>
    </row>
    <row r="32632" spans="2:2" s="221" customFormat="1" ht="12.75" x14ac:dyDescent="0.2">
      <c r="B32632" s="1168"/>
    </row>
    <row r="32633" spans="2:2" s="221" customFormat="1" ht="12.75" x14ac:dyDescent="0.2">
      <c r="B32633" s="1168"/>
    </row>
    <row r="32634" spans="2:2" s="221" customFormat="1" ht="12.75" x14ac:dyDescent="0.2">
      <c r="B32634" s="1168"/>
    </row>
    <row r="32635" spans="2:2" s="221" customFormat="1" ht="12.75" x14ac:dyDescent="0.2">
      <c r="B32635" s="1168"/>
    </row>
    <row r="32636" spans="2:2" s="221" customFormat="1" ht="12.75" x14ac:dyDescent="0.2">
      <c r="B32636" s="1168"/>
    </row>
    <row r="32637" spans="2:2" s="221" customFormat="1" ht="12.75" x14ac:dyDescent="0.2">
      <c r="B32637" s="1168"/>
    </row>
    <row r="32638" spans="2:2" s="221" customFormat="1" ht="12.75" x14ac:dyDescent="0.2">
      <c r="B32638" s="1168"/>
    </row>
    <row r="32639" spans="2:2" s="221" customFormat="1" ht="12.75" x14ac:dyDescent="0.2">
      <c r="B32639" s="1168"/>
    </row>
    <row r="32640" spans="2:2" s="221" customFormat="1" ht="12.75" x14ac:dyDescent="0.2">
      <c r="B32640" s="1168"/>
    </row>
    <row r="32641" spans="2:2" s="221" customFormat="1" ht="12.75" x14ac:dyDescent="0.2">
      <c r="B32641" s="1168"/>
    </row>
    <row r="32642" spans="2:2" s="221" customFormat="1" ht="12.75" x14ac:dyDescent="0.2">
      <c r="B32642" s="1168"/>
    </row>
    <row r="32643" spans="2:2" s="221" customFormat="1" ht="12.75" x14ac:dyDescent="0.2">
      <c r="B32643" s="1168"/>
    </row>
    <row r="32644" spans="2:2" s="221" customFormat="1" ht="12.75" x14ac:dyDescent="0.2">
      <c r="B32644" s="1168"/>
    </row>
    <row r="32645" spans="2:2" s="221" customFormat="1" ht="12.75" x14ac:dyDescent="0.2">
      <c r="B32645" s="1168"/>
    </row>
    <row r="32646" spans="2:2" s="221" customFormat="1" ht="12.75" x14ac:dyDescent="0.2">
      <c r="B32646" s="1168"/>
    </row>
    <row r="32647" spans="2:2" s="221" customFormat="1" ht="12.75" x14ac:dyDescent="0.2">
      <c r="B32647" s="1168"/>
    </row>
    <row r="32648" spans="2:2" s="221" customFormat="1" ht="12.75" x14ac:dyDescent="0.2">
      <c r="B32648" s="1168"/>
    </row>
    <row r="32649" spans="2:2" s="221" customFormat="1" ht="12.75" x14ac:dyDescent="0.2">
      <c r="B32649" s="1168"/>
    </row>
    <row r="32650" spans="2:2" s="221" customFormat="1" ht="12.75" x14ac:dyDescent="0.2">
      <c r="B32650" s="1168"/>
    </row>
    <row r="32651" spans="2:2" s="221" customFormat="1" ht="12.75" x14ac:dyDescent="0.2">
      <c r="B32651" s="1168"/>
    </row>
    <row r="32652" spans="2:2" s="221" customFormat="1" ht="12.75" x14ac:dyDescent="0.2">
      <c r="B32652" s="1168"/>
    </row>
    <row r="32653" spans="2:2" s="221" customFormat="1" ht="12.75" x14ac:dyDescent="0.2">
      <c r="B32653" s="1168"/>
    </row>
    <row r="32654" spans="2:2" s="221" customFormat="1" ht="12.75" x14ac:dyDescent="0.2">
      <c r="B32654" s="1168"/>
    </row>
    <row r="32655" spans="2:2" s="221" customFormat="1" ht="12.75" x14ac:dyDescent="0.2">
      <c r="B32655" s="1168"/>
    </row>
    <row r="32656" spans="2:2" s="221" customFormat="1" ht="12.75" x14ac:dyDescent="0.2">
      <c r="B32656" s="1168"/>
    </row>
    <row r="32657" spans="2:2" s="221" customFormat="1" ht="12.75" x14ac:dyDescent="0.2">
      <c r="B32657" s="1168"/>
    </row>
    <row r="32658" spans="2:2" s="221" customFormat="1" ht="12.75" x14ac:dyDescent="0.2">
      <c r="B32658" s="1168"/>
    </row>
    <row r="32659" spans="2:2" s="221" customFormat="1" ht="12.75" x14ac:dyDescent="0.2">
      <c r="B32659" s="1168"/>
    </row>
    <row r="32660" spans="2:2" s="221" customFormat="1" ht="12.75" x14ac:dyDescent="0.2">
      <c r="B32660" s="1168"/>
    </row>
    <row r="32661" spans="2:2" s="221" customFormat="1" ht="12.75" x14ac:dyDescent="0.2">
      <c r="B32661" s="1168"/>
    </row>
    <row r="32662" spans="2:2" s="221" customFormat="1" ht="12.75" x14ac:dyDescent="0.2">
      <c r="B32662" s="1168"/>
    </row>
    <row r="32663" spans="2:2" s="221" customFormat="1" ht="12.75" x14ac:dyDescent="0.2">
      <c r="B32663" s="1168"/>
    </row>
    <row r="32664" spans="2:2" s="221" customFormat="1" ht="12.75" x14ac:dyDescent="0.2">
      <c r="B32664" s="1168"/>
    </row>
    <row r="32665" spans="2:2" s="221" customFormat="1" ht="12.75" x14ac:dyDescent="0.2">
      <c r="B32665" s="1168"/>
    </row>
    <row r="32666" spans="2:2" s="221" customFormat="1" ht="12.75" x14ac:dyDescent="0.2">
      <c r="B32666" s="1168"/>
    </row>
    <row r="32667" spans="2:2" s="221" customFormat="1" ht="12.75" x14ac:dyDescent="0.2">
      <c r="B32667" s="1168"/>
    </row>
    <row r="32668" spans="2:2" s="221" customFormat="1" ht="12.75" x14ac:dyDescent="0.2">
      <c r="B32668" s="1168"/>
    </row>
    <row r="32669" spans="2:2" s="221" customFormat="1" ht="12.75" x14ac:dyDescent="0.2">
      <c r="B32669" s="1168"/>
    </row>
    <row r="32670" spans="2:2" s="221" customFormat="1" ht="12.75" x14ac:dyDescent="0.2">
      <c r="B32670" s="1168"/>
    </row>
    <row r="32671" spans="2:2" s="221" customFormat="1" ht="12.75" x14ac:dyDescent="0.2">
      <c r="B32671" s="1168"/>
    </row>
    <row r="32672" spans="2:2" s="221" customFormat="1" ht="12.75" x14ac:dyDescent="0.2">
      <c r="B32672" s="1168"/>
    </row>
    <row r="32673" spans="2:2" s="221" customFormat="1" ht="12.75" x14ac:dyDescent="0.2">
      <c r="B32673" s="1168"/>
    </row>
    <row r="32674" spans="2:2" s="221" customFormat="1" ht="12.75" x14ac:dyDescent="0.2">
      <c r="B32674" s="1168"/>
    </row>
    <row r="32675" spans="2:2" s="221" customFormat="1" ht="12.75" x14ac:dyDescent="0.2">
      <c r="B32675" s="1168"/>
    </row>
    <row r="32676" spans="2:2" s="221" customFormat="1" ht="12.75" x14ac:dyDescent="0.2">
      <c r="B32676" s="1168"/>
    </row>
    <row r="32677" spans="2:2" s="221" customFormat="1" ht="12.75" x14ac:dyDescent="0.2">
      <c r="B32677" s="1168"/>
    </row>
    <row r="32678" spans="2:2" s="221" customFormat="1" ht="12.75" x14ac:dyDescent="0.2">
      <c r="B32678" s="1168"/>
    </row>
    <row r="32679" spans="2:2" s="221" customFormat="1" ht="12.75" x14ac:dyDescent="0.2">
      <c r="B32679" s="1168"/>
    </row>
    <row r="32680" spans="2:2" s="221" customFormat="1" ht="12.75" x14ac:dyDescent="0.2">
      <c r="B32680" s="1168"/>
    </row>
    <row r="32681" spans="2:2" s="221" customFormat="1" ht="12.75" x14ac:dyDescent="0.2">
      <c r="B32681" s="1168"/>
    </row>
    <row r="32682" spans="2:2" s="221" customFormat="1" ht="12.75" x14ac:dyDescent="0.2">
      <c r="B32682" s="1168"/>
    </row>
    <row r="32683" spans="2:2" s="221" customFormat="1" ht="12.75" x14ac:dyDescent="0.2">
      <c r="B32683" s="1168"/>
    </row>
    <row r="32684" spans="2:2" s="221" customFormat="1" ht="12.75" x14ac:dyDescent="0.2">
      <c r="B32684" s="1168"/>
    </row>
    <row r="32685" spans="2:2" s="221" customFormat="1" ht="12.75" x14ac:dyDescent="0.2">
      <c r="B32685" s="1168"/>
    </row>
    <row r="32686" spans="2:2" s="221" customFormat="1" ht="12.75" x14ac:dyDescent="0.2">
      <c r="B32686" s="1168"/>
    </row>
    <row r="32687" spans="2:2" s="221" customFormat="1" ht="12.75" x14ac:dyDescent="0.2">
      <c r="B32687" s="1168"/>
    </row>
    <row r="32688" spans="2:2" s="221" customFormat="1" ht="12.75" x14ac:dyDescent="0.2">
      <c r="B32688" s="1168"/>
    </row>
    <row r="32689" spans="2:2" s="221" customFormat="1" ht="12.75" x14ac:dyDescent="0.2">
      <c r="B32689" s="1168"/>
    </row>
    <row r="32690" spans="2:2" s="221" customFormat="1" ht="12.75" x14ac:dyDescent="0.2">
      <c r="B32690" s="1168"/>
    </row>
    <row r="32691" spans="2:2" s="221" customFormat="1" ht="12.75" x14ac:dyDescent="0.2">
      <c r="B32691" s="1168"/>
    </row>
    <row r="32692" spans="2:2" s="221" customFormat="1" ht="12.75" x14ac:dyDescent="0.2">
      <c r="B32692" s="1168"/>
    </row>
    <row r="32693" spans="2:2" s="221" customFormat="1" ht="12.75" x14ac:dyDescent="0.2">
      <c r="B32693" s="1168"/>
    </row>
    <row r="32694" spans="2:2" s="221" customFormat="1" ht="12.75" x14ac:dyDescent="0.2">
      <c r="B32694" s="1168"/>
    </row>
    <row r="32695" spans="2:2" s="221" customFormat="1" ht="12.75" x14ac:dyDescent="0.2">
      <c r="B32695" s="1168"/>
    </row>
    <row r="32696" spans="2:2" s="221" customFormat="1" ht="12.75" x14ac:dyDescent="0.2">
      <c r="B32696" s="1168"/>
    </row>
    <row r="32697" spans="2:2" s="221" customFormat="1" ht="12.75" x14ac:dyDescent="0.2">
      <c r="B32697" s="1168"/>
    </row>
    <row r="32698" spans="2:2" s="221" customFormat="1" ht="12.75" x14ac:dyDescent="0.2">
      <c r="B32698" s="1168"/>
    </row>
    <row r="32699" spans="2:2" s="221" customFormat="1" ht="12.75" x14ac:dyDescent="0.2">
      <c r="B32699" s="1168"/>
    </row>
    <row r="32700" spans="2:2" s="221" customFormat="1" ht="12.75" x14ac:dyDescent="0.2">
      <c r="B32700" s="1168"/>
    </row>
    <row r="32701" spans="2:2" s="221" customFormat="1" ht="12.75" x14ac:dyDescent="0.2">
      <c r="B32701" s="1168"/>
    </row>
    <row r="32702" spans="2:2" s="221" customFormat="1" ht="12.75" x14ac:dyDescent="0.2">
      <c r="B32702" s="1168"/>
    </row>
    <row r="32703" spans="2:2" s="221" customFormat="1" ht="12.75" x14ac:dyDescent="0.2">
      <c r="B32703" s="1168"/>
    </row>
    <row r="32704" spans="2:2" s="221" customFormat="1" ht="12.75" x14ac:dyDescent="0.2">
      <c r="B32704" s="1168"/>
    </row>
    <row r="32705" spans="2:2" s="221" customFormat="1" ht="12.75" x14ac:dyDescent="0.2">
      <c r="B32705" s="1168"/>
    </row>
    <row r="32706" spans="2:2" s="221" customFormat="1" ht="12.75" x14ac:dyDescent="0.2">
      <c r="B32706" s="1168"/>
    </row>
    <row r="32707" spans="2:2" s="221" customFormat="1" ht="12.75" x14ac:dyDescent="0.2">
      <c r="B32707" s="1168"/>
    </row>
    <row r="32708" spans="2:2" s="221" customFormat="1" ht="12.75" x14ac:dyDescent="0.2">
      <c r="B32708" s="1168"/>
    </row>
    <row r="32709" spans="2:2" s="221" customFormat="1" ht="12.75" x14ac:dyDescent="0.2">
      <c r="B32709" s="1168"/>
    </row>
    <row r="32710" spans="2:2" s="221" customFormat="1" ht="12.75" x14ac:dyDescent="0.2">
      <c r="B32710" s="1168"/>
    </row>
    <row r="32711" spans="2:2" s="221" customFormat="1" ht="12.75" x14ac:dyDescent="0.2">
      <c r="B32711" s="1168"/>
    </row>
    <row r="32712" spans="2:2" s="221" customFormat="1" ht="12.75" x14ac:dyDescent="0.2">
      <c r="B32712" s="1168"/>
    </row>
    <row r="32713" spans="2:2" s="221" customFormat="1" ht="12.75" x14ac:dyDescent="0.2">
      <c r="B32713" s="1168"/>
    </row>
    <row r="32714" spans="2:2" s="221" customFormat="1" ht="12.75" x14ac:dyDescent="0.2">
      <c r="B32714" s="1168"/>
    </row>
    <row r="32715" spans="2:2" s="221" customFormat="1" ht="12.75" x14ac:dyDescent="0.2">
      <c r="B32715" s="1168"/>
    </row>
    <row r="32716" spans="2:2" s="221" customFormat="1" ht="12.75" x14ac:dyDescent="0.2">
      <c r="B32716" s="1168"/>
    </row>
    <row r="32717" spans="2:2" s="221" customFormat="1" ht="12.75" x14ac:dyDescent="0.2">
      <c r="B32717" s="1168"/>
    </row>
    <row r="32718" spans="2:2" s="221" customFormat="1" ht="12.75" x14ac:dyDescent="0.2">
      <c r="B32718" s="1168"/>
    </row>
    <row r="32719" spans="2:2" s="221" customFormat="1" ht="12.75" x14ac:dyDescent="0.2">
      <c r="B32719" s="1168"/>
    </row>
    <row r="32720" spans="2:2" s="221" customFormat="1" ht="12.75" x14ac:dyDescent="0.2">
      <c r="B32720" s="1168"/>
    </row>
    <row r="32721" spans="2:2" s="221" customFormat="1" ht="12.75" x14ac:dyDescent="0.2">
      <c r="B32721" s="1168"/>
    </row>
    <row r="32722" spans="2:2" s="221" customFormat="1" ht="12.75" x14ac:dyDescent="0.2">
      <c r="B32722" s="1168"/>
    </row>
    <row r="32723" spans="2:2" s="221" customFormat="1" ht="12.75" x14ac:dyDescent="0.2">
      <c r="B32723" s="1168"/>
    </row>
    <row r="32724" spans="2:2" s="221" customFormat="1" ht="12.75" x14ac:dyDescent="0.2">
      <c r="B32724" s="1168"/>
    </row>
    <row r="32725" spans="2:2" s="221" customFormat="1" ht="12.75" x14ac:dyDescent="0.2">
      <c r="B32725" s="1168"/>
    </row>
    <row r="32726" spans="2:2" s="221" customFormat="1" ht="12.75" x14ac:dyDescent="0.2">
      <c r="B32726" s="1168"/>
    </row>
    <row r="32727" spans="2:2" s="221" customFormat="1" ht="12.75" x14ac:dyDescent="0.2">
      <c r="B32727" s="1168"/>
    </row>
    <row r="32728" spans="2:2" s="221" customFormat="1" ht="12.75" x14ac:dyDescent="0.2">
      <c r="B32728" s="1168"/>
    </row>
    <row r="32729" spans="2:2" s="221" customFormat="1" ht="12.75" x14ac:dyDescent="0.2">
      <c r="B32729" s="1168"/>
    </row>
    <row r="32730" spans="2:2" s="221" customFormat="1" ht="12.75" x14ac:dyDescent="0.2">
      <c r="B32730" s="1168"/>
    </row>
    <row r="32731" spans="2:2" s="221" customFormat="1" ht="12.75" x14ac:dyDescent="0.2">
      <c r="B32731" s="1168"/>
    </row>
    <row r="32732" spans="2:2" s="221" customFormat="1" ht="12.75" x14ac:dyDescent="0.2">
      <c r="B32732" s="1168"/>
    </row>
    <row r="32733" spans="2:2" s="221" customFormat="1" ht="12.75" x14ac:dyDescent="0.2">
      <c r="B32733" s="1168"/>
    </row>
    <row r="32734" spans="2:2" s="221" customFormat="1" ht="12.75" x14ac:dyDescent="0.2">
      <c r="B32734" s="1168"/>
    </row>
    <row r="32735" spans="2:2" s="221" customFormat="1" ht="12.75" x14ac:dyDescent="0.2">
      <c r="B32735" s="1168"/>
    </row>
    <row r="32736" spans="2:2" s="221" customFormat="1" ht="12.75" x14ac:dyDescent="0.2">
      <c r="B32736" s="1168"/>
    </row>
    <row r="32737" spans="2:2" s="221" customFormat="1" ht="12.75" x14ac:dyDescent="0.2">
      <c r="B32737" s="1168"/>
    </row>
    <row r="32738" spans="2:2" s="221" customFormat="1" ht="12.75" x14ac:dyDescent="0.2">
      <c r="B32738" s="1168"/>
    </row>
    <row r="32739" spans="2:2" s="221" customFormat="1" ht="12.75" x14ac:dyDescent="0.2">
      <c r="B32739" s="1168"/>
    </row>
    <row r="32740" spans="2:2" s="221" customFormat="1" ht="12.75" x14ac:dyDescent="0.2">
      <c r="B32740" s="1168"/>
    </row>
    <row r="32741" spans="2:2" s="221" customFormat="1" ht="12.75" x14ac:dyDescent="0.2">
      <c r="B32741" s="1168"/>
    </row>
    <row r="32742" spans="2:2" s="221" customFormat="1" ht="12.75" x14ac:dyDescent="0.2">
      <c r="B32742" s="1168"/>
    </row>
    <row r="32743" spans="2:2" s="221" customFormat="1" ht="12.75" x14ac:dyDescent="0.2">
      <c r="B32743" s="1168"/>
    </row>
    <row r="32744" spans="2:2" s="221" customFormat="1" ht="12.75" x14ac:dyDescent="0.2">
      <c r="B32744" s="1168"/>
    </row>
    <row r="32745" spans="2:2" s="221" customFormat="1" ht="12.75" x14ac:dyDescent="0.2">
      <c r="B32745" s="1168"/>
    </row>
    <row r="32746" spans="2:2" s="221" customFormat="1" ht="12.75" x14ac:dyDescent="0.2">
      <c r="B32746" s="1168"/>
    </row>
    <row r="32747" spans="2:2" s="221" customFormat="1" ht="12.75" x14ac:dyDescent="0.2">
      <c r="B32747" s="1168"/>
    </row>
    <row r="32748" spans="2:2" s="221" customFormat="1" ht="12.75" x14ac:dyDescent="0.2">
      <c r="B32748" s="1168"/>
    </row>
    <row r="32749" spans="2:2" s="221" customFormat="1" ht="12.75" x14ac:dyDescent="0.2">
      <c r="B32749" s="1168"/>
    </row>
    <row r="32750" spans="2:2" s="221" customFormat="1" ht="12.75" x14ac:dyDescent="0.2">
      <c r="B32750" s="1168"/>
    </row>
    <row r="32751" spans="2:2" s="221" customFormat="1" ht="12.75" x14ac:dyDescent="0.2">
      <c r="B32751" s="1168"/>
    </row>
    <row r="32752" spans="2:2" s="221" customFormat="1" ht="12.75" x14ac:dyDescent="0.2">
      <c r="B32752" s="1168"/>
    </row>
    <row r="32753" spans="2:2" s="221" customFormat="1" ht="12.75" x14ac:dyDescent="0.2">
      <c r="B32753" s="1168"/>
    </row>
    <row r="32754" spans="2:2" s="221" customFormat="1" ht="12.75" x14ac:dyDescent="0.2">
      <c r="B32754" s="1168"/>
    </row>
    <row r="32755" spans="2:2" s="221" customFormat="1" ht="12.75" x14ac:dyDescent="0.2">
      <c r="B32755" s="1168"/>
    </row>
    <row r="32756" spans="2:2" s="221" customFormat="1" ht="12.75" x14ac:dyDescent="0.2">
      <c r="B32756" s="1168"/>
    </row>
    <row r="32757" spans="2:2" s="221" customFormat="1" ht="12.75" x14ac:dyDescent="0.2">
      <c r="B32757" s="1168"/>
    </row>
    <row r="32758" spans="2:2" s="221" customFormat="1" ht="12.75" x14ac:dyDescent="0.2">
      <c r="B32758" s="1168"/>
    </row>
    <row r="32759" spans="2:2" s="221" customFormat="1" ht="12.75" x14ac:dyDescent="0.2">
      <c r="B32759" s="1168"/>
    </row>
    <row r="32760" spans="2:2" s="221" customFormat="1" ht="12.75" x14ac:dyDescent="0.2">
      <c r="B32760" s="1168"/>
    </row>
    <row r="32761" spans="2:2" s="221" customFormat="1" ht="12.75" x14ac:dyDescent="0.2">
      <c r="B32761" s="1168"/>
    </row>
    <row r="32762" spans="2:2" s="221" customFormat="1" ht="12.75" x14ac:dyDescent="0.2">
      <c r="B32762" s="1168"/>
    </row>
    <row r="32763" spans="2:2" s="221" customFormat="1" ht="12.75" x14ac:dyDescent="0.2">
      <c r="B32763" s="1168"/>
    </row>
    <row r="32764" spans="2:2" s="221" customFormat="1" ht="12.75" x14ac:dyDescent="0.2">
      <c r="B32764" s="1168"/>
    </row>
    <row r="32765" spans="2:2" s="221" customFormat="1" ht="12.75" x14ac:dyDescent="0.2">
      <c r="B32765" s="1168"/>
    </row>
    <row r="32766" spans="2:2" s="221" customFormat="1" ht="12.75" x14ac:dyDescent="0.2">
      <c r="B32766" s="1168"/>
    </row>
    <row r="32767" spans="2:2" s="221" customFormat="1" ht="12.75" x14ac:dyDescent="0.2">
      <c r="B32767" s="1168"/>
    </row>
    <row r="32768" spans="2:2" s="221" customFormat="1" ht="12.75" x14ac:dyDescent="0.2">
      <c r="B32768" s="1168"/>
    </row>
    <row r="32769" spans="2:2" s="221" customFormat="1" ht="12.75" x14ac:dyDescent="0.2">
      <c r="B32769" s="1168"/>
    </row>
    <row r="32770" spans="2:2" s="221" customFormat="1" ht="12.75" x14ac:dyDescent="0.2">
      <c r="B32770" s="1168"/>
    </row>
    <row r="32771" spans="2:2" s="221" customFormat="1" ht="12.75" x14ac:dyDescent="0.2">
      <c r="B32771" s="1168"/>
    </row>
    <row r="32772" spans="2:2" s="221" customFormat="1" ht="12.75" x14ac:dyDescent="0.2">
      <c r="B32772" s="1168"/>
    </row>
    <row r="32773" spans="2:2" s="221" customFormat="1" ht="12.75" x14ac:dyDescent="0.2">
      <c r="B32773" s="1168"/>
    </row>
    <row r="32774" spans="2:2" s="221" customFormat="1" ht="12.75" x14ac:dyDescent="0.2">
      <c r="B32774" s="1168"/>
    </row>
    <row r="32775" spans="2:2" s="221" customFormat="1" ht="12.75" x14ac:dyDescent="0.2">
      <c r="B32775" s="1168"/>
    </row>
    <row r="32776" spans="2:2" s="221" customFormat="1" ht="12.75" x14ac:dyDescent="0.2">
      <c r="B32776" s="1168"/>
    </row>
    <row r="32777" spans="2:2" s="221" customFormat="1" ht="12.75" x14ac:dyDescent="0.2">
      <c r="B32777" s="1168"/>
    </row>
    <row r="32778" spans="2:2" s="221" customFormat="1" ht="12.75" x14ac:dyDescent="0.2">
      <c r="B32778" s="1168"/>
    </row>
    <row r="32779" spans="2:2" s="221" customFormat="1" ht="12.75" x14ac:dyDescent="0.2">
      <c r="B32779" s="1168"/>
    </row>
    <row r="32780" spans="2:2" s="221" customFormat="1" ht="12.75" x14ac:dyDescent="0.2">
      <c r="B32780" s="1168"/>
    </row>
    <row r="32781" spans="2:2" s="221" customFormat="1" ht="12.75" x14ac:dyDescent="0.2">
      <c r="B32781" s="1168"/>
    </row>
    <row r="32782" spans="2:2" s="221" customFormat="1" ht="12.75" x14ac:dyDescent="0.2">
      <c r="B32782" s="1168"/>
    </row>
    <row r="32783" spans="2:2" s="221" customFormat="1" ht="12.75" x14ac:dyDescent="0.2">
      <c r="B32783" s="1168"/>
    </row>
    <row r="32784" spans="2:2" s="221" customFormat="1" ht="12.75" x14ac:dyDescent="0.2">
      <c r="B32784" s="1168"/>
    </row>
    <row r="32785" spans="2:2" s="221" customFormat="1" ht="12.75" x14ac:dyDescent="0.2">
      <c r="B32785" s="1168"/>
    </row>
    <row r="32786" spans="2:2" s="221" customFormat="1" ht="12.75" x14ac:dyDescent="0.2">
      <c r="B32786" s="1168"/>
    </row>
    <row r="32787" spans="2:2" s="221" customFormat="1" ht="12.75" x14ac:dyDescent="0.2">
      <c r="B32787" s="1168"/>
    </row>
    <row r="32788" spans="2:2" s="221" customFormat="1" ht="12.75" x14ac:dyDescent="0.2">
      <c r="B32788" s="1168"/>
    </row>
    <row r="32789" spans="2:2" s="221" customFormat="1" ht="12.75" x14ac:dyDescent="0.2">
      <c r="B32789" s="1168"/>
    </row>
    <row r="32790" spans="2:2" s="221" customFormat="1" ht="12.75" x14ac:dyDescent="0.2">
      <c r="B32790" s="1168"/>
    </row>
    <row r="32791" spans="2:2" s="221" customFormat="1" ht="12.75" x14ac:dyDescent="0.2">
      <c r="B32791" s="1168"/>
    </row>
    <row r="32792" spans="2:2" s="221" customFormat="1" ht="12.75" x14ac:dyDescent="0.2">
      <c r="B32792" s="1168"/>
    </row>
    <row r="32793" spans="2:2" s="221" customFormat="1" ht="12.75" x14ac:dyDescent="0.2">
      <c r="B32793" s="1168"/>
    </row>
    <row r="32794" spans="2:2" s="221" customFormat="1" ht="12.75" x14ac:dyDescent="0.2">
      <c r="B32794" s="1168"/>
    </row>
    <row r="32795" spans="2:2" s="221" customFormat="1" ht="12.75" x14ac:dyDescent="0.2">
      <c r="B32795" s="1168"/>
    </row>
    <row r="32796" spans="2:2" s="221" customFormat="1" ht="12.75" x14ac:dyDescent="0.2">
      <c r="B32796" s="1168"/>
    </row>
    <row r="32797" spans="2:2" s="221" customFormat="1" ht="12.75" x14ac:dyDescent="0.2">
      <c r="B32797" s="1168"/>
    </row>
    <row r="32798" spans="2:2" s="221" customFormat="1" ht="12.75" x14ac:dyDescent="0.2">
      <c r="B32798" s="1168"/>
    </row>
    <row r="32799" spans="2:2" s="221" customFormat="1" ht="12.75" x14ac:dyDescent="0.2">
      <c r="B32799" s="1168"/>
    </row>
    <row r="32800" spans="2:2" s="221" customFormat="1" ht="12.75" x14ac:dyDescent="0.2">
      <c r="B32800" s="1168"/>
    </row>
    <row r="32801" spans="2:2" s="221" customFormat="1" ht="12.75" x14ac:dyDescent="0.2">
      <c r="B32801" s="1168"/>
    </row>
    <row r="32802" spans="2:2" s="221" customFormat="1" ht="12.75" x14ac:dyDescent="0.2">
      <c r="B32802" s="1168"/>
    </row>
    <row r="32803" spans="2:2" s="221" customFormat="1" ht="12.75" x14ac:dyDescent="0.2">
      <c r="B32803" s="1168"/>
    </row>
    <row r="32804" spans="2:2" s="221" customFormat="1" ht="12.75" x14ac:dyDescent="0.2">
      <c r="B32804" s="1168"/>
    </row>
    <row r="32805" spans="2:2" s="221" customFormat="1" ht="12.75" x14ac:dyDescent="0.2">
      <c r="B32805" s="1168"/>
    </row>
    <row r="32806" spans="2:2" s="221" customFormat="1" ht="12.75" x14ac:dyDescent="0.2">
      <c r="B32806" s="1168"/>
    </row>
    <row r="32807" spans="2:2" s="221" customFormat="1" ht="12.75" x14ac:dyDescent="0.2">
      <c r="B32807" s="1168"/>
    </row>
    <row r="32808" spans="2:2" s="221" customFormat="1" ht="12.75" x14ac:dyDescent="0.2">
      <c r="B32808" s="1168"/>
    </row>
    <row r="32809" spans="2:2" s="221" customFormat="1" ht="12.75" x14ac:dyDescent="0.2">
      <c r="B32809" s="1168"/>
    </row>
    <row r="32810" spans="2:2" s="221" customFormat="1" ht="12.75" x14ac:dyDescent="0.2">
      <c r="B32810" s="1168"/>
    </row>
    <row r="32811" spans="2:2" s="221" customFormat="1" ht="12.75" x14ac:dyDescent="0.2">
      <c r="B32811" s="1168"/>
    </row>
    <row r="32812" spans="2:2" s="221" customFormat="1" ht="12.75" x14ac:dyDescent="0.2">
      <c r="B32812" s="1168"/>
    </row>
    <row r="32813" spans="2:2" s="221" customFormat="1" ht="12.75" x14ac:dyDescent="0.2">
      <c r="B32813" s="1168"/>
    </row>
    <row r="32814" spans="2:2" s="221" customFormat="1" ht="12.75" x14ac:dyDescent="0.2">
      <c r="B32814" s="1168"/>
    </row>
    <row r="32815" spans="2:2" s="221" customFormat="1" ht="12.75" x14ac:dyDescent="0.2">
      <c r="B32815" s="1168"/>
    </row>
    <row r="32816" spans="2:2" s="221" customFormat="1" ht="12.75" x14ac:dyDescent="0.2">
      <c r="B32816" s="1168"/>
    </row>
    <row r="32817" spans="2:2" s="221" customFormat="1" ht="12.75" x14ac:dyDescent="0.2">
      <c r="B32817" s="1168"/>
    </row>
    <row r="32818" spans="2:2" s="221" customFormat="1" ht="12.75" x14ac:dyDescent="0.2">
      <c r="B32818" s="1168"/>
    </row>
    <row r="32819" spans="2:2" s="221" customFormat="1" ht="12.75" x14ac:dyDescent="0.2">
      <c r="B32819" s="1168"/>
    </row>
    <row r="32820" spans="2:2" s="221" customFormat="1" ht="12.75" x14ac:dyDescent="0.2">
      <c r="B32820" s="1168"/>
    </row>
    <row r="32821" spans="2:2" s="221" customFormat="1" ht="12.75" x14ac:dyDescent="0.2">
      <c r="B32821" s="1168"/>
    </row>
    <row r="32822" spans="2:2" s="221" customFormat="1" ht="12.75" x14ac:dyDescent="0.2">
      <c r="B32822" s="1168"/>
    </row>
    <row r="32823" spans="2:2" s="221" customFormat="1" ht="12.75" x14ac:dyDescent="0.2">
      <c r="B32823" s="1168"/>
    </row>
    <row r="32824" spans="2:2" s="221" customFormat="1" ht="12.75" x14ac:dyDescent="0.2">
      <c r="B32824" s="1168"/>
    </row>
    <row r="32825" spans="2:2" s="221" customFormat="1" ht="12.75" x14ac:dyDescent="0.2">
      <c r="B32825" s="1168"/>
    </row>
    <row r="32826" spans="2:2" s="221" customFormat="1" ht="12.75" x14ac:dyDescent="0.2">
      <c r="B32826" s="1168"/>
    </row>
    <row r="32827" spans="2:2" s="221" customFormat="1" ht="12.75" x14ac:dyDescent="0.2">
      <c r="B32827" s="1168"/>
    </row>
    <row r="32828" spans="2:2" s="221" customFormat="1" ht="12.75" x14ac:dyDescent="0.2">
      <c r="B32828" s="1168"/>
    </row>
    <row r="32829" spans="2:2" s="221" customFormat="1" ht="12.75" x14ac:dyDescent="0.2">
      <c r="B32829" s="1168"/>
    </row>
    <row r="32830" spans="2:2" s="221" customFormat="1" ht="12.75" x14ac:dyDescent="0.2">
      <c r="B32830" s="1168"/>
    </row>
    <row r="32831" spans="2:2" s="221" customFormat="1" ht="12.75" x14ac:dyDescent="0.2">
      <c r="B32831" s="1168"/>
    </row>
    <row r="32832" spans="2:2" s="221" customFormat="1" ht="12.75" x14ac:dyDescent="0.2">
      <c r="B32832" s="1168"/>
    </row>
    <row r="32833" spans="2:2" s="221" customFormat="1" ht="12.75" x14ac:dyDescent="0.2">
      <c r="B32833" s="1168"/>
    </row>
    <row r="32834" spans="2:2" s="221" customFormat="1" ht="12.75" x14ac:dyDescent="0.2">
      <c r="B32834" s="1168"/>
    </row>
    <row r="32835" spans="2:2" s="221" customFormat="1" ht="12.75" x14ac:dyDescent="0.2">
      <c r="B32835" s="1168"/>
    </row>
    <row r="32836" spans="2:2" s="221" customFormat="1" ht="12.75" x14ac:dyDescent="0.2">
      <c r="B32836" s="1168"/>
    </row>
    <row r="32837" spans="2:2" s="221" customFormat="1" ht="12.75" x14ac:dyDescent="0.2">
      <c r="B32837" s="1168"/>
    </row>
    <row r="32838" spans="2:2" s="221" customFormat="1" ht="12.75" x14ac:dyDescent="0.2">
      <c r="B32838" s="1168"/>
    </row>
    <row r="32839" spans="2:2" s="221" customFormat="1" ht="12.75" x14ac:dyDescent="0.2">
      <c r="B32839" s="1168"/>
    </row>
    <row r="32840" spans="2:2" s="221" customFormat="1" ht="12.75" x14ac:dyDescent="0.2">
      <c r="B32840" s="1168"/>
    </row>
    <row r="32841" spans="2:2" s="221" customFormat="1" ht="12.75" x14ac:dyDescent="0.2">
      <c r="B32841" s="1168"/>
    </row>
    <row r="32842" spans="2:2" s="221" customFormat="1" ht="12.75" x14ac:dyDescent="0.2">
      <c r="B32842" s="1168"/>
    </row>
    <row r="32843" spans="2:2" s="221" customFormat="1" ht="12.75" x14ac:dyDescent="0.2">
      <c r="B32843" s="1168"/>
    </row>
    <row r="32844" spans="2:2" s="221" customFormat="1" ht="12.75" x14ac:dyDescent="0.2">
      <c r="B32844" s="1168"/>
    </row>
    <row r="32845" spans="2:2" s="221" customFormat="1" ht="12.75" x14ac:dyDescent="0.2">
      <c r="B32845" s="1168"/>
    </row>
    <row r="32846" spans="2:2" s="221" customFormat="1" ht="12.75" x14ac:dyDescent="0.2">
      <c r="B32846" s="1168"/>
    </row>
    <row r="32847" spans="2:2" s="221" customFormat="1" ht="12.75" x14ac:dyDescent="0.2">
      <c r="B32847" s="1168"/>
    </row>
    <row r="32848" spans="2:2" s="221" customFormat="1" ht="12.75" x14ac:dyDescent="0.2">
      <c r="B32848" s="1168"/>
    </row>
    <row r="32849" spans="2:2" s="221" customFormat="1" ht="12.75" x14ac:dyDescent="0.2">
      <c r="B32849" s="1168"/>
    </row>
    <row r="32850" spans="2:2" s="221" customFormat="1" ht="12.75" x14ac:dyDescent="0.2">
      <c r="B32850" s="1168"/>
    </row>
    <row r="32851" spans="2:2" s="221" customFormat="1" ht="12.75" x14ac:dyDescent="0.2">
      <c r="B32851" s="1168"/>
    </row>
    <row r="32852" spans="2:2" s="221" customFormat="1" ht="12.75" x14ac:dyDescent="0.2">
      <c r="B32852" s="1168"/>
    </row>
    <row r="32853" spans="2:2" s="221" customFormat="1" ht="12.75" x14ac:dyDescent="0.2">
      <c r="B32853" s="1168"/>
    </row>
    <row r="32854" spans="2:2" s="221" customFormat="1" ht="12.75" x14ac:dyDescent="0.2">
      <c r="B32854" s="1168"/>
    </row>
    <row r="32855" spans="2:2" s="221" customFormat="1" ht="12.75" x14ac:dyDescent="0.2">
      <c r="B32855" s="1168"/>
    </row>
    <row r="32856" spans="2:2" s="221" customFormat="1" ht="12.75" x14ac:dyDescent="0.2">
      <c r="B32856" s="1168"/>
    </row>
    <row r="32857" spans="2:2" s="221" customFormat="1" ht="12.75" x14ac:dyDescent="0.2">
      <c r="B32857" s="1168"/>
    </row>
    <row r="32858" spans="2:2" s="221" customFormat="1" ht="12.75" x14ac:dyDescent="0.2">
      <c r="B32858" s="1168"/>
    </row>
    <row r="32859" spans="2:2" s="221" customFormat="1" ht="12.75" x14ac:dyDescent="0.2">
      <c r="B32859" s="1168"/>
    </row>
    <row r="32860" spans="2:2" s="221" customFormat="1" ht="12.75" x14ac:dyDescent="0.2">
      <c r="B32860" s="1168"/>
    </row>
    <row r="32861" spans="2:2" s="221" customFormat="1" ht="12.75" x14ac:dyDescent="0.2">
      <c r="B32861" s="1168"/>
    </row>
    <row r="32862" spans="2:2" s="221" customFormat="1" ht="12.75" x14ac:dyDescent="0.2">
      <c r="B32862" s="1168"/>
    </row>
    <row r="32863" spans="2:2" s="221" customFormat="1" ht="12.75" x14ac:dyDescent="0.2">
      <c r="B32863" s="1168"/>
    </row>
    <row r="32864" spans="2:2" s="221" customFormat="1" ht="12.75" x14ac:dyDescent="0.2">
      <c r="B32864" s="1168"/>
    </row>
    <row r="32865" spans="2:2" s="221" customFormat="1" ht="12.75" x14ac:dyDescent="0.2">
      <c r="B32865" s="1168"/>
    </row>
    <row r="32866" spans="2:2" s="221" customFormat="1" ht="12.75" x14ac:dyDescent="0.2">
      <c r="B32866" s="1168"/>
    </row>
    <row r="32867" spans="2:2" s="221" customFormat="1" ht="12.75" x14ac:dyDescent="0.2">
      <c r="B32867" s="1168"/>
    </row>
    <row r="32868" spans="2:2" s="221" customFormat="1" ht="12.75" x14ac:dyDescent="0.2">
      <c r="B32868" s="1168"/>
    </row>
    <row r="32869" spans="2:2" s="221" customFormat="1" ht="12.75" x14ac:dyDescent="0.2">
      <c r="B32869" s="1168"/>
    </row>
    <row r="32870" spans="2:2" s="221" customFormat="1" ht="12.75" x14ac:dyDescent="0.2">
      <c r="B32870" s="1168"/>
    </row>
    <row r="32871" spans="2:2" s="221" customFormat="1" ht="12.75" x14ac:dyDescent="0.2">
      <c r="B32871" s="1168"/>
    </row>
    <row r="32872" spans="2:2" s="221" customFormat="1" ht="12.75" x14ac:dyDescent="0.2">
      <c r="B32872" s="1168"/>
    </row>
    <row r="32873" spans="2:2" s="221" customFormat="1" ht="12.75" x14ac:dyDescent="0.2">
      <c r="B32873" s="1168"/>
    </row>
    <row r="32874" spans="2:2" s="221" customFormat="1" ht="12.75" x14ac:dyDescent="0.2">
      <c r="B32874" s="1168"/>
    </row>
    <row r="32875" spans="2:2" s="221" customFormat="1" ht="12.75" x14ac:dyDescent="0.2">
      <c r="B32875" s="1168"/>
    </row>
    <row r="32876" spans="2:2" s="221" customFormat="1" ht="12.75" x14ac:dyDescent="0.2">
      <c r="B32876" s="1168"/>
    </row>
    <row r="32877" spans="2:2" s="221" customFormat="1" ht="12.75" x14ac:dyDescent="0.2">
      <c r="B32877" s="1168"/>
    </row>
    <row r="32878" spans="2:2" s="221" customFormat="1" ht="12.75" x14ac:dyDescent="0.2">
      <c r="B32878" s="1168"/>
    </row>
    <row r="32879" spans="2:2" s="221" customFormat="1" ht="12.75" x14ac:dyDescent="0.2">
      <c r="B32879" s="1168"/>
    </row>
    <row r="32880" spans="2:2" s="221" customFormat="1" ht="12.75" x14ac:dyDescent="0.2">
      <c r="B32880" s="1168"/>
    </row>
    <row r="32881" spans="2:2" s="221" customFormat="1" ht="12.75" x14ac:dyDescent="0.2">
      <c r="B32881" s="1168"/>
    </row>
    <row r="32882" spans="2:2" s="221" customFormat="1" ht="12.75" x14ac:dyDescent="0.2">
      <c r="B32882" s="1168"/>
    </row>
    <row r="32883" spans="2:2" s="221" customFormat="1" ht="12.75" x14ac:dyDescent="0.2">
      <c r="B32883" s="1168"/>
    </row>
    <row r="32884" spans="2:2" s="221" customFormat="1" ht="12.75" x14ac:dyDescent="0.2">
      <c r="B32884" s="1168"/>
    </row>
    <row r="32885" spans="2:2" s="221" customFormat="1" ht="12.75" x14ac:dyDescent="0.2">
      <c r="B32885" s="1168"/>
    </row>
    <row r="32886" spans="2:2" s="221" customFormat="1" ht="12.75" x14ac:dyDescent="0.2">
      <c r="B32886" s="1168"/>
    </row>
    <row r="32887" spans="2:2" s="221" customFormat="1" ht="12.75" x14ac:dyDescent="0.2">
      <c r="B32887" s="1168"/>
    </row>
    <row r="32888" spans="2:2" s="221" customFormat="1" ht="12.75" x14ac:dyDescent="0.2">
      <c r="B32888" s="1168"/>
    </row>
    <row r="32889" spans="2:2" s="221" customFormat="1" ht="12.75" x14ac:dyDescent="0.2">
      <c r="B32889" s="1168"/>
    </row>
    <row r="32890" spans="2:2" s="221" customFormat="1" ht="12.75" x14ac:dyDescent="0.2">
      <c r="B32890" s="1168"/>
    </row>
    <row r="32891" spans="2:2" s="221" customFormat="1" ht="12.75" x14ac:dyDescent="0.2">
      <c r="B32891" s="1168"/>
    </row>
    <row r="32892" spans="2:2" s="221" customFormat="1" ht="12.75" x14ac:dyDescent="0.2">
      <c r="B32892" s="1168"/>
    </row>
    <row r="32893" spans="2:2" s="221" customFormat="1" ht="12.75" x14ac:dyDescent="0.2">
      <c r="B32893" s="1168"/>
    </row>
    <row r="32894" spans="2:2" s="221" customFormat="1" ht="12.75" x14ac:dyDescent="0.2">
      <c r="B32894" s="1168"/>
    </row>
    <row r="32895" spans="2:2" s="221" customFormat="1" ht="12.75" x14ac:dyDescent="0.2">
      <c r="B32895" s="1168"/>
    </row>
    <row r="32896" spans="2:2" s="221" customFormat="1" ht="12.75" x14ac:dyDescent="0.2">
      <c r="B32896" s="1168"/>
    </row>
    <row r="32897" spans="2:2" s="221" customFormat="1" ht="12.75" x14ac:dyDescent="0.2">
      <c r="B32897" s="1168"/>
    </row>
    <row r="32898" spans="2:2" s="221" customFormat="1" ht="12.75" x14ac:dyDescent="0.2">
      <c r="B32898" s="1168"/>
    </row>
    <row r="32899" spans="2:2" s="221" customFormat="1" ht="12.75" x14ac:dyDescent="0.2">
      <c r="B32899" s="1168"/>
    </row>
    <row r="32900" spans="2:2" s="221" customFormat="1" ht="12.75" x14ac:dyDescent="0.2">
      <c r="B32900" s="1168"/>
    </row>
    <row r="32901" spans="2:2" s="221" customFormat="1" ht="12.75" x14ac:dyDescent="0.2">
      <c r="B32901" s="1168"/>
    </row>
    <row r="32902" spans="2:2" s="221" customFormat="1" ht="12.75" x14ac:dyDescent="0.2">
      <c r="B32902" s="1168"/>
    </row>
    <row r="32903" spans="2:2" s="221" customFormat="1" ht="12.75" x14ac:dyDescent="0.2">
      <c r="B32903" s="1168"/>
    </row>
    <row r="32904" spans="2:2" s="221" customFormat="1" ht="12.75" x14ac:dyDescent="0.2">
      <c r="B32904" s="1168"/>
    </row>
    <row r="32905" spans="2:2" s="221" customFormat="1" ht="12.75" x14ac:dyDescent="0.2">
      <c r="B32905" s="1168"/>
    </row>
    <row r="32906" spans="2:2" s="221" customFormat="1" ht="12.75" x14ac:dyDescent="0.2">
      <c r="B32906" s="1168"/>
    </row>
    <row r="32907" spans="2:2" s="221" customFormat="1" ht="12.75" x14ac:dyDescent="0.2">
      <c r="B32907" s="1168"/>
    </row>
    <row r="32908" spans="2:2" s="221" customFormat="1" ht="12.75" x14ac:dyDescent="0.2">
      <c r="B32908" s="1168"/>
    </row>
    <row r="32909" spans="2:2" s="221" customFormat="1" ht="12.75" x14ac:dyDescent="0.2">
      <c r="B32909" s="1168"/>
    </row>
    <row r="32910" spans="2:2" s="221" customFormat="1" ht="12.75" x14ac:dyDescent="0.2">
      <c r="B32910" s="1168"/>
    </row>
    <row r="32911" spans="2:2" s="221" customFormat="1" ht="12.75" x14ac:dyDescent="0.2">
      <c r="B32911" s="1168"/>
    </row>
    <row r="32912" spans="2:2" s="221" customFormat="1" ht="12.75" x14ac:dyDescent="0.2">
      <c r="B32912" s="1168"/>
    </row>
    <row r="32913" spans="2:2" s="221" customFormat="1" ht="12.75" x14ac:dyDescent="0.2">
      <c r="B32913" s="1168"/>
    </row>
    <row r="32914" spans="2:2" s="221" customFormat="1" ht="12.75" x14ac:dyDescent="0.2">
      <c r="B32914" s="1168"/>
    </row>
    <row r="32915" spans="2:2" s="221" customFormat="1" ht="12.75" x14ac:dyDescent="0.2">
      <c r="B32915" s="1168"/>
    </row>
    <row r="32916" spans="2:2" s="221" customFormat="1" ht="12.75" x14ac:dyDescent="0.2">
      <c r="B32916" s="1168"/>
    </row>
    <row r="32917" spans="2:2" s="221" customFormat="1" ht="12.75" x14ac:dyDescent="0.2">
      <c r="B32917" s="1168"/>
    </row>
    <row r="32918" spans="2:2" s="221" customFormat="1" ht="12.75" x14ac:dyDescent="0.2">
      <c r="B32918" s="1168"/>
    </row>
    <row r="32919" spans="2:2" s="221" customFormat="1" ht="12.75" x14ac:dyDescent="0.2">
      <c r="B32919" s="1168"/>
    </row>
    <row r="32920" spans="2:2" s="221" customFormat="1" ht="12.75" x14ac:dyDescent="0.2">
      <c r="B32920" s="1168"/>
    </row>
    <row r="32921" spans="2:2" s="221" customFormat="1" ht="12.75" x14ac:dyDescent="0.2">
      <c r="B32921" s="1168"/>
    </row>
    <row r="32922" spans="2:2" s="221" customFormat="1" ht="12.75" x14ac:dyDescent="0.2">
      <c r="B32922" s="1168"/>
    </row>
    <row r="32923" spans="2:2" s="221" customFormat="1" ht="12.75" x14ac:dyDescent="0.2">
      <c r="B32923" s="1168"/>
    </row>
    <row r="32924" spans="2:2" s="221" customFormat="1" ht="12.75" x14ac:dyDescent="0.2">
      <c r="B32924" s="1168"/>
    </row>
    <row r="32925" spans="2:2" s="221" customFormat="1" ht="12.75" x14ac:dyDescent="0.2">
      <c r="B32925" s="1168"/>
    </row>
    <row r="32926" spans="2:2" s="221" customFormat="1" ht="12.75" x14ac:dyDescent="0.2">
      <c r="B32926" s="1168"/>
    </row>
    <row r="32927" spans="2:2" s="221" customFormat="1" ht="12.75" x14ac:dyDescent="0.2">
      <c r="B32927" s="1168"/>
    </row>
    <row r="32928" spans="2:2" s="221" customFormat="1" ht="12.75" x14ac:dyDescent="0.2">
      <c r="B32928" s="1168"/>
    </row>
    <row r="32929" spans="2:2" s="221" customFormat="1" ht="12.75" x14ac:dyDescent="0.2">
      <c r="B32929" s="1168"/>
    </row>
    <row r="32930" spans="2:2" s="221" customFormat="1" ht="12.75" x14ac:dyDescent="0.2">
      <c r="B32930" s="1168"/>
    </row>
    <row r="32931" spans="2:2" s="221" customFormat="1" ht="12.75" x14ac:dyDescent="0.2">
      <c r="B32931" s="1168"/>
    </row>
    <row r="32932" spans="2:2" s="221" customFormat="1" ht="12.75" x14ac:dyDescent="0.2">
      <c r="B32932" s="1168"/>
    </row>
    <row r="32933" spans="2:2" s="221" customFormat="1" ht="12.75" x14ac:dyDescent="0.2">
      <c r="B32933" s="1168"/>
    </row>
    <row r="32934" spans="2:2" s="221" customFormat="1" ht="12.75" x14ac:dyDescent="0.2">
      <c r="B32934" s="1168"/>
    </row>
    <row r="32935" spans="2:2" s="221" customFormat="1" ht="12.75" x14ac:dyDescent="0.2">
      <c r="B32935" s="1168"/>
    </row>
    <row r="32936" spans="2:2" s="221" customFormat="1" ht="12.75" x14ac:dyDescent="0.2">
      <c r="B32936" s="1168"/>
    </row>
    <row r="32937" spans="2:2" s="221" customFormat="1" ht="12.75" x14ac:dyDescent="0.2">
      <c r="B32937" s="1168"/>
    </row>
    <row r="32938" spans="2:2" s="221" customFormat="1" ht="12.75" x14ac:dyDescent="0.2">
      <c r="B32938" s="1168"/>
    </row>
    <row r="32939" spans="2:2" s="221" customFormat="1" ht="12.75" x14ac:dyDescent="0.2">
      <c r="B32939" s="1168"/>
    </row>
    <row r="32940" spans="2:2" s="221" customFormat="1" ht="12.75" x14ac:dyDescent="0.2">
      <c r="B32940" s="1168"/>
    </row>
    <row r="32941" spans="2:2" s="221" customFormat="1" ht="12.75" x14ac:dyDescent="0.2">
      <c r="B32941" s="1168"/>
    </row>
    <row r="32942" spans="2:2" s="221" customFormat="1" ht="12.75" x14ac:dyDescent="0.2">
      <c r="B32942" s="1168"/>
    </row>
    <row r="32943" spans="2:2" s="221" customFormat="1" ht="12.75" x14ac:dyDescent="0.2">
      <c r="B32943" s="1168"/>
    </row>
    <row r="32944" spans="2:2" s="221" customFormat="1" ht="12.75" x14ac:dyDescent="0.2">
      <c r="B32944" s="1168"/>
    </row>
    <row r="32945" spans="2:2" s="221" customFormat="1" ht="12.75" x14ac:dyDescent="0.2">
      <c r="B32945" s="1168"/>
    </row>
    <row r="32946" spans="2:2" s="221" customFormat="1" ht="12.75" x14ac:dyDescent="0.2">
      <c r="B32946" s="1168"/>
    </row>
    <row r="32947" spans="2:2" s="221" customFormat="1" ht="12.75" x14ac:dyDescent="0.2">
      <c r="B32947" s="1168"/>
    </row>
    <row r="32948" spans="2:2" s="221" customFormat="1" ht="12.75" x14ac:dyDescent="0.2">
      <c r="B32948" s="1168"/>
    </row>
    <row r="32949" spans="2:2" s="221" customFormat="1" ht="12.75" x14ac:dyDescent="0.2">
      <c r="B32949" s="1168"/>
    </row>
    <row r="32950" spans="2:2" s="221" customFormat="1" ht="12.75" x14ac:dyDescent="0.2">
      <c r="B32950" s="1168"/>
    </row>
    <row r="32951" spans="2:2" s="221" customFormat="1" ht="12.75" x14ac:dyDescent="0.2">
      <c r="B32951" s="1168"/>
    </row>
    <row r="32952" spans="2:2" s="221" customFormat="1" ht="12.75" x14ac:dyDescent="0.2">
      <c r="B32952" s="1168"/>
    </row>
    <row r="32953" spans="2:2" s="221" customFormat="1" ht="12.75" x14ac:dyDescent="0.2">
      <c r="B32953" s="1168"/>
    </row>
    <row r="32954" spans="2:2" s="221" customFormat="1" ht="12.75" x14ac:dyDescent="0.2">
      <c r="B32954" s="1168"/>
    </row>
    <row r="32955" spans="2:2" s="221" customFormat="1" ht="12.75" x14ac:dyDescent="0.2">
      <c r="B32955" s="1168"/>
    </row>
    <row r="32956" spans="2:2" s="221" customFormat="1" ht="12.75" x14ac:dyDescent="0.2">
      <c r="B32956" s="1168"/>
    </row>
    <row r="32957" spans="2:2" s="221" customFormat="1" ht="12.75" x14ac:dyDescent="0.2">
      <c r="B32957" s="1168"/>
    </row>
    <row r="32958" spans="2:2" s="221" customFormat="1" ht="12.75" x14ac:dyDescent="0.2">
      <c r="B32958" s="1168"/>
    </row>
    <row r="32959" spans="2:2" s="221" customFormat="1" ht="12.75" x14ac:dyDescent="0.2">
      <c r="B32959" s="1168"/>
    </row>
    <row r="32960" spans="2:2" s="221" customFormat="1" ht="12.75" x14ac:dyDescent="0.2">
      <c r="B32960" s="1168"/>
    </row>
    <row r="32961" spans="2:2" s="221" customFormat="1" ht="12.75" x14ac:dyDescent="0.2">
      <c r="B32961" s="1168"/>
    </row>
    <row r="32962" spans="2:2" s="221" customFormat="1" ht="12.75" x14ac:dyDescent="0.2">
      <c r="B32962" s="1168"/>
    </row>
    <row r="32963" spans="2:2" s="221" customFormat="1" ht="12.75" x14ac:dyDescent="0.2">
      <c r="B32963" s="1168"/>
    </row>
    <row r="32964" spans="2:2" s="221" customFormat="1" ht="12.75" x14ac:dyDescent="0.2">
      <c r="B32964" s="1168"/>
    </row>
    <row r="32965" spans="2:2" s="221" customFormat="1" ht="12.75" x14ac:dyDescent="0.2">
      <c r="B32965" s="1168"/>
    </row>
    <row r="32966" spans="2:2" s="221" customFormat="1" ht="12.75" x14ac:dyDescent="0.2">
      <c r="B32966" s="1168"/>
    </row>
    <row r="32967" spans="2:2" s="221" customFormat="1" ht="12.75" x14ac:dyDescent="0.2">
      <c r="B32967" s="1168"/>
    </row>
    <row r="32968" spans="2:2" s="221" customFormat="1" ht="12.75" x14ac:dyDescent="0.2">
      <c r="B32968" s="1168"/>
    </row>
    <row r="32969" spans="2:2" s="221" customFormat="1" ht="12.75" x14ac:dyDescent="0.2">
      <c r="B32969" s="1168"/>
    </row>
    <row r="32970" spans="2:2" s="221" customFormat="1" ht="12.75" x14ac:dyDescent="0.2">
      <c r="B32970" s="1168"/>
    </row>
    <row r="32971" spans="2:2" s="221" customFormat="1" ht="12.75" x14ac:dyDescent="0.2">
      <c r="B32971" s="1168"/>
    </row>
    <row r="32972" spans="2:2" s="221" customFormat="1" ht="12.75" x14ac:dyDescent="0.2">
      <c r="B32972" s="1168"/>
    </row>
    <row r="32973" spans="2:2" s="221" customFormat="1" ht="12.75" x14ac:dyDescent="0.2">
      <c r="B32973" s="1168"/>
    </row>
    <row r="32974" spans="2:2" s="221" customFormat="1" ht="12.75" x14ac:dyDescent="0.2">
      <c r="B32974" s="1168"/>
    </row>
    <row r="32975" spans="2:2" s="221" customFormat="1" ht="12.75" x14ac:dyDescent="0.2">
      <c r="B32975" s="1168"/>
    </row>
    <row r="32976" spans="2:2" s="221" customFormat="1" ht="12.75" x14ac:dyDescent="0.2">
      <c r="B32976" s="1168"/>
    </row>
    <row r="32977" spans="2:2" s="221" customFormat="1" ht="12.75" x14ac:dyDescent="0.2">
      <c r="B32977" s="1168"/>
    </row>
    <row r="32978" spans="2:2" s="221" customFormat="1" ht="12.75" x14ac:dyDescent="0.2">
      <c r="B32978" s="1168"/>
    </row>
    <row r="32979" spans="2:2" s="221" customFormat="1" ht="12.75" x14ac:dyDescent="0.2">
      <c r="B32979" s="1168"/>
    </row>
    <row r="32980" spans="2:2" s="221" customFormat="1" ht="12.75" x14ac:dyDescent="0.2">
      <c r="B32980" s="1168"/>
    </row>
    <row r="32981" spans="2:2" s="221" customFormat="1" ht="12.75" x14ac:dyDescent="0.2">
      <c r="B32981" s="1168"/>
    </row>
    <row r="32982" spans="2:2" s="221" customFormat="1" ht="12.75" x14ac:dyDescent="0.2">
      <c r="B32982" s="1168"/>
    </row>
    <row r="32983" spans="2:2" s="221" customFormat="1" ht="12.75" x14ac:dyDescent="0.2">
      <c r="B32983" s="1168"/>
    </row>
    <row r="32984" spans="2:2" s="221" customFormat="1" ht="12.75" x14ac:dyDescent="0.2">
      <c r="B32984" s="1168"/>
    </row>
    <row r="32985" spans="2:2" s="221" customFormat="1" ht="12.75" x14ac:dyDescent="0.2">
      <c r="B32985" s="1168"/>
    </row>
    <row r="32986" spans="2:2" s="221" customFormat="1" ht="12.75" x14ac:dyDescent="0.2">
      <c r="B32986" s="1168"/>
    </row>
    <row r="32987" spans="2:2" s="221" customFormat="1" ht="12.75" x14ac:dyDescent="0.2">
      <c r="B32987" s="1168"/>
    </row>
    <row r="32988" spans="2:2" s="221" customFormat="1" ht="12.75" x14ac:dyDescent="0.2">
      <c r="B32988" s="1168"/>
    </row>
    <row r="32989" spans="2:2" s="221" customFormat="1" ht="12.75" x14ac:dyDescent="0.2">
      <c r="B32989" s="1168"/>
    </row>
    <row r="32990" spans="2:2" s="221" customFormat="1" ht="12.75" x14ac:dyDescent="0.2">
      <c r="B32990" s="1168"/>
    </row>
    <row r="32991" spans="2:2" s="221" customFormat="1" ht="12.75" x14ac:dyDescent="0.2">
      <c r="B32991" s="1168"/>
    </row>
    <row r="32992" spans="2:2" s="221" customFormat="1" ht="12.75" x14ac:dyDescent="0.2">
      <c r="B32992" s="1168"/>
    </row>
    <row r="32993" spans="2:2" s="221" customFormat="1" ht="12.75" x14ac:dyDescent="0.2">
      <c r="B32993" s="1168"/>
    </row>
    <row r="32994" spans="2:2" s="221" customFormat="1" ht="12.75" x14ac:dyDescent="0.2">
      <c r="B32994" s="1168"/>
    </row>
    <row r="32995" spans="2:2" s="221" customFormat="1" ht="12.75" x14ac:dyDescent="0.2">
      <c r="B32995" s="1168"/>
    </row>
    <row r="32996" spans="2:2" s="221" customFormat="1" ht="12.75" x14ac:dyDescent="0.2">
      <c r="B32996" s="1168"/>
    </row>
    <row r="32997" spans="2:2" s="221" customFormat="1" ht="12.75" x14ac:dyDescent="0.2">
      <c r="B32997" s="1168"/>
    </row>
    <row r="32998" spans="2:2" s="221" customFormat="1" ht="12.75" x14ac:dyDescent="0.2">
      <c r="B32998" s="1168"/>
    </row>
    <row r="32999" spans="2:2" s="221" customFormat="1" ht="12.75" x14ac:dyDescent="0.2">
      <c r="B32999" s="1168"/>
    </row>
    <row r="33000" spans="2:2" s="221" customFormat="1" ht="12.75" x14ac:dyDescent="0.2">
      <c r="B33000" s="1168"/>
    </row>
    <row r="33001" spans="2:2" s="221" customFormat="1" ht="12.75" x14ac:dyDescent="0.2">
      <c r="B33001" s="1168"/>
    </row>
    <row r="33002" spans="2:2" s="221" customFormat="1" ht="12.75" x14ac:dyDescent="0.2">
      <c r="B33002" s="1168"/>
    </row>
    <row r="33003" spans="2:2" s="221" customFormat="1" ht="12.75" x14ac:dyDescent="0.2">
      <c r="B33003" s="1168"/>
    </row>
    <row r="33004" spans="2:2" s="221" customFormat="1" ht="12.75" x14ac:dyDescent="0.2">
      <c r="B33004" s="1168"/>
    </row>
    <row r="33005" spans="2:2" s="221" customFormat="1" ht="12.75" x14ac:dyDescent="0.2">
      <c r="B33005" s="1168"/>
    </row>
    <row r="33006" spans="2:2" s="221" customFormat="1" ht="12.75" x14ac:dyDescent="0.2">
      <c r="B33006" s="1168"/>
    </row>
    <row r="33007" spans="2:2" s="221" customFormat="1" ht="12.75" x14ac:dyDescent="0.2">
      <c r="B33007" s="1168"/>
    </row>
    <row r="33008" spans="2:2" s="221" customFormat="1" ht="12.75" x14ac:dyDescent="0.2">
      <c r="B33008" s="1168"/>
    </row>
    <row r="33009" spans="2:2" s="221" customFormat="1" ht="12.75" x14ac:dyDescent="0.2">
      <c r="B33009" s="1168"/>
    </row>
    <row r="33010" spans="2:2" s="221" customFormat="1" ht="12.75" x14ac:dyDescent="0.2">
      <c r="B33010" s="1168"/>
    </row>
    <row r="33011" spans="2:2" s="221" customFormat="1" ht="12.75" x14ac:dyDescent="0.2">
      <c r="B33011" s="1168"/>
    </row>
    <row r="33012" spans="2:2" s="221" customFormat="1" ht="12.75" x14ac:dyDescent="0.2">
      <c r="B33012" s="1168"/>
    </row>
    <row r="33013" spans="2:2" s="221" customFormat="1" ht="12.75" x14ac:dyDescent="0.2">
      <c r="B33013" s="1168"/>
    </row>
    <row r="33014" spans="2:2" s="221" customFormat="1" ht="12.75" x14ac:dyDescent="0.2">
      <c r="B33014" s="1168"/>
    </row>
    <row r="33015" spans="2:2" s="221" customFormat="1" ht="12.75" x14ac:dyDescent="0.2">
      <c r="B33015" s="1168"/>
    </row>
    <row r="33016" spans="2:2" s="221" customFormat="1" ht="12.75" x14ac:dyDescent="0.2">
      <c r="B33016" s="1168"/>
    </row>
    <row r="33017" spans="2:2" s="221" customFormat="1" ht="12.75" x14ac:dyDescent="0.2">
      <c r="B33017" s="1168"/>
    </row>
    <row r="33018" spans="2:2" s="221" customFormat="1" ht="12.75" x14ac:dyDescent="0.2">
      <c r="B33018" s="1168"/>
    </row>
    <row r="33019" spans="2:2" s="221" customFormat="1" ht="12.75" x14ac:dyDescent="0.2">
      <c r="B33019" s="1168"/>
    </row>
    <row r="33020" spans="2:2" s="221" customFormat="1" ht="12.75" x14ac:dyDescent="0.2">
      <c r="B33020" s="1168"/>
    </row>
    <row r="33021" spans="2:2" s="221" customFormat="1" ht="12.75" x14ac:dyDescent="0.2">
      <c r="B33021" s="1168"/>
    </row>
    <row r="33022" spans="2:2" s="221" customFormat="1" ht="12.75" x14ac:dyDescent="0.2">
      <c r="B33022" s="1168"/>
    </row>
    <row r="33023" spans="2:2" s="221" customFormat="1" ht="12.75" x14ac:dyDescent="0.2">
      <c r="B33023" s="1168"/>
    </row>
    <row r="33024" spans="2:2" s="221" customFormat="1" ht="12.75" x14ac:dyDescent="0.2">
      <c r="B33024" s="1168"/>
    </row>
    <row r="33025" spans="2:2" s="221" customFormat="1" ht="12.75" x14ac:dyDescent="0.2">
      <c r="B33025" s="1168"/>
    </row>
    <row r="33026" spans="2:2" s="221" customFormat="1" ht="12.75" x14ac:dyDescent="0.2">
      <c r="B33026" s="1168"/>
    </row>
    <row r="33027" spans="2:2" s="221" customFormat="1" ht="12.75" x14ac:dyDescent="0.2">
      <c r="B33027" s="1168"/>
    </row>
    <row r="33028" spans="2:2" s="221" customFormat="1" ht="12.75" x14ac:dyDescent="0.2">
      <c r="B33028" s="1168"/>
    </row>
    <row r="33029" spans="2:2" s="221" customFormat="1" ht="12.75" x14ac:dyDescent="0.2">
      <c r="B33029" s="1168"/>
    </row>
    <row r="33030" spans="2:2" s="221" customFormat="1" ht="12.75" x14ac:dyDescent="0.2">
      <c r="B33030" s="1168"/>
    </row>
    <row r="33031" spans="2:2" s="221" customFormat="1" ht="12.75" x14ac:dyDescent="0.2">
      <c r="B33031" s="1168"/>
    </row>
    <row r="33032" spans="2:2" s="221" customFormat="1" ht="12.75" x14ac:dyDescent="0.2">
      <c r="B33032" s="1168"/>
    </row>
    <row r="33033" spans="2:2" s="221" customFormat="1" ht="12.75" x14ac:dyDescent="0.2">
      <c r="B33033" s="1168"/>
    </row>
    <row r="33034" spans="2:2" s="221" customFormat="1" ht="12.75" x14ac:dyDescent="0.2">
      <c r="B33034" s="1168"/>
    </row>
    <row r="33035" spans="2:2" s="221" customFormat="1" ht="12.75" x14ac:dyDescent="0.2">
      <c r="B33035" s="1168"/>
    </row>
    <row r="33036" spans="2:2" s="221" customFormat="1" ht="12.75" x14ac:dyDescent="0.2">
      <c r="B33036" s="1168"/>
    </row>
    <row r="33037" spans="2:2" s="221" customFormat="1" ht="12.75" x14ac:dyDescent="0.2">
      <c r="B33037" s="1168"/>
    </row>
    <row r="33038" spans="2:2" s="221" customFormat="1" ht="12.75" x14ac:dyDescent="0.2">
      <c r="B33038" s="1168"/>
    </row>
    <row r="33039" spans="2:2" s="221" customFormat="1" ht="12.75" x14ac:dyDescent="0.2">
      <c r="B33039" s="1168"/>
    </row>
    <row r="33040" spans="2:2" s="221" customFormat="1" ht="12.75" x14ac:dyDescent="0.2">
      <c r="B33040" s="1168"/>
    </row>
    <row r="33041" spans="2:2" s="221" customFormat="1" ht="12.75" x14ac:dyDescent="0.2">
      <c r="B33041" s="1168"/>
    </row>
    <row r="33042" spans="2:2" s="221" customFormat="1" ht="12.75" x14ac:dyDescent="0.2">
      <c r="B33042" s="1168"/>
    </row>
    <row r="33043" spans="2:2" s="221" customFormat="1" ht="12.75" x14ac:dyDescent="0.2">
      <c r="B33043" s="1168"/>
    </row>
    <row r="33044" spans="2:2" s="221" customFormat="1" ht="12.75" x14ac:dyDescent="0.2">
      <c r="B33044" s="1168"/>
    </row>
    <row r="33045" spans="2:2" s="221" customFormat="1" ht="12.75" x14ac:dyDescent="0.2">
      <c r="B33045" s="1168"/>
    </row>
    <row r="33046" spans="2:2" s="221" customFormat="1" ht="12.75" x14ac:dyDescent="0.2">
      <c r="B33046" s="1168"/>
    </row>
    <row r="33047" spans="2:2" s="221" customFormat="1" ht="12.75" x14ac:dyDescent="0.2">
      <c r="B33047" s="1168"/>
    </row>
    <row r="33048" spans="2:2" s="221" customFormat="1" ht="12.75" x14ac:dyDescent="0.2">
      <c r="B33048" s="1168"/>
    </row>
    <row r="33049" spans="2:2" s="221" customFormat="1" ht="12.75" x14ac:dyDescent="0.2">
      <c r="B33049" s="1168"/>
    </row>
    <row r="33050" spans="2:2" s="221" customFormat="1" ht="12.75" x14ac:dyDescent="0.2">
      <c r="B33050" s="1168"/>
    </row>
    <row r="33051" spans="2:2" s="221" customFormat="1" ht="12.75" x14ac:dyDescent="0.2">
      <c r="B33051" s="1168"/>
    </row>
    <row r="33052" spans="2:2" s="221" customFormat="1" ht="12.75" x14ac:dyDescent="0.2">
      <c r="B33052" s="1168"/>
    </row>
    <row r="33053" spans="2:2" s="221" customFormat="1" ht="12.75" x14ac:dyDescent="0.2">
      <c r="B33053" s="1168"/>
    </row>
    <row r="33054" spans="2:2" s="221" customFormat="1" ht="12.75" x14ac:dyDescent="0.2">
      <c r="B33054" s="1168"/>
    </row>
    <row r="33055" spans="2:2" s="221" customFormat="1" ht="12.75" x14ac:dyDescent="0.2">
      <c r="B33055" s="1168"/>
    </row>
    <row r="33056" spans="2:2" s="221" customFormat="1" ht="12.75" x14ac:dyDescent="0.2">
      <c r="B33056" s="1168"/>
    </row>
    <row r="33057" spans="2:2" s="221" customFormat="1" ht="12.75" x14ac:dyDescent="0.2">
      <c r="B33057" s="1168"/>
    </row>
    <row r="33058" spans="2:2" s="221" customFormat="1" ht="12.75" x14ac:dyDescent="0.2">
      <c r="B33058" s="1168"/>
    </row>
    <row r="33059" spans="2:2" s="221" customFormat="1" ht="12.75" x14ac:dyDescent="0.2">
      <c r="B33059" s="1168"/>
    </row>
    <row r="33060" spans="2:2" s="221" customFormat="1" ht="12.75" x14ac:dyDescent="0.2">
      <c r="B33060" s="1168"/>
    </row>
    <row r="33061" spans="2:2" s="221" customFormat="1" ht="12.75" x14ac:dyDescent="0.2">
      <c r="B33061" s="1168"/>
    </row>
    <row r="33062" spans="2:2" s="221" customFormat="1" ht="12.75" x14ac:dyDescent="0.2">
      <c r="B33062" s="1168"/>
    </row>
    <row r="33063" spans="2:2" s="221" customFormat="1" ht="12.75" x14ac:dyDescent="0.2">
      <c r="B33063" s="1168"/>
    </row>
    <row r="33064" spans="2:2" s="221" customFormat="1" ht="12.75" x14ac:dyDescent="0.2">
      <c r="B33064" s="1168"/>
    </row>
    <row r="33065" spans="2:2" s="221" customFormat="1" ht="12.75" x14ac:dyDescent="0.2">
      <c r="B33065" s="1168"/>
    </row>
    <row r="33066" spans="2:2" s="221" customFormat="1" ht="12.75" x14ac:dyDescent="0.2">
      <c r="B33066" s="1168"/>
    </row>
    <row r="33067" spans="2:2" s="221" customFormat="1" ht="12.75" x14ac:dyDescent="0.2">
      <c r="B33067" s="1168"/>
    </row>
    <row r="33068" spans="2:2" s="221" customFormat="1" ht="12.75" x14ac:dyDescent="0.2">
      <c r="B33068" s="1168"/>
    </row>
    <row r="33069" spans="2:2" s="221" customFormat="1" ht="12.75" x14ac:dyDescent="0.2">
      <c r="B33069" s="1168"/>
    </row>
    <row r="33070" spans="2:2" s="221" customFormat="1" ht="12.75" x14ac:dyDescent="0.2">
      <c r="B33070" s="1168"/>
    </row>
    <row r="33071" spans="2:2" s="221" customFormat="1" ht="12.75" x14ac:dyDescent="0.2">
      <c r="B33071" s="1168"/>
    </row>
    <row r="33072" spans="2:2" s="221" customFormat="1" ht="12.75" x14ac:dyDescent="0.2">
      <c r="B33072" s="1168"/>
    </row>
    <row r="33073" spans="2:2" s="221" customFormat="1" ht="12.75" x14ac:dyDescent="0.2">
      <c r="B33073" s="1168"/>
    </row>
    <row r="33074" spans="2:2" s="221" customFormat="1" ht="12.75" x14ac:dyDescent="0.2">
      <c r="B33074" s="1168"/>
    </row>
    <row r="33075" spans="2:2" s="221" customFormat="1" ht="12.75" x14ac:dyDescent="0.2">
      <c r="B33075" s="1168"/>
    </row>
    <row r="33076" spans="2:2" s="221" customFormat="1" ht="12.75" x14ac:dyDescent="0.2">
      <c r="B33076" s="1168"/>
    </row>
    <row r="33077" spans="2:2" s="221" customFormat="1" ht="12.75" x14ac:dyDescent="0.2">
      <c r="B33077" s="1168"/>
    </row>
    <row r="33078" spans="2:2" s="221" customFormat="1" ht="12.75" x14ac:dyDescent="0.2">
      <c r="B33078" s="1168"/>
    </row>
    <row r="33079" spans="2:2" s="221" customFormat="1" ht="12.75" x14ac:dyDescent="0.2">
      <c r="B33079" s="1168"/>
    </row>
    <row r="33080" spans="2:2" s="221" customFormat="1" ht="12.75" x14ac:dyDescent="0.2">
      <c r="B33080" s="1168"/>
    </row>
    <row r="33081" spans="2:2" s="221" customFormat="1" ht="12.75" x14ac:dyDescent="0.2">
      <c r="B33081" s="1168"/>
    </row>
    <row r="33082" spans="2:2" s="221" customFormat="1" ht="12.75" x14ac:dyDescent="0.2">
      <c r="B33082" s="1168"/>
    </row>
    <row r="33083" spans="2:2" s="221" customFormat="1" ht="12.75" x14ac:dyDescent="0.2">
      <c r="B33083" s="1168"/>
    </row>
    <row r="33084" spans="2:2" s="221" customFormat="1" ht="12.75" x14ac:dyDescent="0.2">
      <c r="B33084" s="1168"/>
    </row>
    <row r="33085" spans="2:2" s="221" customFormat="1" ht="12.75" x14ac:dyDescent="0.2">
      <c r="B33085" s="1168"/>
    </row>
    <row r="33086" spans="2:2" s="221" customFormat="1" ht="12.75" x14ac:dyDescent="0.2">
      <c r="B33086" s="1168"/>
    </row>
    <row r="33087" spans="2:2" s="221" customFormat="1" ht="12.75" x14ac:dyDescent="0.2">
      <c r="B33087" s="1168"/>
    </row>
    <row r="33088" spans="2:2" s="221" customFormat="1" ht="12.75" x14ac:dyDescent="0.2">
      <c r="B33088" s="1168"/>
    </row>
    <row r="33089" spans="2:2" s="221" customFormat="1" ht="12.75" x14ac:dyDescent="0.2">
      <c r="B33089" s="1168"/>
    </row>
    <row r="33090" spans="2:2" s="221" customFormat="1" ht="12.75" x14ac:dyDescent="0.2">
      <c r="B33090" s="1168"/>
    </row>
    <row r="33091" spans="2:2" s="221" customFormat="1" ht="12.75" x14ac:dyDescent="0.2">
      <c r="B33091" s="1168"/>
    </row>
    <row r="33092" spans="2:2" s="221" customFormat="1" ht="12.75" x14ac:dyDescent="0.2">
      <c r="B33092" s="1168"/>
    </row>
    <row r="33093" spans="2:2" s="221" customFormat="1" ht="12.75" x14ac:dyDescent="0.2">
      <c r="B33093" s="1168"/>
    </row>
    <row r="33094" spans="2:2" s="221" customFormat="1" ht="12.75" x14ac:dyDescent="0.2">
      <c r="B33094" s="1168"/>
    </row>
    <row r="33095" spans="2:2" s="221" customFormat="1" ht="12.75" x14ac:dyDescent="0.2">
      <c r="B33095" s="1168"/>
    </row>
    <row r="33096" spans="2:2" s="221" customFormat="1" ht="12.75" x14ac:dyDescent="0.2">
      <c r="B33096" s="1168"/>
    </row>
    <row r="33097" spans="2:2" s="221" customFormat="1" ht="12.75" x14ac:dyDescent="0.2">
      <c r="B33097" s="1168"/>
    </row>
    <row r="33098" spans="2:2" s="221" customFormat="1" ht="12.75" x14ac:dyDescent="0.2">
      <c r="B33098" s="1168"/>
    </row>
    <row r="33099" spans="2:2" s="221" customFormat="1" ht="12.75" x14ac:dyDescent="0.2">
      <c r="B33099" s="1168"/>
    </row>
    <row r="33100" spans="2:2" s="221" customFormat="1" ht="12.75" x14ac:dyDescent="0.2">
      <c r="B33100" s="1168"/>
    </row>
    <row r="33101" spans="2:2" s="221" customFormat="1" ht="12.75" x14ac:dyDescent="0.2">
      <c r="B33101" s="1168"/>
    </row>
    <row r="33102" spans="2:2" s="221" customFormat="1" ht="12.75" x14ac:dyDescent="0.2">
      <c r="B33102" s="1168"/>
    </row>
    <row r="33103" spans="2:2" s="221" customFormat="1" ht="12.75" x14ac:dyDescent="0.2">
      <c r="B33103" s="1168"/>
    </row>
    <row r="33104" spans="2:2" s="221" customFormat="1" ht="12.75" x14ac:dyDescent="0.2">
      <c r="B33104" s="1168"/>
    </row>
    <row r="33105" spans="2:2" s="221" customFormat="1" ht="12.75" x14ac:dyDescent="0.2">
      <c r="B33105" s="1168"/>
    </row>
    <row r="33106" spans="2:2" s="221" customFormat="1" ht="12.75" x14ac:dyDescent="0.2">
      <c r="B33106" s="1168"/>
    </row>
    <row r="33107" spans="2:2" s="221" customFormat="1" ht="12.75" x14ac:dyDescent="0.2">
      <c r="B33107" s="1168"/>
    </row>
    <row r="33108" spans="2:2" s="221" customFormat="1" ht="12.75" x14ac:dyDescent="0.2">
      <c r="B33108" s="1168"/>
    </row>
    <row r="33109" spans="2:2" s="221" customFormat="1" ht="12.75" x14ac:dyDescent="0.2">
      <c r="B33109" s="1168"/>
    </row>
    <row r="33110" spans="2:2" s="221" customFormat="1" ht="12.75" x14ac:dyDescent="0.2">
      <c r="B33110" s="1168"/>
    </row>
    <row r="33111" spans="2:2" s="221" customFormat="1" ht="12.75" x14ac:dyDescent="0.2">
      <c r="B33111" s="1168"/>
    </row>
    <row r="33112" spans="2:2" s="221" customFormat="1" ht="12.75" x14ac:dyDescent="0.2">
      <c r="B33112" s="1168"/>
    </row>
    <row r="33113" spans="2:2" s="221" customFormat="1" ht="12.75" x14ac:dyDescent="0.2">
      <c r="B33113" s="1168"/>
    </row>
    <row r="33114" spans="2:2" s="221" customFormat="1" ht="12.75" x14ac:dyDescent="0.2">
      <c r="B33114" s="1168"/>
    </row>
    <row r="33115" spans="2:2" s="221" customFormat="1" ht="12.75" x14ac:dyDescent="0.2">
      <c r="B33115" s="1168"/>
    </row>
    <row r="33116" spans="2:2" s="221" customFormat="1" ht="12.75" x14ac:dyDescent="0.2">
      <c r="B33116" s="1168"/>
    </row>
    <row r="33117" spans="2:2" s="221" customFormat="1" ht="12.75" x14ac:dyDescent="0.2">
      <c r="B33117" s="1168"/>
    </row>
    <row r="33118" spans="2:2" s="221" customFormat="1" ht="12.75" x14ac:dyDescent="0.2">
      <c r="B33118" s="1168"/>
    </row>
    <row r="33119" spans="2:2" s="221" customFormat="1" ht="12.75" x14ac:dyDescent="0.2">
      <c r="B33119" s="1168"/>
    </row>
    <row r="33120" spans="2:2" s="221" customFormat="1" ht="12.75" x14ac:dyDescent="0.2">
      <c r="B33120" s="1168"/>
    </row>
    <row r="33121" spans="2:2" s="221" customFormat="1" ht="12.75" x14ac:dyDescent="0.2">
      <c r="B33121" s="1168"/>
    </row>
    <row r="33122" spans="2:2" s="221" customFormat="1" ht="12.75" x14ac:dyDescent="0.2">
      <c r="B33122" s="1168"/>
    </row>
    <row r="33123" spans="2:2" s="221" customFormat="1" ht="12.75" x14ac:dyDescent="0.2">
      <c r="B33123" s="1168"/>
    </row>
    <row r="33124" spans="2:2" s="221" customFormat="1" ht="12.75" x14ac:dyDescent="0.2">
      <c r="B33124" s="1168"/>
    </row>
    <row r="33125" spans="2:2" s="221" customFormat="1" ht="12.75" x14ac:dyDescent="0.2">
      <c r="B33125" s="1168"/>
    </row>
    <row r="33126" spans="2:2" s="221" customFormat="1" ht="12.75" x14ac:dyDescent="0.2">
      <c r="B33126" s="1168"/>
    </row>
    <row r="33127" spans="2:2" s="221" customFormat="1" ht="12.75" x14ac:dyDescent="0.2">
      <c r="B33127" s="1168"/>
    </row>
    <row r="33128" spans="2:2" s="221" customFormat="1" ht="12.75" x14ac:dyDescent="0.2">
      <c r="B33128" s="1168"/>
    </row>
    <row r="33129" spans="2:2" s="221" customFormat="1" ht="12.75" x14ac:dyDescent="0.2">
      <c r="B33129" s="1168"/>
    </row>
    <row r="33130" spans="2:2" s="221" customFormat="1" ht="12.75" x14ac:dyDescent="0.2">
      <c r="B33130" s="1168"/>
    </row>
    <row r="33131" spans="2:2" s="221" customFormat="1" ht="12.75" x14ac:dyDescent="0.2">
      <c r="B33131" s="1168"/>
    </row>
    <row r="33132" spans="2:2" s="221" customFormat="1" ht="12.75" x14ac:dyDescent="0.2">
      <c r="B33132" s="1168"/>
    </row>
    <row r="33133" spans="2:2" s="221" customFormat="1" ht="12.75" x14ac:dyDescent="0.2">
      <c r="B33133" s="1168"/>
    </row>
    <row r="33134" spans="2:2" s="221" customFormat="1" ht="12.75" x14ac:dyDescent="0.2">
      <c r="B33134" s="1168"/>
    </row>
    <row r="33135" spans="2:2" s="221" customFormat="1" ht="12.75" x14ac:dyDescent="0.2">
      <c r="B33135" s="1168"/>
    </row>
    <row r="33136" spans="2:2" s="221" customFormat="1" ht="12.75" x14ac:dyDescent="0.2">
      <c r="B33136" s="1168"/>
    </row>
    <row r="33137" spans="2:2" s="221" customFormat="1" ht="12.75" x14ac:dyDescent="0.2">
      <c r="B33137" s="1168"/>
    </row>
    <row r="33138" spans="2:2" s="221" customFormat="1" ht="12.75" x14ac:dyDescent="0.2">
      <c r="B33138" s="1168"/>
    </row>
    <row r="33139" spans="2:2" s="221" customFormat="1" ht="12.75" x14ac:dyDescent="0.2">
      <c r="B33139" s="1168"/>
    </row>
    <row r="33140" spans="2:2" s="221" customFormat="1" ht="12.75" x14ac:dyDescent="0.2">
      <c r="B33140" s="1168"/>
    </row>
    <row r="33141" spans="2:2" s="221" customFormat="1" ht="12.75" x14ac:dyDescent="0.2">
      <c r="B33141" s="1168"/>
    </row>
    <row r="33142" spans="2:2" s="221" customFormat="1" ht="12.75" x14ac:dyDescent="0.2">
      <c r="B33142" s="1168"/>
    </row>
    <row r="33143" spans="2:2" s="221" customFormat="1" ht="12.75" x14ac:dyDescent="0.2">
      <c r="B33143" s="1168"/>
    </row>
    <row r="33144" spans="2:2" s="221" customFormat="1" ht="12.75" x14ac:dyDescent="0.2">
      <c r="B33144" s="1168"/>
    </row>
    <row r="33145" spans="2:2" s="221" customFormat="1" ht="12.75" x14ac:dyDescent="0.2">
      <c r="B33145" s="1168"/>
    </row>
    <row r="33146" spans="2:2" s="221" customFormat="1" ht="12.75" x14ac:dyDescent="0.2">
      <c r="B33146" s="1168"/>
    </row>
    <row r="33147" spans="2:2" s="221" customFormat="1" ht="12.75" x14ac:dyDescent="0.2">
      <c r="B33147" s="1168"/>
    </row>
    <row r="33148" spans="2:2" s="221" customFormat="1" ht="12.75" x14ac:dyDescent="0.2">
      <c r="B33148" s="1168"/>
    </row>
    <row r="33149" spans="2:2" s="221" customFormat="1" ht="12.75" x14ac:dyDescent="0.2">
      <c r="B33149" s="1168"/>
    </row>
    <row r="33150" spans="2:2" s="221" customFormat="1" ht="12.75" x14ac:dyDescent="0.2">
      <c r="B33150" s="1168"/>
    </row>
    <row r="33151" spans="2:2" s="221" customFormat="1" ht="12.75" x14ac:dyDescent="0.2">
      <c r="B33151" s="1168"/>
    </row>
    <row r="33152" spans="2:2" s="221" customFormat="1" ht="12.75" x14ac:dyDescent="0.2">
      <c r="B33152" s="1168"/>
    </row>
    <row r="33153" spans="2:2" s="221" customFormat="1" ht="12.75" x14ac:dyDescent="0.2">
      <c r="B33153" s="1168"/>
    </row>
    <row r="33154" spans="2:2" s="221" customFormat="1" ht="12.75" x14ac:dyDescent="0.2">
      <c r="B33154" s="1168"/>
    </row>
    <row r="33155" spans="2:2" s="221" customFormat="1" ht="12.75" x14ac:dyDescent="0.2">
      <c r="B33155" s="1168"/>
    </row>
    <row r="33156" spans="2:2" s="221" customFormat="1" ht="12.75" x14ac:dyDescent="0.2">
      <c r="B33156" s="1168"/>
    </row>
    <row r="33157" spans="2:2" s="221" customFormat="1" ht="12.75" x14ac:dyDescent="0.2">
      <c r="B33157" s="1168"/>
    </row>
    <row r="33158" spans="2:2" s="221" customFormat="1" ht="12.75" x14ac:dyDescent="0.2">
      <c r="B33158" s="1168"/>
    </row>
    <row r="33159" spans="2:2" s="221" customFormat="1" ht="12.75" x14ac:dyDescent="0.2">
      <c r="B33159" s="1168"/>
    </row>
    <row r="33160" spans="2:2" s="221" customFormat="1" ht="12.75" x14ac:dyDescent="0.2">
      <c r="B33160" s="1168"/>
    </row>
    <row r="33161" spans="2:2" s="221" customFormat="1" ht="12.75" x14ac:dyDescent="0.2">
      <c r="B33161" s="1168"/>
    </row>
    <row r="33162" spans="2:2" s="221" customFormat="1" ht="12.75" x14ac:dyDescent="0.2">
      <c r="B33162" s="1168"/>
    </row>
    <row r="33163" spans="2:2" s="221" customFormat="1" ht="12.75" x14ac:dyDescent="0.2">
      <c r="B33163" s="1168"/>
    </row>
    <row r="33164" spans="2:2" s="221" customFormat="1" ht="12.75" x14ac:dyDescent="0.2">
      <c r="B33164" s="1168"/>
    </row>
    <row r="33165" spans="2:2" s="221" customFormat="1" ht="12.75" x14ac:dyDescent="0.2">
      <c r="B33165" s="1168"/>
    </row>
    <row r="33166" spans="2:2" s="221" customFormat="1" ht="12.75" x14ac:dyDescent="0.2">
      <c r="B33166" s="1168"/>
    </row>
    <row r="33167" spans="2:2" s="221" customFormat="1" ht="12.75" x14ac:dyDescent="0.2">
      <c r="B33167" s="1168"/>
    </row>
    <row r="33168" spans="2:2" s="221" customFormat="1" ht="12.75" x14ac:dyDescent="0.2">
      <c r="B33168" s="1168"/>
    </row>
    <row r="33169" spans="2:2" s="221" customFormat="1" ht="12.75" x14ac:dyDescent="0.2">
      <c r="B33169" s="1168"/>
    </row>
    <row r="33170" spans="2:2" s="221" customFormat="1" ht="12.75" x14ac:dyDescent="0.2">
      <c r="B33170" s="1168"/>
    </row>
    <row r="33171" spans="2:2" s="221" customFormat="1" ht="12.75" x14ac:dyDescent="0.2">
      <c r="B33171" s="1168"/>
    </row>
    <row r="33172" spans="2:2" s="221" customFormat="1" ht="12.75" x14ac:dyDescent="0.2">
      <c r="B33172" s="1168"/>
    </row>
    <row r="33173" spans="2:2" s="221" customFormat="1" ht="12.75" x14ac:dyDescent="0.2">
      <c r="B33173" s="1168"/>
    </row>
    <row r="33174" spans="2:2" s="221" customFormat="1" ht="12.75" x14ac:dyDescent="0.2">
      <c r="B33174" s="1168"/>
    </row>
    <row r="33175" spans="2:2" s="221" customFormat="1" ht="12.75" x14ac:dyDescent="0.2">
      <c r="B33175" s="1168"/>
    </row>
    <row r="33176" spans="2:2" s="221" customFormat="1" ht="12.75" x14ac:dyDescent="0.2">
      <c r="B33176" s="1168"/>
    </row>
    <row r="33177" spans="2:2" s="221" customFormat="1" ht="12.75" x14ac:dyDescent="0.2">
      <c r="B33177" s="1168"/>
    </row>
    <row r="33178" spans="2:2" s="221" customFormat="1" ht="12.75" x14ac:dyDescent="0.2">
      <c r="B33178" s="1168"/>
    </row>
    <row r="33179" spans="2:2" s="221" customFormat="1" ht="12.75" x14ac:dyDescent="0.2">
      <c r="B33179" s="1168"/>
    </row>
    <row r="33180" spans="2:2" s="221" customFormat="1" ht="12.75" x14ac:dyDescent="0.2">
      <c r="B33180" s="1168"/>
    </row>
    <row r="33181" spans="2:2" s="221" customFormat="1" ht="12.75" x14ac:dyDescent="0.2">
      <c r="B33181" s="1168"/>
    </row>
    <row r="33182" spans="2:2" s="221" customFormat="1" ht="12.75" x14ac:dyDescent="0.2">
      <c r="B33182" s="1168"/>
    </row>
    <row r="33183" spans="2:2" s="221" customFormat="1" ht="12.75" x14ac:dyDescent="0.2">
      <c r="B33183" s="1168"/>
    </row>
    <row r="33184" spans="2:2" s="221" customFormat="1" ht="12.75" x14ac:dyDescent="0.2">
      <c r="B33184" s="1168"/>
    </row>
    <row r="33185" spans="2:2" s="221" customFormat="1" ht="12.75" x14ac:dyDescent="0.2">
      <c r="B33185" s="1168"/>
    </row>
    <row r="33186" spans="2:2" s="221" customFormat="1" ht="12.75" x14ac:dyDescent="0.2">
      <c r="B33186" s="1168"/>
    </row>
    <row r="33187" spans="2:2" s="221" customFormat="1" ht="12.75" x14ac:dyDescent="0.2">
      <c r="B33187" s="1168"/>
    </row>
    <row r="33188" spans="2:2" s="221" customFormat="1" ht="12.75" x14ac:dyDescent="0.2">
      <c r="B33188" s="1168"/>
    </row>
    <row r="33189" spans="2:2" s="221" customFormat="1" ht="12.75" x14ac:dyDescent="0.2">
      <c r="B33189" s="1168"/>
    </row>
    <row r="33190" spans="2:2" s="221" customFormat="1" ht="12.75" x14ac:dyDescent="0.2">
      <c r="B33190" s="1168"/>
    </row>
    <row r="33191" spans="2:2" s="221" customFormat="1" ht="12.75" x14ac:dyDescent="0.2">
      <c r="B33191" s="1168"/>
    </row>
    <row r="33192" spans="2:2" s="221" customFormat="1" ht="12.75" x14ac:dyDescent="0.2">
      <c r="B33192" s="1168"/>
    </row>
    <row r="33193" spans="2:2" s="221" customFormat="1" ht="12.75" x14ac:dyDescent="0.2">
      <c r="B33193" s="1168"/>
    </row>
    <row r="33194" spans="2:2" s="221" customFormat="1" ht="12.75" x14ac:dyDescent="0.2">
      <c r="B33194" s="1168"/>
    </row>
    <row r="33195" spans="2:2" s="221" customFormat="1" ht="12.75" x14ac:dyDescent="0.2">
      <c r="B33195" s="1168"/>
    </row>
    <row r="33196" spans="2:2" s="221" customFormat="1" ht="12.75" x14ac:dyDescent="0.2">
      <c r="B33196" s="1168"/>
    </row>
    <row r="33197" spans="2:2" s="221" customFormat="1" ht="12.75" x14ac:dyDescent="0.2">
      <c r="B33197" s="1168"/>
    </row>
    <row r="33198" spans="2:2" s="221" customFormat="1" ht="12.75" x14ac:dyDescent="0.2">
      <c r="B33198" s="1168"/>
    </row>
    <row r="33199" spans="2:2" s="221" customFormat="1" ht="12.75" x14ac:dyDescent="0.2">
      <c r="B33199" s="1168"/>
    </row>
    <row r="33200" spans="2:2" s="221" customFormat="1" ht="12.75" x14ac:dyDescent="0.2">
      <c r="B33200" s="1168"/>
    </row>
    <row r="33201" spans="2:2" s="221" customFormat="1" ht="12.75" x14ac:dyDescent="0.2">
      <c r="B33201" s="1168"/>
    </row>
    <row r="33202" spans="2:2" s="221" customFormat="1" ht="12.75" x14ac:dyDescent="0.2">
      <c r="B33202" s="1168"/>
    </row>
    <row r="33203" spans="2:2" s="221" customFormat="1" ht="12.75" x14ac:dyDescent="0.2">
      <c r="B33203" s="1168"/>
    </row>
    <row r="33204" spans="2:2" s="221" customFormat="1" ht="12.75" x14ac:dyDescent="0.2">
      <c r="B33204" s="1168"/>
    </row>
    <row r="33205" spans="2:2" s="221" customFormat="1" ht="12.75" x14ac:dyDescent="0.2">
      <c r="B33205" s="1168"/>
    </row>
    <row r="33206" spans="2:2" s="221" customFormat="1" ht="12.75" x14ac:dyDescent="0.2">
      <c r="B33206" s="1168"/>
    </row>
    <row r="33207" spans="2:2" s="221" customFormat="1" ht="12.75" x14ac:dyDescent="0.2">
      <c r="B33207" s="1168"/>
    </row>
    <row r="33208" spans="2:2" s="221" customFormat="1" ht="12.75" x14ac:dyDescent="0.2">
      <c r="B33208" s="1168"/>
    </row>
    <row r="33209" spans="2:2" s="221" customFormat="1" ht="12.75" x14ac:dyDescent="0.2">
      <c r="B33209" s="1168"/>
    </row>
    <row r="33210" spans="2:2" s="221" customFormat="1" ht="12.75" x14ac:dyDescent="0.2">
      <c r="B33210" s="1168"/>
    </row>
    <row r="33211" spans="2:2" s="221" customFormat="1" ht="12.75" x14ac:dyDescent="0.2">
      <c r="B33211" s="1168"/>
    </row>
    <row r="33212" spans="2:2" s="221" customFormat="1" ht="12.75" x14ac:dyDescent="0.2">
      <c r="B33212" s="1168"/>
    </row>
    <row r="33213" spans="2:2" s="221" customFormat="1" ht="12.75" x14ac:dyDescent="0.2">
      <c r="B33213" s="1168"/>
    </row>
    <row r="33214" spans="2:2" s="221" customFormat="1" ht="12.75" x14ac:dyDescent="0.2">
      <c r="B33214" s="1168"/>
    </row>
    <row r="33215" spans="2:2" s="221" customFormat="1" ht="12.75" x14ac:dyDescent="0.2">
      <c r="B33215" s="1168"/>
    </row>
    <row r="33216" spans="2:2" s="221" customFormat="1" ht="12.75" x14ac:dyDescent="0.2">
      <c r="B33216" s="1168"/>
    </row>
    <row r="33217" spans="2:2" s="221" customFormat="1" ht="12.75" x14ac:dyDescent="0.2">
      <c r="B33217" s="1168"/>
    </row>
    <row r="33218" spans="2:2" s="221" customFormat="1" ht="12.75" x14ac:dyDescent="0.2">
      <c r="B33218" s="1168"/>
    </row>
    <row r="33219" spans="2:2" s="221" customFormat="1" ht="12.75" x14ac:dyDescent="0.2">
      <c r="B33219" s="1168"/>
    </row>
    <row r="33220" spans="2:2" s="221" customFormat="1" ht="12.75" x14ac:dyDescent="0.2">
      <c r="B33220" s="1168"/>
    </row>
    <row r="33221" spans="2:2" s="221" customFormat="1" ht="12.75" x14ac:dyDescent="0.2">
      <c r="B33221" s="1168"/>
    </row>
    <row r="33222" spans="2:2" s="221" customFormat="1" ht="12.75" x14ac:dyDescent="0.2">
      <c r="B33222" s="1168"/>
    </row>
    <row r="33223" spans="2:2" s="221" customFormat="1" ht="12.75" x14ac:dyDescent="0.2">
      <c r="B33223" s="1168"/>
    </row>
    <row r="33224" spans="2:2" s="221" customFormat="1" ht="12.75" x14ac:dyDescent="0.2">
      <c r="B33224" s="1168"/>
    </row>
    <row r="33225" spans="2:2" s="221" customFormat="1" ht="12.75" x14ac:dyDescent="0.2">
      <c r="B33225" s="1168"/>
    </row>
    <row r="33226" spans="2:2" s="221" customFormat="1" ht="12.75" x14ac:dyDescent="0.2">
      <c r="B33226" s="1168"/>
    </row>
    <row r="33227" spans="2:2" s="221" customFormat="1" ht="12.75" x14ac:dyDescent="0.2">
      <c r="B33227" s="1168"/>
    </row>
    <row r="33228" spans="2:2" s="221" customFormat="1" ht="12.75" x14ac:dyDescent="0.2">
      <c r="B33228" s="1168"/>
    </row>
    <row r="33229" spans="2:2" s="221" customFormat="1" ht="12.75" x14ac:dyDescent="0.2">
      <c r="B33229" s="1168"/>
    </row>
    <row r="33230" spans="2:2" s="221" customFormat="1" ht="12.75" x14ac:dyDescent="0.2">
      <c r="B33230" s="1168"/>
    </row>
    <row r="33231" spans="2:2" s="221" customFormat="1" ht="12.75" x14ac:dyDescent="0.2">
      <c r="B33231" s="1168"/>
    </row>
    <row r="33232" spans="2:2" s="221" customFormat="1" ht="12.75" x14ac:dyDescent="0.2">
      <c r="B33232" s="1168"/>
    </row>
    <row r="33233" spans="2:2" s="221" customFormat="1" ht="12.75" x14ac:dyDescent="0.2">
      <c r="B33233" s="1168"/>
    </row>
    <row r="33234" spans="2:2" s="221" customFormat="1" ht="12.75" x14ac:dyDescent="0.2">
      <c r="B33234" s="1168"/>
    </row>
    <row r="33235" spans="2:2" s="221" customFormat="1" ht="12.75" x14ac:dyDescent="0.2">
      <c r="B33235" s="1168"/>
    </row>
    <row r="33236" spans="2:2" s="221" customFormat="1" ht="12.75" x14ac:dyDescent="0.2">
      <c r="B33236" s="1168"/>
    </row>
    <row r="33237" spans="2:2" s="221" customFormat="1" ht="12.75" x14ac:dyDescent="0.2">
      <c r="B33237" s="1168"/>
    </row>
    <row r="33238" spans="2:2" s="221" customFormat="1" ht="12.75" x14ac:dyDescent="0.2">
      <c r="B33238" s="1168"/>
    </row>
    <row r="33239" spans="2:2" s="221" customFormat="1" ht="12.75" x14ac:dyDescent="0.2">
      <c r="B33239" s="1168"/>
    </row>
    <row r="33240" spans="2:2" s="221" customFormat="1" ht="12.75" x14ac:dyDescent="0.2">
      <c r="B33240" s="1168"/>
    </row>
    <row r="33241" spans="2:2" s="221" customFormat="1" ht="12.75" x14ac:dyDescent="0.2">
      <c r="B33241" s="1168"/>
    </row>
    <row r="33242" spans="2:2" s="221" customFormat="1" ht="12.75" x14ac:dyDescent="0.2">
      <c r="B33242" s="1168"/>
    </row>
    <row r="33243" spans="2:2" s="221" customFormat="1" ht="12.75" x14ac:dyDescent="0.2">
      <c r="B33243" s="1168"/>
    </row>
    <row r="33244" spans="2:2" s="221" customFormat="1" ht="12.75" x14ac:dyDescent="0.2">
      <c r="B33244" s="1168"/>
    </row>
    <row r="33245" spans="2:2" s="221" customFormat="1" ht="12.75" x14ac:dyDescent="0.2">
      <c r="B33245" s="1168"/>
    </row>
    <row r="33246" spans="2:2" s="221" customFormat="1" ht="12.75" x14ac:dyDescent="0.2">
      <c r="B33246" s="1168"/>
    </row>
    <row r="33247" spans="2:2" s="221" customFormat="1" ht="12.75" x14ac:dyDescent="0.2">
      <c r="B33247" s="1168"/>
    </row>
    <row r="33248" spans="2:2" s="221" customFormat="1" ht="12.75" x14ac:dyDescent="0.2">
      <c r="B33248" s="1168"/>
    </row>
    <row r="33249" spans="2:2" s="221" customFormat="1" ht="12.75" x14ac:dyDescent="0.2">
      <c r="B33249" s="1168"/>
    </row>
    <row r="33250" spans="2:2" s="221" customFormat="1" ht="12.75" x14ac:dyDescent="0.2">
      <c r="B33250" s="1168"/>
    </row>
    <row r="33251" spans="2:2" s="221" customFormat="1" ht="12.75" x14ac:dyDescent="0.2">
      <c r="B33251" s="1168"/>
    </row>
    <row r="33252" spans="2:2" s="221" customFormat="1" ht="12.75" x14ac:dyDescent="0.2">
      <c r="B33252" s="1168"/>
    </row>
    <row r="33253" spans="2:2" s="221" customFormat="1" ht="12.75" x14ac:dyDescent="0.2">
      <c r="B33253" s="1168"/>
    </row>
    <row r="33254" spans="2:2" s="221" customFormat="1" ht="12.75" x14ac:dyDescent="0.2">
      <c r="B33254" s="1168"/>
    </row>
    <row r="33255" spans="2:2" s="221" customFormat="1" ht="12.75" x14ac:dyDescent="0.2">
      <c r="B33255" s="1168"/>
    </row>
    <row r="33256" spans="2:2" s="221" customFormat="1" ht="12.75" x14ac:dyDescent="0.2">
      <c r="B33256" s="1168"/>
    </row>
    <row r="33257" spans="2:2" s="221" customFormat="1" ht="12.75" x14ac:dyDescent="0.2">
      <c r="B33257" s="1168"/>
    </row>
    <row r="33258" spans="2:2" s="221" customFormat="1" ht="12.75" x14ac:dyDescent="0.2">
      <c r="B33258" s="1168"/>
    </row>
    <row r="33259" spans="2:2" s="221" customFormat="1" ht="12.75" x14ac:dyDescent="0.2">
      <c r="B33259" s="1168"/>
    </row>
    <row r="33260" spans="2:2" s="221" customFormat="1" ht="12.75" x14ac:dyDescent="0.2">
      <c r="B33260" s="1168"/>
    </row>
    <row r="33261" spans="2:2" s="221" customFormat="1" ht="12.75" x14ac:dyDescent="0.2">
      <c r="B33261" s="1168"/>
    </row>
    <row r="33262" spans="2:2" s="221" customFormat="1" ht="12.75" x14ac:dyDescent="0.2">
      <c r="B33262" s="1168"/>
    </row>
    <row r="33263" spans="2:2" s="221" customFormat="1" ht="12.75" x14ac:dyDescent="0.2">
      <c r="B33263" s="1168"/>
    </row>
    <row r="33264" spans="2:2" s="221" customFormat="1" ht="12.75" x14ac:dyDescent="0.2">
      <c r="B33264" s="1168"/>
    </row>
    <row r="33265" spans="2:2" s="221" customFormat="1" ht="12.75" x14ac:dyDescent="0.2">
      <c r="B33265" s="1168"/>
    </row>
    <row r="33266" spans="2:2" s="221" customFormat="1" ht="12.75" x14ac:dyDescent="0.2">
      <c r="B33266" s="1168"/>
    </row>
    <row r="33267" spans="2:2" s="221" customFormat="1" ht="12.75" x14ac:dyDescent="0.2">
      <c r="B33267" s="1168"/>
    </row>
    <row r="33268" spans="2:2" s="221" customFormat="1" ht="12.75" x14ac:dyDescent="0.2">
      <c r="B33268" s="1168"/>
    </row>
    <row r="33269" spans="2:2" s="221" customFormat="1" ht="12.75" x14ac:dyDescent="0.2">
      <c r="B33269" s="1168"/>
    </row>
    <row r="33270" spans="2:2" s="221" customFormat="1" ht="12.75" x14ac:dyDescent="0.2">
      <c r="B33270" s="1168"/>
    </row>
    <row r="33271" spans="2:2" s="221" customFormat="1" ht="12.75" x14ac:dyDescent="0.2">
      <c r="B33271" s="1168"/>
    </row>
    <row r="33272" spans="2:2" s="221" customFormat="1" ht="12.75" x14ac:dyDescent="0.2">
      <c r="B33272" s="1168"/>
    </row>
    <row r="33273" spans="2:2" s="221" customFormat="1" ht="12.75" x14ac:dyDescent="0.2">
      <c r="B33273" s="1168"/>
    </row>
    <row r="33274" spans="2:2" s="221" customFormat="1" ht="12.75" x14ac:dyDescent="0.2">
      <c r="B33274" s="1168"/>
    </row>
    <row r="33275" spans="2:2" s="221" customFormat="1" ht="12.75" x14ac:dyDescent="0.2">
      <c r="B33275" s="1168"/>
    </row>
    <row r="33276" spans="2:2" s="221" customFormat="1" ht="12.75" x14ac:dyDescent="0.2">
      <c r="B33276" s="1168"/>
    </row>
    <row r="33277" spans="2:2" s="221" customFormat="1" ht="12.75" x14ac:dyDescent="0.2">
      <c r="B33277" s="1168"/>
    </row>
    <row r="33278" spans="2:2" s="221" customFormat="1" ht="12.75" x14ac:dyDescent="0.2">
      <c r="B33278" s="1168"/>
    </row>
    <row r="33279" spans="2:2" s="221" customFormat="1" ht="12.75" x14ac:dyDescent="0.2">
      <c r="B33279" s="1168"/>
    </row>
    <row r="33280" spans="2:2" s="221" customFormat="1" ht="12.75" x14ac:dyDescent="0.2">
      <c r="B33280" s="1168"/>
    </row>
    <row r="33281" spans="2:2" s="221" customFormat="1" ht="12.75" x14ac:dyDescent="0.2">
      <c r="B33281" s="1168"/>
    </row>
    <row r="33282" spans="2:2" s="221" customFormat="1" ht="12.75" x14ac:dyDescent="0.2">
      <c r="B33282" s="1168"/>
    </row>
    <row r="33283" spans="2:2" s="221" customFormat="1" ht="12.75" x14ac:dyDescent="0.2">
      <c r="B33283" s="1168"/>
    </row>
    <row r="33284" spans="2:2" s="221" customFormat="1" ht="12.75" x14ac:dyDescent="0.2">
      <c r="B33284" s="1168"/>
    </row>
    <row r="33285" spans="2:2" s="221" customFormat="1" ht="12.75" x14ac:dyDescent="0.2">
      <c r="B33285" s="1168"/>
    </row>
    <row r="33286" spans="2:2" s="221" customFormat="1" ht="12.75" x14ac:dyDescent="0.2">
      <c r="B33286" s="1168"/>
    </row>
    <row r="33287" spans="2:2" s="221" customFormat="1" ht="12.75" x14ac:dyDescent="0.2">
      <c r="B33287" s="1168"/>
    </row>
    <row r="33288" spans="2:2" s="221" customFormat="1" ht="12.75" x14ac:dyDescent="0.2">
      <c r="B33288" s="1168"/>
    </row>
    <row r="33289" spans="2:2" s="221" customFormat="1" ht="12.75" x14ac:dyDescent="0.2">
      <c r="B33289" s="1168"/>
    </row>
    <row r="33290" spans="2:2" s="221" customFormat="1" ht="12.75" x14ac:dyDescent="0.2">
      <c r="B33290" s="1168"/>
    </row>
    <row r="33291" spans="2:2" s="221" customFormat="1" ht="12.75" x14ac:dyDescent="0.2">
      <c r="B33291" s="1168"/>
    </row>
    <row r="33292" spans="2:2" s="221" customFormat="1" ht="12.75" x14ac:dyDescent="0.2">
      <c r="B33292" s="1168"/>
    </row>
    <row r="33293" spans="2:2" s="221" customFormat="1" ht="12.75" x14ac:dyDescent="0.2">
      <c r="B33293" s="1168"/>
    </row>
    <row r="33294" spans="2:2" s="221" customFormat="1" ht="12.75" x14ac:dyDescent="0.2">
      <c r="B33294" s="1168"/>
    </row>
    <row r="33295" spans="2:2" s="221" customFormat="1" ht="12.75" x14ac:dyDescent="0.2">
      <c r="B33295" s="1168"/>
    </row>
    <row r="33296" spans="2:2" s="221" customFormat="1" ht="12.75" x14ac:dyDescent="0.2">
      <c r="B33296" s="1168"/>
    </row>
    <row r="33297" spans="2:2" s="221" customFormat="1" ht="12.75" x14ac:dyDescent="0.2">
      <c r="B33297" s="1168"/>
    </row>
    <row r="33298" spans="2:2" s="221" customFormat="1" ht="12.75" x14ac:dyDescent="0.2">
      <c r="B33298" s="1168"/>
    </row>
    <row r="33299" spans="2:2" s="221" customFormat="1" ht="12.75" x14ac:dyDescent="0.2">
      <c r="B33299" s="1168"/>
    </row>
    <row r="33300" spans="2:2" s="221" customFormat="1" ht="12.75" x14ac:dyDescent="0.2">
      <c r="B33300" s="1168"/>
    </row>
    <row r="33301" spans="2:2" s="221" customFormat="1" ht="12.75" x14ac:dyDescent="0.2">
      <c r="B33301" s="1168"/>
    </row>
    <row r="33302" spans="2:2" s="221" customFormat="1" ht="12.75" x14ac:dyDescent="0.2">
      <c r="B33302" s="1168"/>
    </row>
    <row r="33303" spans="2:2" s="221" customFormat="1" ht="12.75" x14ac:dyDescent="0.2">
      <c r="B33303" s="1168"/>
    </row>
    <row r="33304" spans="2:2" s="221" customFormat="1" ht="12.75" x14ac:dyDescent="0.2">
      <c r="B33304" s="1168"/>
    </row>
    <row r="33305" spans="2:2" s="221" customFormat="1" ht="12.75" x14ac:dyDescent="0.2">
      <c r="B33305" s="1168"/>
    </row>
    <row r="33306" spans="2:2" s="221" customFormat="1" ht="12.75" x14ac:dyDescent="0.2">
      <c r="B33306" s="1168"/>
    </row>
    <row r="33307" spans="2:2" s="221" customFormat="1" ht="12.75" x14ac:dyDescent="0.2">
      <c r="B33307" s="1168"/>
    </row>
    <row r="33308" spans="2:2" s="221" customFormat="1" ht="12.75" x14ac:dyDescent="0.2">
      <c r="B33308" s="1168"/>
    </row>
    <row r="33309" spans="2:2" s="221" customFormat="1" ht="12.75" x14ac:dyDescent="0.2">
      <c r="B33309" s="1168"/>
    </row>
    <row r="33310" spans="2:2" s="221" customFormat="1" ht="12.75" x14ac:dyDescent="0.2">
      <c r="B33310" s="1168"/>
    </row>
    <row r="33311" spans="2:2" s="221" customFormat="1" ht="12.75" x14ac:dyDescent="0.2">
      <c r="B33311" s="1168"/>
    </row>
    <row r="33312" spans="2:2" s="221" customFormat="1" ht="12.75" x14ac:dyDescent="0.2">
      <c r="B33312" s="1168"/>
    </row>
    <row r="33313" spans="2:2" s="221" customFormat="1" ht="12.75" x14ac:dyDescent="0.2">
      <c r="B33313" s="1168"/>
    </row>
    <row r="33314" spans="2:2" s="221" customFormat="1" ht="12.75" x14ac:dyDescent="0.2">
      <c r="B33314" s="1168"/>
    </row>
    <row r="33315" spans="2:2" s="221" customFormat="1" ht="12.75" x14ac:dyDescent="0.2">
      <c r="B33315" s="1168"/>
    </row>
    <row r="33316" spans="2:2" s="221" customFormat="1" ht="12.75" x14ac:dyDescent="0.2">
      <c r="B33316" s="1168"/>
    </row>
    <row r="33317" spans="2:2" s="221" customFormat="1" ht="12.75" x14ac:dyDescent="0.2">
      <c r="B33317" s="1168"/>
    </row>
    <row r="33318" spans="2:2" s="221" customFormat="1" ht="12.75" x14ac:dyDescent="0.2">
      <c r="B33318" s="1168"/>
    </row>
    <row r="33319" spans="2:2" s="221" customFormat="1" ht="12.75" x14ac:dyDescent="0.2">
      <c r="B33319" s="1168"/>
    </row>
    <row r="33320" spans="2:2" s="221" customFormat="1" ht="12.75" x14ac:dyDescent="0.2">
      <c r="B33320" s="1168"/>
    </row>
    <row r="33321" spans="2:2" s="221" customFormat="1" ht="12.75" x14ac:dyDescent="0.2">
      <c r="B33321" s="1168"/>
    </row>
    <row r="33322" spans="2:2" s="221" customFormat="1" ht="12.75" x14ac:dyDescent="0.2">
      <c r="B33322" s="1168"/>
    </row>
    <row r="33323" spans="2:2" s="221" customFormat="1" ht="12.75" x14ac:dyDescent="0.2">
      <c r="B33323" s="1168"/>
    </row>
    <row r="33324" spans="2:2" s="221" customFormat="1" ht="12.75" x14ac:dyDescent="0.2">
      <c r="B33324" s="1168"/>
    </row>
    <row r="33325" spans="2:2" s="221" customFormat="1" ht="12.75" x14ac:dyDescent="0.2">
      <c r="B33325" s="1168"/>
    </row>
    <row r="33326" spans="2:2" s="221" customFormat="1" ht="12.75" x14ac:dyDescent="0.2">
      <c r="B33326" s="1168"/>
    </row>
    <row r="33327" spans="2:2" s="221" customFormat="1" ht="12.75" x14ac:dyDescent="0.2">
      <c r="B33327" s="1168"/>
    </row>
    <row r="33328" spans="2:2" s="221" customFormat="1" ht="12.75" x14ac:dyDescent="0.2">
      <c r="B33328" s="1168"/>
    </row>
    <row r="33329" spans="2:2" s="221" customFormat="1" ht="12.75" x14ac:dyDescent="0.2">
      <c r="B33329" s="1168"/>
    </row>
    <row r="33330" spans="2:2" s="221" customFormat="1" ht="12.75" x14ac:dyDescent="0.2">
      <c r="B33330" s="1168"/>
    </row>
    <row r="33331" spans="2:2" s="221" customFormat="1" ht="12.75" x14ac:dyDescent="0.2">
      <c r="B33331" s="1168"/>
    </row>
    <row r="33332" spans="2:2" s="221" customFormat="1" ht="12.75" x14ac:dyDescent="0.2">
      <c r="B33332" s="1168"/>
    </row>
    <row r="33333" spans="2:2" s="221" customFormat="1" ht="12.75" x14ac:dyDescent="0.2">
      <c r="B33333" s="1168"/>
    </row>
    <row r="33334" spans="2:2" s="221" customFormat="1" ht="12.75" x14ac:dyDescent="0.2">
      <c r="B33334" s="1168"/>
    </row>
    <row r="33335" spans="2:2" s="221" customFormat="1" ht="12.75" x14ac:dyDescent="0.2">
      <c r="B33335" s="1168"/>
    </row>
    <row r="33336" spans="2:2" s="221" customFormat="1" ht="12.75" x14ac:dyDescent="0.2">
      <c r="B33336" s="1168"/>
    </row>
    <row r="33337" spans="2:2" s="221" customFormat="1" ht="12.75" x14ac:dyDescent="0.2">
      <c r="B33337" s="1168"/>
    </row>
    <row r="33338" spans="2:2" s="221" customFormat="1" ht="12.75" x14ac:dyDescent="0.2">
      <c r="B33338" s="1168"/>
    </row>
    <row r="33339" spans="2:2" s="221" customFormat="1" ht="12.75" x14ac:dyDescent="0.2">
      <c r="B33339" s="1168"/>
    </row>
    <row r="33340" spans="2:2" s="221" customFormat="1" ht="12.75" x14ac:dyDescent="0.2">
      <c r="B33340" s="1168"/>
    </row>
    <row r="33341" spans="2:2" s="221" customFormat="1" ht="12.75" x14ac:dyDescent="0.2">
      <c r="B33341" s="1168"/>
    </row>
    <row r="33342" spans="2:2" s="221" customFormat="1" ht="12.75" x14ac:dyDescent="0.2">
      <c r="B33342" s="1168"/>
    </row>
    <row r="33343" spans="2:2" s="221" customFormat="1" ht="12.75" x14ac:dyDescent="0.2">
      <c r="B33343" s="1168"/>
    </row>
    <row r="33344" spans="2:2" s="221" customFormat="1" ht="12.75" x14ac:dyDescent="0.2">
      <c r="B33344" s="1168"/>
    </row>
    <row r="33345" spans="2:2" s="221" customFormat="1" ht="12.75" x14ac:dyDescent="0.2">
      <c r="B33345" s="1168"/>
    </row>
    <row r="33346" spans="2:2" s="221" customFormat="1" ht="12.75" x14ac:dyDescent="0.2">
      <c r="B33346" s="1168"/>
    </row>
    <row r="33347" spans="2:2" s="221" customFormat="1" ht="12.75" x14ac:dyDescent="0.2">
      <c r="B33347" s="1168"/>
    </row>
    <row r="33348" spans="2:2" s="221" customFormat="1" ht="12.75" x14ac:dyDescent="0.2">
      <c r="B33348" s="1168"/>
    </row>
    <row r="33349" spans="2:2" s="221" customFormat="1" ht="12.75" x14ac:dyDescent="0.2">
      <c r="B33349" s="1168"/>
    </row>
    <row r="33350" spans="2:2" s="221" customFormat="1" ht="12.75" x14ac:dyDescent="0.2">
      <c r="B33350" s="1168"/>
    </row>
    <row r="33351" spans="2:2" s="221" customFormat="1" ht="12.75" x14ac:dyDescent="0.2">
      <c r="B33351" s="1168"/>
    </row>
    <row r="33352" spans="2:2" s="221" customFormat="1" ht="12.75" x14ac:dyDescent="0.2">
      <c r="B33352" s="1168"/>
    </row>
    <row r="33353" spans="2:2" s="221" customFormat="1" ht="12.75" x14ac:dyDescent="0.2">
      <c r="B33353" s="1168"/>
    </row>
    <row r="33354" spans="2:2" s="221" customFormat="1" ht="12.75" x14ac:dyDescent="0.2">
      <c r="B33354" s="1168"/>
    </row>
    <row r="33355" spans="2:2" s="221" customFormat="1" ht="12.75" x14ac:dyDescent="0.2">
      <c r="B33355" s="1168"/>
    </row>
    <row r="33356" spans="2:2" s="221" customFormat="1" ht="12.75" x14ac:dyDescent="0.2">
      <c r="B33356" s="1168"/>
    </row>
    <row r="33357" spans="2:2" s="221" customFormat="1" ht="12.75" x14ac:dyDescent="0.2">
      <c r="B33357" s="1168"/>
    </row>
    <row r="33358" spans="2:2" s="221" customFormat="1" ht="12.75" x14ac:dyDescent="0.2">
      <c r="B33358" s="1168"/>
    </row>
    <row r="33359" spans="2:2" s="221" customFormat="1" ht="12.75" x14ac:dyDescent="0.2">
      <c r="B33359" s="1168"/>
    </row>
    <row r="33360" spans="2:2" s="221" customFormat="1" ht="12.75" x14ac:dyDescent="0.2">
      <c r="B33360" s="1168"/>
    </row>
    <row r="33361" spans="2:2" s="221" customFormat="1" ht="12.75" x14ac:dyDescent="0.2">
      <c r="B33361" s="1168"/>
    </row>
    <row r="33362" spans="2:2" s="221" customFormat="1" ht="12.75" x14ac:dyDescent="0.2">
      <c r="B33362" s="1168"/>
    </row>
    <row r="33363" spans="2:2" s="221" customFormat="1" ht="12.75" x14ac:dyDescent="0.2">
      <c r="B33363" s="1168"/>
    </row>
    <row r="33364" spans="2:2" s="221" customFormat="1" ht="12.75" x14ac:dyDescent="0.2">
      <c r="B33364" s="1168"/>
    </row>
    <row r="33365" spans="2:2" s="221" customFormat="1" ht="12.75" x14ac:dyDescent="0.2">
      <c r="B33365" s="1168"/>
    </row>
    <row r="33366" spans="2:2" s="221" customFormat="1" ht="12.75" x14ac:dyDescent="0.2">
      <c r="B33366" s="1168"/>
    </row>
    <row r="33367" spans="2:2" s="221" customFormat="1" ht="12.75" x14ac:dyDescent="0.2">
      <c r="B33367" s="1168"/>
    </row>
    <row r="33368" spans="2:2" s="221" customFormat="1" ht="12.75" x14ac:dyDescent="0.2">
      <c r="B33368" s="1168"/>
    </row>
    <row r="33369" spans="2:2" s="221" customFormat="1" ht="12.75" x14ac:dyDescent="0.2">
      <c r="B33369" s="1168"/>
    </row>
    <row r="33370" spans="2:2" s="221" customFormat="1" ht="12.75" x14ac:dyDescent="0.2">
      <c r="B33370" s="1168"/>
    </row>
    <row r="33371" spans="2:2" s="221" customFormat="1" ht="12.75" x14ac:dyDescent="0.2">
      <c r="B33371" s="1168"/>
    </row>
    <row r="33372" spans="2:2" s="221" customFormat="1" ht="12.75" x14ac:dyDescent="0.2">
      <c r="B33372" s="1168"/>
    </row>
    <row r="33373" spans="2:2" s="221" customFormat="1" ht="12.75" x14ac:dyDescent="0.2">
      <c r="B33373" s="1168"/>
    </row>
    <row r="33374" spans="2:2" s="221" customFormat="1" ht="12.75" x14ac:dyDescent="0.2">
      <c r="B33374" s="1168"/>
    </row>
    <row r="33375" spans="2:2" s="221" customFormat="1" ht="12.75" x14ac:dyDescent="0.2">
      <c r="B33375" s="1168"/>
    </row>
    <row r="33376" spans="2:2" s="221" customFormat="1" ht="12.75" x14ac:dyDescent="0.2">
      <c r="B33376" s="1168"/>
    </row>
    <row r="33377" spans="2:2" s="221" customFormat="1" ht="12.75" x14ac:dyDescent="0.2">
      <c r="B33377" s="1168"/>
    </row>
    <row r="33378" spans="2:2" s="221" customFormat="1" ht="12.75" x14ac:dyDescent="0.2">
      <c r="B33378" s="1168"/>
    </row>
    <row r="33379" spans="2:2" s="221" customFormat="1" ht="12.75" x14ac:dyDescent="0.2">
      <c r="B33379" s="1168"/>
    </row>
    <row r="33380" spans="2:2" s="221" customFormat="1" ht="12.75" x14ac:dyDescent="0.2">
      <c r="B33380" s="1168"/>
    </row>
    <row r="33381" spans="2:2" s="221" customFormat="1" ht="12.75" x14ac:dyDescent="0.2">
      <c r="B33381" s="1168"/>
    </row>
    <row r="33382" spans="2:2" s="221" customFormat="1" ht="12.75" x14ac:dyDescent="0.2">
      <c r="B33382" s="1168"/>
    </row>
    <row r="33383" spans="2:2" s="221" customFormat="1" ht="12.75" x14ac:dyDescent="0.2">
      <c r="B33383" s="1168"/>
    </row>
    <row r="33384" spans="2:2" s="221" customFormat="1" ht="12.75" x14ac:dyDescent="0.2">
      <c r="B33384" s="1168"/>
    </row>
    <row r="33385" spans="2:2" s="221" customFormat="1" ht="12.75" x14ac:dyDescent="0.2">
      <c r="B33385" s="1168"/>
    </row>
    <row r="33386" spans="2:2" s="221" customFormat="1" ht="12.75" x14ac:dyDescent="0.2">
      <c r="B33386" s="1168"/>
    </row>
    <row r="33387" spans="2:2" s="221" customFormat="1" ht="12.75" x14ac:dyDescent="0.2">
      <c r="B33387" s="1168"/>
    </row>
    <row r="33388" spans="2:2" s="221" customFormat="1" ht="12.75" x14ac:dyDescent="0.2">
      <c r="B33388" s="1168"/>
    </row>
    <row r="33389" spans="2:2" s="221" customFormat="1" ht="12.75" x14ac:dyDescent="0.2">
      <c r="B33389" s="1168"/>
    </row>
    <row r="33390" spans="2:2" s="221" customFormat="1" ht="12.75" x14ac:dyDescent="0.2">
      <c r="B33390" s="1168"/>
    </row>
    <row r="33391" spans="2:2" s="221" customFormat="1" ht="12.75" x14ac:dyDescent="0.2">
      <c r="B33391" s="1168"/>
    </row>
    <row r="33392" spans="2:2" s="221" customFormat="1" ht="12.75" x14ac:dyDescent="0.2">
      <c r="B33392" s="1168"/>
    </row>
    <row r="33393" spans="2:2" s="221" customFormat="1" ht="12.75" x14ac:dyDescent="0.2">
      <c r="B33393" s="1168"/>
    </row>
    <row r="33394" spans="2:2" s="221" customFormat="1" ht="12.75" x14ac:dyDescent="0.2">
      <c r="B33394" s="1168"/>
    </row>
    <row r="33395" spans="2:2" s="221" customFormat="1" ht="12.75" x14ac:dyDescent="0.2">
      <c r="B33395" s="1168"/>
    </row>
    <row r="33396" spans="2:2" s="221" customFormat="1" ht="12.75" x14ac:dyDescent="0.2">
      <c r="B33396" s="1168"/>
    </row>
    <row r="33397" spans="2:2" s="221" customFormat="1" ht="12.75" x14ac:dyDescent="0.2">
      <c r="B33397" s="1168"/>
    </row>
    <row r="33398" spans="2:2" s="221" customFormat="1" ht="12.75" x14ac:dyDescent="0.2">
      <c r="B33398" s="1168"/>
    </row>
    <row r="33399" spans="2:2" s="221" customFormat="1" ht="12.75" x14ac:dyDescent="0.2">
      <c r="B33399" s="1168"/>
    </row>
    <row r="33400" spans="2:2" s="221" customFormat="1" ht="12.75" x14ac:dyDescent="0.2">
      <c r="B33400" s="1168"/>
    </row>
    <row r="33401" spans="2:2" s="221" customFormat="1" ht="12.75" x14ac:dyDescent="0.2">
      <c r="B33401" s="1168"/>
    </row>
    <row r="33402" spans="2:2" s="221" customFormat="1" ht="12.75" x14ac:dyDescent="0.2">
      <c r="B33402" s="1168"/>
    </row>
    <row r="33403" spans="2:2" s="221" customFormat="1" ht="12.75" x14ac:dyDescent="0.2">
      <c r="B33403" s="1168"/>
    </row>
    <row r="33404" spans="2:2" s="221" customFormat="1" ht="12.75" x14ac:dyDescent="0.2">
      <c r="B33404" s="1168"/>
    </row>
    <row r="33405" spans="2:2" s="221" customFormat="1" ht="12.75" x14ac:dyDescent="0.2">
      <c r="B33405" s="1168"/>
    </row>
    <row r="33406" spans="2:2" s="221" customFormat="1" ht="12.75" x14ac:dyDescent="0.2">
      <c r="B33406" s="1168"/>
    </row>
    <row r="33407" spans="2:2" s="221" customFormat="1" ht="12.75" x14ac:dyDescent="0.2">
      <c r="B33407" s="1168"/>
    </row>
    <row r="33408" spans="2:2" s="221" customFormat="1" ht="12.75" x14ac:dyDescent="0.2">
      <c r="B33408" s="1168"/>
    </row>
    <row r="33409" spans="2:2" s="221" customFormat="1" ht="12.75" x14ac:dyDescent="0.2">
      <c r="B33409" s="1168"/>
    </row>
    <row r="33410" spans="2:2" s="221" customFormat="1" ht="12.75" x14ac:dyDescent="0.2">
      <c r="B33410" s="1168"/>
    </row>
    <row r="33411" spans="2:2" s="221" customFormat="1" ht="12.75" x14ac:dyDescent="0.2">
      <c r="B33411" s="1168"/>
    </row>
    <row r="33412" spans="2:2" s="221" customFormat="1" ht="12.75" x14ac:dyDescent="0.2">
      <c r="B33412" s="1168"/>
    </row>
    <row r="33413" spans="2:2" s="221" customFormat="1" ht="12.75" x14ac:dyDescent="0.2">
      <c r="B33413" s="1168"/>
    </row>
    <row r="33414" spans="2:2" s="221" customFormat="1" ht="12.75" x14ac:dyDescent="0.2">
      <c r="B33414" s="1168"/>
    </row>
    <row r="33415" spans="2:2" s="221" customFormat="1" ht="12.75" x14ac:dyDescent="0.2">
      <c r="B33415" s="1168"/>
    </row>
    <row r="33416" spans="2:2" s="221" customFormat="1" ht="12.75" x14ac:dyDescent="0.2">
      <c r="B33416" s="1168"/>
    </row>
    <row r="33417" spans="2:2" s="221" customFormat="1" ht="12.75" x14ac:dyDescent="0.2">
      <c r="B33417" s="1168"/>
    </row>
    <row r="33418" spans="2:2" s="221" customFormat="1" ht="12.75" x14ac:dyDescent="0.2">
      <c r="B33418" s="1168"/>
    </row>
    <row r="33419" spans="2:2" s="221" customFormat="1" ht="12.75" x14ac:dyDescent="0.2">
      <c r="B33419" s="1168"/>
    </row>
    <row r="33420" spans="2:2" s="221" customFormat="1" ht="12.75" x14ac:dyDescent="0.2">
      <c r="B33420" s="1168"/>
    </row>
    <row r="33421" spans="2:2" s="221" customFormat="1" ht="12.75" x14ac:dyDescent="0.2">
      <c r="B33421" s="1168"/>
    </row>
    <row r="33422" spans="2:2" s="221" customFormat="1" ht="12.75" x14ac:dyDescent="0.2">
      <c r="B33422" s="1168"/>
    </row>
    <row r="33423" spans="2:2" s="221" customFormat="1" ht="12.75" x14ac:dyDescent="0.2">
      <c r="B33423" s="1168"/>
    </row>
    <row r="33424" spans="2:2" s="221" customFormat="1" ht="12.75" x14ac:dyDescent="0.2">
      <c r="B33424" s="1168"/>
    </row>
    <row r="33425" spans="2:2" s="221" customFormat="1" ht="12.75" x14ac:dyDescent="0.2">
      <c r="B33425" s="1168"/>
    </row>
    <row r="33426" spans="2:2" s="221" customFormat="1" ht="12.75" x14ac:dyDescent="0.2">
      <c r="B33426" s="1168"/>
    </row>
    <row r="33427" spans="2:2" s="221" customFormat="1" ht="12.75" x14ac:dyDescent="0.2">
      <c r="B33427" s="1168"/>
    </row>
    <row r="33428" spans="2:2" s="221" customFormat="1" ht="12.75" x14ac:dyDescent="0.2">
      <c r="B33428" s="1168"/>
    </row>
    <row r="33429" spans="2:2" s="221" customFormat="1" ht="12.75" x14ac:dyDescent="0.2">
      <c r="B33429" s="1168"/>
    </row>
    <row r="33430" spans="2:2" s="221" customFormat="1" ht="12.75" x14ac:dyDescent="0.2">
      <c r="B33430" s="1168"/>
    </row>
    <row r="33431" spans="2:2" s="221" customFormat="1" ht="12.75" x14ac:dyDescent="0.2">
      <c r="B33431" s="1168"/>
    </row>
    <row r="33432" spans="2:2" s="221" customFormat="1" ht="12.75" x14ac:dyDescent="0.2">
      <c r="B33432" s="1168"/>
    </row>
    <row r="33433" spans="2:2" s="221" customFormat="1" ht="12.75" x14ac:dyDescent="0.2">
      <c r="B33433" s="1168"/>
    </row>
    <row r="33434" spans="2:2" s="221" customFormat="1" ht="12.75" x14ac:dyDescent="0.2">
      <c r="B33434" s="1168"/>
    </row>
    <row r="33435" spans="2:2" s="221" customFormat="1" ht="12.75" x14ac:dyDescent="0.2">
      <c r="B33435" s="1168"/>
    </row>
    <row r="33436" spans="2:2" s="221" customFormat="1" ht="12.75" x14ac:dyDescent="0.2">
      <c r="B33436" s="1168"/>
    </row>
    <row r="33437" spans="2:2" s="221" customFormat="1" ht="12.75" x14ac:dyDescent="0.2">
      <c r="B33437" s="1168"/>
    </row>
    <row r="33438" spans="2:2" s="221" customFormat="1" ht="12.75" x14ac:dyDescent="0.2">
      <c r="B33438" s="1168"/>
    </row>
    <row r="33439" spans="2:2" s="221" customFormat="1" ht="12.75" x14ac:dyDescent="0.2">
      <c r="B33439" s="1168"/>
    </row>
    <row r="33440" spans="2:2" s="221" customFormat="1" ht="12.75" x14ac:dyDescent="0.2">
      <c r="B33440" s="1168"/>
    </row>
    <row r="33441" spans="2:2" s="221" customFormat="1" ht="12.75" x14ac:dyDescent="0.2">
      <c r="B33441" s="1168"/>
    </row>
    <row r="33442" spans="2:2" s="221" customFormat="1" ht="12.75" x14ac:dyDescent="0.2">
      <c r="B33442" s="1168"/>
    </row>
    <row r="33443" spans="2:2" s="221" customFormat="1" ht="12.75" x14ac:dyDescent="0.2">
      <c r="B33443" s="1168"/>
    </row>
    <row r="33444" spans="2:2" s="221" customFormat="1" ht="12.75" x14ac:dyDescent="0.2">
      <c r="B33444" s="1168"/>
    </row>
    <row r="33445" spans="2:2" s="221" customFormat="1" ht="12.75" x14ac:dyDescent="0.2">
      <c r="B33445" s="1168"/>
    </row>
    <row r="33446" spans="2:2" s="221" customFormat="1" ht="12.75" x14ac:dyDescent="0.2">
      <c r="B33446" s="1168"/>
    </row>
    <row r="33447" spans="2:2" s="221" customFormat="1" ht="12.75" x14ac:dyDescent="0.2">
      <c r="B33447" s="1168"/>
    </row>
    <row r="33448" spans="2:2" s="221" customFormat="1" ht="12.75" x14ac:dyDescent="0.2">
      <c r="B33448" s="1168"/>
    </row>
    <row r="33449" spans="2:2" s="221" customFormat="1" ht="12.75" x14ac:dyDescent="0.2">
      <c r="B33449" s="1168"/>
    </row>
    <row r="33450" spans="2:2" s="221" customFormat="1" ht="12.75" x14ac:dyDescent="0.2">
      <c r="B33450" s="1168"/>
    </row>
    <row r="33451" spans="2:2" s="221" customFormat="1" ht="12.75" x14ac:dyDescent="0.2">
      <c r="B33451" s="1168"/>
    </row>
    <row r="33452" spans="2:2" s="221" customFormat="1" ht="12.75" x14ac:dyDescent="0.2">
      <c r="B33452" s="1168"/>
    </row>
    <row r="33453" spans="2:2" s="221" customFormat="1" ht="12.75" x14ac:dyDescent="0.2">
      <c r="B33453" s="1168"/>
    </row>
    <row r="33454" spans="2:2" s="221" customFormat="1" ht="12.75" x14ac:dyDescent="0.2">
      <c r="B33454" s="1168"/>
    </row>
    <row r="33455" spans="2:2" s="221" customFormat="1" ht="12.75" x14ac:dyDescent="0.2">
      <c r="B33455" s="1168"/>
    </row>
    <row r="33456" spans="2:2" s="221" customFormat="1" ht="12.75" x14ac:dyDescent="0.2">
      <c r="B33456" s="1168"/>
    </row>
    <row r="33457" spans="2:2" s="221" customFormat="1" ht="12.75" x14ac:dyDescent="0.2">
      <c r="B33457" s="1168"/>
    </row>
    <row r="33458" spans="2:2" s="221" customFormat="1" ht="12.75" x14ac:dyDescent="0.2">
      <c r="B33458" s="1168"/>
    </row>
    <row r="33459" spans="2:2" s="221" customFormat="1" ht="12.75" x14ac:dyDescent="0.2">
      <c r="B33459" s="1168"/>
    </row>
    <row r="33460" spans="2:2" s="221" customFormat="1" ht="12.75" x14ac:dyDescent="0.2">
      <c r="B33460" s="1168"/>
    </row>
    <row r="33461" spans="2:2" s="221" customFormat="1" ht="12.75" x14ac:dyDescent="0.2">
      <c r="B33461" s="1168"/>
    </row>
    <row r="33462" spans="2:2" s="221" customFormat="1" ht="12.75" x14ac:dyDescent="0.2">
      <c r="B33462" s="1168"/>
    </row>
    <row r="33463" spans="2:2" s="221" customFormat="1" ht="12.75" x14ac:dyDescent="0.2">
      <c r="B33463" s="1168"/>
    </row>
    <row r="33464" spans="2:2" s="221" customFormat="1" ht="12.75" x14ac:dyDescent="0.2">
      <c r="B33464" s="1168"/>
    </row>
    <row r="33465" spans="2:2" s="221" customFormat="1" ht="12.75" x14ac:dyDescent="0.2">
      <c r="B33465" s="1168"/>
    </row>
    <row r="33466" spans="2:2" s="221" customFormat="1" ht="12.75" x14ac:dyDescent="0.2">
      <c r="B33466" s="1168"/>
    </row>
    <row r="33467" spans="2:2" s="221" customFormat="1" ht="12.75" x14ac:dyDescent="0.2">
      <c r="B33467" s="1168"/>
    </row>
    <row r="33468" spans="2:2" s="221" customFormat="1" ht="12.75" x14ac:dyDescent="0.2">
      <c r="B33468" s="1168"/>
    </row>
    <row r="33469" spans="2:2" s="221" customFormat="1" ht="12.75" x14ac:dyDescent="0.2">
      <c r="B33469" s="1168"/>
    </row>
    <row r="33470" spans="2:2" s="221" customFormat="1" ht="12.75" x14ac:dyDescent="0.2">
      <c r="B33470" s="1168"/>
    </row>
    <row r="33471" spans="2:2" s="221" customFormat="1" ht="12.75" x14ac:dyDescent="0.2">
      <c r="B33471" s="1168"/>
    </row>
    <row r="33472" spans="2:2" s="221" customFormat="1" ht="12.75" x14ac:dyDescent="0.2">
      <c r="B33472" s="1168"/>
    </row>
    <row r="33473" spans="2:2" s="221" customFormat="1" ht="12.75" x14ac:dyDescent="0.2">
      <c r="B33473" s="1168"/>
    </row>
    <row r="33474" spans="2:2" s="221" customFormat="1" ht="12.75" x14ac:dyDescent="0.2">
      <c r="B33474" s="1168"/>
    </row>
    <row r="33475" spans="2:2" s="221" customFormat="1" ht="12.75" x14ac:dyDescent="0.2">
      <c r="B33475" s="1168"/>
    </row>
    <row r="33476" spans="2:2" s="221" customFormat="1" ht="12.75" x14ac:dyDescent="0.2">
      <c r="B33476" s="1168"/>
    </row>
    <row r="33477" spans="2:2" s="221" customFormat="1" ht="12.75" x14ac:dyDescent="0.2">
      <c r="B33477" s="1168"/>
    </row>
    <row r="33478" spans="2:2" s="221" customFormat="1" ht="12.75" x14ac:dyDescent="0.2">
      <c r="B33478" s="1168"/>
    </row>
    <row r="33479" spans="2:2" s="221" customFormat="1" ht="12.75" x14ac:dyDescent="0.2">
      <c r="B33479" s="1168"/>
    </row>
    <row r="33480" spans="2:2" s="221" customFormat="1" ht="12.75" x14ac:dyDescent="0.2">
      <c r="B33480" s="1168"/>
    </row>
    <row r="33481" spans="2:2" s="221" customFormat="1" ht="12.75" x14ac:dyDescent="0.2">
      <c r="B33481" s="1168"/>
    </row>
    <row r="33482" spans="2:2" s="221" customFormat="1" ht="12.75" x14ac:dyDescent="0.2">
      <c r="B33482" s="1168"/>
    </row>
    <row r="33483" spans="2:2" s="221" customFormat="1" ht="12.75" x14ac:dyDescent="0.2">
      <c r="B33483" s="1168"/>
    </row>
    <row r="33484" spans="2:2" s="221" customFormat="1" ht="12.75" x14ac:dyDescent="0.2">
      <c r="B33484" s="1168"/>
    </row>
    <row r="33485" spans="2:2" s="221" customFormat="1" ht="12.75" x14ac:dyDescent="0.2">
      <c r="B33485" s="1168"/>
    </row>
    <row r="33486" spans="2:2" s="221" customFormat="1" ht="12.75" x14ac:dyDescent="0.2">
      <c r="B33486" s="1168"/>
    </row>
    <row r="33487" spans="2:2" s="221" customFormat="1" ht="12.75" x14ac:dyDescent="0.2">
      <c r="B33487" s="1168"/>
    </row>
    <row r="33488" spans="2:2" s="221" customFormat="1" ht="12.75" x14ac:dyDescent="0.2">
      <c r="B33488" s="1168"/>
    </row>
    <row r="33489" spans="2:2" s="221" customFormat="1" ht="12.75" x14ac:dyDescent="0.2">
      <c r="B33489" s="1168"/>
    </row>
    <row r="33490" spans="2:2" s="221" customFormat="1" ht="12.75" x14ac:dyDescent="0.2">
      <c r="B33490" s="1168"/>
    </row>
    <row r="33491" spans="2:2" s="221" customFormat="1" ht="12.75" x14ac:dyDescent="0.2">
      <c r="B33491" s="1168"/>
    </row>
    <row r="33492" spans="2:2" s="221" customFormat="1" ht="12.75" x14ac:dyDescent="0.2">
      <c r="B33492" s="1168"/>
    </row>
    <row r="33493" spans="2:2" s="221" customFormat="1" ht="12.75" x14ac:dyDescent="0.2">
      <c r="B33493" s="1168"/>
    </row>
    <row r="33494" spans="2:2" s="221" customFormat="1" ht="12.75" x14ac:dyDescent="0.2">
      <c r="B33494" s="1168"/>
    </row>
    <row r="33495" spans="2:2" s="221" customFormat="1" ht="12.75" x14ac:dyDescent="0.2">
      <c r="B33495" s="1168"/>
    </row>
    <row r="33496" spans="2:2" s="221" customFormat="1" ht="12.75" x14ac:dyDescent="0.2">
      <c r="B33496" s="1168"/>
    </row>
    <row r="33497" spans="2:2" s="221" customFormat="1" ht="12.75" x14ac:dyDescent="0.2">
      <c r="B33497" s="1168"/>
    </row>
    <row r="33498" spans="2:2" s="221" customFormat="1" ht="12.75" x14ac:dyDescent="0.2">
      <c r="B33498" s="1168"/>
    </row>
    <row r="33499" spans="2:2" s="221" customFormat="1" ht="12.75" x14ac:dyDescent="0.2">
      <c r="B33499" s="1168"/>
    </row>
    <row r="33500" spans="2:2" s="221" customFormat="1" ht="12.75" x14ac:dyDescent="0.2">
      <c r="B33500" s="1168"/>
    </row>
    <row r="33501" spans="2:2" s="221" customFormat="1" ht="12.75" x14ac:dyDescent="0.2">
      <c r="B33501" s="1168"/>
    </row>
    <row r="33502" spans="2:2" s="221" customFormat="1" ht="12.75" x14ac:dyDescent="0.2">
      <c r="B33502" s="1168"/>
    </row>
    <row r="33503" spans="2:2" s="221" customFormat="1" ht="12.75" x14ac:dyDescent="0.2">
      <c r="B33503" s="1168"/>
    </row>
    <row r="33504" spans="2:2" s="221" customFormat="1" ht="12.75" x14ac:dyDescent="0.2">
      <c r="B33504" s="1168"/>
    </row>
    <row r="33505" spans="2:2" s="221" customFormat="1" ht="12.75" x14ac:dyDescent="0.2">
      <c r="B33505" s="1168"/>
    </row>
    <row r="33506" spans="2:2" s="221" customFormat="1" ht="12.75" x14ac:dyDescent="0.2">
      <c r="B33506" s="1168"/>
    </row>
    <row r="33507" spans="2:2" s="221" customFormat="1" ht="12.75" x14ac:dyDescent="0.2">
      <c r="B33507" s="1168"/>
    </row>
    <row r="33508" spans="2:2" s="221" customFormat="1" ht="12.75" x14ac:dyDescent="0.2">
      <c r="B33508" s="1168"/>
    </row>
    <row r="33509" spans="2:2" s="221" customFormat="1" ht="12.75" x14ac:dyDescent="0.2">
      <c r="B33509" s="1168"/>
    </row>
    <row r="33510" spans="2:2" s="221" customFormat="1" ht="12.75" x14ac:dyDescent="0.2">
      <c r="B33510" s="1168"/>
    </row>
    <row r="33511" spans="2:2" s="221" customFormat="1" ht="12.75" x14ac:dyDescent="0.2">
      <c r="B33511" s="1168"/>
    </row>
    <row r="33512" spans="2:2" s="221" customFormat="1" ht="12.75" x14ac:dyDescent="0.2">
      <c r="B33512" s="1168"/>
    </row>
    <row r="33513" spans="2:2" s="221" customFormat="1" ht="12.75" x14ac:dyDescent="0.2">
      <c r="B33513" s="1168"/>
    </row>
    <row r="33514" spans="2:2" s="221" customFormat="1" ht="12.75" x14ac:dyDescent="0.2">
      <c r="B33514" s="1168"/>
    </row>
    <row r="33515" spans="2:2" s="221" customFormat="1" ht="12.75" x14ac:dyDescent="0.2">
      <c r="B33515" s="1168"/>
    </row>
    <row r="33516" spans="2:2" s="221" customFormat="1" ht="12.75" x14ac:dyDescent="0.2">
      <c r="B33516" s="1168"/>
    </row>
    <row r="33517" spans="2:2" s="221" customFormat="1" ht="12.75" x14ac:dyDescent="0.2">
      <c r="B33517" s="1168"/>
    </row>
    <row r="33518" spans="2:2" s="221" customFormat="1" ht="12.75" x14ac:dyDescent="0.2">
      <c r="B33518" s="1168"/>
    </row>
    <row r="33519" spans="2:2" s="221" customFormat="1" ht="12.75" x14ac:dyDescent="0.2">
      <c r="B33519" s="1168"/>
    </row>
    <row r="33520" spans="2:2" s="221" customFormat="1" ht="12.75" x14ac:dyDescent="0.2">
      <c r="B33520" s="1168"/>
    </row>
    <row r="33521" spans="2:2" s="221" customFormat="1" ht="12.75" x14ac:dyDescent="0.2">
      <c r="B33521" s="1168"/>
    </row>
    <row r="33522" spans="2:2" s="221" customFormat="1" ht="12.75" x14ac:dyDescent="0.2">
      <c r="B33522" s="1168"/>
    </row>
    <row r="33523" spans="2:2" s="221" customFormat="1" ht="12.75" x14ac:dyDescent="0.2">
      <c r="B33523" s="1168"/>
    </row>
    <row r="33524" spans="2:2" s="221" customFormat="1" ht="12.75" x14ac:dyDescent="0.2">
      <c r="B33524" s="1168"/>
    </row>
    <row r="33525" spans="2:2" s="221" customFormat="1" ht="12.75" x14ac:dyDescent="0.2">
      <c r="B33525" s="1168"/>
    </row>
    <row r="33526" spans="2:2" s="221" customFormat="1" ht="12.75" x14ac:dyDescent="0.2">
      <c r="B33526" s="1168"/>
    </row>
    <row r="33527" spans="2:2" s="221" customFormat="1" ht="12.75" x14ac:dyDescent="0.2">
      <c r="B33527" s="1168"/>
    </row>
    <row r="33528" spans="2:2" s="221" customFormat="1" ht="12.75" x14ac:dyDescent="0.2">
      <c r="B33528" s="1168"/>
    </row>
    <row r="33529" spans="2:2" s="221" customFormat="1" ht="12.75" x14ac:dyDescent="0.2">
      <c r="B33529" s="1168"/>
    </row>
    <row r="33530" spans="2:2" s="221" customFormat="1" ht="12.75" x14ac:dyDescent="0.2">
      <c r="B33530" s="1168"/>
    </row>
    <row r="33531" spans="2:2" s="221" customFormat="1" ht="12.75" x14ac:dyDescent="0.2">
      <c r="B33531" s="1168"/>
    </row>
    <row r="33532" spans="2:2" s="221" customFormat="1" ht="12.75" x14ac:dyDescent="0.2">
      <c r="B33532" s="1168"/>
    </row>
    <row r="33533" spans="2:2" s="221" customFormat="1" ht="12.75" x14ac:dyDescent="0.2">
      <c r="B33533" s="1168"/>
    </row>
    <row r="33534" spans="2:2" s="221" customFormat="1" ht="12.75" x14ac:dyDescent="0.2">
      <c r="B33534" s="1168"/>
    </row>
    <row r="33535" spans="2:2" s="221" customFormat="1" ht="12.75" x14ac:dyDescent="0.2">
      <c r="B33535" s="1168"/>
    </row>
    <row r="33536" spans="2:2" s="221" customFormat="1" ht="12.75" x14ac:dyDescent="0.2">
      <c r="B33536" s="1168"/>
    </row>
    <row r="33537" spans="2:2" s="221" customFormat="1" ht="12.75" x14ac:dyDescent="0.2">
      <c r="B33537" s="1168"/>
    </row>
    <row r="33538" spans="2:2" s="221" customFormat="1" ht="12.75" x14ac:dyDescent="0.2">
      <c r="B33538" s="1168"/>
    </row>
    <row r="33539" spans="2:2" s="221" customFormat="1" ht="12.75" x14ac:dyDescent="0.2">
      <c r="B33539" s="1168"/>
    </row>
    <row r="33540" spans="2:2" s="221" customFormat="1" ht="12.75" x14ac:dyDescent="0.2">
      <c r="B33540" s="1168"/>
    </row>
    <row r="33541" spans="2:2" s="221" customFormat="1" ht="12.75" x14ac:dyDescent="0.2">
      <c r="B33541" s="1168"/>
    </row>
    <row r="33542" spans="2:2" s="221" customFormat="1" ht="12.75" x14ac:dyDescent="0.2">
      <c r="B33542" s="1168"/>
    </row>
    <row r="33543" spans="2:2" s="221" customFormat="1" ht="12.75" x14ac:dyDescent="0.2">
      <c r="B33543" s="1168"/>
    </row>
    <row r="33544" spans="2:2" s="221" customFormat="1" ht="12.75" x14ac:dyDescent="0.2">
      <c r="B33544" s="1168"/>
    </row>
    <row r="33545" spans="2:2" s="221" customFormat="1" ht="12.75" x14ac:dyDescent="0.2">
      <c r="B33545" s="1168"/>
    </row>
    <row r="33546" spans="2:2" s="221" customFormat="1" ht="12.75" x14ac:dyDescent="0.2">
      <c r="B33546" s="1168"/>
    </row>
    <row r="33547" spans="2:2" s="221" customFormat="1" ht="12.75" x14ac:dyDescent="0.2">
      <c r="B33547" s="1168"/>
    </row>
    <row r="33548" spans="2:2" s="221" customFormat="1" ht="12.75" x14ac:dyDescent="0.2">
      <c r="B33548" s="1168"/>
    </row>
    <row r="33549" spans="2:2" s="221" customFormat="1" ht="12.75" x14ac:dyDescent="0.2">
      <c r="B33549" s="1168"/>
    </row>
    <row r="33550" spans="2:2" s="221" customFormat="1" ht="12.75" x14ac:dyDescent="0.2">
      <c r="B33550" s="1168"/>
    </row>
    <row r="33551" spans="2:2" s="221" customFormat="1" ht="12.75" x14ac:dyDescent="0.2">
      <c r="B33551" s="1168"/>
    </row>
    <row r="33552" spans="2:2" s="221" customFormat="1" ht="12.75" x14ac:dyDescent="0.2">
      <c r="B33552" s="1168"/>
    </row>
    <row r="33553" spans="2:2" s="221" customFormat="1" ht="12.75" x14ac:dyDescent="0.2">
      <c r="B33553" s="1168"/>
    </row>
    <row r="33554" spans="2:2" s="221" customFormat="1" ht="12.75" x14ac:dyDescent="0.2">
      <c r="B33554" s="1168"/>
    </row>
    <row r="33555" spans="2:2" s="221" customFormat="1" ht="12.75" x14ac:dyDescent="0.2">
      <c r="B33555" s="1168"/>
    </row>
    <row r="33556" spans="2:2" s="221" customFormat="1" ht="12.75" x14ac:dyDescent="0.2">
      <c r="B33556" s="1168"/>
    </row>
    <row r="33557" spans="2:2" s="221" customFormat="1" ht="12.75" x14ac:dyDescent="0.2">
      <c r="B33557" s="1168"/>
    </row>
    <row r="33558" spans="2:2" s="221" customFormat="1" ht="12.75" x14ac:dyDescent="0.2">
      <c r="B33558" s="1168"/>
    </row>
    <row r="33559" spans="2:2" s="221" customFormat="1" ht="12.75" x14ac:dyDescent="0.2">
      <c r="B33559" s="1168"/>
    </row>
    <row r="33560" spans="2:2" s="221" customFormat="1" ht="12.75" x14ac:dyDescent="0.2">
      <c r="B33560" s="1168"/>
    </row>
    <row r="33561" spans="2:2" s="221" customFormat="1" ht="12.75" x14ac:dyDescent="0.2">
      <c r="B33561" s="1168"/>
    </row>
    <row r="33562" spans="2:2" s="221" customFormat="1" ht="12.75" x14ac:dyDescent="0.2">
      <c r="B33562" s="1168"/>
    </row>
    <row r="33563" spans="2:2" s="221" customFormat="1" ht="12.75" x14ac:dyDescent="0.2">
      <c r="B33563" s="1168"/>
    </row>
    <row r="33564" spans="2:2" s="221" customFormat="1" ht="12.75" x14ac:dyDescent="0.2">
      <c r="B33564" s="1168"/>
    </row>
    <row r="33565" spans="2:2" s="221" customFormat="1" ht="12.75" x14ac:dyDescent="0.2">
      <c r="B33565" s="1168"/>
    </row>
    <row r="33566" spans="2:2" s="221" customFormat="1" ht="12.75" x14ac:dyDescent="0.2">
      <c r="B33566" s="1168"/>
    </row>
    <row r="33567" spans="2:2" s="221" customFormat="1" ht="12.75" x14ac:dyDescent="0.2">
      <c r="B33567" s="1168"/>
    </row>
    <row r="33568" spans="2:2" s="221" customFormat="1" ht="12.75" x14ac:dyDescent="0.2">
      <c r="B33568" s="1168"/>
    </row>
    <row r="33569" spans="2:2" s="221" customFormat="1" ht="12.75" x14ac:dyDescent="0.2">
      <c r="B33569" s="1168"/>
    </row>
    <row r="33570" spans="2:2" s="221" customFormat="1" ht="12.75" x14ac:dyDescent="0.2">
      <c r="B33570" s="1168"/>
    </row>
    <row r="33571" spans="2:2" s="221" customFormat="1" ht="12.75" x14ac:dyDescent="0.2">
      <c r="B33571" s="1168"/>
    </row>
    <row r="33572" spans="2:2" s="221" customFormat="1" ht="12.75" x14ac:dyDescent="0.2">
      <c r="B33572" s="1168"/>
    </row>
    <row r="33573" spans="2:2" s="221" customFormat="1" ht="12.75" x14ac:dyDescent="0.2">
      <c r="B33573" s="1168"/>
    </row>
    <row r="33574" spans="2:2" s="221" customFormat="1" ht="12.75" x14ac:dyDescent="0.2">
      <c r="B33574" s="1168"/>
    </row>
    <row r="33575" spans="2:2" s="221" customFormat="1" ht="12.75" x14ac:dyDescent="0.2">
      <c r="B33575" s="1168"/>
    </row>
    <row r="33576" spans="2:2" s="221" customFormat="1" ht="12.75" x14ac:dyDescent="0.2">
      <c r="B33576" s="1168"/>
    </row>
    <row r="33577" spans="2:2" s="221" customFormat="1" ht="12.75" x14ac:dyDescent="0.2">
      <c r="B33577" s="1168"/>
    </row>
    <row r="33578" spans="2:2" s="221" customFormat="1" ht="12.75" x14ac:dyDescent="0.2">
      <c r="B33578" s="1168"/>
    </row>
    <row r="33579" spans="2:2" s="221" customFormat="1" ht="12.75" x14ac:dyDescent="0.2">
      <c r="B33579" s="1168"/>
    </row>
    <row r="33580" spans="2:2" s="221" customFormat="1" ht="12.75" x14ac:dyDescent="0.2">
      <c r="B33580" s="1168"/>
    </row>
    <row r="33581" spans="2:2" s="221" customFormat="1" ht="12.75" x14ac:dyDescent="0.2">
      <c r="B33581" s="1168"/>
    </row>
    <row r="33582" spans="2:2" s="221" customFormat="1" ht="12.75" x14ac:dyDescent="0.2">
      <c r="B33582" s="1168"/>
    </row>
    <row r="33583" spans="2:2" s="221" customFormat="1" ht="12.75" x14ac:dyDescent="0.2">
      <c r="B33583" s="1168"/>
    </row>
    <row r="33584" spans="2:2" s="221" customFormat="1" ht="12.75" x14ac:dyDescent="0.2">
      <c r="B33584" s="1168"/>
    </row>
    <row r="33585" spans="2:2" s="221" customFormat="1" ht="12.75" x14ac:dyDescent="0.2">
      <c r="B33585" s="1168"/>
    </row>
    <row r="33586" spans="2:2" s="221" customFormat="1" ht="12.75" x14ac:dyDescent="0.2">
      <c r="B33586" s="1168"/>
    </row>
    <row r="33587" spans="2:2" s="221" customFormat="1" ht="12.75" x14ac:dyDescent="0.2">
      <c r="B33587" s="1168"/>
    </row>
    <row r="33588" spans="2:2" s="221" customFormat="1" ht="12.75" x14ac:dyDescent="0.2">
      <c r="B33588" s="1168"/>
    </row>
    <row r="33589" spans="2:2" s="221" customFormat="1" ht="12.75" x14ac:dyDescent="0.2">
      <c r="B33589" s="1168"/>
    </row>
    <row r="33590" spans="2:2" s="221" customFormat="1" ht="12.75" x14ac:dyDescent="0.2">
      <c r="B33590" s="1168"/>
    </row>
    <row r="33591" spans="2:2" s="221" customFormat="1" ht="12.75" x14ac:dyDescent="0.2">
      <c r="B33591" s="1168"/>
    </row>
    <row r="33592" spans="2:2" s="221" customFormat="1" ht="12.75" x14ac:dyDescent="0.2">
      <c r="B33592" s="1168"/>
    </row>
    <row r="33593" spans="2:2" s="221" customFormat="1" ht="12.75" x14ac:dyDescent="0.2">
      <c r="B33593" s="1168"/>
    </row>
    <row r="33594" spans="2:2" s="221" customFormat="1" ht="12.75" x14ac:dyDescent="0.2">
      <c r="B33594" s="1168"/>
    </row>
    <row r="33595" spans="2:2" s="221" customFormat="1" ht="12.75" x14ac:dyDescent="0.2">
      <c r="B33595" s="1168"/>
    </row>
    <row r="33596" spans="2:2" s="221" customFormat="1" ht="12.75" x14ac:dyDescent="0.2">
      <c r="B33596" s="1168"/>
    </row>
    <row r="33597" spans="2:2" s="221" customFormat="1" ht="12.75" x14ac:dyDescent="0.2">
      <c r="B33597" s="1168"/>
    </row>
    <row r="33598" spans="2:2" s="221" customFormat="1" ht="12.75" x14ac:dyDescent="0.2">
      <c r="B33598" s="1168"/>
    </row>
    <row r="33599" spans="2:2" s="221" customFormat="1" ht="12.75" x14ac:dyDescent="0.2">
      <c r="B33599" s="1168"/>
    </row>
    <row r="33600" spans="2:2" s="221" customFormat="1" ht="12.75" x14ac:dyDescent="0.2">
      <c r="B33600" s="1168"/>
    </row>
    <row r="33601" spans="2:2" s="221" customFormat="1" ht="12.75" x14ac:dyDescent="0.2">
      <c r="B33601" s="1168"/>
    </row>
    <row r="33602" spans="2:2" s="221" customFormat="1" ht="12.75" x14ac:dyDescent="0.2">
      <c r="B33602" s="1168"/>
    </row>
    <row r="33603" spans="2:2" s="221" customFormat="1" ht="12.75" x14ac:dyDescent="0.2">
      <c r="B33603" s="1168"/>
    </row>
    <row r="33604" spans="2:2" s="221" customFormat="1" ht="12.75" x14ac:dyDescent="0.2">
      <c r="B33604" s="1168"/>
    </row>
    <row r="33605" spans="2:2" s="221" customFormat="1" ht="12.75" x14ac:dyDescent="0.2">
      <c r="B33605" s="1168"/>
    </row>
    <row r="33606" spans="2:2" s="221" customFormat="1" ht="12.75" x14ac:dyDescent="0.2">
      <c r="B33606" s="1168"/>
    </row>
    <row r="33607" spans="2:2" s="221" customFormat="1" ht="12.75" x14ac:dyDescent="0.2">
      <c r="B33607" s="1168"/>
    </row>
    <row r="33608" spans="2:2" s="221" customFormat="1" ht="12.75" x14ac:dyDescent="0.2">
      <c r="B33608" s="1168"/>
    </row>
    <row r="33609" spans="2:2" s="221" customFormat="1" ht="12.75" x14ac:dyDescent="0.2">
      <c r="B33609" s="1168"/>
    </row>
    <row r="33610" spans="2:2" s="221" customFormat="1" ht="12.75" x14ac:dyDescent="0.2">
      <c r="B33610" s="1168"/>
    </row>
    <row r="33611" spans="2:2" s="221" customFormat="1" ht="12.75" x14ac:dyDescent="0.2">
      <c r="B33611" s="1168"/>
    </row>
    <row r="33612" spans="2:2" s="221" customFormat="1" ht="12.75" x14ac:dyDescent="0.2">
      <c r="B33612" s="1168"/>
    </row>
    <row r="33613" spans="2:2" s="221" customFormat="1" ht="12.75" x14ac:dyDescent="0.2">
      <c r="B33613" s="1168"/>
    </row>
    <row r="33614" spans="2:2" s="221" customFormat="1" ht="12.75" x14ac:dyDescent="0.2">
      <c r="B33614" s="1168"/>
    </row>
    <row r="33615" spans="2:2" s="221" customFormat="1" ht="12.75" x14ac:dyDescent="0.2">
      <c r="B33615" s="1168"/>
    </row>
    <row r="33616" spans="2:2" s="221" customFormat="1" ht="12.75" x14ac:dyDescent="0.2">
      <c r="B33616" s="1168"/>
    </row>
    <row r="33617" spans="2:2" s="221" customFormat="1" ht="12.75" x14ac:dyDescent="0.2">
      <c r="B33617" s="1168"/>
    </row>
    <row r="33618" spans="2:2" s="221" customFormat="1" ht="12.75" x14ac:dyDescent="0.2">
      <c r="B33618" s="1168"/>
    </row>
    <row r="33619" spans="2:2" s="221" customFormat="1" ht="12.75" x14ac:dyDescent="0.2">
      <c r="B33619" s="1168"/>
    </row>
    <row r="33620" spans="2:2" s="221" customFormat="1" ht="12.75" x14ac:dyDescent="0.2">
      <c r="B33620" s="1168"/>
    </row>
    <row r="33621" spans="2:2" s="221" customFormat="1" ht="12.75" x14ac:dyDescent="0.2">
      <c r="B33621" s="1168"/>
    </row>
    <row r="33622" spans="2:2" s="221" customFormat="1" ht="12.75" x14ac:dyDescent="0.2">
      <c r="B33622" s="1168"/>
    </row>
    <row r="33623" spans="2:2" s="221" customFormat="1" ht="12.75" x14ac:dyDescent="0.2">
      <c r="B33623" s="1168"/>
    </row>
    <row r="33624" spans="2:2" s="221" customFormat="1" ht="12.75" x14ac:dyDescent="0.2">
      <c r="B33624" s="1168"/>
    </row>
    <row r="33625" spans="2:2" s="221" customFormat="1" ht="12.75" x14ac:dyDescent="0.2">
      <c r="B33625" s="1168"/>
    </row>
    <row r="33626" spans="2:2" s="221" customFormat="1" ht="12.75" x14ac:dyDescent="0.2">
      <c r="B33626" s="1168"/>
    </row>
    <row r="33627" spans="2:2" s="221" customFormat="1" ht="12.75" x14ac:dyDescent="0.2">
      <c r="B33627" s="1168"/>
    </row>
    <row r="33628" spans="2:2" s="221" customFormat="1" ht="12.75" x14ac:dyDescent="0.2">
      <c r="B33628" s="1168"/>
    </row>
    <row r="33629" spans="2:2" s="221" customFormat="1" ht="12.75" x14ac:dyDescent="0.2">
      <c r="B33629" s="1168"/>
    </row>
    <row r="33630" spans="2:2" s="221" customFormat="1" ht="12.75" x14ac:dyDescent="0.2">
      <c r="B33630" s="1168"/>
    </row>
    <row r="33631" spans="2:2" s="221" customFormat="1" ht="12.75" x14ac:dyDescent="0.2">
      <c r="B33631" s="1168"/>
    </row>
    <row r="33632" spans="2:2" s="221" customFormat="1" ht="12.75" x14ac:dyDescent="0.2">
      <c r="B33632" s="1168"/>
    </row>
    <row r="33633" spans="2:2" s="221" customFormat="1" ht="12.75" x14ac:dyDescent="0.2">
      <c r="B33633" s="1168"/>
    </row>
    <row r="33634" spans="2:2" s="221" customFormat="1" ht="12.75" x14ac:dyDescent="0.2">
      <c r="B33634" s="1168"/>
    </row>
    <row r="33635" spans="2:2" s="221" customFormat="1" ht="12.75" x14ac:dyDescent="0.2">
      <c r="B33635" s="1168"/>
    </row>
    <row r="33636" spans="2:2" s="221" customFormat="1" ht="12.75" x14ac:dyDescent="0.2">
      <c r="B33636" s="1168"/>
    </row>
    <row r="33637" spans="2:2" s="221" customFormat="1" ht="12.75" x14ac:dyDescent="0.2">
      <c r="B33637" s="1168"/>
    </row>
    <row r="33638" spans="2:2" s="221" customFormat="1" ht="12.75" x14ac:dyDescent="0.2">
      <c r="B33638" s="1168"/>
    </row>
    <row r="33639" spans="2:2" s="221" customFormat="1" ht="12.75" x14ac:dyDescent="0.2">
      <c r="B33639" s="1168"/>
    </row>
    <row r="33640" spans="2:2" s="221" customFormat="1" ht="12.75" x14ac:dyDescent="0.2">
      <c r="B33640" s="1168"/>
    </row>
    <row r="33641" spans="2:2" s="221" customFormat="1" ht="12.75" x14ac:dyDescent="0.2">
      <c r="B33641" s="1168"/>
    </row>
    <row r="33642" spans="2:2" s="221" customFormat="1" ht="12.75" x14ac:dyDescent="0.2">
      <c r="B33642" s="1168"/>
    </row>
    <row r="33643" spans="2:2" s="221" customFormat="1" ht="12.75" x14ac:dyDescent="0.2">
      <c r="B33643" s="1168"/>
    </row>
    <row r="33644" spans="2:2" s="221" customFormat="1" ht="12.75" x14ac:dyDescent="0.2">
      <c r="B33644" s="1168"/>
    </row>
    <row r="33645" spans="2:2" s="221" customFormat="1" ht="12.75" x14ac:dyDescent="0.2">
      <c r="B33645" s="1168"/>
    </row>
    <row r="33646" spans="2:2" s="221" customFormat="1" ht="12.75" x14ac:dyDescent="0.2">
      <c r="B33646" s="1168"/>
    </row>
    <row r="33647" spans="2:2" s="221" customFormat="1" ht="12.75" x14ac:dyDescent="0.2">
      <c r="B33647" s="1168"/>
    </row>
    <row r="33648" spans="2:2" s="221" customFormat="1" ht="12.75" x14ac:dyDescent="0.2">
      <c r="B33648" s="1168"/>
    </row>
    <row r="33649" spans="2:2" s="221" customFormat="1" ht="12.75" x14ac:dyDescent="0.2">
      <c r="B33649" s="1168"/>
    </row>
    <row r="33650" spans="2:2" s="221" customFormat="1" ht="12.75" x14ac:dyDescent="0.2">
      <c r="B33650" s="1168"/>
    </row>
    <row r="33651" spans="2:2" s="221" customFormat="1" ht="12.75" x14ac:dyDescent="0.2">
      <c r="B33651" s="1168"/>
    </row>
    <row r="33652" spans="2:2" s="221" customFormat="1" ht="12.75" x14ac:dyDescent="0.2">
      <c r="B33652" s="1168"/>
    </row>
    <row r="33653" spans="2:2" s="221" customFormat="1" ht="12.75" x14ac:dyDescent="0.2">
      <c r="B33653" s="1168"/>
    </row>
    <row r="33654" spans="2:2" s="221" customFormat="1" ht="12.75" x14ac:dyDescent="0.2">
      <c r="B33654" s="1168"/>
    </row>
    <row r="33655" spans="2:2" s="221" customFormat="1" ht="12.75" x14ac:dyDescent="0.2">
      <c r="B33655" s="1168"/>
    </row>
    <row r="33656" spans="2:2" s="221" customFormat="1" ht="12.75" x14ac:dyDescent="0.2">
      <c r="B33656" s="1168"/>
    </row>
    <row r="33657" spans="2:2" s="221" customFormat="1" ht="12.75" x14ac:dyDescent="0.2">
      <c r="B33657" s="1168"/>
    </row>
    <row r="33658" spans="2:2" s="221" customFormat="1" ht="12.75" x14ac:dyDescent="0.2">
      <c r="B33658" s="1168"/>
    </row>
    <row r="33659" spans="2:2" s="221" customFormat="1" ht="12.75" x14ac:dyDescent="0.2">
      <c r="B33659" s="1168"/>
    </row>
    <row r="33660" spans="2:2" s="221" customFormat="1" ht="12.75" x14ac:dyDescent="0.2">
      <c r="B33660" s="1168"/>
    </row>
    <row r="33661" spans="2:2" s="221" customFormat="1" ht="12.75" x14ac:dyDescent="0.2">
      <c r="B33661" s="1168"/>
    </row>
    <row r="33662" spans="2:2" s="221" customFormat="1" ht="12.75" x14ac:dyDescent="0.2">
      <c r="B33662" s="1168"/>
    </row>
    <row r="33663" spans="2:2" s="221" customFormat="1" ht="12.75" x14ac:dyDescent="0.2">
      <c r="B33663" s="1168"/>
    </row>
    <row r="33664" spans="2:2" s="221" customFormat="1" ht="12.75" x14ac:dyDescent="0.2">
      <c r="B33664" s="1168"/>
    </row>
    <row r="33665" spans="2:2" s="221" customFormat="1" ht="12.75" x14ac:dyDescent="0.2">
      <c r="B33665" s="1168"/>
    </row>
    <row r="33666" spans="2:2" s="221" customFormat="1" ht="12.75" x14ac:dyDescent="0.2">
      <c r="B33666" s="1168"/>
    </row>
    <row r="33667" spans="2:2" s="221" customFormat="1" ht="12.75" x14ac:dyDescent="0.2">
      <c r="B33667" s="1168"/>
    </row>
    <row r="33668" spans="2:2" s="221" customFormat="1" ht="12.75" x14ac:dyDescent="0.2">
      <c r="B33668" s="1168"/>
    </row>
    <row r="33669" spans="2:2" s="221" customFormat="1" ht="12.75" x14ac:dyDescent="0.2">
      <c r="B33669" s="1168"/>
    </row>
    <row r="33670" spans="2:2" s="221" customFormat="1" ht="12.75" x14ac:dyDescent="0.2">
      <c r="B33670" s="1168"/>
    </row>
    <row r="33671" spans="2:2" s="221" customFormat="1" ht="12.75" x14ac:dyDescent="0.2">
      <c r="B33671" s="1168"/>
    </row>
    <row r="33672" spans="2:2" s="221" customFormat="1" ht="12.75" x14ac:dyDescent="0.2">
      <c r="B33672" s="1168"/>
    </row>
    <row r="33673" spans="2:2" s="221" customFormat="1" ht="12.75" x14ac:dyDescent="0.2">
      <c r="B33673" s="1168"/>
    </row>
    <row r="33674" spans="2:2" s="221" customFormat="1" ht="12.75" x14ac:dyDescent="0.2">
      <c r="B33674" s="1168"/>
    </row>
    <row r="33675" spans="2:2" s="221" customFormat="1" ht="12.75" x14ac:dyDescent="0.2">
      <c r="B33675" s="1168"/>
    </row>
    <row r="33676" spans="2:2" s="221" customFormat="1" ht="12.75" x14ac:dyDescent="0.2">
      <c r="B33676" s="1168"/>
    </row>
    <row r="33677" spans="2:2" s="221" customFormat="1" ht="12.75" x14ac:dyDescent="0.2">
      <c r="B33677" s="1168"/>
    </row>
    <row r="33678" spans="2:2" s="221" customFormat="1" ht="12.75" x14ac:dyDescent="0.2">
      <c r="B33678" s="1168"/>
    </row>
    <row r="33679" spans="2:2" s="221" customFormat="1" ht="12.75" x14ac:dyDescent="0.2">
      <c r="B33679" s="1168"/>
    </row>
    <row r="33680" spans="2:2" s="221" customFormat="1" ht="12.75" x14ac:dyDescent="0.2">
      <c r="B33680" s="1168"/>
    </row>
    <row r="33681" spans="2:2" s="221" customFormat="1" ht="12.75" x14ac:dyDescent="0.2">
      <c r="B33681" s="1168"/>
    </row>
    <row r="33682" spans="2:2" s="221" customFormat="1" ht="12.75" x14ac:dyDescent="0.2">
      <c r="B33682" s="1168"/>
    </row>
    <row r="33683" spans="2:2" s="221" customFormat="1" ht="12.75" x14ac:dyDescent="0.2">
      <c r="B33683" s="1168"/>
    </row>
    <row r="33684" spans="2:2" s="221" customFormat="1" ht="12.75" x14ac:dyDescent="0.2">
      <c r="B33684" s="1168"/>
    </row>
    <row r="33685" spans="2:2" s="221" customFormat="1" ht="12.75" x14ac:dyDescent="0.2">
      <c r="B33685" s="1168"/>
    </row>
    <row r="33686" spans="2:2" s="221" customFormat="1" ht="12.75" x14ac:dyDescent="0.2">
      <c r="B33686" s="1168"/>
    </row>
    <row r="33687" spans="2:2" s="221" customFormat="1" ht="12.75" x14ac:dyDescent="0.2">
      <c r="B33687" s="1168"/>
    </row>
    <row r="33688" spans="2:2" s="221" customFormat="1" ht="12.75" x14ac:dyDescent="0.2">
      <c r="B33688" s="1168"/>
    </row>
    <row r="33689" spans="2:2" s="221" customFormat="1" ht="12.75" x14ac:dyDescent="0.2">
      <c r="B33689" s="1168"/>
    </row>
    <row r="33690" spans="2:2" s="221" customFormat="1" ht="12.75" x14ac:dyDescent="0.2">
      <c r="B33690" s="1168"/>
    </row>
    <row r="33691" spans="2:2" s="221" customFormat="1" ht="12.75" x14ac:dyDescent="0.2">
      <c r="B33691" s="1168"/>
    </row>
    <row r="33692" spans="2:2" s="221" customFormat="1" ht="12.75" x14ac:dyDescent="0.2">
      <c r="B33692" s="1168"/>
    </row>
    <row r="33693" spans="2:2" s="221" customFormat="1" ht="12.75" x14ac:dyDescent="0.2">
      <c r="B33693" s="1168"/>
    </row>
    <row r="33694" spans="2:2" s="221" customFormat="1" ht="12.75" x14ac:dyDescent="0.2">
      <c r="B33694" s="1168"/>
    </row>
    <row r="33695" spans="2:2" s="221" customFormat="1" ht="12.75" x14ac:dyDescent="0.2">
      <c r="B33695" s="1168"/>
    </row>
    <row r="33696" spans="2:2" s="221" customFormat="1" ht="12.75" x14ac:dyDescent="0.2">
      <c r="B33696" s="1168"/>
    </row>
    <row r="33697" spans="2:2" s="221" customFormat="1" ht="12.75" x14ac:dyDescent="0.2">
      <c r="B33697" s="1168"/>
    </row>
    <row r="33698" spans="2:2" s="221" customFormat="1" ht="12.75" x14ac:dyDescent="0.2">
      <c r="B33698" s="1168"/>
    </row>
    <row r="33699" spans="2:2" s="221" customFormat="1" ht="12.75" x14ac:dyDescent="0.2">
      <c r="B33699" s="1168"/>
    </row>
    <row r="33700" spans="2:2" s="221" customFormat="1" ht="12.75" x14ac:dyDescent="0.2">
      <c r="B33700" s="1168"/>
    </row>
    <row r="33701" spans="2:2" s="221" customFormat="1" ht="12.75" x14ac:dyDescent="0.2">
      <c r="B33701" s="1168"/>
    </row>
    <row r="33702" spans="2:2" s="221" customFormat="1" ht="12.75" x14ac:dyDescent="0.2">
      <c r="B33702" s="1168"/>
    </row>
    <row r="33703" spans="2:2" s="221" customFormat="1" ht="12.75" x14ac:dyDescent="0.2">
      <c r="B33703" s="1168"/>
    </row>
    <row r="33704" spans="2:2" s="221" customFormat="1" ht="12.75" x14ac:dyDescent="0.2">
      <c r="B33704" s="1168"/>
    </row>
    <row r="33705" spans="2:2" s="221" customFormat="1" ht="12.75" x14ac:dyDescent="0.2">
      <c r="B33705" s="1168"/>
    </row>
    <row r="33706" spans="2:2" s="221" customFormat="1" ht="12.75" x14ac:dyDescent="0.2">
      <c r="B33706" s="1168"/>
    </row>
    <row r="33707" spans="2:2" s="221" customFormat="1" ht="12.75" x14ac:dyDescent="0.2">
      <c r="B33707" s="1168"/>
    </row>
    <row r="33708" spans="2:2" s="221" customFormat="1" ht="12.75" x14ac:dyDescent="0.2">
      <c r="B33708" s="1168"/>
    </row>
    <row r="33709" spans="2:2" s="221" customFormat="1" ht="12.75" x14ac:dyDescent="0.2">
      <c r="B33709" s="1168"/>
    </row>
    <row r="33710" spans="2:2" s="221" customFormat="1" ht="12.75" x14ac:dyDescent="0.2">
      <c r="B33710" s="1168"/>
    </row>
    <row r="33711" spans="2:2" s="221" customFormat="1" ht="12.75" x14ac:dyDescent="0.2">
      <c r="B33711" s="1168"/>
    </row>
    <row r="33712" spans="2:2" s="221" customFormat="1" ht="12.75" x14ac:dyDescent="0.2">
      <c r="B33712" s="1168"/>
    </row>
    <row r="33713" spans="2:2" s="221" customFormat="1" ht="12.75" x14ac:dyDescent="0.2">
      <c r="B33713" s="1168"/>
    </row>
    <row r="33714" spans="2:2" s="221" customFormat="1" ht="12.75" x14ac:dyDescent="0.2">
      <c r="B33714" s="1168"/>
    </row>
    <row r="33715" spans="2:2" s="221" customFormat="1" ht="12.75" x14ac:dyDescent="0.2">
      <c r="B33715" s="1168"/>
    </row>
    <row r="33716" spans="2:2" s="221" customFormat="1" ht="12.75" x14ac:dyDescent="0.2">
      <c r="B33716" s="1168"/>
    </row>
    <row r="33717" spans="2:2" s="221" customFormat="1" ht="12.75" x14ac:dyDescent="0.2">
      <c r="B33717" s="1168"/>
    </row>
    <row r="33718" spans="2:2" s="221" customFormat="1" ht="12.75" x14ac:dyDescent="0.2">
      <c r="B33718" s="1168"/>
    </row>
    <row r="33719" spans="2:2" s="221" customFormat="1" ht="12.75" x14ac:dyDescent="0.2">
      <c r="B33719" s="1168"/>
    </row>
    <row r="33720" spans="2:2" s="221" customFormat="1" ht="12.75" x14ac:dyDescent="0.2">
      <c r="B33720" s="1168"/>
    </row>
    <row r="33721" spans="2:2" s="221" customFormat="1" ht="12.75" x14ac:dyDescent="0.2">
      <c r="B33721" s="1168"/>
    </row>
    <row r="33722" spans="2:2" s="221" customFormat="1" ht="12.75" x14ac:dyDescent="0.2">
      <c r="B33722" s="1168"/>
    </row>
    <row r="33723" spans="2:2" s="221" customFormat="1" ht="12.75" x14ac:dyDescent="0.2">
      <c r="B33723" s="1168"/>
    </row>
    <row r="33724" spans="2:2" s="221" customFormat="1" ht="12.75" x14ac:dyDescent="0.2">
      <c r="B33724" s="1168"/>
    </row>
    <row r="33725" spans="2:2" s="221" customFormat="1" ht="12.75" x14ac:dyDescent="0.2">
      <c r="B33725" s="1168"/>
    </row>
    <row r="33726" spans="2:2" s="221" customFormat="1" ht="12.75" x14ac:dyDescent="0.2">
      <c r="B33726" s="1168"/>
    </row>
    <row r="33727" spans="2:2" s="221" customFormat="1" ht="12.75" x14ac:dyDescent="0.2">
      <c r="B33727" s="1168"/>
    </row>
    <row r="33728" spans="2:2" s="221" customFormat="1" ht="12.75" x14ac:dyDescent="0.2">
      <c r="B33728" s="1168"/>
    </row>
    <row r="33729" spans="2:2" s="221" customFormat="1" ht="12.75" x14ac:dyDescent="0.2">
      <c r="B33729" s="1168"/>
    </row>
    <row r="33730" spans="2:2" s="221" customFormat="1" ht="12.75" x14ac:dyDescent="0.2">
      <c r="B33730" s="1168"/>
    </row>
    <row r="33731" spans="2:2" s="221" customFormat="1" ht="12.75" x14ac:dyDescent="0.2">
      <c r="B33731" s="1168"/>
    </row>
    <row r="33732" spans="2:2" s="221" customFormat="1" ht="12.75" x14ac:dyDescent="0.2">
      <c r="B33732" s="1168"/>
    </row>
    <row r="33733" spans="2:2" s="221" customFormat="1" ht="12.75" x14ac:dyDescent="0.2">
      <c r="B33733" s="1168"/>
    </row>
    <row r="33734" spans="2:2" s="221" customFormat="1" ht="12.75" x14ac:dyDescent="0.2">
      <c r="B33734" s="1168"/>
    </row>
    <row r="33735" spans="2:2" s="221" customFormat="1" ht="12.75" x14ac:dyDescent="0.2">
      <c r="B33735" s="1168"/>
    </row>
    <row r="33736" spans="2:2" s="221" customFormat="1" ht="12.75" x14ac:dyDescent="0.2">
      <c r="B33736" s="1168"/>
    </row>
    <row r="33737" spans="2:2" s="221" customFormat="1" ht="12.75" x14ac:dyDescent="0.2">
      <c r="B33737" s="1168"/>
    </row>
    <row r="33738" spans="2:2" s="221" customFormat="1" ht="12.75" x14ac:dyDescent="0.2">
      <c r="B33738" s="1168"/>
    </row>
    <row r="33739" spans="2:2" s="221" customFormat="1" ht="12.75" x14ac:dyDescent="0.2">
      <c r="B33739" s="1168"/>
    </row>
    <row r="33740" spans="2:2" s="221" customFormat="1" ht="12.75" x14ac:dyDescent="0.2">
      <c r="B33740" s="1168"/>
    </row>
    <row r="33741" spans="2:2" s="221" customFormat="1" ht="12.75" x14ac:dyDescent="0.2">
      <c r="B33741" s="1168"/>
    </row>
    <row r="33742" spans="2:2" s="221" customFormat="1" ht="12.75" x14ac:dyDescent="0.2">
      <c r="B33742" s="1168"/>
    </row>
    <row r="33743" spans="2:2" s="221" customFormat="1" ht="12.75" x14ac:dyDescent="0.2">
      <c r="B33743" s="1168"/>
    </row>
    <row r="33744" spans="2:2" s="221" customFormat="1" ht="12.75" x14ac:dyDescent="0.2">
      <c r="B33744" s="1168"/>
    </row>
    <row r="33745" spans="2:2" s="221" customFormat="1" ht="12.75" x14ac:dyDescent="0.2">
      <c r="B33745" s="1168"/>
    </row>
    <row r="33746" spans="2:2" s="221" customFormat="1" ht="12.75" x14ac:dyDescent="0.2">
      <c r="B33746" s="1168"/>
    </row>
    <row r="33747" spans="2:2" s="221" customFormat="1" ht="12.75" x14ac:dyDescent="0.2">
      <c r="B33747" s="1168"/>
    </row>
    <row r="33748" spans="2:2" s="221" customFormat="1" ht="12.75" x14ac:dyDescent="0.2">
      <c r="B33748" s="1168"/>
    </row>
    <row r="33749" spans="2:2" s="221" customFormat="1" ht="12.75" x14ac:dyDescent="0.2">
      <c r="B33749" s="1168"/>
    </row>
    <row r="33750" spans="2:2" s="221" customFormat="1" ht="12.75" x14ac:dyDescent="0.2">
      <c r="B33750" s="1168"/>
    </row>
    <row r="33751" spans="2:2" s="221" customFormat="1" ht="12.75" x14ac:dyDescent="0.2">
      <c r="B33751" s="1168"/>
    </row>
    <row r="33752" spans="2:2" s="221" customFormat="1" ht="12.75" x14ac:dyDescent="0.2">
      <c r="B33752" s="1168"/>
    </row>
    <row r="33753" spans="2:2" s="221" customFormat="1" ht="12.75" x14ac:dyDescent="0.2">
      <c r="B33753" s="1168"/>
    </row>
    <row r="33754" spans="2:2" s="221" customFormat="1" ht="12.75" x14ac:dyDescent="0.2">
      <c r="B33754" s="1168"/>
    </row>
    <row r="33755" spans="2:2" s="221" customFormat="1" ht="12.75" x14ac:dyDescent="0.2">
      <c r="B33755" s="1168"/>
    </row>
    <row r="33756" spans="2:2" s="221" customFormat="1" ht="12.75" x14ac:dyDescent="0.2">
      <c r="B33756" s="1168"/>
    </row>
    <row r="33757" spans="2:2" s="221" customFormat="1" ht="12.75" x14ac:dyDescent="0.2">
      <c r="B33757" s="1168"/>
    </row>
    <row r="33758" spans="2:2" s="221" customFormat="1" ht="12.75" x14ac:dyDescent="0.2">
      <c r="B33758" s="1168"/>
    </row>
    <row r="33759" spans="2:2" s="221" customFormat="1" ht="12.75" x14ac:dyDescent="0.2">
      <c r="B33759" s="1168"/>
    </row>
    <row r="33760" spans="2:2" s="221" customFormat="1" ht="12.75" x14ac:dyDescent="0.2">
      <c r="B33760" s="1168"/>
    </row>
    <row r="33761" spans="2:2" s="221" customFormat="1" ht="12.75" x14ac:dyDescent="0.2">
      <c r="B33761" s="1168"/>
    </row>
    <row r="33762" spans="2:2" s="221" customFormat="1" ht="12.75" x14ac:dyDescent="0.2">
      <c r="B33762" s="1168"/>
    </row>
    <row r="33763" spans="2:2" s="221" customFormat="1" ht="12.75" x14ac:dyDescent="0.2">
      <c r="B33763" s="1168"/>
    </row>
    <row r="33764" spans="2:2" s="221" customFormat="1" ht="12.75" x14ac:dyDescent="0.2">
      <c r="B33764" s="1168"/>
    </row>
    <row r="33765" spans="2:2" s="221" customFormat="1" ht="12.75" x14ac:dyDescent="0.2">
      <c r="B33765" s="1168"/>
    </row>
    <row r="33766" spans="2:2" s="221" customFormat="1" ht="12.75" x14ac:dyDescent="0.2">
      <c r="B33766" s="1168"/>
    </row>
    <row r="33767" spans="2:2" s="221" customFormat="1" ht="12.75" x14ac:dyDescent="0.2">
      <c r="B33767" s="1168"/>
    </row>
    <row r="33768" spans="2:2" s="221" customFormat="1" ht="12.75" x14ac:dyDescent="0.2">
      <c r="B33768" s="1168"/>
    </row>
    <row r="33769" spans="2:2" s="221" customFormat="1" ht="12.75" x14ac:dyDescent="0.2">
      <c r="B33769" s="1168"/>
    </row>
    <row r="33770" spans="2:2" s="221" customFormat="1" ht="12.75" x14ac:dyDescent="0.2">
      <c r="B33770" s="1168"/>
    </row>
    <row r="33771" spans="2:2" s="221" customFormat="1" ht="12.75" x14ac:dyDescent="0.2">
      <c r="B33771" s="1168"/>
    </row>
    <row r="33772" spans="2:2" s="221" customFormat="1" ht="12.75" x14ac:dyDescent="0.2">
      <c r="B33772" s="1168"/>
    </row>
    <row r="33773" spans="2:2" s="221" customFormat="1" ht="12.75" x14ac:dyDescent="0.2">
      <c r="B33773" s="1168"/>
    </row>
    <row r="33774" spans="2:2" s="221" customFormat="1" ht="12.75" x14ac:dyDescent="0.2">
      <c r="B33774" s="1168"/>
    </row>
    <row r="33775" spans="2:2" s="221" customFormat="1" ht="12.75" x14ac:dyDescent="0.2">
      <c r="B33775" s="1168"/>
    </row>
    <row r="33776" spans="2:2" s="221" customFormat="1" ht="12.75" x14ac:dyDescent="0.2">
      <c r="B33776" s="1168"/>
    </row>
    <row r="33777" spans="2:2" s="221" customFormat="1" ht="12.75" x14ac:dyDescent="0.2">
      <c r="B33777" s="1168"/>
    </row>
    <row r="33778" spans="2:2" s="221" customFormat="1" ht="12.75" x14ac:dyDescent="0.2">
      <c r="B33778" s="1168"/>
    </row>
    <row r="33779" spans="2:2" s="221" customFormat="1" ht="12.75" x14ac:dyDescent="0.2">
      <c r="B33779" s="1168"/>
    </row>
    <row r="33780" spans="2:2" s="221" customFormat="1" ht="12.75" x14ac:dyDescent="0.2">
      <c r="B33780" s="1168"/>
    </row>
    <row r="33781" spans="2:2" s="221" customFormat="1" ht="12.75" x14ac:dyDescent="0.2">
      <c r="B33781" s="1168"/>
    </row>
    <row r="33782" spans="2:2" s="221" customFormat="1" ht="12.75" x14ac:dyDescent="0.2">
      <c r="B33782" s="1168"/>
    </row>
    <row r="33783" spans="2:2" s="221" customFormat="1" ht="12.75" x14ac:dyDescent="0.2">
      <c r="B33783" s="1168"/>
    </row>
    <row r="33784" spans="2:2" s="221" customFormat="1" ht="12.75" x14ac:dyDescent="0.2">
      <c r="B33784" s="1168"/>
    </row>
    <row r="33785" spans="2:2" s="221" customFormat="1" ht="12.75" x14ac:dyDescent="0.2">
      <c r="B33785" s="1168"/>
    </row>
    <row r="33786" spans="2:2" s="221" customFormat="1" ht="12.75" x14ac:dyDescent="0.2">
      <c r="B33786" s="1168"/>
    </row>
    <row r="33787" spans="2:2" s="221" customFormat="1" ht="12.75" x14ac:dyDescent="0.2">
      <c r="B33787" s="1168"/>
    </row>
    <row r="33788" spans="2:2" s="221" customFormat="1" ht="12.75" x14ac:dyDescent="0.2">
      <c r="B33788" s="1168"/>
    </row>
    <row r="33789" spans="2:2" s="221" customFormat="1" ht="12.75" x14ac:dyDescent="0.2">
      <c r="B33789" s="1168"/>
    </row>
    <row r="33790" spans="2:2" s="221" customFormat="1" ht="12.75" x14ac:dyDescent="0.2">
      <c r="B33790" s="1168"/>
    </row>
    <row r="33791" spans="2:2" s="221" customFormat="1" ht="12.75" x14ac:dyDescent="0.2">
      <c r="B33791" s="1168"/>
    </row>
    <row r="33792" spans="2:2" s="221" customFormat="1" ht="12.75" x14ac:dyDescent="0.2">
      <c r="B33792" s="1168"/>
    </row>
    <row r="33793" spans="2:2" s="221" customFormat="1" ht="12.75" x14ac:dyDescent="0.2">
      <c r="B33793" s="1168"/>
    </row>
    <row r="33794" spans="2:2" s="221" customFormat="1" ht="12.75" x14ac:dyDescent="0.2">
      <c r="B33794" s="1168"/>
    </row>
    <row r="33795" spans="2:2" s="221" customFormat="1" ht="12.75" x14ac:dyDescent="0.2">
      <c r="B33795" s="1168"/>
    </row>
    <row r="33796" spans="2:2" s="221" customFormat="1" ht="12.75" x14ac:dyDescent="0.2">
      <c r="B33796" s="1168"/>
    </row>
    <row r="33797" spans="2:2" s="221" customFormat="1" ht="12.75" x14ac:dyDescent="0.2">
      <c r="B33797" s="1168"/>
    </row>
    <row r="33798" spans="2:2" s="221" customFormat="1" ht="12.75" x14ac:dyDescent="0.2">
      <c r="B33798" s="1168"/>
    </row>
    <row r="33799" spans="2:2" s="221" customFormat="1" ht="12.75" x14ac:dyDescent="0.2">
      <c r="B33799" s="1168"/>
    </row>
    <row r="33800" spans="2:2" s="221" customFormat="1" ht="12.75" x14ac:dyDescent="0.2">
      <c r="B33800" s="1168"/>
    </row>
    <row r="33801" spans="2:2" s="221" customFormat="1" ht="12.75" x14ac:dyDescent="0.2">
      <c r="B33801" s="1168"/>
    </row>
    <row r="33802" spans="2:2" s="221" customFormat="1" ht="12.75" x14ac:dyDescent="0.2">
      <c r="B33802" s="1168"/>
    </row>
    <row r="33803" spans="2:2" s="221" customFormat="1" ht="12.75" x14ac:dyDescent="0.2">
      <c r="B33803" s="1168"/>
    </row>
    <row r="33804" spans="2:2" s="221" customFormat="1" ht="12.75" x14ac:dyDescent="0.2">
      <c r="B33804" s="1168"/>
    </row>
    <row r="33805" spans="2:2" s="221" customFormat="1" ht="12.75" x14ac:dyDescent="0.2">
      <c r="B33805" s="1168"/>
    </row>
    <row r="33806" spans="2:2" s="221" customFormat="1" ht="12.75" x14ac:dyDescent="0.2">
      <c r="B33806" s="1168"/>
    </row>
    <row r="33807" spans="2:2" s="221" customFormat="1" ht="12.75" x14ac:dyDescent="0.2">
      <c r="B33807" s="1168"/>
    </row>
    <row r="33808" spans="2:2" s="221" customFormat="1" ht="12.75" x14ac:dyDescent="0.2">
      <c r="B33808" s="1168"/>
    </row>
    <row r="33809" spans="2:2" s="221" customFormat="1" ht="12.75" x14ac:dyDescent="0.2">
      <c r="B33809" s="1168"/>
    </row>
    <row r="33810" spans="2:2" s="221" customFormat="1" ht="12.75" x14ac:dyDescent="0.2">
      <c r="B33810" s="1168"/>
    </row>
    <row r="33811" spans="2:2" s="221" customFormat="1" ht="12.75" x14ac:dyDescent="0.2">
      <c r="B33811" s="1168"/>
    </row>
    <row r="33812" spans="2:2" s="221" customFormat="1" ht="12.75" x14ac:dyDescent="0.2">
      <c r="B33812" s="1168"/>
    </row>
    <row r="33813" spans="2:2" s="221" customFormat="1" ht="12.75" x14ac:dyDescent="0.2">
      <c r="B33813" s="1168"/>
    </row>
    <row r="33814" spans="2:2" s="221" customFormat="1" ht="12.75" x14ac:dyDescent="0.2">
      <c r="B33814" s="1168"/>
    </row>
    <row r="33815" spans="2:2" s="221" customFormat="1" ht="12.75" x14ac:dyDescent="0.2">
      <c r="B33815" s="1168"/>
    </row>
    <row r="33816" spans="2:2" s="221" customFormat="1" ht="12.75" x14ac:dyDescent="0.2">
      <c r="B33816" s="1168"/>
    </row>
    <row r="33817" spans="2:2" s="221" customFormat="1" ht="12.75" x14ac:dyDescent="0.2">
      <c r="B33817" s="1168"/>
    </row>
    <row r="33818" spans="2:2" s="221" customFormat="1" ht="12.75" x14ac:dyDescent="0.2">
      <c r="B33818" s="1168"/>
    </row>
    <row r="33819" spans="2:2" s="221" customFormat="1" ht="12.75" x14ac:dyDescent="0.2">
      <c r="B33819" s="1168"/>
    </row>
    <row r="33820" spans="2:2" s="221" customFormat="1" ht="12.75" x14ac:dyDescent="0.2">
      <c r="B33820" s="1168"/>
    </row>
    <row r="33821" spans="2:2" s="221" customFormat="1" ht="12.75" x14ac:dyDescent="0.2">
      <c r="B33821" s="1168"/>
    </row>
    <row r="33822" spans="2:2" s="221" customFormat="1" ht="12.75" x14ac:dyDescent="0.2">
      <c r="B33822" s="1168"/>
    </row>
    <row r="33823" spans="2:2" s="221" customFormat="1" ht="12.75" x14ac:dyDescent="0.2">
      <c r="B33823" s="1168"/>
    </row>
    <row r="33824" spans="2:2" s="221" customFormat="1" ht="12.75" x14ac:dyDescent="0.2">
      <c r="B33824" s="1168"/>
    </row>
    <row r="33825" spans="2:2" s="221" customFormat="1" ht="12.75" x14ac:dyDescent="0.2">
      <c r="B33825" s="1168"/>
    </row>
    <row r="33826" spans="2:2" s="221" customFormat="1" ht="12.75" x14ac:dyDescent="0.2">
      <c r="B33826" s="1168"/>
    </row>
    <row r="33827" spans="2:2" s="221" customFormat="1" ht="12.75" x14ac:dyDescent="0.2">
      <c r="B33827" s="1168"/>
    </row>
    <row r="33828" spans="2:2" s="221" customFormat="1" ht="12.75" x14ac:dyDescent="0.2">
      <c r="B33828" s="1168"/>
    </row>
    <row r="33829" spans="2:2" s="221" customFormat="1" ht="12.75" x14ac:dyDescent="0.2">
      <c r="B33829" s="1168"/>
    </row>
    <row r="33830" spans="2:2" s="221" customFormat="1" ht="12.75" x14ac:dyDescent="0.2">
      <c r="B33830" s="1168"/>
    </row>
    <row r="33831" spans="2:2" s="221" customFormat="1" ht="12.75" x14ac:dyDescent="0.2">
      <c r="B33831" s="1168"/>
    </row>
    <row r="33832" spans="2:2" s="221" customFormat="1" ht="12.75" x14ac:dyDescent="0.2">
      <c r="B33832" s="1168"/>
    </row>
    <row r="33833" spans="2:2" s="221" customFormat="1" ht="12.75" x14ac:dyDescent="0.2">
      <c r="B33833" s="1168"/>
    </row>
    <row r="33834" spans="2:2" s="221" customFormat="1" ht="12.75" x14ac:dyDescent="0.2">
      <c r="B33834" s="1168"/>
    </row>
    <row r="33835" spans="2:2" s="221" customFormat="1" ht="12.75" x14ac:dyDescent="0.2">
      <c r="B33835" s="1168"/>
    </row>
    <row r="33836" spans="2:2" s="221" customFormat="1" ht="12.75" x14ac:dyDescent="0.2">
      <c r="B33836" s="1168"/>
    </row>
    <row r="33837" spans="2:2" s="221" customFormat="1" ht="12.75" x14ac:dyDescent="0.2">
      <c r="B33837" s="1168"/>
    </row>
    <row r="33838" spans="2:2" s="221" customFormat="1" ht="12.75" x14ac:dyDescent="0.2">
      <c r="B33838" s="1168"/>
    </row>
    <row r="33839" spans="2:2" s="221" customFormat="1" ht="12.75" x14ac:dyDescent="0.2">
      <c r="B33839" s="1168"/>
    </row>
    <row r="33840" spans="2:2" s="221" customFormat="1" ht="12.75" x14ac:dyDescent="0.2">
      <c r="B33840" s="1168"/>
    </row>
    <row r="33841" spans="2:2" s="221" customFormat="1" ht="12.75" x14ac:dyDescent="0.2">
      <c r="B33841" s="1168"/>
    </row>
    <row r="33842" spans="2:2" s="221" customFormat="1" ht="12.75" x14ac:dyDescent="0.2">
      <c r="B33842" s="1168"/>
    </row>
    <row r="33843" spans="2:2" s="221" customFormat="1" ht="12.75" x14ac:dyDescent="0.2">
      <c r="B33843" s="1168"/>
    </row>
    <row r="33844" spans="2:2" s="221" customFormat="1" ht="12.75" x14ac:dyDescent="0.2">
      <c r="B33844" s="1168"/>
    </row>
    <row r="33845" spans="2:2" s="221" customFormat="1" ht="12.75" x14ac:dyDescent="0.2">
      <c r="B33845" s="1168"/>
    </row>
    <row r="33846" spans="2:2" s="221" customFormat="1" ht="12.75" x14ac:dyDescent="0.2">
      <c r="B33846" s="1168"/>
    </row>
    <row r="33847" spans="2:2" s="221" customFormat="1" ht="12.75" x14ac:dyDescent="0.2">
      <c r="B33847" s="1168"/>
    </row>
    <row r="33848" spans="2:2" s="221" customFormat="1" ht="12.75" x14ac:dyDescent="0.2">
      <c r="B33848" s="1168"/>
    </row>
    <row r="33849" spans="2:2" s="221" customFormat="1" ht="12.75" x14ac:dyDescent="0.2">
      <c r="B33849" s="1168"/>
    </row>
    <row r="33850" spans="2:2" s="221" customFormat="1" ht="12.75" x14ac:dyDescent="0.2">
      <c r="B33850" s="1168"/>
    </row>
    <row r="33851" spans="2:2" s="221" customFormat="1" ht="12.75" x14ac:dyDescent="0.2">
      <c r="B33851" s="1168"/>
    </row>
    <row r="33852" spans="2:2" s="221" customFormat="1" ht="12.75" x14ac:dyDescent="0.2">
      <c r="B33852" s="1168"/>
    </row>
    <row r="33853" spans="2:2" s="221" customFormat="1" ht="12.75" x14ac:dyDescent="0.2">
      <c r="B33853" s="1168"/>
    </row>
    <row r="33854" spans="2:2" s="221" customFormat="1" ht="12.75" x14ac:dyDescent="0.2">
      <c r="B33854" s="1168"/>
    </row>
    <row r="33855" spans="2:2" s="221" customFormat="1" ht="12.75" x14ac:dyDescent="0.2">
      <c r="B33855" s="1168"/>
    </row>
    <row r="33856" spans="2:2" s="221" customFormat="1" ht="12.75" x14ac:dyDescent="0.2">
      <c r="B33856" s="1168"/>
    </row>
    <row r="33857" spans="2:2" s="221" customFormat="1" ht="12.75" x14ac:dyDescent="0.2">
      <c r="B33857" s="1168"/>
    </row>
    <row r="33858" spans="2:2" s="221" customFormat="1" ht="12.75" x14ac:dyDescent="0.2">
      <c r="B33858" s="1168"/>
    </row>
    <row r="33859" spans="2:2" s="221" customFormat="1" ht="12.75" x14ac:dyDescent="0.2">
      <c r="B33859" s="1168"/>
    </row>
    <row r="33860" spans="2:2" s="221" customFormat="1" ht="12.75" x14ac:dyDescent="0.2">
      <c r="B33860" s="1168"/>
    </row>
    <row r="33861" spans="2:2" s="221" customFormat="1" ht="12.75" x14ac:dyDescent="0.2">
      <c r="B33861" s="1168"/>
    </row>
    <row r="33862" spans="2:2" s="221" customFormat="1" ht="12.75" x14ac:dyDescent="0.2">
      <c r="B33862" s="1168"/>
    </row>
    <row r="33863" spans="2:2" s="221" customFormat="1" ht="12.75" x14ac:dyDescent="0.2">
      <c r="B33863" s="1168"/>
    </row>
    <row r="33864" spans="2:2" s="221" customFormat="1" ht="12.75" x14ac:dyDescent="0.2">
      <c r="B33864" s="1168"/>
    </row>
    <row r="33865" spans="2:2" s="221" customFormat="1" ht="12.75" x14ac:dyDescent="0.2">
      <c r="B33865" s="1168"/>
    </row>
    <row r="33866" spans="2:2" s="221" customFormat="1" ht="12.75" x14ac:dyDescent="0.2">
      <c r="B33866" s="1168"/>
    </row>
    <row r="33867" spans="2:2" s="221" customFormat="1" ht="12.75" x14ac:dyDescent="0.2">
      <c r="B33867" s="1168"/>
    </row>
    <row r="33868" spans="2:2" s="221" customFormat="1" ht="12.75" x14ac:dyDescent="0.2">
      <c r="B33868" s="1168"/>
    </row>
    <row r="33869" spans="2:2" s="221" customFormat="1" ht="12.75" x14ac:dyDescent="0.2">
      <c r="B33869" s="1168"/>
    </row>
    <row r="33870" spans="2:2" s="221" customFormat="1" ht="12.75" x14ac:dyDescent="0.2">
      <c r="B33870" s="1168"/>
    </row>
    <row r="33871" spans="2:2" s="221" customFormat="1" ht="12.75" x14ac:dyDescent="0.2">
      <c r="B33871" s="1168"/>
    </row>
    <row r="33872" spans="2:2" s="221" customFormat="1" ht="12.75" x14ac:dyDescent="0.2">
      <c r="B33872" s="1168"/>
    </row>
    <row r="33873" spans="2:2" s="221" customFormat="1" ht="12.75" x14ac:dyDescent="0.2">
      <c r="B33873" s="1168"/>
    </row>
    <row r="33874" spans="2:2" s="221" customFormat="1" ht="12.75" x14ac:dyDescent="0.2">
      <c r="B33874" s="1168"/>
    </row>
    <row r="33875" spans="2:2" s="221" customFormat="1" ht="12.75" x14ac:dyDescent="0.2">
      <c r="B33875" s="1168"/>
    </row>
    <row r="33876" spans="2:2" s="221" customFormat="1" ht="12.75" x14ac:dyDescent="0.2">
      <c r="B33876" s="1168"/>
    </row>
    <row r="33877" spans="2:2" s="221" customFormat="1" ht="12.75" x14ac:dyDescent="0.2">
      <c r="B33877" s="1168"/>
    </row>
    <row r="33878" spans="2:2" s="221" customFormat="1" ht="12.75" x14ac:dyDescent="0.2">
      <c r="B33878" s="1168"/>
    </row>
    <row r="33879" spans="2:2" s="221" customFormat="1" ht="12.75" x14ac:dyDescent="0.2">
      <c r="B33879" s="1168"/>
    </row>
    <row r="33880" spans="2:2" s="221" customFormat="1" ht="12.75" x14ac:dyDescent="0.2">
      <c r="B33880" s="1168"/>
    </row>
    <row r="33881" spans="2:2" s="221" customFormat="1" ht="12.75" x14ac:dyDescent="0.2">
      <c r="B33881" s="1168"/>
    </row>
    <row r="33882" spans="2:2" s="221" customFormat="1" ht="12.75" x14ac:dyDescent="0.2">
      <c r="B33882" s="1168"/>
    </row>
    <row r="33883" spans="2:2" s="221" customFormat="1" ht="12.75" x14ac:dyDescent="0.2">
      <c r="B33883" s="1168"/>
    </row>
    <row r="33884" spans="2:2" s="221" customFormat="1" ht="12.75" x14ac:dyDescent="0.2">
      <c r="B33884" s="1168"/>
    </row>
    <row r="33885" spans="2:2" s="221" customFormat="1" ht="12.75" x14ac:dyDescent="0.2">
      <c r="B33885" s="1168"/>
    </row>
    <row r="33886" spans="2:2" s="221" customFormat="1" ht="12.75" x14ac:dyDescent="0.2">
      <c r="B33886" s="1168"/>
    </row>
    <row r="33887" spans="2:2" s="221" customFormat="1" ht="12.75" x14ac:dyDescent="0.2">
      <c r="B33887" s="1168"/>
    </row>
    <row r="33888" spans="2:2" s="221" customFormat="1" ht="12.75" x14ac:dyDescent="0.2">
      <c r="B33888" s="1168"/>
    </row>
    <row r="33889" spans="2:2" s="221" customFormat="1" ht="12.75" x14ac:dyDescent="0.2">
      <c r="B33889" s="1168"/>
    </row>
    <row r="33890" spans="2:2" s="221" customFormat="1" ht="12.75" x14ac:dyDescent="0.2">
      <c r="B33890" s="1168"/>
    </row>
    <row r="33891" spans="2:2" s="221" customFormat="1" ht="12.75" x14ac:dyDescent="0.2">
      <c r="B33891" s="1168"/>
    </row>
    <row r="33892" spans="2:2" s="221" customFormat="1" ht="12.75" x14ac:dyDescent="0.2">
      <c r="B33892" s="1168"/>
    </row>
    <row r="33893" spans="2:2" s="221" customFormat="1" ht="12.75" x14ac:dyDescent="0.2">
      <c r="B33893" s="1168"/>
    </row>
    <row r="33894" spans="2:2" s="221" customFormat="1" ht="12.75" x14ac:dyDescent="0.2">
      <c r="B33894" s="1168"/>
    </row>
    <row r="33895" spans="2:2" s="221" customFormat="1" ht="12.75" x14ac:dyDescent="0.2">
      <c r="B33895" s="1168"/>
    </row>
    <row r="33896" spans="2:2" s="221" customFormat="1" ht="12.75" x14ac:dyDescent="0.2">
      <c r="B33896" s="1168"/>
    </row>
    <row r="33897" spans="2:2" s="221" customFormat="1" ht="12.75" x14ac:dyDescent="0.2">
      <c r="B33897" s="1168"/>
    </row>
    <row r="33898" spans="2:2" s="221" customFormat="1" ht="12.75" x14ac:dyDescent="0.2">
      <c r="B33898" s="1168"/>
    </row>
    <row r="33899" spans="2:2" s="221" customFormat="1" ht="12.75" x14ac:dyDescent="0.2">
      <c r="B33899" s="1168"/>
    </row>
    <row r="33900" spans="2:2" s="221" customFormat="1" ht="12.75" x14ac:dyDescent="0.2">
      <c r="B33900" s="1168"/>
    </row>
    <row r="33901" spans="2:2" s="221" customFormat="1" ht="12.75" x14ac:dyDescent="0.2">
      <c r="B33901" s="1168"/>
    </row>
    <row r="33902" spans="2:2" s="221" customFormat="1" ht="12.75" x14ac:dyDescent="0.2">
      <c r="B33902" s="1168"/>
    </row>
    <row r="33903" spans="2:2" s="221" customFormat="1" ht="12.75" x14ac:dyDescent="0.2">
      <c r="B33903" s="1168"/>
    </row>
    <row r="33904" spans="2:2" s="221" customFormat="1" ht="12.75" x14ac:dyDescent="0.2">
      <c r="B33904" s="1168"/>
    </row>
    <row r="33905" spans="2:2" s="221" customFormat="1" ht="12.75" x14ac:dyDescent="0.2">
      <c r="B33905" s="1168"/>
    </row>
    <row r="33906" spans="2:2" s="221" customFormat="1" ht="12.75" x14ac:dyDescent="0.2">
      <c r="B33906" s="1168"/>
    </row>
    <row r="33907" spans="2:2" s="221" customFormat="1" ht="12.75" x14ac:dyDescent="0.2">
      <c r="B33907" s="1168"/>
    </row>
    <row r="33908" spans="2:2" s="221" customFormat="1" ht="12.75" x14ac:dyDescent="0.2">
      <c r="B33908" s="1168"/>
    </row>
    <row r="33909" spans="2:2" s="221" customFormat="1" ht="12.75" x14ac:dyDescent="0.2">
      <c r="B33909" s="1168"/>
    </row>
    <row r="33910" spans="2:2" s="221" customFormat="1" ht="12.75" x14ac:dyDescent="0.2">
      <c r="B33910" s="1168"/>
    </row>
    <row r="33911" spans="2:2" s="221" customFormat="1" ht="12.75" x14ac:dyDescent="0.2">
      <c r="B33911" s="1168"/>
    </row>
    <row r="33912" spans="2:2" s="221" customFormat="1" ht="12.75" x14ac:dyDescent="0.2">
      <c r="B33912" s="1168"/>
    </row>
    <row r="33913" spans="2:2" s="221" customFormat="1" ht="12.75" x14ac:dyDescent="0.2">
      <c r="B33913" s="1168"/>
    </row>
    <row r="33914" spans="2:2" s="221" customFormat="1" ht="12.75" x14ac:dyDescent="0.2">
      <c r="B33914" s="1168"/>
    </row>
    <row r="33915" spans="2:2" s="221" customFormat="1" ht="12.75" x14ac:dyDescent="0.2">
      <c r="B33915" s="1168"/>
    </row>
    <row r="33916" spans="2:2" s="221" customFormat="1" ht="12.75" x14ac:dyDescent="0.2">
      <c r="B33916" s="1168"/>
    </row>
    <row r="33917" spans="2:2" s="221" customFormat="1" ht="12.75" x14ac:dyDescent="0.2">
      <c r="B33917" s="1168"/>
    </row>
    <row r="33918" spans="2:2" s="221" customFormat="1" ht="12.75" x14ac:dyDescent="0.2">
      <c r="B33918" s="1168"/>
    </row>
    <row r="33919" spans="2:2" s="221" customFormat="1" ht="12.75" x14ac:dyDescent="0.2">
      <c r="B33919" s="1168"/>
    </row>
    <row r="33920" spans="2:2" s="221" customFormat="1" ht="12.75" x14ac:dyDescent="0.2">
      <c r="B33920" s="1168"/>
    </row>
    <row r="33921" spans="2:2" s="221" customFormat="1" ht="12.75" x14ac:dyDescent="0.2">
      <c r="B33921" s="1168"/>
    </row>
    <row r="33922" spans="2:2" s="221" customFormat="1" ht="12.75" x14ac:dyDescent="0.2">
      <c r="B33922" s="1168"/>
    </row>
    <row r="33923" spans="2:2" s="221" customFormat="1" ht="12.75" x14ac:dyDescent="0.2">
      <c r="B33923" s="1168"/>
    </row>
    <row r="33924" spans="2:2" s="221" customFormat="1" ht="12.75" x14ac:dyDescent="0.2">
      <c r="B33924" s="1168"/>
    </row>
    <row r="33925" spans="2:2" s="221" customFormat="1" ht="12.75" x14ac:dyDescent="0.2">
      <c r="B33925" s="1168"/>
    </row>
    <row r="33926" spans="2:2" s="221" customFormat="1" ht="12.75" x14ac:dyDescent="0.2">
      <c r="B33926" s="1168"/>
    </row>
    <row r="33927" spans="2:2" s="221" customFormat="1" ht="12.75" x14ac:dyDescent="0.2">
      <c r="B33927" s="1168"/>
    </row>
    <row r="33928" spans="2:2" s="221" customFormat="1" ht="12.75" x14ac:dyDescent="0.2">
      <c r="B33928" s="1168"/>
    </row>
    <row r="33929" spans="2:2" s="221" customFormat="1" ht="12.75" x14ac:dyDescent="0.2">
      <c r="B33929" s="1168"/>
    </row>
    <row r="33930" spans="2:2" s="221" customFormat="1" ht="12.75" x14ac:dyDescent="0.2">
      <c r="B33930" s="1168"/>
    </row>
    <row r="33931" spans="2:2" s="221" customFormat="1" ht="12.75" x14ac:dyDescent="0.2">
      <c r="B33931" s="1168"/>
    </row>
    <row r="33932" spans="2:2" s="221" customFormat="1" ht="12.75" x14ac:dyDescent="0.2">
      <c r="B33932" s="1168"/>
    </row>
    <row r="33933" spans="2:2" s="221" customFormat="1" ht="12.75" x14ac:dyDescent="0.2">
      <c r="B33933" s="1168"/>
    </row>
    <row r="33934" spans="2:2" s="221" customFormat="1" ht="12.75" x14ac:dyDescent="0.2">
      <c r="B33934" s="1168"/>
    </row>
    <row r="33935" spans="2:2" s="221" customFormat="1" ht="12.75" x14ac:dyDescent="0.2">
      <c r="B33935" s="1168"/>
    </row>
    <row r="33936" spans="2:2" s="221" customFormat="1" ht="12.75" x14ac:dyDescent="0.2">
      <c r="B33936" s="1168"/>
    </row>
    <row r="33937" spans="2:2" s="221" customFormat="1" ht="12.75" x14ac:dyDescent="0.2">
      <c r="B33937" s="1168"/>
    </row>
    <row r="33938" spans="2:2" s="221" customFormat="1" ht="12.75" x14ac:dyDescent="0.2">
      <c r="B33938" s="1168"/>
    </row>
    <row r="33939" spans="2:2" s="221" customFormat="1" ht="12.75" x14ac:dyDescent="0.2">
      <c r="B33939" s="1168"/>
    </row>
    <row r="33940" spans="2:2" s="221" customFormat="1" ht="12.75" x14ac:dyDescent="0.2">
      <c r="B33940" s="1168"/>
    </row>
    <row r="33941" spans="2:2" s="221" customFormat="1" ht="12.75" x14ac:dyDescent="0.2">
      <c r="B33941" s="1168"/>
    </row>
    <row r="33942" spans="2:2" s="221" customFormat="1" ht="12.75" x14ac:dyDescent="0.2">
      <c r="B33942" s="1168"/>
    </row>
    <row r="33943" spans="2:2" s="221" customFormat="1" ht="12.75" x14ac:dyDescent="0.2">
      <c r="B33943" s="1168"/>
    </row>
    <row r="33944" spans="2:2" s="221" customFormat="1" ht="12.75" x14ac:dyDescent="0.2">
      <c r="B33944" s="1168"/>
    </row>
    <row r="33945" spans="2:2" s="221" customFormat="1" ht="12.75" x14ac:dyDescent="0.2">
      <c r="B33945" s="1168"/>
    </row>
    <row r="33946" spans="2:2" s="221" customFormat="1" ht="12.75" x14ac:dyDescent="0.2">
      <c r="B33946" s="1168"/>
    </row>
    <row r="33947" spans="2:2" s="221" customFormat="1" ht="12.75" x14ac:dyDescent="0.2">
      <c r="B33947" s="1168"/>
    </row>
    <row r="33948" spans="2:2" s="221" customFormat="1" ht="12.75" x14ac:dyDescent="0.2">
      <c r="B33948" s="1168"/>
    </row>
    <row r="33949" spans="2:2" s="221" customFormat="1" ht="12.75" x14ac:dyDescent="0.2">
      <c r="B33949" s="1168"/>
    </row>
    <row r="33950" spans="2:2" s="221" customFormat="1" ht="12.75" x14ac:dyDescent="0.2">
      <c r="B33950" s="1168"/>
    </row>
    <row r="33951" spans="2:2" s="221" customFormat="1" ht="12.75" x14ac:dyDescent="0.2">
      <c r="B33951" s="1168"/>
    </row>
    <row r="33952" spans="2:2" s="221" customFormat="1" ht="12.75" x14ac:dyDescent="0.2">
      <c r="B33952" s="1168"/>
    </row>
    <row r="33953" spans="2:2" s="221" customFormat="1" ht="12.75" x14ac:dyDescent="0.2">
      <c r="B33953" s="1168"/>
    </row>
    <row r="33954" spans="2:2" s="221" customFormat="1" ht="12.75" x14ac:dyDescent="0.2">
      <c r="B33954" s="1168"/>
    </row>
    <row r="33955" spans="2:2" s="221" customFormat="1" ht="12.75" x14ac:dyDescent="0.2">
      <c r="B33955" s="1168"/>
    </row>
    <row r="33956" spans="2:2" s="221" customFormat="1" ht="12.75" x14ac:dyDescent="0.2">
      <c r="B33956" s="1168"/>
    </row>
    <row r="33957" spans="2:2" s="221" customFormat="1" ht="12.75" x14ac:dyDescent="0.2">
      <c r="B33957" s="1168"/>
    </row>
    <row r="33958" spans="2:2" s="221" customFormat="1" ht="12.75" x14ac:dyDescent="0.2">
      <c r="B33958" s="1168"/>
    </row>
    <row r="33959" spans="2:2" s="221" customFormat="1" ht="12.75" x14ac:dyDescent="0.2">
      <c r="B33959" s="1168"/>
    </row>
    <row r="33960" spans="2:2" s="221" customFormat="1" ht="12.75" x14ac:dyDescent="0.2">
      <c r="B33960" s="1168"/>
    </row>
    <row r="33961" spans="2:2" s="221" customFormat="1" ht="12.75" x14ac:dyDescent="0.2">
      <c r="B33961" s="1168"/>
    </row>
    <row r="33962" spans="2:2" s="221" customFormat="1" ht="12.75" x14ac:dyDescent="0.2">
      <c r="B33962" s="1168"/>
    </row>
    <row r="33963" spans="2:2" s="221" customFormat="1" ht="12.75" x14ac:dyDescent="0.2">
      <c r="B33963" s="1168"/>
    </row>
    <row r="33964" spans="2:2" s="221" customFormat="1" ht="12.75" x14ac:dyDescent="0.2">
      <c r="B33964" s="1168"/>
    </row>
    <row r="33965" spans="2:2" s="221" customFormat="1" ht="12.75" x14ac:dyDescent="0.2">
      <c r="B33965" s="1168"/>
    </row>
    <row r="33966" spans="2:2" s="221" customFormat="1" ht="12.75" x14ac:dyDescent="0.2">
      <c r="B33966" s="1168"/>
    </row>
    <row r="33967" spans="2:2" s="221" customFormat="1" ht="12.75" x14ac:dyDescent="0.2">
      <c r="B33967" s="1168"/>
    </row>
    <row r="33968" spans="2:2" s="221" customFormat="1" ht="12.75" x14ac:dyDescent="0.2">
      <c r="B33968" s="1168"/>
    </row>
    <row r="33969" spans="2:2" s="221" customFormat="1" ht="12.75" x14ac:dyDescent="0.2">
      <c r="B33969" s="1168"/>
    </row>
    <row r="33970" spans="2:2" s="221" customFormat="1" ht="12.75" x14ac:dyDescent="0.2">
      <c r="B33970" s="1168"/>
    </row>
    <row r="33971" spans="2:2" s="221" customFormat="1" ht="12.75" x14ac:dyDescent="0.2">
      <c r="B33971" s="1168"/>
    </row>
    <row r="33972" spans="2:2" s="221" customFormat="1" ht="12.75" x14ac:dyDescent="0.2">
      <c r="B33972" s="1168"/>
    </row>
    <row r="33973" spans="2:2" s="221" customFormat="1" ht="12.75" x14ac:dyDescent="0.2">
      <c r="B33973" s="1168"/>
    </row>
    <row r="33974" spans="2:2" s="221" customFormat="1" ht="12.75" x14ac:dyDescent="0.2">
      <c r="B33974" s="1168"/>
    </row>
    <row r="33975" spans="2:2" s="221" customFormat="1" ht="12.75" x14ac:dyDescent="0.2">
      <c r="B33975" s="1168"/>
    </row>
    <row r="33976" spans="2:2" s="221" customFormat="1" ht="12.75" x14ac:dyDescent="0.2">
      <c r="B33976" s="1168"/>
    </row>
    <row r="33977" spans="2:2" s="221" customFormat="1" ht="12.75" x14ac:dyDescent="0.2">
      <c r="B33977" s="1168"/>
    </row>
    <row r="33978" spans="2:2" s="221" customFormat="1" ht="12.75" x14ac:dyDescent="0.2">
      <c r="B33978" s="1168"/>
    </row>
    <row r="33979" spans="2:2" s="221" customFormat="1" ht="12.75" x14ac:dyDescent="0.2">
      <c r="B33979" s="1168"/>
    </row>
    <row r="33980" spans="2:2" s="221" customFormat="1" ht="12.75" x14ac:dyDescent="0.2">
      <c r="B33980" s="1168"/>
    </row>
    <row r="33981" spans="2:2" s="221" customFormat="1" ht="12.75" x14ac:dyDescent="0.2">
      <c r="B33981" s="1168"/>
    </row>
    <row r="33982" spans="2:2" s="221" customFormat="1" ht="12.75" x14ac:dyDescent="0.2">
      <c r="B33982" s="1168"/>
    </row>
    <row r="33983" spans="2:2" s="221" customFormat="1" ht="12.75" x14ac:dyDescent="0.2">
      <c r="B33983" s="1168"/>
    </row>
    <row r="33984" spans="2:2" s="221" customFormat="1" ht="12.75" x14ac:dyDescent="0.2">
      <c r="B33984" s="1168"/>
    </row>
    <row r="33985" spans="2:2" s="221" customFormat="1" ht="12.75" x14ac:dyDescent="0.2">
      <c r="B33985" s="1168"/>
    </row>
    <row r="33986" spans="2:2" s="221" customFormat="1" ht="12.75" x14ac:dyDescent="0.2">
      <c r="B33986" s="1168"/>
    </row>
    <row r="33987" spans="2:2" s="221" customFormat="1" ht="12.75" x14ac:dyDescent="0.2">
      <c r="B33987" s="1168"/>
    </row>
    <row r="33988" spans="2:2" s="221" customFormat="1" ht="12.75" x14ac:dyDescent="0.2">
      <c r="B33988" s="1168"/>
    </row>
    <row r="33989" spans="2:2" s="221" customFormat="1" ht="12.75" x14ac:dyDescent="0.2">
      <c r="B33989" s="1168"/>
    </row>
    <row r="33990" spans="2:2" s="221" customFormat="1" ht="12.75" x14ac:dyDescent="0.2">
      <c r="B33990" s="1168"/>
    </row>
    <row r="33991" spans="2:2" s="221" customFormat="1" ht="12.75" x14ac:dyDescent="0.2">
      <c r="B33991" s="1168"/>
    </row>
    <row r="33992" spans="2:2" s="221" customFormat="1" ht="12.75" x14ac:dyDescent="0.2">
      <c r="B33992" s="1168"/>
    </row>
    <row r="33993" spans="2:2" s="221" customFormat="1" ht="12.75" x14ac:dyDescent="0.2">
      <c r="B33993" s="1168"/>
    </row>
    <row r="33994" spans="2:2" s="221" customFormat="1" ht="12.75" x14ac:dyDescent="0.2">
      <c r="B33994" s="1168"/>
    </row>
    <row r="33995" spans="2:2" s="221" customFormat="1" ht="12.75" x14ac:dyDescent="0.2">
      <c r="B33995" s="1168"/>
    </row>
    <row r="33996" spans="2:2" s="221" customFormat="1" ht="12.75" x14ac:dyDescent="0.2">
      <c r="B33996" s="1168"/>
    </row>
    <row r="33997" spans="2:2" s="221" customFormat="1" ht="12.75" x14ac:dyDescent="0.2">
      <c r="B33997" s="1168"/>
    </row>
    <row r="33998" spans="2:2" s="221" customFormat="1" ht="12.75" x14ac:dyDescent="0.2">
      <c r="B33998" s="1168"/>
    </row>
    <row r="33999" spans="2:2" s="221" customFormat="1" ht="12.75" x14ac:dyDescent="0.2">
      <c r="B33999" s="1168"/>
    </row>
    <row r="34000" spans="2:2" s="221" customFormat="1" ht="12.75" x14ac:dyDescent="0.2">
      <c r="B34000" s="1168"/>
    </row>
    <row r="34001" spans="2:2" s="221" customFormat="1" ht="12.75" x14ac:dyDescent="0.2">
      <c r="B34001" s="1168"/>
    </row>
    <row r="34002" spans="2:2" s="221" customFormat="1" ht="12.75" x14ac:dyDescent="0.2">
      <c r="B34002" s="1168"/>
    </row>
    <row r="34003" spans="2:2" s="221" customFormat="1" ht="12.75" x14ac:dyDescent="0.2">
      <c r="B34003" s="1168"/>
    </row>
    <row r="34004" spans="2:2" s="221" customFormat="1" ht="12.75" x14ac:dyDescent="0.2">
      <c r="B34004" s="1168"/>
    </row>
    <row r="34005" spans="2:2" s="221" customFormat="1" ht="12.75" x14ac:dyDescent="0.2">
      <c r="B34005" s="1168"/>
    </row>
    <row r="34006" spans="2:2" s="221" customFormat="1" ht="12.75" x14ac:dyDescent="0.2">
      <c r="B34006" s="1168"/>
    </row>
    <row r="34007" spans="2:2" s="221" customFormat="1" ht="12.75" x14ac:dyDescent="0.2">
      <c r="B34007" s="1168"/>
    </row>
    <row r="34008" spans="2:2" s="221" customFormat="1" ht="12.75" x14ac:dyDescent="0.2">
      <c r="B34008" s="1168"/>
    </row>
    <row r="34009" spans="2:2" s="221" customFormat="1" ht="12.75" x14ac:dyDescent="0.2">
      <c r="B34009" s="1168"/>
    </row>
    <row r="34010" spans="2:2" s="221" customFormat="1" ht="12.75" x14ac:dyDescent="0.2">
      <c r="B34010" s="1168"/>
    </row>
    <row r="34011" spans="2:2" s="221" customFormat="1" ht="12.75" x14ac:dyDescent="0.2">
      <c r="B34011" s="1168"/>
    </row>
    <row r="34012" spans="2:2" s="221" customFormat="1" ht="12.75" x14ac:dyDescent="0.2">
      <c r="B34012" s="1168"/>
    </row>
    <row r="34013" spans="2:2" s="221" customFormat="1" ht="12.75" x14ac:dyDescent="0.2">
      <c r="B34013" s="1168"/>
    </row>
    <row r="34014" spans="2:2" s="221" customFormat="1" ht="12.75" x14ac:dyDescent="0.2">
      <c r="B34014" s="1168"/>
    </row>
    <row r="34015" spans="2:2" s="221" customFormat="1" ht="12.75" x14ac:dyDescent="0.2">
      <c r="B34015" s="1168"/>
    </row>
    <row r="34016" spans="2:2" s="221" customFormat="1" ht="12.75" x14ac:dyDescent="0.2">
      <c r="B34016" s="1168"/>
    </row>
    <row r="34017" spans="2:2" s="221" customFormat="1" ht="12.75" x14ac:dyDescent="0.2">
      <c r="B34017" s="1168"/>
    </row>
    <row r="34018" spans="2:2" s="221" customFormat="1" ht="12.75" x14ac:dyDescent="0.2">
      <c r="B34018" s="1168"/>
    </row>
    <row r="34019" spans="2:2" s="221" customFormat="1" ht="12.75" x14ac:dyDescent="0.2">
      <c r="B34019" s="1168"/>
    </row>
    <row r="34020" spans="2:2" s="221" customFormat="1" ht="12.75" x14ac:dyDescent="0.2">
      <c r="B34020" s="1168"/>
    </row>
    <row r="34021" spans="2:2" s="221" customFormat="1" ht="12.75" x14ac:dyDescent="0.2">
      <c r="B34021" s="1168"/>
    </row>
    <row r="34022" spans="2:2" s="221" customFormat="1" ht="12.75" x14ac:dyDescent="0.2">
      <c r="B34022" s="1168"/>
    </row>
    <row r="34023" spans="2:2" s="221" customFormat="1" ht="12.75" x14ac:dyDescent="0.2">
      <c r="B34023" s="1168"/>
    </row>
    <row r="34024" spans="2:2" s="221" customFormat="1" ht="12.75" x14ac:dyDescent="0.2">
      <c r="B34024" s="1168"/>
    </row>
    <row r="34025" spans="2:2" s="221" customFormat="1" ht="12.75" x14ac:dyDescent="0.2">
      <c r="B34025" s="1168"/>
    </row>
    <row r="34026" spans="2:2" s="221" customFormat="1" ht="12.75" x14ac:dyDescent="0.2">
      <c r="B34026" s="1168"/>
    </row>
    <row r="34027" spans="2:2" s="221" customFormat="1" ht="12.75" x14ac:dyDescent="0.2">
      <c r="B34027" s="1168"/>
    </row>
    <row r="34028" spans="2:2" s="221" customFormat="1" ht="12.75" x14ac:dyDescent="0.2">
      <c r="B34028" s="1168"/>
    </row>
    <row r="34029" spans="2:2" s="221" customFormat="1" ht="12.75" x14ac:dyDescent="0.2">
      <c r="B34029" s="1168"/>
    </row>
    <row r="34030" spans="2:2" s="221" customFormat="1" ht="12.75" x14ac:dyDescent="0.2">
      <c r="B34030" s="1168"/>
    </row>
    <row r="34031" spans="2:2" s="221" customFormat="1" ht="12.75" x14ac:dyDescent="0.2">
      <c r="B34031" s="1168"/>
    </row>
    <row r="34032" spans="2:2" s="221" customFormat="1" ht="12.75" x14ac:dyDescent="0.2">
      <c r="B34032" s="1168"/>
    </row>
    <row r="34033" spans="2:2" s="221" customFormat="1" ht="12.75" x14ac:dyDescent="0.2">
      <c r="B34033" s="1168"/>
    </row>
    <row r="34034" spans="2:2" s="221" customFormat="1" ht="12.75" x14ac:dyDescent="0.2">
      <c r="B34034" s="1168"/>
    </row>
    <row r="34035" spans="2:2" s="221" customFormat="1" ht="12.75" x14ac:dyDescent="0.2">
      <c r="B34035" s="1168"/>
    </row>
    <row r="34036" spans="2:2" s="221" customFormat="1" ht="12.75" x14ac:dyDescent="0.2">
      <c r="B34036" s="1168"/>
    </row>
    <row r="34037" spans="2:2" s="221" customFormat="1" ht="12.75" x14ac:dyDescent="0.2">
      <c r="B34037" s="1168"/>
    </row>
    <row r="34038" spans="2:2" s="221" customFormat="1" ht="12.75" x14ac:dyDescent="0.2">
      <c r="B34038" s="1168"/>
    </row>
    <row r="34039" spans="2:2" s="221" customFormat="1" ht="12.75" x14ac:dyDescent="0.2">
      <c r="B34039" s="1168"/>
    </row>
    <row r="34040" spans="2:2" s="221" customFormat="1" ht="12.75" x14ac:dyDescent="0.2">
      <c r="B34040" s="1168"/>
    </row>
    <row r="34041" spans="2:2" s="221" customFormat="1" ht="12.75" x14ac:dyDescent="0.2">
      <c r="B34041" s="1168"/>
    </row>
    <row r="34042" spans="2:2" s="221" customFormat="1" ht="12.75" x14ac:dyDescent="0.2">
      <c r="B34042" s="1168"/>
    </row>
    <row r="34043" spans="2:2" s="221" customFormat="1" ht="12.75" x14ac:dyDescent="0.2">
      <c r="B34043" s="1168"/>
    </row>
    <row r="34044" spans="2:2" s="221" customFormat="1" ht="12.75" x14ac:dyDescent="0.2">
      <c r="B34044" s="1168"/>
    </row>
    <row r="34045" spans="2:2" s="221" customFormat="1" ht="12.75" x14ac:dyDescent="0.2">
      <c r="B34045" s="1168"/>
    </row>
    <row r="34046" spans="2:2" s="221" customFormat="1" ht="12.75" x14ac:dyDescent="0.2">
      <c r="B34046" s="1168"/>
    </row>
    <row r="34047" spans="2:2" s="221" customFormat="1" ht="12.75" x14ac:dyDescent="0.2">
      <c r="B34047" s="1168"/>
    </row>
    <row r="34048" spans="2:2" s="221" customFormat="1" ht="12.75" x14ac:dyDescent="0.2">
      <c r="B34048" s="1168"/>
    </row>
    <row r="34049" spans="2:2" s="221" customFormat="1" ht="12.75" x14ac:dyDescent="0.2">
      <c r="B34049" s="1168"/>
    </row>
    <row r="34050" spans="2:2" s="221" customFormat="1" ht="12.75" x14ac:dyDescent="0.2">
      <c r="B34050" s="1168"/>
    </row>
    <row r="34051" spans="2:2" s="221" customFormat="1" ht="12.75" x14ac:dyDescent="0.2">
      <c r="B34051" s="1168"/>
    </row>
    <row r="34052" spans="2:2" s="221" customFormat="1" ht="12.75" x14ac:dyDescent="0.2">
      <c r="B34052" s="1168"/>
    </row>
    <row r="34053" spans="2:2" s="221" customFormat="1" ht="12.75" x14ac:dyDescent="0.2">
      <c r="B34053" s="1168"/>
    </row>
    <row r="34054" spans="2:2" s="221" customFormat="1" ht="12.75" x14ac:dyDescent="0.2">
      <c r="B34054" s="1168"/>
    </row>
    <row r="34055" spans="2:2" s="221" customFormat="1" ht="12.75" x14ac:dyDescent="0.2">
      <c r="B34055" s="1168"/>
    </row>
    <row r="34056" spans="2:2" s="221" customFormat="1" ht="12.75" x14ac:dyDescent="0.2">
      <c r="B34056" s="1168"/>
    </row>
    <row r="34057" spans="2:2" s="221" customFormat="1" ht="12.75" x14ac:dyDescent="0.2">
      <c r="B34057" s="1168"/>
    </row>
    <row r="34058" spans="2:2" s="221" customFormat="1" ht="12.75" x14ac:dyDescent="0.2">
      <c r="B34058" s="1168"/>
    </row>
    <row r="34059" spans="2:2" s="221" customFormat="1" ht="12.75" x14ac:dyDescent="0.2">
      <c r="B34059" s="1168"/>
    </row>
    <row r="34060" spans="2:2" s="221" customFormat="1" ht="12.75" x14ac:dyDescent="0.2">
      <c r="B34060" s="1168"/>
    </row>
    <row r="34061" spans="2:2" s="221" customFormat="1" ht="12.75" x14ac:dyDescent="0.2">
      <c r="B34061" s="1168"/>
    </row>
    <row r="34062" spans="2:2" s="221" customFormat="1" ht="12.75" x14ac:dyDescent="0.2">
      <c r="B34062" s="1168"/>
    </row>
    <row r="34063" spans="2:2" s="221" customFormat="1" ht="12.75" x14ac:dyDescent="0.2">
      <c r="B34063" s="1168"/>
    </row>
    <row r="34064" spans="2:2" s="221" customFormat="1" ht="12.75" x14ac:dyDescent="0.2">
      <c r="B34064" s="1168"/>
    </row>
    <row r="34065" spans="2:2" s="221" customFormat="1" ht="12.75" x14ac:dyDescent="0.2">
      <c r="B34065" s="1168"/>
    </row>
    <row r="34066" spans="2:2" s="221" customFormat="1" ht="12.75" x14ac:dyDescent="0.2">
      <c r="B34066" s="1168"/>
    </row>
    <row r="34067" spans="2:2" s="221" customFormat="1" ht="12.75" x14ac:dyDescent="0.2">
      <c r="B34067" s="1168"/>
    </row>
    <row r="34068" spans="2:2" s="221" customFormat="1" ht="12.75" x14ac:dyDescent="0.2">
      <c r="B34068" s="1168"/>
    </row>
    <row r="34069" spans="2:2" s="221" customFormat="1" ht="12.75" x14ac:dyDescent="0.2">
      <c r="B34069" s="1168"/>
    </row>
    <row r="34070" spans="2:2" s="221" customFormat="1" ht="12.75" x14ac:dyDescent="0.2">
      <c r="B34070" s="1168"/>
    </row>
    <row r="34071" spans="2:2" s="221" customFormat="1" ht="12.75" x14ac:dyDescent="0.2">
      <c r="B34071" s="1168"/>
    </row>
    <row r="34072" spans="2:2" s="221" customFormat="1" ht="12.75" x14ac:dyDescent="0.2">
      <c r="B34072" s="1168"/>
    </row>
    <row r="34073" spans="2:2" s="221" customFormat="1" ht="12.75" x14ac:dyDescent="0.2">
      <c r="B34073" s="1168"/>
    </row>
    <row r="34074" spans="2:2" s="221" customFormat="1" ht="12.75" x14ac:dyDescent="0.2">
      <c r="B34074" s="1168"/>
    </row>
    <row r="34075" spans="2:2" s="221" customFormat="1" ht="12.75" x14ac:dyDescent="0.2">
      <c r="B34075" s="1168"/>
    </row>
    <row r="34076" spans="2:2" s="221" customFormat="1" ht="12.75" x14ac:dyDescent="0.2">
      <c r="B34076" s="1168"/>
    </row>
    <row r="34077" spans="2:2" s="221" customFormat="1" ht="12.75" x14ac:dyDescent="0.2">
      <c r="B34077" s="1168"/>
    </row>
    <row r="34078" spans="2:2" s="221" customFormat="1" ht="12.75" x14ac:dyDescent="0.2">
      <c r="B34078" s="1168"/>
    </row>
    <row r="34079" spans="2:2" s="221" customFormat="1" ht="12.75" x14ac:dyDescent="0.2">
      <c r="B34079" s="1168"/>
    </row>
    <row r="34080" spans="2:2" s="221" customFormat="1" ht="12.75" x14ac:dyDescent="0.2">
      <c r="B34080" s="1168"/>
    </row>
    <row r="34081" spans="2:2" s="221" customFormat="1" ht="12.75" x14ac:dyDescent="0.2">
      <c r="B34081" s="1168"/>
    </row>
    <row r="34082" spans="2:2" s="221" customFormat="1" ht="12.75" x14ac:dyDescent="0.2">
      <c r="B34082" s="1168"/>
    </row>
    <row r="34083" spans="2:2" s="221" customFormat="1" ht="12.75" x14ac:dyDescent="0.2">
      <c r="B34083" s="1168"/>
    </row>
    <row r="34084" spans="2:2" s="221" customFormat="1" ht="12.75" x14ac:dyDescent="0.2">
      <c r="B34084" s="1168"/>
    </row>
    <row r="34085" spans="2:2" s="221" customFormat="1" ht="12.75" x14ac:dyDescent="0.2">
      <c r="B34085" s="1168"/>
    </row>
    <row r="34086" spans="2:2" s="221" customFormat="1" ht="12.75" x14ac:dyDescent="0.2">
      <c r="B34086" s="1168"/>
    </row>
    <row r="34087" spans="2:2" s="221" customFormat="1" ht="12.75" x14ac:dyDescent="0.2">
      <c r="B34087" s="1168"/>
    </row>
    <row r="34088" spans="2:2" s="221" customFormat="1" ht="12.75" x14ac:dyDescent="0.2">
      <c r="B34088" s="1168"/>
    </row>
    <row r="34089" spans="2:2" s="221" customFormat="1" ht="12.75" x14ac:dyDescent="0.2">
      <c r="B34089" s="1168"/>
    </row>
    <row r="34090" spans="2:2" s="221" customFormat="1" ht="12.75" x14ac:dyDescent="0.2">
      <c r="B34090" s="1168"/>
    </row>
    <row r="34091" spans="2:2" s="221" customFormat="1" ht="12.75" x14ac:dyDescent="0.2">
      <c r="B34091" s="1168"/>
    </row>
    <row r="34092" spans="2:2" s="221" customFormat="1" ht="12.75" x14ac:dyDescent="0.2">
      <c r="B34092" s="1168"/>
    </row>
    <row r="34093" spans="2:2" s="221" customFormat="1" ht="12.75" x14ac:dyDescent="0.2">
      <c r="B34093" s="1168"/>
    </row>
    <row r="34094" spans="2:2" s="221" customFormat="1" ht="12.75" x14ac:dyDescent="0.2">
      <c r="B34094" s="1168"/>
    </row>
    <row r="34095" spans="2:2" s="221" customFormat="1" ht="12.75" x14ac:dyDescent="0.2">
      <c r="B34095" s="1168"/>
    </row>
    <row r="34096" spans="2:2" s="221" customFormat="1" ht="12.75" x14ac:dyDescent="0.2">
      <c r="B34096" s="1168"/>
    </row>
    <row r="34097" spans="2:2" s="221" customFormat="1" ht="12.75" x14ac:dyDescent="0.2">
      <c r="B34097" s="1168"/>
    </row>
    <row r="34098" spans="2:2" s="221" customFormat="1" ht="12.75" x14ac:dyDescent="0.2">
      <c r="B34098" s="1168"/>
    </row>
    <row r="34099" spans="2:2" s="221" customFormat="1" ht="12.75" x14ac:dyDescent="0.2">
      <c r="B34099" s="1168"/>
    </row>
    <row r="34100" spans="2:2" s="221" customFormat="1" ht="12.75" x14ac:dyDescent="0.2">
      <c r="B34100" s="1168"/>
    </row>
    <row r="34101" spans="2:2" s="221" customFormat="1" ht="12.75" x14ac:dyDescent="0.2">
      <c r="B34101" s="1168"/>
    </row>
    <row r="34102" spans="2:2" s="221" customFormat="1" ht="12.75" x14ac:dyDescent="0.2">
      <c r="B34102" s="1168"/>
    </row>
    <row r="34103" spans="2:2" s="221" customFormat="1" ht="12.75" x14ac:dyDescent="0.2">
      <c r="B34103" s="1168"/>
    </row>
    <row r="34104" spans="2:2" s="221" customFormat="1" ht="12.75" x14ac:dyDescent="0.2">
      <c r="B34104" s="1168"/>
    </row>
    <row r="34105" spans="2:2" s="221" customFormat="1" ht="12.75" x14ac:dyDescent="0.2">
      <c r="B34105" s="1168"/>
    </row>
    <row r="34106" spans="2:2" s="221" customFormat="1" ht="12.75" x14ac:dyDescent="0.2">
      <c r="B34106" s="1168"/>
    </row>
    <row r="34107" spans="2:2" s="221" customFormat="1" ht="12.75" x14ac:dyDescent="0.2">
      <c r="B34107" s="1168"/>
    </row>
    <row r="34108" spans="2:2" s="221" customFormat="1" ht="12.75" x14ac:dyDescent="0.2">
      <c r="B34108" s="1168"/>
    </row>
    <row r="34109" spans="2:2" s="221" customFormat="1" ht="12.75" x14ac:dyDescent="0.2">
      <c r="B34109" s="1168"/>
    </row>
    <row r="34110" spans="2:2" s="221" customFormat="1" ht="12.75" x14ac:dyDescent="0.2">
      <c r="B34110" s="1168"/>
    </row>
    <row r="34111" spans="2:2" s="221" customFormat="1" ht="12.75" x14ac:dyDescent="0.2">
      <c r="B34111" s="1168"/>
    </row>
    <row r="34112" spans="2:2" s="221" customFormat="1" ht="12.75" x14ac:dyDescent="0.2">
      <c r="B34112" s="1168"/>
    </row>
    <row r="34113" spans="2:2" s="221" customFormat="1" ht="12.75" x14ac:dyDescent="0.2">
      <c r="B34113" s="1168"/>
    </row>
    <row r="34114" spans="2:2" s="221" customFormat="1" ht="12.75" x14ac:dyDescent="0.2">
      <c r="B34114" s="1168"/>
    </row>
    <row r="34115" spans="2:2" s="221" customFormat="1" ht="12.75" x14ac:dyDescent="0.2">
      <c r="B34115" s="1168"/>
    </row>
    <row r="34116" spans="2:2" s="221" customFormat="1" ht="12.75" x14ac:dyDescent="0.2">
      <c r="B34116" s="1168"/>
    </row>
    <row r="34117" spans="2:2" s="221" customFormat="1" ht="12.75" x14ac:dyDescent="0.2">
      <c r="B34117" s="1168"/>
    </row>
    <row r="34118" spans="2:2" s="221" customFormat="1" ht="12.75" x14ac:dyDescent="0.2">
      <c r="B34118" s="1168"/>
    </row>
    <row r="34119" spans="2:2" s="221" customFormat="1" ht="12.75" x14ac:dyDescent="0.2">
      <c r="B34119" s="1168"/>
    </row>
    <row r="34120" spans="2:2" s="221" customFormat="1" ht="12.75" x14ac:dyDescent="0.2">
      <c r="B34120" s="1168"/>
    </row>
    <row r="34121" spans="2:2" s="221" customFormat="1" ht="12.75" x14ac:dyDescent="0.2">
      <c r="B34121" s="1168"/>
    </row>
    <row r="34122" spans="2:2" s="221" customFormat="1" ht="12.75" x14ac:dyDescent="0.2">
      <c r="B34122" s="1168"/>
    </row>
    <row r="34123" spans="2:2" s="221" customFormat="1" ht="12.75" x14ac:dyDescent="0.2">
      <c r="B34123" s="1168"/>
    </row>
    <row r="34124" spans="2:2" s="221" customFormat="1" ht="12.75" x14ac:dyDescent="0.2">
      <c r="B34124" s="1168"/>
    </row>
    <row r="34125" spans="2:2" s="221" customFormat="1" ht="12.75" x14ac:dyDescent="0.2">
      <c r="B34125" s="1168"/>
    </row>
    <row r="34126" spans="2:2" s="221" customFormat="1" ht="12.75" x14ac:dyDescent="0.2">
      <c r="B34126" s="1168"/>
    </row>
    <row r="34127" spans="2:2" s="221" customFormat="1" ht="12.75" x14ac:dyDescent="0.2">
      <c r="B34127" s="1168"/>
    </row>
    <row r="34128" spans="2:2" s="221" customFormat="1" ht="12.75" x14ac:dyDescent="0.2">
      <c r="B34128" s="1168"/>
    </row>
    <row r="34129" spans="2:2" s="221" customFormat="1" ht="12.75" x14ac:dyDescent="0.2">
      <c r="B34129" s="1168"/>
    </row>
    <row r="34130" spans="2:2" s="221" customFormat="1" ht="12.75" x14ac:dyDescent="0.2">
      <c r="B34130" s="1168"/>
    </row>
    <row r="34131" spans="2:2" s="221" customFormat="1" ht="12.75" x14ac:dyDescent="0.2">
      <c r="B34131" s="1168"/>
    </row>
    <row r="34132" spans="2:2" s="221" customFormat="1" ht="12.75" x14ac:dyDescent="0.2">
      <c r="B34132" s="1168"/>
    </row>
    <row r="34133" spans="2:2" s="221" customFormat="1" ht="12.75" x14ac:dyDescent="0.2">
      <c r="B34133" s="1168"/>
    </row>
    <row r="34134" spans="2:2" s="221" customFormat="1" ht="12.75" x14ac:dyDescent="0.2">
      <c r="B34134" s="1168"/>
    </row>
    <row r="34135" spans="2:2" s="221" customFormat="1" ht="12.75" x14ac:dyDescent="0.2">
      <c r="B34135" s="1168"/>
    </row>
    <row r="34136" spans="2:2" s="221" customFormat="1" ht="12.75" x14ac:dyDescent="0.2">
      <c r="B34136" s="1168"/>
    </row>
    <row r="34137" spans="2:2" s="221" customFormat="1" ht="12.75" x14ac:dyDescent="0.2">
      <c r="B34137" s="1168"/>
    </row>
    <row r="34138" spans="2:2" s="221" customFormat="1" ht="12.75" x14ac:dyDescent="0.2">
      <c r="B34138" s="1168"/>
    </row>
    <row r="34139" spans="2:2" s="221" customFormat="1" ht="12.75" x14ac:dyDescent="0.2">
      <c r="B34139" s="1168"/>
    </row>
    <row r="34140" spans="2:2" s="221" customFormat="1" ht="12.75" x14ac:dyDescent="0.2">
      <c r="B34140" s="1168"/>
    </row>
    <row r="34141" spans="2:2" s="221" customFormat="1" ht="12.75" x14ac:dyDescent="0.2">
      <c r="B34141" s="1168"/>
    </row>
    <row r="34142" spans="2:2" s="221" customFormat="1" ht="12.75" x14ac:dyDescent="0.2">
      <c r="B34142" s="1168"/>
    </row>
    <row r="34143" spans="2:2" s="221" customFormat="1" ht="12.75" x14ac:dyDescent="0.2">
      <c r="B34143" s="1168"/>
    </row>
    <row r="34144" spans="2:2" s="221" customFormat="1" ht="12.75" x14ac:dyDescent="0.2">
      <c r="B34144" s="1168"/>
    </row>
    <row r="34145" spans="2:2" s="221" customFormat="1" ht="12.75" x14ac:dyDescent="0.2">
      <c r="B34145" s="1168"/>
    </row>
    <row r="34146" spans="2:2" s="221" customFormat="1" ht="12.75" x14ac:dyDescent="0.2">
      <c r="B34146" s="1168"/>
    </row>
    <row r="34147" spans="2:2" s="221" customFormat="1" ht="12.75" x14ac:dyDescent="0.2">
      <c r="B34147" s="1168"/>
    </row>
    <row r="34148" spans="2:2" s="221" customFormat="1" ht="12.75" x14ac:dyDescent="0.2">
      <c r="B34148" s="1168"/>
    </row>
    <row r="34149" spans="2:2" s="221" customFormat="1" ht="12.75" x14ac:dyDescent="0.2">
      <c r="B34149" s="1168"/>
    </row>
    <row r="34150" spans="2:2" s="221" customFormat="1" ht="12.75" x14ac:dyDescent="0.2">
      <c r="B34150" s="1168"/>
    </row>
    <row r="34151" spans="2:2" s="221" customFormat="1" ht="12.75" x14ac:dyDescent="0.2">
      <c r="B34151" s="1168"/>
    </row>
    <row r="34152" spans="2:2" s="221" customFormat="1" ht="12.75" x14ac:dyDescent="0.2">
      <c r="B34152" s="1168"/>
    </row>
    <row r="34153" spans="2:2" s="221" customFormat="1" ht="12.75" x14ac:dyDescent="0.2">
      <c r="B34153" s="1168"/>
    </row>
    <row r="34154" spans="2:2" s="221" customFormat="1" ht="12.75" x14ac:dyDescent="0.2">
      <c r="B34154" s="1168"/>
    </row>
    <row r="34155" spans="2:2" s="221" customFormat="1" ht="12.75" x14ac:dyDescent="0.2">
      <c r="B34155" s="1168"/>
    </row>
    <row r="34156" spans="2:2" s="221" customFormat="1" ht="12.75" x14ac:dyDescent="0.2">
      <c r="B34156" s="1168"/>
    </row>
    <row r="34157" spans="2:2" s="221" customFormat="1" ht="12.75" x14ac:dyDescent="0.2">
      <c r="B34157" s="1168"/>
    </row>
    <row r="34158" spans="2:2" s="221" customFormat="1" ht="12.75" x14ac:dyDescent="0.2">
      <c r="B34158" s="1168"/>
    </row>
    <row r="34159" spans="2:2" s="221" customFormat="1" ht="12.75" x14ac:dyDescent="0.2">
      <c r="B34159" s="1168"/>
    </row>
    <row r="34160" spans="2:2" s="221" customFormat="1" ht="12.75" x14ac:dyDescent="0.2">
      <c r="B34160" s="1168"/>
    </row>
    <row r="34161" spans="2:2" s="221" customFormat="1" ht="12.75" x14ac:dyDescent="0.2">
      <c r="B34161" s="1168"/>
    </row>
    <row r="34162" spans="2:2" s="221" customFormat="1" ht="12.75" x14ac:dyDescent="0.2">
      <c r="B34162" s="1168"/>
    </row>
    <row r="34163" spans="2:2" s="221" customFormat="1" ht="12.75" x14ac:dyDescent="0.2">
      <c r="B34163" s="1168"/>
    </row>
    <row r="34164" spans="2:2" s="221" customFormat="1" ht="12.75" x14ac:dyDescent="0.2">
      <c r="B34164" s="1168"/>
    </row>
    <row r="34165" spans="2:2" s="221" customFormat="1" ht="12.75" x14ac:dyDescent="0.2">
      <c r="B34165" s="1168"/>
    </row>
    <row r="34166" spans="2:2" s="221" customFormat="1" ht="12.75" x14ac:dyDescent="0.2">
      <c r="B34166" s="1168"/>
    </row>
    <row r="34167" spans="2:2" s="221" customFormat="1" ht="12.75" x14ac:dyDescent="0.2">
      <c r="B34167" s="1168"/>
    </row>
    <row r="34168" spans="2:2" s="221" customFormat="1" ht="12.75" x14ac:dyDescent="0.2">
      <c r="B34168" s="1168"/>
    </row>
    <row r="34169" spans="2:2" s="221" customFormat="1" ht="12.75" x14ac:dyDescent="0.2">
      <c r="B34169" s="1168"/>
    </row>
    <row r="34170" spans="2:2" s="221" customFormat="1" ht="12.75" x14ac:dyDescent="0.2">
      <c r="B34170" s="1168"/>
    </row>
    <row r="34171" spans="2:2" s="221" customFormat="1" ht="12.75" x14ac:dyDescent="0.2">
      <c r="B34171" s="1168"/>
    </row>
    <row r="34172" spans="2:2" s="221" customFormat="1" ht="12.75" x14ac:dyDescent="0.2">
      <c r="B34172" s="1168"/>
    </row>
    <row r="34173" spans="2:2" s="221" customFormat="1" ht="12.75" x14ac:dyDescent="0.2">
      <c r="B34173" s="1168"/>
    </row>
    <row r="34174" spans="2:2" s="221" customFormat="1" ht="12.75" x14ac:dyDescent="0.2">
      <c r="B34174" s="1168"/>
    </row>
    <row r="34175" spans="2:2" s="221" customFormat="1" ht="12.75" x14ac:dyDescent="0.2">
      <c r="B34175" s="1168"/>
    </row>
    <row r="34176" spans="2:2" s="221" customFormat="1" ht="12.75" x14ac:dyDescent="0.2">
      <c r="B34176" s="1168"/>
    </row>
    <row r="34177" spans="2:2" s="221" customFormat="1" ht="12.75" x14ac:dyDescent="0.2">
      <c r="B34177" s="1168"/>
    </row>
    <row r="34178" spans="2:2" s="221" customFormat="1" ht="12.75" x14ac:dyDescent="0.2">
      <c r="B34178" s="1168"/>
    </row>
    <row r="34179" spans="2:2" s="221" customFormat="1" ht="12.75" x14ac:dyDescent="0.2">
      <c r="B34179" s="1168"/>
    </row>
    <row r="34180" spans="2:2" s="221" customFormat="1" ht="12.75" x14ac:dyDescent="0.2">
      <c r="B34180" s="1168"/>
    </row>
    <row r="34181" spans="2:2" s="221" customFormat="1" ht="12.75" x14ac:dyDescent="0.2">
      <c r="B34181" s="1168"/>
    </row>
    <row r="34182" spans="2:2" s="221" customFormat="1" ht="12.75" x14ac:dyDescent="0.2">
      <c r="B34182" s="1168"/>
    </row>
    <row r="34183" spans="2:2" s="221" customFormat="1" ht="12.75" x14ac:dyDescent="0.2">
      <c r="B34183" s="1168"/>
    </row>
    <row r="34184" spans="2:2" s="221" customFormat="1" ht="12.75" x14ac:dyDescent="0.2">
      <c r="B34184" s="1168"/>
    </row>
    <row r="34185" spans="2:2" s="221" customFormat="1" ht="12.75" x14ac:dyDescent="0.2">
      <c r="B34185" s="1168"/>
    </row>
    <row r="34186" spans="2:2" s="221" customFormat="1" ht="12.75" x14ac:dyDescent="0.2">
      <c r="B34186" s="1168"/>
    </row>
    <row r="34187" spans="2:2" s="221" customFormat="1" ht="12.75" x14ac:dyDescent="0.2">
      <c r="B34187" s="1168"/>
    </row>
    <row r="34188" spans="2:2" s="221" customFormat="1" ht="12.75" x14ac:dyDescent="0.2">
      <c r="B34188" s="1168"/>
    </row>
    <row r="34189" spans="2:2" s="221" customFormat="1" ht="12.75" x14ac:dyDescent="0.2">
      <c r="B34189" s="1168"/>
    </row>
    <row r="34190" spans="2:2" s="221" customFormat="1" ht="12.75" x14ac:dyDescent="0.2">
      <c r="B34190" s="1168"/>
    </row>
    <row r="34191" spans="2:2" s="221" customFormat="1" ht="12.75" x14ac:dyDescent="0.2">
      <c r="B34191" s="1168"/>
    </row>
    <row r="34192" spans="2:2" s="221" customFormat="1" ht="12.75" x14ac:dyDescent="0.2">
      <c r="B34192" s="1168"/>
    </row>
    <row r="34193" spans="2:2" s="221" customFormat="1" ht="12.75" x14ac:dyDescent="0.2">
      <c r="B34193" s="1168"/>
    </row>
    <row r="34194" spans="2:2" s="221" customFormat="1" ht="12.75" x14ac:dyDescent="0.2">
      <c r="B34194" s="1168"/>
    </row>
    <row r="34195" spans="2:2" s="221" customFormat="1" ht="12.75" x14ac:dyDescent="0.2">
      <c r="B34195" s="1168"/>
    </row>
    <row r="34196" spans="2:2" s="221" customFormat="1" ht="12.75" x14ac:dyDescent="0.2">
      <c r="B34196" s="1168"/>
    </row>
    <row r="34197" spans="2:2" s="221" customFormat="1" ht="12.75" x14ac:dyDescent="0.2">
      <c r="B34197" s="1168"/>
    </row>
    <row r="34198" spans="2:2" s="221" customFormat="1" ht="12.75" x14ac:dyDescent="0.2">
      <c r="B34198" s="1168"/>
    </row>
    <row r="34199" spans="2:2" s="221" customFormat="1" ht="12.75" x14ac:dyDescent="0.2">
      <c r="B34199" s="1168"/>
    </row>
    <row r="34200" spans="2:2" s="221" customFormat="1" ht="12.75" x14ac:dyDescent="0.2">
      <c r="B34200" s="1168"/>
    </row>
    <row r="34201" spans="2:2" s="221" customFormat="1" ht="12.75" x14ac:dyDescent="0.2">
      <c r="B34201" s="1168"/>
    </row>
    <row r="34202" spans="2:2" s="221" customFormat="1" ht="12.75" x14ac:dyDescent="0.2">
      <c r="B34202" s="1168"/>
    </row>
    <row r="34203" spans="2:2" s="221" customFormat="1" ht="12.75" x14ac:dyDescent="0.2">
      <c r="B34203" s="1168"/>
    </row>
    <row r="34204" spans="2:2" s="221" customFormat="1" ht="12.75" x14ac:dyDescent="0.2">
      <c r="B34204" s="1168"/>
    </row>
    <row r="34205" spans="2:2" s="221" customFormat="1" ht="12.75" x14ac:dyDescent="0.2">
      <c r="B34205" s="1168"/>
    </row>
    <row r="34206" spans="2:2" s="221" customFormat="1" ht="12.75" x14ac:dyDescent="0.2">
      <c r="B34206" s="1168"/>
    </row>
    <row r="34207" spans="2:2" s="221" customFormat="1" ht="12.75" x14ac:dyDescent="0.2">
      <c r="B34207" s="1168"/>
    </row>
    <row r="34208" spans="2:2" s="221" customFormat="1" ht="12.75" x14ac:dyDescent="0.2">
      <c r="B34208" s="1168"/>
    </row>
    <row r="34209" spans="2:2" s="221" customFormat="1" ht="12.75" x14ac:dyDescent="0.2">
      <c r="B34209" s="1168"/>
    </row>
    <row r="34210" spans="2:2" s="221" customFormat="1" ht="12.75" x14ac:dyDescent="0.2">
      <c r="B34210" s="1168"/>
    </row>
    <row r="34211" spans="2:2" s="221" customFormat="1" ht="12.75" x14ac:dyDescent="0.2">
      <c r="B34211" s="1168"/>
    </row>
    <row r="34212" spans="2:2" s="221" customFormat="1" ht="12.75" x14ac:dyDescent="0.2">
      <c r="B34212" s="1168"/>
    </row>
    <row r="34213" spans="2:2" s="221" customFormat="1" ht="12.75" x14ac:dyDescent="0.2">
      <c r="B34213" s="1168"/>
    </row>
    <row r="34214" spans="2:2" s="221" customFormat="1" ht="12.75" x14ac:dyDescent="0.2">
      <c r="B34214" s="1168"/>
    </row>
    <row r="34215" spans="2:2" s="221" customFormat="1" ht="12.75" x14ac:dyDescent="0.2">
      <c r="B34215" s="1168"/>
    </row>
    <row r="34216" spans="2:2" s="221" customFormat="1" ht="12.75" x14ac:dyDescent="0.2">
      <c r="B34216" s="1168"/>
    </row>
    <row r="34217" spans="2:2" s="221" customFormat="1" ht="12.75" x14ac:dyDescent="0.2">
      <c r="B34217" s="1168"/>
    </row>
    <row r="34218" spans="2:2" s="221" customFormat="1" ht="12.75" x14ac:dyDescent="0.2">
      <c r="B34218" s="1168"/>
    </row>
    <row r="34219" spans="2:2" s="221" customFormat="1" ht="12.75" x14ac:dyDescent="0.2">
      <c r="B34219" s="1168"/>
    </row>
    <row r="34220" spans="2:2" s="221" customFormat="1" ht="12.75" x14ac:dyDescent="0.2">
      <c r="B34220" s="1168"/>
    </row>
    <row r="34221" spans="2:2" s="221" customFormat="1" ht="12.75" x14ac:dyDescent="0.2">
      <c r="B34221" s="1168"/>
    </row>
    <row r="34222" spans="2:2" s="221" customFormat="1" ht="12.75" x14ac:dyDescent="0.2">
      <c r="B34222" s="1168"/>
    </row>
    <row r="34223" spans="2:2" s="221" customFormat="1" ht="12.75" x14ac:dyDescent="0.2">
      <c r="B34223" s="1168"/>
    </row>
    <row r="34224" spans="2:2" s="221" customFormat="1" ht="12.75" x14ac:dyDescent="0.2">
      <c r="B34224" s="1168"/>
    </row>
    <row r="34225" spans="2:2" s="221" customFormat="1" ht="12.75" x14ac:dyDescent="0.2">
      <c r="B34225" s="1168"/>
    </row>
    <row r="34226" spans="2:2" s="221" customFormat="1" ht="12.75" x14ac:dyDescent="0.2">
      <c r="B34226" s="1168"/>
    </row>
    <row r="34227" spans="2:2" s="221" customFormat="1" ht="12.75" x14ac:dyDescent="0.2">
      <c r="B34227" s="1168"/>
    </row>
    <row r="34228" spans="2:2" s="221" customFormat="1" ht="12.75" x14ac:dyDescent="0.2">
      <c r="B34228" s="1168"/>
    </row>
    <row r="34229" spans="2:2" s="221" customFormat="1" ht="12.75" x14ac:dyDescent="0.2">
      <c r="B34229" s="1168"/>
    </row>
    <row r="34230" spans="2:2" s="221" customFormat="1" ht="12.75" x14ac:dyDescent="0.2">
      <c r="B34230" s="1168"/>
    </row>
    <row r="34231" spans="2:2" s="221" customFormat="1" ht="12.75" x14ac:dyDescent="0.2">
      <c r="B34231" s="1168"/>
    </row>
    <row r="34232" spans="2:2" s="221" customFormat="1" ht="12.75" x14ac:dyDescent="0.2">
      <c r="B34232" s="1168"/>
    </row>
    <row r="34233" spans="2:2" s="221" customFormat="1" ht="12.75" x14ac:dyDescent="0.2">
      <c r="B34233" s="1168"/>
    </row>
    <row r="34234" spans="2:2" s="221" customFormat="1" ht="12.75" x14ac:dyDescent="0.2">
      <c r="B34234" s="1168"/>
    </row>
    <row r="34235" spans="2:2" s="221" customFormat="1" ht="12.75" x14ac:dyDescent="0.2">
      <c r="B34235" s="1168"/>
    </row>
    <row r="34236" spans="2:2" s="221" customFormat="1" ht="12.75" x14ac:dyDescent="0.2">
      <c r="B34236" s="1168"/>
    </row>
    <row r="34237" spans="2:2" s="221" customFormat="1" ht="12.75" x14ac:dyDescent="0.2">
      <c r="B34237" s="1168"/>
    </row>
    <row r="34238" spans="2:2" s="221" customFormat="1" ht="12.75" x14ac:dyDescent="0.2">
      <c r="B34238" s="1168"/>
    </row>
    <row r="34239" spans="2:2" s="221" customFormat="1" ht="12.75" x14ac:dyDescent="0.2">
      <c r="B34239" s="1168"/>
    </row>
    <row r="34240" spans="2:2" s="221" customFormat="1" ht="12.75" x14ac:dyDescent="0.2">
      <c r="B34240" s="1168"/>
    </row>
    <row r="34241" spans="2:2" s="221" customFormat="1" ht="12.75" x14ac:dyDescent="0.2">
      <c r="B34241" s="1168"/>
    </row>
    <row r="34242" spans="2:2" s="221" customFormat="1" ht="12.75" x14ac:dyDescent="0.2">
      <c r="B34242" s="1168"/>
    </row>
    <row r="34243" spans="2:2" s="221" customFormat="1" ht="12.75" x14ac:dyDescent="0.2">
      <c r="B34243" s="1168"/>
    </row>
    <row r="34244" spans="2:2" s="221" customFormat="1" ht="12.75" x14ac:dyDescent="0.2">
      <c r="B34244" s="1168"/>
    </row>
    <row r="34245" spans="2:2" s="221" customFormat="1" ht="12.75" x14ac:dyDescent="0.2">
      <c r="B34245" s="1168"/>
    </row>
    <row r="34246" spans="2:2" s="221" customFormat="1" ht="12.75" x14ac:dyDescent="0.2">
      <c r="B34246" s="1168"/>
    </row>
    <row r="34247" spans="2:2" s="221" customFormat="1" ht="12.75" x14ac:dyDescent="0.2">
      <c r="B34247" s="1168"/>
    </row>
    <row r="34248" spans="2:2" s="221" customFormat="1" ht="12.75" x14ac:dyDescent="0.2">
      <c r="B34248" s="1168"/>
    </row>
    <row r="34249" spans="2:2" s="221" customFormat="1" ht="12.75" x14ac:dyDescent="0.2">
      <c r="B34249" s="1168"/>
    </row>
    <row r="34250" spans="2:2" s="221" customFormat="1" ht="12.75" x14ac:dyDescent="0.2">
      <c r="B34250" s="1168"/>
    </row>
    <row r="34251" spans="2:2" s="221" customFormat="1" ht="12.75" x14ac:dyDescent="0.2">
      <c r="B34251" s="1168"/>
    </row>
    <row r="34252" spans="2:2" s="221" customFormat="1" ht="12.75" x14ac:dyDescent="0.2">
      <c r="B34252" s="1168"/>
    </row>
    <row r="34253" spans="2:2" s="221" customFormat="1" ht="12.75" x14ac:dyDescent="0.2">
      <c r="B34253" s="1168"/>
    </row>
    <row r="34254" spans="2:2" s="221" customFormat="1" ht="12.75" x14ac:dyDescent="0.2">
      <c r="B34254" s="1168"/>
    </row>
    <row r="34255" spans="2:2" s="221" customFormat="1" ht="12.75" x14ac:dyDescent="0.2">
      <c r="B34255" s="1168"/>
    </row>
    <row r="34256" spans="2:2" s="221" customFormat="1" ht="12.75" x14ac:dyDescent="0.2">
      <c r="B34256" s="1168"/>
    </row>
    <row r="34257" spans="2:2" s="221" customFormat="1" ht="12.75" x14ac:dyDescent="0.2">
      <c r="B34257" s="1168"/>
    </row>
    <row r="34258" spans="2:2" s="221" customFormat="1" ht="12.75" x14ac:dyDescent="0.2">
      <c r="B34258" s="1168"/>
    </row>
    <row r="34259" spans="2:2" s="221" customFormat="1" ht="12.75" x14ac:dyDescent="0.2">
      <c r="B34259" s="1168"/>
    </row>
    <row r="34260" spans="2:2" s="221" customFormat="1" ht="12.75" x14ac:dyDescent="0.2">
      <c r="B34260" s="1168"/>
    </row>
    <row r="34261" spans="2:2" s="221" customFormat="1" ht="12.75" x14ac:dyDescent="0.2">
      <c r="B34261" s="1168"/>
    </row>
    <row r="34262" spans="2:2" s="221" customFormat="1" ht="12.75" x14ac:dyDescent="0.2">
      <c r="B34262" s="1168"/>
    </row>
    <row r="34263" spans="2:2" s="221" customFormat="1" ht="12.75" x14ac:dyDescent="0.2">
      <c r="B34263" s="1168"/>
    </row>
    <row r="34264" spans="2:2" s="221" customFormat="1" ht="12.75" x14ac:dyDescent="0.2">
      <c r="B34264" s="1168"/>
    </row>
    <row r="34265" spans="2:2" s="221" customFormat="1" ht="12.75" x14ac:dyDescent="0.2">
      <c r="B34265" s="1168"/>
    </row>
    <row r="34266" spans="2:2" s="221" customFormat="1" ht="12.75" x14ac:dyDescent="0.2">
      <c r="B34266" s="1168"/>
    </row>
    <row r="34267" spans="2:2" s="221" customFormat="1" ht="12.75" x14ac:dyDescent="0.2">
      <c r="B34267" s="1168"/>
    </row>
    <row r="34268" spans="2:2" s="221" customFormat="1" ht="12.75" x14ac:dyDescent="0.2">
      <c r="B34268" s="1168"/>
    </row>
    <row r="34269" spans="2:2" s="221" customFormat="1" ht="12.75" x14ac:dyDescent="0.2">
      <c r="B34269" s="1168"/>
    </row>
    <row r="34270" spans="2:2" s="221" customFormat="1" ht="12.75" x14ac:dyDescent="0.2">
      <c r="B34270" s="1168"/>
    </row>
    <row r="34271" spans="2:2" s="221" customFormat="1" ht="12.75" x14ac:dyDescent="0.2">
      <c r="B34271" s="1168"/>
    </row>
    <row r="34272" spans="2:2" s="221" customFormat="1" ht="12.75" x14ac:dyDescent="0.2">
      <c r="B34272" s="1168"/>
    </row>
    <row r="34273" spans="2:2" s="221" customFormat="1" ht="12.75" x14ac:dyDescent="0.2">
      <c r="B34273" s="1168"/>
    </row>
    <row r="34274" spans="2:2" s="221" customFormat="1" ht="12.75" x14ac:dyDescent="0.2">
      <c r="B34274" s="1168"/>
    </row>
    <row r="34275" spans="2:2" s="221" customFormat="1" ht="12.75" x14ac:dyDescent="0.2">
      <c r="B34275" s="1168"/>
    </row>
    <row r="34276" spans="2:2" s="221" customFormat="1" ht="12.75" x14ac:dyDescent="0.2">
      <c r="B34276" s="1168"/>
    </row>
    <row r="34277" spans="2:2" s="221" customFormat="1" ht="12.75" x14ac:dyDescent="0.2">
      <c r="B34277" s="1168"/>
    </row>
    <row r="34278" spans="2:2" s="221" customFormat="1" ht="12.75" x14ac:dyDescent="0.2">
      <c r="B34278" s="1168"/>
    </row>
    <row r="34279" spans="2:2" s="221" customFormat="1" ht="12.75" x14ac:dyDescent="0.2">
      <c r="B34279" s="1168"/>
    </row>
    <row r="34280" spans="2:2" s="221" customFormat="1" ht="12.75" x14ac:dyDescent="0.2">
      <c r="B34280" s="1168"/>
    </row>
    <row r="34281" spans="2:2" s="221" customFormat="1" ht="12.75" x14ac:dyDescent="0.2">
      <c r="B34281" s="1168"/>
    </row>
    <row r="34282" spans="2:2" s="221" customFormat="1" ht="12.75" x14ac:dyDescent="0.2">
      <c r="B34282" s="1168"/>
    </row>
    <row r="34283" spans="2:2" s="221" customFormat="1" ht="12.75" x14ac:dyDescent="0.2">
      <c r="B34283" s="1168"/>
    </row>
    <row r="34284" spans="2:2" s="221" customFormat="1" ht="12.75" x14ac:dyDescent="0.2">
      <c r="B34284" s="1168"/>
    </row>
    <row r="34285" spans="2:2" s="221" customFormat="1" ht="12.75" x14ac:dyDescent="0.2">
      <c r="B34285" s="1168"/>
    </row>
    <row r="34286" spans="2:2" s="221" customFormat="1" ht="12.75" x14ac:dyDescent="0.2">
      <c r="B34286" s="1168"/>
    </row>
    <row r="34287" spans="2:2" s="221" customFormat="1" ht="12.75" x14ac:dyDescent="0.2">
      <c r="B34287" s="1168"/>
    </row>
    <row r="34288" spans="2:2" s="221" customFormat="1" ht="12.75" x14ac:dyDescent="0.2">
      <c r="B34288" s="1168"/>
    </row>
    <row r="34289" spans="2:2" s="221" customFormat="1" ht="12.75" x14ac:dyDescent="0.2">
      <c r="B34289" s="1168"/>
    </row>
    <row r="34290" spans="2:2" s="221" customFormat="1" ht="12.75" x14ac:dyDescent="0.2">
      <c r="B34290" s="1168"/>
    </row>
    <row r="34291" spans="2:2" s="221" customFormat="1" ht="12.75" x14ac:dyDescent="0.2">
      <c r="B34291" s="1168"/>
    </row>
    <row r="34292" spans="2:2" s="221" customFormat="1" ht="12.75" x14ac:dyDescent="0.2">
      <c r="B34292" s="1168"/>
    </row>
    <row r="34293" spans="2:2" s="221" customFormat="1" ht="12.75" x14ac:dyDescent="0.2">
      <c r="B34293" s="1168"/>
    </row>
    <row r="34294" spans="2:2" s="221" customFormat="1" ht="12.75" x14ac:dyDescent="0.2">
      <c r="B34294" s="1168"/>
    </row>
    <row r="34295" spans="2:2" s="221" customFormat="1" ht="12.75" x14ac:dyDescent="0.2">
      <c r="B34295" s="1168"/>
    </row>
    <row r="34296" spans="2:2" s="221" customFormat="1" ht="12.75" x14ac:dyDescent="0.2">
      <c r="B34296" s="1168"/>
    </row>
    <row r="34297" spans="2:2" s="221" customFormat="1" ht="12.75" x14ac:dyDescent="0.2">
      <c r="B34297" s="1168"/>
    </row>
    <row r="34298" spans="2:2" s="221" customFormat="1" ht="12.75" x14ac:dyDescent="0.2">
      <c r="B34298" s="1168"/>
    </row>
    <row r="34299" spans="2:2" s="221" customFormat="1" ht="12.75" x14ac:dyDescent="0.2">
      <c r="B34299" s="1168"/>
    </row>
    <row r="34300" spans="2:2" s="221" customFormat="1" ht="12.75" x14ac:dyDescent="0.2">
      <c r="B34300" s="1168"/>
    </row>
    <row r="34301" spans="2:2" s="221" customFormat="1" ht="12.75" x14ac:dyDescent="0.2">
      <c r="B34301" s="1168"/>
    </row>
    <row r="34302" spans="2:2" s="221" customFormat="1" ht="12.75" x14ac:dyDescent="0.2">
      <c r="B34302" s="1168"/>
    </row>
    <row r="34303" spans="2:2" s="221" customFormat="1" ht="12.75" x14ac:dyDescent="0.2">
      <c r="B34303" s="1168"/>
    </row>
    <row r="34304" spans="2:2" s="221" customFormat="1" ht="12.75" x14ac:dyDescent="0.2">
      <c r="B34304" s="1168"/>
    </row>
    <row r="34305" spans="2:2" s="221" customFormat="1" ht="12.75" x14ac:dyDescent="0.2">
      <c r="B34305" s="1168"/>
    </row>
    <row r="34306" spans="2:2" s="221" customFormat="1" ht="12.75" x14ac:dyDescent="0.2">
      <c r="B34306" s="1168"/>
    </row>
    <row r="34307" spans="2:2" s="221" customFormat="1" ht="12.75" x14ac:dyDescent="0.2">
      <c r="B34307" s="1168"/>
    </row>
    <row r="34308" spans="2:2" s="221" customFormat="1" ht="12.75" x14ac:dyDescent="0.2">
      <c r="B34308" s="1168"/>
    </row>
    <row r="34309" spans="2:2" s="221" customFormat="1" ht="12.75" x14ac:dyDescent="0.2">
      <c r="B34309" s="1168"/>
    </row>
    <row r="34310" spans="2:2" s="221" customFormat="1" ht="12.75" x14ac:dyDescent="0.2">
      <c r="B34310" s="1168"/>
    </row>
    <row r="34311" spans="2:2" s="221" customFormat="1" ht="12.75" x14ac:dyDescent="0.2">
      <c r="B34311" s="1168"/>
    </row>
    <row r="34312" spans="2:2" s="221" customFormat="1" ht="12.75" x14ac:dyDescent="0.2">
      <c r="B34312" s="1168"/>
    </row>
    <row r="34313" spans="2:2" s="221" customFormat="1" ht="12.75" x14ac:dyDescent="0.2">
      <c r="B34313" s="1168"/>
    </row>
    <row r="34314" spans="2:2" s="221" customFormat="1" ht="12.75" x14ac:dyDescent="0.2">
      <c r="B34314" s="1168"/>
    </row>
    <row r="34315" spans="2:2" s="221" customFormat="1" ht="12.75" x14ac:dyDescent="0.2">
      <c r="B34315" s="1168"/>
    </row>
    <row r="34316" spans="2:2" s="221" customFormat="1" ht="12.75" x14ac:dyDescent="0.2">
      <c r="B34316" s="1168"/>
    </row>
    <row r="34317" spans="2:2" s="221" customFormat="1" ht="12.75" x14ac:dyDescent="0.2">
      <c r="B34317" s="1168"/>
    </row>
    <row r="34318" spans="2:2" s="221" customFormat="1" ht="12.75" x14ac:dyDescent="0.2">
      <c r="B34318" s="1168"/>
    </row>
    <row r="34319" spans="2:2" s="221" customFormat="1" ht="12.75" x14ac:dyDescent="0.2">
      <c r="B34319" s="1168"/>
    </row>
    <row r="34320" spans="2:2" s="221" customFormat="1" ht="12.75" x14ac:dyDescent="0.2">
      <c r="B34320" s="1168"/>
    </row>
    <row r="34321" spans="2:2" s="221" customFormat="1" ht="12.75" x14ac:dyDescent="0.2">
      <c r="B34321" s="1168"/>
    </row>
    <row r="34322" spans="2:2" s="221" customFormat="1" ht="12.75" x14ac:dyDescent="0.2">
      <c r="B34322" s="1168"/>
    </row>
    <row r="34323" spans="2:2" s="221" customFormat="1" ht="12.75" x14ac:dyDescent="0.2">
      <c r="B34323" s="1168"/>
    </row>
    <row r="34324" spans="2:2" s="221" customFormat="1" ht="12.75" x14ac:dyDescent="0.2">
      <c r="B34324" s="1168"/>
    </row>
    <row r="34325" spans="2:2" s="221" customFormat="1" ht="12.75" x14ac:dyDescent="0.2">
      <c r="B34325" s="1168"/>
    </row>
    <row r="34326" spans="2:2" s="221" customFormat="1" ht="12.75" x14ac:dyDescent="0.2">
      <c r="B34326" s="1168"/>
    </row>
    <row r="34327" spans="2:2" s="221" customFormat="1" ht="12.75" x14ac:dyDescent="0.2">
      <c r="B34327" s="1168"/>
    </row>
    <row r="34328" spans="2:2" s="221" customFormat="1" ht="12.75" x14ac:dyDescent="0.2">
      <c r="B34328" s="1168"/>
    </row>
    <row r="34329" spans="2:2" s="221" customFormat="1" ht="12.75" x14ac:dyDescent="0.2">
      <c r="B34329" s="1168"/>
    </row>
    <row r="34330" spans="2:2" s="221" customFormat="1" ht="12.75" x14ac:dyDescent="0.2">
      <c r="B34330" s="1168"/>
    </row>
    <row r="34331" spans="2:2" s="221" customFormat="1" ht="12.75" x14ac:dyDescent="0.2">
      <c r="B34331" s="1168"/>
    </row>
    <row r="34332" spans="2:2" s="221" customFormat="1" ht="12.75" x14ac:dyDescent="0.2">
      <c r="B34332" s="1168"/>
    </row>
    <row r="34333" spans="2:2" s="221" customFormat="1" ht="12.75" x14ac:dyDescent="0.2">
      <c r="B34333" s="1168"/>
    </row>
    <row r="34334" spans="2:2" s="221" customFormat="1" ht="12.75" x14ac:dyDescent="0.2">
      <c r="B34334" s="1168"/>
    </row>
    <row r="34335" spans="2:2" s="221" customFormat="1" ht="12.75" x14ac:dyDescent="0.2">
      <c r="B34335" s="1168"/>
    </row>
    <row r="34336" spans="2:2" s="221" customFormat="1" ht="12.75" x14ac:dyDescent="0.2">
      <c r="B34336" s="1168"/>
    </row>
    <row r="34337" spans="2:2" s="221" customFormat="1" ht="12.75" x14ac:dyDescent="0.2">
      <c r="B34337" s="1168"/>
    </row>
    <row r="34338" spans="2:2" s="221" customFormat="1" ht="12.75" x14ac:dyDescent="0.2">
      <c r="B34338" s="1168"/>
    </row>
    <row r="34339" spans="2:2" s="221" customFormat="1" ht="12.75" x14ac:dyDescent="0.2">
      <c r="B34339" s="1168"/>
    </row>
    <row r="34340" spans="2:2" s="221" customFormat="1" ht="12.75" x14ac:dyDescent="0.2">
      <c r="B34340" s="1168"/>
    </row>
    <row r="34341" spans="2:2" s="221" customFormat="1" ht="12.75" x14ac:dyDescent="0.2">
      <c r="B34341" s="1168"/>
    </row>
    <row r="34342" spans="2:2" s="221" customFormat="1" ht="12.75" x14ac:dyDescent="0.2">
      <c r="B34342" s="1168"/>
    </row>
    <row r="34343" spans="2:2" s="221" customFormat="1" ht="12.75" x14ac:dyDescent="0.2">
      <c r="B34343" s="1168"/>
    </row>
    <row r="34344" spans="2:2" s="221" customFormat="1" ht="12.75" x14ac:dyDescent="0.2">
      <c r="B34344" s="1168"/>
    </row>
    <row r="34345" spans="2:2" s="221" customFormat="1" ht="12.75" x14ac:dyDescent="0.2">
      <c r="B34345" s="1168"/>
    </row>
    <row r="34346" spans="2:2" s="221" customFormat="1" ht="12.75" x14ac:dyDescent="0.2">
      <c r="B34346" s="1168"/>
    </row>
    <row r="34347" spans="2:2" s="221" customFormat="1" ht="12.75" x14ac:dyDescent="0.2">
      <c r="B34347" s="1168"/>
    </row>
    <row r="34348" spans="2:2" s="221" customFormat="1" ht="12.75" x14ac:dyDescent="0.2">
      <c r="B34348" s="1168"/>
    </row>
    <row r="34349" spans="2:2" s="221" customFormat="1" ht="12.75" x14ac:dyDescent="0.2">
      <c r="B34349" s="1168"/>
    </row>
    <row r="34350" spans="2:2" s="221" customFormat="1" ht="12.75" x14ac:dyDescent="0.2">
      <c r="B34350" s="1168"/>
    </row>
    <row r="34351" spans="2:2" s="221" customFormat="1" ht="12.75" x14ac:dyDescent="0.2">
      <c r="B34351" s="1168"/>
    </row>
    <row r="34352" spans="2:2" s="221" customFormat="1" ht="12.75" x14ac:dyDescent="0.2">
      <c r="B34352" s="1168"/>
    </row>
    <row r="34353" spans="2:2" s="221" customFormat="1" ht="12.75" x14ac:dyDescent="0.2">
      <c r="B34353" s="1168"/>
    </row>
    <row r="34354" spans="2:2" s="221" customFormat="1" ht="12.75" x14ac:dyDescent="0.2">
      <c r="B34354" s="1168"/>
    </row>
    <row r="34355" spans="2:2" s="221" customFormat="1" ht="12.75" x14ac:dyDescent="0.2">
      <c r="B34355" s="1168"/>
    </row>
    <row r="34356" spans="2:2" s="221" customFormat="1" ht="12.75" x14ac:dyDescent="0.2">
      <c r="B34356" s="1168"/>
    </row>
    <row r="34357" spans="2:2" s="221" customFormat="1" ht="12.75" x14ac:dyDescent="0.2">
      <c r="B34357" s="1168"/>
    </row>
    <row r="34358" spans="2:2" s="221" customFormat="1" ht="12.75" x14ac:dyDescent="0.2">
      <c r="B34358" s="1168"/>
    </row>
    <row r="34359" spans="2:2" s="221" customFormat="1" ht="12.75" x14ac:dyDescent="0.2">
      <c r="B34359" s="1168"/>
    </row>
    <row r="34360" spans="2:2" s="221" customFormat="1" ht="12.75" x14ac:dyDescent="0.2">
      <c r="B34360" s="1168"/>
    </row>
    <row r="34361" spans="2:2" s="221" customFormat="1" ht="12.75" x14ac:dyDescent="0.2">
      <c r="B34361" s="1168"/>
    </row>
    <row r="34362" spans="2:2" s="221" customFormat="1" ht="12.75" x14ac:dyDescent="0.2">
      <c r="B34362" s="1168"/>
    </row>
    <row r="34363" spans="2:2" s="221" customFormat="1" ht="12.75" x14ac:dyDescent="0.2">
      <c r="B34363" s="1168"/>
    </row>
    <row r="34364" spans="2:2" s="221" customFormat="1" ht="12.75" x14ac:dyDescent="0.2">
      <c r="B34364" s="1168"/>
    </row>
    <row r="34365" spans="2:2" s="221" customFormat="1" ht="12.75" x14ac:dyDescent="0.2">
      <c r="B34365" s="1168"/>
    </row>
    <row r="34366" spans="2:2" s="221" customFormat="1" ht="12.75" x14ac:dyDescent="0.2">
      <c r="B34366" s="1168"/>
    </row>
    <row r="34367" spans="2:2" s="221" customFormat="1" ht="12.75" x14ac:dyDescent="0.2">
      <c r="B34367" s="1168"/>
    </row>
    <row r="34368" spans="2:2" s="221" customFormat="1" ht="12.75" x14ac:dyDescent="0.2">
      <c r="B34368" s="1168"/>
    </row>
    <row r="34369" spans="2:2" s="221" customFormat="1" ht="12.75" x14ac:dyDescent="0.2">
      <c r="B34369" s="1168"/>
    </row>
    <row r="34370" spans="2:2" s="221" customFormat="1" ht="12.75" x14ac:dyDescent="0.2">
      <c r="B34370" s="1168"/>
    </row>
    <row r="34371" spans="2:2" s="221" customFormat="1" ht="12.75" x14ac:dyDescent="0.2">
      <c r="B34371" s="1168"/>
    </row>
    <row r="34372" spans="2:2" s="221" customFormat="1" ht="12.75" x14ac:dyDescent="0.2">
      <c r="B34372" s="1168"/>
    </row>
    <row r="34373" spans="2:2" s="221" customFormat="1" ht="12.75" x14ac:dyDescent="0.2">
      <c r="B34373" s="1168"/>
    </row>
    <row r="34374" spans="2:2" s="221" customFormat="1" ht="12.75" x14ac:dyDescent="0.2">
      <c r="B34374" s="1168"/>
    </row>
    <row r="34375" spans="2:2" s="221" customFormat="1" ht="12.75" x14ac:dyDescent="0.2">
      <c r="B34375" s="1168"/>
    </row>
    <row r="34376" spans="2:2" s="221" customFormat="1" ht="12.75" x14ac:dyDescent="0.2">
      <c r="B34376" s="1168"/>
    </row>
    <row r="34377" spans="2:2" s="221" customFormat="1" ht="12.75" x14ac:dyDescent="0.2">
      <c r="B34377" s="1168"/>
    </row>
    <row r="34378" spans="2:2" s="221" customFormat="1" ht="12.75" x14ac:dyDescent="0.2">
      <c r="B34378" s="1168"/>
    </row>
    <row r="34379" spans="2:2" s="221" customFormat="1" ht="12.75" x14ac:dyDescent="0.2">
      <c r="B34379" s="1168"/>
    </row>
    <row r="34380" spans="2:2" s="221" customFormat="1" ht="12.75" x14ac:dyDescent="0.2">
      <c r="B34380" s="1168"/>
    </row>
    <row r="34381" spans="2:2" s="221" customFormat="1" ht="12.75" x14ac:dyDescent="0.2">
      <c r="B34381" s="1168"/>
    </row>
    <row r="34382" spans="2:2" s="221" customFormat="1" ht="12.75" x14ac:dyDescent="0.2">
      <c r="B34382" s="1168"/>
    </row>
    <row r="34383" spans="2:2" s="221" customFormat="1" ht="12.75" x14ac:dyDescent="0.2">
      <c r="B34383" s="1168"/>
    </row>
    <row r="34384" spans="2:2" s="221" customFormat="1" ht="12.75" x14ac:dyDescent="0.2">
      <c r="B34384" s="1168"/>
    </row>
    <row r="34385" spans="2:2" s="221" customFormat="1" ht="12.75" x14ac:dyDescent="0.2">
      <c r="B34385" s="1168"/>
    </row>
    <row r="34386" spans="2:2" s="221" customFormat="1" ht="12.75" x14ac:dyDescent="0.2">
      <c r="B34386" s="1168"/>
    </row>
    <row r="34387" spans="2:2" s="221" customFormat="1" ht="12.75" x14ac:dyDescent="0.2">
      <c r="B34387" s="1168"/>
    </row>
    <row r="34388" spans="2:2" s="221" customFormat="1" ht="12.75" x14ac:dyDescent="0.2">
      <c r="B34388" s="1168"/>
    </row>
    <row r="34389" spans="2:2" s="221" customFormat="1" ht="12.75" x14ac:dyDescent="0.2">
      <c r="B34389" s="1168"/>
    </row>
    <row r="34390" spans="2:2" s="221" customFormat="1" ht="12.75" x14ac:dyDescent="0.2">
      <c r="B34390" s="1168"/>
    </row>
    <row r="34391" spans="2:2" s="221" customFormat="1" ht="12.75" x14ac:dyDescent="0.2">
      <c r="B34391" s="1168"/>
    </row>
    <row r="34392" spans="2:2" s="221" customFormat="1" ht="12.75" x14ac:dyDescent="0.2">
      <c r="B34392" s="1168"/>
    </row>
    <row r="34393" spans="2:2" s="221" customFormat="1" ht="12.75" x14ac:dyDescent="0.2">
      <c r="B34393" s="1168"/>
    </row>
    <row r="34394" spans="2:2" s="221" customFormat="1" ht="12.75" x14ac:dyDescent="0.2">
      <c r="B34394" s="1168"/>
    </row>
    <row r="34395" spans="2:2" s="221" customFormat="1" ht="12.75" x14ac:dyDescent="0.2">
      <c r="B34395" s="1168"/>
    </row>
    <row r="34396" spans="2:2" s="221" customFormat="1" ht="12.75" x14ac:dyDescent="0.2">
      <c r="B34396" s="1168"/>
    </row>
    <row r="34397" spans="2:2" s="221" customFormat="1" ht="12.75" x14ac:dyDescent="0.2">
      <c r="B34397" s="1168"/>
    </row>
    <row r="34398" spans="2:2" s="221" customFormat="1" ht="12.75" x14ac:dyDescent="0.2">
      <c r="B34398" s="1168"/>
    </row>
    <row r="34399" spans="2:2" s="221" customFormat="1" ht="12.75" x14ac:dyDescent="0.2">
      <c r="B34399" s="1168"/>
    </row>
    <row r="34400" spans="2:2" s="221" customFormat="1" ht="12.75" x14ac:dyDescent="0.2">
      <c r="B34400" s="1168"/>
    </row>
    <row r="34401" spans="2:2" s="221" customFormat="1" ht="12.75" x14ac:dyDescent="0.2">
      <c r="B34401" s="1168"/>
    </row>
    <row r="34402" spans="2:2" s="221" customFormat="1" ht="12.75" x14ac:dyDescent="0.2">
      <c r="B34402" s="1168"/>
    </row>
    <row r="34403" spans="2:2" s="221" customFormat="1" ht="12.75" x14ac:dyDescent="0.2">
      <c r="B34403" s="1168"/>
    </row>
    <row r="34404" spans="2:2" s="221" customFormat="1" ht="12.75" x14ac:dyDescent="0.2">
      <c r="B34404" s="1168"/>
    </row>
    <row r="34405" spans="2:2" s="221" customFormat="1" ht="12.75" x14ac:dyDescent="0.2">
      <c r="B34405" s="1168"/>
    </row>
    <row r="34406" spans="2:2" s="221" customFormat="1" ht="12.75" x14ac:dyDescent="0.2">
      <c r="B34406" s="1168"/>
    </row>
    <row r="34407" spans="2:2" s="221" customFormat="1" ht="12.75" x14ac:dyDescent="0.2">
      <c r="B34407" s="1168"/>
    </row>
    <row r="34408" spans="2:2" s="221" customFormat="1" ht="12.75" x14ac:dyDescent="0.2">
      <c r="B34408" s="1168"/>
    </row>
    <row r="34409" spans="2:2" s="221" customFormat="1" ht="12.75" x14ac:dyDescent="0.2">
      <c r="B34409" s="1168"/>
    </row>
    <row r="34410" spans="2:2" s="221" customFormat="1" ht="12.75" x14ac:dyDescent="0.2">
      <c r="B34410" s="1168"/>
    </row>
    <row r="34411" spans="2:2" s="221" customFormat="1" ht="12.75" x14ac:dyDescent="0.2">
      <c r="B34411" s="1168"/>
    </row>
    <row r="34412" spans="2:2" s="221" customFormat="1" ht="12.75" x14ac:dyDescent="0.2">
      <c r="B34412" s="1168"/>
    </row>
    <row r="34413" spans="2:2" s="221" customFormat="1" ht="12.75" x14ac:dyDescent="0.2">
      <c r="B34413" s="1168"/>
    </row>
    <row r="34414" spans="2:2" s="221" customFormat="1" ht="12.75" x14ac:dyDescent="0.2">
      <c r="B34414" s="1168"/>
    </row>
    <row r="34415" spans="2:2" s="221" customFormat="1" ht="12.75" x14ac:dyDescent="0.2">
      <c r="B34415" s="1168"/>
    </row>
    <row r="34416" spans="2:2" s="221" customFormat="1" ht="12.75" x14ac:dyDescent="0.2">
      <c r="B34416" s="1168"/>
    </row>
    <row r="34417" spans="2:2" s="221" customFormat="1" ht="12.75" x14ac:dyDescent="0.2">
      <c r="B34417" s="1168"/>
    </row>
    <row r="34418" spans="2:2" s="221" customFormat="1" ht="12.75" x14ac:dyDescent="0.2">
      <c r="B34418" s="1168"/>
    </row>
    <row r="34419" spans="2:2" s="221" customFormat="1" ht="12.75" x14ac:dyDescent="0.2">
      <c r="B34419" s="1168"/>
    </row>
    <row r="34420" spans="2:2" s="221" customFormat="1" ht="12.75" x14ac:dyDescent="0.2">
      <c r="B34420" s="1168"/>
    </row>
    <row r="34421" spans="2:2" s="221" customFormat="1" ht="12.75" x14ac:dyDescent="0.2">
      <c r="B34421" s="1168"/>
    </row>
    <row r="34422" spans="2:2" s="221" customFormat="1" ht="12.75" x14ac:dyDescent="0.2">
      <c r="B34422" s="1168"/>
    </row>
    <row r="34423" spans="2:2" s="221" customFormat="1" ht="12.75" x14ac:dyDescent="0.2">
      <c r="B34423" s="1168"/>
    </row>
    <row r="34424" spans="2:2" s="221" customFormat="1" ht="12.75" x14ac:dyDescent="0.2">
      <c r="B34424" s="1168"/>
    </row>
    <row r="34425" spans="2:2" s="221" customFormat="1" ht="12.75" x14ac:dyDescent="0.2">
      <c r="B34425" s="1168"/>
    </row>
    <row r="34426" spans="2:2" s="221" customFormat="1" ht="12.75" x14ac:dyDescent="0.2">
      <c r="B34426" s="1168"/>
    </row>
    <row r="34427" spans="2:2" s="221" customFormat="1" ht="12.75" x14ac:dyDescent="0.2">
      <c r="B34427" s="1168"/>
    </row>
    <row r="34428" spans="2:2" s="221" customFormat="1" ht="12.75" x14ac:dyDescent="0.2">
      <c r="B34428" s="1168"/>
    </row>
    <row r="34429" spans="2:2" s="221" customFormat="1" ht="12.75" x14ac:dyDescent="0.2">
      <c r="B34429" s="1168"/>
    </row>
    <row r="34430" spans="2:2" s="221" customFormat="1" ht="12.75" x14ac:dyDescent="0.2">
      <c r="B34430" s="1168"/>
    </row>
    <row r="34431" spans="2:2" s="221" customFormat="1" ht="12.75" x14ac:dyDescent="0.2">
      <c r="B34431" s="1168"/>
    </row>
    <row r="34432" spans="2:2" s="221" customFormat="1" ht="12.75" x14ac:dyDescent="0.2">
      <c r="B34432" s="1168"/>
    </row>
    <row r="34433" spans="2:2" s="221" customFormat="1" ht="12.75" x14ac:dyDescent="0.2">
      <c r="B34433" s="1168"/>
    </row>
    <row r="34434" spans="2:2" s="221" customFormat="1" ht="12.75" x14ac:dyDescent="0.2">
      <c r="B34434" s="1168"/>
    </row>
    <row r="34435" spans="2:2" s="221" customFormat="1" ht="12.75" x14ac:dyDescent="0.2">
      <c r="B34435" s="1168"/>
    </row>
    <row r="34436" spans="2:2" s="221" customFormat="1" ht="12.75" x14ac:dyDescent="0.2">
      <c r="B34436" s="1168"/>
    </row>
    <row r="34437" spans="2:2" s="221" customFormat="1" ht="12.75" x14ac:dyDescent="0.2">
      <c r="B34437" s="1168"/>
    </row>
    <row r="34438" spans="2:2" s="221" customFormat="1" ht="12.75" x14ac:dyDescent="0.2">
      <c r="B34438" s="1168"/>
    </row>
    <row r="34439" spans="2:2" s="221" customFormat="1" ht="12.75" x14ac:dyDescent="0.2">
      <c r="B34439" s="1168"/>
    </row>
    <row r="34440" spans="2:2" s="221" customFormat="1" ht="12.75" x14ac:dyDescent="0.2">
      <c r="B34440" s="1168"/>
    </row>
    <row r="34441" spans="2:2" s="221" customFormat="1" ht="12.75" x14ac:dyDescent="0.2">
      <c r="B34441" s="1168"/>
    </row>
    <row r="34442" spans="2:2" s="221" customFormat="1" ht="12.75" x14ac:dyDescent="0.2">
      <c r="B34442" s="1168"/>
    </row>
    <row r="34443" spans="2:2" s="221" customFormat="1" ht="12.75" x14ac:dyDescent="0.2">
      <c r="B34443" s="1168"/>
    </row>
    <row r="34444" spans="2:2" s="221" customFormat="1" ht="12.75" x14ac:dyDescent="0.2">
      <c r="B34444" s="1168"/>
    </row>
    <row r="34445" spans="2:2" s="221" customFormat="1" ht="12.75" x14ac:dyDescent="0.2">
      <c r="B34445" s="1168"/>
    </row>
    <row r="34446" spans="2:2" s="221" customFormat="1" ht="12.75" x14ac:dyDescent="0.2">
      <c r="B34446" s="1168"/>
    </row>
    <row r="34447" spans="2:2" s="221" customFormat="1" ht="12.75" x14ac:dyDescent="0.2">
      <c r="B34447" s="1168"/>
    </row>
    <row r="34448" spans="2:2" s="221" customFormat="1" ht="12.75" x14ac:dyDescent="0.2">
      <c r="B34448" s="1168"/>
    </row>
    <row r="34449" spans="2:2" s="221" customFormat="1" ht="12.75" x14ac:dyDescent="0.2">
      <c r="B34449" s="1168"/>
    </row>
    <row r="34450" spans="2:2" s="221" customFormat="1" ht="12.75" x14ac:dyDescent="0.2">
      <c r="B34450" s="1168"/>
    </row>
    <row r="34451" spans="2:2" s="221" customFormat="1" ht="12.75" x14ac:dyDescent="0.2">
      <c r="B34451" s="1168"/>
    </row>
    <row r="34452" spans="2:2" s="221" customFormat="1" ht="12.75" x14ac:dyDescent="0.2">
      <c r="B34452" s="1168"/>
    </row>
    <row r="34453" spans="2:2" s="221" customFormat="1" ht="12.75" x14ac:dyDescent="0.2">
      <c r="B34453" s="1168"/>
    </row>
    <row r="34454" spans="2:2" s="221" customFormat="1" ht="12.75" x14ac:dyDescent="0.2">
      <c r="B34454" s="1168"/>
    </row>
    <row r="34455" spans="2:2" s="221" customFormat="1" ht="12.75" x14ac:dyDescent="0.2">
      <c r="B34455" s="1168"/>
    </row>
    <row r="34456" spans="2:2" s="221" customFormat="1" ht="12.75" x14ac:dyDescent="0.2">
      <c r="B34456" s="1168"/>
    </row>
    <row r="34457" spans="2:2" s="221" customFormat="1" ht="12.75" x14ac:dyDescent="0.2">
      <c r="B34457" s="1168"/>
    </row>
    <row r="34458" spans="2:2" s="221" customFormat="1" ht="12.75" x14ac:dyDescent="0.2">
      <c r="B34458" s="1168"/>
    </row>
    <row r="34459" spans="2:2" s="221" customFormat="1" ht="12.75" x14ac:dyDescent="0.2">
      <c r="B34459" s="1168"/>
    </row>
    <row r="34460" spans="2:2" s="221" customFormat="1" ht="12.75" x14ac:dyDescent="0.2">
      <c r="B34460" s="1168"/>
    </row>
    <row r="34461" spans="2:2" s="221" customFormat="1" ht="12.75" x14ac:dyDescent="0.2">
      <c r="B34461" s="1168"/>
    </row>
    <row r="34462" spans="2:2" s="221" customFormat="1" ht="12.75" x14ac:dyDescent="0.2">
      <c r="B34462" s="1168"/>
    </row>
    <row r="34463" spans="2:2" s="221" customFormat="1" ht="12.75" x14ac:dyDescent="0.2">
      <c r="B34463" s="1168"/>
    </row>
    <row r="34464" spans="2:2" s="221" customFormat="1" ht="12.75" x14ac:dyDescent="0.2">
      <c r="B34464" s="1168"/>
    </row>
    <row r="34465" spans="2:2" s="221" customFormat="1" ht="12.75" x14ac:dyDescent="0.2">
      <c r="B34465" s="1168"/>
    </row>
    <row r="34466" spans="2:2" s="221" customFormat="1" ht="12.75" x14ac:dyDescent="0.2">
      <c r="B34466" s="1168"/>
    </row>
    <row r="34467" spans="2:2" s="221" customFormat="1" ht="12.75" x14ac:dyDescent="0.2">
      <c r="B34467" s="1168"/>
    </row>
    <row r="34468" spans="2:2" s="221" customFormat="1" ht="12.75" x14ac:dyDescent="0.2">
      <c r="B34468" s="1168"/>
    </row>
    <row r="34469" spans="2:2" s="221" customFormat="1" ht="12.75" x14ac:dyDescent="0.2">
      <c r="B34469" s="1168"/>
    </row>
    <row r="34470" spans="2:2" s="221" customFormat="1" ht="12.75" x14ac:dyDescent="0.2">
      <c r="B34470" s="1168"/>
    </row>
    <row r="34471" spans="2:2" s="221" customFormat="1" ht="12.75" x14ac:dyDescent="0.2">
      <c r="B34471" s="1168"/>
    </row>
    <row r="34472" spans="2:2" s="221" customFormat="1" ht="12.75" x14ac:dyDescent="0.2">
      <c r="B34472" s="1168"/>
    </row>
    <row r="34473" spans="2:2" s="221" customFormat="1" ht="12.75" x14ac:dyDescent="0.2">
      <c r="B34473" s="1168"/>
    </row>
    <row r="34474" spans="2:2" s="221" customFormat="1" ht="12.75" x14ac:dyDescent="0.2">
      <c r="B34474" s="1168"/>
    </row>
    <row r="34475" spans="2:2" s="221" customFormat="1" ht="12.75" x14ac:dyDescent="0.2">
      <c r="B34475" s="1168"/>
    </row>
    <row r="34476" spans="2:2" s="221" customFormat="1" ht="12.75" x14ac:dyDescent="0.2">
      <c r="B34476" s="1168"/>
    </row>
    <row r="34477" spans="2:2" s="221" customFormat="1" ht="12.75" x14ac:dyDescent="0.2">
      <c r="B34477" s="1168"/>
    </row>
    <row r="34478" spans="2:2" s="221" customFormat="1" ht="12.75" x14ac:dyDescent="0.2">
      <c r="B34478" s="1168"/>
    </row>
    <row r="34479" spans="2:2" s="221" customFormat="1" ht="12.75" x14ac:dyDescent="0.2">
      <c r="B34479" s="1168"/>
    </row>
    <row r="34480" spans="2:2" s="221" customFormat="1" ht="12.75" x14ac:dyDescent="0.2">
      <c r="B34480" s="1168"/>
    </row>
    <row r="34481" spans="2:2" s="221" customFormat="1" ht="12.75" x14ac:dyDescent="0.2">
      <c r="B34481" s="1168"/>
    </row>
    <row r="34482" spans="2:2" s="221" customFormat="1" ht="12.75" x14ac:dyDescent="0.2">
      <c r="B34482" s="1168"/>
    </row>
    <row r="34483" spans="2:2" s="221" customFormat="1" ht="12.75" x14ac:dyDescent="0.2">
      <c r="B34483" s="1168"/>
    </row>
    <row r="34484" spans="2:2" s="221" customFormat="1" ht="12.75" x14ac:dyDescent="0.2">
      <c r="B34484" s="1168"/>
    </row>
    <row r="34485" spans="2:2" s="221" customFormat="1" ht="12.75" x14ac:dyDescent="0.2">
      <c r="B34485" s="1168"/>
    </row>
    <row r="34486" spans="2:2" s="221" customFormat="1" ht="12.75" x14ac:dyDescent="0.2">
      <c r="B34486" s="1168"/>
    </row>
    <row r="34487" spans="2:2" s="221" customFormat="1" ht="12.75" x14ac:dyDescent="0.2">
      <c r="B34487" s="1168"/>
    </row>
    <row r="34488" spans="2:2" s="221" customFormat="1" ht="12.75" x14ac:dyDescent="0.2">
      <c r="B34488" s="1168"/>
    </row>
    <row r="34489" spans="2:2" s="221" customFormat="1" ht="12.75" x14ac:dyDescent="0.2">
      <c r="B34489" s="1168"/>
    </row>
    <row r="34490" spans="2:2" s="221" customFormat="1" ht="12.75" x14ac:dyDescent="0.2">
      <c r="B34490" s="1168"/>
    </row>
    <row r="34491" spans="2:2" s="221" customFormat="1" ht="12.75" x14ac:dyDescent="0.2">
      <c r="B34491" s="1168"/>
    </row>
    <row r="34492" spans="2:2" s="221" customFormat="1" ht="12.75" x14ac:dyDescent="0.2">
      <c r="B34492" s="1168"/>
    </row>
    <row r="34493" spans="2:2" s="221" customFormat="1" ht="12.75" x14ac:dyDescent="0.2">
      <c r="B34493" s="1168"/>
    </row>
    <row r="34494" spans="2:2" s="221" customFormat="1" ht="12.75" x14ac:dyDescent="0.2">
      <c r="B34494" s="1168"/>
    </row>
    <row r="34495" spans="2:2" s="221" customFormat="1" ht="12.75" x14ac:dyDescent="0.2">
      <c r="B34495" s="1168"/>
    </row>
    <row r="34496" spans="2:2" s="221" customFormat="1" ht="12.75" x14ac:dyDescent="0.2">
      <c r="B34496" s="1168"/>
    </row>
    <row r="34497" spans="2:2" s="221" customFormat="1" ht="12.75" x14ac:dyDescent="0.2">
      <c r="B34497" s="1168"/>
    </row>
    <row r="34498" spans="2:2" s="221" customFormat="1" ht="12.75" x14ac:dyDescent="0.2">
      <c r="B34498" s="1168"/>
    </row>
    <row r="34499" spans="2:2" s="221" customFormat="1" ht="12.75" x14ac:dyDescent="0.2">
      <c r="B34499" s="1168"/>
    </row>
    <row r="34500" spans="2:2" s="221" customFormat="1" ht="12.75" x14ac:dyDescent="0.2">
      <c r="B34500" s="1168"/>
    </row>
    <row r="34501" spans="2:2" s="221" customFormat="1" ht="12.75" x14ac:dyDescent="0.2">
      <c r="B34501" s="1168"/>
    </row>
    <row r="34502" spans="2:2" s="221" customFormat="1" ht="12.75" x14ac:dyDescent="0.2">
      <c r="B34502" s="1168"/>
    </row>
    <row r="34503" spans="2:2" s="221" customFormat="1" ht="12.75" x14ac:dyDescent="0.2">
      <c r="B34503" s="1168"/>
    </row>
    <row r="34504" spans="2:2" s="221" customFormat="1" ht="12.75" x14ac:dyDescent="0.2">
      <c r="B34504" s="1168"/>
    </row>
    <row r="34505" spans="2:2" s="221" customFormat="1" ht="12.75" x14ac:dyDescent="0.2">
      <c r="B34505" s="1168"/>
    </row>
    <row r="34506" spans="2:2" s="221" customFormat="1" ht="12.75" x14ac:dyDescent="0.2">
      <c r="B34506" s="1168"/>
    </row>
    <row r="34507" spans="2:2" s="221" customFormat="1" ht="12.75" x14ac:dyDescent="0.2">
      <c r="B34507" s="1168"/>
    </row>
    <row r="34508" spans="2:2" s="221" customFormat="1" ht="12.75" x14ac:dyDescent="0.2">
      <c r="B34508" s="1168"/>
    </row>
    <row r="34509" spans="2:2" s="221" customFormat="1" ht="12.75" x14ac:dyDescent="0.2">
      <c r="B34509" s="1168"/>
    </row>
    <row r="34510" spans="2:2" s="221" customFormat="1" ht="12.75" x14ac:dyDescent="0.2">
      <c r="B34510" s="1168"/>
    </row>
    <row r="34511" spans="2:2" s="221" customFormat="1" ht="12.75" x14ac:dyDescent="0.2">
      <c r="B34511" s="1168"/>
    </row>
    <row r="34512" spans="2:2" s="221" customFormat="1" ht="12.75" x14ac:dyDescent="0.2">
      <c r="B34512" s="1168"/>
    </row>
    <row r="34513" spans="2:2" s="221" customFormat="1" ht="12.75" x14ac:dyDescent="0.2">
      <c r="B34513" s="1168"/>
    </row>
    <row r="34514" spans="2:2" s="221" customFormat="1" ht="12.75" x14ac:dyDescent="0.2">
      <c r="B34514" s="1168"/>
    </row>
    <row r="34515" spans="2:2" s="221" customFormat="1" ht="12.75" x14ac:dyDescent="0.2">
      <c r="B34515" s="1168"/>
    </row>
    <row r="34516" spans="2:2" s="221" customFormat="1" ht="12.75" x14ac:dyDescent="0.2">
      <c r="B34516" s="1168"/>
    </row>
    <row r="34517" spans="2:2" s="221" customFormat="1" ht="12.75" x14ac:dyDescent="0.2">
      <c r="B34517" s="1168"/>
    </row>
    <row r="34518" spans="2:2" s="221" customFormat="1" ht="12.75" x14ac:dyDescent="0.2">
      <c r="B34518" s="1168"/>
    </row>
    <row r="34519" spans="2:2" s="221" customFormat="1" ht="12.75" x14ac:dyDescent="0.2">
      <c r="B34519" s="1168"/>
    </row>
    <row r="34520" spans="2:2" s="221" customFormat="1" ht="12.75" x14ac:dyDescent="0.2">
      <c r="B34520" s="1168"/>
    </row>
    <row r="34521" spans="2:2" s="221" customFormat="1" ht="12.75" x14ac:dyDescent="0.2">
      <c r="B34521" s="1168"/>
    </row>
    <row r="34522" spans="2:2" s="221" customFormat="1" ht="12.75" x14ac:dyDescent="0.2">
      <c r="B34522" s="1168"/>
    </row>
    <row r="34523" spans="2:2" s="221" customFormat="1" ht="12.75" x14ac:dyDescent="0.2">
      <c r="B34523" s="1168"/>
    </row>
    <row r="34524" spans="2:2" s="221" customFormat="1" ht="12.75" x14ac:dyDescent="0.2">
      <c r="B34524" s="1168"/>
    </row>
    <row r="34525" spans="2:2" s="221" customFormat="1" ht="12.75" x14ac:dyDescent="0.2">
      <c r="B34525" s="1168"/>
    </row>
    <row r="34526" spans="2:2" s="221" customFormat="1" ht="12.75" x14ac:dyDescent="0.2">
      <c r="B34526" s="1168"/>
    </row>
    <row r="34527" spans="2:2" s="221" customFormat="1" ht="12.75" x14ac:dyDescent="0.2">
      <c r="B34527" s="1168"/>
    </row>
    <row r="34528" spans="2:2" s="221" customFormat="1" ht="12.75" x14ac:dyDescent="0.2">
      <c r="B34528" s="1168"/>
    </row>
    <row r="34529" spans="2:2" s="221" customFormat="1" ht="12.75" x14ac:dyDescent="0.2">
      <c r="B34529" s="1168"/>
    </row>
    <row r="34530" spans="2:2" s="221" customFormat="1" ht="12.75" x14ac:dyDescent="0.2">
      <c r="B34530" s="1168"/>
    </row>
    <row r="34531" spans="2:2" s="221" customFormat="1" ht="12.75" x14ac:dyDescent="0.2">
      <c r="B34531" s="1168"/>
    </row>
    <row r="34532" spans="2:2" s="221" customFormat="1" ht="12.75" x14ac:dyDescent="0.2">
      <c r="B34532" s="1168"/>
    </row>
    <row r="34533" spans="2:2" s="221" customFormat="1" ht="12.75" x14ac:dyDescent="0.2">
      <c r="B34533" s="1168"/>
    </row>
    <row r="34534" spans="2:2" s="221" customFormat="1" ht="12.75" x14ac:dyDescent="0.2">
      <c r="B34534" s="1168"/>
    </row>
    <row r="34535" spans="2:2" s="221" customFormat="1" ht="12.75" x14ac:dyDescent="0.2">
      <c r="B34535" s="1168"/>
    </row>
    <row r="34536" spans="2:2" s="221" customFormat="1" ht="12.75" x14ac:dyDescent="0.2">
      <c r="B34536" s="1168"/>
    </row>
    <row r="34537" spans="2:2" s="221" customFormat="1" ht="12.75" x14ac:dyDescent="0.2">
      <c r="B34537" s="1168"/>
    </row>
    <row r="34538" spans="2:2" s="221" customFormat="1" ht="12.75" x14ac:dyDescent="0.2">
      <c r="B34538" s="1168"/>
    </row>
    <row r="34539" spans="2:2" s="221" customFormat="1" ht="12.75" x14ac:dyDescent="0.2">
      <c r="B34539" s="1168"/>
    </row>
    <row r="34540" spans="2:2" s="221" customFormat="1" ht="12.75" x14ac:dyDescent="0.2">
      <c r="B34540" s="1168"/>
    </row>
    <row r="34541" spans="2:2" s="221" customFormat="1" ht="12.75" x14ac:dyDescent="0.2">
      <c r="B34541" s="1168"/>
    </row>
    <row r="34542" spans="2:2" s="221" customFormat="1" ht="12.75" x14ac:dyDescent="0.2">
      <c r="B34542" s="1168"/>
    </row>
    <row r="34543" spans="2:2" s="221" customFormat="1" ht="12.75" x14ac:dyDescent="0.2">
      <c r="B34543" s="1168"/>
    </row>
    <row r="34544" spans="2:2" s="221" customFormat="1" ht="12.75" x14ac:dyDescent="0.2">
      <c r="B34544" s="1168"/>
    </row>
    <row r="34545" spans="2:2" s="221" customFormat="1" ht="12.75" x14ac:dyDescent="0.2">
      <c r="B34545" s="1168"/>
    </row>
    <row r="34546" spans="2:2" s="221" customFormat="1" ht="12.75" x14ac:dyDescent="0.2">
      <c r="B34546" s="1168"/>
    </row>
    <row r="34547" spans="2:2" s="221" customFormat="1" ht="12.75" x14ac:dyDescent="0.2">
      <c r="B34547" s="1168"/>
    </row>
    <row r="34548" spans="2:2" s="221" customFormat="1" ht="12.75" x14ac:dyDescent="0.2">
      <c r="B34548" s="1168"/>
    </row>
    <row r="34549" spans="2:2" s="221" customFormat="1" ht="12.75" x14ac:dyDescent="0.2">
      <c r="B34549" s="1168"/>
    </row>
    <row r="34550" spans="2:2" s="221" customFormat="1" ht="12.75" x14ac:dyDescent="0.2">
      <c r="B34550" s="1168"/>
    </row>
    <row r="34551" spans="2:2" s="221" customFormat="1" ht="12.75" x14ac:dyDescent="0.2">
      <c r="B34551" s="1168"/>
    </row>
    <row r="34552" spans="2:2" s="221" customFormat="1" ht="12.75" x14ac:dyDescent="0.2">
      <c r="B34552" s="1168"/>
    </row>
    <row r="34553" spans="2:2" s="221" customFormat="1" ht="12.75" x14ac:dyDescent="0.2">
      <c r="B34553" s="1168"/>
    </row>
    <row r="34554" spans="2:2" s="221" customFormat="1" ht="12.75" x14ac:dyDescent="0.2">
      <c r="B34554" s="1168"/>
    </row>
    <row r="34555" spans="2:2" s="221" customFormat="1" ht="12.75" x14ac:dyDescent="0.2">
      <c r="B34555" s="1168"/>
    </row>
    <row r="34556" spans="2:2" s="221" customFormat="1" ht="12.75" x14ac:dyDescent="0.2">
      <c r="B34556" s="1168"/>
    </row>
    <row r="34557" spans="2:2" s="221" customFormat="1" ht="12.75" x14ac:dyDescent="0.2">
      <c r="B34557" s="1168"/>
    </row>
    <row r="34558" spans="2:2" s="221" customFormat="1" ht="12.75" x14ac:dyDescent="0.2">
      <c r="B34558" s="1168"/>
    </row>
    <row r="34559" spans="2:2" s="221" customFormat="1" ht="12.75" x14ac:dyDescent="0.2">
      <c r="B34559" s="1168"/>
    </row>
    <row r="34560" spans="2:2" s="221" customFormat="1" ht="12.75" x14ac:dyDescent="0.2">
      <c r="B34560" s="1168"/>
    </row>
    <row r="34561" spans="2:2" s="221" customFormat="1" ht="12.75" x14ac:dyDescent="0.2">
      <c r="B34561" s="1168"/>
    </row>
    <row r="34562" spans="2:2" s="221" customFormat="1" ht="12.75" x14ac:dyDescent="0.2">
      <c r="B34562" s="1168"/>
    </row>
    <row r="34563" spans="2:2" s="221" customFormat="1" ht="12.75" x14ac:dyDescent="0.2">
      <c r="B34563" s="1168"/>
    </row>
    <row r="34564" spans="2:2" s="221" customFormat="1" ht="12.75" x14ac:dyDescent="0.2">
      <c r="B34564" s="1168"/>
    </row>
    <row r="34565" spans="2:2" s="221" customFormat="1" ht="12.75" x14ac:dyDescent="0.2">
      <c r="B34565" s="1168"/>
    </row>
    <row r="34566" spans="2:2" s="221" customFormat="1" ht="12.75" x14ac:dyDescent="0.2">
      <c r="B34566" s="1168"/>
    </row>
    <row r="34567" spans="2:2" s="221" customFormat="1" ht="12.75" x14ac:dyDescent="0.2">
      <c r="B34567" s="1168"/>
    </row>
    <row r="34568" spans="2:2" s="221" customFormat="1" ht="12.75" x14ac:dyDescent="0.2">
      <c r="B34568" s="1168"/>
    </row>
    <row r="34569" spans="2:2" s="221" customFormat="1" ht="12.75" x14ac:dyDescent="0.2">
      <c r="B34569" s="1168"/>
    </row>
    <row r="34570" spans="2:2" s="221" customFormat="1" ht="12.75" x14ac:dyDescent="0.2">
      <c r="B34570" s="1168"/>
    </row>
    <row r="34571" spans="2:2" s="221" customFormat="1" ht="12.75" x14ac:dyDescent="0.2">
      <c r="B34571" s="1168"/>
    </row>
    <row r="34572" spans="2:2" s="221" customFormat="1" ht="12.75" x14ac:dyDescent="0.2">
      <c r="B34572" s="1168"/>
    </row>
    <row r="34573" spans="2:2" s="221" customFormat="1" ht="12.75" x14ac:dyDescent="0.2">
      <c r="B34573" s="1168"/>
    </row>
    <row r="34574" spans="2:2" s="221" customFormat="1" ht="12.75" x14ac:dyDescent="0.2">
      <c r="B34574" s="1168"/>
    </row>
    <row r="34575" spans="2:2" s="221" customFormat="1" ht="12.75" x14ac:dyDescent="0.2">
      <c r="B34575" s="1168"/>
    </row>
    <row r="34576" spans="2:2" s="221" customFormat="1" ht="12.75" x14ac:dyDescent="0.2">
      <c r="B34576" s="1168"/>
    </row>
    <row r="34577" spans="2:2" s="221" customFormat="1" ht="12.75" x14ac:dyDescent="0.2">
      <c r="B34577" s="1168"/>
    </row>
    <row r="34578" spans="2:2" s="221" customFormat="1" ht="12.75" x14ac:dyDescent="0.2">
      <c r="B34578" s="1168"/>
    </row>
    <row r="34579" spans="2:2" s="221" customFormat="1" ht="12.75" x14ac:dyDescent="0.2">
      <c r="B34579" s="1168"/>
    </row>
    <row r="34580" spans="2:2" s="221" customFormat="1" ht="12.75" x14ac:dyDescent="0.2">
      <c r="B34580" s="1168"/>
    </row>
    <row r="34581" spans="2:2" s="221" customFormat="1" ht="12.75" x14ac:dyDescent="0.2">
      <c r="B34581" s="1168"/>
    </row>
    <row r="34582" spans="2:2" s="221" customFormat="1" ht="12.75" x14ac:dyDescent="0.2">
      <c r="B34582" s="1168"/>
    </row>
    <row r="34583" spans="2:2" s="221" customFormat="1" ht="12.75" x14ac:dyDescent="0.2">
      <c r="B34583" s="1168"/>
    </row>
    <row r="34584" spans="2:2" s="221" customFormat="1" ht="12.75" x14ac:dyDescent="0.2">
      <c r="B34584" s="1168"/>
    </row>
    <row r="34585" spans="2:2" s="221" customFormat="1" ht="12.75" x14ac:dyDescent="0.2">
      <c r="B34585" s="1168"/>
    </row>
    <row r="34586" spans="2:2" s="221" customFormat="1" ht="12.75" x14ac:dyDescent="0.2">
      <c r="B34586" s="1168"/>
    </row>
    <row r="34587" spans="2:2" s="221" customFormat="1" ht="12.75" x14ac:dyDescent="0.2">
      <c r="B34587" s="1168"/>
    </row>
    <row r="34588" spans="2:2" s="221" customFormat="1" ht="12.75" x14ac:dyDescent="0.2">
      <c r="B34588" s="1168"/>
    </row>
    <row r="34589" spans="2:2" s="221" customFormat="1" ht="12.75" x14ac:dyDescent="0.2">
      <c r="B34589" s="1168"/>
    </row>
    <row r="34590" spans="2:2" s="221" customFormat="1" ht="12.75" x14ac:dyDescent="0.2">
      <c r="B34590" s="1168"/>
    </row>
    <row r="34591" spans="2:2" s="221" customFormat="1" ht="12.75" x14ac:dyDescent="0.2">
      <c r="B34591" s="1168"/>
    </row>
    <row r="34592" spans="2:2" s="221" customFormat="1" ht="12.75" x14ac:dyDescent="0.2">
      <c r="B34592" s="1168"/>
    </row>
    <row r="34593" spans="2:2" s="221" customFormat="1" ht="12.75" x14ac:dyDescent="0.2">
      <c r="B34593" s="1168"/>
    </row>
    <row r="34594" spans="2:2" s="221" customFormat="1" ht="12.75" x14ac:dyDescent="0.2">
      <c r="B34594" s="1168"/>
    </row>
    <row r="34595" spans="2:2" s="221" customFormat="1" ht="12.75" x14ac:dyDescent="0.2">
      <c r="B34595" s="1168"/>
    </row>
    <row r="34596" spans="2:2" s="221" customFormat="1" ht="12.75" x14ac:dyDescent="0.2">
      <c r="B34596" s="1168"/>
    </row>
    <row r="34597" spans="2:2" s="221" customFormat="1" ht="12.75" x14ac:dyDescent="0.2">
      <c r="B34597" s="1168"/>
    </row>
    <row r="34598" spans="2:2" s="221" customFormat="1" ht="12.75" x14ac:dyDescent="0.2">
      <c r="B34598" s="1168"/>
    </row>
    <row r="34599" spans="2:2" s="221" customFormat="1" ht="12.75" x14ac:dyDescent="0.2">
      <c r="B34599" s="1168"/>
    </row>
    <row r="34600" spans="2:2" s="221" customFormat="1" ht="12.75" x14ac:dyDescent="0.2">
      <c r="B34600" s="1168"/>
    </row>
    <row r="34601" spans="2:2" s="221" customFormat="1" ht="12.75" x14ac:dyDescent="0.2">
      <c r="B34601" s="1168"/>
    </row>
    <row r="34602" spans="2:2" s="221" customFormat="1" ht="12.75" x14ac:dyDescent="0.2">
      <c r="B34602" s="1168"/>
    </row>
    <row r="34603" spans="2:2" s="221" customFormat="1" ht="12.75" x14ac:dyDescent="0.2">
      <c r="B34603" s="1168"/>
    </row>
    <row r="34604" spans="2:2" s="221" customFormat="1" ht="12.75" x14ac:dyDescent="0.2">
      <c r="B34604" s="1168"/>
    </row>
    <row r="34605" spans="2:2" s="221" customFormat="1" ht="12.75" x14ac:dyDescent="0.2">
      <c r="B34605" s="1168"/>
    </row>
    <row r="34606" spans="2:2" s="221" customFormat="1" ht="12.75" x14ac:dyDescent="0.2">
      <c r="B34606" s="1168"/>
    </row>
    <row r="34607" spans="2:2" s="221" customFormat="1" ht="12.75" x14ac:dyDescent="0.2">
      <c r="B34607" s="1168"/>
    </row>
    <row r="34608" spans="2:2" s="221" customFormat="1" ht="12.75" x14ac:dyDescent="0.2">
      <c r="B34608" s="1168"/>
    </row>
    <row r="34609" spans="2:2" s="221" customFormat="1" ht="12.75" x14ac:dyDescent="0.2">
      <c r="B34609" s="1168"/>
    </row>
    <row r="34610" spans="2:2" s="221" customFormat="1" ht="12.75" x14ac:dyDescent="0.2">
      <c r="B34610" s="1168"/>
    </row>
    <row r="34611" spans="2:2" s="221" customFormat="1" ht="12.75" x14ac:dyDescent="0.2">
      <c r="B34611" s="1168"/>
    </row>
    <row r="34612" spans="2:2" s="221" customFormat="1" ht="12.75" x14ac:dyDescent="0.2">
      <c r="B34612" s="1168"/>
    </row>
    <row r="34613" spans="2:2" s="221" customFormat="1" ht="12.75" x14ac:dyDescent="0.2">
      <c r="B34613" s="1168"/>
    </row>
    <row r="34614" spans="2:2" s="221" customFormat="1" ht="12.75" x14ac:dyDescent="0.2">
      <c r="B34614" s="1168"/>
    </row>
    <row r="34615" spans="2:2" s="221" customFormat="1" ht="12.75" x14ac:dyDescent="0.2">
      <c r="B34615" s="1168"/>
    </row>
    <row r="34616" spans="2:2" s="221" customFormat="1" ht="12.75" x14ac:dyDescent="0.2">
      <c r="B34616" s="1168"/>
    </row>
    <row r="34617" spans="2:2" s="221" customFormat="1" ht="12.75" x14ac:dyDescent="0.2">
      <c r="B34617" s="1168"/>
    </row>
    <row r="34618" spans="2:2" s="221" customFormat="1" ht="12.75" x14ac:dyDescent="0.2">
      <c r="B34618" s="1168"/>
    </row>
    <row r="34619" spans="2:2" s="221" customFormat="1" ht="12.75" x14ac:dyDescent="0.2">
      <c r="B34619" s="1168"/>
    </row>
    <row r="34620" spans="2:2" s="221" customFormat="1" ht="12.75" x14ac:dyDescent="0.2">
      <c r="B34620" s="1168"/>
    </row>
    <row r="34621" spans="2:2" s="221" customFormat="1" ht="12.75" x14ac:dyDescent="0.2">
      <c r="B34621" s="1168"/>
    </row>
    <row r="34622" spans="2:2" s="221" customFormat="1" ht="12.75" x14ac:dyDescent="0.2">
      <c r="B34622" s="1168"/>
    </row>
    <row r="34623" spans="2:2" s="221" customFormat="1" ht="12.75" x14ac:dyDescent="0.2">
      <c r="B34623" s="1168"/>
    </row>
    <row r="34624" spans="2:2" s="221" customFormat="1" ht="12.75" x14ac:dyDescent="0.2">
      <c r="B34624" s="1168"/>
    </row>
    <row r="34625" spans="2:2" s="221" customFormat="1" ht="12.75" x14ac:dyDescent="0.2">
      <c r="B34625" s="1168"/>
    </row>
    <row r="34626" spans="2:2" s="221" customFormat="1" ht="12.75" x14ac:dyDescent="0.2">
      <c r="B34626" s="1168"/>
    </row>
    <row r="34627" spans="2:2" s="221" customFormat="1" ht="12.75" x14ac:dyDescent="0.2">
      <c r="B34627" s="1168"/>
    </row>
    <row r="34628" spans="2:2" s="221" customFormat="1" ht="12.75" x14ac:dyDescent="0.2">
      <c r="B34628" s="1168"/>
    </row>
    <row r="34629" spans="2:2" s="221" customFormat="1" ht="12.75" x14ac:dyDescent="0.2">
      <c r="B34629" s="1168"/>
    </row>
    <row r="34630" spans="2:2" s="221" customFormat="1" ht="12.75" x14ac:dyDescent="0.2">
      <c r="B34630" s="1168"/>
    </row>
    <row r="34631" spans="2:2" s="221" customFormat="1" ht="12.75" x14ac:dyDescent="0.2">
      <c r="B34631" s="1168"/>
    </row>
    <row r="34632" spans="2:2" s="221" customFormat="1" ht="12.75" x14ac:dyDescent="0.2">
      <c r="B34632" s="1168"/>
    </row>
    <row r="34633" spans="2:2" s="221" customFormat="1" ht="12.75" x14ac:dyDescent="0.2">
      <c r="B34633" s="1168"/>
    </row>
    <row r="34634" spans="2:2" s="221" customFormat="1" ht="12.75" x14ac:dyDescent="0.2">
      <c r="B34634" s="1168"/>
    </row>
    <row r="34635" spans="2:2" s="221" customFormat="1" ht="12.75" x14ac:dyDescent="0.2">
      <c r="B34635" s="1168"/>
    </row>
    <row r="34636" spans="2:2" s="221" customFormat="1" ht="12.75" x14ac:dyDescent="0.2">
      <c r="B34636" s="1168"/>
    </row>
    <row r="34637" spans="2:2" s="221" customFormat="1" ht="12.75" x14ac:dyDescent="0.2">
      <c r="B34637" s="1168"/>
    </row>
    <row r="34638" spans="2:2" s="221" customFormat="1" ht="12.75" x14ac:dyDescent="0.2">
      <c r="B34638" s="1168"/>
    </row>
    <row r="34639" spans="2:2" s="221" customFormat="1" ht="12.75" x14ac:dyDescent="0.2">
      <c r="B34639" s="1168"/>
    </row>
    <row r="34640" spans="2:2" s="221" customFormat="1" ht="12.75" x14ac:dyDescent="0.2">
      <c r="B34640" s="1168"/>
    </row>
    <row r="34641" spans="2:2" s="221" customFormat="1" ht="12.75" x14ac:dyDescent="0.2">
      <c r="B34641" s="1168"/>
    </row>
    <row r="34642" spans="2:2" s="221" customFormat="1" ht="12.75" x14ac:dyDescent="0.2">
      <c r="B34642" s="1168"/>
    </row>
    <row r="34643" spans="2:2" s="221" customFormat="1" ht="12.75" x14ac:dyDescent="0.2">
      <c r="B34643" s="1168"/>
    </row>
    <row r="34644" spans="2:2" s="221" customFormat="1" ht="12.75" x14ac:dyDescent="0.2">
      <c r="B34644" s="1168"/>
    </row>
    <row r="34645" spans="2:2" s="221" customFormat="1" ht="12.75" x14ac:dyDescent="0.2">
      <c r="B34645" s="1168"/>
    </row>
    <row r="34646" spans="2:2" s="221" customFormat="1" ht="12.75" x14ac:dyDescent="0.2">
      <c r="B34646" s="1168"/>
    </row>
    <row r="34647" spans="2:2" s="221" customFormat="1" ht="12.75" x14ac:dyDescent="0.2">
      <c r="B34647" s="1168"/>
    </row>
    <row r="34648" spans="2:2" s="221" customFormat="1" ht="12.75" x14ac:dyDescent="0.2">
      <c r="B34648" s="1168"/>
    </row>
    <row r="34649" spans="2:2" s="221" customFormat="1" ht="12.75" x14ac:dyDescent="0.2">
      <c r="B34649" s="1168"/>
    </row>
    <row r="34650" spans="2:2" s="221" customFormat="1" ht="12.75" x14ac:dyDescent="0.2">
      <c r="B34650" s="1168"/>
    </row>
    <row r="34651" spans="2:2" s="221" customFormat="1" ht="12.75" x14ac:dyDescent="0.2">
      <c r="B34651" s="1168"/>
    </row>
    <row r="34652" spans="2:2" s="221" customFormat="1" ht="12.75" x14ac:dyDescent="0.2">
      <c r="B34652" s="1168"/>
    </row>
    <row r="34653" spans="2:2" s="221" customFormat="1" ht="12.75" x14ac:dyDescent="0.2">
      <c r="B34653" s="1168"/>
    </row>
    <row r="34654" spans="2:2" s="221" customFormat="1" ht="12.75" x14ac:dyDescent="0.2">
      <c r="B34654" s="1168"/>
    </row>
    <row r="34655" spans="2:2" s="221" customFormat="1" ht="12.75" x14ac:dyDescent="0.2">
      <c r="B34655" s="1168"/>
    </row>
    <row r="34656" spans="2:2" s="221" customFormat="1" ht="12.75" x14ac:dyDescent="0.2">
      <c r="B34656" s="1168"/>
    </row>
    <row r="34657" spans="2:2" s="221" customFormat="1" ht="12.75" x14ac:dyDescent="0.2">
      <c r="B34657" s="1168"/>
    </row>
    <row r="34658" spans="2:2" s="221" customFormat="1" ht="12.75" x14ac:dyDescent="0.2">
      <c r="B34658" s="1168"/>
    </row>
    <row r="34659" spans="2:2" s="221" customFormat="1" ht="12.75" x14ac:dyDescent="0.2">
      <c r="B34659" s="1168"/>
    </row>
    <row r="34660" spans="2:2" s="221" customFormat="1" ht="12.75" x14ac:dyDescent="0.2">
      <c r="B34660" s="1168"/>
    </row>
    <row r="34661" spans="2:2" s="221" customFormat="1" ht="12.75" x14ac:dyDescent="0.2">
      <c r="B34661" s="1168"/>
    </row>
    <row r="34662" spans="2:2" s="221" customFormat="1" ht="12.75" x14ac:dyDescent="0.2">
      <c r="B34662" s="1168"/>
    </row>
    <row r="34663" spans="2:2" s="221" customFormat="1" ht="12.75" x14ac:dyDescent="0.2">
      <c r="B34663" s="1168"/>
    </row>
    <row r="34664" spans="2:2" s="221" customFormat="1" ht="12.75" x14ac:dyDescent="0.2">
      <c r="B34664" s="1168"/>
    </row>
    <row r="34665" spans="2:2" s="221" customFormat="1" ht="12.75" x14ac:dyDescent="0.2">
      <c r="B34665" s="1168"/>
    </row>
    <row r="34666" spans="2:2" s="221" customFormat="1" ht="12.75" x14ac:dyDescent="0.2">
      <c r="B34666" s="1168"/>
    </row>
    <row r="34667" spans="2:2" s="221" customFormat="1" ht="12.75" x14ac:dyDescent="0.2">
      <c r="B34667" s="1168"/>
    </row>
    <row r="34668" spans="2:2" s="221" customFormat="1" ht="12.75" x14ac:dyDescent="0.2">
      <c r="B34668" s="1168"/>
    </row>
    <row r="34669" spans="2:2" s="221" customFormat="1" ht="12.75" x14ac:dyDescent="0.2">
      <c r="B34669" s="1168"/>
    </row>
    <row r="34670" spans="2:2" s="221" customFormat="1" ht="12.75" x14ac:dyDescent="0.2">
      <c r="B34670" s="1168"/>
    </row>
    <row r="34671" spans="2:2" s="221" customFormat="1" ht="12.75" x14ac:dyDescent="0.2">
      <c r="B34671" s="1168"/>
    </row>
    <row r="34672" spans="2:2" s="221" customFormat="1" ht="12.75" x14ac:dyDescent="0.2">
      <c r="B34672" s="1168"/>
    </row>
    <row r="34673" spans="2:2" s="221" customFormat="1" ht="12.75" x14ac:dyDescent="0.2">
      <c r="B34673" s="1168"/>
    </row>
    <row r="34674" spans="2:2" s="221" customFormat="1" ht="12.75" x14ac:dyDescent="0.2">
      <c r="B34674" s="1168"/>
    </row>
    <row r="34675" spans="2:2" s="221" customFormat="1" ht="12.75" x14ac:dyDescent="0.2">
      <c r="B34675" s="1168"/>
    </row>
    <row r="34676" spans="2:2" s="221" customFormat="1" ht="12.75" x14ac:dyDescent="0.2">
      <c r="B34676" s="1168"/>
    </row>
    <row r="34677" spans="2:2" s="221" customFormat="1" ht="12.75" x14ac:dyDescent="0.2">
      <c r="B34677" s="1168"/>
    </row>
    <row r="34678" spans="2:2" s="221" customFormat="1" ht="12.75" x14ac:dyDescent="0.2">
      <c r="B34678" s="1168"/>
    </row>
    <row r="34679" spans="2:2" s="221" customFormat="1" ht="12.75" x14ac:dyDescent="0.2">
      <c r="B34679" s="1168"/>
    </row>
    <row r="34680" spans="2:2" s="221" customFormat="1" ht="12.75" x14ac:dyDescent="0.2">
      <c r="B34680" s="1168"/>
    </row>
    <row r="34681" spans="2:2" s="221" customFormat="1" ht="12.75" x14ac:dyDescent="0.2">
      <c r="B34681" s="1168"/>
    </row>
    <row r="34682" spans="2:2" s="221" customFormat="1" ht="12.75" x14ac:dyDescent="0.2">
      <c r="B34682" s="1168"/>
    </row>
    <row r="34683" spans="2:2" s="221" customFormat="1" ht="12.75" x14ac:dyDescent="0.2">
      <c r="B34683" s="1168"/>
    </row>
    <row r="34684" spans="2:2" s="221" customFormat="1" ht="12.75" x14ac:dyDescent="0.2">
      <c r="B34684" s="1168"/>
    </row>
    <row r="34685" spans="2:2" s="221" customFormat="1" ht="12.75" x14ac:dyDescent="0.2">
      <c r="B34685" s="1168"/>
    </row>
    <row r="34686" spans="2:2" s="221" customFormat="1" ht="12.75" x14ac:dyDescent="0.2">
      <c r="B34686" s="1168"/>
    </row>
    <row r="34687" spans="2:2" s="221" customFormat="1" ht="12.75" x14ac:dyDescent="0.2">
      <c r="B34687" s="1168"/>
    </row>
    <row r="34688" spans="2:2" s="221" customFormat="1" ht="12.75" x14ac:dyDescent="0.2">
      <c r="B34688" s="1168"/>
    </row>
    <row r="34689" spans="2:2" s="221" customFormat="1" ht="12.75" x14ac:dyDescent="0.2">
      <c r="B34689" s="1168"/>
    </row>
    <row r="34690" spans="2:2" s="221" customFormat="1" ht="12.75" x14ac:dyDescent="0.2">
      <c r="B34690" s="1168"/>
    </row>
    <row r="34691" spans="2:2" s="221" customFormat="1" ht="12.75" x14ac:dyDescent="0.2">
      <c r="B34691" s="1168"/>
    </row>
    <row r="34692" spans="2:2" s="221" customFormat="1" ht="12.75" x14ac:dyDescent="0.2">
      <c r="B34692" s="1168"/>
    </row>
    <row r="34693" spans="2:2" s="221" customFormat="1" ht="12.75" x14ac:dyDescent="0.2">
      <c r="B34693" s="1168"/>
    </row>
    <row r="34694" spans="2:2" s="221" customFormat="1" ht="12.75" x14ac:dyDescent="0.2">
      <c r="B34694" s="1168"/>
    </row>
    <row r="34695" spans="2:2" s="221" customFormat="1" ht="12.75" x14ac:dyDescent="0.2">
      <c r="B34695" s="1168"/>
    </row>
    <row r="34696" spans="2:2" s="221" customFormat="1" ht="12.75" x14ac:dyDescent="0.2">
      <c r="B34696" s="1168"/>
    </row>
    <row r="34697" spans="2:2" s="221" customFormat="1" ht="12.75" x14ac:dyDescent="0.2">
      <c r="B34697" s="1168"/>
    </row>
    <row r="34698" spans="2:2" s="221" customFormat="1" ht="12.75" x14ac:dyDescent="0.2">
      <c r="B34698" s="1168"/>
    </row>
    <row r="34699" spans="2:2" s="221" customFormat="1" ht="12.75" x14ac:dyDescent="0.2">
      <c r="B34699" s="1168"/>
    </row>
    <row r="34700" spans="2:2" s="221" customFormat="1" ht="12.75" x14ac:dyDescent="0.2">
      <c r="B34700" s="1168"/>
    </row>
    <row r="34701" spans="2:2" s="221" customFormat="1" ht="12.75" x14ac:dyDescent="0.2">
      <c r="B34701" s="1168"/>
    </row>
    <row r="34702" spans="2:2" s="221" customFormat="1" ht="12.75" x14ac:dyDescent="0.2">
      <c r="B34702" s="1168"/>
    </row>
    <row r="34703" spans="2:2" s="221" customFormat="1" ht="12.75" x14ac:dyDescent="0.2">
      <c r="B34703" s="1168"/>
    </row>
    <row r="34704" spans="2:2" s="221" customFormat="1" ht="12.75" x14ac:dyDescent="0.2">
      <c r="B34704" s="1168"/>
    </row>
    <row r="34705" spans="2:2" s="221" customFormat="1" ht="12.75" x14ac:dyDescent="0.2">
      <c r="B34705" s="1168"/>
    </row>
    <row r="34706" spans="2:2" s="221" customFormat="1" ht="12.75" x14ac:dyDescent="0.2">
      <c r="B34706" s="1168"/>
    </row>
    <row r="34707" spans="2:2" s="221" customFormat="1" ht="12.75" x14ac:dyDescent="0.2">
      <c r="B34707" s="1168"/>
    </row>
    <row r="34708" spans="2:2" s="221" customFormat="1" ht="12.75" x14ac:dyDescent="0.2">
      <c r="B34708" s="1168"/>
    </row>
    <row r="34709" spans="2:2" s="221" customFormat="1" ht="12.75" x14ac:dyDescent="0.2">
      <c r="B34709" s="1168"/>
    </row>
    <row r="34710" spans="2:2" s="221" customFormat="1" ht="12.75" x14ac:dyDescent="0.2">
      <c r="B34710" s="1168"/>
    </row>
    <row r="34711" spans="2:2" s="221" customFormat="1" ht="12.75" x14ac:dyDescent="0.2">
      <c r="B34711" s="1168"/>
    </row>
    <row r="34712" spans="2:2" s="221" customFormat="1" ht="12.75" x14ac:dyDescent="0.2">
      <c r="B34712" s="1168"/>
    </row>
    <row r="34713" spans="2:2" s="221" customFormat="1" ht="12.75" x14ac:dyDescent="0.2">
      <c r="B34713" s="1168"/>
    </row>
    <row r="34714" spans="2:2" s="221" customFormat="1" ht="12.75" x14ac:dyDescent="0.2">
      <c r="B34714" s="1168"/>
    </row>
    <row r="34715" spans="2:2" s="221" customFormat="1" ht="12.75" x14ac:dyDescent="0.2">
      <c r="B34715" s="1168"/>
    </row>
    <row r="34716" spans="2:2" s="221" customFormat="1" ht="12.75" x14ac:dyDescent="0.2">
      <c r="B34716" s="1168"/>
    </row>
    <row r="34717" spans="2:2" s="221" customFormat="1" ht="12.75" x14ac:dyDescent="0.2">
      <c r="B34717" s="1168"/>
    </row>
    <row r="34718" spans="2:2" s="221" customFormat="1" ht="12.75" x14ac:dyDescent="0.2">
      <c r="B34718" s="1168"/>
    </row>
    <row r="34719" spans="2:2" s="221" customFormat="1" ht="12.75" x14ac:dyDescent="0.2">
      <c r="B34719" s="1168"/>
    </row>
    <row r="34720" spans="2:2" s="221" customFormat="1" ht="12.75" x14ac:dyDescent="0.2">
      <c r="B34720" s="1168"/>
    </row>
    <row r="34721" spans="2:2" s="221" customFormat="1" ht="12.75" x14ac:dyDescent="0.2">
      <c r="B34721" s="1168"/>
    </row>
    <row r="34722" spans="2:2" s="221" customFormat="1" ht="12.75" x14ac:dyDescent="0.2">
      <c r="B34722" s="1168"/>
    </row>
    <row r="34723" spans="2:2" s="221" customFormat="1" ht="12.75" x14ac:dyDescent="0.2">
      <c r="B34723" s="1168"/>
    </row>
    <row r="34724" spans="2:2" s="221" customFormat="1" ht="12.75" x14ac:dyDescent="0.2">
      <c r="B34724" s="1168"/>
    </row>
    <row r="34725" spans="2:2" s="221" customFormat="1" ht="12.75" x14ac:dyDescent="0.2">
      <c r="B34725" s="1168"/>
    </row>
    <row r="34726" spans="2:2" s="221" customFormat="1" ht="12.75" x14ac:dyDescent="0.2">
      <c r="B34726" s="1168"/>
    </row>
    <row r="34727" spans="2:2" s="221" customFormat="1" ht="12.75" x14ac:dyDescent="0.2">
      <c r="B34727" s="1168"/>
    </row>
    <row r="34728" spans="2:2" s="221" customFormat="1" ht="12.75" x14ac:dyDescent="0.2">
      <c r="B34728" s="1168"/>
    </row>
    <row r="34729" spans="2:2" s="221" customFormat="1" ht="12.75" x14ac:dyDescent="0.2">
      <c r="B34729" s="1168"/>
    </row>
    <row r="34730" spans="2:2" s="221" customFormat="1" ht="12.75" x14ac:dyDescent="0.2">
      <c r="B34730" s="1168"/>
    </row>
    <row r="34731" spans="2:2" s="221" customFormat="1" ht="12.75" x14ac:dyDescent="0.2">
      <c r="B34731" s="1168"/>
    </row>
    <row r="34732" spans="2:2" s="221" customFormat="1" ht="12.75" x14ac:dyDescent="0.2">
      <c r="B34732" s="1168"/>
    </row>
    <row r="34733" spans="2:2" s="221" customFormat="1" ht="12.75" x14ac:dyDescent="0.2">
      <c r="B34733" s="1168"/>
    </row>
    <row r="34734" spans="2:2" s="221" customFormat="1" ht="12.75" x14ac:dyDescent="0.2">
      <c r="B34734" s="1168"/>
    </row>
    <row r="34735" spans="2:2" s="221" customFormat="1" ht="12.75" x14ac:dyDescent="0.2">
      <c r="B34735" s="1168"/>
    </row>
    <row r="34736" spans="2:2" s="221" customFormat="1" ht="12.75" x14ac:dyDescent="0.2">
      <c r="B34736" s="1168"/>
    </row>
    <row r="34737" spans="2:2" s="221" customFormat="1" ht="12.75" x14ac:dyDescent="0.2">
      <c r="B34737" s="1168"/>
    </row>
    <row r="34738" spans="2:2" s="221" customFormat="1" ht="12.75" x14ac:dyDescent="0.2">
      <c r="B34738" s="1168"/>
    </row>
    <row r="34739" spans="2:2" s="221" customFormat="1" ht="12.75" x14ac:dyDescent="0.2">
      <c r="B34739" s="1168"/>
    </row>
    <row r="34740" spans="2:2" s="221" customFormat="1" ht="12.75" x14ac:dyDescent="0.2">
      <c r="B34740" s="1168"/>
    </row>
    <row r="34741" spans="2:2" s="221" customFormat="1" ht="12.75" x14ac:dyDescent="0.2">
      <c r="B34741" s="1168"/>
    </row>
    <row r="34742" spans="2:2" s="221" customFormat="1" ht="12.75" x14ac:dyDescent="0.2">
      <c r="B34742" s="1168"/>
    </row>
    <row r="34743" spans="2:2" s="221" customFormat="1" ht="12.75" x14ac:dyDescent="0.2">
      <c r="B34743" s="1168"/>
    </row>
    <row r="34744" spans="2:2" s="221" customFormat="1" ht="12.75" x14ac:dyDescent="0.2">
      <c r="B34744" s="1168"/>
    </row>
    <row r="34745" spans="2:2" s="221" customFormat="1" ht="12.75" x14ac:dyDescent="0.2">
      <c r="B34745" s="1168"/>
    </row>
    <row r="34746" spans="2:2" s="221" customFormat="1" ht="12.75" x14ac:dyDescent="0.2">
      <c r="B34746" s="1168"/>
    </row>
    <row r="34747" spans="2:2" s="221" customFormat="1" ht="12.75" x14ac:dyDescent="0.2">
      <c r="B34747" s="1168"/>
    </row>
    <row r="34748" spans="2:2" s="221" customFormat="1" ht="12.75" x14ac:dyDescent="0.2">
      <c r="B34748" s="1168"/>
    </row>
    <row r="34749" spans="2:2" s="221" customFormat="1" ht="12.75" x14ac:dyDescent="0.2">
      <c r="B34749" s="1168"/>
    </row>
    <row r="34750" spans="2:2" s="221" customFormat="1" ht="12.75" x14ac:dyDescent="0.2">
      <c r="B34750" s="1168"/>
    </row>
    <row r="34751" spans="2:2" s="221" customFormat="1" ht="12.75" x14ac:dyDescent="0.2">
      <c r="B34751" s="1168"/>
    </row>
    <row r="34752" spans="2:2" s="221" customFormat="1" ht="12.75" x14ac:dyDescent="0.2">
      <c r="B34752" s="1168"/>
    </row>
    <row r="34753" spans="2:2" s="221" customFormat="1" ht="12.75" x14ac:dyDescent="0.2">
      <c r="B34753" s="1168"/>
    </row>
    <row r="34754" spans="2:2" s="221" customFormat="1" ht="12.75" x14ac:dyDescent="0.2">
      <c r="B34754" s="1168"/>
    </row>
    <row r="34755" spans="2:2" s="221" customFormat="1" ht="12.75" x14ac:dyDescent="0.2">
      <c r="B34755" s="1168"/>
    </row>
    <row r="34756" spans="2:2" s="221" customFormat="1" ht="12.75" x14ac:dyDescent="0.2">
      <c r="B34756" s="1168"/>
    </row>
    <row r="34757" spans="2:2" s="221" customFormat="1" ht="12.75" x14ac:dyDescent="0.2">
      <c r="B34757" s="1168"/>
    </row>
    <row r="34758" spans="2:2" s="221" customFormat="1" ht="12.75" x14ac:dyDescent="0.2">
      <c r="B34758" s="1168"/>
    </row>
    <row r="34759" spans="2:2" s="221" customFormat="1" ht="12.75" x14ac:dyDescent="0.2">
      <c r="B34759" s="1168"/>
    </row>
    <row r="34760" spans="2:2" s="221" customFormat="1" ht="12.75" x14ac:dyDescent="0.2">
      <c r="B34760" s="1168"/>
    </row>
    <row r="34761" spans="2:2" s="221" customFormat="1" ht="12.75" x14ac:dyDescent="0.2">
      <c r="B34761" s="1168"/>
    </row>
    <row r="34762" spans="2:2" s="221" customFormat="1" ht="12.75" x14ac:dyDescent="0.2">
      <c r="B34762" s="1168"/>
    </row>
    <row r="34763" spans="2:2" s="221" customFormat="1" ht="12.75" x14ac:dyDescent="0.2">
      <c r="B34763" s="1168"/>
    </row>
    <row r="34764" spans="2:2" s="221" customFormat="1" ht="12.75" x14ac:dyDescent="0.2">
      <c r="B34764" s="1168"/>
    </row>
    <row r="34765" spans="2:2" s="221" customFormat="1" ht="12.75" x14ac:dyDescent="0.2">
      <c r="B34765" s="1168"/>
    </row>
    <row r="34766" spans="2:2" s="221" customFormat="1" ht="12.75" x14ac:dyDescent="0.2">
      <c r="B34766" s="1168"/>
    </row>
    <row r="34767" spans="2:2" s="221" customFormat="1" ht="12.75" x14ac:dyDescent="0.2">
      <c r="B34767" s="1168"/>
    </row>
    <row r="34768" spans="2:2" s="221" customFormat="1" ht="12.75" x14ac:dyDescent="0.2">
      <c r="B34768" s="1168"/>
    </row>
    <row r="34769" spans="2:2" s="221" customFormat="1" ht="12.75" x14ac:dyDescent="0.2">
      <c r="B34769" s="1168"/>
    </row>
    <row r="34770" spans="2:2" s="221" customFormat="1" ht="12.75" x14ac:dyDescent="0.2">
      <c r="B34770" s="1168"/>
    </row>
    <row r="34771" spans="2:2" s="221" customFormat="1" ht="12.75" x14ac:dyDescent="0.2">
      <c r="B34771" s="1168"/>
    </row>
    <row r="34772" spans="2:2" s="221" customFormat="1" ht="12.75" x14ac:dyDescent="0.2">
      <c r="B34772" s="1168"/>
    </row>
    <row r="34773" spans="2:2" s="221" customFormat="1" ht="12.75" x14ac:dyDescent="0.2">
      <c r="B34773" s="1168"/>
    </row>
    <row r="34774" spans="2:2" s="221" customFormat="1" ht="12.75" x14ac:dyDescent="0.2">
      <c r="B34774" s="1168"/>
    </row>
    <row r="34775" spans="2:2" s="221" customFormat="1" ht="12.75" x14ac:dyDescent="0.2">
      <c r="B34775" s="1168"/>
    </row>
    <row r="34776" spans="2:2" s="221" customFormat="1" ht="12.75" x14ac:dyDescent="0.2">
      <c r="B34776" s="1168"/>
    </row>
    <row r="34777" spans="2:2" s="221" customFormat="1" ht="12.75" x14ac:dyDescent="0.2">
      <c r="B34777" s="1168"/>
    </row>
    <row r="34778" spans="2:2" s="221" customFormat="1" ht="12.75" x14ac:dyDescent="0.2">
      <c r="B34778" s="1168"/>
    </row>
    <row r="34779" spans="2:2" s="221" customFormat="1" ht="12.75" x14ac:dyDescent="0.2">
      <c r="B34779" s="1168"/>
    </row>
    <row r="34780" spans="2:2" s="221" customFormat="1" ht="12.75" x14ac:dyDescent="0.2">
      <c r="B34780" s="1168"/>
    </row>
    <row r="34781" spans="2:2" s="221" customFormat="1" ht="12.75" x14ac:dyDescent="0.2">
      <c r="B34781" s="1168"/>
    </row>
    <row r="34782" spans="2:2" s="221" customFormat="1" ht="12.75" x14ac:dyDescent="0.2">
      <c r="B34782" s="1168"/>
    </row>
    <row r="34783" spans="2:2" s="221" customFormat="1" ht="12.75" x14ac:dyDescent="0.2">
      <c r="B34783" s="1168"/>
    </row>
    <row r="34784" spans="2:2" s="221" customFormat="1" ht="12.75" x14ac:dyDescent="0.2">
      <c r="B34784" s="1168"/>
    </row>
    <row r="34785" spans="2:2" s="221" customFormat="1" ht="12.75" x14ac:dyDescent="0.2">
      <c r="B34785" s="1168"/>
    </row>
    <row r="34786" spans="2:2" s="221" customFormat="1" ht="12.75" x14ac:dyDescent="0.2">
      <c r="B34786" s="1168"/>
    </row>
    <row r="34787" spans="2:2" s="221" customFormat="1" ht="12.75" x14ac:dyDescent="0.2">
      <c r="B34787" s="1168"/>
    </row>
    <row r="34788" spans="2:2" s="221" customFormat="1" ht="12.75" x14ac:dyDescent="0.2">
      <c r="B34788" s="1168"/>
    </row>
    <row r="34789" spans="2:2" s="221" customFormat="1" ht="12.75" x14ac:dyDescent="0.2">
      <c r="B34789" s="1168"/>
    </row>
    <row r="34790" spans="2:2" s="221" customFormat="1" ht="12.75" x14ac:dyDescent="0.2">
      <c r="B34790" s="1168"/>
    </row>
    <row r="34791" spans="2:2" s="221" customFormat="1" ht="12.75" x14ac:dyDescent="0.2">
      <c r="B34791" s="1168"/>
    </row>
    <row r="34792" spans="2:2" s="221" customFormat="1" ht="12.75" x14ac:dyDescent="0.2">
      <c r="B34792" s="1168"/>
    </row>
    <row r="34793" spans="2:2" s="221" customFormat="1" ht="12.75" x14ac:dyDescent="0.2">
      <c r="B34793" s="1168"/>
    </row>
    <row r="34794" spans="2:2" s="221" customFormat="1" ht="12.75" x14ac:dyDescent="0.2">
      <c r="B34794" s="1168"/>
    </row>
    <row r="34795" spans="2:2" s="221" customFormat="1" ht="12.75" x14ac:dyDescent="0.2">
      <c r="B34795" s="1168"/>
    </row>
    <row r="34796" spans="2:2" s="221" customFormat="1" ht="12.75" x14ac:dyDescent="0.2">
      <c r="B34796" s="1168"/>
    </row>
    <row r="34797" spans="2:2" s="221" customFormat="1" ht="12.75" x14ac:dyDescent="0.2">
      <c r="B34797" s="1168"/>
    </row>
    <row r="34798" spans="2:2" s="221" customFormat="1" ht="12.75" x14ac:dyDescent="0.2">
      <c r="B34798" s="1168"/>
    </row>
    <row r="34799" spans="2:2" s="221" customFormat="1" ht="12.75" x14ac:dyDescent="0.2">
      <c r="B34799" s="1168"/>
    </row>
    <row r="34800" spans="2:2" s="221" customFormat="1" ht="12.75" x14ac:dyDescent="0.2">
      <c r="B34800" s="1168"/>
    </row>
    <row r="34801" spans="2:2" s="221" customFormat="1" ht="12.75" x14ac:dyDescent="0.2">
      <c r="B34801" s="1168"/>
    </row>
    <row r="34802" spans="2:2" s="221" customFormat="1" ht="12.75" x14ac:dyDescent="0.2">
      <c r="B34802" s="1168"/>
    </row>
    <row r="34803" spans="2:2" s="221" customFormat="1" ht="12.75" x14ac:dyDescent="0.2">
      <c r="B34803" s="1168"/>
    </row>
    <row r="34804" spans="2:2" s="221" customFormat="1" ht="12.75" x14ac:dyDescent="0.2">
      <c r="B34804" s="1168"/>
    </row>
    <row r="34805" spans="2:2" s="221" customFormat="1" ht="12.75" x14ac:dyDescent="0.2">
      <c r="B34805" s="1168"/>
    </row>
    <row r="34806" spans="2:2" s="221" customFormat="1" ht="12.75" x14ac:dyDescent="0.2">
      <c r="B34806" s="1168"/>
    </row>
    <row r="34807" spans="2:2" s="221" customFormat="1" ht="12.75" x14ac:dyDescent="0.2">
      <c r="B34807" s="1168"/>
    </row>
    <row r="34808" spans="2:2" s="221" customFormat="1" ht="12.75" x14ac:dyDescent="0.2">
      <c r="B34808" s="1168"/>
    </row>
    <row r="34809" spans="2:2" s="221" customFormat="1" ht="12.75" x14ac:dyDescent="0.2">
      <c r="B34809" s="1168"/>
    </row>
    <row r="34810" spans="2:2" s="221" customFormat="1" ht="12.75" x14ac:dyDescent="0.2">
      <c r="B34810" s="1168"/>
    </row>
    <row r="34811" spans="2:2" s="221" customFormat="1" ht="12.75" x14ac:dyDescent="0.2">
      <c r="B34811" s="1168"/>
    </row>
    <row r="34812" spans="2:2" s="221" customFormat="1" ht="12.75" x14ac:dyDescent="0.2">
      <c r="B34812" s="1168"/>
    </row>
    <row r="34813" spans="2:2" s="221" customFormat="1" ht="12.75" x14ac:dyDescent="0.2">
      <c r="B34813" s="1168"/>
    </row>
    <row r="34814" spans="2:2" s="221" customFormat="1" ht="12.75" x14ac:dyDescent="0.2">
      <c r="B34814" s="1168"/>
    </row>
    <row r="34815" spans="2:2" s="221" customFormat="1" ht="12.75" x14ac:dyDescent="0.2">
      <c r="B34815" s="1168"/>
    </row>
    <row r="34816" spans="2:2" s="221" customFormat="1" ht="12.75" x14ac:dyDescent="0.2">
      <c r="B34816" s="1168"/>
    </row>
    <row r="34817" spans="2:2" s="221" customFormat="1" ht="12.75" x14ac:dyDescent="0.2">
      <c r="B34817" s="1168"/>
    </row>
    <row r="34818" spans="2:2" s="221" customFormat="1" ht="12.75" x14ac:dyDescent="0.2">
      <c r="B34818" s="1168"/>
    </row>
    <row r="34819" spans="2:2" s="221" customFormat="1" ht="12.75" x14ac:dyDescent="0.2">
      <c r="B34819" s="1168"/>
    </row>
    <row r="34820" spans="2:2" s="221" customFormat="1" ht="12.75" x14ac:dyDescent="0.2">
      <c r="B34820" s="1168"/>
    </row>
    <row r="34821" spans="2:2" s="221" customFormat="1" ht="12.75" x14ac:dyDescent="0.2">
      <c r="B34821" s="1168"/>
    </row>
    <row r="34822" spans="2:2" s="221" customFormat="1" ht="12.75" x14ac:dyDescent="0.2">
      <c r="B34822" s="1168"/>
    </row>
    <row r="34823" spans="2:2" s="221" customFormat="1" ht="12.75" x14ac:dyDescent="0.2">
      <c r="B34823" s="1168"/>
    </row>
    <row r="34824" spans="2:2" s="221" customFormat="1" ht="12.75" x14ac:dyDescent="0.2">
      <c r="B34824" s="1168"/>
    </row>
    <row r="34825" spans="2:2" s="221" customFormat="1" ht="12.75" x14ac:dyDescent="0.2">
      <c r="B34825" s="1168"/>
    </row>
    <row r="34826" spans="2:2" s="221" customFormat="1" ht="12.75" x14ac:dyDescent="0.2">
      <c r="B34826" s="1168"/>
    </row>
    <row r="34827" spans="2:2" s="221" customFormat="1" ht="12.75" x14ac:dyDescent="0.2">
      <c r="B34827" s="1168"/>
    </row>
    <row r="34828" spans="2:2" s="221" customFormat="1" ht="12.75" x14ac:dyDescent="0.2">
      <c r="B34828" s="1168"/>
    </row>
    <row r="34829" spans="2:2" s="221" customFormat="1" ht="12.75" x14ac:dyDescent="0.2">
      <c r="B34829" s="1168"/>
    </row>
    <row r="34830" spans="2:2" s="221" customFormat="1" ht="12.75" x14ac:dyDescent="0.2">
      <c r="B34830" s="1168"/>
    </row>
    <row r="34831" spans="2:2" s="221" customFormat="1" ht="12.75" x14ac:dyDescent="0.2">
      <c r="B34831" s="1168"/>
    </row>
    <row r="34832" spans="2:2" s="221" customFormat="1" ht="12.75" x14ac:dyDescent="0.2">
      <c r="B34832" s="1168"/>
    </row>
    <row r="34833" spans="2:2" s="221" customFormat="1" ht="12.75" x14ac:dyDescent="0.2">
      <c r="B34833" s="1168"/>
    </row>
    <row r="34834" spans="2:2" s="221" customFormat="1" ht="12.75" x14ac:dyDescent="0.2">
      <c r="B34834" s="1168"/>
    </row>
    <row r="34835" spans="2:2" s="221" customFormat="1" ht="12.75" x14ac:dyDescent="0.2">
      <c r="B34835" s="1168"/>
    </row>
    <row r="34836" spans="2:2" s="221" customFormat="1" ht="12.75" x14ac:dyDescent="0.2">
      <c r="B34836" s="1168"/>
    </row>
    <row r="34837" spans="2:2" s="221" customFormat="1" ht="12.75" x14ac:dyDescent="0.2">
      <c r="B34837" s="1168"/>
    </row>
    <row r="34838" spans="2:2" s="221" customFormat="1" ht="12.75" x14ac:dyDescent="0.2">
      <c r="B34838" s="1168"/>
    </row>
    <row r="34839" spans="2:2" s="221" customFormat="1" ht="12.75" x14ac:dyDescent="0.2">
      <c r="B34839" s="1168"/>
    </row>
    <row r="34840" spans="2:2" s="221" customFormat="1" ht="12.75" x14ac:dyDescent="0.2">
      <c r="B34840" s="1168"/>
    </row>
    <row r="34841" spans="2:2" s="221" customFormat="1" ht="12.75" x14ac:dyDescent="0.2">
      <c r="B34841" s="1168"/>
    </row>
    <row r="34842" spans="2:2" s="221" customFormat="1" ht="12.75" x14ac:dyDescent="0.2">
      <c r="B34842" s="1168"/>
    </row>
    <row r="34843" spans="2:2" s="221" customFormat="1" ht="12.75" x14ac:dyDescent="0.2">
      <c r="B34843" s="1168"/>
    </row>
    <row r="34844" spans="2:2" s="221" customFormat="1" ht="12.75" x14ac:dyDescent="0.2">
      <c r="B34844" s="1168"/>
    </row>
    <row r="34845" spans="2:2" s="221" customFormat="1" ht="12.75" x14ac:dyDescent="0.2">
      <c r="B34845" s="1168"/>
    </row>
    <row r="34846" spans="2:2" s="221" customFormat="1" ht="12.75" x14ac:dyDescent="0.2">
      <c r="B34846" s="1168"/>
    </row>
    <row r="34847" spans="2:2" s="221" customFormat="1" ht="12.75" x14ac:dyDescent="0.2">
      <c r="B34847" s="1168"/>
    </row>
    <row r="34848" spans="2:2" s="221" customFormat="1" ht="12.75" x14ac:dyDescent="0.2">
      <c r="B34848" s="1168"/>
    </row>
    <row r="34849" spans="2:2" s="221" customFormat="1" ht="12.75" x14ac:dyDescent="0.2">
      <c r="B34849" s="1168"/>
    </row>
    <row r="34850" spans="2:2" s="221" customFormat="1" ht="12.75" x14ac:dyDescent="0.2">
      <c r="B34850" s="1168"/>
    </row>
    <row r="34851" spans="2:2" s="221" customFormat="1" ht="12.75" x14ac:dyDescent="0.2">
      <c r="B34851" s="1168"/>
    </row>
    <row r="34852" spans="2:2" s="221" customFormat="1" ht="12.75" x14ac:dyDescent="0.2">
      <c r="B34852" s="1168"/>
    </row>
    <row r="34853" spans="2:2" s="221" customFormat="1" ht="12.75" x14ac:dyDescent="0.2">
      <c r="B34853" s="1168"/>
    </row>
    <row r="34854" spans="2:2" s="221" customFormat="1" ht="12.75" x14ac:dyDescent="0.2">
      <c r="B34854" s="1168"/>
    </row>
    <row r="34855" spans="2:2" s="221" customFormat="1" ht="12.75" x14ac:dyDescent="0.2">
      <c r="B34855" s="1168"/>
    </row>
    <row r="34856" spans="2:2" s="221" customFormat="1" ht="12.75" x14ac:dyDescent="0.2">
      <c r="B34856" s="1168"/>
    </row>
    <row r="34857" spans="2:2" s="221" customFormat="1" ht="12.75" x14ac:dyDescent="0.2">
      <c r="B34857" s="1168"/>
    </row>
    <row r="34858" spans="2:2" s="221" customFormat="1" ht="12.75" x14ac:dyDescent="0.2">
      <c r="B34858" s="1168"/>
    </row>
    <row r="34859" spans="2:2" s="221" customFormat="1" ht="12.75" x14ac:dyDescent="0.2">
      <c r="B34859" s="1168"/>
    </row>
    <row r="34860" spans="2:2" s="221" customFormat="1" ht="12.75" x14ac:dyDescent="0.2">
      <c r="B34860" s="1168"/>
    </row>
    <row r="34861" spans="2:2" s="221" customFormat="1" ht="12.75" x14ac:dyDescent="0.2">
      <c r="B34861" s="1168"/>
    </row>
    <row r="34862" spans="2:2" s="221" customFormat="1" ht="12.75" x14ac:dyDescent="0.2">
      <c r="B34862" s="1168"/>
    </row>
    <row r="34863" spans="2:2" s="221" customFormat="1" ht="12.75" x14ac:dyDescent="0.2">
      <c r="B34863" s="1168"/>
    </row>
    <row r="34864" spans="2:2" s="221" customFormat="1" ht="12.75" x14ac:dyDescent="0.2">
      <c r="B34864" s="1168"/>
    </row>
    <row r="34865" spans="2:2" s="221" customFormat="1" ht="12.75" x14ac:dyDescent="0.2">
      <c r="B34865" s="1168"/>
    </row>
    <row r="34866" spans="2:2" s="221" customFormat="1" ht="12.75" x14ac:dyDescent="0.2">
      <c r="B34866" s="1168"/>
    </row>
    <row r="34867" spans="2:2" s="221" customFormat="1" ht="12.75" x14ac:dyDescent="0.2">
      <c r="B34867" s="1168"/>
    </row>
    <row r="34868" spans="2:2" s="221" customFormat="1" ht="12.75" x14ac:dyDescent="0.2">
      <c r="B34868" s="1168"/>
    </row>
    <row r="34869" spans="2:2" s="221" customFormat="1" ht="12.75" x14ac:dyDescent="0.2">
      <c r="B34869" s="1168"/>
    </row>
    <row r="34870" spans="2:2" s="221" customFormat="1" ht="12.75" x14ac:dyDescent="0.2">
      <c r="B34870" s="1168"/>
    </row>
    <row r="34871" spans="2:2" s="221" customFormat="1" ht="12.75" x14ac:dyDescent="0.2">
      <c r="B34871" s="1168"/>
    </row>
    <row r="34872" spans="2:2" s="221" customFormat="1" ht="12.75" x14ac:dyDescent="0.2">
      <c r="B34872" s="1168"/>
    </row>
    <row r="34873" spans="2:2" s="221" customFormat="1" ht="12.75" x14ac:dyDescent="0.2">
      <c r="B34873" s="1168"/>
    </row>
    <row r="34874" spans="2:2" s="221" customFormat="1" ht="12.75" x14ac:dyDescent="0.2">
      <c r="B34874" s="1168"/>
    </row>
    <row r="34875" spans="2:2" s="221" customFormat="1" ht="12.75" x14ac:dyDescent="0.2">
      <c r="B34875" s="1168"/>
    </row>
    <row r="34876" spans="2:2" s="221" customFormat="1" ht="12.75" x14ac:dyDescent="0.2">
      <c r="B34876" s="1168"/>
    </row>
    <row r="34877" spans="2:2" s="221" customFormat="1" ht="12.75" x14ac:dyDescent="0.2">
      <c r="B34877" s="1168"/>
    </row>
    <row r="34878" spans="2:2" s="221" customFormat="1" ht="12.75" x14ac:dyDescent="0.2">
      <c r="B34878" s="1168"/>
    </row>
    <row r="34879" spans="2:2" s="221" customFormat="1" ht="12.75" x14ac:dyDescent="0.2">
      <c r="B34879" s="1168"/>
    </row>
    <row r="34880" spans="2:2" s="221" customFormat="1" ht="12.75" x14ac:dyDescent="0.2">
      <c r="B34880" s="1168"/>
    </row>
    <row r="34881" spans="2:2" s="221" customFormat="1" ht="12.75" x14ac:dyDescent="0.2">
      <c r="B34881" s="1168"/>
    </row>
    <row r="34882" spans="2:2" s="221" customFormat="1" ht="12.75" x14ac:dyDescent="0.2">
      <c r="B34882" s="1168"/>
    </row>
    <row r="34883" spans="2:2" s="221" customFormat="1" ht="12.75" x14ac:dyDescent="0.2">
      <c r="B34883" s="1168"/>
    </row>
    <row r="34884" spans="2:2" s="221" customFormat="1" ht="12.75" x14ac:dyDescent="0.2">
      <c r="B34884" s="1168"/>
    </row>
    <row r="34885" spans="2:2" s="221" customFormat="1" ht="12.75" x14ac:dyDescent="0.2">
      <c r="B34885" s="1168"/>
    </row>
    <row r="34886" spans="2:2" s="221" customFormat="1" ht="12.75" x14ac:dyDescent="0.2">
      <c r="B34886" s="1168"/>
    </row>
    <row r="34887" spans="2:2" s="221" customFormat="1" ht="12.75" x14ac:dyDescent="0.2">
      <c r="B34887" s="1168"/>
    </row>
    <row r="34888" spans="2:2" s="221" customFormat="1" ht="12.75" x14ac:dyDescent="0.2">
      <c r="B34888" s="1168"/>
    </row>
    <row r="34889" spans="2:2" s="221" customFormat="1" ht="12.75" x14ac:dyDescent="0.2">
      <c r="B34889" s="1168"/>
    </row>
    <row r="34890" spans="2:2" s="221" customFormat="1" ht="12.75" x14ac:dyDescent="0.2">
      <c r="B34890" s="1168"/>
    </row>
    <row r="34891" spans="2:2" s="221" customFormat="1" ht="12.75" x14ac:dyDescent="0.2">
      <c r="B34891" s="1168"/>
    </row>
    <row r="34892" spans="2:2" s="221" customFormat="1" ht="12.75" x14ac:dyDescent="0.2">
      <c r="B34892" s="1168"/>
    </row>
    <row r="34893" spans="2:2" s="221" customFormat="1" ht="12.75" x14ac:dyDescent="0.2">
      <c r="B34893" s="1168"/>
    </row>
    <row r="34894" spans="2:2" s="221" customFormat="1" ht="12.75" x14ac:dyDescent="0.2">
      <c r="B34894" s="1168"/>
    </row>
    <row r="34895" spans="2:2" s="221" customFormat="1" ht="12.75" x14ac:dyDescent="0.2">
      <c r="B34895" s="1168"/>
    </row>
    <row r="34896" spans="2:2" s="221" customFormat="1" ht="12.75" x14ac:dyDescent="0.2">
      <c r="B34896" s="1168"/>
    </row>
    <row r="34897" spans="2:2" s="221" customFormat="1" ht="12.75" x14ac:dyDescent="0.2">
      <c r="B34897" s="1168"/>
    </row>
    <row r="34898" spans="2:2" s="221" customFormat="1" ht="12.75" x14ac:dyDescent="0.2">
      <c r="B34898" s="1168"/>
    </row>
    <row r="34899" spans="2:2" s="221" customFormat="1" ht="12.75" x14ac:dyDescent="0.2">
      <c r="B34899" s="1168"/>
    </row>
    <row r="34900" spans="2:2" s="221" customFormat="1" ht="12.75" x14ac:dyDescent="0.2">
      <c r="B34900" s="1168"/>
    </row>
    <row r="34901" spans="2:2" s="221" customFormat="1" ht="12.75" x14ac:dyDescent="0.2">
      <c r="B34901" s="1168"/>
    </row>
    <row r="34902" spans="2:2" s="221" customFormat="1" ht="12.75" x14ac:dyDescent="0.2">
      <c r="B34902" s="1168"/>
    </row>
    <row r="34903" spans="2:2" s="221" customFormat="1" ht="12.75" x14ac:dyDescent="0.2">
      <c r="B34903" s="1168"/>
    </row>
    <row r="34904" spans="2:2" s="221" customFormat="1" ht="12.75" x14ac:dyDescent="0.2">
      <c r="B34904" s="1168"/>
    </row>
    <row r="34905" spans="2:2" s="221" customFormat="1" ht="12.75" x14ac:dyDescent="0.2">
      <c r="B34905" s="1168"/>
    </row>
    <row r="34906" spans="2:2" s="221" customFormat="1" ht="12.75" x14ac:dyDescent="0.2">
      <c r="B34906" s="1168"/>
    </row>
    <row r="34907" spans="2:2" s="221" customFormat="1" ht="12.75" x14ac:dyDescent="0.2">
      <c r="B34907" s="1168"/>
    </row>
    <row r="34908" spans="2:2" s="221" customFormat="1" ht="12.75" x14ac:dyDescent="0.2">
      <c r="B34908" s="1168"/>
    </row>
    <row r="34909" spans="2:2" s="221" customFormat="1" ht="12.75" x14ac:dyDescent="0.2">
      <c r="B34909" s="1168"/>
    </row>
    <row r="34910" spans="2:2" s="221" customFormat="1" ht="12.75" x14ac:dyDescent="0.2">
      <c r="B34910" s="1168"/>
    </row>
    <row r="34911" spans="2:2" s="221" customFormat="1" ht="12.75" x14ac:dyDescent="0.2">
      <c r="B34911" s="1168"/>
    </row>
    <row r="34912" spans="2:2" s="221" customFormat="1" ht="12.75" x14ac:dyDescent="0.2">
      <c r="B34912" s="1168"/>
    </row>
    <row r="34913" spans="2:2" s="221" customFormat="1" ht="12.75" x14ac:dyDescent="0.2">
      <c r="B34913" s="1168"/>
    </row>
    <row r="34914" spans="2:2" s="221" customFormat="1" ht="12.75" x14ac:dyDescent="0.2">
      <c r="B34914" s="1168"/>
    </row>
    <row r="34915" spans="2:2" s="221" customFormat="1" ht="12.75" x14ac:dyDescent="0.2">
      <c r="B34915" s="1168"/>
    </row>
    <row r="34916" spans="2:2" s="221" customFormat="1" ht="12.75" x14ac:dyDescent="0.2">
      <c r="B34916" s="1168"/>
    </row>
    <row r="34917" spans="2:2" s="221" customFormat="1" ht="12.75" x14ac:dyDescent="0.2">
      <c r="B34917" s="1168"/>
    </row>
    <row r="34918" spans="2:2" s="221" customFormat="1" ht="12.75" x14ac:dyDescent="0.2">
      <c r="B34918" s="1168"/>
    </row>
    <row r="34919" spans="2:2" s="221" customFormat="1" ht="12.75" x14ac:dyDescent="0.2">
      <c r="B34919" s="1168"/>
    </row>
    <row r="34920" spans="2:2" s="221" customFormat="1" ht="12.75" x14ac:dyDescent="0.2">
      <c r="B34920" s="1168"/>
    </row>
    <row r="34921" spans="2:2" s="221" customFormat="1" ht="12.75" x14ac:dyDescent="0.2">
      <c r="B34921" s="1168"/>
    </row>
    <row r="34922" spans="2:2" s="221" customFormat="1" ht="12.75" x14ac:dyDescent="0.2">
      <c r="B34922" s="1168"/>
    </row>
    <row r="34923" spans="2:2" s="221" customFormat="1" ht="12.75" x14ac:dyDescent="0.2">
      <c r="B34923" s="1168"/>
    </row>
    <row r="34924" spans="2:2" s="221" customFormat="1" ht="12.75" x14ac:dyDescent="0.2">
      <c r="B34924" s="1168"/>
    </row>
    <row r="34925" spans="2:2" s="221" customFormat="1" ht="12.75" x14ac:dyDescent="0.2">
      <c r="B34925" s="1168"/>
    </row>
    <row r="34926" spans="2:2" s="221" customFormat="1" ht="12.75" x14ac:dyDescent="0.2">
      <c r="B34926" s="1168"/>
    </row>
    <row r="34927" spans="2:2" s="221" customFormat="1" ht="12.75" x14ac:dyDescent="0.2">
      <c r="B34927" s="1168"/>
    </row>
    <row r="34928" spans="2:2" s="221" customFormat="1" ht="12.75" x14ac:dyDescent="0.2">
      <c r="B34928" s="1168"/>
    </row>
    <row r="34929" spans="2:2" s="221" customFormat="1" ht="12.75" x14ac:dyDescent="0.2">
      <c r="B34929" s="1168"/>
    </row>
    <row r="34930" spans="2:2" s="221" customFormat="1" ht="12.75" x14ac:dyDescent="0.2">
      <c r="B34930" s="1168"/>
    </row>
    <row r="34931" spans="2:2" s="221" customFormat="1" ht="12.75" x14ac:dyDescent="0.2">
      <c r="B34931" s="1168"/>
    </row>
    <row r="34932" spans="2:2" s="221" customFormat="1" ht="12.75" x14ac:dyDescent="0.2">
      <c r="B34932" s="1168"/>
    </row>
    <row r="34933" spans="2:2" s="221" customFormat="1" ht="12.75" x14ac:dyDescent="0.2">
      <c r="B34933" s="1168"/>
    </row>
    <row r="34934" spans="2:2" s="221" customFormat="1" ht="12.75" x14ac:dyDescent="0.2">
      <c r="B34934" s="1168"/>
    </row>
    <row r="34935" spans="2:2" s="221" customFormat="1" ht="12.75" x14ac:dyDescent="0.2">
      <c r="B34935" s="1168"/>
    </row>
    <row r="34936" spans="2:2" s="221" customFormat="1" ht="12.75" x14ac:dyDescent="0.2">
      <c r="B34936" s="1168"/>
    </row>
    <row r="34937" spans="2:2" s="221" customFormat="1" ht="12.75" x14ac:dyDescent="0.2">
      <c r="B34937" s="1168"/>
    </row>
    <row r="34938" spans="2:2" s="221" customFormat="1" ht="12.75" x14ac:dyDescent="0.2">
      <c r="B34938" s="1168"/>
    </row>
    <row r="34939" spans="2:2" s="221" customFormat="1" ht="12.75" x14ac:dyDescent="0.2">
      <c r="B34939" s="1168"/>
    </row>
    <row r="34940" spans="2:2" s="221" customFormat="1" ht="12.75" x14ac:dyDescent="0.2">
      <c r="B34940" s="1168"/>
    </row>
    <row r="34941" spans="2:2" s="221" customFormat="1" ht="12.75" x14ac:dyDescent="0.2">
      <c r="B34941" s="1168"/>
    </row>
    <row r="34942" spans="2:2" s="221" customFormat="1" ht="12.75" x14ac:dyDescent="0.2">
      <c r="B34942" s="1168"/>
    </row>
    <row r="34943" spans="2:2" s="221" customFormat="1" ht="12.75" x14ac:dyDescent="0.2">
      <c r="B34943" s="1168"/>
    </row>
    <row r="34944" spans="2:2" s="221" customFormat="1" ht="12.75" x14ac:dyDescent="0.2">
      <c r="B34944" s="1168"/>
    </row>
    <row r="34945" spans="2:2" s="221" customFormat="1" ht="12.75" x14ac:dyDescent="0.2">
      <c r="B34945" s="1168"/>
    </row>
    <row r="34946" spans="2:2" s="221" customFormat="1" ht="12.75" x14ac:dyDescent="0.2">
      <c r="B34946" s="1168"/>
    </row>
    <row r="34947" spans="2:2" s="221" customFormat="1" ht="12.75" x14ac:dyDescent="0.2">
      <c r="B34947" s="1168"/>
    </row>
    <row r="34948" spans="2:2" s="221" customFormat="1" ht="12.75" x14ac:dyDescent="0.2">
      <c r="B34948" s="1168"/>
    </row>
    <row r="34949" spans="2:2" s="221" customFormat="1" ht="12.75" x14ac:dyDescent="0.2">
      <c r="B34949" s="1168"/>
    </row>
    <row r="34950" spans="2:2" s="221" customFormat="1" ht="12.75" x14ac:dyDescent="0.2">
      <c r="B34950" s="1168"/>
    </row>
    <row r="34951" spans="2:2" s="221" customFormat="1" ht="12.75" x14ac:dyDescent="0.2">
      <c r="B34951" s="1168"/>
    </row>
    <row r="34952" spans="2:2" s="221" customFormat="1" ht="12.75" x14ac:dyDescent="0.2">
      <c r="B34952" s="1168"/>
    </row>
    <row r="34953" spans="2:2" s="221" customFormat="1" ht="12.75" x14ac:dyDescent="0.2">
      <c r="B34953" s="1168"/>
    </row>
    <row r="34954" spans="2:2" s="221" customFormat="1" ht="12.75" x14ac:dyDescent="0.2">
      <c r="B34954" s="1168"/>
    </row>
    <row r="34955" spans="2:2" s="221" customFormat="1" ht="12.75" x14ac:dyDescent="0.2">
      <c r="B34955" s="1168"/>
    </row>
    <row r="34956" spans="2:2" s="221" customFormat="1" ht="12.75" x14ac:dyDescent="0.2">
      <c r="B34956" s="1168"/>
    </row>
    <row r="34957" spans="2:2" s="221" customFormat="1" ht="12.75" x14ac:dyDescent="0.2">
      <c r="B34957" s="1168"/>
    </row>
    <row r="34958" spans="2:2" s="221" customFormat="1" ht="12.75" x14ac:dyDescent="0.2">
      <c r="B34958" s="1168"/>
    </row>
    <row r="34959" spans="2:2" s="221" customFormat="1" ht="12.75" x14ac:dyDescent="0.2">
      <c r="B34959" s="1168"/>
    </row>
    <row r="34960" spans="2:2" s="221" customFormat="1" ht="12.75" x14ac:dyDescent="0.2">
      <c r="B34960" s="1168"/>
    </row>
    <row r="34961" spans="2:2" s="221" customFormat="1" ht="12.75" x14ac:dyDescent="0.2">
      <c r="B34961" s="1168"/>
    </row>
    <row r="34962" spans="2:2" s="221" customFormat="1" ht="12.75" x14ac:dyDescent="0.2">
      <c r="B34962" s="1168"/>
    </row>
    <row r="34963" spans="2:2" s="221" customFormat="1" ht="12.75" x14ac:dyDescent="0.2">
      <c r="B34963" s="1168"/>
    </row>
    <row r="34964" spans="2:2" s="221" customFormat="1" ht="12.75" x14ac:dyDescent="0.2">
      <c r="B34964" s="1168"/>
    </row>
    <row r="34965" spans="2:2" s="221" customFormat="1" ht="12.75" x14ac:dyDescent="0.2">
      <c r="B34965" s="1168"/>
    </row>
    <row r="34966" spans="2:2" s="221" customFormat="1" ht="12.75" x14ac:dyDescent="0.2">
      <c r="B34966" s="1168"/>
    </row>
    <row r="34967" spans="2:2" s="221" customFormat="1" ht="12.75" x14ac:dyDescent="0.2">
      <c r="B34967" s="1168"/>
    </row>
    <row r="34968" spans="2:2" s="221" customFormat="1" ht="12.75" x14ac:dyDescent="0.2">
      <c r="B34968" s="1168"/>
    </row>
    <row r="34969" spans="2:2" s="221" customFormat="1" ht="12.75" x14ac:dyDescent="0.2">
      <c r="B34969" s="1168"/>
    </row>
    <row r="34970" spans="2:2" s="221" customFormat="1" ht="12.75" x14ac:dyDescent="0.2">
      <c r="B34970" s="1168"/>
    </row>
    <row r="34971" spans="2:2" s="221" customFormat="1" ht="12.75" x14ac:dyDescent="0.2">
      <c r="B34971" s="1168"/>
    </row>
    <row r="34972" spans="2:2" s="221" customFormat="1" ht="12.75" x14ac:dyDescent="0.2">
      <c r="B34972" s="1168"/>
    </row>
    <row r="34973" spans="2:2" s="221" customFormat="1" ht="12.75" x14ac:dyDescent="0.2">
      <c r="B34973" s="1168"/>
    </row>
    <row r="34974" spans="2:2" s="221" customFormat="1" ht="12.75" x14ac:dyDescent="0.2">
      <c r="B34974" s="1168"/>
    </row>
    <row r="34975" spans="2:2" s="221" customFormat="1" ht="12.75" x14ac:dyDescent="0.2">
      <c r="B34975" s="1168"/>
    </row>
    <row r="34976" spans="2:2" s="221" customFormat="1" ht="12.75" x14ac:dyDescent="0.2">
      <c r="B34976" s="1168"/>
    </row>
    <row r="34977" spans="2:2" s="221" customFormat="1" ht="12.75" x14ac:dyDescent="0.2">
      <c r="B34977" s="1168"/>
    </row>
    <row r="34978" spans="2:2" s="221" customFormat="1" ht="12.75" x14ac:dyDescent="0.2">
      <c r="B34978" s="1168"/>
    </row>
    <row r="34979" spans="2:2" s="221" customFormat="1" ht="12.75" x14ac:dyDescent="0.2">
      <c r="B34979" s="1168"/>
    </row>
    <row r="34980" spans="2:2" s="221" customFormat="1" ht="12.75" x14ac:dyDescent="0.2">
      <c r="B34980" s="1168"/>
    </row>
    <row r="34981" spans="2:2" s="221" customFormat="1" ht="12.75" x14ac:dyDescent="0.2">
      <c r="B34981" s="1168"/>
    </row>
    <row r="34982" spans="2:2" s="221" customFormat="1" ht="12.75" x14ac:dyDescent="0.2">
      <c r="B34982" s="1168"/>
    </row>
    <row r="34983" spans="2:2" s="221" customFormat="1" ht="12.75" x14ac:dyDescent="0.2">
      <c r="B34983" s="1168"/>
    </row>
    <row r="34984" spans="2:2" s="221" customFormat="1" ht="12.75" x14ac:dyDescent="0.2">
      <c r="B34984" s="1168"/>
    </row>
    <row r="34985" spans="2:2" s="221" customFormat="1" ht="12.75" x14ac:dyDescent="0.2">
      <c r="B34985" s="1168"/>
    </row>
    <row r="34986" spans="2:2" s="221" customFormat="1" ht="12.75" x14ac:dyDescent="0.2">
      <c r="B34986" s="1168"/>
    </row>
    <row r="34987" spans="2:2" s="221" customFormat="1" ht="12.75" x14ac:dyDescent="0.2">
      <c r="B34987" s="1168"/>
    </row>
    <row r="34988" spans="2:2" s="221" customFormat="1" ht="12.75" x14ac:dyDescent="0.2">
      <c r="B34988" s="1168"/>
    </row>
    <row r="34989" spans="2:2" s="221" customFormat="1" ht="12.75" x14ac:dyDescent="0.2">
      <c r="B34989" s="1168"/>
    </row>
    <row r="34990" spans="2:2" s="221" customFormat="1" ht="12.75" x14ac:dyDescent="0.2">
      <c r="B34990" s="1168"/>
    </row>
    <row r="34991" spans="2:2" s="221" customFormat="1" ht="12.75" x14ac:dyDescent="0.2">
      <c r="B34991" s="1168"/>
    </row>
    <row r="34992" spans="2:2" s="221" customFormat="1" ht="12.75" x14ac:dyDescent="0.2">
      <c r="B34992" s="1168"/>
    </row>
    <row r="34993" spans="2:2" s="221" customFormat="1" ht="12.75" x14ac:dyDescent="0.2">
      <c r="B34993" s="1168"/>
    </row>
    <row r="34994" spans="2:2" s="221" customFormat="1" ht="12.75" x14ac:dyDescent="0.2">
      <c r="B34994" s="1168"/>
    </row>
    <row r="34995" spans="2:2" s="221" customFormat="1" ht="12.75" x14ac:dyDescent="0.2">
      <c r="B34995" s="1168"/>
    </row>
    <row r="34996" spans="2:2" s="221" customFormat="1" ht="12.75" x14ac:dyDescent="0.2">
      <c r="B34996" s="1168"/>
    </row>
    <row r="34997" spans="2:2" s="221" customFormat="1" ht="12.75" x14ac:dyDescent="0.2">
      <c r="B34997" s="1168"/>
    </row>
    <row r="34998" spans="2:2" s="221" customFormat="1" ht="12.75" x14ac:dyDescent="0.2">
      <c r="B34998" s="1168"/>
    </row>
    <row r="34999" spans="2:2" s="221" customFormat="1" ht="12.75" x14ac:dyDescent="0.2">
      <c r="B34999" s="1168"/>
    </row>
    <row r="35000" spans="2:2" s="221" customFormat="1" ht="12.75" x14ac:dyDescent="0.2">
      <c r="B35000" s="1168"/>
    </row>
    <row r="35001" spans="2:2" s="221" customFormat="1" ht="12.75" x14ac:dyDescent="0.2">
      <c r="B35001" s="1168"/>
    </row>
    <row r="35002" spans="2:2" s="221" customFormat="1" ht="12.75" x14ac:dyDescent="0.2">
      <c r="B35002" s="1168"/>
    </row>
    <row r="35003" spans="2:2" s="221" customFormat="1" ht="12.75" x14ac:dyDescent="0.2">
      <c r="B35003" s="1168"/>
    </row>
    <row r="35004" spans="2:2" s="221" customFormat="1" ht="12.75" x14ac:dyDescent="0.2">
      <c r="B35004" s="1168"/>
    </row>
    <row r="35005" spans="2:2" s="221" customFormat="1" ht="12.75" x14ac:dyDescent="0.2">
      <c r="B35005" s="1168"/>
    </row>
    <row r="35006" spans="2:2" s="221" customFormat="1" ht="12.75" x14ac:dyDescent="0.2">
      <c r="B35006" s="1168"/>
    </row>
    <row r="35007" spans="2:2" s="221" customFormat="1" ht="12.75" x14ac:dyDescent="0.2">
      <c r="B35007" s="1168"/>
    </row>
    <row r="35008" spans="2:2" s="221" customFormat="1" ht="12.75" x14ac:dyDescent="0.2">
      <c r="B35008" s="1168"/>
    </row>
    <row r="35009" spans="2:2" s="221" customFormat="1" ht="12.75" x14ac:dyDescent="0.2">
      <c r="B35009" s="1168"/>
    </row>
    <row r="35010" spans="2:2" s="221" customFormat="1" ht="12.75" x14ac:dyDescent="0.2">
      <c r="B35010" s="1168"/>
    </row>
    <row r="35011" spans="2:2" s="221" customFormat="1" ht="12.75" x14ac:dyDescent="0.2">
      <c r="B35011" s="1168"/>
    </row>
    <row r="35012" spans="2:2" s="221" customFormat="1" ht="12.75" x14ac:dyDescent="0.2">
      <c r="B35012" s="1168"/>
    </row>
    <row r="35013" spans="2:2" s="221" customFormat="1" ht="12.75" x14ac:dyDescent="0.2">
      <c r="B35013" s="1168"/>
    </row>
    <row r="35014" spans="2:2" s="221" customFormat="1" ht="12.75" x14ac:dyDescent="0.2">
      <c r="B35014" s="1168"/>
    </row>
    <row r="35015" spans="2:2" s="221" customFormat="1" ht="12.75" x14ac:dyDescent="0.2">
      <c r="B35015" s="1168"/>
    </row>
    <row r="35016" spans="2:2" s="221" customFormat="1" ht="12.75" x14ac:dyDescent="0.2">
      <c r="B35016" s="1168"/>
    </row>
    <row r="35017" spans="2:2" s="221" customFormat="1" ht="12.75" x14ac:dyDescent="0.2">
      <c r="B35017" s="1168"/>
    </row>
    <row r="35018" spans="2:2" s="221" customFormat="1" ht="12.75" x14ac:dyDescent="0.2">
      <c r="B35018" s="1168"/>
    </row>
    <row r="35019" spans="2:2" s="221" customFormat="1" ht="12.75" x14ac:dyDescent="0.2">
      <c r="B35019" s="1168"/>
    </row>
    <row r="35020" spans="2:2" s="221" customFormat="1" ht="12.75" x14ac:dyDescent="0.2">
      <c r="B35020" s="1168"/>
    </row>
    <row r="35021" spans="2:2" s="221" customFormat="1" ht="12.75" x14ac:dyDescent="0.2">
      <c r="B35021" s="1168"/>
    </row>
    <row r="35022" spans="2:2" s="221" customFormat="1" ht="12.75" x14ac:dyDescent="0.2">
      <c r="B35022" s="1168"/>
    </row>
    <row r="35023" spans="2:2" s="221" customFormat="1" ht="12.75" x14ac:dyDescent="0.2">
      <c r="B35023" s="1168"/>
    </row>
    <row r="35024" spans="2:2" s="221" customFormat="1" ht="12.75" x14ac:dyDescent="0.2">
      <c r="B35024" s="1168"/>
    </row>
    <row r="35025" spans="2:2" s="221" customFormat="1" ht="12.75" x14ac:dyDescent="0.2">
      <c r="B35025" s="1168"/>
    </row>
    <row r="35026" spans="2:2" s="221" customFormat="1" ht="12.75" x14ac:dyDescent="0.2">
      <c r="B35026" s="1168"/>
    </row>
    <row r="35027" spans="2:2" s="221" customFormat="1" ht="12.75" x14ac:dyDescent="0.2">
      <c r="B35027" s="1168"/>
    </row>
    <row r="35028" spans="2:2" s="221" customFormat="1" ht="12.75" x14ac:dyDescent="0.2">
      <c r="B35028" s="1168"/>
    </row>
    <row r="35029" spans="2:2" s="221" customFormat="1" ht="12.75" x14ac:dyDescent="0.2">
      <c r="B35029" s="1168"/>
    </row>
    <row r="35030" spans="2:2" s="221" customFormat="1" ht="12.75" x14ac:dyDescent="0.2">
      <c r="B35030" s="1168"/>
    </row>
    <row r="35031" spans="2:2" s="221" customFormat="1" ht="12.75" x14ac:dyDescent="0.2">
      <c r="B35031" s="1168"/>
    </row>
    <row r="35032" spans="2:2" s="221" customFormat="1" ht="12.75" x14ac:dyDescent="0.2">
      <c r="B35032" s="1168"/>
    </row>
    <row r="35033" spans="2:2" s="221" customFormat="1" ht="12.75" x14ac:dyDescent="0.2">
      <c r="B35033" s="1168"/>
    </row>
    <row r="35034" spans="2:2" s="221" customFormat="1" ht="12.75" x14ac:dyDescent="0.2">
      <c r="B35034" s="1168"/>
    </row>
    <row r="35035" spans="2:2" s="221" customFormat="1" ht="12.75" x14ac:dyDescent="0.2">
      <c r="B35035" s="1168"/>
    </row>
    <row r="35036" spans="2:2" s="221" customFormat="1" ht="12.75" x14ac:dyDescent="0.2">
      <c r="B35036" s="1168"/>
    </row>
    <row r="35037" spans="2:2" s="221" customFormat="1" ht="12.75" x14ac:dyDescent="0.2">
      <c r="B35037" s="1168"/>
    </row>
    <row r="35038" spans="2:2" s="221" customFormat="1" ht="12.75" x14ac:dyDescent="0.2">
      <c r="B35038" s="1168"/>
    </row>
    <row r="35039" spans="2:2" s="221" customFormat="1" ht="12.75" x14ac:dyDescent="0.2">
      <c r="B35039" s="1168"/>
    </row>
    <row r="35040" spans="2:2" s="221" customFormat="1" ht="12.75" x14ac:dyDescent="0.2">
      <c r="B35040" s="1168"/>
    </row>
    <row r="35041" spans="2:2" s="221" customFormat="1" ht="12.75" x14ac:dyDescent="0.2">
      <c r="B35041" s="1168"/>
    </row>
    <row r="35042" spans="2:2" s="221" customFormat="1" ht="12.75" x14ac:dyDescent="0.2">
      <c r="B35042" s="1168"/>
    </row>
    <row r="35043" spans="2:2" s="221" customFormat="1" ht="12.75" x14ac:dyDescent="0.2">
      <c r="B35043" s="1168"/>
    </row>
    <row r="35044" spans="2:2" s="221" customFormat="1" ht="12.75" x14ac:dyDescent="0.2">
      <c r="B35044" s="1168"/>
    </row>
    <row r="35045" spans="2:2" s="221" customFormat="1" ht="12.75" x14ac:dyDescent="0.2">
      <c r="B35045" s="1168"/>
    </row>
    <row r="35046" spans="2:2" s="221" customFormat="1" ht="12.75" x14ac:dyDescent="0.2">
      <c r="B35046" s="1168"/>
    </row>
    <row r="35047" spans="2:2" s="221" customFormat="1" ht="12.75" x14ac:dyDescent="0.2">
      <c r="B35047" s="1168"/>
    </row>
    <row r="35048" spans="2:2" s="221" customFormat="1" ht="12.75" x14ac:dyDescent="0.2">
      <c r="B35048" s="1168"/>
    </row>
    <row r="35049" spans="2:2" s="221" customFormat="1" ht="12.75" x14ac:dyDescent="0.2">
      <c r="B35049" s="1168"/>
    </row>
    <row r="35050" spans="2:2" s="221" customFormat="1" ht="12.75" x14ac:dyDescent="0.2">
      <c r="B35050" s="1168"/>
    </row>
    <row r="35051" spans="2:2" s="221" customFormat="1" ht="12.75" x14ac:dyDescent="0.2">
      <c r="B35051" s="1168"/>
    </row>
    <row r="35052" spans="2:2" s="221" customFormat="1" ht="12.75" x14ac:dyDescent="0.2">
      <c r="B35052" s="1168"/>
    </row>
    <row r="35053" spans="2:2" s="221" customFormat="1" ht="12.75" x14ac:dyDescent="0.2">
      <c r="B35053" s="1168"/>
    </row>
    <row r="35054" spans="2:2" s="221" customFormat="1" ht="12.75" x14ac:dyDescent="0.2">
      <c r="B35054" s="1168"/>
    </row>
    <row r="35055" spans="2:2" s="221" customFormat="1" ht="12.75" x14ac:dyDescent="0.2">
      <c r="B35055" s="1168"/>
    </row>
    <row r="35056" spans="2:2" s="221" customFormat="1" ht="12.75" x14ac:dyDescent="0.2">
      <c r="B35056" s="1168"/>
    </row>
    <row r="35057" spans="2:2" s="221" customFormat="1" ht="12.75" x14ac:dyDescent="0.2">
      <c r="B35057" s="1168"/>
    </row>
    <row r="35058" spans="2:2" s="221" customFormat="1" ht="12.75" x14ac:dyDescent="0.2">
      <c r="B35058" s="1168"/>
    </row>
    <row r="35059" spans="2:2" s="221" customFormat="1" ht="12.75" x14ac:dyDescent="0.2">
      <c r="B35059" s="1168"/>
    </row>
    <row r="35060" spans="2:2" s="221" customFormat="1" ht="12.75" x14ac:dyDescent="0.2">
      <c r="B35060" s="1168"/>
    </row>
    <row r="35061" spans="2:2" s="221" customFormat="1" ht="12.75" x14ac:dyDescent="0.2">
      <c r="B35061" s="1168"/>
    </row>
    <row r="35062" spans="2:2" s="221" customFormat="1" ht="12.75" x14ac:dyDescent="0.2">
      <c r="B35062" s="1168"/>
    </row>
    <row r="35063" spans="2:2" s="221" customFormat="1" ht="12.75" x14ac:dyDescent="0.2">
      <c r="B35063" s="1168"/>
    </row>
    <row r="35064" spans="2:2" s="221" customFormat="1" ht="12.75" x14ac:dyDescent="0.2">
      <c r="B35064" s="1168"/>
    </row>
    <row r="35065" spans="2:2" s="221" customFormat="1" ht="12.75" x14ac:dyDescent="0.2">
      <c r="B35065" s="1168"/>
    </row>
    <row r="35066" spans="2:2" s="221" customFormat="1" ht="12.75" x14ac:dyDescent="0.2">
      <c r="B35066" s="1168"/>
    </row>
    <row r="35067" spans="2:2" s="221" customFormat="1" ht="12.75" x14ac:dyDescent="0.2">
      <c r="B35067" s="1168"/>
    </row>
    <row r="35068" spans="2:2" s="221" customFormat="1" ht="12.75" x14ac:dyDescent="0.2">
      <c r="B35068" s="1168"/>
    </row>
    <row r="35069" spans="2:2" s="221" customFormat="1" ht="12.75" x14ac:dyDescent="0.2">
      <c r="B35069" s="1168"/>
    </row>
    <row r="35070" spans="2:2" s="221" customFormat="1" ht="12.75" x14ac:dyDescent="0.2">
      <c r="B35070" s="1168"/>
    </row>
    <row r="35071" spans="2:2" s="221" customFormat="1" ht="12.75" x14ac:dyDescent="0.2">
      <c r="B35071" s="1168"/>
    </row>
    <row r="35072" spans="2:2" s="221" customFormat="1" ht="12.75" x14ac:dyDescent="0.2">
      <c r="B35072" s="1168"/>
    </row>
    <row r="35073" spans="2:2" s="221" customFormat="1" ht="12.75" x14ac:dyDescent="0.2">
      <c r="B35073" s="1168"/>
    </row>
    <row r="35074" spans="2:2" s="221" customFormat="1" ht="12.75" x14ac:dyDescent="0.2">
      <c r="B35074" s="1168"/>
    </row>
    <row r="35075" spans="2:2" s="221" customFormat="1" ht="12.75" x14ac:dyDescent="0.2">
      <c r="B35075" s="1168"/>
    </row>
    <row r="35076" spans="2:2" s="221" customFormat="1" ht="12.75" x14ac:dyDescent="0.2">
      <c r="B35076" s="1168"/>
    </row>
    <row r="35077" spans="2:2" s="221" customFormat="1" ht="12.75" x14ac:dyDescent="0.2">
      <c r="B35077" s="1168"/>
    </row>
    <row r="35078" spans="2:2" s="221" customFormat="1" ht="12.75" x14ac:dyDescent="0.2">
      <c r="B35078" s="1168"/>
    </row>
    <row r="35079" spans="2:2" s="221" customFormat="1" ht="12.75" x14ac:dyDescent="0.2">
      <c r="B35079" s="1168"/>
    </row>
    <row r="35080" spans="2:2" s="221" customFormat="1" ht="12.75" x14ac:dyDescent="0.2">
      <c r="B35080" s="1168"/>
    </row>
    <row r="35081" spans="2:2" s="221" customFormat="1" ht="12.75" x14ac:dyDescent="0.2">
      <c r="B35081" s="1168"/>
    </row>
    <row r="35082" spans="2:2" s="221" customFormat="1" ht="12.75" x14ac:dyDescent="0.2">
      <c r="B35082" s="1168"/>
    </row>
    <row r="35083" spans="2:2" s="221" customFormat="1" ht="12.75" x14ac:dyDescent="0.2">
      <c r="B35083" s="1168"/>
    </row>
    <row r="35084" spans="2:2" s="221" customFormat="1" ht="12.75" x14ac:dyDescent="0.2">
      <c r="B35084" s="1168"/>
    </row>
    <row r="35085" spans="2:2" s="221" customFormat="1" ht="12.75" x14ac:dyDescent="0.2">
      <c r="B35085" s="1168"/>
    </row>
    <row r="35086" spans="2:2" s="221" customFormat="1" ht="12.75" x14ac:dyDescent="0.2">
      <c r="B35086" s="1168"/>
    </row>
    <row r="35087" spans="2:2" s="221" customFormat="1" ht="12.75" x14ac:dyDescent="0.2">
      <c r="B35087" s="1168"/>
    </row>
    <row r="35088" spans="2:2" s="221" customFormat="1" ht="12.75" x14ac:dyDescent="0.2">
      <c r="B35088" s="1168"/>
    </row>
    <row r="35089" spans="2:2" s="221" customFormat="1" ht="12.75" x14ac:dyDescent="0.2">
      <c r="B35089" s="1168"/>
    </row>
    <row r="35090" spans="2:2" s="221" customFormat="1" ht="12.75" x14ac:dyDescent="0.2">
      <c r="B35090" s="1168"/>
    </row>
    <row r="35091" spans="2:2" s="221" customFormat="1" ht="12.75" x14ac:dyDescent="0.2">
      <c r="B35091" s="1168"/>
    </row>
    <row r="35092" spans="2:2" s="221" customFormat="1" ht="12.75" x14ac:dyDescent="0.2">
      <c r="B35092" s="1168"/>
    </row>
    <row r="35093" spans="2:2" s="221" customFormat="1" ht="12.75" x14ac:dyDescent="0.2">
      <c r="B35093" s="1168"/>
    </row>
    <row r="35094" spans="2:2" s="221" customFormat="1" ht="12.75" x14ac:dyDescent="0.2">
      <c r="B35094" s="1168"/>
    </row>
    <row r="35095" spans="2:2" s="221" customFormat="1" ht="12.75" x14ac:dyDescent="0.2">
      <c r="B35095" s="1168"/>
    </row>
    <row r="35096" spans="2:2" s="221" customFormat="1" ht="12.75" x14ac:dyDescent="0.2">
      <c r="B35096" s="1168"/>
    </row>
    <row r="35097" spans="2:2" s="221" customFormat="1" ht="12.75" x14ac:dyDescent="0.2">
      <c r="B35097" s="1168"/>
    </row>
    <row r="35098" spans="2:2" s="221" customFormat="1" ht="12.75" x14ac:dyDescent="0.2">
      <c r="B35098" s="1168"/>
    </row>
    <row r="35099" spans="2:2" s="221" customFormat="1" ht="12.75" x14ac:dyDescent="0.2">
      <c r="B35099" s="1168"/>
    </row>
    <row r="35100" spans="2:2" s="221" customFormat="1" ht="12.75" x14ac:dyDescent="0.2">
      <c r="B35100" s="1168"/>
    </row>
    <row r="35101" spans="2:2" s="221" customFormat="1" ht="12.75" x14ac:dyDescent="0.2">
      <c r="B35101" s="1168"/>
    </row>
    <row r="35102" spans="2:2" s="221" customFormat="1" ht="12.75" x14ac:dyDescent="0.2">
      <c r="B35102" s="1168"/>
    </row>
    <row r="35103" spans="2:2" s="221" customFormat="1" ht="12.75" x14ac:dyDescent="0.2">
      <c r="B35103" s="1168"/>
    </row>
    <row r="35104" spans="2:2" s="221" customFormat="1" ht="12.75" x14ac:dyDescent="0.2">
      <c r="B35104" s="1168"/>
    </row>
    <row r="35105" spans="2:2" s="221" customFormat="1" ht="12.75" x14ac:dyDescent="0.2">
      <c r="B35105" s="1168"/>
    </row>
    <row r="35106" spans="2:2" s="221" customFormat="1" ht="12.75" x14ac:dyDescent="0.2">
      <c r="B35106" s="1168"/>
    </row>
    <row r="35107" spans="2:2" s="221" customFormat="1" ht="12.75" x14ac:dyDescent="0.2">
      <c r="B35107" s="1168"/>
    </row>
    <row r="35108" spans="2:2" s="221" customFormat="1" ht="12.75" x14ac:dyDescent="0.2">
      <c r="B35108" s="1168"/>
    </row>
    <row r="35109" spans="2:2" s="221" customFormat="1" ht="12.75" x14ac:dyDescent="0.2">
      <c r="B35109" s="1168"/>
    </row>
    <row r="35110" spans="2:2" s="221" customFormat="1" ht="12.75" x14ac:dyDescent="0.2">
      <c r="B35110" s="1168"/>
    </row>
    <row r="35111" spans="2:2" s="221" customFormat="1" ht="12.75" x14ac:dyDescent="0.2">
      <c r="B35111" s="1168"/>
    </row>
    <row r="35112" spans="2:2" s="221" customFormat="1" ht="12.75" x14ac:dyDescent="0.2">
      <c r="B35112" s="1168"/>
    </row>
    <row r="35113" spans="2:2" s="221" customFormat="1" ht="12.75" x14ac:dyDescent="0.2">
      <c r="B35113" s="1168"/>
    </row>
    <row r="35114" spans="2:2" s="221" customFormat="1" ht="12.75" x14ac:dyDescent="0.2">
      <c r="B35114" s="1168"/>
    </row>
    <row r="35115" spans="2:2" s="221" customFormat="1" ht="12.75" x14ac:dyDescent="0.2">
      <c r="B35115" s="1168"/>
    </row>
    <row r="35116" spans="2:2" s="221" customFormat="1" ht="12.75" x14ac:dyDescent="0.2">
      <c r="B35116" s="1168"/>
    </row>
    <row r="35117" spans="2:2" s="221" customFormat="1" ht="12.75" x14ac:dyDescent="0.2">
      <c r="B35117" s="1168"/>
    </row>
    <row r="35118" spans="2:2" s="221" customFormat="1" ht="12.75" x14ac:dyDescent="0.2">
      <c r="B35118" s="1168"/>
    </row>
    <row r="35119" spans="2:2" s="221" customFormat="1" ht="12.75" x14ac:dyDescent="0.2">
      <c r="B35119" s="1168"/>
    </row>
    <row r="35120" spans="2:2" s="221" customFormat="1" ht="12.75" x14ac:dyDescent="0.2">
      <c r="B35120" s="1168"/>
    </row>
    <row r="35121" spans="2:2" s="221" customFormat="1" ht="12.75" x14ac:dyDescent="0.2">
      <c r="B35121" s="1168"/>
    </row>
    <row r="35122" spans="2:2" s="221" customFormat="1" ht="12.75" x14ac:dyDescent="0.2">
      <c r="B35122" s="1168"/>
    </row>
    <row r="35123" spans="2:2" s="221" customFormat="1" ht="12.75" x14ac:dyDescent="0.2">
      <c r="B35123" s="1168"/>
    </row>
    <row r="35124" spans="2:2" s="221" customFormat="1" ht="12.75" x14ac:dyDescent="0.2">
      <c r="B35124" s="1168"/>
    </row>
    <row r="35125" spans="2:2" s="221" customFormat="1" ht="12.75" x14ac:dyDescent="0.2">
      <c r="B35125" s="1168"/>
    </row>
    <row r="35126" spans="2:2" s="221" customFormat="1" ht="12.75" x14ac:dyDescent="0.2">
      <c r="B35126" s="1168"/>
    </row>
    <row r="35127" spans="2:2" s="221" customFormat="1" ht="12.75" x14ac:dyDescent="0.2">
      <c r="B35127" s="1168"/>
    </row>
    <row r="35128" spans="2:2" s="221" customFormat="1" ht="12.75" x14ac:dyDescent="0.2">
      <c r="B35128" s="1168"/>
    </row>
    <row r="35129" spans="2:2" s="221" customFormat="1" ht="12.75" x14ac:dyDescent="0.2">
      <c r="B35129" s="1168"/>
    </row>
    <row r="35130" spans="2:2" s="221" customFormat="1" ht="12.75" x14ac:dyDescent="0.2">
      <c r="B35130" s="1168"/>
    </row>
    <row r="35131" spans="2:2" s="221" customFormat="1" ht="12.75" x14ac:dyDescent="0.2">
      <c r="B35131" s="1168"/>
    </row>
    <row r="35132" spans="2:2" s="221" customFormat="1" ht="12.75" x14ac:dyDescent="0.2">
      <c r="B35132" s="1168"/>
    </row>
    <row r="35133" spans="2:2" s="221" customFormat="1" ht="12.75" x14ac:dyDescent="0.2">
      <c r="B35133" s="1168"/>
    </row>
    <row r="35134" spans="2:2" s="221" customFormat="1" ht="12.75" x14ac:dyDescent="0.2">
      <c r="B35134" s="1168"/>
    </row>
    <row r="35135" spans="2:2" s="221" customFormat="1" ht="12.75" x14ac:dyDescent="0.2">
      <c r="B35135" s="1168"/>
    </row>
    <row r="35136" spans="2:2" s="221" customFormat="1" ht="12.75" x14ac:dyDescent="0.2">
      <c r="B35136" s="1168"/>
    </row>
    <row r="35137" spans="2:2" s="221" customFormat="1" ht="12.75" x14ac:dyDescent="0.2">
      <c r="B35137" s="1168"/>
    </row>
    <row r="35138" spans="2:2" s="221" customFormat="1" ht="12.75" x14ac:dyDescent="0.2">
      <c r="B35138" s="1168"/>
    </row>
    <row r="35139" spans="2:2" s="221" customFormat="1" ht="12.75" x14ac:dyDescent="0.2">
      <c r="B35139" s="1168"/>
    </row>
    <row r="35140" spans="2:2" s="221" customFormat="1" ht="12.75" x14ac:dyDescent="0.2">
      <c r="B35140" s="1168"/>
    </row>
    <row r="35141" spans="2:2" s="221" customFormat="1" ht="12.75" x14ac:dyDescent="0.2">
      <c r="B35141" s="1168"/>
    </row>
    <row r="35142" spans="2:2" s="221" customFormat="1" ht="12.75" x14ac:dyDescent="0.2">
      <c r="B35142" s="1168"/>
    </row>
    <row r="35143" spans="2:2" s="221" customFormat="1" ht="12.75" x14ac:dyDescent="0.2">
      <c r="B35143" s="1168"/>
    </row>
    <row r="35144" spans="2:2" s="221" customFormat="1" ht="12.75" x14ac:dyDescent="0.2">
      <c r="B35144" s="1168"/>
    </row>
    <row r="35145" spans="2:2" s="221" customFormat="1" ht="12.75" x14ac:dyDescent="0.2">
      <c r="B35145" s="1168"/>
    </row>
    <row r="35146" spans="2:2" s="221" customFormat="1" ht="12.75" x14ac:dyDescent="0.2">
      <c r="B35146" s="1168"/>
    </row>
    <row r="35147" spans="2:2" s="221" customFormat="1" ht="12.75" x14ac:dyDescent="0.2">
      <c r="B35147" s="1168"/>
    </row>
    <row r="35148" spans="2:2" s="221" customFormat="1" ht="12.75" x14ac:dyDescent="0.2">
      <c r="B35148" s="1168"/>
    </row>
    <row r="35149" spans="2:2" s="221" customFormat="1" ht="12.75" x14ac:dyDescent="0.2">
      <c r="B35149" s="1168"/>
    </row>
    <row r="35150" spans="2:2" s="221" customFormat="1" ht="12.75" x14ac:dyDescent="0.2">
      <c r="B35150" s="1168"/>
    </row>
    <row r="35151" spans="2:2" s="221" customFormat="1" ht="12.75" x14ac:dyDescent="0.2">
      <c r="B35151" s="1168"/>
    </row>
    <row r="35152" spans="2:2" s="221" customFormat="1" ht="12.75" x14ac:dyDescent="0.2">
      <c r="B35152" s="1168"/>
    </row>
    <row r="35153" spans="2:2" s="221" customFormat="1" ht="12.75" x14ac:dyDescent="0.2">
      <c r="B35153" s="1168"/>
    </row>
    <row r="35154" spans="2:2" s="221" customFormat="1" ht="12.75" x14ac:dyDescent="0.2">
      <c r="B35154" s="1168"/>
    </row>
    <row r="35155" spans="2:2" s="221" customFormat="1" ht="12.75" x14ac:dyDescent="0.2">
      <c r="B35155" s="1168"/>
    </row>
    <row r="35156" spans="2:2" s="221" customFormat="1" ht="12.75" x14ac:dyDescent="0.2">
      <c r="B35156" s="1168"/>
    </row>
    <row r="35157" spans="2:2" s="221" customFormat="1" ht="12.75" x14ac:dyDescent="0.2">
      <c r="B35157" s="1168"/>
    </row>
    <row r="35158" spans="2:2" s="221" customFormat="1" ht="12.75" x14ac:dyDescent="0.2">
      <c r="B35158" s="1168"/>
    </row>
    <row r="35159" spans="2:2" s="221" customFormat="1" ht="12.75" x14ac:dyDescent="0.2">
      <c r="B35159" s="1168"/>
    </row>
    <row r="35160" spans="2:2" s="221" customFormat="1" ht="12.75" x14ac:dyDescent="0.2">
      <c r="B35160" s="1168"/>
    </row>
    <row r="35161" spans="2:2" s="221" customFormat="1" ht="12.75" x14ac:dyDescent="0.2">
      <c r="B35161" s="1168"/>
    </row>
    <row r="35162" spans="2:2" s="221" customFormat="1" ht="12.75" x14ac:dyDescent="0.2">
      <c r="B35162" s="1168"/>
    </row>
    <row r="35163" spans="2:2" s="221" customFormat="1" ht="12.75" x14ac:dyDescent="0.2">
      <c r="B35163" s="1168"/>
    </row>
    <row r="35164" spans="2:2" s="221" customFormat="1" ht="12.75" x14ac:dyDescent="0.2">
      <c r="B35164" s="1168"/>
    </row>
    <row r="35165" spans="2:2" s="221" customFormat="1" ht="12.75" x14ac:dyDescent="0.2">
      <c r="B35165" s="1168"/>
    </row>
    <row r="35166" spans="2:2" s="221" customFormat="1" ht="12.75" x14ac:dyDescent="0.2">
      <c r="B35166" s="1168"/>
    </row>
    <row r="35167" spans="2:2" s="221" customFormat="1" ht="12.75" x14ac:dyDescent="0.2">
      <c r="B35167" s="1168"/>
    </row>
    <row r="35168" spans="2:2" s="221" customFormat="1" ht="12.75" x14ac:dyDescent="0.2">
      <c r="B35168" s="1168"/>
    </row>
    <row r="35169" spans="2:2" s="221" customFormat="1" ht="12.75" x14ac:dyDescent="0.2">
      <c r="B35169" s="1168"/>
    </row>
    <row r="35170" spans="2:2" s="221" customFormat="1" ht="12.75" x14ac:dyDescent="0.2">
      <c r="B35170" s="1168"/>
    </row>
    <row r="35171" spans="2:2" s="221" customFormat="1" ht="12.75" x14ac:dyDescent="0.2">
      <c r="B35171" s="1168"/>
    </row>
    <row r="35172" spans="2:2" s="221" customFormat="1" ht="12.75" x14ac:dyDescent="0.2">
      <c r="B35172" s="1168"/>
    </row>
    <row r="35173" spans="2:2" s="221" customFormat="1" ht="12.75" x14ac:dyDescent="0.2">
      <c r="B35173" s="1168"/>
    </row>
    <row r="35174" spans="2:2" s="221" customFormat="1" ht="12.75" x14ac:dyDescent="0.2">
      <c r="B35174" s="1168"/>
    </row>
    <row r="35175" spans="2:2" s="221" customFormat="1" ht="12.75" x14ac:dyDescent="0.2">
      <c r="B35175" s="1168"/>
    </row>
    <row r="35176" spans="2:2" s="221" customFormat="1" ht="12.75" x14ac:dyDescent="0.2">
      <c r="B35176" s="1168"/>
    </row>
    <row r="35177" spans="2:2" s="221" customFormat="1" ht="12.75" x14ac:dyDescent="0.2">
      <c r="B35177" s="1168"/>
    </row>
    <row r="35178" spans="2:2" s="221" customFormat="1" ht="12.75" x14ac:dyDescent="0.2">
      <c r="B35178" s="1168"/>
    </row>
    <row r="35179" spans="2:2" s="221" customFormat="1" ht="12.75" x14ac:dyDescent="0.2">
      <c r="B35179" s="1168"/>
    </row>
    <row r="35180" spans="2:2" s="221" customFormat="1" ht="12.75" x14ac:dyDescent="0.2">
      <c r="B35180" s="1168"/>
    </row>
    <row r="35181" spans="2:2" s="221" customFormat="1" ht="12.75" x14ac:dyDescent="0.2">
      <c r="B35181" s="1168"/>
    </row>
    <row r="35182" spans="2:2" s="221" customFormat="1" ht="12.75" x14ac:dyDescent="0.2">
      <c r="B35182" s="1168"/>
    </row>
    <row r="35183" spans="2:2" s="221" customFormat="1" ht="12.75" x14ac:dyDescent="0.2">
      <c r="B35183" s="1168"/>
    </row>
    <row r="35184" spans="2:2" s="221" customFormat="1" ht="12.75" x14ac:dyDescent="0.2">
      <c r="B35184" s="1168"/>
    </row>
    <row r="35185" spans="2:2" s="221" customFormat="1" ht="12.75" x14ac:dyDescent="0.2">
      <c r="B35185" s="1168"/>
    </row>
    <row r="35186" spans="2:2" s="221" customFormat="1" ht="12.75" x14ac:dyDescent="0.2">
      <c r="B35186" s="1168"/>
    </row>
    <row r="35187" spans="2:2" s="221" customFormat="1" ht="12.75" x14ac:dyDescent="0.2">
      <c r="B35187" s="1168"/>
    </row>
    <row r="35188" spans="2:2" s="221" customFormat="1" ht="12.75" x14ac:dyDescent="0.2">
      <c r="B35188" s="1168"/>
    </row>
    <row r="35189" spans="2:2" s="221" customFormat="1" ht="12.75" x14ac:dyDescent="0.2">
      <c r="B35189" s="1168"/>
    </row>
    <row r="35190" spans="2:2" s="221" customFormat="1" ht="12.75" x14ac:dyDescent="0.2">
      <c r="B35190" s="1168"/>
    </row>
    <row r="35191" spans="2:2" s="221" customFormat="1" ht="12.75" x14ac:dyDescent="0.2">
      <c r="B35191" s="1168"/>
    </row>
    <row r="35192" spans="2:2" s="221" customFormat="1" ht="12.75" x14ac:dyDescent="0.2">
      <c r="B35192" s="1168"/>
    </row>
    <row r="35193" spans="2:2" s="221" customFormat="1" ht="12.75" x14ac:dyDescent="0.2">
      <c r="B35193" s="1168"/>
    </row>
    <row r="35194" spans="2:2" s="221" customFormat="1" ht="12.75" x14ac:dyDescent="0.2">
      <c r="B35194" s="1168"/>
    </row>
    <row r="35195" spans="2:2" s="221" customFormat="1" ht="12.75" x14ac:dyDescent="0.2">
      <c r="B35195" s="1168"/>
    </row>
    <row r="35196" spans="2:2" s="221" customFormat="1" ht="12.75" x14ac:dyDescent="0.2">
      <c r="B35196" s="1168"/>
    </row>
    <row r="35197" spans="2:2" s="221" customFormat="1" ht="12.75" x14ac:dyDescent="0.2">
      <c r="B35197" s="1168"/>
    </row>
    <row r="35198" spans="2:2" s="221" customFormat="1" ht="12.75" x14ac:dyDescent="0.2">
      <c r="B35198" s="1168"/>
    </row>
    <row r="35199" spans="2:2" s="221" customFormat="1" ht="12.75" x14ac:dyDescent="0.2">
      <c r="B35199" s="1168"/>
    </row>
    <row r="35200" spans="2:2" s="221" customFormat="1" ht="12.75" x14ac:dyDescent="0.2">
      <c r="B35200" s="1168"/>
    </row>
    <row r="35201" spans="2:2" s="221" customFormat="1" ht="12.75" x14ac:dyDescent="0.2">
      <c r="B35201" s="1168"/>
    </row>
    <row r="35202" spans="2:2" s="221" customFormat="1" ht="12.75" x14ac:dyDescent="0.2">
      <c r="B35202" s="1168"/>
    </row>
    <row r="35203" spans="2:2" s="221" customFormat="1" ht="12.75" x14ac:dyDescent="0.2">
      <c r="B35203" s="1168"/>
    </row>
    <row r="35204" spans="2:2" s="221" customFormat="1" ht="12.75" x14ac:dyDescent="0.2">
      <c r="B35204" s="1168"/>
    </row>
    <row r="35205" spans="2:2" s="221" customFormat="1" ht="12.75" x14ac:dyDescent="0.2">
      <c r="B35205" s="1168"/>
    </row>
    <row r="35206" spans="2:2" s="221" customFormat="1" ht="12.75" x14ac:dyDescent="0.2">
      <c r="B35206" s="1168"/>
    </row>
    <row r="35207" spans="2:2" s="221" customFormat="1" ht="12.75" x14ac:dyDescent="0.2">
      <c r="B35207" s="1168"/>
    </row>
    <row r="35208" spans="2:2" s="221" customFormat="1" ht="12.75" x14ac:dyDescent="0.2">
      <c r="B35208" s="1168"/>
    </row>
    <row r="35209" spans="2:2" s="221" customFormat="1" ht="12.75" x14ac:dyDescent="0.2">
      <c r="B35209" s="1168"/>
    </row>
    <row r="35210" spans="2:2" s="221" customFormat="1" ht="12.75" x14ac:dyDescent="0.2">
      <c r="B35210" s="1168"/>
    </row>
    <row r="35211" spans="2:2" s="221" customFormat="1" ht="12.75" x14ac:dyDescent="0.2">
      <c r="B35211" s="1168"/>
    </row>
    <row r="35212" spans="2:2" s="221" customFormat="1" ht="12.75" x14ac:dyDescent="0.2">
      <c r="B35212" s="1168"/>
    </row>
    <row r="35213" spans="2:2" s="221" customFormat="1" ht="12.75" x14ac:dyDescent="0.2">
      <c r="B35213" s="1168"/>
    </row>
    <row r="35214" spans="2:2" s="221" customFormat="1" ht="12.75" x14ac:dyDescent="0.2">
      <c r="B35214" s="1168"/>
    </row>
    <row r="35215" spans="2:2" s="221" customFormat="1" ht="12.75" x14ac:dyDescent="0.2">
      <c r="B35215" s="1168"/>
    </row>
    <row r="35216" spans="2:2" s="221" customFormat="1" ht="12.75" x14ac:dyDescent="0.2">
      <c r="B35216" s="1168"/>
    </row>
    <row r="35217" spans="2:2" s="221" customFormat="1" ht="12.75" x14ac:dyDescent="0.2">
      <c r="B35217" s="1168"/>
    </row>
    <row r="35218" spans="2:2" s="221" customFormat="1" ht="12.75" x14ac:dyDescent="0.2">
      <c r="B35218" s="1168"/>
    </row>
    <row r="35219" spans="2:2" s="221" customFormat="1" ht="12.75" x14ac:dyDescent="0.2">
      <c r="B35219" s="1168"/>
    </row>
    <row r="35220" spans="2:2" s="221" customFormat="1" ht="12.75" x14ac:dyDescent="0.2">
      <c r="B35220" s="1168"/>
    </row>
    <row r="35221" spans="2:2" s="221" customFormat="1" ht="12.75" x14ac:dyDescent="0.2">
      <c r="B35221" s="1168"/>
    </row>
    <row r="35222" spans="2:2" s="221" customFormat="1" ht="12.75" x14ac:dyDescent="0.2">
      <c r="B35222" s="1168"/>
    </row>
    <row r="35223" spans="2:2" s="221" customFormat="1" ht="12.75" x14ac:dyDescent="0.2">
      <c r="B35223" s="1168"/>
    </row>
    <row r="35224" spans="2:2" s="221" customFormat="1" ht="12.75" x14ac:dyDescent="0.2">
      <c r="B35224" s="1168"/>
    </row>
    <row r="35225" spans="2:2" s="221" customFormat="1" ht="12.75" x14ac:dyDescent="0.2">
      <c r="B35225" s="1168"/>
    </row>
    <row r="35226" spans="2:2" s="221" customFormat="1" ht="12.75" x14ac:dyDescent="0.2">
      <c r="B35226" s="1168"/>
    </row>
    <row r="35227" spans="2:2" s="221" customFormat="1" ht="12.75" x14ac:dyDescent="0.2">
      <c r="B35227" s="1168"/>
    </row>
    <row r="35228" spans="2:2" s="221" customFormat="1" ht="12.75" x14ac:dyDescent="0.2">
      <c r="B35228" s="1168"/>
    </row>
    <row r="35229" spans="2:2" s="221" customFormat="1" ht="12.75" x14ac:dyDescent="0.2">
      <c r="B35229" s="1168"/>
    </row>
    <row r="35230" spans="2:2" s="221" customFormat="1" ht="12.75" x14ac:dyDescent="0.2">
      <c r="B35230" s="1168"/>
    </row>
    <row r="35231" spans="2:2" s="221" customFormat="1" ht="12.75" x14ac:dyDescent="0.2">
      <c r="B35231" s="1168"/>
    </row>
    <row r="35232" spans="2:2" s="221" customFormat="1" ht="12.75" x14ac:dyDescent="0.2">
      <c r="B35232" s="1168"/>
    </row>
    <row r="35233" spans="2:2" s="221" customFormat="1" ht="12.75" x14ac:dyDescent="0.2">
      <c r="B35233" s="1168"/>
    </row>
    <row r="35234" spans="2:2" s="221" customFormat="1" ht="12.75" x14ac:dyDescent="0.2">
      <c r="B35234" s="1168"/>
    </row>
    <row r="35235" spans="2:2" s="221" customFormat="1" ht="12.75" x14ac:dyDescent="0.2">
      <c r="B35235" s="1168"/>
    </row>
    <row r="35236" spans="2:2" s="221" customFormat="1" ht="12.75" x14ac:dyDescent="0.2">
      <c r="B35236" s="1168"/>
    </row>
    <row r="35237" spans="2:2" s="221" customFormat="1" ht="12.75" x14ac:dyDescent="0.2">
      <c r="B35237" s="1168"/>
    </row>
    <row r="35238" spans="2:2" s="221" customFormat="1" ht="12.75" x14ac:dyDescent="0.2">
      <c r="B35238" s="1168"/>
    </row>
    <row r="35239" spans="2:2" s="221" customFormat="1" ht="12.75" x14ac:dyDescent="0.2">
      <c r="B35239" s="1168"/>
    </row>
    <row r="35240" spans="2:2" s="221" customFormat="1" ht="12.75" x14ac:dyDescent="0.2">
      <c r="B35240" s="1168"/>
    </row>
    <row r="35241" spans="2:2" s="221" customFormat="1" ht="12.75" x14ac:dyDescent="0.2">
      <c r="B35241" s="1168"/>
    </row>
    <row r="35242" spans="2:2" s="221" customFormat="1" ht="12.75" x14ac:dyDescent="0.2">
      <c r="B35242" s="1168"/>
    </row>
    <row r="35243" spans="2:2" s="221" customFormat="1" ht="12.75" x14ac:dyDescent="0.2">
      <c r="B35243" s="1168"/>
    </row>
    <row r="35244" spans="2:2" s="221" customFormat="1" ht="12.75" x14ac:dyDescent="0.2">
      <c r="B35244" s="1168"/>
    </row>
    <row r="35245" spans="2:2" s="221" customFormat="1" ht="12.75" x14ac:dyDescent="0.2">
      <c r="B35245" s="1168"/>
    </row>
    <row r="35246" spans="2:2" s="221" customFormat="1" ht="12.75" x14ac:dyDescent="0.2">
      <c r="B35246" s="1168"/>
    </row>
    <row r="35247" spans="2:2" s="221" customFormat="1" ht="12.75" x14ac:dyDescent="0.2">
      <c r="B35247" s="1168"/>
    </row>
    <row r="35248" spans="2:2" s="221" customFormat="1" ht="12.75" x14ac:dyDescent="0.2">
      <c r="B35248" s="1168"/>
    </row>
    <row r="35249" spans="2:2" s="221" customFormat="1" ht="12.75" x14ac:dyDescent="0.2">
      <c r="B35249" s="1168"/>
    </row>
    <row r="35250" spans="2:2" s="221" customFormat="1" ht="12.75" x14ac:dyDescent="0.2">
      <c r="B35250" s="1168"/>
    </row>
    <row r="35251" spans="2:2" s="221" customFormat="1" ht="12.75" x14ac:dyDescent="0.2">
      <c r="B35251" s="1168"/>
    </row>
    <row r="35252" spans="2:2" s="221" customFormat="1" ht="12.75" x14ac:dyDescent="0.2">
      <c r="B35252" s="1168"/>
    </row>
    <row r="35253" spans="2:2" s="221" customFormat="1" ht="12.75" x14ac:dyDescent="0.2">
      <c r="B35253" s="1168"/>
    </row>
    <row r="35254" spans="2:2" s="221" customFormat="1" ht="12.75" x14ac:dyDescent="0.2">
      <c r="B35254" s="1168"/>
    </row>
    <row r="35255" spans="2:2" s="221" customFormat="1" ht="12.75" x14ac:dyDescent="0.2">
      <c r="B35255" s="1168"/>
    </row>
    <row r="35256" spans="2:2" s="221" customFormat="1" ht="12.75" x14ac:dyDescent="0.2">
      <c r="B35256" s="1168"/>
    </row>
    <row r="35257" spans="2:2" s="221" customFormat="1" ht="12.75" x14ac:dyDescent="0.2">
      <c r="B35257" s="1168"/>
    </row>
    <row r="35258" spans="2:2" s="221" customFormat="1" ht="12.75" x14ac:dyDescent="0.2">
      <c r="B35258" s="1168"/>
    </row>
    <row r="35259" spans="2:2" s="221" customFormat="1" ht="12.75" x14ac:dyDescent="0.2">
      <c r="B35259" s="1168"/>
    </row>
    <row r="35260" spans="2:2" s="221" customFormat="1" ht="12.75" x14ac:dyDescent="0.2">
      <c r="B35260" s="1168"/>
    </row>
    <row r="35261" spans="2:2" s="221" customFormat="1" ht="12.75" x14ac:dyDescent="0.2">
      <c r="B35261" s="1168"/>
    </row>
    <row r="35262" spans="2:2" s="221" customFormat="1" ht="12.75" x14ac:dyDescent="0.2">
      <c r="B35262" s="1168"/>
    </row>
    <row r="35263" spans="2:2" s="221" customFormat="1" ht="12.75" x14ac:dyDescent="0.2">
      <c r="B35263" s="1168"/>
    </row>
    <row r="35264" spans="2:2" s="221" customFormat="1" ht="12.75" x14ac:dyDescent="0.2">
      <c r="B35264" s="1168"/>
    </row>
    <row r="35265" spans="2:2" s="221" customFormat="1" ht="12.75" x14ac:dyDescent="0.2">
      <c r="B35265" s="1168"/>
    </row>
    <row r="35266" spans="2:2" s="221" customFormat="1" ht="12.75" x14ac:dyDescent="0.2">
      <c r="B35266" s="1168"/>
    </row>
    <row r="35267" spans="2:2" s="221" customFormat="1" ht="12.75" x14ac:dyDescent="0.2">
      <c r="B35267" s="1168"/>
    </row>
    <row r="35268" spans="2:2" s="221" customFormat="1" ht="12.75" x14ac:dyDescent="0.2">
      <c r="B35268" s="1168"/>
    </row>
    <row r="35269" spans="2:2" s="221" customFormat="1" ht="12.75" x14ac:dyDescent="0.2">
      <c r="B35269" s="1168"/>
    </row>
    <row r="35270" spans="2:2" s="221" customFormat="1" ht="12.75" x14ac:dyDescent="0.2">
      <c r="B35270" s="1168"/>
    </row>
    <row r="35271" spans="2:2" s="221" customFormat="1" ht="12.75" x14ac:dyDescent="0.2">
      <c r="B35271" s="1168"/>
    </row>
    <row r="35272" spans="2:2" s="221" customFormat="1" ht="12.75" x14ac:dyDescent="0.2">
      <c r="B35272" s="1168"/>
    </row>
    <row r="35273" spans="2:2" s="221" customFormat="1" ht="12.75" x14ac:dyDescent="0.2">
      <c r="B35273" s="1168"/>
    </row>
    <row r="35274" spans="2:2" s="221" customFormat="1" ht="12.75" x14ac:dyDescent="0.2">
      <c r="B35274" s="1168"/>
    </row>
    <row r="35275" spans="2:2" s="221" customFormat="1" ht="12.75" x14ac:dyDescent="0.2">
      <c r="B35275" s="1168"/>
    </row>
    <row r="35276" spans="2:2" s="221" customFormat="1" ht="12.75" x14ac:dyDescent="0.2">
      <c r="B35276" s="1168"/>
    </row>
    <row r="35277" spans="2:2" s="221" customFormat="1" ht="12.75" x14ac:dyDescent="0.2">
      <c r="B35277" s="1168"/>
    </row>
    <row r="35278" spans="2:2" s="221" customFormat="1" ht="12.75" x14ac:dyDescent="0.2">
      <c r="B35278" s="1168"/>
    </row>
    <row r="35279" spans="2:2" s="221" customFormat="1" ht="12.75" x14ac:dyDescent="0.2">
      <c r="B35279" s="1168"/>
    </row>
    <row r="35280" spans="2:2" s="221" customFormat="1" ht="12.75" x14ac:dyDescent="0.2">
      <c r="B35280" s="1168"/>
    </row>
    <row r="35281" spans="2:2" s="221" customFormat="1" ht="12.75" x14ac:dyDescent="0.2">
      <c r="B35281" s="1168"/>
    </row>
    <row r="35282" spans="2:2" s="221" customFormat="1" ht="12.75" x14ac:dyDescent="0.2">
      <c r="B35282" s="1168"/>
    </row>
    <row r="35283" spans="2:2" s="221" customFormat="1" ht="12.75" x14ac:dyDescent="0.2">
      <c r="B35283" s="1168"/>
    </row>
    <row r="35284" spans="2:2" s="221" customFormat="1" ht="12.75" x14ac:dyDescent="0.2">
      <c r="B35284" s="1168"/>
    </row>
    <row r="35285" spans="2:2" s="221" customFormat="1" ht="12.75" x14ac:dyDescent="0.2">
      <c r="B35285" s="1168"/>
    </row>
    <row r="35286" spans="2:2" s="221" customFormat="1" ht="12.75" x14ac:dyDescent="0.2">
      <c r="B35286" s="1168"/>
    </row>
    <row r="35287" spans="2:2" s="221" customFormat="1" ht="12.75" x14ac:dyDescent="0.2">
      <c r="B35287" s="1168"/>
    </row>
    <row r="35288" spans="2:2" s="221" customFormat="1" ht="12.75" x14ac:dyDescent="0.2">
      <c r="B35288" s="1168"/>
    </row>
    <row r="35289" spans="2:2" s="221" customFormat="1" ht="12.75" x14ac:dyDescent="0.2">
      <c r="B35289" s="1168"/>
    </row>
    <row r="35290" spans="2:2" s="221" customFormat="1" ht="12.75" x14ac:dyDescent="0.2">
      <c r="B35290" s="1168"/>
    </row>
    <row r="35291" spans="2:2" s="221" customFormat="1" ht="12.75" x14ac:dyDescent="0.2">
      <c r="B35291" s="1168"/>
    </row>
    <row r="35292" spans="2:2" s="221" customFormat="1" ht="12.75" x14ac:dyDescent="0.2">
      <c r="B35292" s="1168"/>
    </row>
    <row r="35293" spans="2:2" s="221" customFormat="1" ht="12.75" x14ac:dyDescent="0.2">
      <c r="B35293" s="1168"/>
    </row>
    <row r="35294" spans="2:2" s="221" customFormat="1" ht="12.75" x14ac:dyDescent="0.2">
      <c r="B35294" s="1168"/>
    </row>
    <row r="35295" spans="2:2" s="221" customFormat="1" ht="12.75" x14ac:dyDescent="0.2">
      <c r="B35295" s="1168"/>
    </row>
    <row r="35296" spans="2:2" s="221" customFormat="1" ht="12.75" x14ac:dyDescent="0.2">
      <c r="B35296" s="1168"/>
    </row>
    <row r="35297" spans="2:2" s="221" customFormat="1" ht="12.75" x14ac:dyDescent="0.2">
      <c r="B35297" s="1168"/>
    </row>
    <row r="35298" spans="2:2" s="221" customFormat="1" ht="12.75" x14ac:dyDescent="0.2">
      <c r="B35298" s="1168"/>
    </row>
    <row r="35299" spans="2:2" s="221" customFormat="1" ht="12.75" x14ac:dyDescent="0.2">
      <c r="B35299" s="1168"/>
    </row>
    <row r="35300" spans="2:2" s="221" customFormat="1" ht="12.75" x14ac:dyDescent="0.2">
      <c r="B35300" s="1168"/>
    </row>
    <row r="35301" spans="2:2" s="221" customFormat="1" ht="12.75" x14ac:dyDescent="0.2">
      <c r="B35301" s="1168"/>
    </row>
    <row r="35302" spans="2:2" s="221" customFormat="1" ht="12.75" x14ac:dyDescent="0.2">
      <c r="B35302" s="1168"/>
    </row>
    <row r="35303" spans="2:2" s="221" customFormat="1" ht="12.75" x14ac:dyDescent="0.2">
      <c r="B35303" s="1168"/>
    </row>
    <row r="35304" spans="2:2" s="221" customFormat="1" ht="12.75" x14ac:dyDescent="0.2">
      <c r="B35304" s="1168"/>
    </row>
    <row r="35305" spans="2:2" s="221" customFormat="1" ht="12.75" x14ac:dyDescent="0.2">
      <c r="B35305" s="1168"/>
    </row>
    <row r="35306" spans="2:2" s="221" customFormat="1" ht="12.75" x14ac:dyDescent="0.2">
      <c r="B35306" s="1168"/>
    </row>
    <row r="35307" spans="2:2" s="221" customFormat="1" ht="12.75" x14ac:dyDescent="0.2">
      <c r="B35307" s="1168"/>
    </row>
    <row r="35308" spans="2:2" s="221" customFormat="1" ht="12.75" x14ac:dyDescent="0.2">
      <c r="B35308" s="1168"/>
    </row>
    <row r="35309" spans="2:2" s="221" customFormat="1" ht="12.75" x14ac:dyDescent="0.2">
      <c r="B35309" s="1168"/>
    </row>
    <row r="35310" spans="2:2" s="221" customFormat="1" ht="12.75" x14ac:dyDescent="0.2">
      <c r="B35310" s="1168"/>
    </row>
    <row r="35311" spans="2:2" s="221" customFormat="1" ht="12.75" x14ac:dyDescent="0.2">
      <c r="B35311" s="1168"/>
    </row>
    <row r="35312" spans="2:2" s="221" customFormat="1" ht="12.75" x14ac:dyDescent="0.2">
      <c r="B35312" s="1168"/>
    </row>
    <row r="35313" spans="2:2" s="221" customFormat="1" ht="12.75" x14ac:dyDescent="0.2">
      <c r="B35313" s="1168"/>
    </row>
    <row r="35314" spans="2:2" s="221" customFormat="1" ht="12.75" x14ac:dyDescent="0.2">
      <c r="B35314" s="1168"/>
    </row>
    <row r="35315" spans="2:2" s="221" customFormat="1" ht="12.75" x14ac:dyDescent="0.2">
      <c r="B35315" s="1168"/>
    </row>
    <row r="35316" spans="2:2" s="221" customFormat="1" ht="12.75" x14ac:dyDescent="0.2">
      <c r="B35316" s="1168"/>
    </row>
    <row r="35317" spans="2:2" s="221" customFormat="1" ht="12.75" x14ac:dyDescent="0.2">
      <c r="B35317" s="1168"/>
    </row>
    <row r="35318" spans="2:2" s="221" customFormat="1" ht="12.75" x14ac:dyDescent="0.2">
      <c r="B35318" s="1168"/>
    </row>
    <row r="35319" spans="2:2" s="221" customFormat="1" ht="12.75" x14ac:dyDescent="0.2">
      <c r="B35319" s="1168"/>
    </row>
    <row r="35320" spans="2:2" s="221" customFormat="1" ht="12.75" x14ac:dyDescent="0.2">
      <c r="B35320" s="1168"/>
    </row>
    <row r="35321" spans="2:2" s="221" customFormat="1" ht="12.75" x14ac:dyDescent="0.2">
      <c r="B35321" s="1168"/>
    </row>
    <row r="35322" spans="2:2" s="221" customFormat="1" ht="12.75" x14ac:dyDescent="0.2">
      <c r="B35322" s="1168"/>
    </row>
    <row r="35323" spans="2:2" s="221" customFormat="1" ht="12.75" x14ac:dyDescent="0.2">
      <c r="B35323" s="1168"/>
    </row>
    <row r="35324" spans="2:2" s="221" customFormat="1" ht="12.75" x14ac:dyDescent="0.2">
      <c r="B35324" s="1168"/>
    </row>
    <row r="35325" spans="2:2" s="221" customFormat="1" ht="12.75" x14ac:dyDescent="0.2">
      <c r="B35325" s="1168"/>
    </row>
    <row r="35326" spans="2:2" s="221" customFormat="1" ht="12.75" x14ac:dyDescent="0.2">
      <c r="B35326" s="1168"/>
    </row>
    <row r="35327" spans="2:2" s="221" customFormat="1" ht="12.75" x14ac:dyDescent="0.2">
      <c r="B35327" s="1168"/>
    </row>
    <row r="35328" spans="2:2" s="221" customFormat="1" ht="12.75" x14ac:dyDescent="0.2">
      <c r="B35328" s="1168"/>
    </row>
    <row r="35329" spans="2:2" s="221" customFormat="1" ht="12.75" x14ac:dyDescent="0.2">
      <c r="B35329" s="1168"/>
    </row>
    <row r="35330" spans="2:2" s="221" customFormat="1" ht="12.75" x14ac:dyDescent="0.2">
      <c r="B35330" s="1168"/>
    </row>
    <row r="35331" spans="2:2" s="221" customFormat="1" ht="12.75" x14ac:dyDescent="0.2">
      <c r="B35331" s="1168"/>
    </row>
    <row r="35332" spans="2:2" s="221" customFormat="1" ht="12.75" x14ac:dyDescent="0.2">
      <c r="B35332" s="1168"/>
    </row>
    <row r="35333" spans="2:2" s="221" customFormat="1" ht="12.75" x14ac:dyDescent="0.2">
      <c r="B35333" s="1168"/>
    </row>
    <row r="35334" spans="2:2" s="221" customFormat="1" ht="12.75" x14ac:dyDescent="0.2">
      <c r="B35334" s="1168"/>
    </row>
    <row r="35335" spans="2:2" s="221" customFormat="1" ht="12.75" x14ac:dyDescent="0.2">
      <c r="B35335" s="1168"/>
    </row>
    <row r="35336" spans="2:2" s="221" customFormat="1" ht="12.75" x14ac:dyDescent="0.2">
      <c r="B35336" s="1168"/>
    </row>
    <row r="35337" spans="2:2" s="221" customFormat="1" ht="12.75" x14ac:dyDescent="0.2">
      <c r="B35337" s="1168"/>
    </row>
    <row r="35338" spans="2:2" s="221" customFormat="1" ht="12.75" x14ac:dyDescent="0.2">
      <c r="B35338" s="1168"/>
    </row>
    <row r="35339" spans="2:2" s="221" customFormat="1" ht="12.75" x14ac:dyDescent="0.2">
      <c r="B35339" s="1168"/>
    </row>
    <row r="35340" spans="2:2" s="221" customFormat="1" ht="12.75" x14ac:dyDescent="0.2">
      <c r="B35340" s="1168"/>
    </row>
    <row r="35341" spans="2:2" s="221" customFormat="1" ht="12.75" x14ac:dyDescent="0.2">
      <c r="B35341" s="1168"/>
    </row>
    <row r="35342" spans="2:2" s="221" customFormat="1" ht="12.75" x14ac:dyDescent="0.2">
      <c r="B35342" s="1168"/>
    </row>
    <row r="35343" spans="2:2" s="221" customFormat="1" ht="12.75" x14ac:dyDescent="0.2">
      <c r="B35343" s="1168"/>
    </row>
    <row r="35344" spans="2:2" s="221" customFormat="1" ht="12.75" x14ac:dyDescent="0.2">
      <c r="B35344" s="1168"/>
    </row>
    <row r="35345" spans="2:2" s="221" customFormat="1" ht="12.75" x14ac:dyDescent="0.2">
      <c r="B35345" s="1168"/>
    </row>
    <row r="35346" spans="2:2" s="221" customFormat="1" ht="12.75" x14ac:dyDescent="0.2">
      <c r="B35346" s="1168"/>
    </row>
    <row r="35347" spans="2:2" s="221" customFormat="1" ht="12.75" x14ac:dyDescent="0.2">
      <c r="B35347" s="1168"/>
    </row>
    <row r="35348" spans="2:2" s="221" customFormat="1" ht="12.75" x14ac:dyDescent="0.2">
      <c r="B35348" s="1168"/>
    </row>
    <row r="35349" spans="2:2" s="221" customFormat="1" ht="12.75" x14ac:dyDescent="0.2">
      <c r="B35349" s="1168"/>
    </row>
    <row r="35350" spans="2:2" s="221" customFormat="1" ht="12.75" x14ac:dyDescent="0.2">
      <c r="B35350" s="1168"/>
    </row>
    <row r="35351" spans="2:2" s="221" customFormat="1" ht="12.75" x14ac:dyDescent="0.2">
      <c r="B35351" s="1168"/>
    </row>
    <row r="35352" spans="2:2" s="221" customFormat="1" ht="12.75" x14ac:dyDescent="0.2">
      <c r="B35352" s="1168"/>
    </row>
    <row r="35353" spans="2:2" s="221" customFormat="1" ht="12.75" x14ac:dyDescent="0.2">
      <c r="B35353" s="1168"/>
    </row>
    <row r="35354" spans="2:2" s="221" customFormat="1" ht="12.75" x14ac:dyDescent="0.2">
      <c r="B35354" s="1168"/>
    </row>
    <row r="35355" spans="2:2" s="221" customFormat="1" ht="12.75" x14ac:dyDescent="0.2">
      <c r="B35355" s="1168"/>
    </row>
    <row r="35356" spans="2:2" s="221" customFormat="1" ht="12.75" x14ac:dyDescent="0.2">
      <c r="B35356" s="1168"/>
    </row>
    <row r="35357" spans="2:2" s="221" customFormat="1" ht="12.75" x14ac:dyDescent="0.2">
      <c r="B35357" s="1168"/>
    </row>
    <row r="35358" spans="2:2" s="221" customFormat="1" ht="12.75" x14ac:dyDescent="0.2">
      <c r="B35358" s="1168"/>
    </row>
    <row r="35359" spans="2:2" s="221" customFormat="1" ht="12.75" x14ac:dyDescent="0.2">
      <c r="B35359" s="1168"/>
    </row>
    <row r="35360" spans="2:2" s="221" customFormat="1" ht="12.75" x14ac:dyDescent="0.2">
      <c r="B35360" s="1168"/>
    </row>
    <row r="35361" spans="2:2" s="221" customFormat="1" ht="12.75" x14ac:dyDescent="0.2">
      <c r="B35361" s="1168"/>
    </row>
    <row r="35362" spans="2:2" s="221" customFormat="1" ht="12.75" x14ac:dyDescent="0.2">
      <c r="B35362" s="1168"/>
    </row>
    <row r="35363" spans="2:2" s="221" customFormat="1" ht="12.75" x14ac:dyDescent="0.2">
      <c r="B35363" s="1168"/>
    </row>
    <row r="35364" spans="2:2" s="221" customFormat="1" ht="12.75" x14ac:dyDescent="0.2">
      <c r="B35364" s="1168"/>
    </row>
    <row r="35365" spans="2:2" s="221" customFormat="1" ht="12.75" x14ac:dyDescent="0.2">
      <c r="B35365" s="1168"/>
    </row>
    <row r="35366" spans="2:2" s="221" customFormat="1" ht="12.75" x14ac:dyDescent="0.2">
      <c r="B35366" s="1168"/>
    </row>
    <row r="35367" spans="2:2" s="221" customFormat="1" ht="12.75" x14ac:dyDescent="0.2">
      <c r="B35367" s="1168"/>
    </row>
    <row r="35368" spans="2:2" s="221" customFormat="1" ht="12.75" x14ac:dyDescent="0.2">
      <c r="B35368" s="1168"/>
    </row>
    <row r="35369" spans="2:2" s="221" customFormat="1" ht="12.75" x14ac:dyDescent="0.2">
      <c r="B35369" s="1168"/>
    </row>
    <row r="35370" spans="2:2" s="221" customFormat="1" ht="12.75" x14ac:dyDescent="0.2">
      <c r="B35370" s="1168"/>
    </row>
    <row r="35371" spans="2:2" s="221" customFormat="1" ht="12.75" x14ac:dyDescent="0.2">
      <c r="B35371" s="1168"/>
    </row>
    <row r="35372" spans="2:2" s="221" customFormat="1" ht="12.75" x14ac:dyDescent="0.2">
      <c r="B35372" s="1168"/>
    </row>
    <row r="35373" spans="2:2" s="221" customFormat="1" ht="12.75" x14ac:dyDescent="0.2">
      <c r="B35373" s="1168"/>
    </row>
    <row r="35374" spans="2:2" s="221" customFormat="1" ht="12.75" x14ac:dyDescent="0.2">
      <c r="B35374" s="1168"/>
    </row>
    <row r="35375" spans="2:2" s="221" customFormat="1" ht="12.75" x14ac:dyDescent="0.2">
      <c r="B35375" s="1168"/>
    </row>
    <row r="35376" spans="2:2" s="221" customFormat="1" ht="12.75" x14ac:dyDescent="0.2">
      <c r="B35376" s="1168"/>
    </row>
    <row r="35377" spans="2:2" s="221" customFormat="1" ht="12.75" x14ac:dyDescent="0.2">
      <c r="B35377" s="1168"/>
    </row>
    <row r="35378" spans="2:2" s="221" customFormat="1" ht="12.75" x14ac:dyDescent="0.2">
      <c r="B35378" s="1168"/>
    </row>
    <row r="35379" spans="2:2" s="221" customFormat="1" ht="12.75" x14ac:dyDescent="0.2">
      <c r="B35379" s="1168"/>
    </row>
    <row r="35380" spans="2:2" s="221" customFormat="1" ht="12.75" x14ac:dyDescent="0.2">
      <c r="B35380" s="1168"/>
    </row>
    <row r="35381" spans="2:2" s="221" customFormat="1" ht="12.75" x14ac:dyDescent="0.2">
      <c r="B35381" s="1168"/>
    </row>
    <row r="35382" spans="2:2" s="221" customFormat="1" ht="12.75" x14ac:dyDescent="0.2">
      <c r="B35382" s="1168"/>
    </row>
    <row r="35383" spans="2:2" s="221" customFormat="1" ht="12.75" x14ac:dyDescent="0.2">
      <c r="B35383" s="1168"/>
    </row>
    <row r="35384" spans="2:2" s="221" customFormat="1" ht="12.75" x14ac:dyDescent="0.2">
      <c r="B35384" s="1168"/>
    </row>
    <row r="35385" spans="2:2" s="221" customFormat="1" ht="12.75" x14ac:dyDescent="0.2">
      <c r="B35385" s="1168"/>
    </row>
    <row r="35386" spans="2:2" s="221" customFormat="1" ht="12.75" x14ac:dyDescent="0.2">
      <c r="B35386" s="1168"/>
    </row>
    <row r="35387" spans="2:2" s="221" customFormat="1" ht="12.75" x14ac:dyDescent="0.2">
      <c r="B35387" s="1168"/>
    </row>
    <row r="35388" spans="2:2" s="221" customFormat="1" ht="12.75" x14ac:dyDescent="0.2">
      <c r="B35388" s="1168"/>
    </row>
    <row r="35389" spans="2:2" s="221" customFormat="1" ht="12.75" x14ac:dyDescent="0.2">
      <c r="B35389" s="1168"/>
    </row>
    <row r="35390" spans="2:2" s="221" customFormat="1" ht="12.75" x14ac:dyDescent="0.2">
      <c r="B35390" s="1168"/>
    </row>
    <row r="35391" spans="2:2" s="221" customFormat="1" ht="12.75" x14ac:dyDescent="0.2">
      <c r="B35391" s="1168"/>
    </row>
    <row r="35392" spans="2:2" s="221" customFormat="1" ht="12.75" x14ac:dyDescent="0.2">
      <c r="B35392" s="1168"/>
    </row>
    <row r="35393" spans="2:2" s="221" customFormat="1" ht="12.75" x14ac:dyDescent="0.2">
      <c r="B35393" s="1168"/>
    </row>
    <row r="35394" spans="2:2" s="221" customFormat="1" ht="12.75" x14ac:dyDescent="0.2">
      <c r="B35394" s="1168"/>
    </row>
    <row r="35395" spans="2:2" s="221" customFormat="1" ht="12.75" x14ac:dyDescent="0.2">
      <c r="B35395" s="1168"/>
    </row>
    <row r="35396" spans="2:2" s="221" customFormat="1" ht="12.75" x14ac:dyDescent="0.2">
      <c r="B35396" s="1168"/>
    </row>
    <row r="35397" spans="2:2" s="221" customFormat="1" ht="12.75" x14ac:dyDescent="0.2">
      <c r="B35397" s="1168"/>
    </row>
    <row r="35398" spans="2:2" s="221" customFormat="1" ht="12.75" x14ac:dyDescent="0.2">
      <c r="B35398" s="1168"/>
    </row>
    <row r="35399" spans="2:2" s="221" customFormat="1" ht="12.75" x14ac:dyDescent="0.2">
      <c r="B35399" s="1168"/>
    </row>
    <row r="35400" spans="2:2" s="221" customFormat="1" ht="12.75" x14ac:dyDescent="0.2">
      <c r="B35400" s="1168"/>
    </row>
    <row r="35401" spans="2:2" s="221" customFormat="1" ht="12.75" x14ac:dyDescent="0.2">
      <c r="B35401" s="1168"/>
    </row>
    <row r="35402" spans="2:2" s="221" customFormat="1" ht="12.75" x14ac:dyDescent="0.2">
      <c r="B35402" s="1168"/>
    </row>
    <row r="35403" spans="2:2" s="221" customFormat="1" ht="12.75" x14ac:dyDescent="0.2">
      <c r="B35403" s="1168"/>
    </row>
    <row r="35404" spans="2:2" s="221" customFormat="1" ht="12.75" x14ac:dyDescent="0.2">
      <c r="B35404" s="1168"/>
    </row>
    <row r="35405" spans="2:2" s="221" customFormat="1" ht="12.75" x14ac:dyDescent="0.2">
      <c r="B35405" s="1168"/>
    </row>
    <row r="35406" spans="2:2" s="221" customFormat="1" ht="12.75" x14ac:dyDescent="0.2">
      <c r="B35406" s="1168"/>
    </row>
    <row r="35407" spans="2:2" s="221" customFormat="1" ht="12.75" x14ac:dyDescent="0.2">
      <c r="B35407" s="1168"/>
    </row>
    <row r="35408" spans="2:2" s="221" customFormat="1" ht="12.75" x14ac:dyDescent="0.2">
      <c r="B35408" s="1168"/>
    </row>
    <row r="35409" spans="2:2" s="221" customFormat="1" ht="12.75" x14ac:dyDescent="0.2">
      <c r="B35409" s="1168"/>
    </row>
    <row r="35410" spans="2:2" s="221" customFormat="1" ht="12.75" x14ac:dyDescent="0.2">
      <c r="B35410" s="1168"/>
    </row>
    <row r="35411" spans="2:2" s="221" customFormat="1" ht="12.75" x14ac:dyDescent="0.2">
      <c r="B35411" s="1168"/>
    </row>
    <row r="35412" spans="2:2" s="221" customFormat="1" ht="12.75" x14ac:dyDescent="0.2">
      <c r="B35412" s="1168"/>
    </row>
    <row r="35413" spans="2:2" s="221" customFormat="1" ht="12.75" x14ac:dyDescent="0.2">
      <c r="B35413" s="1168"/>
    </row>
    <row r="35414" spans="2:2" s="221" customFormat="1" ht="12.75" x14ac:dyDescent="0.2">
      <c r="B35414" s="1168"/>
    </row>
    <row r="35415" spans="2:2" s="221" customFormat="1" ht="12.75" x14ac:dyDescent="0.2">
      <c r="B35415" s="1168"/>
    </row>
    <row r="35416" spans="2:2" s="221" customFormat="1" ht="12.75" x14ac:dyDescent="0.2">
      <c r="B35416" s="1168"/>
    </row>
    <row r="35417" spans="2:2" s="221" customFormat="1" ht="12.75" x14ac:dyDescent="0.2">
      <c r="B35417" s="1168"/>
    </row>
    <row r="35418" spans="2:2" s="221" customFormat="1" ht="12.75" x14ac:dyDescent="0.2">
      <c r="B35418" s="1168"/>
    </row>
    <row r="35419" spans="2:2" s="221" customFormat="1" ht="12.75" x14ac:dyDescent="0.2">
      <c r="B35419" s="1168"/>
    </row>
    <row r="35420" spans="2:2" s="221" customFormat="1" ht="12.75" x14ac:dyDescent="0.2">
      <c r="B35420" s="1168"/>
    </row>
    <row r="35421" spans="2:2" s="221" customFormat="1" ht="12.75" x14ac:dyDescent="0.2">
      <c r="B35421" s="1168"/>
    </row>
    <row r="35422" spans="2:2" s="221" customFormat="1" ht="12.75" x14ac:dyDescent="0.2">
      <c r="B35422" s="1168"/>
    </row>
    <row r="35423" spans="2:2" s="221" customFormat="1" ht="12.75" x14ac:dyDescent="0.2">
      <c r="B35423" s="1168"/>
    </row>
    <row r="35424" spans="2:2" s="221" customFormat="1" ht="12.75" x14ac:dyDescent="0.2">
      <c r="B35424" s="1168"/>
    </row>
    <row r="35425" spans="2:2" s="221" customFormat="1" ht="12.75" x14ac:dyDescent="0.2">
      <c r="B35425" s="1168"/>
    </row>
    <row r="35426" spans="2:2" s="221" customFormat="1" ht="12.75" x14ac:dyDescent="0.2">
      <c r="B35426" s="1168"/>
    </row>
    <row r="35427" spans="2:2" s="221" customFormat="1" ht="12.75" x14ac:dyDescent="0.2">
      <c r="B35427" s="1168"/>
    </row>
    <row r="35428" spans="2:2" s="221" customFormat="1" ht="12.75" x14ac:dyDescent="0.2">
      <c r="B35428" s="1168"/>
    </row>
    <row r="35429" spans="2:2" s="221" customFormat="1" ht="12.75" x14ac:dyDescent="0.2">
      <c r="B35429" s="1168"/>
    </row>
    <row r="35430" spans="2:2" s="221" customFormat="1" ht="12.75" x14ac:dyDescent="0.2">
      <c r="B35430" s="1168"/>
    </row>
    <row r="35431" spans="2:2" s="221" customFormat="1" ht="12.75" x14ac:dyDescent="0.2">
      <c r="B35431" s="1168"/>
    </row>
    <row r="35432" spans="2:2" s="221" customFormat="1" ht="12.75" x14ac:dyDescent="0.2">
      <c r="B35432" s="1168"/>
    </row>
    <row r="35433" spans="2:2" s="221" customFormat="1" ht="12.75" x14ac:dyDescent="0.2">
      <c r="B35433" s="1168"/>
    </row>
    <row r="35434" spans="2:2" s="221" customFormat="1" ht="12.75" x14ac:dyDescent="0.2">
      <c r="B35434" s="1168"/>
    </row>
    <row r="35435" spans="2:2" s="221" customFormat="1" ht="12.75" x14ac:dyDescent="0.2">
      <c r="B35435" s="1168"/>
    </row>
    <row r="35436" spans="2:2" s="221" customFormat="1" ht="12.75" x14ac:dyDescent="0.2">
      <c r="B35436" s="1168"/>
    </row>
    <row r="35437" spans="2:2" s="221" customFormat="1" ht="12.75" x14ac:dyDescent="0.2">
      <c r="B35437" s="1168"/>
    </row>
    <row r="35438" spans="2:2" s="221" customFormat="1" ht="12.75" x14ac:dyDescent="0.2">
      <c r="B35438" s="1168"/>
    </row>
    <row r="35439" spans="2:2" s="221" customFormat="1" ht="12.75" x14ac:dyDescent="0.2">
      <c r="B35439" s="1168"/>
    </row>
    <row r="35440" spans="2:2" s="221" customFormat="1" ht="12.75" x14ac:dyDescent="0.2">
      <c r="B35440" s="1168"/>
    </row>
    <row r="35441" spans="2:2" s="221" customFormat="1" ht="12.75" x14ac:dyDescent="0.2">
      <c r="B35441" s="1168"/>
    </row>
    <row r="35442" spans="2:2" s="221" customFormat="1" ht="12.75" x14ac:dyDescent="0.2">
      <c r="B35442" s="1168"/>
    </row>
    <row r="35443" spans="2:2" s="221" customFormat="1" ht="12.75" x14ac:dyDescent="0.2">
      <c r="B35443" s="1168"/>
    </row>
    <row r="35444" spans="2:2" s="221" customFormat="1" ht="12.75" x14ac:dyDescent="0.2">
      <c r="B35444" s="1168"/>
    </row>
    <row r="35445" spans="2:2" s="221" customFormat="1" ht="12.75" x14ac:dyDescent="0.2">
      <c r="B35445" s="1168"/>
    </row>
    <row r="35446" spans="2:2" s="221" customFormat="1" ht="12.75" x14ac:dyDescent="0.2">
      <c r="B35446" s="1168"/>
    </row>
    <row r="35447" spans="2:2" s="221" customFormat="1" ht="12.75" x14ac:dyDescent="0.2">
      <c r="B35447" s="1168"/>
    </row>
    <row r="35448" spans="2:2" s="221" customFormat="1" ht="12.75" x14ac:dyDescent="0.2">
      <c r="B35448" s="1168"/>
    </row>
    <row r="35449" spans="2:2" s="221" customFormat="1" ht="12.75" x14ac:dyDescent="0.2">
      <c r="B35449" s="1168"/>
    </row>
    <row r="35450" spans="2:2" s="221" customFormat="1" ht="12.75" x14ac:dyDescent="0.2">
      <c r="B35450" s="1168"/>
    </row>
    <row r="35451" spans="2:2" s="221" customFormat="1" ht="12.75" x14ac:dyDescent="0.2">
      <c r="B35451" s="1168"/>
    </row>
    <row r="35452" spans="2:2" s="221" customFormat="1" ht="12.75" x14ac:dyDescent="0.2">
      <c r="B35452" s="1168"/>
    </row>
    <row r="35453" spans="2:2" s="221" customFormat="1" ht="12.75" x14ac:dyDescent="0.2">
      <c r="B35453" s="1168"/>
    </row>
    <row r="35454" spans="2:2" s="221" customFormat="1" ht="12.75" x14ac:dyDescent="0.2">
      <c r="B35454" s="1168"/>
    </row>
    <row r="35455" spans="2:2" s="221" customFormat="1" ht="12.75" x14ac:dyDescent="0.2">
      <c r="B35455" s="1168"/>
    </row>
    <row r="35456" spans="2:2" s="221" customFormat="1" ht="12.75" x14ac:dyDescent="0.2">
      <c r="B35456" s="1168"/>
    </row>
    <row r="35457" spans="2:2" s="221" customFormat="1" ht="12.75" x14ac:dyDescent="0.2">
      <c r="B35457" s="1168"/>
    </row>
    <row r="35458" spans="2:2" s="221" customFormat="1" ht="12.75" x14ac:dyDescent="0.2">
      <c r="B35458" s="1168"/>
    </row>
    <row r="35459" spans="2:2" s="221" customFormat="1" ht="12.75" x14ac:dyDescent="0.2">
      <c r="B35459" s="1168"/>
    </row>
    <row r="35460" spans="2:2" s="221" customFormat="1" ht="12.75" x14ac:dyDescent="0.2">
      <c r="B35460" s="1168"/>
    </row>
    <row r="35461" spans="2:2" s="221" customFormat="1" ht="12.75" x14ac:dyDescent="0.2">
      <c r="B35461" s="1168"/>
    </row>
    <row r="35462" spans="2:2" s="221" customFormat="1" ht="12.75" x14ac:dyDescent="0.2">
      <c r="B35462" s="1168"/>
    </row>
    <row r="35463" spans="2:2" s="221" customFormat="1" ht="12.75" x14ac:dyDescent="0.2">
      <c r="B35463" s="1168"/>
    </row>
    <row r="35464" spans="2:2" s="221" customFormat="1" ht="12.75" x14ac:dyDescent="0.2">
      <c r="B35464" s="1168"/>
    </row>
    <row r="35465" spans="2:2" s="221" customFormat="1" ht="12.75" x14ac:dyDescent="0.2">
      <c r="B35465" s="1168"/>
    </row>
    <row r="35466" spans="2:2" s="221" customFormat="1" ht="12.75" x14ac:dyDescent="0.2">
      <c r="B35466" s="1168"/>
    </row>
    <row r="35467" spans="2:2" s="221" customFormat="1" ht="12.75" x14ac:dyDescent="0.2">
      <c r="B35467" s="1168"/>
    </row>
    <row r="35468" spans="2:2" s="221" customFormat="1" ht="12.75" x14ac:dyDescent="0.2">
      <c r="B35468" s="1168"/>
    </row>
    <row r="35469" spans="2:2" s="221" customFormat="1" ht="12.75" x14ac:dyDescent="0.2">
      <c r="B35469" s="1168"/>
    </row>
    <row r="35470" spans="2:2" s="221" customFormat="1" ht="12.75" x14ac:dyDescent="0.2">
      <c r="B35470" s="1168"/>
    </row>
    <row r="35471" spans="2:2" s="221" customFormat="1" ht="12.75" x14ac:dyDescent="0.2">
      <c r="B35471" s="1168"/>
    </row>
    <row r="35472" spans="2:2" s="221" customFormat="1" ht="12.75" x14ac:dyDescent="0.2">
      <c r="B35472" s="1168"/>
    </row>
    <row r="35473" spans="2:2" s="221" customFormat="1" ht="12.75" x14ac:dyDescent="0.2">
      <c r="B35473" s="1168"/>
    </row>
    <row r="35474" spans="2:2" s="221" customFormat="1" ht="12.75" x14ac:dyDescent="0.2">
      <c r="B35474" s="1168"/>
    </row>
    <row r="35475" spans="2:2" s="221" customFormat="1" ht="12.75" x14ac:dyDescent="0.2">
      <c r="B35475" s="1168"/>
    </row>
    <row r="35476" spans="2:2" s="221" customFormat="1" ht="12.75" x14ac:dyDescent="0.2">
      <c r="B35476" s="1168"/>
    </row>
    <row r="35477" spans="2:2" s="221" customFormat="1" ht="12.75" x14ac:dyDescent="0.2">
      <c r="B35477" s="1168"/>
    </row>
    <row r="35478" spans="2:2" s="221" customFormat="1" ht="12.75" x14ac:dyDescent="0.2">
      <c r="B35478" s="1168"/>
    </row>
    <row r="35479" spans="2:2" s="221" customFormat="1" ht="12.75" x14ac:dyDescent="0.2">
      <c r="B35479" s="1168"/>
    </row>
    <row r="35480" spans="2:2" s="221" customFormat="1" ht="12.75" x14ac:dyDescent="0.2">
      <c r="B35480" s="1168"/>
    </row>
    <row r="35481" spans="2:2" s="221" customFormat="1" ht="12.75" x14ac:dyDescent="0.2">
      <c r="B35481" s="1168"/>
    </row>
    <row r="35482" spans="2:2" s="221" customFormat="1" ht="12.75" x14ac:dyDescent="0.2">
      <c r="B35482" s="1168"/>
    </row>
    <row r="35483" spans="2:2" s="221" customFormat="1" ht="12.75" x14ac:dyDescent="0.2">
      <c r="B35483" s="1168"/>
    </row>
    <row r="35484" spans="2:2" s="221" customFormat="1" ht="12.75" x14ac:dyDescent="0.2">
      <c r="B35484" s="1168"/>
    </row>
    <row r="35485" spans="2:2" s="221" customFormat="1" ht="12.75" x14ac:dyDescent="0.2">
      <c r="B35485" s="1168"/>
    </row>
    <row r="35486" spans="2:2" s="221" customFormat="1" ht="12.75" x14ac:dyDescent="0.2">
      <c r="B35486" s="1168"/>
    </row>
    <row r="35487" spans="2:2" s="221" customFormat="1" ht="12.75" x14ac:dyDescent="0.2">
      <c r="B35487" s="1168"/>
    </row>
    <row r="35488" spans="2:2" s="221" customFormat="1" ht="12.75" x14ac:dyDescent="0.2">
      <c r="B35488" s="1168"/>
    </row>
    <row r="35489" spans="2:2" s="221" customFormat="1" ht="12.75" x14ac:dyDescent="0.2">
      <c r="B35489" s="1168"/>
    </row>
    <row r="35490" spans="2:2" s="221" customFormat="1" ht="12.75" x14ac:dyDescent="0.2">
      <c r="B35490" s="1168"/>
    </row>
    <row r="35491" spans="2:2" s="221" customFormat="1" ht="12.75" x14ac:dyDescent="0.2">
      <c r="B35491" s="1168"/>
    </row>
    <row r="35492" spans="2:2" s="221" customFormat="1" ht="12.75" x14ac:dyDescent="0.2">
      <c r="B35492" s="1168"/>
    </row>
    <row r="35493" spans="2:2" s="221" customFormat="1" ht="12.75" x14ac:dyDescent="0.2">
      <c r="B35493" s="1168"/>
    </row>
    <row r="35494" spans="2:2" s="221" customFormat="1" ht="12.75" x14ac:dyDescent="0.2">
      <c r="B35494" s="1168"/>
    </row>
    <row r="35495" spans="2:2" s="221" customFormat="1" ht="12.75" x14ac:dyDescent="0.2">
      <c r="B35495" s="1168"/>
    </row>
    <row r="35496" spans="2:2" s="221" customFormat="1" ht="12.75" x14ac:dyDescent="0.2">
      <c r="B35496" s="1168"/>
    </row>
    <row r="35497" spans="2:2" s="221" customFormat="1" ht="12.75" x14ac:dyDescent="0.2">
      <c r="B35497" s="1168"/>
    </row>
    <row r="35498" spans="2:2" s="221" customFormat="1" ht="12.75" x14ac:dyDescent="0.2">
      <c r="B35498" s="1168"/>
    </row>
    <row r="35499" spans="2:2" s="221" customFormat="1" ht="12.75" x14ac:dyDescent="0.2">
      <c r="B35499" s="1168"/>
    </row>
    <row r="35500" spans="2:2" s="221" customFormat="1" ht="12.75" x14ac:dyDescent="0.2">
      <c r="B35500" s="1168"/>
    </row>
    <row r="35501" spans="2:2" s="221" customFormat="1" ht="12.75" x14ac:dyDescent="0.2">
      <c r="B35501" s="1168"/>
    </row>
    <row r="35502" spans="2:2" s="221" customFormat="1" ht="12.75" x14ac:dyDescent="0.2">
      <c r="B35502" s="1168"/>
    </row>
    <row r="35503" spans="2:2" s="221" customFormat="1" ht="12.75" x14ac:dyDescent="0.2">
      <c r="B35503" s="1168"/>
    </row>
    <row r="35504" spans="2:2" s="221" customFormat="1" ht="12.75" x14ac:dyDescent="0.2">
      <c r="B35504" s="1168"/>
    </row>
    <row r="35505" spans="2:2" s="221" customFormat="1" ht="12.75" x14ac:dyDescent="0.2">
      <c r="B35505" s="1168"/>
    </row>
    <row r="35506" spans="2:2" s="221" customFormat="1" ht="12.75" x14ac:dyDescent="0.2">
      <c r="B35506" s="1168"/>
    </row>
    <row r="35507" spans="2:2" s="221" customFormat="1" ht="12.75" x14ac:dyDescent="0.2">
      <c r="B35507" s="1168"/>
    </row>
    <row r="35508" spans="2:2" s="221" customFormat="1" ht="12.75" x14ac:dyDescent="0.2">
      <c r="B35508" s="1168"/>
    </row>
    <row r="35509" spans="2:2" s="221" customFormat="1" ht="12.75" x14ac:dyDescent="0.2">
      <c r="B35509" s="1168"/>
    </row>
    <row r="35510" spans="2:2" s="221" customFormat="1" ht="12.75" x14ac:dyDescent="0.2">
      <c r="B35510" s="1168"/>
    </row>
    <row r="35511" spans="2:2" s="221" customFormat="1" ht="12.75" x14ac:dyDescent="0.2">
      <c r="B35511" s="1168"/>
    </row>
    <row r="35512" spans="2:2" s="221" customFormat="1" ht="12.75" x14ac:dyDescent="0.2">
      <c r="B35512" s="1168"/>
    </row>
    <row r="35513" spans="2:2" s="221" customFormat="1" ht="12.75" x14ac:dyDescent="0.2">
      <c r="B35513" s="1168"/>
    </row>
    <row r="35514" spans="2:2" s="221" customFormat="1" ht="12.75" x14ac:dyDescent="0.2">
      <c r="B35514" s="1168"/>
    </row>
    <row r="35515" spans="2:2" s="221" customFormat="1" ht="12.75" x14ac:dyDescent="0.2">
      <c r="B35515" s="1168"/>
    </row>
    <row r="35516" spans="2:2" s="221" customFormat="1" ht="12.75" x14ac:dyDescent="0.2">
      <c r="B35516" s="1168"/>
    </row>
    <row r="35517" spans="2:2" s="221" customFormat="1" ht="12.75" x14ac:dyDescent="0.2">
      <c r="B35517" s="1168"/>
    </row>
    <row r="35518" spans="2:2" s="221" customFormat="1" ht="12.75" x14ac:dyDescent="0.2">
      <c r="B35518" s="1168"/>
    </row>
    <row r="35519" spans="2:2" s="221" customFormat="1" ht="12.75" x14ac:dyDescent="0.2">
      <c r="B35519" s="1168"/>
    </row>
    <row r="35520" spans="2:2" s="221" customFormat="1" ht="12.75" x14ac:dyDescent="0.2">
      <c r="B35520" s="1168"/>
    </row>
    <row r="35521" spans="2:2" s="221" customFormat="1" ht="12.75" x14ac:dyDescent="0.2">
      <c r="B35521" s="1168"/>
    </row>
    <row r="35522" spans="2:2" s="221" customFormat="1" ht="12.75" x14ac:dyDescent="0.2">
      <c r="B35522" s="1168"/>
    </row>
    <row r="35523" spans="2:2" s="221" customFormat="1" ht="12.75" x14ac:dyDescent="0.2">
      <c r="B35523" s="1168"/>
    </row>
    <row r="35524" spans="2:2" s="221" customFormat="1" ht="12.75" x14ac:dyDescent="0.2">
      <c r="B35524" s="1168"/>
    </row>
    <row r="35525" spans="2:2" s="221" customFormat="1" ht="12.75" x14ac:dyDescent="0.2">
      <c r="B35525" s="1168"/>
    </row>
    <row r="35526" spans="2:2" s="221" customFormat="1" ht="12.75" x14ac:dyDescent="0.2">
      <c r="B35526" s="1168"/>
    </row>
    <row r="35527" spans="2:2" s="221" customFormat="1" ht="12.75" x14ac:dyDescent="0.2">
      <c r="B35527" s="1168"/>
    </row>
    <row r="35528" spans="2:2" s="221" customFormat="1" ht="12.75" x14ac:dyDescent="0.2">
      <c r="B35528" s="1168"/>
    </row>
    <row r="35529" spans="2:2" s="221" customFormat="1" ht="12.75" x14ac:dyDescent="0.2">
      <c r="B35529" s="1168"/>
    </row>
    <row r="35530" spans="2:2" s="221" customFormat="1" ht="12.75" x14ac:dyDescent="0.2">
      <c r="B35530" s="1168"/>
    </row>
    <row r="35531" spans="2:2" s="221" customFormat="1" ht="12.75" x14ac:dyDescent="0.2">
      <c r="B35531" s="1168"/>
    </row>
    <row r="35532" spans="2:2" s="221" customFormat="1" ht="12.75" x14ac:dyDescent="0.2">
      <c r="B35532" s="1168"/>
    </row>
    <row r="35533" spans="2:2" s="221" customFormat="1" ht="12.75" x14ac:dyDescent="0.2">
      <c r="B35533" s="1168"/>
    </row>
    <row r="35534" spans="2:2" s="221" customFormat="1" ht="12.75" x14ac:dyDescent="0.2">
      <c r="B35534" s="1168"/>
    </row>
    <row r="35535" spans="2:2" s="221" customFormat="1" ht="12.75" x14ac:dyDescent="0.2">
      <c r="B35535" s="1168"/>
    </row>
    <row r="35536" spans="2:2" s="221" customFormat="1" ht="12.75" x14ac:dyDescent="0.2">
      <c r="B35536" s="1168"/>
    </row>
    <row r="35537" spans="2:2" s="221" customFormat="1" ht="12.75" x14ac:dyDescent="0.2">
      <c r="B35537" s="1168"/>
    </row>
    <row r="35538" spans="2:2" s="221" customFormat="1" ht="12.75" x14ac:dyDescent="0.2">
      <c r="B35538" s="1168"/>
    </row>
    <row r="35539" spans="2:2" s="221" customFormat="1" ht="12.75" x14ac:dyDescent="0.2">
      <c r="B35539" s="1168"/>
    </row>
    <row r="35540" spans="2:2" s="221" customFormat="1" ht="12.75" x14ac:dyDescent="0.2">
      <c r="B35540" s="1168"/>
    </row>
    <row r="35541" spans="2:2" s="221" customFormat="1" ht="12.75" x14ac:dyDescent="0.2">
      <c r="B35541" s="1168"/>
    </row>
    <row r="35542" spans="2:2" s="221" customFormat="1" ht="12.75" x14ac:dyDescent="0.2">
      <c r="B35542" s="1168"/>
    </row>
    <row r="35543" spans="2:2" s="221" customFormat="1" ht="12.75" x14ac:dyDescent="0.2">
      <c r="B35543" s="1168"/>
    </row>
    <row r="35544" spans="2:2" s="221" customFormat="1" ht="12.75" x14ac:dyDescent="0.2">
      <c r="B35544" s="1168"/>
    </row>
    <row r="35545" spans="2:2" s="221" customFormat="1" ht="12.75" x14ac:dyDescent="0.2">
      <c r="B35545" s="1168"/>
    </row>
    <row r="35546" spans="2:2" s="221" customFormat="1" ht="12.75" x14ac:dyDescent="0.2">
      <c r="B35546" s="1168"/>
    </row>
    <row r="35547" spans="2:2" s="221" customFormat="1" ht="12.75" x14ac:dyDescent="0.2">
      <c r="B35547" s="1168"/>
    </row>
    <row r="35548" spans="2:2" s="221" customFormat="1" ht="12.75" x14ac:dyDescent="0.2">
      <c r="B35548" s="1168"/>
    </row>
    <row r="35549" spans="2:2" s="221" customFormat="1" ht="12.75" x14ac:dyDescent="0.2">
      <c r="B35549" s="1168"/>
    </row>
    <row r="35550" spans="2:2" s="221" customFormat="1" ht="12.75" x14ac:dyDescent="0.2">
      <c r="B35550" s="1168"/>
    </row>
    <row r="35551" spans="2:2" s="221" customFormat="1" ht="12.75" x14ac:dyDescent="0.2">
      <c r="B35551" s="1168"/>
    </row>
    <row r="35552" spans="2:2" s="221" customFormat="1" ht="12.75" x14ac:dyDescent="0.2">
      <c r="B35552" s="1168"/>
    </row>
    <row r="35553" spans="2:2" s="221" customFormat="1" ht="12.75" x14ac:dyDescent="0.2">
      <c r="B35553" s="1168"/>
    </row>
    <row r="35554" spans="2:2" s="221" customFormat="1" ht="12.75" x14ac:dyDescent="0.2">
      <c r="B35554" s="1168"/>
    </row>
    <row r="35555" spans="2:2" s="221" customFormat="1" ht="12.75" x14ac:dyDescent="0.2">
      <c r="B35555" s="1168"/>
    </row>
    <row r="35556" spans="2:2" s="221" customFormat="1" ht="12.75" x14ac:dyDescent="0.2">
      <c r="B35556" s="1168"/>
    </row>
    <row r="35557" spans="2:2" s="221" customFormat="1" ht="12.75" x14ac:dyDescent="0.2">
      <c r="B35557" s="1168"/>
    </row>
    <row r="35558" spans="2:2" s="221" customFormat="1" ht="12.75" x14ac:dyDescent="0.2">
      <c r="B35558" s="1168"/>
    </row>
    <row r="35559" spans="2:2" s="221" customFormat="1" ht="12.75" x14ac:dyDescent="0.2">
      <c r="B35559" s="1168"/>
    </row>
    <row r="35560" spans="2:2" s="221" customFormat="1" ht="12.75" x14ac:dyDescent="0.2">
      <c r="B35560" s="1168"/>
    </row>
    <row r="35561" spans="2:2" s="221" customFormat="1" ht="12.75" x14ac:dyDescent="0.2">
      <c r="B35561" s="1168"/>
    </row>
    <row r="35562" spans="2:2" s="221" customFormat="1" ht="12.75" x14ac:dyDescent="0.2">
      <c r="B35562" s="1168"/>
    </row>
    <row r="35563" spans="2:2" s="221" customFormat="1" ht="12.75" x14ac:dyDescent="0.2">
      <c r="B35563" s="1168"/>
    </row>
    <row r="35564" spans="2:2" s="221" customFormat="1" ht="12.75" x14ac:dyDescent="0.2">
      <c r="B35564" s="1168"/>
    </row>
    <row r="35565" spans="2:2" s="221" customFormat="1" ht="12.75" x14ac:dyDescent="0.2">
      <c r="B35565" s="1168"/>
    </row>
    <row r="35566" spans="2:2" s="221" customFormat="1" ht="12.75" x14ac:dyDescent="0.2">
      <c r="B35566" s="1168"/>
    </row>
    <row r="35567" spans="2:2" s="221" customFormat="1" ht="12.75" x14ac:dyDescent="0.2">
      <c r="B35567" s="1168"/>
    </row>
    <row r="35568" spans="2:2" s="221" customFormat="1" ht="12.75" x14ac:dyDescent="0.2">
      <c r="B35568" s="1168"/>
    </row>
    <row r="35569" spans="2:2" s="221" customFormat="1" ht="12.75" x14ac:dyDescent="0.2">
      <c r="B35569" s="1168"/>
    </row>
    <row r="35570" spans="2:2" s="221" customFormat="1" ht="12.75" x14ac:dyDescent="0.2">
      <c r="B35570" s="1168"/>
    </row>
    <row r="35571" spans="2:2" s="221" customFormat="1" ht="12.75" x14ac:dyDescent="0.2">
      <c r="B35571" s="1168"/>
    </row>
    <row r="35572" spans="2:2" s="221" customFormat="1" ht="12.75" x14ac:dyDescent="0.2">
      <c r="B35572" s="1168"/>
    </row>
    <row r="35573" spans="2:2" s="221" customFormat="1" ht="12.75" x14ac:dyDescent="0.2">
      <c r="B35573" s="1168"/>
    </row>
    <row r="35574" spans="2:2" s="221" customFormat="1" ht="12.75" x14ac:dyDescent="0.2">
      <c r="B35574" s="1168"/>
    </row>
    <row r="35575" spans="2:2" s="221" customFormat="1" ht="12.75" x14ac:dyDescent="0.2">
      <c r="B35575" s="1168"/>
    </row>
    <row r="35576" spans="2:2" s="221" customFormat="1" ht="12.75" x14ac:dyDescent="0.2">
      <c r="B35576" s="1168"/>
    </row>
    <row r="35577" spans="2:2" s="221" customFormat="1" ht="12.75" x14ac:dyDescent="0.2">
      <c r="B35577" s="1168"/>
    </row>
    <row r="35578" spans="2:2" s="221" customFormat="1" ht="12.75" x14ac:dyDescent="0.2">
      <c r="B35578" s="1168"/>
    </row>
    <row r="35579" spans="2:2" s="221" customFormat="1" ht="12.75" x14ac:dyDescent="0.2">
      <c r="B35579" s="1168"/>
    </row>
    <row r="35580" spans="2:2" s="221" customFormat="1" ht="12.75" x14ac:dyDescent="0.2">
      <c r="B35580" s="1168"/>
    </row>
    <row r="35581" spans="2:2" s="221" customFormat="1" ht="12.75" x14ac:dyDescent="0.2">
      <c r="B35581" s="1168"/>
    </row>
    <row r="35582" spans="2:2" s="221" customFormat="1" ht="12.75" x14ac:dyDescent="0.2">
      <c r="B35582" s="1168"/>
    </row>
    <row r="35583" spans="2:2" s="221" customFormat="1" ht="12.75" x14ac:dyDescent="0.2">
      <c r="B35583" s="1168"/>
    </row>
    <row r="35584" spans="2:2" s="221" customFormat="1" ht="12.75" x14ac:dyDescent="0.2">
      <c r="B35584" s="1168"/>
    </row>
    <row r="35585" spans="2:2" s="221" customFormat="1" ht="12.75" x14ac:dyDescent="0.2">
      <c r="B35585" s="1168"/>
    </row>
    <row r="35586" spans="2:2" s="221" customFormat="1" ht="12.75" x14ac:dyDescent="0.2">
      <c r="B35586" s="1168"/>
    </row>
    <row r="35587" spans="2:2" s="221" customFormat="1" ht="12.75" x14ac:dyDescent="0.2">
      <c r="B35587" s="1168"/>
    </row>
    <row r="35588" spans="2:2" s="221" customFormat="1" ht="12.75" x14ac:dyDescent="0.2">
      <c r="B35588" s="1168"/>
    </row>
    <row r="35589" spans="2:2" s="221" customFormat="1" ht="12.75" x14ac:dyDescent="0.2">
      <c r="B35589" s="1168"/>
    </row>
    <row r="35590" spans="2:2" s="221" customFormat="1" ht="12.75" x14ac:dyDescent="0.2">
      <c r="B35590" s="1168"/>
    </row>
    <row r="35591" spans="2:2" s="221" customFormat="1" ht="12.75" x14ac:dyDescent="0.2">
      <c r="B35591" s="1168"/>
    </row>
    <row r="35592" spans="2:2" s="221" customFormat="1" ht="12.75" x14ac:dyDescent="0.2">
      <c r="B35592" s="1168"/>
    </row>
    <row r="35593" spans="2:2" s="221" customFormat="1" ht="12.75" x14ac:dyDescent="0.2">
      <c r="B35593" s="1168"/>
    </row>
    <row r="35594" spans="2:2" s="221" customFormat="1" ht="12.75" x14ac:dyDescent="0.2">
      <c r="B35594" s="1168"/>
    </row>
    <row r="35595" spans="2:2" s="221" customFormat="1" ht="12.75" x14ac:dyDescent="0.2">
      <c r="B35595" s="1168"/>
    </row>
    <row r="35596" spans="2:2" s="221" customFormat="1" ht="12.75" x14ac:dyDescent="0.2">
      <c r="B35596" s="1168"/>
    </row>
    <row r="35597" spans="2:2" s="221" customFormat="1" ht="12.75" x14ac:dyDescent="0.2">
      <c r="B35597" s="1168"/>
    </row>
    <row r="35598" spans="2:2" s="221" customFormat="1" ht="12.75" x14ac:dyDescent="0.2">
      <c r="B35598" s="1168"/>
    </row>
    <row r="35599" spans="2:2" s="221" customFormat="1" ht="12.75" x14ac:dyDescent="0.2">
      <c r="B35599" s="1168"/>
    </row>
    <row r="35600" spans="2:2" s="221" customFormat="1" ht="12.75" x14ac:dyDescent="0.2">
      <c r="B35600" s="1168"/>
    </row>
    <row r="35601" spans="2:2" s="221" customFormat="1" ht="12.75" x14ac:dyDescent="0.2">
      <c r="B35601" s="1168"/>
    </row>
    <row r="35602" spans="2:2" s="221" customFormat="1" ht="12.75" x14ac:dyDescent="0.2">
      <c r="B35602" s="1168"/>
    </row>
    <row r="35603" spans="2:2" s="221" customFormat="1" ht="12.75" x14ac:dyDescent="0.2">
      <c r="B35603" s="1168"/>
    </row>
    <row r="35604" spans="2:2" s="221" customFormat="1" ht="12.75" x14ac:dyDescent="0.2">
      <c r="B35604" s="1168"/>
    </row>
    <row r="35605" spans="2:2" s="221" customFormat="1" ht="12.75" x14ac:dyDescent="0.2">
      <c r="B35605" s="1168"/>
    </row>
    <row r="35606" spans="2:2" s="221" customFormat="1" ht="12.75" x14ac:dyDescent="0.2">
      <c r="B35606" s="1168"/>
    </row>
    <row r="35607" spans="2:2" s="221" customFormat="1" ht="12.75" x14ac:dyDescent="0.2">
      <c r="B35607" s="1168"/>
    </row>
    <row r="35608" spans="2:2" s="221" customFormat="1" ht="12.75" x14ac:dyDescent="0.2">
      <c r="B35608" s="1168"/>
    </row>
    <row r="35609" spans="2:2" s="221" customFormat="1" ht="12.75" x14ac:dyDescent="0.2">
      <c r="B35609" s="1168"/>
    </row>
    <row r="35610" spans="2:2" s="221" customFormat="1" ht="12.75" x14ac:dyDescent="0.2">
      <c r="B35610" s="1168"/>
    </row>
    <row r="35611" spans="2:2" s="221" customFormat="1" ht="12.75" x14ac:dyDescent="0.2">
      <c r="B35611" s="1168"/>
    </row>
    <row r="35612" spans="2:2" s="221" customFormat="1" ht="12.75" x14ac:dyDescent="0.2">
      <c r="B35612" s="1168"/>
    </row>
    <row r="35613" spans="2:2" s="221" customFormat="1" ht="12.75" x14ac:dyDescent="0.2">
      <c r="B35613" s="1168"/>
    </row>
    <row r="35614" spans="2:2" s="221" customFormat="1" ht="12.75" x14ac:dyDescent="0.2">
      <c r="B35614" s="1168"/>
    </row>
    <row r="35615" spans="2:2" s="221" customFormat="1" ht="12.75" x14ac:dyDescent="0.2">
      <c r="B35615" s="1168"/>
    </row>
    <row r="35616" spans="2:2" s="221" customFormat="1" ht="12.75" x14ac:dyDescent="0.2">
      <c r="B35616" s="1168"/>
    </row>
    <row r="35617" spans="2:2" s="221" customFormat="1" ht="12.75" x14ac:dyDescent="0.2">
      <c r="B35617" s="1168"/>
    </row>
    <row r="35618" spans="2:2" s="221" customFormat="1" ht="12.75" x14ac:dyDescent="0.2">
      <c r="B35618" s="1168"/>
    </row>
    <row r="35619" spans="2:2" s="221" customFormat="1" ht="12.75" x14ac:dyDescent="0.2">
      <c r="B35619" s="1168"/>
    </row>
    <row r="35620" spans="2:2" s="221" customFormat="1" ht="12.75" x14ac:dyDescent="0.2">
      <c r="B35620" s="1168"/>
    </row>
    <row r="35621" spans="2:2" s="221" customFormat="1" ht="12.75" x14ac:dyDescent="0.2">
      <c r="B35621" s="1168"/>
    </row>
    <row r="35622" spans="2:2" s="221" customFormat="1" ht="12.75" x14ac:dyDescent="0.2">
      <c r="B35622" s="1168"/>
    </row>
    <row r="35623" spans="2:2" s="221" customFormat="1" ht="12.75" x14ac:dyDescent="0.2">
      <c r="B35623" s="1168"/>
    </row>
    <row r="35624" spans="2:2" s="221" customFormat="1" ht="12.75" x14ac:dyDescent="0.2">
      <c r="B35624" s="1168"/>
    </row>
    <row r="35625" spans="2:2" s="221" customFormat="1" ht="12.75" x14ac:dyDescent="0.2">
      <c r="B35625" s="1168"/>
    </row>
    <row r="35626" spans="2:2" s="221" customFormat="1" ht="12.75" x14ac:dyDescent="0.2">
      <c r="B35626" s="1168"/>
    </row>
    <row r="35627" spans="2:2" s="221" customFormat="1" ht="12.75" x14ac:dyDescent="0.2">
      <c r="B35627" s="1168"/>
    </row>
    <row r="35628" spans="2:2" s="221" customFormat="1" ht="12.75" x14ac:dyDescent="0.2">
      <c r="B35628" s="1168"/>
    </row>
    <row r="35629" spans="2:2" s="221" customFormat="1" ht="12.75" x14ac:dyDescent="0.2">
      <c r="B35629" s="1168"/>
    </row>
    <row r="35630" spans="2:2" s="221" customFormat="1" ht="12.75" x14ac:dyDescent="0.2">
      <c r="B35630" s="1168"/>
    </row>
    <row r="35631" spans="2:2" s="221" customFormat="1" ht="12.75" x14ac:dyDescent="0.2">
      <c r="B35631" s="1168"/>
    </row>
    <row r="35632" spans="2:2" s="221" customFormat="1" ht="12.75" x14ac:dyDescent="0.2">
      <c r="B35632" s="1168"/>
    </row>
    <row r="35633" spans="2:2" s="221" customFormat="1" ht="12.75" x14ac:dyDescent="0.2">
      <c r="B35633" s="1168"/>
    </row>
    <row r="35634" spans="2:2" s="221" customFormat="1" ht="12.75" x14ac:dyDescent="0.2">
      <c r="B35634" s="1168"/>
    </row>
    <row r="35635" spans="2:2" s="221" customFormat="1" ht="12.75" x14ac:dyDescent="0.2">
      <c r="B35635" s="1168"/>
    </row>
    <row r="35636" spans="2:2" s="221" customFormat="1" ht="12.75" x14ac:dyDescent="0.2">
      <c r="B35636" s="1168"/>
    </row>
    <row r="35637" spans="2:2" s="221" customFormat="1" ht="12.75" x14ac:dyDescent="0.2">
      <c r="B35637" s="1168"/>
    </row>
    <row r="35638" spans="2:2" s="221" customFormat="1" ht="12.75" x14ac:dyDescent="0.2">
      <c r="B35638" s="1168"/>
    </row>
    <row r="35639" spans="2:2" s="221" customFormat="1" ht="12.75" x14ac:dyDescent="0.2">
      <c r="B35639" s="1168"/>
    </row>
    <row r="35640" spans="2:2" s="221" customFormat="1" ht="12.75" x14ac:dyDescent="0.2">
      <c r="B35640" s="1168"/>
    </row>
    <row r="35641" spans="2:2" s="221" customFormat="1" ht="12.75" x14ac:dyDescent="0.2">
      <c r="B35641" s="1168"/>
    </row>
    <row r="35642" spans="2:2" s="221" customFormat="1" ht="12.75" x14ac:dyDescent="0.2">
      <c r="B35642" s="1168"/>
    </row>
    <row r="35643" spans="2:2" s="221" customFormat="1" ht="12.75" x14ac:dyDescent="0.2">
      <c r="B35643" s="1168"/>
    </row>
    <row r="35644" spans="2:2" s="221" customFormat="1" ht="12.75" x14ac:dyDescent="0.2">
      <c r="B35644" s="1168"/>
    </row>
    <row r="35645" spans="2:2" s="221" customFormat="1" ht="12.75" x14ac:dyDescent="0.2">
      <c r="B35645" s="1168"/>
    </row>
    <row r="35646" spans="2:2" s="221" customFormat="1" ht="12.75" x14ac:dyDescent="0.2">
      <c r="B35646" s="1168"/>
    </row>
    <row r="35647" spans="2:2" s="221" customFormat="1" ht="12.75" x14ac:dyDescent="0.2">
      <c r="B35647" s="1168"/>
    </row>
    <row r="35648" spans="2:2" s="221" customFormat="1" ht="12.75" x14ac:dyDescent="0.2">
      <c r="B35648" s="1168"/>
    </row>
    <row r="35649" spans="2:2" s="221" customFormat="1" ht="12.75" x14ac:dyDescent="0.2">
      <c r="B35649" s="1168"/>
    </row>
    <row r="35650" spans="2:2" s="221" customFormat="1" ht="12.75" x14ac:dyDescent="0.2">
      <c r="B35650" s="1168"/>
    </row>
    <row r="35651" spans="2:2" s="221" customFormat="1" ht="12.75" x14ac:dyDescent="0.2">
      <c r="B35651" s="1168"/>
    </row>
    <row r="35652" spans="2:2" s="221" customFormat="1" ht="12.75" x14ac:dyDescent="0.2">
      <c r="B35652" s="1168"/>
    </row>
    <row r="35653" spans="2:2" s="221" customFormat="1" ht="12.75" x14ac:dyDescent="0.2">
      <c r="B35653" s="1168"/>
    </row>
    <row r="35654" spans="2:2" s="221" customFormat="1" ht="12.75" x14ac:dyDescent="0.2">
      <c r="B35654" s="1168"/>
    </row>
    <row r="35655" spans="2:2" s="221" customFormat="1" ht="12.75" x14ac:dyDescent="0.2">
      <c r="B35655" s="1168"/>
    </row>
    <row r="35656" spans="2:2" s="221" customFormat="1" ht="12.75" x14ac:dyDescent="0.2">
      <c r="B35656" s="1168"/>
    </row>
    <row r="35657" spans="2:2" s="221" customFormat="1" ht="12.75" x14ac:dyDescent="0.2">
      <c r="B35657" s="1168"/>
    </row>
    <row r="35658" spans="2:2" s="221" customFormat="1" ht="12.75" x14ac:dyDescent="0.2">
      <c r="B35658" s="1168"/>
    </row>
    <row r="35659" spans="2:2" s="221" customFormat="1" ht="12.75" x14ac:dyDescent="0.2">
      <c r="B35659" s="1168"/>
    </row>
    <row r="35660" spans="2:2" s="221" customFormat="1" ht="12.75" x14ac:dyDescent="0.2">
      <c r="B35660" s="1168"/>
    </row>
    <row r="35661" spans="2:2" s="221" customFormat="1" ht="12.75" x14ac:dyDescent="0.2">
      <c r="B35661" s="1168"/>
    </row>
    <row r="35662" spans="2:2" s="221" customFormat="1" ht="12.75" x14ac:dyDescent="0.2">
      <c r="B35662" s="1168"/>
    </row>
    <row r="35663" spans="2:2" s="221" customFormat="1" ht="12.75" x14ac:dyDescent="0.2">
      <c r="B35663" s="1168"/>
    </row>
    <row r="35664" spans="2:2" s="221" customFormat="1" ht="12.75" x14ac:dyDescent="0.2">
      <c r="B35664" s="1168"/>
    </row>
    <row r="35665" spans="2:2" s="221" customFormat="1" ht="12.75" x14ac:dyDescent="0.2">
      <c r="B35665" s="1168"/>
    </row>
    <row r="35666" spans="2:2" s="221" customFormat="1" ht="12.75" x14ac:dyDescent="0.2">
      <c r="B35666" s="1168"/>
    </row>
    <row r="35667" spans="2:2" s="221" customFormat="1" ht="12.75" x14ac:dyDescent="0.2">
      <c r="B35667" s="1168"/>
    </row>
    <row r="35668" spans="2:2" s="221" customFormat="1" ht="12.75" x14ac:dyDescent="0.2">
      <c r="B35668" s="1168"/>
    </row>
    <row r="35669" spans="2:2" s="221" customFormat="1" ht="12.75" x14ac:dyDescent="0.2">
      <c r="B35669" s="1168"/>
    </row>
    <row r="35670" spans="2:2" s="221" customFormat="1" ht="12.75" x14ac:dyDescent="0.2">
      <c r="B35670" s="1168"/>
    </row>
    <row r="35671" spans="2:2" s="221" customFormat="1" ht="12.75" x14ac:dyDescent="0.2">
      <c r="B35671" s="1168"/>
    </row>
    <row r="35672" spans="2:2" s="221" customFormat="1" ht="12.75" x14ac:dyDescent="0.2">
      <c r="B35672" s="1168"/>
    </row>
    <row r="35673" spans="2:2" s="221" customFormat="1" ht="12.75" x14ac:dyDescent="0.2">
      <c r="B35673" s="1168"/>
    </row>
    <row r="35674" spans="2:2" s="221" customFormat="1" ht="12.75" x14ac:dyDescent="0.2">
      <c r="B35674" s="1168"/>
    </row>
    <row r="35675" spans="2:2" s="221" customFormat="1" ht="12.75" x14ac:dyDescent="0.2">
      <c r="B35675" s="1168"/>
    </row>
    <row r="35676" spans="2:2" s="221" customFormat="1" ht="12.75" x14ac:dyDescent="0.2">
      <c r="B35676" s="1168"/>
    </row>
    <row r="35677" spans="2:2" s="221" customFormat="1" ht="12.75" x14ac:dyDescent="0.2">
      <c r="B35677" s="1168"/>
    </row>
    <row r="35678" spans="2:2" s="221" customFormat="1" ht="12.75" x14ac:dyDescent="0.2">
      <c r="B35678" s="1168"/>
    </row>
    <row r="35679" spans="2:2" s="221" customFormat="1" ht="12.75" x14ac:dyDescent="0.2">
      <c r="B35679" s="1168"/>
    </row>
    <row r="35680" spans="2:2" s="221" customFormat="1" ht="12.75" x14ac:dyDescent="0.2">
      <c r="B35680" s="1168"/>
    </row>
    <row r="35681" spans="2:2" s="221" customFormat="1" ht="12.75" x14ac:dyDescent="0.2">
      <c r="B35681" s="1168"/>
    </row>
    <row r="35682" spans="2:2" s="221" customFormat="1" ht="12.75" x14ac:dyDescent="0.2">
      <c r="B35682" s="1168"/>
    </row>
    <row r="35683" spans="2:2" s="221" customFormat="1" ht="12.75" x14ac:dyDescent="0.2">
      <c r="B35683" s="1168"/>
    </row>
    <row r="35684" spans="2:2" s="221" customFormat="1" ht="12.75" x14ac:dyDescent="0.2">
      <c r="B35684" s="1168"/>
    </row>
    <row r="35685" spans="2:2" s="221" customFormat="1" ht="12.75" x14ac:dyDescent="0.2">
      <c r="B35685" s="1168"/>
    </row>
    <row r="35686" spans="2:2" s="221" customFormat="1" ht="12.75" x14ac:dyDescent="0.2">
      <c r="B35686" s="1168"/>
    </row>
    <row r="35687" spans="2:2" s="221" customFormat="1" ht="12.75" x14ac:dyDescent="0.2">
      <c r="B35687" s="1168"/>
    </row>
    <row r="35688" spans="2:2" s="221" customFormat="1" ht="12.75" x14ac:dyDescent="0.2">
      <c r="B35688" s="1168"/>
    </row>
    <row r="35689" spans="2:2" s="221" customFormat="1" ht="12.75" x14ac:dyDescent="0.2">
      <c r="B35689" s="1168"/>
    </row>
    <row r="35690" spans="2:2" s="221" customFormat="1" ht="12.75" x14ac:dyDescent="0.2">
      <c r="B35690" s="1168"/>
    </row>
    <row r="35691" spans="2:2" s="221" customFormat="1" ht="12.75" x14ac:dyDescent="0.2">
      <c r="B35691" s="1168"/>
    </row>
    <row r="35692" spans="2:2" s="221" customFormat="1" ht="12.75" x14ac:dyDescent="0.2">
      <c r="B35692" s="1168"/>
    </row>
    <row r="35693" spans="2:2" s="221" customFormat="1" ht="12.75" x14ac:dyDescent="0.2">
      <c r="B35693" s="1168"/>
    </row>
    <row r="35694" spans="2:2" s="221" customFormat="1" ht="12.75" x14ac:dyDescent="0.2">
      <c r="B35694" s="1168"/>
    </row>
    <row r="35695" spans="2:2" s="221" customFormat="1" ht="12.75" x14ac:dyDescent="0.2">
      <c r="B35695" s="1168"/>
    </row>
    <row r="35696" spans="2:2" s="221" customFormat="1" ht="12.75" x14ac:dyDescent="0.2">
      <c r="B35696" s="1168"/>
    </row>
    <row r="35697" spans="2:2" s="221" customFormat="1" ht="12.75" x14ac:dyDescent="0.2">
      <c r="B35697" s="1168"/>
    </row>
    <row r="35698" spans="2:2" s="221" customFormat="1" ht="12.75" x14ac:dyDescent="0.2">
      <c r="B35698" s="1168"/>
    </row>
    <row r="35699" spans="2:2" s="221" customFormat="1" ht="12.75" x14ac:dyDescent="0.2">
      <c r="B35699" s="1168"/>
    </row>
    <row r="35700" spans="2:2" s="221" customFormat="1" ht="12.75" x14ac:dyDescent="0.2">
      <c r="B35700" s="1168"/>
    </row>
    <row r="35701" spans="2:2" s="221" customFormat="1" ht="12.75" x14ac:dyDescent="0.2">
      <c r="B35701" s="1168"/>
    </row>
    <row r="35702" spans="2:2" s="221" customFormat="1" ht="12.75" x14ac:dyDescent="0.2">
      <c r="B35702" s="1168"/>
    </row>
    <row r="35703" spans="2:2" s="221" customFormat="1" ht="12.75" x14ac:dyDescent="0.2">
      <c r="B35703" s="1168"/>
    </row>
    <row r="35704" spans="2:2" s="221" customFormat="1" ht="12.75" x14ac:dyDescent="0.2">
      <c r="B35704" s="1168"/>
    </row>
    <row r="35705" spans="2:2" s="221" customFormat="1" ht="12.75" x14ac:dyDescent="0.2">
      <c r="B35705" s="1168"/>
    </row>
    <row r="35706" spans="2:2" s="221" customFormat="1" ht="12.75" x14ac:dyDescent="0.2">
      <c r="B35706" s="1168"/>
    </row>
    <row r="35707" spans="2:2" s="221" customFormat="1" ht="12.75" x14ac:dyDescent="0.2">
      <c r="B35707" s="1168"/>
    </row>
    <row r="35708" spans="2:2" s="221" customFormat="1" ht="12.75" x14ac:dyDescent="0.2">
      <c r="B35708" s="1168"/>
    </row>
    <row r="35709" spans="2:2" s="221" customFormat="1" ht="12.75" x14ac:dyDescent="0.2">
      <c r="B35709" s="1168"/>
    </row>
    <row r="35710" spans="2:2" s="221" customFormat="1" ht="12.75" x14ac:dyDescent="0.2">
      <c r="B35710" s="1168"/>
    </row>
    <row r="35711" spans="2:2" s="221" customFormat="1" ht="12.75" x14ac:dyDescent="0.2">
      <c r="B35711" s="1168"/>
    </row>
    <row r="35712" spans="2:2" s="221" customFormat="1" ht="12.75" x14ac:dyDescent="0.2">
      <c r="B35712" s="1168"/>
    </row>
    <row r="35713" spans="2:2" s="221" customFormat="1" ht="12.75" x14ac:dyDescent="0.2">
      <c r="B35713" s="1168"/>
    </row>
    <row r="35714" spans="2:2" s="221" customFormat="1" ht="12.75" x14ac:dyDescent="0.2">
      <c r="B35714" s="1168"/>
    </row>
    <row r="35715" spans="2:2" s="221" customFormat="1" ht="12.75" x14ac:dyDescent="0.2">
      <c r="B35715" s="1168"/>
    </row>
    <row r="35716" spans="2:2" s="221" customFormat="1" ht="12.75" x14ac:dyDescent="0.2">
      <c r="B35716" s="1168"/>
    </row>
    <row r="35717" spans="2:2" s="221" customFormat="1" ht="12.75" x14ac:dyDescent="0.2">
      <c r="B35717" s="1168"/>
    </row>
    <row r="35718" spans="2:2" s="221" customFormat="1" ht="12.75" x14ac:dyDescent="0.2">
      <c r="B35718" s="1168"/>
    </row>
    <row r="35719" spans="2:2" s="221" customFormat="1" ht="12.75" x14ac:dyDescent="0.2">
      <c r="B35719" s="1168"/>
    </row>
    <row r="35720" spans="2:2" s="221" customFormat="1" ht="12.75" x14ac:dyDescent="0.2">
      <c r="B35720" s="1168"/>
    </row>
    <row r="35721" spans="2:2" s="221" customFormat="1" ht="12.75" x14ac:dyDescent="0.2">
      <c r="B35721" s="1168"/>
    </row>
    <row r="35722" spans="2:2" s="221" customFormat="1" ht="12.75" x14ac:dyDescent="0.2">
      <c r="B35722" s="1168"/>
    </row>
    <row r="35723" spans="2:2" s="221" customFormat="1" ht="12.75" x14ac:dyDescent="0.2">
      <c r="B35723" s="1168"/>
    </row>
    <row r="35724" spans="2:2" s="221" customFormat="1" ht="12.75" x14ac:dyDescent="0.2">
      <c r="B35724" s="1168"/>
    </row>
    <row r="35725" spans="2:2" s="221" customFormat="1" ht="12.75" x14ac:dyDescent="0.2">
      <c r="B35725" s="1168"/>
    </row>
    <row r="35726" spans="2:2" s="221" customFormat="1" ht="12.75" x14ac:dyDescent="0.2">
      <c r="B35726" s="1168"/>
    </row>
    <row r="35727" spans="2:2" s="221" customFormat="1" ht="12.75" x14ac:dyDescent="0.2">
      <c r="B35727" s="1168"/>
    </row>
    <row r="35728" spans="2:2" s="221" customFormat="1" ht="12.75" x14ac:dyDescent="0.2">
      <c r="B35728" s="1168"/>
    </row>
    <row r="35729" spans="2:2" s="221" customFormat="1" ht="12.75" x14ac:dyDescent="0.2">
      <c r="B35729" s="1168"/>
    </row>
    <row r="35730" spans="2:2" s="221" customFormat="1" ht="12.75" x14ac:dyDescent="0.2">
      <c r="B35730" s="1168"/>
    </row>
    <row r="35731" spans="2:2" s="221" customFormat="1" ht="12.75" x14ac:dyDescent="0.2">
      <c r="B35731" s="1168"/>
    </row>
    <row r="35732" spans="2:2" s="221" customFormat="1" ht="12.75" x14ac:dyDescent="0.2">
      <c r="B35732" s="1168"/>
    </row>
    <row r="35733" spans="2:2" s="221" customFormat="1" ht="12.75" x14ac:dyDescent="0.2">
      <c r="B35733" s="1168"/>
    </row>
    <row r="35734" spans="2:2" s="221" customFormat="1" ht="12.75" x14ac:dyDescent="0.2">
      <c r="B35734" s="1168"/>
    </row>
    <row r="35735" spans="2:2" s="221" customFormat="1" ht="12.75" x14ac:dyDescent="0.2">
      <c r="B35735" s="1168"/>
    </row>
    <row r="35736" spans="2:2" s="221" customFormat="1" ht="12.75" x14ac:dyDescent="0.2">
      <c r="B35736" s="1168"/>
    </row>
    <row r="35737" spans="2:2" s="221" customFormat="1" ht="12.75" x14ac:dyDescent="0.2">
      <c r="B35737" s="1168"/>
    </row>
    <row r="35738" spans="2:2" s="221" customFormat="1" ht="12.75" x14ac:dyDescent="0.2">
      <c r="B35738" s="1168"/>
    </row>
    <row r="35739" spans="2:2" s="221" customFormat="1" ht="12.75" x14ac:dyDescent="0.2">
      <c r="B35739" s="1168"/>
    </row>
    <row r="35740" spans="2:2" s="221" customFormat="1" ht="12.75" x14ac:dyDescent="0.2">
      <c r="B35740" s="1168"/>
    </row>
    <row r="35741" spans="2:2" s="221" customFormat="1" ht="12.75" x14ac:dyDescent="0.2">
      <c r="B35741" s="1168"/>
    </row>
    <row r="35742" spans="2:2" s="221" customFormat="1" ht="12.75" x14ac:dyDescent="0.2">
      <c r="B35742" s="1168"/>
    </row>
    <row r="35743" spans="2:2" s="221" customFormat="1" ht="12.75" x14ac:dyDescent="0.2">
      <c r="B35743" s="1168"/>
    </row>
    <row r="35744" spans="2:2" s="221" customFormat="1" ht="12.75" x14ac:dyDescent="0.2">
      <c r="B35744" s="1168"/>
    </row>
    <row r="35745" spans="2:2" s="221" customFormat="1" ht="12.75" x14ac:dyDescent="0.2">
      <c r="B35745" s="1168"/>
    </row>
    <row r="35746" spans="2:2" s="221" customFormat="1" ht="12.75" x14ac:dyDescent="0.2">
      <c r="B35746" s="1168"/>
    </row>
    <row r="35747" spans="2:2" s="221" customFormat="1" ht="12.75" x14ac:dyDescent="0.2">
      <c r="B35747" s="1168"/>
    </row>
    <row r="35748" spans="2:2" s="221" customFormat="1" ht="12.75" x14ac:dyDescent="0.2">
      <c r="B35748" s="1168"/>
    </row>
    <row r="35749" spans="2:2" s="221" customFormat="1" ht="12.75" x14ac:dyDescent="0.2">
      <c r="B35749" s="1168"/>
    </row>
    <row r="35750" spans="2:2" s="221" customFormat="1" ht="12.75" x14ac:dyDescent="0.2">
      <c r="B35750" s="1168"/>
    </row>
    <row r="35751" spans="2:2" s="221" customFormat="1" ht="12.75" x14ac:dyDescent="0.2">
      <c r="B35751" s="1168"/>
    </row>
    <row r="35752" spans="2:2" s="221" customFormat="1" ht="12.75" x14ac:dyDescent="0.2">
      <c r="B35752" s="1168"/>
    </row>
    <row r="35753" spans="2:2" s="221" customFormat="1" ht="12.75" x14ac:dyDescent="0.2">
      <c r="B35753" s="1168"/>
    </row>
    <row r="35754" spans="2:2" s="221" customFormat="1" ht="12.75" x14ac:dyDescent="0.2">
      <c r="B35754" s="1168"/>
    </row>
    <row r="35755" spans="2:2" s="221" customFormat="1" ht="12.75" x14ac:dyDescent="0.2">
      <c r="B35755" s="1168"/>
    </row>
    <row r="35756" spans="2:2" s="221" customFormat="1" ht="12.75" x14ac:dyDescent="0.2">
      <c r="B35756" s="1168"/>
    </row>
    <row r="35757" spans="2:2" s="221" customFormat="1" ht="12.75" x14ac:dyDescent="0.2">
      <c r="B35757" s="1168"/>
    </row>
    <row r="35758" spans="2:2" s="221" customFormat="1" ht="12.75" x14ac:dyDescent="0.2">
      <c r="B35758" s="1168"/>
    </row>
    <row r="35759" spans="2:2" s="221" customFormat="1" ht="12.75" x14ac:dyDescent="0.2">
      <c r="B35759" s="1168"/>
    </row>
    <row r="35760" spans="2:2" s="221" customFormat="1" ht="12.75" x14ac:dyDescent="0.2">
      <c r="B35760" s="1168"/>
    </row>
    <row r="35761" spans="2:2" s="221" customFormat="1" ht="12.75" x14ac:dyDescent="0.2">
      <c r="B35761" s="1168"/>
    </row>
    <row r="35762" spans="2:2" s="221" customFormat="1" ht="12.75" x14ac:dyDescent="0.2">
      <c r="B35762" s="1168"/>
    </row>
    <row r="35763" spans="2:2" s="221" customFormat="1" ht="12.75" x14ac:dyDescent="0.2">
      <c r="B35763" s="1168"/>
    </row>
    <row r="35764" spans="2:2" s="221" customFormat="1" ht="12.75" x14ac:dyDescent="0.2">
      <c r="B35764" s="1168"/>
    </row>
    <row r="35765" spans="2:2" s="221" customFormat="1" ht="12.75" x14ac:dyDescent="0.2">
      <c r="B35765" s="1168"/>
    </row>
    <row r="35766" spans="2:2" s="221" customFormat="1" ht="12.75" x14ac:dyDescent="0.2">
      <c r="B35766" s="1168"/>
    </row>
    <row r="35767" spans="2:2" s="221" customFormat="1" ht="12.75" x14ac:dyDescent="0.2">
      <c r="B35767" s="1168"/>
    </row>
    <row r="35768" spans="2:2" s="221" customFormat="1" ht="12.75" x14ac:dyDescent="0.2">
      <c r="B35768" s="1168"/>
    </row>
    <row r="35769" spans="2:2" s="221" customFormat="1" ht="12.75" x14ac:dyDescent="0.2">
      <c r="B35769" s="1168"/>
    </row>
    <row r="35770" spans="2:2" s="221" customFormat="1" ht="12.75" x14ac:dyDescent="0.2">
      <c r="B35770" s="1168"/>
    </row>
    <row r="35771" spans="2:2" s="221" customFormat="1" ht="12.75" x14ac:dyDescent="0.2">
      <c r="B35771" s="1168"/>
    </row>
    <row r="35772" spans="2:2" s="221" customFormat="1" ht="12.75" x14ac:dyDescent="0.2">
      <c r="B35772" s="1168"/>
    </row>
    <row r="35773" spans="2:2" s="221" customFormat="1" ht="12.75" x14ac:dyDescent="0.2">
      <c r="B35773" s="1168"/>
    </row>
    <row r="35774" spans="2:2" s="221" customFormat="1" ht="12.75" x14ac:dyDescent="0.2">
      <c r="B35774" s="1168"/>
    </row>
    <row r="35775" spans="2:2" s="221" customFormat="1" ht="12.75" x14ac:dyDescent="0.2">
      <c r="B35775" s="1168"/>
    </row>
    <row r="35776" spans="2:2" s="221" customFormat="1" ht="12.75" x14ac:dyDescent="0.2">
      <c r="B35776" s="1168"/>
    </row>
    <row r="35777" spans="2:2" s="221" customFormat="1" ht="12.75" x14ac:dyDescent="0.2">
      <c r="B35777" s="1168"/>
    </row>
    <row r="35778" spans="2:2" s="221" customFormat="1" ht="12.75" x14ac:dyDescent="0.2">
      <c r="B35778" s="1168"/>
    </row>
    <row r="35779" spans="2:2" s="221" customFormat="1" ht="12.75" x14ac:dyDescent="0.2">
      <c r="B35779" s="1168"/>
    </row>
    <row r="35780" spans="2:2" s="221" customFormat="1" ht="12.75" x14ac:dyDescent="0.2">
      <c r="B35780" s="1168"/>
    </row>
    <row r="35781" spans="2:2" s="221" customFormat="1" ht="12.75" x14ac:dyDescent="0.2">
      <c r="B35781" s="1168"/>
    </row>
    <row r="35782" spans="2:2" s="221" customFormat="1" ht="12.75" x14ac:dyDescent="0.2">
      <c r="B35782" s="1168"/>
    </row>
    <row r="35783" spans="2:2" s="221" customFormat="1" ht="12.75" x14ac:dyDescent="0.2">
      <c r="B35783" s="1168"/>
    </row>
    <row r="35784" spans="2:2" s="221" customFormat="1" ht="12.75" x14ac:dyDescent="0.2">
      <c r="B35784" s="1168"/>
    </row>
    <row r="35785" spans="2:2" s="221" customFormat="1" ht="12.75" x14ac:dyDescent="0.2">
      <c r="B35785" s="1168"/>
    </row>
    <row r="35786" spans="2:2" s="221" customFormat="1" ht="12.75" x14ac:dyDescent="0.2">
      <c r="B35786" s="1168"/>
    </row>
    <row r="35787" spans="2:2" s="221" customFormat="1" ht="12.75" x14ac:dyDescent="0.2">
      <c r="B35787" s="1168"/>
    </row>
    <row r="35788" spans="2:2" s="221" customFormat="1" ht="12.75" x14ac:dyDescent="0.2">
      <c r="B35788" s="1168"/>
    </row>
    <row r="35789" spans="2:2" s="221" customFormat="1" ht="12.75" x14ac:dyDescent="0.2">
      <c r="B35789" s="1168"/>
    </row>
    <row r="35790" spans="2:2" s="221" customFormat="1" ht="12.75" x14ac:dyDescent="0.2">
      <c r="B35790" s="1168"/>
    </row>
    <row r="35791" spans="2:2" s="221" customFormat="1" ht="12.75" x14ac:dyDescent="0.2">
      <c r="B35791" s="1168"/>
    </row>
    <row r="35792" spans="2:2" s="221" customFormat="1" ht="12.75" x14ac:dyDescent="0.2">
      <c r="B35792" s="1168"/>
    </row>
    <row r="35793" spans="2:2" s="221" customFormat="1" ht="12.75" x14ac:dyDescent="0.2">
      <c r="B35793" s="1168"/>
    </row>
    <row r="35794" spans="2:2" s="221" customFormat="1" ht="12.75" x14ac:dyDescent="0.2">
      <c r="B35794" s="1168"/>
    </row>
    <row r="35795" spans="2:2" s="221" customFormat="1" ht="12.75" x14ac:dyDescent="0.2">
      <c r="B35795" s="1168"/>
    </row>
    <row r="35796" spans="2:2" s="221" customFormat="1" ht="12.75" x14ac:dyDescent="0.2">
      <c r="B35796" s="1168"/>
    </row>
    <row r="35797" spans="2:2" s="221" customFormat="1" ht="12.75" x14ac:dyDescent="0.2">
      <c r="B35797" s="1168"/>
    </row>
    <row r="35798" spans="2:2" s="221" customFormat="1" ht="12.75" x14ac:dyDescent="0.2">
      <c r="B35798" s="1168"/>
    </row>
    <row r="35799" spans="2:2" s="221" customFormat="1" ht="12.75" x14ac:dyDescent="0.2">
      <c r="B35799" s="1168"/>
    </row>
    <row r="35800" spans="2:2" s="221" customFormat="1" ht="12.75" x14ac:dyDescent="0.2">
      <c r="B35800" s="1168"/>
    </row>
    <row r="35801" spans="2:2" s="221" customFormat="1" ht="12.75" x14ac:dyDescent="0.2">
      <c r="B35801" s="1168"/>
    </row>
    <row r="35802" spans="2:2" s="221" customFormat="1" ht="12.75" x14ac:dyDescent="0.2">
      <c r="B35802" s="1168"/>
    </row>
    <row r="35803" spans="2:2" s="221" customFormat="1" ht="12.75" x14ac:dyDescent="0.2">
      <c r="B35803" s="1168"/>
    </row>
    <row r="35804" spans="2:2" s="221" customFormat="1" ht="12.75" x14ac:dyDescent="0.2">
      <c r="B35804" s="1168"/>
    </row>
    <row r="35805" spans="2:2" s="221" customFormat="1" ht="12.75" x14ac:dyDescent="0.2">
      <c r="B35805" s="1168"/>
    </row>
    <row r="35806" spans="2:2" s="221" customFormat="1" ht="12.75" x14ac:dyDescent="0.2">
      <c r="B35806" s="1168"/>
    </row>
    <row r="35807" spans="2:2" s="221" customFormat="1" ht="12.75" x14ac:dyDescent="0.2">
      <c r="B35807" s="1168"/>
    </row>
    <row r="35808" spans="2:2" s="221" customFormat="1" ht="12.75" x14ac:dyDescent="0.2">
      <c r="B35808" s="1168"/>
    </row>
    <row r="35809" spans="2:2" s="221" customFormat="1" ht="12.75" x14ac:dyDescent="0.2">
      <c r="B35809" s="1168"/>
    </row>
    <row r="35810" spans="2:2" s="221" customFormat="1" ht="12.75" x14ac:dyDescent="0.2">
      <c r="B35810" s="1168"/>
    </row>
    <row r="35811" spans="2:2" s="221" customFormat="1" ht="12.75" x14ac:dyDescent="0.2">
      <c r="B35811" s="1168"/>
    </row>
    <row r="35812" spans="2:2" s="221" customFormat="1" ht="12.75" x14ac:dyDescent="0.2">
      <c r="B35812" s="1168"/>
    </row>
    <row r="35813" spans="2:2" s="221" customFormat="1" ht="12.75" x14ac:dyDescent="0.2">
      <c r="B35813" s="1168"/>
    </row>
    <row r="35814" spans="2:2" s="221" customFormat="1" ht="12.75" x14ac:dyDescent="0.2">
      <c r="B35814" s="1168"/>
    </row>
    <row r="35815" spans="2:2" s="221" customFormat="1" ht="12.75" x14ac:dyDescent="0.2">
      <c r="B35815" s="1168"/>
    </row>
    <row r="35816" spans="2:2" s="221" customFormat="1" ht="12.75" x14ac:dyDescent="0.2">
      <c r="B35816" s="1168"/>
    </row>
    <row r="35817" spans="2:2" s="221" customFormat="1" ht="12.75" x14ac:dyDescent="0.2">
      <c r="B35817" s="1168"/>
    </row>
    <row r="35818" spans="2:2" s="221" customFormat="1" ht="12.75" x14ac:dyDescent="0.2">
      <c r="B35818" s="1168"/>
    </row>
    <row r="35819" spans="2:2" s="221" customFormat="1" ht="12.75" x14ac:dyDescent="0.2">
      <c r="B35819" s="1168"/>
    </row>
    <row r="35820" spans="2:2" s="221" customFormat="1" ht="12.75" x14ac:dyDescent="0.2">
      <c r="B35820" s="1168"/>
    </row>
    <row r="35821" spans="2:2" s="221" customFormat="1" ht="12.75" x14ac:dyDescent="0.2">
      <c r="B35821" s="1168"/>
    </row>
    <row r="35822" spans="2:2" s="221" customFormat="1" ht="12.75" x14ac:dyDescent="0.2">
      <c r="B35822" s="1168"/>
    </row>
    <row r="35823" spans="2:2" s="221" customFormat="1" ht="12.75" x14ac:dyDescent="0.2">
      <c r="B35823" s="1168"/>
    </row>
    <row r="35824" spans="2:2" s="221" customFormat="1" ht="12.75" x14ac:dyDescent="0.2">
      <c r="B35824" s="1168"/>
    </row>
    <row r="35825" spans="2:2" s="221" customFormat="1" ht="12.75" x14ac:dyDescent="0.2">
      <c r="B35825" s="1168"/>
    </row>
    <row r="35826" spans="2:2" s="221" customFormat="1" ht="12.75" x14ac:dyDescent="0.2">
      <c r="B35826" s="1168"/>
    </row>
    <row r="35827" spans="2:2" s="221" customFormat="1" ht="12.75" x14ac:dyDescent="0.2">
      <c r="B35827" s="1168"/>
    </row>
    <row r="35828" spans="2:2" s="221" customFormat="1" ht="12.75" x14ac:dyDescent="0.2">
      <c r="B35828" s="1168"/>
    </row>
    <row r="35829" spans="2:2" s="221" customFormat="1" ht="12.75" x14ac:dyDescent="0.2">
      <c r="B35829" s="1168"/>
    </row>
    <row r="35830" spans="2:2" s="221" customFormat="1" ht="12.75" x14ac:dyDescent="0.2">
      <c r="B35830" s="1168"/>
    </row>
    <row r="35831" spans="2:2" s="221" customFormat="1" ht="12.75" x14ac:dyDescent="0.2">
      <c r="B35831" s="1168"/>
    </row>
    <row r="35832" spans="2:2" s="221" customFormat="1" ht="12.75" x14ac:dyDescent="0.2">
      <c r="B35832" s="1168"/>
    </row>
    <row r="35833" spans="2:2" s="221" customFormat="1" ht="12.75" x14ac:dyDescent="0.2">
      <c r="B35833" s="1168"/>
    </row>
    <row r="35834" spans="2:2" s="221" customFormat="1" ht="12.75" x14ac:dyDescent="0.2">
      <c r="B35834" s="1168"/>
    </row>
    <row r="35835" spans="2:2" s="221" customFormat="1" ht="12.75" x14ac:dyDescent="0.2">
      <c r="B35835" s="1168"/>
    </row>
    <row r="35836" spans="2:2" s="221" customFormat="1" ht="12.75" x14ac:dyDescent="0.2">
      <c r="B35836" s="1168"/>
    </row>
    <row r="35837" spans="2:2" s="221" customFormat="1" ht="12.75" x14ac:dyDescent="0.2">
      <c r="B35837" s="1168"/>
    </row>
    <row r="35838" spans="2:2" s="221" customFormat="1" ht="12.75" x14ac:dyDescent="0.2">
      <c r="B35838" s="1168"/>
    </row>
    <row r="35839" spans="2:2" s="221" customFormat="1" ht="12.75" x14ac:dyDescent="0.2">
      <c r="B35839" s="1168"/>
    </row>
    <row r="35840" spans="2:2" s="221" customFormat="1" ht="12.75" x14ac:dyDescent="0.2">
      <c r="B35840" s="1168"/>
    </row>
    <row r="35841" spans="2:2" s="221" customFormat="1" ht="12.75" x14ac:dyDescent="0.2">
      <c r="B35841" s="1168"/>
    </row>
    <row r="35842" spans="2:2" s="221" customFormat="1" ht="12.75" x14ac:dyDescent="0.2">
      <c r="B35842" s="1168"/>
    </row>
    <row r="35843" spans="2:2" s="221" customFormat="1" ht="12.75" x14ac:dyDescent="0.2">
      <c r="B35843" s="1168"/>
    </row>
    <row r="35844" spans="2:2" s="221" customFormat="1" ht="12.75" x14ac:dyDescent="0.2">
      <c r="B35844" s="1168"/>
    </row>
    <row r="35845" spans="2:2" s="221" customFormat="1" ht="12.75" x14ac:dyDescent="0.2">
      <c r="B35845" s="1168"/>
    </row>
    <row r="35846" spans="2:2" s="221" customFormat="1" ht="12.75" x14ac:dyDescent="0.2">
      <c r="B35846" s="1168"/>
    </row>
    <row r="35847" spans="2:2" s="221" customFormat="1" ht="12.75" x14ac:dyDescent="0.2">
      <c r="B35847" s="1168"/>
    </row>
    <row r="35848" spans="2:2" s="221" customFormat="1" ht="12.75" x14ac:dyDescent="0.2">
      <c r="B35848" s="1168"/>
    </row>
    <row r="35849" spans="2:2" s="221" customFormat="1" ht="12.75" x14ac:dyDescent="0.2">
      <c r="B35849" s="1168"/>
    </row>
    <row r="35850" spans="2:2" s="221" customFormat="1" ht="12.75" x14ac:dyDescent="0.2">
      <c r="B35850" s="1168"/>
    </row>
    <row r="35851" spans="2:2" s="221" customFormat="1" ht="12.75" x14ac:dyDescent="0.2">
      <c r="B35851" s="1168"/>
    </row>
    <row r="35852" spans="2:2" s="221" customFormat="1" ht="12.75" x14ac:dyDescent="0.2">
      <c r="B35852" s="1168"/>
    </row>
    <row r="35853" spans="2:2" s="221" customFormat="1" ht="12.75" x14ac:dyDescent="0.2">
      <c r="B35853" s="1168"/>
    </row>
    <row r="35854" spans="2:2" s="221" customFormat="1" ht="12.75" x14ac:dyDescent="0.2">
      <c r="B35854" s="1168"/>
    </row>
    <row r="35855" spans="2:2" s="221" customFormat="1" ht="12.75" x14ac:dyDescent="0.2">
      <c r="B35855" s="1168"/>
    </row>
    <row r="35856" spans="2:2" s="221" customFormat="1" ht="12.75" x14ac:dyDescent="0.2">
      <c r="B35856" s="1168"/>
    </row>
    <row r="35857" spans="2:2" s="221" customFormat="1" ht="12.75" x14ac:dyDescent="0.2">
      <c r="B35857" s="1168"/>
    </row>
    <row r="35858" spans="2:2" s="221" customFormat="1" ht="12.75" x14ac:dyDescent="0.2">
      <c r="B35858" s="1168"/>
    </row>
    <row r="35859" spans="2:2" s="221" customFormat="1" ht="12.75" x14ac:dyDescent="0.2">
      <c r="B35859" s="1168"/>
    </row>
    <row r="35860" spans="2:2" s="221" customFormat="1" ht="12.75" x14ac:dyDescent="0.2">
      <c r="B35860" s="1168"/>
    </row>
    <row r="35861" spans="2:2" s="221" customFormat="1" ht="12.75" x14ac:dyDescent="0.2">
      <c r="B35861" s="1168"/>
    </row>
    <row r="35862" spans="2:2" s="221" customFormat="1" ht="12.75" x14ac:dyDescent="0.2">
      <c r="B35862" s="1168"/>
    </row>
    <row r="35863" spans="2:2" s="221" customFormat="1" ht="12.75" x14ac:dyDescent="0.2">
      <c r="B35863" s="1168"/>
    </row>
    <row r="35864" spans="2:2" s="221" customFormat="1" ht="12.75" x14ac:dyDescent="0.2">
      <c r="B35864" s="1168"/>
    </row>
    <row r="35865" spans="2:2" s="221" customFormat="1" ht="12.75" x14ac:dyDescent="0.2">
      <c r="B35865" s="1168"/>
    </row>
    <row r="35866" spans="2:2" s="221" customFormat="1" ht="12.75" x14ac:dyDescent="0.2">
      <c r="B35866" s="1168"/>
    </row>
    <row r="35867" spans="2:2" s="221" customFormat="1" ht="12.75" x14ac:dyDescent="0.2">
      <c r="B35867" s="1168"/>
    </row>
    <row r="35868" spans="2:2" s="221" customFormat="1" ht="12.75" x14ac:dyDescent="0.2">
      <c r="B35868" s="1168"/>
    </row>
    <row r="35869" spans="2:2" s="221" customFormat="1" ht="12.75" x14ac:dyDescent="0.2">
      <c r="B35869" s="1168"/>
    </row>
    <row r="35870" spans="2:2" s="221" customFormat="1" ht="12.75" x14ac:dyDescent="0.2">
      <c r="B35870" s="1168"/>
    </row>
    <row r="35871" spans="2:2" s="221" customFormat="1" ht="12.75" x14ac:dyDescent="0.2">
      <c r="B35871" s="1168"/>
    </row>
    <row r="35872" spans="2:2" s="221" customFormat="1" ht="12.75" x14ac:dyDescent="0.2">
      <c r="B35872" s="1168"/>
    </row>
    <row r="35873" spans="2:2" s="221" customFormat="1" ht="12.75" x14ac:dyDescent="0.2">
      <c r="B35873" s="1168"/>
    </row>
    <row r="35874" spans="2:2" s="221" customFormat="1" ht="12.75" x14ac:dyDescent="0.2">
      <c r="B35874" s="1168"/>
    </row>
    <row r="35875" spans="2:2" s="221" customFormat="1" ht="12.75" x14ac:dyDescent="0.2">
      <c r="B35875" s="1168"/>
    </row>
    <row r="35876" spans="2:2" s="221" customFormat="1" ht="12.75" x14ac:dyDescent="0.2">
      <c r="B35876" s="1168"/>
    </row>
    <row r="35877" spans="2:2" s="221" customFormat="1" ht="12.75" x14ac:dyDescent="0.2">
      <c r="B35877" s="1168"/>
    </row>
    <row r="35878" spans="2:2" s="221" customFormat="1" ht="12.75" x14ac:dyDescent="0.2">
      <c r="B35878" s="1168"/>
    </row>
    <row r="35879" spans="2:2" s="221" customFormat="1" ht="12.75" x14ac:dyDescent="0.2">
      <c r="B35879" s="1168"/>
    </row>
    <row r="35880" spans="2:2" s="221" customFormat="1" ht="12.75" x14ac:dyDescent="0.2">
      <c r="B35880" s="1168"/>
    </row>
    <row r="35881" spans="2:2" s="221" customFormat="1" ht="12.75" x14ac:dyDescent="0.2">
      <c r="B35881" s="1168"/>
    </row>
    <row r="35882" spans="2:2" s="221" customFormat="1" ht="12.75" x14ac:dyDescent="0.2">
      <c r="B35882" s="1168"/>
    </row>
    <row r="35883" spans="2:2" s="221" customFormat="1" ht="12.75" x14ac:dyDescent="0.2">
      <c r="B35883" s="1168"/>
    </row>
    <row r="35884" spans="2:2" s="221" customFormat="1" ht="12.75" x14ac:dyDescent="0.2">
      <c r="B35884" s="1168"/>
    </row>
    <row r="35885" spans="2:2" s="221" customFormat="1" ht="12.75" x14ac:dyDescent="0.2">
      <c r="B35885" s="1168"/>
    </row>
    <row r="35886" spans="2:2" s="221" customFormat="1" ht="12.75" x14ac:dyDescent="0.2">
      <c r="B35886" s="1168"/>
    </row>
    <row r="35887" spans="2:2" s="221" customFormat="1" ht="12.75" x14ac:dyDescent="0.2">
      <c r="B35887" s="1168"/>
    </row>
    <row r="35888" spans="2:2" s="221" customFormat="1" ht="12.75" x14ac:dyDescent="0.2">
      <c r="B35888" s="1168"/>
    </row>
    <row r="35889" spans="2:2" s="221" customFormat="1" ht="12.75" x14ac:dyDescent="0.2">
      <c r="B35889" s="1168"/>
    </row>
    <row r="35890" spans="2:2" s="221" customFormat="1" ht="12.75" x14ac:dyDescent="0.2">
      <c r="B35890" s="1168"/>
    </row>
    <row r="35891" spans="2:2" s="221" customFormat="1" ht="12.75" x14ac:dyDescent="0.2">
      <c r="B35891" s="1168"/>
    </row>
    <row r="35892" spans="2:2" s="221" customFormat="1" ht="12.75" x14ac:dyDescent="0.2">
      <c r="B35892" s="1168"/>
    </row>
    <row r="35893" spans="2:2" s="221" customFormat="1" ht="12.75" x14ac:dyDescent="0.2">
      <c r="B35893" s="1168"/>
    </row>
    <row r="35894" spans="2:2" s="221" customFormat="1" ht="12.75" x14ac:dyDescent="0.2">
      <c r="B35894" s="1168"/>
    </row>
    <row r="35895" spans="2:2" s="221" customFormat="1" ht="12.75" x14ac:dyDescent="0.2">
      <c r="B35895" s="1168"/>
    </row>
    <row r="35896" spans="2:2" s="221" customFormat="1" ht="12.75" x14ac:dyDescent="0.2">
      <c r="B35896" s="1168"/>
    </row>
    <row r="35897" spans="2:2" s="221" customFormat="1" ht="12.75" x14ac:dyDescent="0.2">
      <c r="B35897" s="1168"/>
    </row>
    <row r="35898" spans="2:2" s="221" customFormat="1" ht="12.75" x14ac:dyDescent="0.2">
      <c r="B35898" s="1168"/>
    </row>
    <row r="35899" spans="2:2" s="221" customFormat="1" ht="12.75" x14ac:dyDescent="0.2">
      <c r="B35899" s="1168"/>
    </row>
    <row r="35900" spans="2:2" s="221" customFormat="1" ht="12.75" x14ac:dyDescent="0.2">
      <c r="B35900" s="1168"/>
    </row>
    <row r="35901" spans="2:2" s="221" customFormat="1" ht="12.75" x14ac:dyDescent="0.2">
      <c r="B35901" s="1168"/>
    </row>
    <row r="35902" spans="2:2" s="221" customFormat="1" ht="12.75" x14ac:dyDescent="0.2">
      <c r="B35902" s="1168"/>
    </row>
    <row r="35903" spans="2:2" s="221" customFormat="1" ht="12.75" x14ac:dyDescent="0.2">
      <c r="B35903" s="1168"/>
    </row>
    <row r="35904" spans="2:2" s="221" customFormat="1" ht="12.75" x14ac:dyDescent="0.2">
      <c r="B35904" s="1168"/>
    </row>
    <row r="35905" spans="2:2" s="221" customFormat="1" ht="12.75" x14ac:dyDescent="0.2">
      <c r="B35905" s="1168"/>
    </row>
    <row r="35906" spans="2:2" s="221" customFormat="1" ht="12.75" x14ac:dyDescent="0.2">
      <c r="B35906" s="1168"/>
    </row>
    <row r="35907" spans="2:2" s="221" customFormat="1" ht="12.75" x14ac:dyDescent="0.2">
      <c r="B35907" s="1168"/>
    </row>
    <row r="35908" spans="2:2" s="221" customFormat="1" ht="12.75" x14ac:dyDescent="0.2">
      <c r="B35908" s="1168"/>
    </row>
    <row r="35909" spans="2:2" s="221" customFormat="1" ht="12.75" x14ac:dyDescent="0.2">
      <c r="B35909" s="1168"/>
    </row>
    <row r="35910" spans="2:2" s="221" customFormat="1" ht="12.75" x14ac:dyDescent="0.2">
      <c r="B35910" s="1168"/>
    </row>
    <row r="35911" spans="2:2" s="221" customFormat="1" ht="12.75" x14ac:dyDescent="0.2">
      <c r="B35911" s="1168"/>
    </row>
    <row r="35912" spans="2:2" s="221" customFormat="1" ht="12.75" x14ac:dyDescent="0.2">
      <c r="B35912" s="1168"/>
    </row>
    <row r="35913" spans="2:2" s="221" customFormat="1" ht="12.75" x14ac:dyDescent="0.2">
      <c r="B35913" s="1168"/>
    </row>
    <row r="35914" spans="2:2" s="221" customFormat="1" ht="12.75" x14ac:dyDescent="0.2">
      <c r="B35914" s="1168"/>
    </row>
    <row r="35915" spans="2:2" s="221" customFormat="1" ht="12.75" x14ac:dyDescent="0.2">
      <c r="B35915" s="1168"/>
    </row>
    <row r="35916" spans="2:2" s="221" customFormat="1" ht="12.75" x14ac:dyDescent="0.2">
      <c r="B35916" s="1168"/>
    </row>
    <row r="35917" spans="2:2" s="221" customFormat="1" ht="12.75" x14ac:dyDescent="0.2">
      <c r="B35917" s="1168"/>
    </row>
    <row r="35918" spans="2:2" s="221" customFormat="1" ht="12.75" x14ac:dyDescent="0.2">
      <c r="B35918" s="1168"/>
    </row>
    <row r="35919" spans="2:2" s="221" customFormat="1" ht="12.75" x14ac:dyDescent="0.2">
      <c r="B35919" s="1168"/>
    </row>
    <row r="35920" spans="2:2" s="221" customFormat="1" ht="12.75" x14ac:dyDescent="0.2">
      <c r="B35920" s="1168"/>
    </row>
    <row r="35921" spans="2:2" s="221" customFormat="1" ht="12.75" x14ac:dyDescent="0.2">
      <c r="B35921" s="1168"/>
    </row>
    <row r="35922" spans="2:2" s="221" customFormat="1" ht="12.75" x14ac:dyDescent="0.2">
      <c r="B35922" s="1168"/>
    </row>
    <row r="35923" spans="2:2" s="221" customFormat="1" ht="12.75" x14ac:dyDescent="0.2">
      <c r="B35923" s="1168"/>
    </row>
    <row r="35924" spans="2:2" s="221" customFormat="1" ht="12.75" x14ac:dyDescent="0.2">
      <c r="B35924" s="1168"/>
    </row>
    <row r="35925" spans="2:2" s="221" customFormat="1" ht="12.75" x14ac:dyDescent="0.2">
      <c r="B35925" s="1168"/>
    </row>
    <row r="35926" spans="2:2" s="221" customFormat="1" ht="12.75" x14ac:dyDescent="0.2">
      <c r="B35926" s="1168"/>
    </row>
    <row r="35927" spans="2:2" s="221" customFormat="1" ht="12.75" x14ac:dyDescent="0.2">
      <c r="B35927" s="1168"/>
    </row>
    <row r="35928" spans="2:2" s="221" customFormat="1" ht="12.75" x14ac:dyDescent="0.2">
      <c r="B35928" s="1168"/>
    </row>
    <row r="35929" spans="2:2" s="221" customFormat="1" ht="12.75" x14ac:dyDescent="0.2">
      <c r="B35929" s="1168"/>
    </row>
    <row r="35930" spans="2:2" s="221" customFormat="1" ht="12.75" x14ac:dyDescent="0.2">
      <c r="B35930" s="1168"/>
    </row>
    <row r="35931" spans="2:2" s="221" customFormat="1" ht="12.75" x14ac:dyDescent="0.2">
      <c r="B35931" s="1168"/>
    </row>
    <row r="35932" spans="2:2" s="221" customFormat="1" ht="12.75" x14ac:dyDescent="0.2">
      <c r="B35932" s="1168"/>
    </row>
    <row r="35933" spans="2:2" s="221" customFormat="1" ht="12.75" x14ac:dyDescent="0.2">
      <c r="B35933" s="1168"/>
    </row>
    <row r="35934" spans="2:2" s="221" customFormat="1" ht="12.75" x14ac:dyDescent="0.2">
      <c r="B35934" s="1168"/>
    </row>
    <row r="35935" spans="2:2" s="221" customFormat="1" ht="12.75" x14ac:dyDescent="0.2">
      <c r="B35935" s="1168"/>
    </row>
    <row r="35936" spans="2:2" s="221" customFormat="1" ht="12.75" x14ac:dyDescent="0.2">
      <c r="B35936" s="1168"/>
    </row>
    <row r="35937" spans="2:2" s="221" customFormat="1" ht="12.75" x14ac:dyDescent="0.2">
      <c r="B35937" s="1168"/>
    </row>
    <row r="35938" spans="2:2" s="221" customFormat="1" ht="12.75" x14ac:dyDescent="0.2">
      <c r="B35938" s="1168"/>
    </row>
    <row r="35939" spans="2:2" s="221" customFormat="1" ht="12.75" x14ac:dyDescent="0.2">
      <c r="B35939" s="1168"/>
    </row>
    <row r="35940" spans="2:2" s="221" customFormat="1" ht="12.75" x14ac:dyDescent="0.2">
      <c r="B35940" s="1168"/>
    </row>
    <row r="35941" spans="2:2" s="221" customFormat="1" ht="12.75" x14ac:dyDescent="0.2">
      <c r="B35941" s="1168"/>
    </row>
    <row r="35942" spans="2:2" s="221" customFormat="1" ht="12.75" x14ac:dyDescent="0.2">
      <c r="B35942" s="1168"/>
    </row>
    <row r="35943" spans="2:2" s="221" customFormat="1" ht="12.75" x14ac:dyDescent="0.2">
      <c r="B35943" s="1168"/>
    </row>
    <row r="35944" spans="2:2" s="221" customFormat="1" ht="12.75" x14ac:dyDescent="0.2">
      <c r="B35944" s="1168"/>
    </row>
    <row r="35945" spans="2:2" s="221" customFormat="1" ht="12.75" x14ac:dyDescent="0.2">
      <c r="B35945" s="1168"/>
    </row>
    <row r="35946" spans="2:2" s="221" customFormat="1" ht="12.75" x14ac:dyDescent="0.2">
      <c r="B35946" s="1168"/>
    </row>
    <row r="35947" spans="2:2" s="221" customFormat="1" ht="12.75" x14ac:dyDescent="0.2">
      <c r="B35947" s="1168"/>
    </row>
    <row r="35948" spans="2:2" s="221" customFormat="1" ht="12.75" x14ac:dyDescent="0.2">
      <c r="B35948" s="1168"/>
    </row>
    <row r="35949" spans="2:2" s="221" customFormat="1" ht="12.75" x14ac:dyDescent="0.2">
      <c r="B35949" s="1168"/>
    </row>
    <row r="35950" spans="2:2" s="221" customFormat="1" ht="12.75" x14ac:dyDescent="0.2">
      <c r="B35950" s="1168"/>
    </row>
    <row r="35951" spans="2:2" s="221" customFormat="1" ht="12.75" x14ac:dyDescent="0.2">
      <c r="B35951" s="1168"/>
    </row>
    <row r="35952" spans="2:2" s="221" customFormat="1" ht="12.75" x14ac:dyDescent="0.2">
      <c r="B35952" s="1168"/>
    </row>
    <row r="35953" spans="2:2" s="221" customFormat="1" ht="12.75" x14ac:dyDescent="0.2">
      <c r="B35953" s="1168"/>
    </row>
    <row r="35954" spans="2:2" s="221" customFormat="1" ht="12.75" x14ac:dyDescent="0.2">
      <c r="B35954" s="1168"/>
    </row>
    <row r="35955" spans="2:2" s="221" customFormat="1" ht="12.75" x14ac:dyDescent="0.2">
      <c r="B35955" s="1168"/>
    </row>
    <row r="35956" spans="2:2" s="221" customFormat="1" ht="12.75" x14ac:dyDescent="0.2">
      <c r="B35956" s="1168"/>
    </row>
    <row r="35957" spans="2:2" s="221" customFormat="1" ht="12.75" x14ac:dyDescent="0.2">
      <c r="B35957" s="1168"/>
    </row>
    <row r="35958" spans="2:2" s="221" customFormat="1" ht="12.75" x14ac:dyDescent="0.2">
      <c r="B35958" s="1168"/>
    </row>
    <row r="35959" spans="2:2" s="221" customFormat="1" ht="12.75" x14ac:dyDescent="0.2">
      <c r="B35959" s="1168"/>
    </row>
    <row r="35960" spans="2:2" s="221" customFormat="1" ht="12.75" x14ac:dyDescent="0.2">
      <c r="B35960" s="1168"/>
    </row>
    <row r="35961" spans="2:2" s="221" customFormat="1" ht="12.75" x14ac:dyDescent="0.2">
      <c r="B35961" s="1168"/>
    </row>
    <row r="35962" spans="2:2" s="221" customFormat="1" ht="12.75" x14ac:dyDescent="0.2">
      <c r="B35962" s="1168"/>
    </row>
    <row r="35963" spans="2:2" s="221" customFormat="1" ht="12.75" x14ac:dyDescent="0.2">
      <c r="B35963" s="1168"/>
    </row>
    <row r="35964" spans="2:2" s="221" customFormat="1" ht="12.75" x14ac:dyDescent="0.2">
      <c r="B35964" s="1168"/>
    </row>
    <row r="35965" spans="2:2" s="221" customFormat="1" ht="12.75" x14ac:dyDescent="0.2">
      <c r="B35965" s="1168"/>
    </row>
    <row r="35966" spans="2:2" s="221" customFormat="1" ht="12.75" x14ac:dyDescent="0.2">
      <c r="B35966" s="1168"/>
    </row>
    <row r="35967" spans="2:2" s="221" customFormat="1" ht="12.75" x14ac:dyDescent="0.2">
      <c r="B35967" s="1168"/>
    </row>
    <row r="35968" spans="2:2" s="221" customFormat="1" ht="12.75" x14ac:dyDescent="0.2">
      <c r="B35968" s="1168"/>
    </row>
    <row r="35969" spans="2:2" s="221" customFormat="1" ht="12.75" x14ac:dyDescent="0.2">
      <c r="B35969" s="1168"/>
    </row>
    <row r="35970" spans="2:2" s="221" customFormat="1" ht="12.75" x14ac:dyDescent="0.2">
      <c r="B35970" s="1168"/>
    </row>
    <row r="35971" spans="2:2" s="221" customFormat="1" ht="12.75" x14ac:dyDescent="0.2">
      <c r="B35971" s="1168"/>
    </row>
    <row r="35972" spans="2:2" s="221" customFormat="1" ht="12.75" x14ac:dyDescent="0.2">
      <c r="B35972" s="1168"/>
    </row>
    <row r="35973" spans="2:2" s="221" customFormat="1" ht="12.75" x14ac:dyDescent="0.2">
      <c r="B35973" s="1168"/>
    </row>
    <row r="35974" spans="2:2" s="221" customFormat="1" ht="12.75" x14ac:dyDescent="0.2">
      <c r="B35974" s="1168"/>
    </row>
    <row r="35975" spans="2:2" s="221" customFormat="1" ht="12.75" x14ac:dyDescent="0.2">
      <c r="B35975" s="1168"/>
    </row>
    <row r="35976" spans="2:2" s="221" customFormat="1" ht="12.75" x14ac:dyDescent="0.2">
      <c r="B35976" s="1168"/>
    </row>
    <row r="35977" spans="2:2" s="221" customFormat="1" ht="12.75" x14ac:dyDescent="0.2">
      <c r="B35977" s="1168"/>
    </row>
    <row r="35978" spans="2:2" s="221" customFormat="1" ht="12.75" x14ac:dyDescent="0.2">
      <c r="B35978" s="1168"/>
    </row>
    <row r="35979" spans="2:2" s="221" customFormat="1" ht="12.75" x14ac:dyDescent="0.2">
      <c r="B35979" s="1168"/>
    </row>
    <row r="35980" spans="2:2" s="221" customFormat="1" ht="12.75" x14ac:dyDescent="0.2">
      <c r="B35980" s="1168"/>
    </row>
    <row r="35981" spans="2:2" s="221" customFormat="1" ht="12.75" x14ac:dyDescent="0.2">
      <c r="B35981" s="1168"/>
    </row>
    <row r="35982" spans="2:2" s="221" customFormat="1" ht="12.75" x14ac:dyDescent="0.2">
      <c r="B35982" s="1168"/>
    </row>
    <row r="35983" spans="2:2" s="221" customFormat="1" ht="12.75" x14ac:dyDescent="0.2">
      <c r="B35983" s="1168"/>
    </row>
    <row r="35984" spans="2:2" s="221" customFormat="1" ht="12.75" x14ac:dyDescent="0.2">
      <c r="B35984" s="1168"/>
    </row>
    <row r="35985" spans="2:2" s="221" customFormat="1" ht="12.75" x14ac:dyDescent="0.2">
      <c r="B35985" s="1168"/>
    </row>
    <row r="35986" spans="2:2" s="221" customFormat="1" ht="12.75" x14ac:dyDescent="0.2">
      <c r="B35986" s="1168"/>
    </row>
    <row r="35987" spans="2:2" s="221" customFormat="1" ht="12.75" x14ac:dyDescent="0.2">
      <c r="B35987" s="1168"/>
    </row>
    <row r="35988" spans="2:2" s="221" customFormat="1" ht="12.75" x14ac:dyDescent="0.2">
      <c r="B35988" s="1168"/>
    </row>
    <row r="35989" spans="2:2" s="221" customFormat="1" ht="12.75" x14ac:dyDescent="0.2">
      <c r="B35989" s="1168"/>
    </row>
    <row r="35990" spans="2:2" s="221" customFormat="1" ht="12.75" x14ac:dyDescent="0.2">
      <c r="B35990" s="1168"/>
    </row>
    <row r="35991" spans="2:2" s="221" customFormat="1" ht="12.75" x14ac:dyDescent="0.2">
      <c r="B35991" s="1168"/>
    </row>
    <row r="35992" spans="2:2" s="221" customFormat="1" ht="12.75" x14ac:dyDescent="0.2">
      <c r="B35992" s="1168"/>
    </row>
    <row r="35993" spans="2:2" s="221" customFormat="1" ht="12.75" x14ac:dyDescent="0.2">
      <c r="B35993" s="1168"/>
    </row>
    <row r="35994" spans="2:2" s="221" customFormat="1" ht="12.75" x14ac:dyDescent="0.2">
      <c r="B35994" s="1168"/>
    </row>
    <row r="35995" spans="2:2" s="221" customFormat="1" ht="12.75" x14ac:dyDescent="0.2">
      <c r="B35995" s="1168"/>
    </row>
    <row r="35996" spans="2:2" s="221" customFormat="1" ht="12.75" x14ac:dyDescent="0.2">
      <c r="B35996" s="1168"/>
    </row>
    <row r="35997" spans="2:2" s="221" customFormat="1" ht="12.75" x14ac:dyDescent="0.2">
      <c r="B35997" s="1168"/>
    </row>
    <row r="35998" spans="2:2" s="221" customFormat="1" ht="12.75" x14ac:dyDescent="0.2">
      <c r="B35998" s="1168"/>
    </row>
    <row r="35999" spans="2:2" s="221" customFormat="1" ht="12.75" x14ac:dyDescent="0.2">
      <c r="B35999" s="1168"/>
    </row>
    <row r="36000" spans="2:2" s="221" customFormat="1" ht="12.75" x14ac:dyDescent="0.2">
      <c r="B36000" s="1168"/>
    </row>
    <row r="36001" spans="2:2" s="221" customFormat="1" ht="12.75" x14ac:dyDescent="0.2">
      <c r="B36001" s="1168"/>
    </row>
    <row r="36002" spans="2:2" s="221" customFormat="1" ht="12.75" x14ac:dyDescent="0.2">
      <c r="B36002" s="1168"/>
    </row>
    <row r="36003" spans="2:2" s="221" customFormat="1" ht="12.75" x14ac:dyDescent="0.2">
      <c r="B36003" s="1168"/>
    </row>
    <row r="36004" spans="2:2" s="221" customFormat="1" ht="12.75" x14ac:dyDescent="0.2">
      <c r="B36004" s="1168"/>
    </row>
    <row r="36005" spans="2:2" s="221" customFormat="1" ht="12.75" x14ac:dyDescent="0.2">
      <c r="B36005" s="1168"/>
    </row>
    <row r="36006" spans="2:2" s="221" customFormat="1" ht="12.75" x14ac:dyDescent="0.2">
      <c r="B36006" s="1168"/>
    </row>
    <row r="36007" spans="2:2" s="221" customFormat="1" ht="12.75" x14ac:dyDescent="0.2">
      <c r="B36007" s="1168"/>
    </row>
    <row r="36008" spans="2:2" s="221" customFormat="1" ht="12.75" x14ac:dyDescent="0.2">
      <c r="B36008" s="1168"/>
    </row>
    <row r="36009" spans="2:2" s="221" customFormat="1" ht="12.75" x14ac:dyDescent="0.2">
      <c r="B36009" s="1168"/>
    </row>
    <row r="36010" spans="2:2" s="221" customFormat="1" ht="12.75" x14ac:dyDescent="0.2">
      <c r="B36010" s="1168"/>
    </row>
    <row r="36011" spans="2:2" s="221" customFormat="1" ht="12.75" x14ac:dyDescent="0.2">
      <c r="B36011" s="1168"/>
    </row>
    <row r="36012" spans="2:2" s="221" customFormat="1" ht="12.75" x14ac:dyDescent="0.2">
      <c r="B36012" s="1168"/>
    </row>
    <row r="36013" spans="2:2" s="221" customFormat="1" ht="12.75" x14ac:dyDescent="0.2">
      <c r="B36013" s="1168"/>
    </row>
    <row r="36014" spans="2:2" s="221" customFormat="1" ht="12.75" x14ac:dyDescent="0.2">
      <c r="B36014" s="1168"/>
    </row>
    <row r="36015" spans="2:2" s="221" customFormat="1" ht="12.75" x14ac:dyDescent="0.2">
      <c r="B36015" s="1168"/>
    </row>
    <row r="36016" spans="2:2" s="221" customFormat="1" ht="12.75" x14ac:dyDescent="0.2">
      <c r="B36016" s="1168"/>
    </row>
    <row r="36017" spans="2:2" s="221" customFormat="1" ht="12.75" x14ac:dyDescent="0.2">
      <c r="B36017" s="1168"/>
    </row>
    <row r="36018" spans="2:2" s="221" customFormat="1" ht="12.75" x14ac:dyDescent="0.2">
      <c r="B36018" s="1168"/>
    </row>
    <row r="36019" spans="2:2" s="221" customFormat="1" ht="12.75" x14ac:dyDescent="0.2">
      <c r="B36019" s="1168"/>
    </row>
    <row r="36020" spans="2:2" s="221" customFormat="1" ht="12.75" x14ac:dyDescent="0.2">
      <c r="B36020" s="1168"/>
    </row>
    <row r="36021" spans="2:2" s="221" customFormat="1" ht="12.75" x14ac:dyDescent="0.2">
      <c r="B36021" s="1168"/>
    </row>
    <row r="36022" spans="2:2" s="221" customFormat="1" ht="12.75" x14ac:dyDescent="0.2">
      <c r="B36022" s="1168"/>
    </row>
    <row r="36023" spans="2:2" s="221" customFormat="1" ht="12.75" x14ac:dyDescent="0.2">
      <c r="B36023" s="1168"/>
    </row>
    <row r="36024" spans="2:2" s="221" customFormat="1" ht="12.75" x14ac:dyDescent="0.2">
      <c r="B36024" s="1168"/>
    </row>
    <row r="36025" spans="2:2" s="221" customFormat="1" ht="12.75" x14ac:dyDescent="0.2">
      <c r="B36025" s="1168"/>
    </row>
    <row r="36026" spans="2:2" s="221" customFormat="1" ht="12.75" x14ac:dyDescent="0.2">
      <c r="B36026" s="1168"/>
    </row>
    <row r="36027" spans="2:2" s="221" customFormat="1" ht="12.75" x14ac:dyDescent="0.2">
      <c r="B36027" s="1168"/>
    </row>
    <row r="36028" spans="2:2" s="221" customFormat="1" ht="12.75" x14ac:dyDescent="0.2">
      <c r="B36028" s="1168"/>
    </row>
    <row r="36029" spans="2:2" s="221" customFormat="1" ht="12.75" x14ac:dyDescent="0.2">
      <c r="B36029" s="1168"/>
    </row>
    <row r="36030" spans="2:2" s="221" customFormat="1" ht="12.75" x14ac:dyDescent="0.2">
      <c r="B36030" s="1168"/>
    </row>
    <row r="36031" spans="2:2" s="221" customFormat="1" ht="12.75" x14ac:dyDescent="0.2">
      <c r="B36031" s="1168"/>
    </row>
    <row r="36032" spans="2:2" s="221" customFormat="1" ht="12.75" x14ac:dyDescent="0.2">
      <c r="B36032" s="1168"/>
    </row>
    <row r="36033" spans="2:2" s="221" customFormat="1" ht="12.75" x14ac:dyDescent="0.2">
      <c r="B36033" s="1168"/>
    </row>
    <row r="36034" spans="2:2" s="221" customFormat="1" ht="12.75" x14ac:dyDescent="0.2">
      <c r="B36034" s="1168"/>
    </row>
    <row r="36035" spans="2:2" s="221" customFormat="1" ht="12.75" x14ac:dyDescent="0.2">
      <c r="B36035" s="1168"/>
    </row>
    <row r="36036" spans="2:2" s="221" customFormat="1" ht="12.75" x14ac:dyDescent="0.2">
      <c r="B36036" s="1168"/>
    </row>
    <row r="36037" spans="2:2" s="221" customFormat="1" ht="12.75" x14ac:dyDescent="0.2">
      <c r="B36037" s="1168"/>
    </row>
    <row r="36038" spans="2:2" s="221" customFormat="1" ht="12.75" x14ac:dyDescent="0.2">
      <c r="B36038" s="1168"/>
    </row>
    <row r="36039" spans="2:2" s="221" customFormat="1" ht="12.75" x14ac:dyDescent="0.2">
      <c r="B36039" s="1168"/>
    </row>
    <row r="36040" spans="2:2" s="221" customFormat="1" ht="12.75" x14ac:dyDescent="0.2">
      <c r="B36040" s="1168"/>
    </row>
    <row r="36041" spans="2:2" s="221" customFormat="1" ht="12.75" x14ac:dyDescent="0.2">
      <c r="B36041" s="1168"/>
    </row>
    <row r="36042" spans="2:2" s="221" customFormat="1" ht="12.75" x14ac:dyDescent="0.2">
      <c r="B36042" s="1168"/>
    </row>
    <row r="36043" spans="2:2" s="221" customFormat="1" ht="12.75" x14ac:dyDescent="0.2">
      <c r="B36043" s="1168"/>
    </row>
    <row r="36044" spans="2:2" s="221" customFormat="1" ht="12.75" x14ac:dyDescent="0.2">
      <c r="B36044" s="1168"/>
    </row>
    <row r="36045" spans="2:2" s="221" customFormat="1" ht="12.75" x14ac:dyDescent="0.2">
      <c r="B36045" s="1168"/>
    </row>
    <row r="36046" spans="2:2" s="221" customFormat="1" ht="12.75" x14ac:dyDescent="0.2">
      <c r="B36046" s="1168"/>
    </row>
    <row r="36047" spans="2:2" s="221" customFormat="1" ht="12.75" x14ac:dyDescent="0.2">
      <c r="B36047" s="1168"/>
    </row>
    <row r="36048" spans="2:2" s="221" customFormat="1" ht="12.75" x14ac:dyDescent="0.2">
      <c r="B36048" s="1168"/>
    </row>
    <row r="36049" spans="2:2" s="221" customFormat="1" ht="12.75" x14ac:dyDescent="0.2">
      <c r="B36049" s="1168"/>
    </row>
    <row r="36050" spans="2:2" s="221" customFormat="1" ht="12.75" x14ac:dyDescent="0.2">
      <c r="B36050" s="1168"/>
    </row>
    <row r="36051" spans="2:2" s="221" customFormat="1" ht="12.75" x14ac:dyDescent="0.2">
      <c r="B36051" s="1168"/>
    </row>
    <row r="36052" spans="2:2" s="221" customFormat="1" ht="12.75" x14ac:dyDescent="0.2">
      <c r="B36052" s="1168"/>
    </row>
    <row r="36053" spans="2:2" s="221" customFormat="1" ht="12.75" x14ac:dyDescent="0.2">
      <c r="B36053" s="1168"/>
    </row>
    <row r="36054" spans="2:2" s="221" customFormat="1" ht="12.75" x14ac:dyDescent="0.2">
      <c r="B36054" s="1168"/>
    </row>
    <row r="36055" spans="2:2" s="221" customFormat="1" ht="12.75" x14ac:dyDescent="0.2">
      <c r="B36055" s="1168"/>
    </row>
    <row r="36056" spans="2:2" s="221" customFormat="1" ht="12.75" x14ac:dyDescent="0.2">
      <c r="B36056" s="1168"/>
    </row>
    <row r="36057" spans="2:2" s="221" customFormat="1" ht="12.75" x14ac:dyDescent="0.2">
      <c r="B36057" s="1168"/>
    </row>
    <row r="36058" spans="2:2" s="221" customFormat="1" ht="12.75" x14ac:dyDescent="0.2">
      <c r="B36058" s="1168"/>
    </row>
    <row r="36059" spans="2:2" s="221" customFormat="1" ht="12.75" x14ac:dyDescent="0.2">
      <c r="B36059" s="1168"/>
    </row>
    <row r="36060" spans="2:2" s="221" customFormat="1" ht="12.75" x14ac:dyDescent="0.2">
      <c r="B36060" s="1168"/>
    </row>
    <row r="36061" spans="2:2" s="221" customFormat="1" ht="12.75" x14ac:dyDescent="0.2">
      <c r="B36061" s="1168"/>
    </row>
    <row r="36062" spans="2:2" s="221" customFormat="1" ht="12.75" x14ac:dyDescent="0.2">
      <c r="B36062" s="1168"/>
    </row>
    <row r="36063" spans="2:2" s="221" customFormat="1" ht="12.75" x14ac:dyDescent="0.2">
      <c r="B36063" s="1168"/>
    </row>
    <row r="36064" spans="2:2" s="221" customFormat="1" ht="12.75" x14ac:dyDescent="0.2">
      <c r="B36064" s="1168"/>
    </row>
    <row r="36065" spans="2:2" s="221" customFormat="1" ht="12.75" x14ac:dyDescent="0.2">
      <c r="B36065" s="1168"/>
    </row>
    <row r="36066" spans="2:2" s="221" customFormat="1" ht="12.75" x14ac:dyDescent="0.2">
      <c r="B36066" s="1168"/>
    </row>
    <row r="36067" spans="2:2" s="221" customFormat="1" ht="12.75" x14ac:dyDescent="0.2">
      <c r="B36067" s="1168"/>
    </row>
    <row r="36068" spans="2:2" s="221" customFormat="1" ht="12.75" x14ac:dyDescent="0.2">
      <c r="B36068" s="1168"/>
    </row>
    <row r="36069" spans="2:2" s="221" customFormat="1" ht="12.75" x14ac:dyDescent="0.2">
      <c r="B36069" s="1168"/>
    </row>
    <row r="36070" spans="2:2" s="221" customFormat="1" ht="12.75" x14ac:dyDescent="0.2">
      <c r="B36070" s="1168"/>
    </row>
    <row r="36071" spans="2:2" s="221" customFormat="1" ht="12.75" x14ac:dyDescent="0.2">
      <c r="B36071" s="1168"/>
    </row>
    <row r="36072" spans="2:2" s="221" customFormat="1" ht="12.75" x14ac:dyDescent="0.2">
      <c r="B36072" s="1168"/>
    </row>
    <row r="36073" spans="2:2" s="221" customFormat="1" ht="12.75" x14ac:dyDescent="0.2">
      <c r="B36073" s="1168"/>
    </row>
    <row r="36074" spans="2:2" s="221" customFormat="1" ht="12.75" x14ac:dyDescent="0.2">
      <c r="B36074" s="1168"/>
    </row>
    <row r="36075" spans="2:2" s="221" customFormat="1" ht="12.75" x14ac:dyDescent="0.2">
      <c r="B36075" s="1168"/>
    </row>
    <row r="36076" spans="2:2" s="221" customFormat="1" ht="12.75" x14ac:dyDescent="0.2">
      <c r="B36076" s="1168"/>
    </row>
    <row r="36077" spans="2:2" s="221" customFormat="1" ht="12.75" x14ac:dyDescent="0.2">
      <c r="B36077" s="1168"/>
    </row>
    <row r="36078" spans="2:2" s="221" customFormat="1" ht="12.75" x14ac:dyDescent="0.2">
      <c r="B36078" s="1168"/>
    </row>
    <row r="36079" spans="2:2" s="221" customFormat="1" ht="12.75" x14ac:dyDescent="0.2">
      <c r="B36079" s="1168"/>
    </row>
    <row r="36080" spans="2:2" s="221" customFormat="1" ht="12.75" x14ac:dyDescent="0.2">
      <c r="B36080" s="1168"/>
    </row>
    <row r="36081" spans="2:2" s="221" customFormat="1" ht="12.75" x14ac:dyDescent="0.2">
      <c r="B36081" s="1168"/>
    </row>
    <row r="36082" spans="2:2" s="221" customFormat="1" ht="12.75" x14ac:dyDescent="0.2">
      <c r="B36082" s="1168"/>
    </row>
    <row r="36083" spans="2:2" s="221" customFormat="1" ht="12.75" x14ac:dyDescent="0.2">
      <c r="B36083" s="1168"/>
    </row>
    <row r="36084" spans="2:2" s="221" customFormat="1" ht="12.75" x14ac:dyDescent="0.2">
      <c r="B36084" s="1168"/>
    </row>
    <row r="36085" spans="2:2" s="221" customFormat="1" ht="12.75" x14ac:dyDescent="0.2">
      <c r="B36085" s="1168"/>
    </row>
    <row r="36086" spans="2:2" s="221" customFormat="1" ht="12.75" x14ac:dyDescent="0.2">
      <c r="B36086" s="1168"/>
    </row>
    <row r="36087" spans="2:2" s="221" customFormat="1" ht="12.75" x14ac:dyDescent="0.2">
      <c r="B36087" s="1168"/>
    </row>
    <row r="36088" spans="2:2" s="221" customFormat="1" ht="12.75" x14ac:dyDescent="0.2">
      <c r="B36088" s="1168"/>
    </row>
    <row r="36089" spans="2:2" s="221" customFormat="1" ht="12.75" x14ac:dyDescent="0.2">
      <c r="B36089" s="1168"/>
    </row>
    <row r="36090" spans="2:2" s="221" customFormat="1" ht="12.75" x14ac:dyDescent="0.2">
      <c r="B36090" s="1168"/>
    </row>
    <row r="36091" spans="2:2" s="221" customFormat="1" ht="12.75" x14ac:dyDescent="0.2">
      <c r="B36091" s="1168"/>
    </row>
    <row r="36092" spans="2:2" s="221" customFormat="1" ht="12.75" x14ac:dyDescent="0.2">
      <c r="B36092" s="1168"/>
    </row>
    <row r="36093" spans="2:2" s="221" customFormat="1" ht="12.75" x14ac:dyDescent="0.2">
      <c r="B36093" s="1168"/>
    </row>
    <row r="36094" spans="2:2" s="221" customFormat="1" ht="12.75" x14ac:dyDescent="0.2">
      <c r="B36094" s="1168"/>
    </row>
    <row r="36095" spans="2:2" s="221" customFormat="1" ht="12.75" x14ac:dyDescent="0.2">
      <c r="B36095" s="1168"/>
    </row>
    <row r="36096" spans="2:2" s="221" customFormat="1" ht="12.75" x14ac:dyDescent="0.2">
      <c r="B36096" s="1168"/>
    </row>
    <row r="36097" spans="2:2" s="221" customFormat="1" ht="12.75" x14ac:dyDescent="0.2">
      <c r="B36097" s="1168"/>
    </row>
    <row r="36098" spans="2:2" s="221" customFormat="1" ht="12.75" x14ac:dyDescent="0.2">
      <c r="B36098" s="1168"/>
    </row>
    <row r="36099" spans="2:2" s="221" customFormat="1" ht="12.75" x14ac:dyDescent="0.2">
      <c r="B36099" s="1168"/>
    </row>
    <row r="36100" spans="2:2" s="221" customFormat="1" ht="12.75" x14ac:dyDescent="0.2">
      <c r="B36100" s="1168"/>
    </row>
    <row r="36101" spans="2:2" s="221" customFormat="1" ht="12.75" x14ac:dyDescent="0.2">
      <c r="B36101" s="1168"/>
    </row>
    <row r="36102" spans="2:2" s="221" customFormat="1" ht="12.75" x14ac:dyDescent="0.2">
      <c r="B36102" s="1168"/>
    </row>
    <row r="36103" spans="2:2" s="221" customFormat="1" ht="12.75" x14ac:dyDescent="0.2">
      <c r="B36103" s="1168"/>
    </row>
    <row r="36104" spans="2:2" s="221" customFormat="1" ht="12.75" x14ac:dyDescent="0.2">
      <c r="B36104" s="1168"/>
    </row>
    <row r="36105" spans="2:2" s="221" customFormat="1" ht="12.75" x14ac:dyDescent="0.2">
      <c r="B36105" s="1168"/>
    </row>
    <row r="36106" spans="2:2" s="221" customFormat="1" ht="12.75" x14ac:dyDescent="0.2">
      <c r="B36106" s="1168"/>
    </row>
    <row r="36107" spans="2:2" s="221" customFormat="1" ht="12.75" x14ac:dyDescent="0.2">
      <c r="B36107" s="1168"/>
    </row>
    <row r="36108" spans="2:2" s="221" customFormat="1" ht="12.75" x14ac:dyDescent="0.2">
      <c r="B36108" s="1168"/>
    </row>
    <row r="36109" spans="2:2" s="221" customFormat="1" ht="12.75" x14ac:dyDescent="0.2">
      <c r="B36109" s="1168"/>
    </row>
    <row r="36110" spans="2:2" s="221" customFormat="1" ht="12.75" x14ac:dyDescent="0.2">
      <c r="B36110" s="1168"/>
    </row>
    <row r="36111" spans="2:2" s="221" customFormat="1" ht="12.75" x14ac:dyDescent="0.2">
      <c r="B36111" s="1168"/>
    </row>
    <row r="36112" spans="2:2" s="221" customFormat="1" ht="12.75" x14ac:dyDescent="0.2">
      <c r="B36112" s="1168"/>
    </row>
    <row r="36113" spans="2:2" s="221" customFormat="1" ht="12.75" x14ac:dyDescent="0.2">
      <c r="B36113" s="1168"/>
    </row>
    <row r="36114" spans="2:2" s="221" customFormat="1" ht="12.75" x14ac:dyDescent="0.2">
      <c r="B36114" s="1168"/>
    </row>
    <row r="36115" spans="2:2" s="221" customFormat="1" ht="12.75" x14ac:dyDescent="0.2">
      <c r="B36115" s="1168"/>
    </row>
    <row r="36116" spans="2:2" s="221" customFormat="1" ht="12.75" x14ac:dyDescent="0.2">
      <c r="B36116" s="1168"/>
    </row>
    <row r="36117" spans="2:2" s="221" customFormat="1" ht="12.75" x14ac:dyDescent="0.2">
      <c r="B36117" s="1168"/>
    </row>
    <row r="36118" spans="2:2" s="221" customFormat="1" ht="12.75" x14ac:dyDescent="0.2">
      <c r="B36118" s="1168"/>
    </row>
    <row r="36119" spans="2:2" s="221" customFormat="1" ht="12.75" x14ac:dyDescent="0.2">
      <c r="B36119" s="1168"/>
    </row>
    <row r="36120" spans="2:2" s="221" customFormat="1" ht="12.75" x14ac:dyDescent="0.2">
      <c r="B36120" s="1168"/>
    </row>
    <row r="36121" spans="2:2" s="221" customFormat="1" ht="12.75" x14ac:dyDescent="0.2">
      <c r="B36121" s="1168"/>
    </row>
    <row r="36122" spans="2:2" s="221" customFormat="1" ht="12.75" x14ac:dyDescent="0.2">
      <c r="B36122" s="1168"/>
    </row>
    <row r="36123" spans="2:2" s="221" customFormat="1" ht="12.75" x14ac:dyDescent="0.2">
      <c r="B36123" s="1168"/>
    </row>
    <row r="36124" spans="2:2" s="221" customFormat="1" ht="12.75" x14ac:dyDescent="0.2">
      <c r="B36124" s="1168"/>
    </row>
    <row r="36125" spans="2:2" s="221" customFormat="1" ht="12.75" x14ac:dyDescent="0.2">
      <c r="B36125" s="1168"/>
    </row>
    <row r="36126" spans="2:2" s="221" customFormat="1" ht="12.75" x14ac:dyDescent="0.2">
      <c r="B36126" s="1168"/>
    </row>
    <row r="36127" spans="2:2" s="221" customFormat="1" ht="12.75" x14ac:dyDescent="0.2">
      <c r="B36127" s="1168"/>
    </row>
    <row r="36128" spans="2:2" s="221" customFormat="1" ht="12.75" x14ac:dyDescent="0.2">
      <c r="B36128" s="1168"/>
    </row>
    <row r="36129" spans="2:2" s="221" customFormat="1" ht="12.75" x14ac:dyDescent="0.2">
      <c r="B36129" s="1168"/>
    </row>
    <row r="36130" spans="2:2" s="221" customFormat="1" ht="12.75" x14ac:dyDescent="0.2">
      <c r="B36130" s="1168"/>
    </row>
    <row r="36131" spans="2:2" s="221" customFormat="1" ht="12.75" x14ac:dyDescent="0.2">
      <c r="B36131" s="1168"/>
    </row>
    <row r="36132" spans="2:2" s="221" customFormat="1" ht="12.75" x14ac:dyDescent="0.2">
      <c r="B36132" s="1168"/>
    </row>
    <row r="36133" spans="2:2" s="221" customFormat="1" ht="12.75" x14ac:dyDescent="0.2">
      <c r="B36133" s="1168"/>
    </row>
    <row r="36134" spans="2:2" s="221" customFormat="1" ht="12.75" x14ac:dyDescent="0.2">
      <c r="B36134" s="1168"/>
    </row>
    <row r="36135" spans="2:2" s="221" customFormat="1" ht="12.75" x14ac:dyDescent="0.2">
      <c r="B36135" s="1168"/>
    </row>
    <row r="36136" spans="2:2" s="221" customFormat="1" ht="12.75" x14ac:dyDescent="0.2">
      <c r="B36136" s="1168"/>
    </row>
    <row r="36137" spans="2:2" s="221" customFormat="1" ht="12.75" x14ac:dyDescent="0.2">
      <c r="B36137" s="1168"/>
    </row>
    <row r="36138" spans="2:2" s="221" customFormat="1" ht="12.75" x14ac:dyDescent="0.2">
      <c r="B36138" s="1168"/>
    </row>
    <row r="36139" spans="2:2" s="221" customFormat="1" ht="12.75" x14ac:dyDescent="0.2">
      <c r="B36139" s="1168"/>
    </row>
    <row r="36140" spans="2:2" s="221" customFormat="1" ht="12.75" x14ac:dyDescent="0.2">
      <c r="B36140" s="1168"/>
    </row>
    <row r="36141" spans="2:2" s="221" customFormat="1" ht="12.75" x14ac:dyDescent="0.2">
      <c r="B36141" s="1168"/>
    </row>
    <row r="36142" spans="2:2" s="221" customFormat="1" ht="12.75" x14ac:dyDescent="0.2">
      <c r="B36142" s="1168"/>
    </row>
    <row r="36143" spans="2:2" s="221" customFormat="1" ht="12.75" x14ac:dyDescent="0.2">
      <c r="B36143" s="1168"/>
    </row>
    <row r="36144" spans="2:2" s="221" customFormat="1" ht="12.75" x14ac:dyDescent="0.2">
      <c r="B36144" s="1168"/>
    </row>
    <row r="36145" spans="2:2" s="221" customFormat="1" ht="12.75" x14ac:dyDescent="0.2">
      <c r="B36145" s="1168"/>
    </row>
    <row r="36146" spans="2:2" s="221" customFormat="1" ht="12.75" x14ac:dyDescent="0.2">
      <c r="B36146" s="1168"/>
    </row>
    <row r="36147" spans="2:2" s="221" customFormat="1" ht="12.75" x14ac:dyDescent="0.2">
      <c r="B36147" s="1168"/>
    </row>
    <row r="36148" spans="2:2" s="221" customFormat="1" ht="12.75" x14ac:dyDescent="0.2">
      <c r="B36148" s="1168"/>
    </row>
    <row r="36149" spans="2:2" s="221" customFormat="1" ht="12.75" x14ac:dyDescent="0.2">
      <c r="B36149" s="1168"/>
    </row>
    <row r="36150" spans="2:2" s="221" customFormat="1" ht="12.75" x14ac:dyDescent="0.2">
      <c r="B36150" s="1168"/>
    </row>
    <row r="36151" spans="2:2" s="221" customFormat="1" ht="12.75" x14ac:dyDescent="0.2">
      <c r="B36151" s="1168"/>
    </row>
    <row r="36152" spans="2:2" s="221" customFormat="1" ht="12.75" x14ac:dyDescent="0.2">
      <c r="B36152" s="1168"/>
    </row>
    <row r="36153" spans="2:2" s="221" customFormat="1" ht="12.75" x14ac:dyDescent="0.2">
      <c r="B36153" s="1168"/>
    </row>
    <row r="36154" spans="2:2" s="221" customFormat="1" ht="12.75" x14ac:dyDescent="0.2">
      <c r="B36154" s="1168"/>
    </row>
    <row r="36155" spans="2:2" s="221" customFormat="1" ht="12.75" x14ac:dyDescent="0.2">
      <c r="B36155" s="1168"/>
    </row>
    <row r="36156" spans="2:2" s="221" customFormat="1" ht="12.75" x14ac:dyDescent="0.2">
      <c r="B36156" s="1168"/>
    </row>
    <row r="36157" spans="2:2" s="221" customFormat="1" ht="12.75" x14ac:dyDescent="0.2">
      <c r="B36157" s="1168"/>
    </row>
    <row r="36158" spans="2:2" s="221" customFormat="1" ht="12.75" x14ac:dyDescent="0.2">
      <c r="B36158" s="1168"/>
    </row>
    <row r="36159" spans="2:2" s="221" customFormat="1" ht="12.75" x14ac:dyDescent="0.2">
      <c r="B36159" s="1168"/>
    </row>
    <row r="36160" spans="2:2" s="221" customFormat="1" ht="12.75" x14ac:dyDescent="0.2">
      <c r="B36160" s="1168"/>
    </row>
    <row r="36161" spans="2:2" s="221" customFormat="1" ht="12.75" x14ac:dyDescent="0.2">
      <c r="B36161" s="1168"/>
    </row>
    <row r="36162" spans="2:2" s="221" customFormat="1" ht="12.75" x14ac:dyDescent="0.2">
      <c r="B36162" s="1168"/>
    </row>
    <row r="36163" spans="2:2" s="221" customFormat="1" ht="12.75" x14ac:dyDescent="0.2">
      <c r="B36163" s="1168"/>
    </row>
    <row r="36164" spans="2:2" s="221" customFormat="1" ht="12.75" x14ac:dyDescent="0.2">
      <c r="B36164" s="1168"/>
    </row>
    <row r="36165" spans="2:2" s="221" customFormat="1" ht="12.75" x14ac:dyDescent="0.2">
      <c r="B36165" s="1168"/>
    </row>
    <row r="36166" spans="2:2" s="221" customFormat="1" ht="12.75" x14ac:dyDescent="0.2">
      <c r="B36166" s="1168"/>
    </row>
    <row r="36167" spans="2:2" s="221" customFormat="1" ht="12.75" x14ac:dyDescent="0.2">
      <c r="B36167" s="1168"/>
    </row>
    <row r="36168" spans="2:2" s="221" customFormat="1" ht="12.75" x14ac:dyDescent="0.2">
      <c r="B36168" s="1168"/>
    </row>
    <row r="36169" spans="2:2" s="221" customFormat="1" ht="12.75" x14ac:dyDescent="0.2">
      <c r="B36169" s="1168"/>
    </row>
    <row r="36170" spans="2:2" s="221" customFormat="1" ht="12.75" x14ac:dyDescent="0.2">
      <c r="B36170" s="1168"/>
    </row>
    <row r="36171" spans="2:2" s="221" customFormat="1" ht="12.75" x14ac:dyDescent="0.2">
      <c r="B36171" s="1168"/>
    </row>
    <row r="36172" spans="2:2" s="221" customFormat="1" ht="12.75" x14ac:dyDescent="0.2">
      <c r="B36172" s="1168"/>
    </row>
    <row r="36173" spans="2:2" s="221" customFormat="1" ht="12.75" x14ac:dyDescent="0.2">
      <c r="B36173" s="1168"/>
    </row>
    <row r="36174" spans="2:2" s="221" customFormat="1" ht="12.75" x14ac:dyDescent="0.2">
      <c r="B36174" s="1168"/>
    </row>
    <row r="36175" spans="2:2" s="221" customFormat="1" ht="12.75" x14ac:dyDescent="0.2">
      <c r="B36175" s="1168"/>
    </row>
    <row r="36176" spans="2:2" s="221" customFormat="1" ht="12.75" x14ac:dyDescent="0.2">
      <c r="B36176" s="1168"/>
    </row>
    <row r="36177" spans="2:2" s="221" customFormat="1" ht="12.75" x14ac:dyDescent="0.2">
      <c r="B36177" s="1168"/>
    </row>
    <row r="36178" spans="2:2" s="221" customFormat="1" ht="12.75" x14ac:dyDescent="0.2">
      <c r="B36178" s="1168"/>
    </row>
    <row r="36179" spans="2:2" s="221" customFormat="1" ht="12.75" x14ac:dyDescent="0.2">
      <c r="B36179" s="1168"/>
    </row>
    <row r="36180" spans="2:2" s="221" customFormat="1" ht="12.75" x14ac:dyDescent="0.2">
      <c r="B36180" s="1168"/>
    </row>
    <row r="36181" spans="2:2" s="221" customFormat="1" ht="12.75" x14ac:dyDescent="0.2">
      <c r="B36181" s="1168"/>
    </row>
    <row r="36182" spans="2:2" s="221" customFormat="1" ht="12.75" x14ac:dyDescent="0.2">
      <c r="B36182" s="1168"/>
    </row>
    <row r="36183" spans="2:2" s="221" customFormat="1" ht="12.75" x14ac:dyDescent="0.2">
      <c r="B36183" s="1168"/>
    </row>
    <row r="36184" spans="2:2" s="221" customFormat="1" ht="12.75" x14ac:dyDescent="0.2">
      <c r="B36184" s="1168"/>
    </row>
    <row r="36185" spans="2:2" s="221" customFormat="1" ht="12.75" x14ac:dyDescent="0.2">
      <c r="B36185" s="1168"/>
    </row>
    <row r="36186" spans="2:2" s="221" customFormat="1" ht="12.75" x14ac:dyDescent="0.2">
      <c r="B36186" s="1168"/>
    </row>
    <row r="36187" spans="2:2" s="221" customFormat="1" ht="12.75" x14ac:dyDescent="0.2">
      <c r="B36187" s="1168"/>
    </row>
    <row r="36188" spans="2:2" s="221" customFormat="1" ht="12.75" x14ac:dyDescent="0.2">
      <c r="B36188" s="1168"/>
    </row>
    <row r="36189" spans="2:2" s="221" customFormat="1" ht="12.75" x14ac:dyDescent="0.2">
      <c r="B36189" s="1168"/>
    </row>
    <row r="36190" spans="2:2" s="221" customFormat="1" ht="12.75" x14ac:dyDescent="0.2">
      <c r="B36190" s="1168"/>
    </row>
    <row r="36191" spans="2:2" s="221" customFormat="1" ht="12.75" x14ac:dyDescent="0.2">
      <c r="B36191" s="1168"/>
    </row>
    <row r="36192" spans="2:2" s="221" customFormat="1" ht="12.75" x14ac:dyDescent="0.2">
      <c r="B36192" s="1168"/>
    </row>
    <row r="36193" spans="2:2" s="221" customFormat="1" ht="12.75" x14ac:dyDescent="0.2">
      <c r="B36193" s="1168"/>
    </row>
    <row r="36194" spans="2:2" s="221" customFormat="1" ht="12.75" x14ac:dyDescent="0.2">
      <c r="B36194" s="1168"/>
    </row>
    <row r="36195" spans="2:2" s="221" customFormat="1" ht="12.75" x14ac:dyDescent="0.2">
      <c r="B36195" s="1168"/>
    </row>
    <row r="36196" spans="2:2" s="221" customFormat="1" ht="12.75" x14ac:dyDescent="0.2">
      <c r="B36196" s="1168"/>
    </row>
    <row r="36197" spans="2:2" s="221" customFormat="1" ht="12.75" x14ac:dyDescent="0.2">
      <c r="B36197" s="1168"/>
    </row>
    <row r="36198" spans="2:2" s="221" customFormat="1" ht="12.75" x14ac:dyDescent="0.2">
      <c r="B36198" s="1168"/>
    </row>
    <row r="36199" spans="2:2" s="221" customFormat="1" ht="12.75" x14ac:dyDescent="0.2">
      <c r="B36199" s="1168"/>
    </row>
    <row r="36200" spans="2:2" s="221" customFormat="1" ht="12.75" x14ac:dyDescent="0.2">
      <c r="B36200" s="1168"/>
    </row>
    <row r="36201" spans="2:2" s="221" customFormat="1" ht="12.75" x14ac:dyDescent="0.2">
      <c r="B36201" s="1168"/>
    </row>
    <row r="36202" spans="2:2" s="221" customFormat="1" ht="12.75" x14ac:dyDescent="0.2">
      <c r="B36202" s="1168"/>
    </row>
    <row r="36203" spans="2:2" s="221" customFormat="1" ht="12.75" x14ac:dyDescent="0.2">
      <c r="B36203" s="1168"/>
    </row>
    <row r="36204" spans="2:2" s="221" customFormat="1" ht="12.75" x14ac:dyDescent="0.2">
      <c r="B36204" s="1168"/>
    </row>
    <row r="36205" spans="2:2" s="221" customFormat="1" ht="12.75" x14ac:dyDescent="0.2">
      <c r="B36205" s="1168"/>
    </row>
    <row r="36206" spans="2:2" s="221" customFormat="1" ht="12.75" x14ac:dyDescent="0.2">
      <c r="B36206" s="1168"/>
    </row>
    <row r="36207" spans="2:2" s="221" customFormat="1" ht="12.75" x14ac:dyDescent="0.2">
      <c r="B36207" s="1168"/>
    </row>
    <row r="36208" spans="2:2" s="221" customFormat="1" ht="12.75" x14ac:dyDescent="0.2">
      <c r="B36208" s="1168"/>
    </row>
    <row r="36209" spans="2:2" s="221" customFormat="1" ht="12.75" x14ac:dyDescent="0.2">
      <c r="B36209" s="1168"/>
    </row>
    <row r="36210" spans="2:2" s="221" customFormat="1" ht="12.75" x14ac:dyDescent="0.2">
      <c r="B36210" s="1168"/>
    </row>
    <row r="36211" spans="2:2" s="221" customFormat="1" ht="12.75" x14ac:dyDescent="0.2">
      <c r="B36211" s="1168"/>
    </row>
    <row r="36212" spans="2:2" s="221" customFormat="1" ht="12.75" x14ac:dyDescent="0.2">
      <c r="B36212" s="1168"/>
    </row>
    <row r="36213" spans="2:2" s="221" customFormat="1" ht="12.75" x14ac:dyDescent="0.2">
      <c r="B36213" s="1168"/>
    </row>
    <row r="36214" spans="2:2" s="221" customFormat="1" ht="12.75" x14ac:dyDescent="0.2">
      <c r="B36214" s="1168"/>
    </row>
    <row r="36215" spans="2:2" s="221" customFormat="1" ht="12.75" x14ac:dyDescent="0.2">
      <c r="B36215" s="1168"/>
    </row>
    <row r="36216" spans="2:2" s="221" customFormat="1" ht="12.75" x14ac:dyDescent="0.2">
      <c r="B36216" s="1168"/>
    </row>
    <row r="36217" spans="2:2" s="221" customFormat="1" ht="12.75" x14ac:dyDescent="0.2">
      <c r="B36217" s="1168"/>
    </row>
    <row r="36218" spans="2:2" s="221" customFormat="1" ht="12.75" x14ac:dyDescent="0.2">
      <c r="B36218" s="1168"/>
    </row>
    <row r="36219" spans="2:2" s="221" customFormat="1" ht="12.75" x14ac:dyDescent="0.2">
      <c r="B36219" s="1168"/>
    </row>
    <row r="36220" spans="2:2" s="221" customFormat="1" ht="12.75" x14ac:dyDescent="0.2">
      <c r="B36220" s="1168"/>
    </row>
    <row r="36221" spans="2:2" s="221" customFormat="1" ht="12.75" x14ac:dyDescent="0.2">
      <c r="B36221" s="1168"/>
    </row>
    <row r="36222" spans="2:2" s="221" customFormat="1" ht="12.75" x14ac:dyDescent="0.2">
      <c r="B36222" s="1168"/>
    </row>
    <row r="36223" spans="2:2" s="221" customFormat="1" ht="12.75" x14ac:dyDescent="0.2">
      <c r="B36223" s="1168"/>
    </row>
    <row r="36224" spans="2:2" s="221" customFormat="1" ht="12.75" x14ac:dyDescent="0.2">
      <c r="B36224" s="1168"/>
    </row>
    <row r="36225" spans="2:2" s="221" customFormat="1" ht="12.75" x14ac:dyDescent="0.2">
      <c r="B36225" s="1168"/>
    </row>
    <row r="36226" spans="2:2" s="221" customFormat="1" ht="12.75" x14ac:dyDescent="0.2">
      <c r="B36226" s="1168"/>
    </row>
    <row r="36227" spans="2:2" s="221" customFormat="1" ht="12.75" x14ac:dyDescent="0.2">
      <c r="B36227" s="1168"/>
    </row>
    <row r="36228" spans="2:2" s="221" customFormat="1" ht="12.75" x14ac:dyDescent="0.2">
      <c r="B36228" s="1168"/>
    </row>
    <row r="36229" spans="2:2" s="221" customFormat="1" ht="12.75" x14ac:dyDescent="0.2">
      <c r="B36229" s="1168"/>
    </row>
    <row r="36230" spans="2:2" s="221" customFormat="1" ht="12.75" x14ac:dyDescent="0.2">
      <c r="B36230" s="1168"/>
    </row>
    <row r="36231" spans="2:2" s="221" customFormat="1" ht="12.75" x14ac:dyDescent="0.2">
      <c r="B36231" s="1168"/>
    </row>
    <row r="36232" spans="2:2" s="221" customFormat="1" ht="12.75" x14ac:dyDescent="0.2">
      <c r="B36232" s="1168"/>
    </row>
    <row r="36233" spans="2:2" s="221" customFormat="1" ht="12.75" x14ac:dyDescent="0.2">
      <c r="B36233" s="1168"/>
    </row>
    <row r="36234" spans="2:2" s="221" customFormat="1" ht="12.75" x14ac:dyDescent="0.2">
      <c r="B36234" s="1168"/>
    </row>
    <row r="36235" spans="2:2" s="221" customFormat="1" ht="12.75" x14ac:dyDescent="0.2">
      <c r="B36235" s="1168"/>
    </row>
    <row r="36236" spans="2:2" s="221" customFormat="1" ht="12.75" x14ac:dyDescent="0.2">
      <c r="B36236" s="1168"/>
    </row>
    <row r="36237" spans="2:2" s="221" customFormat="1" ht="12.75" x14ac:dyDescent="0.2">
      <c r="B36237" s="1168"/>
    </row>
    <row r="36238" spans="2:2" s="221" customFormat="1" ht="12.75" x14ac:dyDescent="0.2">
      <c r="B36238" s="1168"/>
    </row>
    <row r="36239" spans="2:2" s="221" customFormat="1" ht="12.75" x14ac:dyDescent="0.2">
      <c r="B36239" s="1168"/>
    </row>
    <row r="36240" spans="2:2" s="221" customFormat="1" ht="12.75" x14ac:dyDescent="0.2">
      <c r="B36240" s="1168"/>
    </row>
    <row r="36241" spans="2:2" s="221" customFormat="1" ht="12.75" x14ac:dyDescent="0.2">
      <c r="B36241" s="1168"/>
    </row>
    <row r="36242" spans="2:2" s="221" customFormat="1" ht="12.75" x14ac:dyDescent="0.2">
      <c r="B36242" s="1168"/>
    </row>
    <row r="36243" spans="2:2" s="221" customFormat="1" ht="12.75" x14ac:dyDescent="0.2">
      <c r="B36243" s="1168"/>
    </row>
    <row r="36244" spans="2:2" s="221" customFormat="1" ht="12.75" x14ac:dyDescent="0.2">
      <c r="B36244" s="1168"/>
    </row>
    <row r="36245" spans="2:2" s="221" customFormat="1" ht="12.75" x14ac:dyDescent="0.2">
      <c r="B36245" s="1168"/>
    </row>
    <row r="36246" spans="2:2" s="221" customFormat="1" ht="12.75" x14ac:dyDescent="0.2">
      <c r="B36246" s="1168"/>
    </row>
    <row r="36247" spans="2:2" s="221" customFormat="1" ht="12.75" x14ac:dyDescent="0.2">
      <c r="B36247" s="1168"/>
    </row>
    <row r="36248" spans="2:2" s="221" customFormat="1" ht="12.75" x14ac:dyDescent="0.2">
      <c r="B36248" s="1168"/>
    </row>
    <row r="36249" spans="2:2" s="221" customFormat="1" ht="12.75" x14ac:dyDescent="0.2">
      <c r="B36249" s="1168"/>
    </row>
    <row r="36250" spans="2:2" s="221" customFormat="1" ht="12.75" x14ac:dyDescent="0.2">
      <c r="B36250" s="1168"/>
    </row>
    <row r="36251" spans="2:2" s="221" customFormat="1" ht="12.75" x14ac:dyDescent="0.2">
      <c r="B36251" s="1168"/>
    </row>
    <row r="36252" spans="2:2" s="221" customFormat="1" ht="12.75" x14ac:dyDescent="0.2">
      <c r="B36252" s="1168"/>
    </row>
    <row r="36253" spans="2:2" s="221" customFormat="1" ht="12.75" x14ac:dyDescent="0.2">
      <c r="B36253" s="1168"/>
    </row>
    <row r="36254" spans="2:2" s="221" customFormat="1" ht="12.75" x14ac:dyDescent="0.2">
      <c r="B36254" s="1168"/>
    </row>
    <row r="36255" spans="2:2" s="221" customFormat="1" ht="12.75" x14ac:dyDescent="0.2">
      <c r="B36255" s="1168"/>
    </row>
    <row r="36256" spans="2:2" s="221" customFormat="1" ht="12.75" x14ac:dyDescent="0.2">
      <c r="B36256" s="1168"/>
    </row>
    <row r="36257" spans="2:2" s="221" customFormat="1" ht="12.75" x14ac:dyDescent="0.2">
      <c r="B36257" s="1168"/>
    </row>
    <row r="36258" spans="2:2" s="221" customFormat="1" ht="12.75" x14ac:dyDescent="0.2">
      <c r="B36258" s="1168"/>
    </row>
    <row r="36259" spans="2:2" s="221" customFormat="1" ht="12.75" x14ac:dyDescent="0.2">
      <c r="B36259" s="1168"/>
    </row>
    <row r="36260" spans="2:2" s="221" customFormat="1" ht="12.75" x14ac:dyDescent="0.2">
      <c r="B36260" s="1168"/>
    </row>
    <row r="36261" spans="2:2" s="221" customFormat="1" ht="12.75" x14ac:dyDescent="0.2">
      <c r="B36261" s="1168"/>
    </row>
    <row r="36262" spans="2:2" s="221" customFormat="1" ht="12.75" x14ac:dyDescent="0.2">
      <c r="B36262" s="1168"/>
    </row>
    <row r="36263" spans="2:2" s="221" customFormat="1" ht="12.75" x14ac:dyDescent="0.2">
      <c r="B36263" s="1168"/>
    </row>
    <row r="36264" spans="2:2" s="221" customFormat="1" ht="12.75" x14ac:dyDescent="0.2">
      <c r="B36264" s="1168"/>
    </row>
    <row r="36265" spans="2:2" s="221" customFormat="1" ht="12.75" x14ac:dyDescent="0.2">
      <c r="B36265" s="1168"/>
    </row>
    <row r="36266" spans="2:2" s="221" customFormat="1" ht="12.75" x14ac:dyDescent="0.2">
      <c r="B36266" s="1168"/>
    </row>
    <row r="36267" spans="2:2" s="221" customFormat="1" ht="12.75" x14ac:dyDescent="0.2">
      <c r="B36267" s="1168"/>
    </row>
    <row r="36268" spans="2:2" s="221" customFormat="1" ht="12.75" x14ac:dyDescent="0.2">
      <c r="B36268" s="1168"/>
    </row>
    <row r="36269" spans="2:2" s="221" customFormat="1" ht="12.75" x14ac:dyDescent="0.2">
      <c r="B36269" s="1168"/>
    </row>
    <row r="36270" spans="2:2" s="221" customFormat="1" ht="12.75" x14ac:dyDescent="0.2">
      <c r="B36270" s="1168"/>
    </row>
    <row r="36271" spans="2:2" s="221" customFormat="1" ht="12.75" x14ac:dyDescent="0.2">
      <c r="B36271" s="1168"/>
    </row>
    <row r="36272" spans="2:2" s="221" customFormat="1" ht="12.75" x14ac:dyDescent="0.2">
      <c r="B36272" s="1168"/>
    </row>
    <row r="36273" spans="2:2" s="221" customFormat="1" ht="12.75" x14ac:dyDescent="0.2">
      <c r="B36273" s="1168"/>
    </row>
    <row r="36274" spans="2:2" s="221" customFormat="1" ht="12.75" x14ac:dyDescent="0.2">
      <c r="B36274" s="1168"/>
    </row>
    <row r="36275" spans="2:2" s="221" customFormat="1" ht="12.75" x14ac:dyDescent="0.2">
      <c r="B36275" s="1168"/>
    </row>
    <row r="36276" spans="2:2" s="221" customFormat="1" ht="12.75" x14ac:dyDescent="0.2">
      <c r="B36276" s="1168"/>
    </row>
    <row r="36277" spans="2:2" s="221" customFormat="1" ht="12.75" x14ac:dyDescent="0.2">
      <c r="B36277" s="1168"/>
    </row>
    <row r="36278" spans="2:2" s="221" customFormat="1" ht="12.75" x14ac:dyDescent="0.2">
      <c r="B36278" s="1168"/>
    </row>
    <row r="36279" spans="2:2" s="221" customFormat="1" ht="12.75" x14ac:dyDescent="0.2">
      <c r="B36279" s="1168"/>
    </row>
    <row r="36280" spans="2:2" s="221" customFormat="1" ht="12.75" x14ac:dyDescent="0.2">
      <c r="B36280" s="1168"/>
    </row>
    <row r="36281" spans="2:2" s="221" customFormat="1" ht="12.75" x14ac:dyDescent="0.2">
      <c r="B36281" s="1168"/>
    </row>
    <row r="36282" spans="2:2" s="221" customFormat="1" ht="12.75" x14ac:dyDescent="0.2">
      <c r="B36282" s="1168"/>
    </row>
    <row r="36283" spans="2:2" s="221" customFormat="1" ht="12.75" x14ac:dyDescent="0.2">
      <c r="B36283" s="1168"/>
    </row>
    <row r="36284" spans="2:2" s="221" customFormat="1" ht="12.75" x14ac:dyDescent="0.2">
      <c r="B36284" s="1168"/>
    </row>
    <row r="36285" spans="2:2" s="221" customFormat="1" ht="12.75" x14ac:dyDescent="0.2">
      <c r="B36285" s="1168"/>
    </row>
    <row r="36286" spans="2:2" s="221" customFormat="1" ht="12.75" x14ac:dyDescent="0.2">
      <c r="B36286" s="1168"/>
    </row>
    <row r="36287" spans="2:2" s="221" customFormat="1" ht="12.75" x14ac:dyDescent="0.2">
      <c r="B36287" s="1168"/>
    </row>
    <row r="36288" spans="2:2" s="221" customFormat="1" ht="12.75" x14ac:dyDescent="0.2">
      <c r="B36288" s="1168"/>
    </row>
    <row r="36289" spans="2:2" s="221" customFormat="1" ht="12.75" x14ac:dyDescent="0.2">
      <c r="B36289" s="1168"/>
    </row>
    <row r="36290" spans="2:2" s="221" customFormat="1" ht="12.75" x14ac:dyDescent="0.2">
      <c r="B36290" s="1168"/>
    </row>
    <row r="36291" spans="2:2" s="221" customFormat="1" ht="12.75" x14ac:dyDescent="0.2">
      <c r="B36291" s="1168"/>
    </row>
    <row r="36292" spans="2:2" s="221" customFormat="1" ht="12.75" x14ac:dyDescent="0.2">
      <c r="B36292" s="1168"/>
    </row>
    <row r="36293" spans="2:2" s="221" customFormat="1" ht="12.75" x14ac:dyDescent="0.2">
      <c r="B36293" s="1168"/>
    </row>
    <row r="36294" spans="2:2" s="221" customFormat="1" ht="12.75" x14ac:dyDescent="0.2">
      <c r="B36294" s="1168"/>
    </row>
    <row r="36295" spans="2:2" s="221" customFormat="1" ht="12.75" x14ac:dyDescent="0.2">
      <c r="B36295" s="1168"/>
    </row>
    <row r="36296" spans="2:2" s="221" customFormat="1" ht="12.75" x14ac:dyDescent="0.2">
      <c r="B36296" s="1168"/>
    </row>
    <row r="36297" spans="2:2" s="221" customFormat="1" ht="12.75" x14ac:dyDescent="0.2">
      <c r="B36297" s="1168"/>
    </row>
    <row r="36298" spans="2:2" s="221" customFormat="1" ht="12.75" x14ac:dyDescent="0.2">
      <c r="B36298" s="1168"/>
    </row>
    <row r="36299" spans="2:2" s="221" customFormat="1" ht="12.75" x14ac:dyDescent="0.2">
      <c r="B36299" s="1168"/>
    </row>
    <row r="36300" spans="2:2" s="221" customFormat="1" ht="12.75" x14ac:dyDescent="0.2">
      <c r="B36300" s="1168"/>
    </row>
    <row r="36301" spans="2:2" s="221" customFormat="1" ht="12.75" x14ac:dyDescent="0.2">
      <c r="B36301" s="1168"/>
    </row>
    <row r="36302" spans="2:2" s="221" customFormat="1" ht="12.75" x14ac:dyDescent="0.2">
      <c r="B36302" s="1168"/>
    </row>
    <row r="36303" spans="2:2" s="221" customFormat="1" ht="12.75" x14ac:dyDescent="0.2">
      <c r="B36303" s="1168"/>
    </row>
    <row r="36304" spans="2:2" s="221" customFormat="1" ht="12.75" x14ac:dyDescent="0.2">
      <c r="B36304" s="1168"/>
    </row>
    <row r="36305" spans="2:2" s="221" customFormat="1" ht="12.75" x14ac:dyDescent="0.2">
      <c r="B36305" s="1168"/>
    </row>
    <row r="36306" spans="2:2" s="221" customFormat="1" ht="12.75" x14ac:dyDescent="0.2">
      <c r="B36306" s="1168"/>
    </row>
    <row r="36307" spans="2:2" s="221" customFormat="1" ht="12.75" x14ac:dyDescent="0.2">
      <c r="B36307" s="1168"/>
    </row>
    <row r="36308" spans="2:2" s="221" customFormat="1" ht="12.75" x14ac:dyDescent="0.2">
      <c r="B36308" s="1168"/>
    </row>
    <row r="36309" spans="2:2" s="221" customFormat="1" ht="12.75" x14ac:dyDescent="0.2">
      <c r="B36309" s="1168"/>
    </row>
    <row r="36310" spans="2:2" s="221" customFormat="1" ht="12.75" x14ac:dyDescent="0.2">
      <c r="B36310" s="1168"/>
    </row>
    <row r="36311" spans="2:2" s="221" customFormat="1" ht="12.75" x14ac:dyDescent="0.2">
      <c r="B36311" s="1168"/>
    </row>
    <row r="36312" spans="2:2" s="221" customFormat="1" ht="12.75" x14ac:dyDescent="0.2">
      <c r="B36312" s="1168"/>
    </row>
    <row r="36313" spans="2:2" s="221" customFormat="1" ht="12.75" x14ac:dyDescent="0.2">
      <c r="B36313" s="1168"/>
    </row>
    <row r="36314" spans="2:2" s="221" customFormat="1" ht="12.75" x14ac:dyDescent="0.2">
      <c r="B36314" s="1168"/>
    </row>
    <row r="36315" spans="2:2" s="221" customFormat="1" ht="12.75" x14ac:dyDescent="0.2">
      <c r="B36315" s="1168"/>
    </row>
    <row r="36316" spans="2:2" s="221" customFormat="1" ht="12.75" x14ac:dyDescent="0.2">
      <c r="B36316" s="1168"/>
    </row>
    <row r="36317" spans="2:2" s="221" customFormat="1" ht="12.75" x14ac:dyDescent="0.2">
      <c r="B36317" s="1168"/>
    </row>
    <row r="36318" spans="2:2" s="221" customFormat="1" ht="12.75" x14ac:dyDescent="0.2">
      <c r="B36318" s="1168"/>
    </row>
    <row r="36319" spans="2:2" s="221" customFormat="1" ht="12.75" x14ac:dyDescent="0.2">
      <c r="B36319" s="1168"/>
    </row>
    <row r="36320" spans="2:2" s="221" customFormat="1" ht="12.75" x14ac:dyDescent="0.2">
      <c r="B36320" s="1168"/>
    </row>
    <row r="36321" spans="2:2" s="221" customFormat="1" ht="12.75" x14ac:dyDescent="0.2">
      <c r="B36321" s="1168"/>
    </row>
    <row r="36322" spans="2:2" s="221" customFormat="1" ht="12.75" x14ac:dyDescent="0.2">
      <c r="B36322" s="1168"/>
    </row>
    <row r="36323" spans="2:2" s="221" customFormat="1" ht="12.75" x14ac:dyDescent="0.2">
      <c r="B36323" s="1168"/>
    </row>
    <row r="36324" spans="2:2" s="221" customFormat="1" ht="12.75" x14ac:dyDescent="0.2">
      <c r="B36324" s="1168"/>
    </row>
    <row r="36325" spans="2:2" s="221" customFormat="1" ht="12.75" x14ac:dyDescent="0.2">
      <c r="B36325" s="1168"/>
    </row>
    <row r="36326" spans="2:2" s="221" customFormat="1" ht="12.75" x14ac:dyDescent="0.2">
      <c r="B36326" s="1168"/>
    </row>
    <row r="36327" spans="2:2" s="221" customFormat="1" ht="12.75" x14ac:dyDescent="0.2">
      <c r="B36327" s="1168"/>
    </row>
    <row r="36328" spans="2:2" s="221" customFormat="1" ht="12.75" x14ac:dyDescent="0.2">
      <c r="B36328" s="1168"/>
    </row>
    <row r="36329" spans="2:2" s="221" customFormat="1" ht="12.75" x14ac:dyDescent="0.2">
      <c r="B36329" s="1168"/>
    </row>
    <row r="36330" spans="2:2" s="221" customFormat="1" ht="12.75" x14ac:dyDescent="0.2">
      <c r="B36330" s="1168"/>
    </row>
    <row r="36331" spans="2:2" s="221" customFormat="1" ht="12.75" x14ac:dyDescent="0.2">
      <c r="B36331" s="1168"/>
    </row>
    <row r="36332" spans="2:2" s="221" customFormat="1" ht="12.75" x14ac:dyDescent="0.2">
      <c r="B36332" s="1168"/>
    </row>
    <row r="36333" spans="2:2" s="221" customFormat="1" ht="12.75" x14ac:dyDescent="0.2">
      <c r="B36333" s="1168"/>
    </row>
    <row r="36334" spans="2:2" s="221" customFormat="1" ht="12.75" x14ac:dyDescent="0.2">
      <c r="B36334" s="1168"/>
    </row>
    <row r="36335" spans="2:2" s="221" customFormat="1" ht="12.75" x14ac:dyDescent="0.2">
      <c r="B36335" s="1168"/>
    </row>
    <row r="36336" spans="2:2" s="221" customFormat="1" ht="12.75" x14ac:dyDescent="0.2">
      <c r="B36336" s="1168"/>
    </row>
    <row r="36337" spans="2:2" s="221" customFormat="1" ht="12.75" x14ac:dyDescent="0.2">
      <c r="B36337" s="1168"/>
    </row>
    <row r="36338" spans="2:2" s="221" customFormat="1" ht="12.75" x14ac:dyDescent="0.2">
      <c r="B36338" s="1168"/>
    </row>
    <row r="36339" spans="2:2" s="221" customFormat="1" ht="12.75" x14ac:dyDescent="0.2">
      <c r="B36339" s="1168"/>
    </row>
    <row r="36340" spans="2:2" s="221" customFormat="1" ht="12.75" x14ac:dyDescent="0.2">
      <c r="B36340" s="1168"/>
    </row>
    <row r="36341" spans="2:2" s="221" customFormat="1" ht="12.75" x14ac:dyDescent="0.2">
      <c r="B36341" s="1168"/>
    </row>
    <row r="36342" spans="2:2" s="221" customFormat="1" ht="12.75" x14ac:dyDescent="0.2">
      <c r="B36342" s="1168"/>
    </row>
    <row r="36343" spans="2:2" s="221" customFormat="1" ht="12.75" x14ac:dyDescent="0.2">
      <c r="B36343" s="1168"/>
    </row>
    <row r="36344" spans="2:2" s="221" customFormat="1" ht="12.75" x14ac:dyDescent="0.2">
      <c r="B36344" s="1168"/>
    </row>
    <row r="36345" spans="2:2" s="221" customFormat="1" ht="12.75" x14ac:dyDescent="0.2">
      <c r="B36345" s="1168"/>
    </row>
    <row r="36346" spans="2:2" s="221" customFormat="1" ht="12.75" x14ac:dyDescent="0.2">
      <c r="B36346" s="1168"/>
    </row>
    <row r="36347" spans="2:2" s="221" customFormat="1" ht="12.75" x14ac:dyDescent="0.2">
      <c r="B36347" s="1168"/>
    </row>
    <row r="36348" spans="2:2" s="221" customFormat="1" ht="12.75" x14ac:dyDescent="0.2">
      <c r="B36348" s="1168"/>
    </row>
    <row r="36349" spans="2:2" s="221" customFormat="1" ht="12.75" x14ac:dyDescent="0.2">
      <c r="B36349" s="1168"/>
    </row>
    <row r="36350" spans="2:2" s="221" customFormat="1" ht="12.75" x14ac:dyDescent="0.2">
      <c r="B36350" s="1168"/>
    </row>
    <row r="36351" spans="2:2" s="221" customFormat="1" ht="12.75" x14ac:dyDescent="0.2">
      <c r="B36351" s="1168"/>
    </row>
    <row r="36352" spans="2:2" s="221" customFormat="1" ht="12.75" x14ac:dyDescent="0.2">
      <c r="B36352" s="1168"/>
    </row>
    <row r="36353" spans="2:2" s="221" customFormat="1" ht="12.75" x14ac:dyDescent="0.2">
      <c r="B36353" s="1168"/>
    </row>
    <row r="36354" spans="2:2" s="221" customFormat="1" ht="12.75" x14ac:dyDescent="0.2">
      <c r="B36354" s="1168"/>
    </row>
    <row r="36355" spans="2:2" s="221" customFormat="1" ht="12.75" x14ac:dyDescent="0.2">
      <c r="B36355" s="1168"/>
    </row>
    <row r="36356" spans="2:2" s="221" customFormat="1" ht="12.75" x14ac:dyDescent="0.2">
      <c r="B36356" s="1168"/>
    </row>
    <row r="36357" spans="2:2" s="221" customFormat="1" ht="12.75" x14ac:dyDescent="0.2">
      <c r="B36357" s="1168"/>
    </row>
    <row r="36358" spans="2:2" s="221" customFormat="1" ht="12.75" x14ac:dyDescent="0.2">
      <c r="B36358" s="1168"/>
    </row>
    <row r="36359" spans="2:2" s="221" customFormat="1" ht="12.75" x14ac:dyDescent="0.2">
      <c r="B36359" s="1168"/>
    </row>
    <row r="36360" spans="2:2" s="221" customFormat="1" ht="12.75" x14ac:dyDescent="0.2">
      <c r="B36360" s="1168"/>
    </row>
    <row r="36361" spans="2:2" s="221" customFormat="1" ht="12.75" x14ac:dyDescent="0.2">
      <c r="B36361" s="1168"/>
    </row>
    <row r="36362" spans="2:2" s="221" customFormat="1" ht="12.75" x14ac:dyDescent="0.2">
      <c r="B36362" s="1168"/>
    </row>
    <row r="36363" spans="2:2" s="221" customFormat="1" ht="12.75" x14ac:dyDescent="0.2">
      <c r="B36363" s="1168"/>
    </row>
    <row r="36364" spans="2:2" s="221" customFormat="1" ht="12.75" x14ac:dyDescent="0.2">
      <c r="B36364" s="1168"/>
    </row>
    <row r="36365" spans="2:2" s="221" customFormat="1" ht="12.75" x14ac:dyDescent="0.2">
      <c r="B36365" s="1168"/>
    </row>
    <row r="36366" spans="2:2" s="221" customFormat="1" ht="12.75" x14ac:dyDescent="0.2">
      <c r="B36366" s="1168"/>
    </row>
    <row r="36367" spans="2:2" s="221" customFormat="1" ht="12.75" x14ac:dyDescent="0.2">
      <c r="B36367" s="1168"/>
    </row>
    <row r="36368" spans="2:2" s="221" customFormat="1" ht="12.75" x14ac:dyDescent="0.2">
      <c r="B36368" s="1168"/>
    </row>
    <row r="36369" spans="2:2" s="221" customFormat="1" ht="12.75" x14ac:dyDescent="0.2">
      <c r="B36369" s="1168"/>
    </row>
    <row r="36370" spans="2:2" s="221" customFormat="1" ht="12.75" x14ac:dyDescent="0.2">
      <c r="B36370" s="1168"/>
    </row>
    <row r="36371" spans="2:2" s="221" customFormat="1" ht="12.75" x14ac:dyDescent="0.2">
      <c r="B36371" s="1168"/>
    </row>
    <row r="36372" spans="2:2" s="221" customFormat="1" ht="12.75" x14ac:dyDescent="0.2">
      <c r="B36372" s="1168"/>
    </row>
    <row r="36373" spans="2:2" s="221" customFormat="1" ht="12.75" x14ac:dyDescent="0.2">
      <c r="B36373" s="1168"/>
    </row>
    <row r="36374" spans="2:2" s="221" customFormat="1" ht="12.75" x14ac:dyDescent="0.2">
      <c r="B36374" s="1168"/>
    </row>
    <row r="36375" spans="2:2" s="221" customFormat="1" ht="12.75" x14ac:dyDescent="0.2">
      <c r="B36375" s="1168"/>
    </row>
    <row r="36376" spans="2:2" s="221" customFormat="1" ht="12.75" x14ac:dyDescent="0.2">
      <c r="B36376" s="1168"/>
    </row>
    <row r="36377" spans="2:2" s="221" customFormat="1" ht="12.75" x14ac:dyDescent="0.2">
      <c r="B36377" s="1168"/>
    </row>
    <row r="36378" spans="2:2" s="221" customFormat="1" ht="12.75" x14ac:dyDescent="0.2">
      <c r="B36378" s="1168"/>
    </row>
    <row r="36379" spans="2:2" s="221" customFormat="1" ht="12.75" x14ac:dyDescent="0.2">
      <c r="B36379" s="1168"/>
    </row>
    <row r="36380" spans="2:2" s="221" customFormat="1" ht="12.75" x14ac:dyDescent="0.2">
      <c r="B36380" s="1168"/>
    </row>
    <row r="36381" spans="2:2" s="221" customFormat="1" ht="12.75" x14ac:dyDescent="0.2">
      <c r="B36381" s="1168"/>
    </row>
    <row r="36382" spans="2:2" s="221" customFormat="1" ht="12.75" x14ac:dyDescent="0.2">
      <c r="B36382" s="1168"/>
    </row>
    <row r="36383" spans="2:2" s="221" customFormat="1" ht="12.75" x14ac:dyDescent="0.2">
      <c r="B36383" s="1168"/>
    </row>
    <row r="36384" spans="2:2" s="221" customFormat="1" ht="12.75" x14ac:dyDescent="0.2">
      <c r="B36384" s="1168"/>
    </row>
    <row r="36385" spans="2:2" s="221" customFormat="1" ht="12.75" x14ac:dyDescent="0.2">
      <c r="B36385" s="1168"/>
    </row>
    <row r="36386" spans="2:2" s="221" customFormat="1" ht="12.75" x14ac:dyDescent="0.2">
      <c r="B36386" s="1168"/>
    </row>
    <row r="36387" spans="2:2" s="221" customFormat="1" ht="12.75" x14ac:dyDescent="0.2">
      <c r="B36387" s="1168"/>
    </row>
    <row r="36388" spans="2:2" s="221" customFormat="1" ht="12.75" x14ac:dyDescent="0.2">
      <c r="B36388" s="1168"/>
    </row>
    <row r="36389" spans="2:2" s="221" customFormat="1" ht="12.75" x14ac:dyDescent="0.2">
      <c r="B36389" s="1168"/>
    </row>
    <row r="36390" spans="2:2" s="221" customFormat="1" ht="12.75" x14ac:dyDescent="0.2">
      <c r="B36390" s="1168"/>
    </row>
    <row r="36391" spans="2:2" s="221" customFormat="1" ht="12.75" x14ac:dyDescent="0.2">
      <c r="B36391" s="1168"/>
    </row>
    <row r="36392" spans="2:2" s="221" customFormat="1" ht="12.75" x14ac:dyDescent="0.2">
      <c r="B36392" s="1168"/>
    </row>
    <row r="36393" spans="2:2" s="221" customFormat="1" ht="12.75" x14ac:dyDescent="0.2">
      <c r="B36393" s="1168"/>
    </row>
    <row r="36394" spans="2:2" s="221" customFormat="1" ht="12.75" x14ac:dyDescent="0.2">
      <c r="B36394" s="1168"/>
    </row>
    <row r="36395" spans="2:2" s="221" customFormat="1" ht="12.75" x14ac:dyDescent="0.2">
      <c r="B36395" s="1168"/>
    </row>
    <row r="36396" spans="2:2" s="221" customFormat="1" ht="12.75" x14ac:dyDescent="0.2">
      <c r="B36396" s="1168"/>
    </row>
    <row r="36397" spans="2:2" s="221" customFormat="1" ht="12.75" x14ac:dyDescent="0.2">
      <c r="B36397" s="1168"/>
    </row>
    <row r="36398" spans="2:2" s="221" customFormat="1" ht="12.75" x14ac:dyDescent="0.2">
      <c r="B36398" s="1168"/>
    </row>
    <row r="36399" spans="2:2" s="221" customFormat="1" ht="12.75" x14ac:dyDescent="0.2">
      <c r="B36399" s="1168"/>
    </row>
    <row r="36400" spans="2:2" s="221" customFormat="1" ht="12.75" x14ac:dyDescent="0.2">
      <c r="B36400" s="1168"/>
    </row>
    <row r="36401" spans="2:2" s="221" customFormat="1" ht="12.75" x14ac:dyDescent="0.2">
      <c r="B36401" s="1168"/>
    </row>
    <row r="36402" spans="2:2" s="221" customFormat="1" ht="12.75" x14ac:dyDescent="0.2">
      <c r="B36402" s="1168"/>
    </row>
    <row r="36403" spans="2:2" s="221" customFormat="1" ht="12.75" x14ac:dyDescent="0.2">
      <c r="B36403" s="1168"/>
    </row>
    <row r="36404" spans="2:2" s="221" customFormat="1" ht="12.75" x14ac:dyDescent="0.2">
      <c r="B36404" s="1168"/>
    </row>
    <row r="36405" spans="2:2" s="221" customFormat="1" ht="12.75" x14ac:dyDescent="0.2">
      <c r="B36405" s="1168"/>
    </row>
    <row r="36406" spans="2:2" s="221" customFormat="1" ht="12.75" x14ac:dyDescent="0.2">
      <c r="B36406" s="1168"/>
    </row>
    <row r="36407" spans="2:2" s="221" customFormat="1" ht="12.75" x14ac:dyDescent="0.2">
      <c r="B36407" s="1168"/>
    </row>
    <row r="36408" spans="2:2" s="221" customFormat="1" ht="12.75" x14ac:dyDescent="0.2">
      <c r="B36408" s="1168"/>
    </row>
    <row r="36409" spans="2:2" s="221" customFormat="1" ht="12.75" x14ac:dyDescent="0.2">
      <c r="B36409" s="1168"/>
    </row>
    <row r="36410" spans="2:2" s="221" customFormat="1" ht="12.75" x14ac:dyDescent="0.2">
      <c r="B36410" s="1168"/>
    </row>
    <row r="36411" spans="2:2" s="221" customFormat="1" ht="12.75" x14ac:dyDescent="0.2">
      <c r="B36411" s="1168"/>
    </row>
    <row r="36412" spans="2:2" s="221" customFormat="1" ht="12.75" x14ac:dyDescent="0.2">
      <c r="B36412" s="1168"/>
    </row>
    <row r="36413" spans="2:2" s="221" customFormat="1" ht="12.75" x14ac:dyDescent="0.2">
      <c r="B36413" s="1168"/>
    </row>
    <row r="36414" spans="2:2" s="221" customFormat="1" ht="12.75" x14ac:dyDescent="0.2">
      <c r="B36414" s="1168"/>
    </row>
    <row r="36415" spans="2:2" s="221" customFormat="1" ht="12.75" x14ac:dyDescent="0.2">
      <c r="B36415" s="1168"/>
    </row>
    <row r="36416" spans="2:2" s="221" customFormat="1" ht="12.75" x14ac:dyDescent="0.2">
      <c r="B36416" s="1168"/>
    </row>
    <row r="36417" spans="2:2" s="221" customFormat="1" ht="12.75" x14ac:dyDescent="0.2">
      <c r="B36417" s="1168"/>
    </row>
    <row r="36418" spans="2:2" s="221" customFormat="1" ht="12.75" x14ac:dyDescent="0.2">
      <c r="B36418" s="1168"/>
    </row>
    <row r="36419" spans="2:2" s="221" customFormat="1" ht="12.75" x14ac:dyDescent="0.2">
      <c r="B36419" s="1168"/>
    </row>
    <row r="36420" spans="2:2" s="221" customFormat="1" ht="12.75" x14ac:dyDescent="0.2">
      <c r="B36420" s="1168"/>
    </row>
    <row r="36421" spans="2:2" s="221" customFormat="1" ht="12.75" x14ac:dyDescent="0.2">
      <c r="B36421" s="1168"/>
    </row>
    <row r="36422" spans="2:2" s="221" customFormat="1" ht="12.75" x14ac:dyDescent="0.2">
      <c r="B36422" s="1168"/>
    </row>
    <row r="36423" spans="2:2" s="221" customFormat="1" ht="12.75" x14ac:dyDescent="0.2">
      <c r="B36423" s="1168"/>
    </row>
    <row r="36424" spans="2:2" s="221" customFormat="1" ht="12.75" x14ac:dyDescent="0.2">
      <c r="B36424" s="1168"/>
    </row>
    <row r="36425" spans="2:2" s="221" customFormat="1" ht="12.75" x14ac:dyDescent="0.2">
      <c r="B36425" s="1168"/>
    </row>
    <row r="36426" spans="2:2" s="221" customFormat="1" ht="12.75" x14ac:dyDescent="0.2">
      <c r="B36426" s="1168"/>
    </row>
    <row r="36427" spans="2:2" s="221" customFormat="1" ht="12.75" x14ac:dyDescent="0.2">
      <c r="B36427" s="1168"/>
    </row>
    <row r="36428" spans="2:2" s="221" customFormat="1" ht="12.75" x14ac:dyDescent="0.2">
      <c r="B36428" s="1168"/>
    </row>
    <row r="36429" spans="2:2" s="221" customFormat="1" ht="12.75" x14ac:dyDescent="0.2">
      <c r="B36429" s="1168"/>
    </row>
    <row r="36430" spans="2:2" s="221" customFormat="1" ht="12.75" x14ac:dyDescent="0.2">
      <c r="B36430" s="1168"/>
    </row>
    <row r="36431" spans="2:2" s="221" customFormat="1" ht="12.75" x14ac:dyDescent="0.2">
      <c r="B36431" s="1168"/>
    </row>
    <row r="36432" spans="2:2" s="221" customFormat="1" ht="12.75" x14ac:dyDescent="0.2">
      <c r="B36432" s="1168"/>
    </row>
    <row r="36433" spans="2:2" s="221" customFormat="1" ht="12.75" x14ac:dyDescent="0.2">
      <c r="B36433" s="1168"/>
    </row>
    <row r="36434" spans="2:2" s="221" customFormat="1" ht="12.75" x14ac:dyDescent="0.2">
      <c r="B36434" s="1168"/>
    </row>
    <row r="36435" spans="2:2" s="221" customFormat="1" ht="12.75" x14ac:dyDescent="0.2">
      <c r="B36435" s="1168"/>
    </row>
    <row r="36436" spans="2:2" s="221" customFormat="1" ht="12.75" x14ac:dyDescent="0.2">
      <c r="B36436" s="1168"/>
    </row>
    <row r="36437" spans="2:2" s="221" customFormat="1" ht="12.75" x14ac:dyDescent="0.2">
      <c r="B36437" s="1168"/>
    </row>
    <row r="36438" spans="2:2" s="221" customFormat="1" ht="12.75" x14ac:dyDescent="0.2">
      <c r="B36438" s="1168"/>
    </row>
    <row r="36439" spans="2:2" s="221" customFormat="1" ht="12.75" x14ac:dyDescent="0.2">
      <c r="B36439" s="1168"/>
    </row>
    <row r="36440" spans="2:2" s="221" customFormat="1" ht="12.75" x14ac:dyDescent="0.2">
      <c r="B36440" s="1168"/>
    </row>
    <row r="36441" spans="2:2" s="221" customFormat="1" ht="12.75" x14ac:dyDescent="0.2">
      <c r="B36441" s="1168"/>
    </row>
    <row r="36442" spans="2:2" s="221" customFormat="1" ht="12.75" x14ac:dyDescent="0.2">
      <c r="B36442" s="1168"/>
    </row>
    <row r="36443" spans="2:2" s="221" customFormat="1" ht="12.75" x14ac:dyDescent="0.2">
      <c r="B36443" s="1168"/>
    </row>
    <row r="36444" spans="2:2" s="221" customFormat="1" ht="12.75" x14ac:dyDescent="0.2">
      <c r="B36444" s="1168"/>
    </row>
    <row r="36445" spans="2:2" s="221" customFormat="1" ht="12.75" x14ac:dyDescent="0.2">
      <c r="B36445" s="1168"/>
    </row>
    <row r="36446" spans="2:2" s="221" customFormat="1" ht="12.75" x14ac:dyDescent="0.2">
      <c r="B36446" s="1168"/>
    </row>
    <row r="36447" spans="2:2" s="221" customFormat="1" ht="12.75" x14ac:dyDescent="0.2">
      <c r="B36447" s="1168"/>
    </row>
    <row r="36448" spans="2:2" s="221" customFormat="1" ht="12.75" x14ac:dyDescent="0.2">
      <c r="B36448" s="1168"/>
    </row>
    <row r="36449" spans="2:2" s="221" customFormat="1" ht="12.75" x14ac:dyDescent="0.2">
      <c r="B36449" s="1168"/>
    </row>
    <row r="36450" spans="2:2" s="221" customFormat="1" ht="12.75" x14ac:dyDescent="0.2">
      <c r="B36450" s="1168"/>
    </row>
    <row r="36451" spans="2:2" s="221" customFormat="1" ht="12.75" x14ac:dyDescent="0.2">
      <c r="B36451" s="1168"/>
    </row>
    <row r="36452" spans="2:2" s="221" customFormat="1" ht="12.75" x14ac:dyDescent="0.2">
      <c r="B36452" s="1168"/>
    </row>
    <row r="36453" spans="2:2" s="221" customFormat="1" ht="12.75" x14ac:dyDescent="0.2">
      <c r="B36453" s="1168"/>
    </row>
    <row r="36454" spans="2:2" s="221" customFormat="1" ht="12.75" x14ac:dyDescent="0.2">
      <c r="B36454" s="1168"/>
    </row>
    <row r="36455" spans="2:2" s="221" customFormat="1" ht="12.75" x14ac:dyDescent="0.2">
      <c r="B36455" s="1168"/>
    </row>
    <row r="36456" spans="2:2" s="221" customFormat="1" ht="12.75" x14ac:dyDescent="0.2">
      <c r="B36456" s="1168"/>
    </row>
    <row r="36457" spans="2:2" s="221" customFormat="1" ht="12.75" x14ac:dyDescent="0.2">
      <c r="B36457" s="1168"/>
    </row>
    <row r="36458" spans="2:2" s="221" customFormat="1" ht="12.75" x14ac:dyDescent="0.2">
      <c r="B36458" s="1168"/>
    </row>
    <row r="36459" spans="2:2" s="221" customFormat="1" ht="12.75" x14ac:dyDescent="0.2">
      <c r="B36459" s="1168"/>
    </row>
    <row r="36460" spans="2:2" s="221" customFormat="1" ht="12.75" x14ac:dyDescent="0.2">
      <c r="B36460" s="1168"/>
    </row>
    <row r="36461" spans="2:2" s="221" customFormat="1" ht="12.75" x14ac:dyDescent="0.2">
      <c r="B36461" s="1168"/>
    </row>
    <row r="36462" spans="2:2" s="221" customFormat="1" ht="12.75" x14ac:dyDescent="0.2">
      <c r="B36462" s="1168"/>
    </row>
    <row r="36463" spans="2:2" s="221" customFormat="1" ht="12.75" x14ac:dyDescent="0.2">
      <c r="B36463" s="1168"/>
    </row>
    <row r="36464" spans="2:2" s="221" customFormat="1" ht="12.75" x14ac:dyDescent="0.2">
      <c r="B36464" s="1168"/>
    </row>
    <row r="36465" spans="2:2" s="221" customFormat="1" ht="12.75" x14ac:dyDescent="0.2">
      <c r="B36465" s="1168"/>
    </row>
    <row r="36466" spans="2:2" s="221" customFormat="1" ht="12.75" x14ac:dyDescent="0.2">
      <c r="B36466" s="1168"/>
    </row>
    <row r="36467" spans="2:2" s="221" customFormat="1" ht="12.75" x14ac:dyDescent="0.2">
      <c r="B36467" s="1168"/>
    </row>
    <row r="36468" spans="2:2" s="221" customFormat="1" ht="12.75" x14ac:dyDescent="0.2">
      <c r="B36468" s="1168"/>
    </row>
    <row r="36469" spans="2:2" s="221" customFormat="1" ht="12.75" x14ac:dyDescent="0.2">
      <c r="B36469" s="1168"/>
    </row>
    <row r="36470" spans="2:2" s="221" customFormat="1" ht="12.75" x14ac:dyDescent="0.2">
      <c r="B36470" s="1168"/>
    </row>
    <row r="36471" spans="2:2" s="221" customFormat="1" ht="12.75" x14ac:dyDescent="0.2">
      <c r="B36471" s="1168"/>
    </row>
    <row r="36472" spans="2:2" s="221" customFormat="1" ht="12.75" x14ac:dyDescent="0.2">
      <c r="B36472" s="1168"/>
    </row>
    <row r="36473" spans="2:2" s="221" customFormat="1" ht="12.75" x14ac:dyDescent="0.2">
      <c r="B36473" s="1168"/>
    </row>
    <row r="36474" spans="2:2" s="221" customFormat="1" ht="12.75" x14ac:dyDescent="0.2">
      <c r="B36474" s="1168"/>
    </row>
    <row r="36475" spans="2:2" s="221" customFormat="1" ht="12.75" x14ac:dyDescent="0.2">
      <c r="B36475" s="1168"/>
    </row>
    <row r="36476" spans="2:2" s="221" customFormat="1" ht="12.75" x14ac:dyDescent="0.2">
      <c r="B36476" s="1168"/>
    </row>
    <row r="36477" spans="2:2" s="221" customFormat="1" ht="12.75" x14ac:dyDescent="0.2">
      <c r="B36477" s="1168"/>
    </row>
    <row r="36478" spans="2:2" s="221" customFormat="1" ht="12.75" x14ac:dyDescent="0.2">
      <c r="B36478" s="1168"/>
    </row>
    <row r="36479" spans="2:2" s="221" customFormat="1" ht="12.75" x14ac:dyDescent="0.2">
      <c r="B36479" s="1168"/>
    </row>
    <row r="36480" spans="2:2" s="221" customFormat="1" ht="12.75" x14ac:dyDescent="0.2">
      <c r="B36480" s="1168"/>
    </row>
    <row r="36481" spans="2:2" s="221" customFormat="1" ht="12.75" x14ac:dyDescent="0.2">
      <c r="B36481" s="1168"/>
    </row>
    <row r="36482" spans="2:2" s="221" customFormat="1" ht="12.75" x14ac:dyDescent="0.2">
      <c r="B36482" s="1168"/>
    </row>
    <row r="36483" spans="2:2" s="221" customFormat="1" ht="12.75" x14ac:dyDescent="0.2">
      <c r="B36483" s="1168"/>
    </row>
    <row r="36484" spans="2:2" s="221" customFormat="1" ht="12.75" x14ac:dyDescent="0.2">
      <c r="B36484" s="1168"/>
    </row>
    <row r="36485" spans="2:2" s="221" customFormat="1" ht="12.75" x14ac:dyDescent="0.2">
      <c r="B36485" s="1168"/>
    </row>
    <row r="36486" spans="2:2" s="221" customFormat="1" ht="12.75" x14ac:dyDescent="0.2">
      <c r="B36486" s="1168"/>
    </row>
    <row r="36487" spans="2:2" s="221" customFormat="1" ht="12.75" x14ac:dyDescent="0.2">
      <c r="B36487" s="1168"/>
    </row>
    <row r="36488" spans="2:2" s="221" customFormat="1" ht="12.75" x14ac:dyDescent="0.2">
      <c r="B36488" s="1168"/>
    </row>
    <row r="36489" spans="2:2" s="221" customFormat="1" ht="12.75" x14ac:dyDescent="0.2">
      <c r="B36489" s="1168"/>
    </row>
    <row r="36490" spans="2:2" s="221" customFormat="1" ht="12.75" x14ac:dyDescent="0.2">
      <c r="B36490" s="1168"/>
    </row>
    <row r="36491" spans="2:2" s="221" customFormat="1" ht="12.75" x14ac:dyDescent="0.2">
      <c r="B36491" s="1168"/>
    </row>
    <row r="36492" spans="2:2" s="221" customFormat="1" ht="12.75" x14ac:dyDescent="0.2">
      <c r="B36492" s="1168"/>
    </row>
    <row r="36493" spans="2:2" s="221" customFormat="1" ht="12.75" x14ac:dyDescent="0.2">
      <c r="B36493" s="1168"/>
    </row>
    <row r="36494" spans="2:2" s="221" customFormat="1" ht="12.75" x14ac:dyDescent="0.2">
      <c r="B36494" s="1168"/>
    </row>
    <row r="36495" spans="2:2" s="221" customFormat="1" ht="12.75" x14ac:dyDescent="0.2">
      <c r="B36495" s="1168"/>
    </row>
    <row r="36496" spans="2:2" s="221" customFormat="1" ht="12.75" x14ac:dyDescent="0.2">
      <c r="B36496" s="1168"/>
    </row>
    <row r="36497" spans="2:2" s="221" customFormat="1" ht="12.75" x14ac:dyDescent="0.2">
      <c r="B36497" s="1168"/>
    </row>
    <row r="36498" spans="2:2" s="221" customFormat="1" ht="12.75" x14ac:dyDescent="0.2">
      <c r="B36498" s="1168"/>
    </row>
    <row r="36499" spans="2:2" s="221" customFormat="1" ht="12.75" x14ac:dyDescent="0.2">
      <c r="B36499" s="1168"/>
    </row>
    <row r="36500" spans="2:2" s="221" customFormat="1" ht="12.75" x14ac:dyDescent="0.2">
      <c r="B36500" s="1168"/>
    </row>
    <row r="36501" spans="2:2" s="221" customFormat="1" ht="12.75" x14ac:dyDescent="0.2">
      <c r="B36501" s="1168"/>
    </row>
    <row r="36502" spans="2:2" s="221" customFormat="1" ht="12.75" x14ac:dyDescent="0.2">
      <c r="B36502" s="1168"/>
    </row>
    <row r="36503" spans="2:2" s="221" customFormat="1" ht="12.75" x14ac:dyDescent="0.2">
      <c r="B36503" s="1168"/>
    </row>
    <row r="36504" spans="2:2" s="221" customFormat="1" ht="12.75" x14ac:dyDescent="0.2">
      <c r="B36504" s="1168"/>
    </row>
    <row r="36505" spans="2:2" s="221" customFormat="1" ht="12.75" x14ac:dyDescent="0.2">
      <c r="B36505" s="1168"/>
    </row>
    <row r="36506" spans="2:2" s="221" customFormat="1" ht="12.75" x14ac:dyDescent="0.2">
      <c r="B36506" s="1168"/>
    </row>
    <row r="36507" spans="2:2" s="221" customFormat="1" ht="12.75" x14ac:dyDescent="0.2">
      <c r="B36507" s="1168"/>
    </row>
    <row r="36508" spans="2:2" s="221" customFormat="1" ht="12.75" x14ac:dyDescent="0.2">
      <c r="B36508" s="1168"/>
    </row>
    <row r="36509" spans="2:2" s="221" customFormat="1" ht="12.75" x14ac:dyDescent="0.2">
      <c r="B36509" s="1168"/>
    </row>
    <row r="36510" spans="2:2" s="221" customFormat="1" ht="12.75" x14ac:dyDescent="0.2">
      <c r="B36510" s="1168"/>
    </row>
    <row r="36511" spans="2:2" s="221" customFormat="1" ht="12.75" x14ac:dyDescent="0.2">
      <c r="B36511" s="1168"/>
    </row>
    <row r="36512" spans="2:2" s="221" customFormat="1" ht="12.75" x14ac:dyDescent="0.2">
      <c r="B36512" s="1168"/>
    </row>
    <row r="36513" spans="2:2" s="221" customFormat="1" ht="12.75" x14ac:dyDescent="0.2">
      <c r="B36513" s="1168"/>
    </row>
    <row r="36514" spans="2:2" s="221" customFormat="1" ht="12.75" x14ac:dyDescent="0.2">
      <c r="B36514" s="1168"/>
    </row>
    <row r="36515" spans="2:2" s="221" customFormat="1" ht="12.75" x14ac:dyDescent="0.2">
      <c r="B36515" s="1168"/>
    </row>
    <row r="36516" spans="2:2" s="221" customFormat="1" ht="12.75" x14ac:dyDescent="0.2">
      <c r="B36516" s="1168"/>
    </row>
    <row r="36517" spans="2:2" s="221" customFormat="1" ht="12.75" x14ac:dyDescent="0.2">
      <c r="B36517" s="1168"/>
    </row>
    <row r="36518" spans="2:2" s="221" customFormat="1" ht="12.75" x14ac:dyDescent="0.2">
      <c r="B36518" s="1168"/>
    </row>
    <row r="36519" spans="2:2" s="221" customFormat="1" ht="12.75" x14ac:dyDescent="0.2">
      <c r="B36519" s="1168"/>
    </row>
    <row r="36520" spans="2:2" s="221" customFormat="1" ht="12.75" x14ac:dyDescent="0.2">
      <c r="B36520" s="1168"/>
    </row>
    <row r="36521" spans="2:2" s="221" customFormat="1" ht="12.75" x14ac:dyDescent="0.2">
      <c r="B36521" s="1168"/>
    </row>
    <row r="36522" spans="2:2" s="221" customFormat="1" ht="12.75" x14ac:dyDescent="0.2">
      <c r="B36522" s="1168"/>
    </row>
    <row r="36523" spans="2:2" s="221" customFormat="1" ht="12.75" x14ac:dyDescent="0.2">
      <c r="B36523" s="1168"/>
    </row>
    <row r="36524" spans="2:2" s="221" customFormat="1" ht="12.75" x14ac:dyDescent="0.2">
      <c r="B36524" s="1168"/>
    </row>
    <row r="36525" spans="2:2" s="221" customFormat="1" ht="12.75" x14ac:dyDescent="0.2">
      <c r="B36525" s="1168"/>
    </row>
    <row r="36526" spans="2:2" s="221" customFormat="1" ht="12.75" x14ac:dyDescent="0.2">
      <c r="B36526" s="1168"/>
    </row>
    <row r="36527" spans="2:2" s="221" customFormat="1" ht="12.75" x14ac:dyDescent="0.2">
      <c r="B36527" s="1168"/>
    </row>
    <row r="36528" spans="2:2" s="221" customFormat="1" ht="12.75" x14ac:dyDescent="0.2">
      <c r="B36528" s="1168"/>
    </row>
    <row r="36529" spans="2:2" s="221" customFormat="1" ht="12.75" x14ac:dyDescent="0.2">
      <c r="B36529" s="1168"/>
    </row>
    <row r="36530" spans="2:2" s="221" customFormat="1" ht="12.75" x14ac:dyDescent="0.2">
      <c r="B36530" s="1168"/>
    </row>
    <row r="36531" spans="2:2" s="221" customFormat="1" ht="12.75" x14ac:dyDescent="0.2">
      <c r="B36531" s="1168"/>
    </row>
    <row r="36532" spans="2:2" s="221" customFormat="1" ht="12.75" x14ac:dyDescent="0.2">
      <c r="B36532" s="1168"/>
    </row>
    <row r="36533" spans="2:2" s="221" customFormat="1" ht="12.75" x14ac:dyDescent="0.2">
      <c r="B36533" s="1168"/>
    </row>
    <row r="36534" spans="2:2" s="221" customFormat="1" ht="12.75" x14ac:dyDescent="0.2">
      <c r="B36534" s="1168"/>
    </row>
    <row r="36535" spans="2:2" s="221" customFormat="1" ht="12.75" x14ac:dyDescent="0.2">
      <c r="B36535" s="1168"/>
    </row>
    <row r="36536" spans="2:2" s="221" customFormat="1" ht="12.75" x14ac:dyDescent="0.2">
      <c r="B36536" s="1168"/>
    </row>
    <row r="36537" spans="2:2" s="221" customFormat="1" ht="12.75" x14ac:dyDescent="0.2">
      <c r="B36537" s="1168"/>
    </row>
    <row r="36538" spans="2:2" s="221" customFormat="1" ht="12.75" x14ac:dyDescent="0.2">
      <c r="B36538" s="1168"/>
    </row>
    <row r="36539" spans="2:2" s="221" customFormat="1" ht="12.75" x14ac:dyDescent="0.2">
      <c r="B36539" s="1168"/>
    </row>
    <row r="36540" spans="2:2" s="221" customFormat="1" ht="12.75" x14ac:dyDescent="0.2">
      <c r="B36540" s="1168"/>
    </row>
    <row r="36541" spans="2:2" s="221" customFormat="1" ht="12.75" x14ac:dyDescent="0.2">
      <c r="B36541" s="1168"/>
    </row>
    <row r="36542" spans="2:2" s="221" customFormat="1" ht="12.75" x14ac:dyDescent="0.2">
      <c r="B36542" s="1168"/>
    </row>
    <row r="36543" spans="2:2" s="221" customFormat="1" ht="12.75" x14ac:dyDescent="0.2">
      <c r="B36543" s="1168"/>
    </row>
    <row r="36544" spans="2:2" s="221" customFormat="1" ht="12.75" x14ac:dyDescent="0.2">
      <c r="B36544" s="1168"/>
    </row>
    <row r="36545" spans="2:2" s="221" customFormat="1" ht="12.75" x14ac:dyDescent="0.2">
      <c r="B36545" s="1168"/>
    </row>
    <row r="36546" spans="2:2" s="221" customFormat="1" ht="12.75" x14ac:dyDescent="0.2">
      <c r="B36546" s="1168"/>
    </row>
    <row r="36547" spans="2:2" s="221" customFormat="1" ht="12.75" x14ac:dyDescent="0.2">
      <c r="B36547" s="1168"/>
    </row>
    <row r="36548" spans="2:2" s="221" customFormat="1" ht="12.75" x14ac:dyDescent="0.2">
      <c r="B36548" s="1168"/>
    </row>
    <row r="36549" spans="2:2" s="221" customFormat="1" ht="12.75" x14ac:dyDescent="0.2">
      <c r="B36549" s="1168"/>
    </row>
    <row r="36550" spans="2:2" s="221" customFormat="1" ht="12.75" x14ac:dyDescent="0.2">
      <c r="B36550" s="1168"/>
    </row>
    <row r="36551" spans="2:2" s="221" customFormat="1" ht="12.75" x14ac:dyDescent="0.2">
      <c r="B36551" s="1168"/>
    </row>
    <row r="36552" spans="2:2" s="221" customFormat="1" ht="12.75" x14ac:dyDescent="0.2">
      <c r="B36552" s="1168"/>
    </row>
    <row r="36553" spans="2:2" s="221" customFormat="1" ht="12.75" x14ac:dyDescent="0.2">
      <c r="B36553" s="1168"/>
    </row>
    <row r="36554" spans="2:2" s="221" customFormat="1" ht="12.75" x14ac:dyDescent="0.2">
      <c r="B36554" s="1168"/>
    </row>
    <row r="36555" spans="2:2" s="221" customFormat="1" ht="12.75" x14ac:dyDescent="0.2">
      <c r="B36555" s="1168"/>
    </row>
    <row r="36556" spans="2:2" s="221" customFormat="1" ht="12.75" x14ac:dyDescent="0.2">
      <c r="B36556" s="1168"/>
    </row>
    <row r="36557" spans="2:2" s="221" customFormat="1" ht="12.75" x14ac:dyDescent="0.2">
      <c r="B36557" s="1168"/>
    </row>
    <row r="36558" spans="2:2" s="221" customFormat="1" ht="12.75" x14ac:dyDescent="0.2">
      <c r="B36558" s="1168"/>
    </row>
    <row r="36559" spans="2:2" s="221" customFormat="1" ht="12.75" x14ac:dyDescent="0.2">
      <c r="B36559" s="1168"/>
    </row>
    <row r="36560" spans="2:2" s="221" customFormat="1" ht="12.75" x14ac:dyDescent="0.2">
      <c r="B36560" s="1168"/>
    </row>
    <row r="36561" spans="2:2" s="221" customFormat="1" ht="12.75" x14ac:dyDescent="0.2">
      <c r="B36561" s="1168"/>
    </row>
    <row r="36562" spans="2:2" s="221" customFormat="1" ht="12.75" x14ac:dyDescent="0.2">
      <c r="B36562" s="1168"/>
    </row>
    <row r="36563" spans="2:2" s="221" customFormat="1" ht="12.75" x14ac:dyDescent="0.2">
      <c r="B36563" s="1168"/>
    </row>
    <row r="36564" spans="2:2" s="221" customFormat="1" ht="12.75" x14ac:dyDescent="0.2">
      <c r="B36564" s="1168"/>
    </row>
    <row r="36565" spans="2:2" s="221" customFormat="1" ht="12.75" x14ac:dyDescent="0.2">
      <c r="B36565" s="1168"/>
    </row>
    <row r="36566" spans="2:2" s="221" customFormat="1" ht="12.75" x14ac:dyDescent="0.2">
      <c r="B36566" s="1168"/>
    </row>
    <row r="36567" spans="2:2" s="221" customFormat="1" ht="12.75" x14ac:dyDescent="0.2">
      <c r="B36567" s="1168"/>
    </row>
    <row r="36568" spans="2:2" s="221" customFormat="1" ht="12.75" x14ac:dyDescent="0.2">
      <c r="B36568" s="1168"/>
    </row>
    <row r="36569" spans="2:2" s="221" customFormat="1" ht="12.75" x14ac:dyDescent="0.2">
      <c r="B36569" s="1168"/>
    </row>
    <row r="36570" spans="2:2" s="221" customFormat="1" ht="12.75" x14ac:dyDescent="0.2">
      <c r="B36570" s="1168"/>
    </row>
    <row r="36571" spans="2:2" s="221" customFormat="1" ht="12.75" x14ac:dyDescent="0.2">
      <c r="B36571" s="1168"/>
    </row>
    <row r="36572" spans="2:2" s="221" customFormat="1" ht="12.75" x14ac:dyDescent="0.2">
      <c r="B36572" s="1168"/>
    </row>
    <row r="36573" spans="2:2" s="221" customFormat="1" ht="12.75" x14ac:dyDescent="0.2">
      <c r="B36573" s="1168"/>
    </row>
    <row r="36574" spans="2:2" s="221" customFormat="1" ht="12.75" x14ac:dyDescent="0.2">
      <c r="B36574" s="1168"/>
    </row>
    <row r="36575" spans="2:2" s="221" customFormat="1" ht="12.75" x14ac:dyDescent="0.2">
      <c r="B36575" s="1168"/>
    </row>
    <row r="36576" spans="2:2" s="221" customFormat="1" ht="12.75" x14ac:dyDescent="0.2">
      <c r="B36576" s="1168"/>
    </row>
    <row r="36577" spans="2:2" s="221" customFormat="1" ht="12.75" x14ac:dyDescent="0.2">
      <c r="B36577" s="1168"/>
    </row>
    <row r="36578" spans="2:2" s="221" customFormat="1" ht="12.75" x14ac:dyDescent="0.2">
      <c r="B36578" s="1168"/>
    </row>
    <row r="36579" spans="2:2" s="221" customFormat="1" ht="12.75" x14ac:dyDescent="0.2">
      <c r="B36579" s="1168"/>
    </row>
    <row r="36580" spans="2:2" s="221" customFormat="1" ht="12.75" x14ac:dyDescent="0.2">
      <c r="B36580" s="1168"/>
    </row>
    <row r="36581" spans="2:2" s="221" customFormat="1" ht="12.75" x14ac:dyDescent="0.2">
      <c r="B36581" s="1168"/>
    </row>
    <row r="36582" spans="2:2" s="221" customFormat="1" ht="12.75" x14ac:dyDescent="0.2">
      <c r="B36582" s="1168"/>
    </row>
    <row r="36583" spans="2:2" s="221" customFormat="1" ht="12.75" x14ac:dyDescent="0.2">
      <c r="B36583" s="1168"/>
    </row>
    <row r="36584" spans="2:2" s="221" customFormat="1" ht="12.75" x14ac:dyDescent="0.2">
      <c r="B36584" s="1168"/>
    </row>
    <row r="36585" spans="2:2" s="221" customFormat="1" ht="12.75" x14ac:dyDescent="0.2">
      <c r="B36585" s="1168"/>
    </row>
    <row r="36586" spans="2:2" s="221" customFormat="1" ht="12.75" x14ac:dyDescent="0.2">
      <c r="B36586" s="1168"/>
    </row>
    <row r="36587" spans="2:2" s="221" customFormat="1" ht="12.75" x14ac:dyDescent="0.2">
      <c r="B36587" s="1168"/>
    </row>
    <row r="36588" spans="2:2" s="221" customFormat="1" ht="12.75" x14ac:dyDescent="0.2">
      <c r="B36588" s="1168"/>
    </row>
    <row r="36589" spans="2:2" s="221" customFormat="1" ht="12.75" x14ac:dyDescent="0.2">
      <c r="B36589" s="1168"/>
    </row>
    <row r="36590" spans="2:2" s="221" customFormat="1" ht="12.75" x14ac:dyDescent="0.2">
      <c r="B36590" s="1168"/>
    </row>
    <row r="36591" spans="2:2" s="221" customFormat="1" ht="12.75" x14ac:dyDescent="0.2">
      <c r="B36591" s="1168"/>
    </row>
    <row r="36592" spans="2:2" s="221" customFormat="1" ht="12.75" x14ac:dyDescent="0.2">
      <c r="B36592" s="1168"/>
    </row>
    <row r="36593" spans="2:2" s="221" customFormat="1" ht="12.75" x14ac:dyDescent="0.2">
      <c r="B36593" s="1168"/>
    </row>
    <row r="36594" spans="2:2" s="221" customFormat="1" ht="12.75" x14ac:dyDescent="0.2">
      <c r="B36594" s="1168"/>
    </row>
    <row r="36595" spans="2:2" s="221" customFormat="1" ht="12.75" x14ac:dyDescent="0.2">
      <c r="B36595" s="1168"/>
    </row>
    <row r="36596" spans="2:2" s="221" customFormat="1" ht="12.75" x14ac:dyDescent="0.2">
      <c r="B36596" s="1168"/>
    </row>
    <row r="36597" spans="2:2" s="221" customFormat="1" ht="12.75" x14ac:dyDescent="0.2">
      <c r="B36597" s="1168"/>
    </row>
    <row r="36598" spans="2:2" s="221" customFormat="1" ht="12.75" x14ac:dyDescent="0.2">
      <c r="B36598" s="1168"/>
    </row>
    <row r="36599" spans="2:2" s="221" customFormat="1" ht="12.75" x14ac:dyDescent="0.2">
      <c r="B36599" s="1168"/>
    </row>
    <row r="36600" spans="2:2" s="221" customFormat="1" ht="12.75" x14ac:dyDescent="0.2">
      <c r="B36600" s="1168"/>
    </row>
    <row r="36601" spans="2:2" s="221" customFormat="1" ht="12.75" x14ac:dyDescent="0.2">
      <c r="B36601" s="1168"/>
    </row>
    <row r="36602" spans="2:2" s="221" customFormat="1" ht="12.75" x14ac:dyDescent="0.2">
      <c r="B36602" s="1168"/>
    </row>
    <row r="36603" spans="2:2" s="221" customFormat="1" ht="12.75" x14ac:dyDescent="0.2">
      <c r="B36603" s="1168"/>
    </row>
    <row r="36604" spans="2:2" s="221" customFormat="1" ht="12.75" x14ac:dyDescent="0.2">
      <c r="B36604" s="1168"/>
    </row>
    <row r="36605" spans="2:2" s="221" customFormat="1" ht="12.75" x14ac:dyDescent="0.2">
      <c r="B36605" s="1168"/>
    </row>
    <row r="36606" spans="2:2" s="221" customFormat="1" ht="12.75" x14ac:dyDescent="0.2">
      <c r="B36606" s="1168"/>
    </row>
    <row r="36607" spans="2:2" s="221" customFormat="1" ht="12.75" x14ac:dyDescent="0.2">
      <c r="B36607" s="1168"/>
    </row>
    <row r="36608" spans="2:2" s="221" customFormat="1" ht="12.75" x14ac:dyDescent="0.2">
      <c r="B36608" s="1168"/>
    </row>
    <row r="36609" spans="2:2" s="221" customFormat="1" ht="12.75" x14ac:dyDescent="0.2">
      <c r="B36609" s="1168"/>
    </row>
    <row r="36610" spans="2:2" s="221" customFormat="1" ht="12.75" x14ac:dyDescent="0.2">
      <c r="B36610" s="1168"/>
    </row>
    <row r="36611" spans="2:2" s="221" customFormat="1" ht="12.75" x14ac:dyDescent="0.2">
      <c r="B36611" s="1168"/>
    </row>
    <row r="36612" spans="2:2" s="221" customFormat="1" ht="12.75" x14ac:dyDescent="0.2">
      <c r="B36612" s="1168"/>
    </row>
    <row r="36613" spans="2:2" s="221" customFormat="1" ht="12.75" x14ac:dyDescent="0.2">
      <c r="B36613" s="1168"/>
    </row>
    <row r="36614" spans="2:2" s="221" customFormat="1" ht="12.75" x14ac:dyDescent="0.2">
      <c r="B36614" s="1168"/>
    </row>
    <row r="36615" spans="2:2" s="221" customFormat="1" ht="12.75" x14ac:dyDescent="0.2">
      <c r="B36615" s="1168"/>
    </row>
    <row r="36616" spans="2:2" s="221" customFormat="1" ht="12.75" x14ac:dyDescent="0.2">
      <c r="B36616" s="1168"/>
    </row>
    <row r="36617" spans="2:2" s="221" customFormat="1" ht="12.75" x14ac:dyDescent="0.2">
      <c r="B36617" s="1168"/>
    </row>
    <row r="36618" spans="2:2" s="221" customFormat="1" ht="12.75" x14ac:dyDescent="0.2">
      <c r="B36618" s="1168"/>
    </row>
    <row r="36619" spans="2:2" s="221" customFormat="1" ht="12.75" x14ac:dyDescent="0.2">
      <c r="B36619" s="1168"/>
    </row>
    <row r="36620" spans="2:2" s="221" customFormat="1" ht="12.75" x14ac:dyDescent="0.2">
      <c r="B36620" s="1168"/>
    </row>
    <row r="36621" spans="2:2" s="221" customFormat="1" ht="12.75" x14ac:dyDescent="0.2">
      <c r="B36621" s="1168"/>
    </row>
    <row r="36622" spans="2:2" s="221" customFormat="1" ht="12.75" x14ac:dyDescent="0.2">
      <c r="B36622" s="1168"/>
    </row>
    <row r="36623" spans="2:2" s="221" customFormat="1" ht="12.75" x14ac:dyDescent="0.2">
      <c r="B36623" s="1168"/>
    </row>
    <row r="36624" spans="2:2" s="221" customFormat="1" ht="12.75" x14ac:dyDescent="0.2">
      <c r="B36624" s="1168"/>
    </row>
    <row r="36625" spans="2:2" s="221" customFormat="1" ht="12.75" x14ac:dyDescent="0.2">
      <c r="B36625" s="1168"/>
    </row>
    <row r="36626" spans="2:2" s="221" customFormat="1" ht="12.75" x14ac:dyDescent="0.2">
      <c r="B36626" s="1168"/>
    </row>
    <row r="36627" spans="2:2" s="221" customFormat="1" ht="12.75" x14ac:dyDescent="0.2">
      <c r="B36627" s="1168"/>
    </row>
    <row r="36628" spans="2:2" s="221" customFormat="1" ht="12.75" x14ac:dyDescent="0.2">
      <c r="B36628" s="1168"/>
    </row>
    <row r="36629" spans="2:2" s="221" customFormat="1" ht="12.75" x14ac:dyDescent="0.2">
      <c r="B36629" s="1168"/>
    </row>
    <row r="36630" spans="2:2" s="221" customFormat="1" ht="12.75" x14ac:dyDescent="0.2">
      <c r="B36630" s="1168"/>
    </row>
    <row r="36631" spans="2:2" s="221" customFormat="1" ht="12.75" x14ac:dyDescent="0.2">
      <c r="B36631" s="1168"/>
    </row>
    <row r="36632" spans="2:2" s="221" customFormat="1" ht="12.75" x14ac:dyDescent="0.2">
      <c r="B36632" s="1168"/>
    </row>
    <row r="36633" spans="2:2" s="221" customFormat="1" ht="12.75" x14ac:dyDescent="0.2">
      <c r="B36633" s="1168"/>
    </row>
    <row r="36634" spans="2:2" s="221" customFormat="1" ht="12.75" x14ac:dyDescent="0.2">
      <c r="B36634" s="1168"/>
    </row>
    <row r="36635" spans="2:2" s="221" customFormat="1" ht="12.75" x14ac:dyDescent="0.2">
      <c r="B36635" s="1168"/>
    </row>
    <row r="36636" spans="2:2" s="221" customFormat="1" ht="12.75" x14ac:dyDescent="0.2">
      <c r="B36636" s="1168"/>
    </row>
    <row r="36637" spans="2:2" s="221" customFormat="1" ht="12.75" x14ac:dyDescent="0.2">
      <c r="B36637" s="1168"/>
    </row>
    <row r="36638" spans="2:2" s="221" customFormat="1" ht="12.75" x14ac:dyDescent="0.2">
      <c r="B36638" s="1168"/>
    </row>
    <row r="36639" spans="2:2" s="221" customFormat="1" ht="12.75" x14ac:dyDescent="0.2">
      <c r="B36639" s="1168"/>
    </row>
    <row r="36640" spans="2:2" s="221" customFormat="1" ht="12.75" x14ac:dyDescent="0.2">
      <c r="B36640" s="1168"/>
    </row>
    <row r="36641" spans="2:2" s="221" customFormat="1" ht="12.75" x14ac:dyDescent="0.2">
      <c r="B36641" s="1168"/>
    </row>
    <row r="36642" spans="2:2" s="221" customFormat="1" ht="12.75" x14ac:dyDescent="0.2">
      <c r="B36642" s="1168"/>
    </row>
    <row r="36643" spans="2:2" s="221" customFormat="1" ht="12.75" x14ac:dyDescent="0.2">
      <c r="B36643" s="1168"/>
    </row>
    <row r="36644" spans="2:2" s="221" customFormat="1" ht="12.75" x14ac:dyDescent="0.2">
      <c r="B36644" s="1168"/>
    </row>
    <row r="36645" spans="2:2" s="221" customFormat="1" ht="12.75" x14ac:dyDescent="0.2">
      <c r="B36645" s="1168"/>
    </row>
    <row r="36646" spans="2:2" s="221" customFormat="1" ht="12.75" x14ac:dyDescent="0.2">
      <c r="B36646" s="1168"/>
    </row>
    <row r="36647" spans="2:2" s="221" customFormat="1" ht="12.75" x14ac:dyDescent="0.2">
      <c r="B36647" s="1168"/>
    </row>
    <row r="36648" spans="2:2" s="221" customFormat="1" ht="12.75" x14ac:dyDescent="0.2">
      <c r="B36648" s="1168"/>
    </row>
    <row r="36649" spans="2:2" s="221" customFormat="1" ht="12.75" x14ac:dyDescent="0.2">
      <c r="B36649" s="1168"/>
    </row>
    <row r="36650" spans="2:2" s="221" customFormat="1" ht="12.75" x14ac:dyDescent="0.2">
      <c r="B36650" s="1168"/>
    </row>
    <row r="36651" spans="2:2" s="221" customFormat="1" ht="12.75" x14ac:dyDescent="0.2">
      <c r="B36651" s="1168"/>
    </row>
    <row r="36652" spans="2:2" s="221" customFormat="1" ht="12.75" x14ac:dyDescent="0.2">
      <c r="B36652" s="1168"/>
    </row>
    <row r="36653" spans="2:2" s="221" customFormat="1" ht="12.75" x14ac:dyDescent="0.2">
      <c r="B36653" s="1168"/>
    </row>
    <row r="36654" spans="2:2" s="221" customFormat="1" ht="12.75" x14ac:dyDescent="0.2">
      <c r="B36654" s="1168"/>
    </row>
    <row r="36655" spans="2:2" s="221" customFormat="1" ht="12.75" x14ac:dyDescent="0.2">
      <c r="B36655" s="1168"/>
    </row>
    <row r="36656" spans="2:2" s="221" customFormat="1" ht="12.75" x14ac:dyDescent="0.2">
      <c r="B36656" s="1168"/>
    </row>
    <row r="36657" spans="2:2" s="221" customFormat="1" ht="12.75" x14ac:dyDescent="0.2">
      <c r="B36657" s="1168"/>
    </row>
    <row r="36658" spans="2:2" s="221" customFormat="1" ht="12.75" x14ac:dyDescent="0.2">
      <c r="B36658" s="1168"/>
    </row>
    <row r="36659" spans="2:2" s="221" customFormat="1" ht="12.75" x14ac:dyDescent="0.2">
      <c r="B36659" s="1168"/>
    </row>
    <row r="36660" spans="2:2" s="221" customFormat="1" ht="12.75" x14ac:dyDescent="0.2">
      <c r="B36660" s="1168"/>
    </row>
    <row r="36661" spans="2:2" s="221" customFormat="1" ht="12.75" x14ac:dyDescent="0.2">
      <c r="B36661" s="1168"/>
    </row>
    <row r="36662" spans="2:2" s="221" customFormat="1" ht="12.75" x14ac:dyDescent="0.2">
      <c r="B36662" s="1168"/>
    </row>
    <row r="36663" spans="2:2" s="221" customFormat="1" ht="12.75" x14ac:dyDescent="0.2">
      <c r="B36663" s="1168"/>
    </row>
    <row r="36664" spans="2:2" s="221" customFormat="1" ht="12.75" x14ac:dyDescent="0.2">
      <c r="B36664" s="1168"/>
    </row>
    <row r="36665" spans="2:2" s="221" customFormat="1" ht="12.75" x14ac:dyDescent="0.2">
      <c r="B36665" s="1168"/>
    </row>
    <row r="36666" spans="2:2" s="221" customFormat="1" ht="12.75" x14ac:dyDescent="0.2">
      <c r="B36666" s="1168"/>
    </row>
    <row r="36667" spans="2:2" s="221" customFormat="1" ht="12.75" x14ac:dyDescent="0.2">
      <c r="B36667" s="1168"/>
    </row>
    <row r="36668" spans="2:2" s="221" customFormat="1" ht="12.75" x14ac:dyDescent="0.2">
      <c r="B36668" s="1168"/>
    </row>
    <row r="36669" spans="2:2" s="221" customFormat="1" ht="12.75" x14ac:dyDescent="0.2">
      <c r="B36669" s="1168"/>
    </row>
    <row r="36670" spans="2:2" s="221" customFormat="1" ht="12.75" x14ac:dyDescent="0.2">
      <c r="B36670" s="1168"/>
    </row>
    <row r="36671" spans="2:2" s="221" customFormat="1" ht="12.75" x14ac:dyDescent="0.2">
      <c r="B36671" s="1168"/>
    </row>
    <row r="36672" spans="2:2" s="221" customFormat="1" ht="12.75" x14ac:dyDescent="0.2">
      <c r="B36672" s="1168"/>
    </row>
    <row r="36673" spans="2:2" s="221" customFormat="1" ht="12.75" x14ac:dyDescent="0.2">
      <c r="B36673" s="1168"/>
    </row>
    <row r="36674" spans="2:2" s="221" customFormat="1" ht="12.75" x14ac:dyDescent="0.2">
      <c r="B36674" s="1168"/>
    </row>
    <row r="36675" spans="2:2" s="221" customFormat="1" ht="12.75" x14ac:dyDescent="0.2">
      <c r="B36675" s="1168"/>
    </row>
    <row r="36676" spans="2:2" s="221" customFormat="1" ht="12.75" x14ac:dyDescent="0.2">
      <c r="B36676" s="1168"/>
    </row>
    <row r="36677" spans="2:2" s="221" customFormat="1" ht="12.75" x14ac:dyDescent="0.2">
      <c r="B36677" s="1168"/>
    </row>
    <row r="36678" spans="2:2" s="221" customFormat="1" ht="12.75" x14ac:dyDescent="0.2">
      <c r="B36678" s="1168"/>
    </row>
    <row r="36679" spans="2:2" s="221" customFormat="1" ht="12.75" x14ac:dyDescent="0.2">
      <c r="B36679" s="1168"/>
    </row>
    <row r="36680" spans="2:2" s="221" customFormat="1" ht="12.75" x14ac:dyDescent="0.2">
      <c r="B36680" s="1168"/>
    </row>
    <row r="36681" spans="2:2" s="221" customFormat="1" ht="12.75" x14ac:dyDescent="0.2">
      <c r="B36681" s="1168"/>
    </row>
    <row r="36682" spans="2:2" s="221" customFormat="1" ht="12.75" x14ac:dyDescent="0.2">
      <c r="B36682" s="1168"/>
    </row>
    <row r="36683" spans="2:2" s="221" customFormat="1" ht="12.75" x14ac:dyDescent="0.2">
      <c r="B36683" s="1168"/>
    </row>
    <row r="36684" spans="2:2" s="221" customFormat="1" ht="12.75" x14ac:dyDescent="0.2">
      <c r="B36684" s="1168"/>
    </row>
    <row r="36685" spans="2:2" s="221" customFormat="1" ht="12.75" x14ac:dyDescent="0.2">
      <c r="B36685" s="1168"/>
    </row>
    <row r="36686" spans="2:2" s="221" customFormat="1" ht="12.75" x14ac:dyDescent="0.2">
      <c r="B36686" s="1168"/>
    </row>
    <row r="36687" spans="2:2" s="221" customFormat="1" ht="12.75" x14ac:dyDescent="0.2">
      <c r="B36687" s="1168"/>
    </row>
    <row r="36688" spans="2:2" s="221" customFormat="1" ht="12.75" x14ac:dyDescent="0.2">
      <c r="B36688" s="1168"/>
    </row>
    <row r="36689" spans="2:2" s="221" customFormat="1" ht="12.75" x14ac:dyDescent="0.2">
      <c r="B36689" s="1168"/>
    </row>
    <row r="36690" spans="2:2" s="221" customFormat="1" ht="12.75" x14ac:dyDescent="0.2">
      <c r="B36690" s="1168"/>
    </row>
    <row r="36691" spans="2:2" s="221" customFormat="1" ht="12.75" x14ac:dyDescent="0.2">
      <c r="B36691" s="1168"/>
    </row>
    <row r="36692" spans="2:2" s="221" customFormat="1" ht="12.75" x14ac:dyDescent="0.2">
      <c r="B36692" s="1168"/>
    </row>
    <row r="36693" spans="2:2" s="221" customFormat="1" ht="12.75" x14ac:dyDescent="0.2">
      <c r="B36693" s="1168"/>
    </row>
    <row r="36694" spans="2:2" s="221" customFormat="1" ht="12.75" x14ac:dyDescent="0.2">
      <c r="B36694" s="1168"/>
    </row>
    <row r="36695" spans="2:2" s="221" customFormat="1" ht="12.75" x14ac:dyDescent="0.2">
      <c r="B36695" s="1168"/>
    </row>
    <row r="36696" spans="2:2" s="221" customFormat="1" ht="12.75" x14ac:dyDescent="0.2">
      <c r="B36696" s="1168"/>
    </row>
    <row r="36697" spans="2:2" s="221" customFormat="1" ht="12.75" x14ac:dyDescent="0.2">
      <c r="B36697" s="1168"/>
    </row>
    <row r="36698" spans="2:2" s="221" customFormat="1" ht="12.75" x14ac:dyDescent="0.2">
      <c r="B36698" s="1168"/>
    </row>
    <row r="36699" spans="2:2" s="221" customFormat="1" ht="12.75" x14ac:dyDescent="0.2">
      <c r="B36699" s="1168"/>
    </row>
    <row r="36700" spans="2:2" s="221" customFormat="1" ht="12.75" x14ac:dyDescent="0.2">
      <c r="B36700" s="1168"/>
    </row>
    <row r="36701" spans="2:2" s="221" customFormat="1" ht="12.75" x14ac:dyDescent="0.2">
      <c r="B36701" s="1168"/>
    </row>
    <row r="36702" spans="2:2" s="221" customFormat="1" ht="12.75" x14ac:dyDescent="0.2">
      <c r="B36702" s="1168"/>
    </row>
    <row r="36703" spans="2:2" s="221" customFormat="1" ht="12.75" x14ac:dyDescent="0.2">
      <c r="B36703" s="1168"/>
    </row>
    <row r="36704" spans="2:2" s="221" customFormat="1" ht="12.75" x14ac:dyDescent="0.2">
      <c r="B36704" s="1168"/>
    </row>
    <row r="36705" spans="2:2" s="221" customFormat="1" ht="12.75" x14ac:dyDescent="0.2">
      <c r="B36705" s="1168"/>
    </row>
    <row r="36706" spans="2:2" s="221" customFormat="1" ht="12.75" x14ac:dyDescent="0.2">
      <c r="B36706" s="1168"/>
    </row>
    <row r="36707" spans="2:2" s="221" customFormat="1" ht="12.75" x14ac:dyDescent="0.2">
      <c r="B36707" s="1168"/>
    </row>
    <row r="36708" spans="2:2" s="221" customFormat="1" ht="12.75" x14ac:dyDescent="0.2">
      <c r="B36708" s="1168"/>
    </row>
    <row r="36709" spans="2:2" s="221" customFormat="1" ht="12.75" x14ac:dyDescent="0.2">
      <c r="B36709" s="1168"/>
    </row>
    <row r="36710" spans="2:2" s="221" customFormat="1" ht="12.75" x14ac:dyDescent="0.2">
      <c r="B36710" s="1168"/>
    </row>
    <row r="36711" spans="2:2" s="221" customFormat="1" ht="12.75" x14ac:dyDescent="0.2">
      <c r="B36711" s="1168"/>
    </row>
    <row r="36712" spans="2:2" s="221" customFormat="1" ht="12.75" x14ac:dyDescent="0.2">
      <c r="B36712" s="1168"/>
    </row>
    <row r="36713" spans="2:2" s="221" customFormat="1" ht="12.75" x14ac:dyDescent="0.2">
      <c r="B36713" s="1168"/>
    </row>
    <row r="36714" spans="2:2" s="221" customFormat="1" ht="12.75" x14ac:dyDescent="0.2">
      <c r="B36714" s="1168"/>
    </row>
    <row r="36715" spans="2:2" s="221" customFormat="1" ht="12.75" x14ac:dyDescent="0.2">
      <c r="B36715" s="1168"/>
    </row>
    <row r="36716" spans="2:2" s="221" customFormat="1" ht="12.75" x14ac:dyDescent="0.2">
      <c r="B36716" s="1168"/>
    </row>
    <row r="36717" spans="2:2" s="221" customFormat="1" ht="12.75" x14ac:dyDescent="0.2">
      <c r="B36717" s="1168"/>
    </row>
    <row r="36718" spans="2:2" s="221" customFormat="1" ht="12.75" x14ac:dyDescent="0.2">
      <c r="B36718" s="1168"/>
    </row>
    <row r="36719" spans="2:2" s="221" customFormat="1" ht="12.75" x14ac:dyDescent="0.2">
      <c r="B36719" s="1168"/>
    </row>
    <row r="36720" spans="2:2" s="221" customFormat="1" ht="12.75" x14ac:dyDescent="0.2">
      <c r="B36720" s="1168"/>
    </row>
    <row r="36721" spans="2:2" s="221" customFormat="1" ht="12.75" x14ac:dyDescent="0.2">
      <c r="B36721" s="1168"/>
    </row>
    <row r="36722" spans="2:2" s="221" customFormat="1" ht="12.75" x14ac:dyDescent="0.2">
      <c r="B36722" s="1168"/>
    </row>
    <row r="36723" spans="2:2" s="221" customFormat="1" ht="12.75" x14ac:dyDescent="0.2">
      <c r="B36723" s="1168"/>
    </row>
    <row r="36724" spans="2:2" s="221" customFormat="1" ht="12.75" x14ac:dyDescent="0.2">
      <c r="B36724" s="1168"/>
    </row>
    <row r="36725" spans="2:2" s="221" customFormat="1" ht="12.75" x14ac:dyDescent="0.2">
      <c r="B36725" s="1168"/>
    </row>
    <row r="36726" spans="2:2" s="221" customFormat="1" ht="12.75" x14ac:dyDescent="0.2">
      <c r="B36726" s="1168"/>
    </row>
    <row r="36727" spans="2:2" s="221" customFormat="1" ht="12.75" x14ac:dyDescent="0.2">
      <c r="B36727" s="1168"/>
    </row>
    <row r="36728" spans="2:2" s="221" customFormat="1" ht="12.75" x14ac:dyDescent="0.2">
      <c r="B36728" s="1168"/>
    </row>
    <row r="36729" spans="2:2" s="221" customFormat="1" ht="12.75" x14ac:dyDescent="0.2">
      <c r="B36729" s="1168"/>
    </row>
    <row r="36730" spans="2:2" s="221" customFormat="1" ht="12.75" x14ac:dyDescent="0.2">
      <c r="B36730" s="1168"/>
    </row>
    <row r="36731" spans="2:2" s="221" customFormat="1" ht="12.75" x14ac:dyDescent="0.2">
      <c r="B36731" s="1168"/>
    </row>
    <row r="36732" spans="2:2" s="221" customFormat="1" ht="12.75" x14ac:dyDescent="0.2">
      <c r="B36732" s="1168"/>
    </row>
    <row r="36733" spans="2:2" s="221" customFormat="1" ht="12.75" x14ac:dyDescent="0.2">
      <c r="B36733" s="1168"/>
    </row>
    <row r="36734" spans="2:2" s="221" customFormat="1" ht="12.75" x14ac:dyDescent="0.2">
      <c r="B36734" s="1168"/>
    </row>
    <row r="36735" spans="2:2" s="221" customFormat="1" ht="12.75" x14ac:dyDescent="0.2">
      <c r="B36735" s="1168"/>
    </row>
    <row r="36736" spans="2:2" s="221" customFormat="1" ht="12.75" x14ac:dyDescent="0.2">
      <c r="B36736" s="1168"/>
    </row>
    <row r="36737" spans="2:2" s="221" customFormat="1" ht="12.75" x14ac:dyDescent="0.2">
      <c r="B36737" s="1168"/>
    </row>
    <row r="36738" spans="2:2" s="221" customFormat="1" ht="12.75" x14ac:dyDescent="0.2">
      <c r="B36738" s="1168"/>
    </row>
    <row r="36739" spans="2:2" s="221" customFormat="1" ht="12.75" x14ac:dyDescent="0.2">
      <c r="B36739" s="1168"/>
    </row>
    <row r="36740" spans="2:2" s="221" customFormat="1" ht="12.75" x14ac:dyDescent="0.2">
      <c r="B36740" s="1168"/>
    </row>
    <row r="36741" spans="2:2" s="221" customFormat="1" ht="12.75" x14ac:dyDescent="0.2">
      <c r="B36741" s="1168"/>
    </row>
    <row r="36742" spans="2:2" s="221" customFormat="1" ht="12.75" x14ac:dyDescent="0.2">
      <c r="B36742" s="1168"/>
    </row>
    <row r="36743" spans="2:2" s="221" customFormat="1" ht="12.75" x14ac:dyDescent="0.2">
      <c r="B36743" s="1168"/>
    </row>
    <row r="36744" spans="2:2" s="221" customFormat="1" ht="12.75" x14ac:dyDescent="0.2">
      <c r="B36744" s="1168"/>
    </row>
    <row r="36745" spans="2:2" s="221" customFormat="1" ht="12.75" x14ac:dyDescent="0.2">
      <c r="B36745" s="1168"/>
    </row>
    <row r="36746" spans="2:2" s="221" customFormat="1" ht="12.75" x14ac:dyDescent="0.2">
      <c r="B36746" s="1168"/>
    </row>
    <row r="36747" spans="2:2" s="221" customFormat="1" ht="12.75" x14ac:dyDescent="0.2">
      <c r="B36747" s="1168"/>
    </row>
    <row r="36748" spans="2:2" s="221" customFormat="1" ht="12.75" x14ac:dyDescent="0.2">
      <c r="B36748" s="1168"/>
    </row>
    <row r="36749" spans="2:2" s="221" customFormat="1" ht="12.75" x14ac:dyDescent="0.2">
      <c r="B36749" s="1168"/>
    </row>
    <row r="36750" spans="2:2" s="221" customFormat="1" ht="12.75" x14ac:dyDescent="0.2">
      <c r="B36750" s="1168"/>
    </row>
    <row r="36751" spans="2:2" s="221" customFormat="1" ht="12.75" x14ac:dyDescent="0.2">
      <c r="B36751" s="1168"/>
    </row>
    <row r="36752" spans="2:2" s="221" customFormat="1" ht="12.75" x14ac:dyDescent="0.2">
      <c r="B36752" s="1168"/>
    </row>
    <row r="36753" spans="2:2" s="221" customFormat="1" ht="12.75" x14ac:dyDescent="0.2">
      <c r="B36753" s="1168"/>
    </row>
    <row r="36754" spans="2:2" s="221" customFormat="1" ht="12.75" x14ac:dyDescent="0.2">
      <c r="B36754" s="1168"/>
    </row>
    <row r="36755" spans="2:2" s="221" customFormat="1" ht="12.75" x14ac:dyDescent="0.2">
      <c r="B36755" s="1168"/>
    </row>
    <row r="36756" spans="2:2" s="221" customFormat="1" ht="12.75" x14ac:dyDescent="0.2">
      <c r="B36756" s="1168"/>
    </row>
    <row r="36757" spans="2:2" s="221" customFormat="1" ht="12.75" x14ac:dyDescent="0.2">
      <c r="B36757" s="1168"/>
    </row>
    <row r="36758" spans="2:2" s="221" customFormat="1" ht="12.75" x14ac:dyDescent="0.2">
      <c r="B36758" s="1168"/>
    </row>
    <row r="36759" spans="2:2" s="221" customFormat="1" ht="12.75" x14ac:dyDescent="0.2">
      <c r="B36759" s="1168"/>
    </row>
    <row r="36760" spans="2:2" s="221" customFormat="1" ht="12.75" x14ac:dyDescent="0.2">
      <c r="B36760" s="1168"/>
    </row>
    <row r="36761" spans="2:2" s="221" customFormat="1" ht="12.75" x14ac:dyDescent="0.2">
      <c r="B36761" s="1168"/>
    </row>
    <row r="36762" spans="2:2" s="221" customFormat="1" ht="12.75" x14ac:dyDescent="0.2">
      <c r="B36762" s="1168"/>
    </row>
    <row r="36763" spans="2:2" s="221" customFormat="1" ht="12.75" x14ac:dyDescent="0.2">
      <c r="B36763" s="1168"/>
    </row>
    <row r="36764" spans="2:2" s="221" customFormat="1" ht="12.75" x14ac:dyDescent="0.2">
      <c r="B36764" s="1168"/>
    </row>
    <row r="36765" spans="2:2" s="221" customFormat="1" ht="12.75" x14ac:dyDescent="0.2">
      <c r="B36765" s="1168"/>
    </row>
    <row r="36766" spans="2:2" s="221" customFormat="1" ht="12.75" x14ac:dyDescent="0.2">
      <c r="B36766" s="1168"/>
    </row>
    <row r="36767" spans="2:2" s="221" customFormat="1" ht="12.75" x14ac:dyDescent="0.2">
      <c r="B36767" s="1168"/>
    </row>
    <row r="36768" spans="2:2" s="221" customFormat="1" ht="12.75" x14ac:dyDescent="0.2">
      <c r="B36768" s="1168"/>
    </row>
    <row r="36769" spans="2:2" s="221" customFormat="1" ht="12.75" x14ac:dyDescent="0.2">
      <c r="B36769" s="1168"/>
    </row>
    <row r="36770" spans="2:2" s="221" customFormat="1" ht="12.75" x14ac:dyDescent="0.2">
      <c r="B36770" s="1168"/>
    </row>
    <row r="36771" spans="2:2" s="221" customFormat="1" ht="12.75" x14ac:dyDescent="0.2">
      <c r="B36771" s="1168"/>
    </row>
    <row r="36772" spans="2:2" s="221" customFormat="1" ht="12.75" x14ac:dyDescent="0.2">
      <c r="B36772" s="1168"/>
    </row>
    <row r="36773" spans="2:2" s="221" customFormat="1" ht="12.75" x14ac:dyDescent="0.2">
      <c r="B36773" s="1168"/>
    </row>
    <row r="36774" spans="2:2" s="221" customFormat="1" ht="12.75" x14ac:dyDescent="0.2">
      <c r="B36774" s="1168"/>
    </row>
    <row r="36775" spans="2:2" s="221" customFormat="1" ht="12.75" x14ac:dyDescent="0.2">
      <c r="B36775" s="1168"/>
    </row>
    <row r="36776" spans="2:2" s="221" customFormat="1" ht="12.75" x14ac:dyDescent="0.2">
      <c r="B36776" s="1168"/>
    </row>
    <row r="36777" spans="2:2" s="221" customFormat="1" ht="12.75" x14ac:dyDescent="0.2">
      <c r="B36777" s="1168"/>
    </row>
    <row r="36778" spans="2:2" s="221" customFormat="1" ht="12.75" x14ac:dyDescent="0.2">
      <c r="B36778" s="1168"/>
    </row>
    <row r="36779" spans="2:2" s="221" customFormat="1" ht="12.75" x14ac:dyDescent="0.2">
      <c r="B36779" s="1168"/>
    </row>
    <row r="36780" spans="2:2" s="221" customFormat="1" ht="12.75" x14ac:dyDescent="0.2">
      <c r="B36780" s="1168"/>
    </row>
    <row r="36781" spans="2:2" s="221" customFormat="1" ht="12.75" x14ac:dyDescent="0.2">
      <c r="B36781" s="1168"/>
    </row>
    <row r="36782" spans="2:2" s="221" customFormat="1" ht="12.75" x14ac:dyDescent="0.2">
      <c r="B36782" s="1168"/>
    </row>
    <row r="36783" spans="2:2" s="221" customFormat="1" ht="12.75" x14ac:dyDescent="0.2">
      <c r="B36783" s="1168"/>
    </row>
    <row r="36784" spans="2:2" s="221" customFormat="1" ht="12.75" x14ac:dyDescent="0.2">
      <c r="B36784" s="1168"/>
    </row>
    <row r="36785" spans="2:2" s="221" customFormat="1" ht="12.75" x14ac:dyDescent="0.2">
      <c r="B36785" s="1168"/>
    </row>
    <row r="36786" spans="2:2" s="221" customFormat="1" ht="12.75" x14ac:dyDescent="0.2">
      <c r="B36786" s="1168"/>
    </row>
    <row r="36787" spans="2:2" s="221" customFormat="1" ht="12.75" x14ac:dyDescent="0.2">
      <c r="B36787" s="1168"/>
    </row>
    <row r="36788" spans="2:2" s="221" customFormat="1" ht="12.75" x14ac:dyDescent="0.2">
      <c r="B36788" s="1168"/>
    </row>
    <row r="36789" spans="2:2" s="221" customFormat="1" ht="12.75" x14ac:dyDescent="0.2">
      <c r="B36789" s="1168"/>
    </row>
    <row r="36790" spans="2:2" s="221" customFormat="1" ht="12.75" x14ac:dyDescent="0.2">
      <c r="B36790" s="1168"/>
    </row>
    <row r="36791" spans="2:2" s="221" customFormat="1" ht="12.75" x14ac:dyDescent="0.2">
      <c r="B36791" s="1168"/>
    </row>
    <row r="36792" spans="2:2" s="221" customFormat="1" ht="12.75" x14ac:dyDescent="0.2">
      <c r="B36792" s="1168"/>
    </row>
    <row r="36793" spans="2:2" s="221" customFormat="1" ht="12.75" x14ac:dyDescent="0.2">
      <c r="B36793" s="1168"/>
    </row>
    <row r="36794" spans="2:2" s="221" customFormat="1" ht="12.75" x14ac:dyDescent="0.2">
      <c r="B36794" s="1168"/>
    </row>
    <row r="36795" spans="2:2" s="221" customFormat="1" ht="12.75" x14ac:dyDescent="0.2">
      <c r="B36795" s="1168"/>
    </row>
    <row r="36796" spans="2:2" s="221" customFormat="1" ht="12.75" x14ac:dyDescent="0.2">
      <c r="B36796" s="1168"/>
    </row>
    <row r="36797" spans="2:2" s="221" customFormat="1" ht="12.75" x14ac:dyDescent="0.2">
      <c r="B36797" s="1168"/>
    </row>
    <row r="36798" spans="2:2" s="221" customFormat="1" ht="12.75" x14ac:dyDescent="0.2">
      <c r="B36798" s="1168"/>
    </row>
    <row r="36799" spans="2:2" s="221" customFormat="1" ht="12.75" x14ac:dyDescent="0.2">
      <c r="B36799" s="1168"/>
    </row>
    <row r="36800" spans="2:2" s="221" customFormat="1" ht="12.75" x14ac:dyDescent="0.2">
      <c r="B36800" s="1168"/>
    </row>
    <row r="36801" spans="2:2" s="221" customFormat="1" ht="12.75" x14ac:dyDescent="0.2">
      <c r="B36801" s="1168"/>
    </row>
    <row r="36802" spans="2:2" s="221" customFormat="1" ht="12.75" x14ac:dyDescent="0.2">
      <c r="B36802" s="1168"/>
    </row>
    <row r="36803" spans="2:2" s="221" customFormat="1" ht="12.75" x14ac:dyDescent="0.2">
      <c r="B36803" s="1168"/>
    </row>
    <row r="36804" spans="2:2" s="221" customFormat="1" ht="12.75" x14ac:dyDescent="0.2">
      <c r="B36804" s="1168"/>
    </row>
    <row r="36805" spans="2:2" s="221" customFormat="1" ht="12.75" x14ac:dyDescent="0.2">
      <c r="B36805" s="1168"/>
    </row>
    <row r="36806" spans="2:2" s="221" customFormat="1" ht="12.75" x14ac:dyDescent="0.2">
      <c r="B36806" s="1168"/>
    </row>
    <row r="36807" spans="2:2" s="221" customFormat="1" ht="12.75" x14ac:dyDescent="0.2">
      <c r="B36807" s="1168"/>
    </row>
    <row r="36808" spans="2:2" s="221" customFormat="1" ht="12.75" x14ac:dyDescent="0.2">
      <c r="B36808" s="1168"/>
    </row>
    <row r="36809" spans="2:2" s="221" customFormat="1" ht="12.75" x14ac:dyDescent="0.2">
      <c r="B36809" s="1168"/>
    </row>
    <row r="36810" spans="2:2" s="221" customFormat="1" ht="12.75" x14ac:dyDescent="0.2">
      <c r="B36810" s="1168"/>
    </row>
    <row r="36811" spans="2:2" s="221" customFormat="1" ht="12.75" x14ac:dyDescent="0.2">
      <c r="B36811" s="1168"/>
    </row>
    <row r="36812" spans="2:2" s="221" customFormat="1" ht="12.75" x14ac:dyDescent="0.2">
      <c r="B36812" s="1168"/>
    </row>
    <row r="36813" spans="2:2" s="221" customFormat="1" ht="12.75" x14ac:dyDescent="0.2">
      <c r="B36813" s="1168"/>
    </row>
    <row r="36814" spans="2:2" s="221" customFormat="1" ht="12.75" x14ac:dyDescent="0.2">
      <c r="B36814" s="1168"/>
    </row>
    <row r="36815" spans="2:2" s="221" customFormat="1" ht="12.75" x14ac:dyDescent="0.2">
      <c r="B36815" s="1168"/>
    </row>
    <row r="36816" spans="2:2" s="221" customFormat="1" ht="12.75" x14ac:dyDescent="0.2">
      <c r="B36816" s="1168"/>
    </row>
    <row r="36817" spans="2:2" s="221" customFormat="1" ht="12.75" x14ac:dyDescent="0.2">
      <c r="B36817" s="1168"/>
    </row>
    <row r="36818" spans="2:2" s="221" customFormat="1" ht="12.75" x14ac:dyDescent="0.2">
      <c r="B36818" s="1168"/>
    </row>
    <row r="36819" spans="2:2" s="221" customFormat="1" ht="12.75" x14ac:dyDescent="0.2">
      <c r="B36819" s="1168"/>
    </row>
    <row r="36820" spans="2:2" s="221" customFormat="1" ht="12.75" x14ac:dyDescent="0.2">
      <c r="B36820" s="1168"/>
    </row>
    <row r="36821" spans="2:2" s="221" customFormat="1" ht="12.75" x14ac:dyDescent="0.2">
      <c r="B36821" s="1168"/>
    </row>
    <row r="36822" spans="2:2" s="221" customFormat="1" ht="12.75" x14ac:dyDescent="0.2">
      <c r="B36822" s="1168"/>
    </row>
    <row r="36823" spans="2:2" s="221" customFormat="1" ht="12.75" x14ac:dyDescent="0.2">
      <c r="B36823" s="1168"/>
    </row>
    <row r="36824" spans="2:2" s="221" customFormat="1" ht="12.75" x14ac:dyDescent="0.2">
      <c r="B36824" s="1168"/>
    </row>
    <row r="36825" spans="2:2" s="221" customFormat="1" ht="12.75" x14ac:dyDescent="0.2">
      <c r="B36825" s="1168"/>
    </row>
    <row r="36826" spans="2:2" s="221" customFormat="1" ht="12.75" x14ac:dyDescent="0.2">
      <c r="B36826" s="1168"/>
    </row>
    <row r="36827" spans="2:2" s="221" customFormat="1" ht="12.75" x14ac:dyDescent="0.2">
      <c r="B36827" s="1168"/>
    </row>
    <row r="36828" spans="2:2" s="221" customFormat="1" ht="12.75" x14ac:dyDescent="0.2">
      <c r="B36828" s="1168"/>
    </row>
    <row r="36829" spans="2:2" s="221" customFormat="1" ht="12.75" x14ac:dyDescent="0.2">
      <c r="B36829" s="1168"/>
    </row>
    <row r="36830" spans="2:2" s="221" customFormat="1" ht="12.75" x14ac:dyDescent="0.2">
      <c r="B36830" s="1168"/>
    </row>
    <row r="36831" spans="2:2" s="221" customFormat="1" ht="12.75" x14ac:dyDescent="0.2">
      <c r="B36831" s="1168"/>
    </row>
    <row r="36832" spans="2:2" s="221" customFormat="1" ht="12.75" x14ac:dyDescent="0.2">
      <c r="B36832" s="1168"/>
    </row>
    <row r="36833" spans="2:2" s="221" customFormat="1" ht="12.75" x14ac:dyDescent="0.2">
      <c r="B36833" s="1168"/>
    </row>
    <row r="36834" spans="2:2" s="221" customFormat="1" ht="12.75" x14ac:dyDescent="0.2">
      <c r="B36834" s="1168"/>
    </row>
    <row r="36835" spans="2:2" s="221" customFormat="1" ht="12.75" x14ac:dyDescent="0.2">
      <c r="B36835" s="1168"/>
    </row>
    <row r="36836" spans="2:2" s="221" customFormat="1" ht="12.75" x14ac:dyDescent="0.2">
      <c r="B36836" s="1168"/>
    </row>
    <row r="36837" spans="2:2" s="221" customFormat="1" ht="12.75" x14ac:dyDescent="0.2">
      <c r="B36837" s="1168"/>
    </row>
    <row r="36838" spans="2:2" s="221" customFormat="1" ht="12.75" x14ac:dyDescent="0.2">
      <c r="B36838" s="1168"/>
    </row>
    <row r="36839" spans="2:2" s="221" customFormat="1" ht="12.75" x14ac:dyDescent="0.2">
      <c r="B36839" s="1168"/>
    </row>
    <row r="36840" spans="2:2" s="221" customFormat="1" ht="12.75" x14ac:dyDescent="0.2">
      <c r="B36840" s="1168"/>
    </row>
    <row r="36841" spans="2:2" s="221" customFormat="1" ht="12.75" x14ac:dyDescent="0.2">
      <c r="B36841" s="1168"/>
    </row>
    <row r="36842" spans="2:2" s="221" customFormat="1" ht="12.75" x14ac:dyDescent="0.2">
      <c r="B36842" s="1168"/>
    </row>
    <row r="36843" spans="2:2" s="221" customFormat="1" ht="12.75" x14ac:dyDescent="0.2">
      <c r="B36843" s="1168"/>
    </row>
    <row r="36844" spans="2:2" s="221" customFormat="1" ht="12.75" x14ac:dyDescent="0.2">
      <c r="B36844" s="1168"/>
    </row>
    <row r="36845" spans="2:2" s="221" customFormat="1" ht="12.75" x14ac:dyDescent="0.2">
      <c r="B36845" s="1168"/>
    </row>
    <row r="36846" spans="2:2" s="221" customFormat="1" ht="12.75" x14ac:dyDescent="0.2">
      <c r="B36846" s="1168"/>
    </row>
    <row r="36847" spans="2:2" s="221" customFormat="1" ht="12.75" x14ac:dyDescent="0.2">
      <c r="B36847" s="1168"/>
    </row>
    <row r="36848" spans="2:2" s="221" customFormat="1" ht="12.75" x14ac:dyDescent="0.2">
      <c r="B36848" s="1168"/>
    </row>
    <row r="36849" spans="2:2" s="221" customFormat="1" ht="12.75" x14ac:dyDescent="0.2">
      <c r="B36849" s="1168"/>
    </row>
    <row r="36850" spans="2:2" s="221" customFormat="1" ht="12.75" x14ac:dyDescent="0.2">
      <c r="B36850" s="1168"/>
    </row>
    <row r="36851" spans="2:2" s="221" customFormat="1" ht="12.75" x14ac:dyDescent="0.2">
      <c r="B36851" s="1168"/>
    </row>
    <row r="36852" spans="2:2" s="221" customFormat="1" ht="12.75" x14ac:dyDescent="0.2">
      <c r="B36852" s="1168"/>
    </row>
    <row r="36853" spans="2:2" s="221" customFormat="1" ht="12.75" x14ac:dyDescent="0.2">
      <c r="B36853" s="1168"/>
    </row>
    <row r="36854" spans="2:2" s="221" customFormat="1" ht="12.75" x14ac:dyDescent="0.2">
      <c r="B36854" s="1168"/>
    </row>
    <row r="36855" spans="2:2" s="221" customFormat="1" ht="12.75" x14ac:dyDescent="0.2">
      <c r="B36855" s="1168"/>
    </row>
    <row r="36856" spans="2:2" s="221" customFormat="1" ht="12.75" x14ac:dyDescent="0.2">
      <c r="B36856" s="1168"/>
    </row>
    <row r="36857" spans="2:2" s="221" customFormat="1" ht="12.75" x14ac:dyDescent="0.2">
      <c r="B36857" s="1168"/>
    </row>
    <row r="36858" spans="2:2" s="221" customFormat="1" ht="12.75" x14ac:dyDescent="0.2">
      <c r="B36858" s="1168"/>
    </row>
    <row r="36859" spans="2:2" s="221" customFormat="1" ht="12.75" x14ac:dyDescent="0.2">
      <c r="B36859" s="1168"/>
    </row>
    <row r="36860" spans="2:2" s="221" customFormat="1" ht="12.75" x14ac:dyDescent="0.2">
      <c r="B36860" s="1168"/>
    </row>
    <row r="36861" spans="2:2" s="221" customFormat="1" ht="12.75" x14ac:dyDescent="0.2">
      <c r="B36861" s="1168"/>
    </row>
    <row r="36862" spans="2:2" s="221" customFormat="1" ht="12.75" x14ac:dyDescent="0.2">
      <c r="B36862" s="1168"/>
    </row>
    <row r="36863" spans="2:2" s="221" customFormat="1" ht="12.75" x14ac:dyDescent="0.2">
      <c r="B36863" s="1168"/>
    </row>
    <row r="36864" spans="2:2" s="221" customFormat="1" ht="12.75" x14ac:dyDescent="0.2">
      <c r="B36864" s="1168"/>
    </row>
    <row r="36865" spans="2:2" s="221" customFormat="1" ht="12.75" x14ac:dyDescent="0.2">
      <c r="B36865" s="1168"/>
    </row>
    <row r="36866" spans="2:2" s="221" customFormat="1" ht="12.75" x14ac:dyDescent="0.2">
      <c r="B36866" s="1168"/>
    </row>
    <row r="36867" spans="2:2" s="221" customFormat="1" ht="12.75" x14ac:dyDescent="0.2">
      <c r="B36867" s="1168"/>
    </row>
    <row r="36868" spans="2:2" s="221" customFormat="1" ht="12.75" x14ac:dyDescent="0.2">
      <c r="B36868" s="1168"/>
    </row>
    <row r="36869" spans="2:2" s="221" customFormat="1" ht="12.75" x14ac:dyDescent="0.2">
      <c r="B36869" s="1168"/>
    </row>
    <row r="36870" spans="2:2" s="221" customFormat="1" ht="12.75" x14ac:dyDescent="0.2">
      <c r="B36870" s="1168"/>
    </row>
    <row r="36871" spans="2:2" s="221" customFormat="1" ht="12.75" x14ac:dyDescent="0.2">
      <c r="B36871" s="1168"/>
    </row>
    <row r="36872" spans="2:2" s="221" customFormat="1" ht="12.75" x14ac:dyDescent="0.2">
      <c r="B36872" s="1168"/>
    </row>
    <row r="36873" spans="2:2" s="221" customFormat="1" ht="12.75" x14ac:dyDescent="0.2">
      <c r="B36873" s="1168"/>
    </row>
    <row r="36874" spans="2:2" s="221" customFormat="1" ht="12.75" x14ac:dyDescent="0.2">
      <c r="B36874" s="1168"/>
    </row>
    <row r="36875" spans="2:2" s="221" customFormat="1" ht="12.75" x14ac:dyDescent="0.2">
      <c r="B36875" s="1168"/>
    </row>
    <row r="36876" spans="2:2" s="221" customFormat="1" ht="12.75" x14ac:dyDescent="0.2">
      <c r="B36876" s="1168"/>
    </row>
    <row r="36877" spans="2:2" s="221" customFormat="1" ht="12.75" x14ac:dyDescent="0.2">
      <c r="B36877" s="1168"/>
    </row>
    <row r="36878" spans="2:2" s="221" customFormat="1" ht="12.75" x14ac:dyDescent="0.2">
      <c r="B36878" s="1168"/>
    </row>
    <row r="36879" spans="2:2" s="221" customFormat="1" ht="12.75" x14ac:dyDescent="0.2">
      <c r="B36879" s="1168"/>
    </row>
    <row r="36880" spans="2:2" s="221" customFormat="1" ht="12.75" x14ac:dyDescent="0.2">
      <c r="B36880" s="1168"/>
    </row>
    <row r="36881" spans="2:2" s="221" customFormat="1" ht="12.75" x14ac:dyDescent="0.2">
      <c r="B36881" s="1168"/>
    </row>
    <row r="36882" spans="2:2" s="221" customFormat="1" ht="12.75" x14ac:dyDescent="0.2">
      <c r="B36882" s="1168"/>
    </row>
    <row r="36883" spans="2:2" s="221" customFormat="1" ht="12.75" x14ac:dyDescent="0.2">
      <c r="B36883" s="1168"/>
    </row>
    <row r="36884" spans="2:2" s="221" customFormat="1" ht="12.75" x14ac:dyDescent="0.2">
      <c r="B36884" s="1168"/>
    </row>
    <row r="36885" spans="2:2" s="221" customFormat="1" ht="12.75" x14ac:dyDescent="0.2">
      <c r="B36885" s="1168"/>
    </row>
    <row r="36886" spans="2:2" s="221" customFormat="1" ht="12.75" x14ac:dyDescent="0.2">
      <c r="B36886" s="1168"/>
    </row>
    <row r="36887" spans="2:2" s="221" customFormat="1" ht="12.75" x14ac:dyDescent="0.2">
      <c r="B36887" s="1168"/>
    </row>
    <row r="36888" spans="2:2" s="221" customFormat="1" ht="12.75" x14ac:dyDescent="0.2">
      <c r="B36888" s="1168"/>
    </row>
    <row r="36889" spans="2:2" s="221" customFormat="1" ht="12.75" x14ac:dyDescent="0.2">
      <c r="B36889" s="1168"/>
    </row>
    <row r="36890" spans="2:2" s="221" customFormat="1" ht="12.75" x14ac:dyDescent="0.2">
      <c r="B36890" s="1168"/>
    </row>
    <row r="36891" spans="2:2" s="221" customFormat="1" ht="12.75" x14ac:dyDescent="0.2">
      <c r="B36891" s="1168"/>
    </row>
    <row r="36892" spans="2:2" s="221" customFormat="1" ht="12.75" x14ac:dyDescent="0.2">
      <c r="B36892" s="1168"/>
    </row>
    <row r="36893" spans="2:2" s="221" customFormat="1" ht="12.75" x14ac:dyDescent="0.2">
      <c r="B36893" s="1168"/>
    </row>
    <row r="36894" spans="2:2" s="221" customFormat="1" ht="12.75" x14ac:dyDescent="0.2">
      <c r="B36894" s="1168"/>
    </row>
    <row r="36895" spans="2:2" s="221" customFormat="1" ht="12.75" x14ac:dyDescent="0.2">
      <c r="B36895" s="1168"/>
    </row>
    <row r="36896" spans="2:2" s="221" customFormat="1" ht="12.75" x14ac:dyDescent="0.2">
      <c r="B36896" s="1168"/>
    </row>
    <row r="36897" spans="2:2" s="221" customFormat="1" ht="12.75" x14ac:dyDescent="0.2">
      <c r="B36897" s="1168"/>
    </row>
    <row r="36898" spans="2:2" s="221" customFormat="1" ht="12.75" x14ac:dyDescent="0.2">
      <c r="B36898" s="1168"/>
    </row>
    <row r="36899" spans="2:2" s="221" customFormat="1" ht="12.75" x14ac:dyDescent="0.2">
      <c r="B36899" s="1168"/>
    </row>
    <row r="36900" spans="2:2" s="221" customFormat="1" ht="12.75" x14ac:dyDescent="0.2">
      <c r="B36900" s="1168"/>
    </row>
    <row r="36901" spans="2:2" s="221" customFormat="1" ht="12.75" x14ac:dyDescent="0.2">
      <c r="B36901" s="1168"/>
    </row>
    <row r="36902" spans="2:2" s="221" customFormat="1" ht="12.75" x14ac:dyDescent="0.2">
      <c r="B36902" s="1168"/>
    </row>
    <row r="36903" spans="2:2" s="221" customFormat="1" ht="12.75" x14ac:dyDescent="0.2">
      <c r="B36903" s="1168"/>
    </row>
    <row r="36904" spans="2:2" s="221" customFormat="1" ht="12.75" x14ac:dyDescent="0.2">
      <c r="B36904" s="1168"/>
    </row>
    <row r="36905" spans="2:2" s="221" customFormat="1" ht="12.75" x14ac:dyDescent="0.2">
      <c r="B36905" s="1168"/>
    </row>
    <row r="36906" spans="2:2" s="221" customFormat="1" ht="12.75" x14ac:dyDescent="0.2">
      <c r="B36906" s="1168"/>
    </row>
    <row r="36907" spans="2:2" s="221" customFormat="1" ht="12.75" x14ac:dyDescent="0.2">
      <c r="B36907" s="1168"/>
    </row>
    <row r="36908" spans="2:2" s="221" customFormat="1" ht="12.75" x14ac:dyDescent="0.2">
      <c r="B36908" s="1168"/>
    </row>
    <row r="36909" spans="2:2" s="221" customFormat="1" ht="12.75" x14ac:dyDescent="0.2">
      <c r="B36909" s="1168"/>
    </row>
    <row r="36910" spans="2:2" s="221" customFormat="1" ht="12.75" x14ac:dyDescent="0.2">
      <c r="B36910" s="1168"/>
    </row>
    <row r="36911" spans="2:2" s="221" customFormat="1" ht="12.75" x14ac:dyDescent="0.2">
      <c r="B36911" s="1168"/>
    </row>
    <row r="36912" spans="2:2" s="221" customFormat="1" ht="12.75" x14ac:dyDescent="0.2">
      <c r="B36912" s="1168"/>
    </row>
    <row r="36913" spans="2:2" s="221" customFormat="1" ht="12.75" x14ac:dyDescent="0.2">
      <c r="B36913" s="1168"/>
    </row>
    <row r="36914" spans="2:2" s="221" customFormat="1" ht="12.75" x14ac:dyDescent="0.2">
      <c r="B36914" s="1168"/>
    </row>
    <row r="36915" spans="2:2" s="221" customFormat="1" ht="12.75" x14ac:dyDescent="0.2">
      <c r="B36915" s="1168"/>
    </row>
    <row r="36916" spans="2:2" s="221" customFormat="1" ht="12.75" x14ac:dyDescent="0.2">
      <c r="B36916" s="1168"/>
    </row>
    <row r="36917" spans="2:2" s="221" customFormat="1" ht="12.75" x14ac:dyDescent="0.2">
      <c r="B36917" s="1168"/>
    </row>
    <row r="36918" spans="2:2" s="221" customFormat="1" ht="12.75" x14ac:dyDescent="0.2">
      <c r="B36918" s="1168"/>
    </row>
    <row r="36919" spans="2:2" s="221" customFormat="1" ht="12.75" x14ac:dyDescent="0.2">
      <c r="B36919" s="1168"/>
    </row>
    <row r="36920" spans="2:2" s="221" customFormat="1" ht="12.75" x14ac:dyDescent="0.2">
      <c r="B36920" s="1168"/>
    </row>
    <row r="36921" spans="2:2" s="221" customFormat="1" ht="12.75" x14ac:dyDescent="0.2">
      <c r="B36921" s="1168"/>
    </row>
    <row r="36922" spans="2:2" s="221" customFormat="1" ht="12.75" x14ac:dyDescent="0.2">
      <c r="B36922" s="1168"/>
    </row>
    <row r="36923" spans="2:2" s="221" customFormat="1" ht="12.75" x14ac:dyDescent="0.2">
      <c r="B36923" s="1168"/>
    </row>
    <row r="36924" spans="2:2" s="221" customFormat="1" ht="12.75" x14ac:dyDescent="0.2">
      <c r="B36924" s="1168"/>
    </row>
    <row r="36925" spans="2:2" s="221" customFormat="1" ht="12.75" x14ac:dyDescent="0.2">
      <c r="B36925" s="1168"/>
    </row>
    <row r="36926" spans="2:2" s="221" customFormat="1" ht="12.75" x14ac:dyDescent="0.2">
      <c r="B36926" s="1168"/>
    </row>
    <row r="36927" spans="2:2" s="221" customFormat="1" ht="12.75" x14ac:dyDescent="0.2">
      <c r="B36927" s="1168"/>
    </row>
    <row r="36928" spans="2:2" s="221" customFormat="1" ht="12.75" x14ac:dyDescent="0.2">
      <c r="B36928" s="1168"/>
    </row>
    <row r="36929" spans="2:2" s="221" customFormat="1" ht="12.75" x14ac:dyDescent="0.2">
      <c r="B36929" s="1168"/>
    </row>
    <row r="36930" spans="2:2" s="221" customFormat="1" ht="12.75" x14ac:dyDescent="0.2">
      <c r="B36930" s="1168"/>
    </row>
    <row r="36931" spans="2:2" s="221" customFormat="1" ht="12.75" x14ac:dyDescent="0.2">
      <c r="B36931" s="1168"/>
    </row>
    <row r="36932" spans="2:2" s="221" customFormat="1" ht="12.75" x14ac:dyDescent="0.2">
      <c r="B36932" s="1168"/>
    </row>
    <row r="36933" spans="2:2" s="221" customFormat="1" ht="12.75" x14ac:dyDescent="0.2">
      <c r="B36933" s="1168"/>
    </row>
    <row r="36934" spans="2:2" s="221" customFormat="1" ht="12.75" x14ac:dyDescent="0.2">
      <c r="B36934" s="1168"/>
    </row>
    <row r="36935" spans="2:2" s="221" customFormat="1" ht="12.75" x14ac:dyDescent="0.2">
      <c r="B36935" s="1168"/>
    </row>
    <row r="36936" spans="2:2" s="221" customFormat="1" ht="12.75" x14ac:dyDescent="0.2">
      <c r="B36936" s="1168"/>
    </row>
    <row r="36937" spans="2:2" s="221" customFormat="1" ht="12.75" x14ac:dyDescent="0.2">
      <c r="B36937" s="1168"/>
    </row>
    <row r="36938" spans="2:2" s="221" customFormat="1" ht="12.75" x14ac:dyDescent="0.2">
      <c r="B36938" s="1168"/>
    </row>
    <row r="36939" spans="2:2" s="221" customFormat="1" ht="12.75" x14ac:dyDescent="0.2">
      <c r="B36939" s="1168"/>
    </row>
    <row r="36940" spans="2:2" s="221" customFormat="1" ht="12.75" x14ac:dyDescent="0.2">
      <c r="B36940" s="1168"/>
    </row>
    <row r="36941" spans="2:2" s="221" customFormat="1" ht="12.75" x14ac:dyDescent="0.2">
      <c r="B36941" s="1168"/>
    </row>
    <row r="36942" spans="2:2" s="221" customFormat="1" ht="12.75" x14ac:dyDescent="0.2">
      <c r="B36942" s="1168"/>
    </row>
    <row r="36943" spans="2:2" s="221" customFormat="1" ht="12.75" x14ac:dyDescent="0.2">
      <c r="B36943" s="1168"/>
    </row>
    <row r="36944" spans="2:2" s="221" customFormat="1" ht="12.75" x14ac:dyDescent="0.2">
      <c r="B36944" s="1168"/>
    </row>
    <row r="36945" spans="2:2" s="221" customFormat="1" ht="12.75" x14ac:dyDescent="0.2">
      <c r="B36945" s="1168"/>
    </row>
    <row r="36946" spans="2:2" s="221" customFormat="1" ht="12.75" x14ac:dyDescent="0.2">
      <c r="B36946" s="1168"/>
    </row>
    <row r="36947" spans="2:2" s="221" customFormat="1" ht="12.75" x14ac:dyDescent="0.2">
      <c r="B36947" s="1168"/>
    </row>
    <row r="36948" spans="2:2" s="221" customFormat="1" ht="12.75" x14ac:dyDescent="0.2">
      <c r="B36948" s="1168"/>
    </row>
    <row r="36949" spans="2:2" s="221" customFormat="1" ht="12.75" x14ac:dyDescent="0.2">
      <c r="B36949" s="1168"/>
    </row>
    <row r="36950" spans="2:2" s="221" customFormat="1" ht="12.75" x14ac:dyDescent="0.2">
      <c r="B36950" s="1168"/>
    </row>
    <row r="36951" spans="2:2" s="221" customFormat="1" ht="12.75" x14ac:dyDescent="0.2">
      <c r="B36951" s="1168"/>
    </row>
    <row r="36952" spans="2:2" s="221" customFormat="1" ht="12.75" x14ac:dyDescent="0.2">
      <c r="B36952" s="1168"/>
    </row>
    <row r="36953" spans="2:2" s="221" customFormat="1" ht="12.75" x14ac:dyDescent="0.2">
      <c r="B36953" s="1168"/>
    </row>
    <row r="36954" spans="2:2" s="221" customFormat="1" ht="12.75" x14ac:dyDescent="0.2">
      <c r="B36954" s="1168"/>
    </row>
    <row r="36955" spans="2:2" s="221" customFormat="1" ht="12.75" x14ac:dyDescent="0.2">
      <c r="B36955" s="1168"/>
    </row>
    <row r="36956" spans="2:2" s="221" customFormat="1" ht="12.75" x14ac:dyDescent="0.2">
      <c r="B36956" s="1168"/>
    </row>
    <row r="36957" spans="2:2" s="221" customFormat="1" ht="12.75" x14ac:dyDescent="0.2">
      <c r="B36957" s="1168"/>
    </row>
    <row r="36958" spans="2:2" s="221" customFormat="1" ht="12.75" x14ac:dyDescent="0.2">
      <c r="B36958" s="1168"/>
    </row>
    <row r="36959" spans="2:2" s="221" customFormat="1" ht="12.75" x14ac:dyDescent="0.2">
      <c r="B36959" s="1168"/>
    </row>
    <row r="36960" spans="2:2" s="221" customFormat="1" ht="12.75" x14ac:dyDescent="0.2">
      <c r="B36960" s="1168"/>
    </row>
    <row r="36961" spans="2:2" s="221" customFormat="1" ht="12.75" x14ac:dyDescent="0.2">
      <c r="B36961" s="1168"/>
    </row>
    <row r="36962" spans="2:2" s="221" customFormat="1" ht="12.75" x14ac:dyDescent="0.2">
      <c r="B36962" s="1168"/>
    </row>
    <row r="36963" spans="2:2" s="221" customFormat="1" ht="12.75" x14ac:dyDescent="0.2">
      <c r="B36963" s="1168"/>
    </row>
    <row r="36964" spans="2:2" s="221" customFormat="1" ht="12.75" x14ac:dyDescent="0.2">
      <c r="B36964" s="1168"/>
    </row>
    <row r="36965" spans="2:2" s="221" customFormat="1" ht="12.75" x14ac:dyDescent="0.2">
      <c r="B36965" s="1168"/>
    </row>
    <row r="36966" spans="2:2" s="221" customFormat="1" ht="12.75" x14ac:dyDescent="0.2">
      <c r="B36966" s="1168"/>
    </row>
    <row r="36967" spans="2:2" s="221" customFormat="1" ht="12.75" x14ac:dyDescent="0.2">
      <c r="B36967" s="1168"/>
    </row>
    <row r="36968" spans="2:2" s="221" customFormat="1" ht="12.75" x14ac:dyDescent="0.2">
      <c r="B36968" s="1168"/>
    </row>
    <row r="36969" spans="2:2" s="221" customFormat="1" ht="12.75" x14ac:dyDescent="0.2">
      <c r="B36969" s="1168"/>
    </row>
    <row r="36970" spans="2:2" s="221" customFormat="1" ht="12.75" x14ac:dyDescent="0.2">
      <c r="B36970" s="1168"/>
    </row>
    <row r="36971" spans="2:2" s="221" customFormat="1" ht="12.75" x14ac:dyDescent="0.2">
      <c r="B36971" s="1168"/>
    </row>
    <row r="36972" spans="2:2" s="221" customFormat="1" ht="12.75" x14ac:dyDescent="0.2">
      <c r="B36972" s="1168"/>
    </row>
    <row r="36973" spans="2:2" s="221" customFormat="1" ht="12.75" x14ac:dyDescent="0.2">
      <c r="B36973" s="1168"/>
    </row>
    <row r="36974" spans="2:2" s="221" customFormat="1" ht="12.75" x14ac:dyDescent="0.2">
      <c r="B36974" s="1168"/>
    </row>
    <row r="36975" spans="2:2" s="221" customFormat="1" ht="12.75" x14ac:dyDescent="0.2">
      <c r="B36975" s="1168"/>
    </row>
    <row r="36976" spans="2:2" s="221" customFormat="1" ht="12.75" x14ac:dyDescent="0.2">
      <c r="B36976" s="1168"/>
    </row>
    <row r="36977" spans="2:2" s="221" customFormat="1" ht="12.75" x14ac:dyDescent="0.2">
      <c r="B36977" s="1168"/>
    </row>
    <row r="36978" spans="2:2" s="221" customFormat="1" ht="12.75" x14ac:dyDescent="0.2">
      <c r="B36978" s="1168"/>
    </row>
    <row r="36979" spans="2:2" s="221" customFormat="1" ht="12.75" x14ac:dyDescent="0.2">
      <c r="B36979" s="1168"/>
    </row>
    <row r="36980" spans="2:2" s="221" customFormat="1" ht="12.75" x14ac:dyDescent="0.2">
      <c r="B36980" s="1168"/>
    </row>
    <row r="36981" spans="2:2" s="221" customFormat="1" ht="12.75" x14ac:dyDescent="0.2">
      <c r="B36981" s="1168"/>
    </row>
    <row r="36982" spans="2:2" s="221" customFormat="1" ht="12.75" x14ac:dyDescent="0.2">
      <c r="B36982" s="1168"/>
    </row>
    <row r="36983" spans="2:2" s="221" customFormat="1" ht="12.75" x14ac:dyDescent="0.2">
      <c r="B36983" s="1168"/>
    </row>
    <row r="36984" spans="2:2" s="221" customFormat="1" ht="12.75" x14ac:dyDescent="0.2">
      <c r="B36984" s="1168"/>
    </row>
    <row r="36985" spans="2:2" s="221" customFormat="1" ht="12.75" x14ac:dyDescent="0.2">
      <c r="B36985" s="1168"/>
    </row>
    <row r="36986" spans="2:2" s="221" customFormat="1" ht="12.75" x14ac:dyDescent="0.2">
      <c r="B36986" s="1168"/>
    </row>
    <row r="36987" spans="2:2" s="221" customFormat="1" ht="12.75" x14ac:dyDescent="0.2">
      <c r="B36987" s="1168"/>
    </row>
    <row r="36988" spans="2:2" s="221" customFormat="1" ht="12.75" x14ac:dyDescent="0.2">
      <c r="B36988" s="1168"/>
    </row>
    <row r="36989" spans="2:2" s="221" customFormat="1" ht="12.75" x14ac:dyDescent="0.2">
      <c r="B36989" s="1168"/>
    </row>
    <row r="36990" spans="2:2" s="221" customFormat="1" ht="12.75" x14ac:dyDescent="0.2">
      <c r="B36990" s="1168"/>
    </row>
    <row r="36991" spans="2:2" s="221" customFormat="1" ht="12.75" x14ac:dyDescent="0.2">
      <c r="B36991" s="1168"/>
    </row>
    <row r="36992" spans="2:2" s="221" customFormat="1" ht="12.75" x14ac:dyDescent="0.2">
      <c r="B36992" s="1168"/>
    </row>
    <row r="36993" spans="2:2" s="221" customFormat="1" ht="12.75" x14ac:dyDescent="0.2">
      <c r="B36993" s="1168"/>
    </row>
    <row r="36994" spans="2:2" s="221" customFormat="1" ht="12.75" x14ac:dyDescent="0.2">
      <c r="B36994" s="1168"/>
    </row>
    <row r="36995" spans="2:2" s="221" customFormat="1" ht="12.75" x14ac:dyDescent="0.2">
      <c r="B36995" s="1168"/>
    </row>
    <row r="36996" spans="2:2" s="221" customFormat="1" ht="12.75" x14ac:dyDescent="0.2">
      <c r="B36996" s="1168"/>
    </row>
    <row r="36997" spans="2:2" s="221" customFormat="1" ht="12.75" x14ac:dyDescent="0.2">
      <c r="B36997" s="1168"/>
    </row>
    <row r="36998" spans="2:2" s="221" customFormat="1" ht="12.75" x14ac:dyDescent="0.2">
      <c r="B36998" s="1168"/>
    </row>
    <row r="36999" spans="2:2" s="221" customFormat="1" ht="12.75" x14ac:dyDescent="0.2">
      <c r="B36999" s="1168"/>
    </row>
    <row r="37000" spans="2:2" s="221" customFormat="1" ht="12.75" x14ac:dyDescent="0.2">
      <c r="B37000" s="1168"/>
    </row>
    <row r="37001" spans="2:2" s="221" customFormat="1" ht="12.75" x14ac:dyDescent="0.2">
      <c r="B37001" s="1168"/>
    </row>
    <row r="37002" spans="2:2" s="221" customFormat="1" ht="12.75" x14ac:dyDescent="0.2">
      <c r="B37002" s="1168"/>
    </row>
    <row r="37003" spans="2:2" s="221" customFormat="1" ht="12.75" x14ac:dyDescent="0.2">
      <c r="B37003" s="1168"/>
    </row>
    <row r="37004" spans="2:2" s="221" customFormat="1" ht="12.75" x14ac:dyDescent="0.2">
      <c r="B37004" s="1168"/>
    </row>
    <row r="37005" spans="2:2" s="221" customFormat="1" ht="12.75" x14ac:dyDescent="0.2">
      <c r="B37005" s="1168"/>
    </row>
    <row r="37006" spans="2:2" s="221" customFormat="1" ht="12.75" x14ac:dyDescent="0.2">
      <c r="B37006" s="1168"/>
    </row>
    <row r="37007" spans="2:2" s="221" customFormat="1" ht="12.75" x14ac:dyDescent="0.2">
      <c r="B37007" s="1168"/>
    </row>
    <row r="37008" spans="2:2" s="221" customFormat="1" ht="12.75" x14ac:dyDescent="0.2">
      <c r="B37008" s="1168"/>
    </row>
    <row r="37009" spans="2:2" s="221" customFormat="1" ht="12.75" x14ac:dyDescent="0.2">
      <c r="B37009" s="1168"/>
    </row>
    <row r="37010" spans="2:2" s="221" customFormat="1" ht="12.75" x14ac:dyDescent="0.2">
      <c r="B37010" s="1168"/>
    </row>
    <row r="37011" spans="2:2" s="221" customFormat="1" ht="12.75" x14ac:dyDescent="0.2">
      <c r="B37011" s="1168"/>
    </row>
    <row r="37012" spans="2:2" s="221" customFormat="1" ht="12.75" x14ac:dyDescent="0.2">
      <c r="B37012" s="1168"/>
    </row>
    <row r="37013" spans="2:2" s="221" customFormat="1" ht="12.75" x14ac:dyDescent="0.2">
      <c r="B37013" s="1168"/>
    </row>
    <row r="37014" spans="2:2" s="221" customFormat="1" ht="12.75" x14ac:dyDescent="0.2">
      <c r="B37014" s="1168"/>
    </row>
    <row r="37015" spans="2:2" s="221" customFormat="1" ht="12.75" x14ac:dyDescent="0.2">
      <c r="B37015" s="1168"/>
    </row>
    <row r="37016" spans="2:2" s="221" customFormat="1" ht="12.75" x14ac:dyDescent="0.2">
      <c r="B37016" s="1168"/>
    </row>
    <row r="37017" spans="2:2" s="221" customFormat="1" ht="12.75" x14ac:dyDescent="0.2">
      <c r="B37017" s="1168"/>
    </row>
    <row r="37018" spans="2:2" s="221" customFormat="1" ht="12.75" x14ac:dyDescent="0.2">
      <c r="B37018" s="1168"/>
    </row>
    <row r="37019" spans="2:2" s="221" customFormat="1" ht="12.75" x14ac:dyDescent="0.2">
      <c r="B37019" s="1168"/>
    </row>
    <row r="37020" spans="2:2" s="221" customFormat="1" ht="12.75" x14ac:dyDescent="0.2">
      <c r="B37020" s="1168"/>
    </row>
    <row r="37021" spans="2:2" s="221" customFormat="1" ht="12.75" x14ac:dyDescent="0.2">
      <c r="B37021" s="1168"/>
    </row>
    <row r="37022" spans="2:2" s="221" customFormat="1" ht="12.75" x14ac:dyDescent="0.2">
      <c r="B37022" s="1168"/>
    </row>
    <row r="37023" spans="2:2" s="221" customFormat="1" ht="12.75" x14ac:dyDescent="0.2">
      <c r="B37023" s="1168"/>
    </row>
    <row r="37024" spans="2:2" s="221" customFormat="1" ht="12.75" x14ac:dyDescent="0.2">
      <c r="B37024" s="1168"/>
    </row>
    <row r="37025" spans="2:2" s="221" customFormat="1" ht="12.75" x14ac:dyDescent="0.2">
      <c r="B37025" s="1168"/>
    </row>
    <row r="37026" spans="2:2" s="221" customFormat="1" ht="12.75" x14ac:dyDescent="0.2">
      <c r="B37026" s="1168"/>
    </row>
    <row r="37027" spans="2:2" s="221" customFormat="1" ht="12.75" x14ac:dyDescent="0.2">
      <c r="B37027" s="1168"/>
    </row>
    <row r="37028" spans="2:2" s="221" customFormat="1" ht="12.75" x14ac:dyDescent="0.2">
      <c r="B37028" s="1168"/>
    </row>
    <row r="37029" spans="2:2" s="221" customFormat="1" ht="12.75" x14ac:dyDescent="0.2">
      <c r="B37029" s="1168"/>
    </row>
    <row r="37030" spans="2:2" s="221" customFormat="1" ht="12.75" x14ac:dyDescent="0.2">
      <c r="B37030" s="1168"/>
    </row>
    <row r="37031" spans="2:2" s="221" customFormat="1" ht="12.75" x14ac:dyDescent="0.2">
      <c r="B37031" s="1168"/>
    </row>
    <row r="37032" spans="2:2" s="221" customFormat="1" ht="12.75" x14ac:dyDescent="0.2">
      <c r="B37032" s="1168"/>
    </row>
    <row r="37033" spans="2:2" s="221" customFormat="1" ht="12.75" x14ac:dyDescent="0.2">
      <c r="B37033" s="1168"/>
    </row>
    <row r="37034" spans="2:2" s="221" customFormat="1" ht="12.75" x14ac:dyDescent="0.2">
      <c r="B37034" s="1168"/>
    </row>
    <row r="37035" spans="2:2" s="221" customFormat="1" ht="12.75" x14ac:dyDescent="0.2">
      <c r="B37035" s="1168"/>
    </row>
    <row r="37036" spans="2:2" s="221" customFormat="1" ht="12.75" x14ac:dyDescent="0.2">
      <c r="B37036" s="1168"/>
    </row>
    <row r="37037" spans="2:2" s="221" customFormat="1" ht="12.75" x14ac:dyDescent="0.2">
      <c r="B37037" s="1168"/>
    </row>
    <row r="37038" spans="2:2" s="221" customFormat="1" ht="12.75" x14ac:dyDescent="0.2">
      <c r="B37038" s="1168"/>
    </row>
    <row r="37039" spans="2:2" s="221" customFormat="1" ht="12.75" x14ac:dyDescent="0.2">
      <c r="B37039" s="1168"/>
    </row>
    <row r="37040" spans="2:2" s="221" customFormat="1" ht="12.75" x14ac:dyDescent="0.2">
      <c r="B37040" s="1168"/>
    </row>
    <row r="37041" spans="2:2" s="221" customFormat="1" ht="12.75" x14ac:dyDescent="0.2">
      <c r="B37041" s="1168"/>
    </row>
    <row r="37042" spans="2:2" s="221" customFormat="1" ht="12.75" x14ac:dyDescent="0.2">
      <c r="B37042" s="1168"/>
    </row>
    <row r="37043" spans="2:2" s="221" customFormat="1" ht="12.75" x14ac:dyDescent="0.2">
      <c r="B37043" s="1168"/>
    </row>
    <row r="37044" spans="2:2" s="221" customFormat="1" ht="12.75" x14ac:dyDescent="0.2">
      <c r="B37044" s="1168"/>
    </row>
    <row r="37045" spans="2:2" s="221" customFormat="1" ht="12.75" x14ac:dyDescent="0.2">
      <c r="B37045" s="1168"/>
    </row>
    <row r="37046" spans="2:2" s="221" customFormat="1" ht="12.75" x14ac:dyDescent="0.2">
      <c r="B37046" s="1168"/>
    </row>
    <row r="37047" spans="2:2" s="221" customFormat="1" ht="12.75" x14ac:dyDescent="0.2">
      <c r="B37047" s="1168"/>
    </row>
    <row r="37048" spans="2:2" s="221" customFormat="1" ht="12.75" x14ac:dyDescent="0.2">
      <c r="B37048" s="1168"/>
    </row>
    <row r="37049" spans="2:2" s="221" customFormat="1" ht="12.75" x14ac:dyDescent="0.2">
      <c r="B37049" s="1168"/>
    </row>
    <row r="37050" spans="2:2" s="221" customFormat="1" ht="12.75" x14ac:dyDescent="0.2">
      <c r="B37050" s="1168"/>
    </row>
    <row r="37051" spans="2:2" s="221" customFormat="1" ht="12.75" x14ac:dyDescent="0.2">
      <c r="B37051" s="1168"/>
    </row>
    <row r="37052" spans="2:2" s="221" customFormat="1" ht="12.75" x14ac:dyDescent="0.2">
      <c r="B37052" s="1168"/>
    </row>
    <row r="37053" spans="2:2" s="221" customFormat="1" ht="12.75" x14ac:dyDescent="0.2">
      <c r="B37053" s="1168"/>
    </row>
    <row r="37054" spans="2:2" s="221" customFormat="1" ht="12.75" x14ac:dyDescent="0.2">
      <c r="B37054" s="1168"/>
    </row>
    <row r="37055" spans="2:2" s="221" customFormat="1" ht="12.75" x14ac:dyDescent="0.2">
      <c r="B37055" s="1168"/>
    </row>
    <row r="37056" spans="2:2" s="221" customFormat="1" ht="12.75" x14ac:dyDescent="0.2">
      <c r="B37056" s="1168"/>
    </row>
    <row r="37057" spans="2:2" s="221" customFormat="1" ht="12.75" x14ac:dyDescent="0.2">
      <c r="B37057" s="1168"/>
    </row>
    <row r="37058" spans="2:2" s="221" customFormat="1" ht="12.75" x14ac:dyDescent="0.2">
      <c r="B37058" s="1168"/>
    </row>
    <row r="37059" spans="2:2" s="221" customFormat="1" ht="12.75" x14ac:dyDescent="0.2">
      <c r="B37059" s="1168"/>
    </row>
    <row r="37060" spans="2:2" s="221" customFormat="1" ht="12.75" x14ac:dyDescent="0.2">
      <c r="B37060" s="1168"/>
    </row>
    <row r="37061" spans="2:2" s="221" customFormat="1" ht="12.75" x14ac:dyDescent="0.2">
      <c r="B37061" s="1168"/>
    </row>
    <row r="37062" spans="2:2" s="221" customFormat="1" ht="12.75" x14ac:dyDescent="0.2">
      <c r="B37062" s="1168"/>
    </row>
    <row r="37063" spans="2:2" s="221" customFormat="1" ht="12.75" x14ac:dyDescent="0.2">
      <c r="B37063" s="1168"/>
    </row>
    <row r="37064" spans="2:2" s="221" customFormat="1" ht="12.75" x14ac:dyDescent="0.2">
      <c r="B37064" s="1168"/>
    </row>
    <row r="37065" spans="2:2" s="221" customFormat="1" ht="12.75" x14ac:dyDescent="0.2">
      <c r="B37065" s="1168"/>
    </row>
    <row r="37066" spans="2:2" s="221" customFormat="1" ht="12.75" x14ac:dyDescent="0.2">
      <c r="B37066" s="1168"/>
    </row>
    <row r="37067" spans="2:2" s="221" customFormat="1" ht="12.75" x14ac:dyDescent="0.2">
      <c r="B37067" s="1168"/>
    </row>
    <row r="37068" spans="2:2" s="221" customFormat="1" ht="12.75" x14ac:dyDescent="0.2">
      <c r="B37068" s="1168"/>
    </row>
    <row r="37069" spans="2:2" s="221" customFormat="1" ht="12.75" x14ac:dyDescent="0.2">
      <c r="B37069" s="1168"/>
    </row>
    <row r="37070" spans="2:2" s="221" customFormat="1" ht="12.75" x14ac:dyDescent="0.2">
      <c r="B37070" s="1168"/>
    </row>
    <row r="37071" spans="2:2" s="221" customFormat="1" ht="12.75" x14ac:dyDescent="0.2">
      <c r="B37071" s="1168"/>
    </row>
    <row r="37072" spans="2:2" s="221" customFormat="1" ht="12.75" x14ac:dyDescent="0.2">
      <c r="B37072" s="1168"/>
    </row>
    <row r="37073" spans="2:2" s="221" customFormat="1" ht="12.75" x14ac:dyDescent="0.2">
      <c r="B37073" s="1168"/>
    </row>
    <row r="37074" spans="2:2" s="221" customFormat="1" ht="12.75" x14ac:dyDescent="0.2">
      <c r="B37074" s="1168"/>
    </row>
    <row r="37075" spans="2:2" s="221" customFormat="1" ht="12.75" x14ac:dyDescent="0.2">
      <c r="B37075" s="1168"/>
    </row>
    <row r="37076" spans="2:2" s="221" customFormat="1" ht="12.75" x14ac:dyDescent="0.2">
      <c r="B37076" s="1168"/>
    </row>
    <row r="37077" spans="2:2" s="221" customFormat="1" ht="12.75" x14ac:dyDescent="0.2">
      <c r="B37077" s="1168"/>
    </row>
    <row r="37078" spans="2:2" s="221" customFormat="1" ht="12.75" x14ac:dyDescent="0.2">
      <c r="B37078" s="1168"/>
    </row>
    <row r="37079" spans="2:2" s="221" customFormat="1" ht="12.75" x14ac:dyDescent="0.2">
      <c r="B37079" s="1168"/>
    </row>
    <row r="37080" spans="2:2" s="221" customFormat="1" ht="12.75" x14ac:dyDescent="0.2">
      <c r="B37080" s="1168"/>
    </row>
    <row r="37081" spans="2:2" s="221" customFormat="1" ht="12.75" x14ac:dyDescent="0.2">
      <c r="B37081" s="1168"/>
    </row>
    <row r="37082" spans="2:2" s="221" customFormat="1" ht="12.75" x14ac:dyDescent="0.2">
      <c r="B37082" s="1168"/>
    </row>
    <row r="37083" spans="2:2" s="221" customFormat="1" ht="12.75" x14ac:dyDescent="0.2">
      <c r="B37083" s="1168"/>
    </row>
    <row r="37084" spans="2:2" s="221" customFormat="1" ht="12.75" x14ac:dyDescent="0.2">
      <c r="B37084" s="1168"/>
    </row>
    <row r="37085" spans="2:2" s="221" customFormat="1" ht="12.75" x14ac:dyDescent="0.2">
      <c r="B37085" s="1168"/>
    </row>
    <row r="37086" spans="2:2" s="221" customFormat="1" ht="12.75" x14ac:dyDescent="0.2">
      <c r="B37086" s="1168"/>
    </row>
    <row r="37087" spans="2:2" s="221" customFormat="1" ht="12.75" x14ac:dyDescent="0.2">
      <c r="B37087" s="1168"/>
    </row>
    <row r="37088" spans="2:2" s="221" customFormat="1" ht="12.75" x14ac:dyDescent="0.2">
      <c r="B37088" s="1168"/>
    </row>
    <row r="37089" spans="2:2" s="221" customFormat="1" ht="12.75" x14ac:dyDescent="0.2">
      <c r="B37089" s="1168"/>
    </row>
    <row r="37090" spans="2:2" s="221" customFormat="1" ht="12.75" x14ac:dyDescent="0.2">
      <c r="B37090" s="1168"/>
    </row>
    <row r="37091" spans="2:2" s="221" customFormat="1" ht="12.75" x14ac:dyDescent="0.2">
      <c r="B37091" s="1168"/>
    </row>
    <row r="37092" spans="2:2" s="221" customFormat="1" ht="12.75" x14ac:dyDescent="0.2">
      <c r="B37092" s="1168"/>
    </row>
    <row r="37093" spans="2:2" s="221" customFormat="1" ht="12.75" x14ac:dyDescent="0.2">
      <c r="B37093" s="1168"/>
    </row>
    <row r="37094" spans="2:2" s="221" customFormat="1" ht="12.75" x14ac:dyDescent="0.2">
      <c r="B37094" s="1168"/>
    </row>
    <row r="37095" spans="2:2" s="221" customFormat="1" ht="12.75" x14ac:dyDescent="0.2">
      <c r="B37095" s="1168"/>
    </row>
    <row r="37096" spans="2:2" s="221" customFormat="1" ht="12.75" x14ac:dyDescent="0.2">
      <c r="B37096" s="1168"/>
    </row>
    <row r="37097" spans="2:2" s="221" customFormat="1" ht="12.75" x14ac:dyDescent="0.2">
      <c r="B37097" s="1168"/>
    </row>
    <row r="37098" spans="2:2" s="221" customFormat="1" ht="12.75" x14ac:dyDescent="0.2">
      <c r="B37098" s="1168"/>
    </row>
    <row r="37099" spans="2:2" s="221" customFormat="1" ht="12.75" x14ac:dyDescent="0.2">
      <c r="B37099" s="1168"/>
    </row>
    <row r="37100" spans="2:2" s="221" customFormat="1" ht="12.75" x14ac:dyDescent="0.2">
      <c r="B37100" s="1168"/>
    </row>
    <row r="37101" spans="2:2" s="221" customFormat="1" ht="12.75" x14ac:dyDescent="0.2">
      <c r="B37101" s="1168"/>
    </row>
    <row r="37102" spans="2:2" s="221" customFormat="1" ht="12.75" x14ac:dyDescent="0.2">
      <c r="B37102" s="1168"/>
    </row>
    <row r="37103" spans="2:2" s="221" customFormat="1" ht="12.75" x14ac:dyDescent="0.2">
      <c r="B37103" s="1168"/>
    </row>
    <row r="37104" spans="2:2" s="221" customFormat="1" ht="12.75" x14ac:dyDescent="0.2">
      <c r="B37104" s="1168"/>
    </row>
    <row r="37105" spans="2:2" s="221" customFormat="1" ht="12.75" x14ac:dyDescent="0.2">
      <c r="B37105" s="1168"/>
    </row>
    <row r="37106" spans="2:2" s="221" customFormat="1" ht="12.75" x14ac:dyDescent="0.2">
      <c r="B37106" s="1168"/>
    </row>
    <row r="37107" spans="2:2" s="221" customFormat="1" ht="12.75" x14ac:dyDescent="0.2">
      <c r="B37107" s="1168"/>
    </row>
    <row r="37108" spans="2:2" s="221" customFormat="1" ht="12.75" x14ac:dyDescent="0.2">
      <c r="B37108" s="1168"/>
    </row>
    <row r="37109" spans="2:2" s="221" customFormat="1" ht="12.75" x14ac:dyDescent="0.2">
      <c r="B37109" s="1168"/>
    </row>
    <row r="37110" spans="2:2" s="221" customFormat="1" ht="12.75" x14ac:dyDescent="0.2">
      <c r="B37110" s="1168"/>
    </row>
    <row r="37111" spans="2:2" s="221" customFormat="1" ht="12.75" x14ac:dyDescent="0.2">
      <c r="B37111" s="1168"/>
    </row>
    <row r="37112" spans="2:2" s="221" customFormat="1" ht="12.75" x14ac:dyDescent="0.2">
      <c r="B37112" s="1168"/>
    </row>
    <row r="37113" spans="2:2" s="221" customFormat="1" ht="12.75" x14ac:dyDescent="0.2">
      <c r="B37113" s="1168"/>
    </row>
    <row r="37114" spans="2:2" s="221" customFormat="1" ht="12.75" x14ac:dyDescent="0.2">
      <c r="B37114" s="1168"/>
    </row>
    <row r="37115" spans="2:2" s="221" customFormat="1" ht="12.75" x14ac:dyDescent="0.2">
      <c r="B37115" s="1168"/>
    </row>
    <row r="37116" spans="2:2" s="221" customFormat="1" ht="12.75" x14ac:dyDescent="0.2">
      <c r="B37116" s="1168"/>
    </row>
    <row r="37117" spans="2:2" s="221" customFormat="1" ht="12.75" x14ac:dyDescent="0.2">
      <c r="B37117" s="1168"/>
    </row>
    <row r="37118" spans="2:2" s="221" customFormat="1" ht="12.75" x14ac:dyDescent="0.2">
      <c r="B37118" s="1168"/>
    </row>
    <row r="37119" spans="2:2" s="221" customFormat="1" ht="12.75" x14ac:dyDescent="0.2">
      <c r="B37119" s="1168"/>
    </row>
    <row r="37120" spans="2:2" s="221" customFormat="1" ht="12.75" x14ac:dyDescent="0.2">
      <c r="B37120" s="1168"/>
    </row>
    <row r="37121" spans="2:2" s="221" customFormat="1" ht="12.75" x14ac:dyDescent="0.2">
      <c r="B37121" s="1168"/>
    </row>
    <row r="37122" spans="2:2" s="221" customFormat="1" ht="12.75" x14ac:dyDescent="0.2">
      <c r="B37122" s="1168"/>
    </row>
    <row r="37123" spans="2:2" s="221" customFormat="1" ht="12.75" x14ac:dyDescent="0.2">
      <c r="B37123" s="1168"/>
    </row>
    <row r="37124" spans="2:2" s="221" customFormat="1" ht="12.75" x14ac:dyDescent="0.2">
      <c r="B37124" s="1168"/>
    </row>
    <row r="37125" spans="2:2" s="221" customFormat="1" ht="12.75" x14ac:dyDescent="0.2">
      <c r="B37125" s="1168"/>
    </row>
    <row r="37126" spans="2:2" s="221" customFormat="1" ht="12.75" x14ac:dyDescent="0.2">
      <c r="B37126" s="1168"/>
    </row>
    <row r="37127" spans="2:2" s="221" customFormat="1" ht="12.75" x14ac:dyDescent="0.2">
      <c r="B37127" s="1168"/>
    </row>
    <row r="37128" spans="2:2" s="221" customFormat="1" ht="12.75" x14ac:dyDescent="0.2">
      <c r="B37128" s="1168"/>
    </row>
    <row r="37129" spans="2:2" s="221" customFormat="1" ht="12.75" x14ac:dyDescent="0.2">
      <c r="B37129" s="1168"/>
    </row>
    <row r="37130" spans="2:2" s="221" customFormat="1" ht="12.75" x14ac:dyDescent="0.2">
      <c r="B37130" s="1168"/>
    </row>
    <row r="37131" spans="2:2" s="221" customFormat="1" ht="12.75" x14ac:dyDescent="0.2">
      <c r="B37131" s="1168"/>
    </row>
    <row r="37132" spans="2:2" s="221" customFormat="1" ht="12.75" x14ac:dyDescent="0.2">
      <c r="B37132" s="1168"/>
    </row>
    <row r="37133" spans="2:2" s="221" customFormat="1" ht="12.75" x14ac:dyDescent="0.2">
      <c r="B37133" s="1168"/>
    </row>
    <row r="37134" spans="2:2" s="221" customFormat="1" ht="12.75" x14ac:dyDescent="0.2">
      <c r="B37134" s="1168"/>
    </row>
    <row r="37135" spans="2:2" s="221" customFormat="1" ht="12.75" x14ac:dyDescent="0.2">
      <c r="B37135" s="1168"/>
    </row>
    <row r="37136" spans="2:2" s="221" customFormat="1" ht="12.75" x14ac:dyDescent="0.2">
      <c r="B37136" s="1168"/>
    </row>
    <row r="37137" spans="2:2" s="221" customFormat="1" ht="12.75" x14ac:dyDescent="0.2">
      <c r="B37137" s="1168"/>
    </row>
    <row r="37138" spans="2:2" s="221" customFormat="1" ht="12.75" x14ac:dyDescent="0.2">
      <c r="B37138" s="1168"/>
    </row>
    <row r="37139" spans="2:2" s="221" customFormat="1" ht="12.75" x14ac:dyDescent="0.2">
      <c r="B37139" s="1168"/>
    </row>
    <row r="37140" spans="2:2" s="221" customFormat="1" ht="12.75" x14ac:dyDescent="0.2">
      <c r="B37140" s="1168"/>
    </row>
    <row r="37141" spans="2:2" s="221" customFormat="1" ht="12.75" x14ac:dyDescent="0.2">
      <c r="B37141" s="1168"/>
    </row>
    <row r="37142" spans="2:2" s="221" customFormat="1" ht="12.75" x14ac:dyDescent="0.2">
      <c r="B37142" s="1168"/>
    </row>
    <row r="37143" spans="2:2" s="221" customFormat="1" ht="12.75" x14ac:dyDescent="0.2">
      <c r="B37143" s="1168"/>
    </row>
    <row r="37144" spans="2:2" s="221" customFormat="1" ht="12.75" x14ac:dyDescent="0.2">
      <c r="B37144" s="1168"/>
    </row>
    <row r="37145" spans="2:2" s="221" customFormat="1" ht="12.75" x14ac:dyDescent="0.2">
      <c r="B37145" s="1168"/>
    </row>
    <row r="37146" spans="2:2" s="221" customFormat="1" ht="12.75" x14ac:dyDescent="0.2">
      <c r="B37146" s="1168"/>
    </row>
    <row r="37147" spans="2:2" s="221" customFormat="1" ht="12.75" x14ac:dyDescent="0.2">
      <c r="B37147" s="1168"/>
    </row>
    <row r="37148" spans="2:2" s="221" customFormat="1" ht="12.75" x14ac:dyDescent="0.2">
      <c r="B37148" s="1168"/>
    </row>
    <row r="37149" spans="2:2" s="221" customFormat="1" ht="12.75" x14ac:dyDescent="0.2">
      <c r="B37149" s="1168"/>
    </row>
    <row r="37150" spans="2:2" s="221" customFormat="1" ht="12.75" x14ac:dyDescent="0.2">
      <c r="B37150" s="1168"/>
    </row>
    <row r="37151" spans="2:2" s="221" customFormat="1" ht="12.75" x14ac:dyDescent="0.2">
      <c r="B37151" s="1168"/>
    </row>
    <row r="37152" spans="2:2" s="221" customFormat="1" ht="12.75" x14ac:dyDescent="0.2">
      <c r="B37152" s="1168"/>
    </row>
    <row r="37153" spans="2:2" s="221" customFormat="1" ht="12.75" x14ac:dyDescent="0.2">
      <c r="B37153" s="1168"/>
    </row>
    <row r="37154" spans="2:2" s="221" customFormat="1" ht="12.75" x14ac:dyDescent="0.2">
      <c r="B37154" s="1168"/>
    </row>
    <row r="37155" spans="2:2" s="221" customFormat="1" ht="12.75" x14ac:dyDescent="0.2">
      <c r="B37155" s="1168"/>
    </row>
    <row r="37156" spans="2:2" s="221" customFormat="1" ht="12.75" x14ac:dyDescent="0.2">
      <c r="B37156" s="1168"/>
    </row>
    <row r="37157" spans="2:2" s="221" customFormat="1" ht="12.75" x14ac:dyDescent="0.2">
      <c r="B37157" s="1168"/>
    </row>
    <row r="37158" spans="2:2" s="221" customFormat="1" ht="12.75" x14ac:dyDescent="0.2">
      <c r="B37158" s="1168"/>
    </row>
    <row r="37159" spans="2:2" s="221" customFormat="1" ht="12.75" x14ac:dyDescent="0.2">
      <c r="B37159" s="1168"/>
    </row>
    <row r="37160" spans="2:2" s="221" customFormat="1" ht="12.75" x14ac:dyDescent="0.2">
      <c r="B37160" s="1168"/>
    </row>
    <row r="37161" spans="2:2" s="221" customFormat="1" ht="12.75" x14ac:dyDescent="0.2">
      <c r="B37161" s="1168"/>
    </row>
    <row r="37162" spans="2:2" s="221" customFormat="1" ht="12.75" x14ac:dyDescent="0.2">
      <c r="B37162" s="1168"/>
    </row>
    <row r="37163" spans="2:2" s="221" customFormat="1" ht="12.75" x14ac:dyDescent="0.2">
      <c r="B37163" s="1168"/>
    </row>
    <row r="37164" spans="2:2" s="221" customFormat="1" ht="12.75" x14ac:dyDescent="0.2">
      <c r="B37164" s="1168"/>
    </row>
    <row r="37165" spans="2:2" s="221" customFormat="1" ht="12.75" x14ac:dyDescent="0.2">
      <c r="B37165" s="1168"/>
    </row>
    <row r="37166" spans="2:2" s="221" customFormat="1" ht="12.75" x14ac:dyDescent="0.2">
      <c r="B37166" s="1168"/>
    </row>
    <row r="37167" spans="2:2" s="221" customFormat="1" ht="12.75" x14ac:dyDescent="0.2">
      <c r="B37167" s="1168"/>
    </row>
    <row r="37168" spans="2:2" s="221" customFormat="1" ht="12.75" x14ac:dyDescent="0.2">
      <c r="B37168" s="1168"/>
    </row>
    <row r="37169" spans="2:2" s="221" customFormat="1" ht="12.75" x14ac:dyDescent="0.2">
      <c r="B37169" s="1168"/>
    </row>
    <row r="37170" spans="2:2" s="221" customFormat="1" ht="12.75" x14ac:dyDescent="0.2">
      <c r="B37170" s="1168"/>
    </row>
    <row r="37171" spans="2:2" s="221" customFormat="1" ht="12.75" x14ac:dyDescent="0.2">
      <c r="B37171" s="1168"/>
    </row>
    <row r="37172" spans="2:2" s="221" customFormat="1" ht="12.75" x14ac:dyDescent="0.2">
      <c r="B37172" s="1168"/>
    </row>
    <row r="37173" spans="2:2" s="221" customFormat="1" ht="12.75" x14ac:dyDescent="0.2">
      <c r="B37173" s="1168"/>
    </row>
    <row r="37174" spans="2:2" s="221" customFormat="1" ht="12.75" x14ac:dyDescent="0.2">
      <c r="B37174" s="1168"/>
    </row>
    <row r="37175" spans="2:2" s="221" customFormat="1" ht="12.75" x14ac:dyDescent="0.2">
      <c r="B37175" s="1168"/>
    </row>
    <row r="37176" spans="2:2" s="221" customFormat="1" ht="12.75" x14ac:dyDescent="0.2">
      <c r="B37176" s="1168"/>
    </row>
    <row r="37177" spans="2:2" s="221" customFormat="1" ht="12.75" x14ac:dyDescent="0.2">
      <c r="B37177" s="1168"/>
    </row>
    <row r="37178" spans="2:2" s="221" customFormat="1" ht="12.75" x14ac:dyDescent="0.2">
      <c r="B37178" s="1168"/>
    </row>
    <row r="37179" spans="2:2" s="221" customFormat="1" ht="12.75" x14ac:dyDescent="0.2">
      <c r="B37179" s="1168"/>
    </row>
    <row r="37180" spans="2:2" s="221" customFormat="1" ht="12.75" x14ac:dyDescent="0.2">
      <c r="B37180" s="1168"/>
    </row>
    <row r="37181" spans="2:2" s="221" customFormat="1" ht="12.75" x14ac:dyDescent="0.2">
      <c r="B37181" s="1168"/>
    </row>
    <row r="37182" spans="2:2" s="221" customFormat="1" ht="12.75" x14ac:dyDescent="0.2">
      <c r="B37182" s="1168"/>
    </row>
    <row r="37183" spans="2:2" s="221" customFormat="1" ht="12.75" x14ac:dyDescent="0.2">
      <c r="B37183" s="1168"/>
    </row>
    <row r="37184" spans="2:2" s="221" customFormat="1" ht="12.75" x14ac:dyDescent="0.2">
      <c r="B37184" s="1168"/>
    </row>
    <row r="37185" spans="2:2" s="221" customFormat="1" ht="12.75" x14ac:dyDescent="0.2">
      <c r="B37185" s="1168"/>
    </row>
    <row r="37186" spans="2:2" s="221" customFormat="1" ht="12.75" x14ac:dyDescent="0.2">
      <c r="B37186" s="1168"/>
    </row>
    <row r="37187" spans="2:2" s="221" customFormat="1" ht="12.75" x14ac:dyDescent="0.2">
      <c r="B37187" s="1168"/>
    </row>
    <row r="37188" spans="2:2" s="221" customFormat="1" ht="12.75" x14ac:dyDescent="0.2">
      <c r="B37188" s="1168"/>
    </row>
    <row r="37189" spans="2:2" s="221" customFormat="1" ht="12.75" x14ac:dyDescent="0.2">
      <c r="B37189" s="1168"/>
    </row>
    <row r="37190" spans="2:2" s="221" customFormat="1" ht="12.75" x14ac:dyDescent="0.2">
      <c r="B37190" s="1168"/>
    </row>
    <row r="37191" spans="2:2" s="221" customFormat="1" ht="12.75" x14ac:dyDescent="0.2">
      <c r="B37191" s="1168"/>
    </row>
    <row r="37192" spans="2:2" s="221" customFormat="1" ht="12.75" x14ac:dyDescent="0.2">
      <c r="B37192" s="1168"/>
    </row>
    <row r="37193" spans="2:2" s="221" customFormat="1" ht="12.75" x14ac:dyDescent="0.2">
      <c r="B37193" s="1168"/>
    </row>
    <row r="37194" spans="2:2" s="221" customFormat="1" ht="12.75" x14ac:dyDescent="0.2">
      <c r="B37194" s="1168"/>
    </row>
    <row r="37195" spans="2:2" s="221" customFormat="1" ht="12.75" x14ac:dyDescent="0.2">
      <c r="B37195" s="1168"/>
    </row>
    <row r="37196" spans="2:2" s="221" customFormat="1" ht="12.75" x14ac:dyDescent="0.2">
      <c r="B37196" s="1168"/>
    </row>
    <row r="37197" spans="2:2" s="221" customFormat="1" ht="12.75" x14ac:dyDescent="0.2">
      <c r="B37197" s="1168"/>
    </row>
    <row r="37198" spans="2:2" s="221" customFormat="1" ht="12.75" x14ac:dyDescent="0.2">
      <c r="B37198" s="1168"/>
    </row>
    <row r="37199" spans="2:2" s="221" customFormat="1" ht="12.75" x14ac:dyDescent="0.2">
      <c r="B37199" s="1168"/>
    </row>
    <row r="37200" spans="2:2" s="221" customFormat="1" ht="12.75" x14ac:dyDescent="0.2">
      <c r="B37200" s="1168"/>
    </row>
    <row r="37201" spans="2:2" s="221" customFormat="1" ht="12.75" x14ac:dyDescent="0.2">
      <c r="B37201" s="1168"/>
    </row>
    <row r="37202" spans="2:2" s="221" customFormat="1" ht="12.75" x14ac:dyDescent="0.2">
      <c r="B37202" s="1168"/>
    </row>
    <row r="37203" spans="2:2" s="221" customFormat="1" ht="12.75" x14ac:dyDescent="0.2">
      <c r="B37203" s="1168"/>
    </row>
    <row r="37204" spans="2:2" s="221" customFormat="1" ht="12.75" x14ac:dyDescent="0.2">
      <c r="B37204" s="1168"/>
    </row>
    <row r="37205" spans="2:2" s="221" customFormat="1" ht="12.75" x14ac:dyDescent="0.2">
      <c r="B37205" s="1168"/>
    </row>
    <row r="37206" spans="2:2" s="221" customFormat="1" ht="12.75" x14ac:dyDescent="0.2">
      <c r="B37206" s="1168"/>
    </row>
    <row r="37207" spans="2:2" s="221" customFormat="1" ht="12.75" x14ac:dyDescent="0.2">
      <c r="B37207" s="1168"/>
    </row>
    <row r="37208" spans="2:2" s="221" customFormat="1" ht="12.75" x14ac:dyDescent="0.2">
      <c r="B37208" s="1168"/>
    </row>
    <row r="37209" spans="2:2" s="221" customFormat="1" ht="12.75" x14ac:dyDescent="0.2">
      <c r="B37209" s="1168"/>
    </row>
    <row r="37210" spans="2:2" s="221" customFormat="1" ht="12.75" x14ac:dyDescent="0.2">
      <c r="B37210" s="1168"/>
    </row>
    <row r="37211" spans="2:2" s="221" customFormat="1" ht="12.75" x14ac:dyDescent="0.2">
      <c r="B37211" s="1168"/>
    </row>
    <row r="37212" spans="2:2" s="221" customFormat="1" ht="12.75" x14ac:dyDescent="0.2">
      <c r="B37212" s="1168"/>
    </row>
    <row r="37213" spans="2:2" s="221" customFormat="1" ht="12.75" x14ac:dyDescent="0.2">
      <c r="B37213" s="1168"/>
    </row>
    <row r="37214" spans="2:2" s="221" customFormat="1" ht="12.75" x14ac:dyDescent="0.2">
      <c r="B37214" s="1168"/>
    </row>
    <row r="37215" spans="2:2" s="221" customFormat="1" ht="12.75" x14ac:dyDescent="0.2">
      <c r="B37215" s="1168"/>
    </row>
    <row r="37216" spans="2:2" s="221" customFormat="1" ht="12.75" x14ac:dyDescent="0.2">
      <c r="B37216" s="1168"/>
    </row>
    <row r="37217" spans="2:2" s="221" customFormat="1" ht="12.75" x14ac:dyDescent="0.2">
      <c r="B37217" s="1168"/>
    </row>
    <row r="37218" spans="2:2" s="221" customFormat="1" ht="12.75" x14ac:dyDescent="0.2">
      <c r="B37218" s="1168"/>
    </row>
    <row r="37219" spans="2:2" s="221" customFormat="1" ht="12.75" x14ac:dyDescent="0.2">
      <c r="B37219" s="1168"/>
    </row>
    <row r="37220" spans="2:2" s="221" customFormat="1" ht="12.75" x14ac:dyDescent="0.2">
      <c r="B37220" s="1168"/>
    </row>
    <row r="37221" spans="2:2" s="221" customFormat="1" ht="12.75" x14ac:dyDescent="0.2">
      <c r="B37221" s="1168"/>
    </row>
    <row r="37222" spans="2:2" s="221" customFormat="1" ht="12.75" x14ac:dyDescent="0.2">
      <c r="B37222" s="1168"/>
    </row>
    <row r="37223" spans="2:2" s="221" customFormat="1" ht="12.75" x14ac:dyDescent="0.2">
      <c r="B37223" s="1168"/>
    </row>
    <row r="37224" spans="2:2" s="221" customFormat="1" ht="12.75" x14ac:dyDescent="0.2">
      <c r="B37224" s="1168"/>
    </row>
    <row r="37225" spans="2:2" s="221" customFormat="1" ht="12.75" x14ac:dyDescent="0.2">
      <c r="B37225" s="1168"/>
    </row>
    <row r="37226" spans="2:2" s="221" customFormat="1" ht="12.75" x14ac:dyDescent="0.2">
      <c r="B37226" s="1168"/>
    </row>
    <row r="37227" spans="2:2" s="221" customFormat="1" ht="12.75" x14ac:dyDescent="0.2">
      <c r="B37227" s="1168"/>
    </row>
    <row r="37228" spans="2:2" s="221" customFormat="1" ht="12.75" x14ac:dyDescent="0.2">
      <c r="B37228" s="1168"/>
    </row>
    <row r="37229" spans="2:2" s="221" customFormat="1" ht="12.75" x14ac:dyDescent="0.2">
      <c r="B37229" s="1168"/>
    </row>
    <row r="37230" spans="2:2" s="221" customFormat="1" ht="12.75" x14ac:dyDescent="0.2">
      <c r="B37230" s="1168"/>
    </row>
    <row r="37231" spans="2:2" s="221" customFormat="1" ht="12.75" x14ac:dyDescent="0.2">
      <c r="B37231" s="1168"/>
    </row>
    <row r="37232" spans="2:2" s="221" customFormat="1" ht="12.75" x14ac:dyDescent="0.2">
      <c r="B37232" s="1168"/>
    </row>
    <row r="37233" spans="2:2" s="221" customFormat="1" ht="12.75" x14ac:dyDescent="0.2">
      <c r="B37233" s="1168"/>
    </row>
    <row r="37234" spans="2:2" s="221" customFormat="1" ht="12.75" x14ac:dyDescent="0.2">
      <c r="B37234" s="1168"/>
    </row>
    <row r="37235" spans="2:2" s="221" customFormat="1" ht="12.75" x14ac:dyDescent="0.2">
      <c r="B37235" s="1168"/>
    </row>
    <row r="37236" spans="2:2" s="221" customFormat="1" ht="12.75" x14ac:dyDescent="0.2">
      <c r="B37236" s="1168"/>
    </row>
    <row r="37237" spans="2:2" s="221" customFormat="1" ht="12.75" x14ac:dyDescent="0.2">
      <c r="B37237" s="1168"/>
    </row>
    <row r="37238" spans="2:2" s="221" customFormat="1" ht="12.75" x14ac:dyDescent="0.2">
      <c r="B37238" s="1168"/>
    </row>
    <row r="37239" spans="2:2" s="221" customFormat="1" ht="12.75" x14ac:dyDescent="0.2">
      <c r="B37239" s="1168"/>
    </row>
    <row r="37240" spans="2:2" s="221" customFormat="1" ht="12.75" x14ac:dyDescent="0.2">
      <c r="B37240" s="1168"/>
    </row>
    <row r="37241" spans="2:2" s="221" customFormat="1" ht="12.75" x14ac:dyDescent="0.2">
      <c r="B37241" s="1168"/>
    </row>
    <row r="37242" spans="2:2" s="221" customFormat="1" ht="12.75" x14ac:dyDescent="0.2">
      <c r="B37242" s="1168"/>
    </row>
    <row r="37243" spans="2:2" s="221" customFormat="1" ht="12.75" x14ac:dyDescent="0.2">
      <c r="B37243" s="1168"/>
    </row>
    <row r="37244" spans="2:2" s="221" customFormat="1" ht="12.75" x14ac:dyDescent="0.2">
      <c r="B37244" s="1168"/>
    </row>
    <row r="37245" spans="2:2" s="221" customFormat="1" ht="12.75" x14ac:dyDescent="0.2">
      <c r="B37245" s="1168"/>
    </row>
    <row r="37246" spans="2:2" s="221" customFormat="1" ht="12.75" x14ac:dyDescent="0.2">
      <c r="B37246" s="1168"/>
    </row>
    <row r="37247" spans="2:2" s="221" customFormat="1" ht="12.75" x14ac:dyDescent="0.2">
      <c r="B37247" s="1168"/>
    </row>
    <row r="37248" spans="2:2" s="221" customFormat="1" ht="12.75" x14ac:dyDescent="0.2">
      <c r="B37248" s="1168"/>
    </row>
    <row r="37249" spans="2:2" s="221" customFormat="1" ht="12.75" x14ac:dyDescent="0.2">
      <c r="B37249" s="1168"/>
    </row>
    <row r="37250" spans="2:2" s="221" customFormat="1" ht="12.75" x14ac:dyDescent="0.2">
      <c r="B37250" s="1168"/>
    </row>
    <row r="37251" spans="2:2" s="221" customFormat="1" ht="12.75" x14ac:dyDescent="0.2">
      <c r="B37251" s="1168"/>
    </row>
    <row r="37252" spans="2:2" s="221" customFormat="1" ht="12.75" x14ac:dyDescent="0.2">
      <c r="B37252" s="1168"/>
    </row>
    <row r="37253" spans="2:2" s="221" customFormat="1" ht="12.75" x14ac:dyDescent="0.2">
      <c r="B37253" s="1168"/>
    </row>
    <row r="37254" spans="2:2" s="221" customFormat="1" ht="12.75" x14ac:dyDescent="0.2">
      <c r="B37254" s="1168"/>
    </row>
    <row r="37255" spans="2:2" s="221" customFormat="1" ht="12.75" x14ac:dyDescent="0.2">
      <c r="B37255" s="1168"/>
    </row>
    <row r="37256" spans="2:2" s="221" customFormat="1" ht="12.75" x14ac:dyDescent="0.2">
      <c r="B37256" s="1168"/>
    </row>
    <row r="37257" spans="2:2" s="221" customFormat="1" ht="12.75" x14ac:dyDescent="0.2">
      <c r="B37257" s="1168"/>
    </row>
    <row r="37258" spans="2:2" s="221" customFormat="1" ht="12.75" x14ac:dyDescent="0.2">
      <c r="B37258" s="1168"/>
    </row>
    <row r="37259" spans="2:2" s="221" customFormat="1" ht="12.75" x14ac:dyDescent="0.2">
      <c r="B37259" s="1168"/>
    </row>
    <row r="37260" spans="2:2" s="221" customFormat="1" ht="12.75" x14ac:dyDescent="0.2">
      <c r="B37260" s="1168"/>
    </row>
    <row r="37261" spans="2:2" s="221" customFormat="1" ht="12.75" x14ac:dyDescent="0.2">
      <c r="B37261" s="1168"/>
    </row>
    <row r="37262" spans="2:2" s="221" customFormat="1" ht="12.75" x14ac:dyDescent="0.2">
      <c r="B37262" s="1168"/>
    </row>
    <row r="37263" spans="2:2" s="221" customFormat="1" ht="12.75" x14ac:dyDescent="0.2">
      <c r="B37263" s="1168"/>
    </row>
    <row r="37264" spans="2:2" s="221" customFormat="1" ht="12.75" x14ac:dyDescent="0.2">
      <c r="B37264" s="1168"/>
    </row>
    <row r="37265" spans="2:2" s="221" customFormat="1" ht="12.75" x14ac:dyDescent="0.2">
      <c r="B37265" s="1168"/>
    </row>
    <row r="37266" spans="2:2" s="221" customFormat="1" ht="12.75" x14ac:dyDescent="0.2">
      <c r="B37266" s="1168"/>
    </row>
    <row r="37267" spans="2:2" s="221" customFormat="1" ht="12.75" x14ac:dyDescent="0.2">
      <c r="B37267" s="1168"/>
    </row>
    <row r="37268" spans="2:2" s="221" customFormat="1" ht="12.75" x14ac:dyDescent="0.2">
      <c r="B37268" s="1168"/>
    </row>
    <row r="37269" spans="2:2" s="221" customFormat="1" ht="12.75" x14ac:dyDescent="0.2">
      <c r="B37269" s="1168"/>
    </row>
    <row r="37270" spans="2:2" s="221" customFormat="1" ht="12.75" x14ac:dyDescent="0.2">
      <c r="B37270" s="1168"/>
    </row>
    <row r="37271" spans="2:2" s="221" customFormat="1" ht="12.75" x14ac:dyDescent="0.2">
      <c r="B37271" s="1168"/>
    </row>
    <row r="37272" spans="2:2" s="221" customFormat="1" ht="12.75" x14ac:dyDescent="0.2">
      <c r="B37272" s="1168"/>
    </row>
    <row r="37273" spans="2:2" s="221" customFormat="1" ht="12.75" x14ac:dyDescent="0.2">
      <c r="B37273" s="1168"/>
    </row>
    <row r="37274" spans="2:2" s="221" customFormat="1" ht="12.75" x14ac:dyDescent="0.2">
      <c r="B37274" s="1168"/>
    </row>
    <row r="37275" spans="2:2" s="221" customFormat="1" ht="12.75" x14ac:dyDescent="0.2">
      <c r="B37275" s="1168"/>
    </row>
    <row r="37276" spans="2:2" s="221" customFormat="1" ht="12.75" x14ac:dyDescent="0.2">
      <c r="B37276" s="1168"/>
    </row>
    <row r="37277" spans="2:2" s="221" customFormat="1" ht="12.75" x14ac:dyDescent="0.2">
      <c r="B37277" s="1168"/>
    </row>
    <row r="37278" spans="2:2" s="221" customFormat="1" ht="12.75" x14ac:dyDescent="0.2">
      <c r="B37278" s="1168"/>
    </row>
    <row r="37279" spans="2:2" s="221" customFormat="1" ht="12.75" x14ac:dyDescent="0.2">
      <c r="B37279" s="1168"/>
    </row>
    <row r="37280" spans="2:2" s="221" customFormat="1" ht="12.75" x14ac:dyDescent="0.2">
      <c r="B37280" s="1168"/>
    </row>
    <row r="37281" spans="2:2" s="221" customFormat="1" ht="12.75" x14ac:dyDescent="0.2">
      <c r="B37281" s="1168"/>
    </row>
    <row r="37282" spans="2:2" s="221" customFormat="1" ht="12.75" x14ac:dyDescent="0.2">
      <c r="B37282" s="1168"/>
    </row>
    <row r="37283" spans="2:2" s="221" customFormat="1" ht="12.75" x14ac:dyDescent="0.2">
      <c r="B37283" s="1168"/>
    </row>
    <row r="37284" spans="2:2" s="221" customFormat="1" ht="12.75" x14ac:dyDescent="0.2">
      <c r="B37284" s="1168"/>
    </row>
    <row r="37285" spans="2:2" s="221" customFormat="1" ht="12.75" x14ac:dyDescent="0.2">
      <c r="B37285" s="1168"/>
    </row>
    <row r="37286" spans="2:2" s="221" customFormat="1" ht="12.75" x14ac:dyDescent="0.2">
      <c r="B37286" s="1168"/>
    </row>
    <row r="37287" spans="2:2" s="221" customFormat="1" ht="12.75" x14ac:dyDescent="0.2">
      <c r="B37287" s="1168"/>
    </row>
    <row r="37288" spans="2:2" s="221" customFormat="1" ht="12.75" x14ac:dyDescent="0.2">
      <c r="B37288" s="1168"/>
    </row>
    <row r="37289" spans="2:2" s="221" customFormat="1" ht="12.75" x14ac:dyDescent="0.2">
      <c r="B37289" s="1168"/>
    </row>
    <row r="37290" spans="2:2" s="221" customFormat="1" ht="12.75" x14ac:dyDescent="0.2">
      <c r="B37290" s="1168"/>
    </row>
    <row r="37291" spans="2:2" s="221" customFormat="1" ht="12.75" x14ac:dyDescent="0.2">
      <c r="B37291" s="1168"/>
    </row>
    <row r="37292" spans="2:2" s="221" customFormat="1" ht="12.75" x14ac:dyDescent="0.2">
      <c r="B37292" s="1168"/>
    </row>
    <row r="37293" spans="2:2" s="221" customFormat="1" ht="12.75" x14ac:dyDescent="0.2">
      <c r="B37293" s="1168"/>
    </row>
    <row r="37294" spans="2:2" s="221" customFormat="1" ht="12.75" x14ac:dyDescent="0.2">
      <c r="B37294" s="1168"/>
    </row>
    <row r="37295" spans="2:2" s="221" customFormat="1" ht="12.75" x14ac:dyDescent="0.2">
      <c r="B37295" s="1168"/>
    </row>
    <row r="37296" spans="2:2" s="221" customFormat="1" ht="12.75" x14ac:dyDescent="0.2">
      <c r="B37296" s="1168"/>
    </row>
    <row r="37297" spans="2:2" s="221" customFormat="1" ht="12.75" x14ac:dyDescent="0.2">
      <c r="B37297" s="1168"/>
    </row>
    <row r="37298" spans="2:2" s="221" customFormat="1" ht="12.75" x14ac:dyDescent="0.2">
      <c r="B37298" s="1168"/>
    </row>
    <row r="37299" spans="2:2" s="221" customFormat="1" ht="12.75" x14ac:dyDescent="0.2">
      <c r="B37299" s="1168"/>
    </row>
    <row r="37300" spans="2:2" s="221" customFormat="1" ht="12.75" x14ac:dyDescent="0.2">
      <c r="B37300" s="1168"/>
    </row>
    <row r="37301" spans="2:2" s="221" customFormat="1" ht="12.75" x14ac:dyDescent="0.2">
      <c r="B37301" s="1168"/>
    </row>
    <row r="37302" spans="2:2" s="221" customFormat="1" ht="12.75" x14ac:dyDescent="0.2">
      <c r="B37302" s="1168"/>
    </row>
    <row r="37303" spans="2:2" s="221" customFormat="1" ht="12.75" x14ac:dyDescent="0.2">
      <c r="B37303" s="1168"/>
    </row>
    <row r="37304" spans="2:2" s="221" customFormat="1" ht="12.75" x14ac:dyDescent="0.2">
      <c r="B37304" s="1168"/>
    </row>
    <row r="37305" spans="2:2" s="221" customFormat="1" ht="12.75" x14ac:dyDescent="0.2">
      <c r="B37305" s="1168"/>
    </row>
    <row r="37306" spans="2:2" s="221" customFormat="1" ht="12.75" x14ac:dyDescent="0.2">
      <c r="B37306" s="1168"/>
    </row>
    <row r="37307" spans="2:2" s="221" customFormat="1" ht="12.75" x14ac:dyDescent="0.2">
      <c r="B37307" s="1168"/>
    </row>
    <row r="37308" spans="2:2" s="221" customFormat="1" ht="12.75" x14ac:dyDescent="0.2">
      <c r="B37308" s="1168"/>
    </row>
    <row r="37309" spans="2:2" s="221" customFormat="1" ht="12.75" x14ac:dyDescent="0.2">
      <c r="B37309" s="1168"/>
    </row>
    <row r="37310" spans="2:2" s="221" customFormat="1" ht="12.75" x14ac:dyDescent="0.2">
      <c r="B37310" s="1168"/>
    </row>
    <row r="37311" spans="2:2" s="221" customFormat="1" ht="12.75" x14ac:dyDescent="0.2">
      <c r="B37311" s="1168"/>
    </row>
    <row r="37312" spans="2:2" s="221" customFormat="1" ht="12.75" x14ac:dyDescent="0.2">
      <c r="B37312" s="1168"/>
    </row>
    <row r="37313" spans="2:2" s="221" customFormat="1" ht="12.75" x14ac:dyDescent="0.2">
      <c r="B37313" s="1168"/>
    </row>
    <row r="37314" spans="2:2" s="221" customFormat="1" ht="12.75" x14ac:dyDescent="0.2">
      <c r="B37314" s="1168"/>
    </row>
    <row r="37315" spans="2:2" s="221" customFormat="1" ht="12.75" x14ac:dyDescent="0.2">
      <c r="B37315" s="1168"/>
    </row>
    <row r="37316" spans="2:2" s="221" customFormat="1" ht="12.75" x14ac:dyDescent="0.2">
      <c r="B37316" s="1168"/>
    </row>
    <row r="37317" spans="2:2" s="221" customFormat="1" ht="12.75" x14ac:dyDescent="0.2">
      <c r="B37317" s="1168"/>
    </row>
    <row r="37318" spans="2:2" s="221" customFormat="1" ht="12.75" x14ac:dyDescent="0.2">
      <c r="B37318" s="1168"/>
    </row>
    <row r="37319" spans="2:2" s="221" customFormat="1" ht="12.75" x14ac:dyDescent="0.2">
      <c r="B37319" s="1168"/>
    </row>
    <row r="37320" spans="2:2" s="221" customFormat="1" ht="12.75" x14ac:dyDescent="0.2">
      <c r="B37320" s="1168"/>
    </row>
    <row r="37321" spans="2:2" s="221" customFormat="1" ht="12.75" x14ac:dyDescent="0.2">
      <c r="B37321" s="1168"/>
    </row>
    <row r="37322" spans="2:2" s="221" customFormat="1" ht="12.75" x14ac:dyDescent="0.2">
      <c r="B37322" s="1168"/>
    </row>
    <row r="37323" spans="2:2" s="221" customFormat="1" ht="12.75" x14ac:dyDescent="0.2">
      <c r="B37323" s="1168"/>
    </row>
    <row r="37324" spans="2:2" s="221" customFormat="1" ht="12.75" x14ac:dyDescent="0.2">
      <c r="B37324" s="1168"/>
    </row>
    <row r="37325" spans="2:2" s="221" customFormat="1" ht="12.75" x14ac:dyDescent="0.2">
      <c r="B37325" s="1168"/>
    </row>
    <row r="37326" spans="2:2" s="221" customFormat="1" ht="12.75" x14ac:dyDescent="0.2">
      <c r="B37326" s="1168"/>
    </row>
    <row r="37327" spans="2:2" s="221" customFormat="1" ht="12.75" x14ac:dyDescent="0.2">
      <c r="B37327" s="1168"/>
    </row>
    <row r="37328" spans="2:2" s="221" customFormat="1" ht="12.75" x14ac:dyDescent="0.2">
      <c r="B37328" s="1168"/>
    </row>
    <row r="37329" spans="2:2" s="221" customFormat="1" ht="12.75" x14ac:dyDescent="0.2">
      <c r="B37329" s="1168"/>
    </row>
    <row r="37330" spans="2:2" s="221" customFormat="1" ht="12.75" x14ac:dyDescent="0.2">
      <c r="B37330" s="1168"/>
    </row>
    <row r="37331" spans="2:2" s="221" customFormat="1" ht="12.75" x14ac:dyDescent="0.2">
      <c r="B37331" s="1168"/>
    </row>
    <row r="37332" spans="2:2" s="221" customFormat="1" ht="12.75" x14ac:dyDescent="0.2">
      <c r="B37332" s="1168"/>
    </row>
    <row r="37333" spans="2:2" s="221" customFormat="1" ht="12.75" x14ac:dyDescent="0.2">
      <c r="B37333" s="1168"/>
    </row>
    <row r="37334" spans="2:2" s="221" customFormat="1" ht="12.75" x14ac:dyDescent="0.2">
      <c r="B37334" s="1168"/>
    </row>
    <row r="37335" spans="2:2" s="221" customFormat="1" ht="12.75" x14ac:dyDescent="0.2">
      <c r="B37335" s="1168"/>
    </row>
    <row r="37336" spans="2:2" s="221" customFormat="1" ht="12.75" x14ac:dyDescent="0.2">
      <c r="B37336" s="1168"/>
    </row>
    <row r="37337" spans="2:2" s="221" customFormat="1" ht="12.75" x14ac:dyDescent="0.2">
      <c r="B37337" s="1168"/>
    </row>
    <row r="37338" spans="2:2" s="221" customFormat="1" ht="12.75" x14ac:dyDescent="0.2">
      <c r="B37338" s="1168"/>
    </row>
    <row r="37339" spans="2:2" s="221" customFormat="1" ht="12.75" x14ac:dyDescent="0.2">
      <c r="B37339" s="1168"/>
    </row>
    <row r="37340" spans="2:2" s="221" customFormat="1" ht="12.75" x14ac:dyDescent="0.2">
      <c r="B37340" s="1168"/>
    </row>
    <row r="37341" spans="2:2" s="221" customFormat="1" ht="12.75" x14ac:dyDescent="0.2">
      <c r="B37341" s="1168"/>
    </row>
    <row r="37342" spans="2:2" s="221" customFormat="1" ht="12.75" x14ac:dyDescent="0.2">
      <c r="B37342" s="1168"/>
    </row>
    <row r="37343" spans="2:2" s="221" customFormat="1" ht="12.75" x14ac:dyDescent="0.2">
      <c r="B37343" s="1168"/>
    </row>
    <row r="37344" spans="2:2" s="221" customFormat="1" ht="12.75" x14ac:dyDescent="0.2">
      <c r="B37344" s="1168"/>
    </row>
    <row r="37345" spans="2:2" s="221" customFormat="1" ht="12.75" x14ac:dyDescent="0.2">
      <c r="B37345" s="1168"/>
    </row>
    <row r="37346" spans="2:2" s="221" customFormat="1" ht="12.75" x14ac:dyDescent="0.2">
      <c r="B37346" s="1168"/>
    </row>
    <row r="37347" spans="2:2" s="221" customFormat="1" ht="12.75" x14ac:dyDescent="0.2">
      <c r="B37347" s="1168"/>
    </row>
    <row r="37348" spans="2:2" s="221" customFormat="1" ht="12.75" x14ac:dyDescent="0.2">
      <c r="B37348" s="1168"/>
    </row>
    <row r="37349" spans="2:2" s="221" customFormat="1" ht="12.75" x14ac:dyDescent="0.2">
      <c r="B37349" s="1168"/>
    </row>
    <row r="37350" spans="2:2" s="221" customFormat="1" ht="12.75" x14ac:dyDescent="0.2">
      <c r="B37350" s="1168"/>
    </row>
    <row r="37351" spans="2:2" s="221" customFormat="1" ht="12.75" x14ac:dyDescent="0.2">
      <c r="B37351" s="1168"/>
    </row>
    <row r="37352" spans="2:2" s="221" customFormat="1" ht="12.75" x14ac:dyDescent="0.2">
      <c r="B37352" s="1168"/>
    </row>
    <row r="37353" spans="2:2" s="221" customFormat="1" ht="12.75" x14ac:dyDescent="0.2">
      <c r="B37353" s="1168"/>
    </row>
    <row r="37354" spans="2:2" s="221" customFormat="1" ht="12.75" x14ac:dyDescent="0.2">
      <c r="B37354" s="1168"/>
    </row>
    <row r="37355" spans="2:2" s="221" customFormat="1" ht="12.75" x14ac:dyDescent="0.2">
      <c r="B37355" s="1168"/>
    </row>
    <row r="37356" spans="2:2" s="221" customFormat="1" ht="12.75" x14ac:dyDescent="0.2">
      <c r="B37356" s="1168"/>
    </row>
    <row r="37357" spans="2:2" s="221" customFormat="1" ht="12.75" x14ac:dyDescent="0.2">
      <c r="B37357" s="1168"/>
    </row>
    <row r="37358" spans="2:2" s="221" customFormat="1" ht="12.75" x14ac:dyDescent="0.2">
      <c r="B37358" s="1168"/>
    </row>
    <row r="37359" spans="2:2" s="221" customFormat="1" ht="12.75" x14ac:dyDescent="0.2">
      <c r="B37359" s="1168"/>
    </row>
    <row r="37360" spans="2:2" s="221" customFormat="1" ht="12.75" x14ac:dyDescent="0.2">
      <c r="B37360" s="1168"/>
    </row>
    <row r="37361" spans="2:2" s="221" customFormat="1" ht="12.75" x14ac:dyDescent="0.2">
      <c r="B37361" s="1168"/>
    </row>
    <row r="37362" spans="2:2" s="221" customFormat="1" ht="12.75" x14ac:dyDescent="0.2">
      <c r="B37362" s="1168"/>
    </row>
    <row r="37363" spans="2:2" s="221" customFormat="1" ht="12.75" x14ac:dyDescent="0.2">
      <c r="B37363" s="1168"/>
    </row>
    <row r="37364" spans="2:2" s="221" customFormat="1" ht="12.75" x14ac:dyDescent="0.2">
      <c r="B37364" s="1168"/>
    </row>
    <row r="37365" spans="2:2" s="221" customFormat="1" ht="12.75" x14ac:dyDescent="0.2">
      <c r="B37365" s="1168"/>
    </row>
    <row r="37366" spans="2:2" s="221" customFormat="1" ht="12.75" x14ac:dyDescent="0.2">
      <c r="B37366" s="1168"/>
    </row>
    <row r="37367" spans="2:2" s="221" customFormat="1" ht="12.75" x14ac:dyDescent="0.2">
      <c r="B37367" s="1168"/>
    </row>
    <row r="37368" spans="2:2" s="221" customFormat="1" ht="12.75" x14ac:dyDescent="0.2">
      <c r="B37368" s="1168"/>
    </row>
    <row r="37369" spans="2:2" s="221" customFormat="1" ht="12.75" x14ac:dyDescent="0.2">
      <c r="B37369" s="1168"/>
    </row>
    <row r="37370" spans="2:2" s="221" customFormat="1" ht="12.75" x14ac:dyDescent="0.2">
      <c r="B37370" s="1168"/>
    </row>
    <row r="37371" spans="2:2" s="221" customFormat="1" ht="12.75" x14ac:dyDescent="0.2">
      <c r="B37371" s="1168"/>
    </row>
    <row r="37372" spans="2:2" s="221" customFormat="1" ht="12.75" x14ac:dyDescent="0.2">
      <c r="B37372" s="1168"/>
    </row>
    <row r="37373" spans="2:2" s="221" customFormat="1" ht="12.75" x14ac:dyDescent="0.2">
      <c r="B37373" s="1168"/>
    </row>
    <row r="37374" spans="2:2" s="221" customFormat="1" ht="12.75" x14ac:dyDescent="0.2">
      <c r="B37374" s="1168"/>
    </row>
    <row r="37375" spans="2:2" s="221" customFormat="1" ht="12.75" x14ac:dyDescent="0.2">
      <c r="B37375" s="1168"/>
    </row>
    <row r="37376" spans="2:2" s="221" customFormat="1" ht="12.75" x14ac:dyDescent="0.2">
      <c r="B37376" s="1168"/>
    </row>
    <row r="37377" spans="2:2" s="221" customFormat="1" ht="12.75" x14ac:dyDescent="0.2">
      <c r="B37377" s="1168"/>
    </row>
    <row r="37378" spans="2:2" s="221" customFormat="1" ht="12.75" x14ac:dyDescent="0.2">
      <c r="B37378" s="1168"/>
    </row>
    <row r="37379" spans="2:2" s="221" customFormat="1" ht="12.75" x14ac:dyDescent="0.2">
      <c r="B37379" s="1168"/>
    </row>
    <row r="37380" spans="2:2" s="221" customFormat="1" ht="12.75" x14ac:dyDescent="0.2">
      <c r="B37380" s="1168"/>
    </row>
    <row r="37381" spans="2:2" s="221" customFormat="1" ht="12.75" x14ac:dyDescent="0.2">
      <c r="B37381" s="1168"/>
    </row>
    <row r="37382" spans="2:2" s="221" customFormat="1" ht="12.75" x14ac:dyDescent="0.2">
      <c r="B37382" s="1168"/>
    </row>
    <row r="37383" spans="2:2" s="221" customFormat="1" ht="12.75" x14ac:dyDescent="0.2">
      <c r="B37383" s="1168"/>
    </row>
    <row r="37384" spans="2:2" s="221" customFormat="1" ht="12.75" x14ac:dyDescent="0.2">
      <c r="B37384" s="1168"/>
    </row>
    <row r="37385" spans="2:2" s="221" customFormat="1" ht="12.75" x14ac:dyDescent="0.2">
      <c r="B37385" s="1168"/>
    </row>
    <row r="37386" spans="2:2" s="221" customFormat="1" ht="12.75" x14ac:dyDescent="0.2">
      <c r="B37386" s="1168"/>
    </row>
    <row r="37387" spans="2:2" s="221" customFormat="1" ht="12.75" x14ac:dyDescent="0.2">
      <c r="B37387" s="1168"/>
    </row>
    <row r="37388" spans="2:2" s="221" customFormat="1" ht="12.75" x14ac:dyDescent="0.2">
      <c r="B37388" s="1168"/>
    </row>
    <row r="37389" spans="2:2" s="221" customFormat="1" ht="12.75" x14ac:dyDescent="0.2">
      <c r="B37389" s="1168"/>
    </row>
    <row r="37390" spans="2:2" s="221" customFormat="1" ht="12.75" x14ac:dyDescent="0.2">
      <c r="B37390" s="1168"/>
    </row>
    <row r="37391" spans="2:2" s="221" customFormat="1" ht="12.75" x14ac:dyDescent="0.2">
      <c r="B37391" s="1168"/>
    </row>
    <row r="37392" spans="2:2" s="221" customFormat="1" ht="12.75" x14ac:dyDescent="0.2">
      <c r="B37392" s="1168"/>
    </row>
    <row r="37393" spans="2:2" s="221" customFormat="1" ht="12.75" x14ac:dyDescent="0.2">
      <c r="B37393" s="1168"/>
    </row>
    <row r="37394" spans="2:2" s="221" customFormat="1" ht="12.75" x14ac:dyDescent="0.2">
      <c r="B37394" s="1168"/>
    </row>
    <row r="37395" spans="2:2" s="221" customFormat="1" ht="12.75" x14ac:dyDescent="0.2">
      <c r="B37395" s="1168"/>
    </row>
    <row r="37396" spans="2:2" s="221" customFormat="1" ht="12.75" x14ac:dyDescent="0.2">
      <c r="B37396" s="1168"/>
    </row>
    <row r="37397" spans="2:2" s="221" customFormat="1" ht="12.75" x14ac:dyDescent="0.2">
      <c r="B37397" s="1168"/>
    </row>
    <row r="37398" spans="2:2" s="221" customFormat="1" ht="12.75" x14ac:dyDescent="0.2">
      <c r="B37398" s="1168"/>
    </row>
    <row r="37399" spans="2:2" s="221" customFormat="1" ht="12.75" x14ac:dyDescent="0.2">
      <c r="B37399" s="1168"/>
    </row>
    <row r="37400" spans="2:2" s="221" customFormat="1" ht="12.75" x14ac:dyDescent="0.2">
      <c r="B37400" s="1168"/>
    </row>
    <row r="37401" spans="2:2" s="221" customFormat="1" ht="12.75" x14ac:dyDescent="0.2">
      <c r="B37401" s="1168"/>
    </row>
    <row r="37402" spans="2:2" s="221" customFormat="1" ht="12.75" x14ac:dyDescent="0.2">
      <c r="B37402" s="1168"/>
    </row>
    <row r="37403" spans="2:2" s="221" customFormat="1" ht="12.75" x14ac:dyDescent="0.2">
      <c r="B37403" s="1168"/>
    </row>
    <row r="37404" spans="2:2" s="221" customFormat="1" ht="12.75" x14ac:dyDescent="0.2">
      <c r="B37404" s="1168"/>
    </row>
    <row r="37405" spans="2:2" s="221" customFormat="1" ht="12.75" x14ac:dyDescent="0.2">
      <c r="B37405" s="1168"/>
    </row>
    <row r="37406" spans="2:2" s="221" customFormat="1" ht="12.75" x14ac:dyDescent="0.2">
      <c r="B37406" s="1168"/>
    </row>
    <row r="37407" spans="2:2" s="221" customFormat="1" ht="12.75" x14ac:dyDescent="0.2">
      <c r="B37407" s="1168"/>
    </row>
    <row r="37408" spans="2:2" s="221" customFormat="1" ht="12.75" x14ac:dyDescent="0.2">
      <c r="B37408" s="1168"/>
    </row>
    <row r="37409" spans="2:2" s="221" customFormat="1" ht="12.75" x14ac:dyDescent="0.2">
      <c r="B37409" s="1168"/>
    </row>
    <row r="37410" spans="2:2" s="221" customFormat="1" ht="12.75" x14ac:dyDescent="0.2">
      <c r="B37410" s="1168"/>
    </row>
    <row r="37411" spans="2:2" s="221" customFormat="1" ht="12.75" x14ac:dyDescent="0.2">
      <c r="B37411" s="1168"/>
    </row>
    <row r="37412" spans="2:2" s="221" customFormat="1" ht="12.75" x14ac:dyDescent="0.2">
      <c r="B37412" s="1168"/>
    </row>
    <row r="37413" spans="2:2" s="221" customFormat="1" ht="12.75" x14ac:dyDescent="0.2">
      <c r="B37413" s="1168"/>
    </row>
    <row r="37414" spans="2:2" s="221" customFormat="1" ht="12.75" x14ac:dyDescent="0.2">
      <c r="B37414" s="1168"/>
    </row>
    <row r="37415" spans="2:2" s="221" customFormat="1" ht="12.75" x14ac:dyDescent="0.2">
      <c r="B37415" s="1168"/>
    </row>
    <row r="37416" spans="2:2" s="221" customFormat="1" ht="12.75" x14ac:dyDescent="0.2">
      <c r="B37416" s="1168"/>
    </row>
    <row r="37417" spans="2:2" s="221" customFormat="1" ht="12.75" x14ac:dyDescent="0.2">
      <c r="B37417" s="1168"/>
    </row>
    <row r="37418" spans="2:2" s="221" customFormat="1" ht="12.75" x14ac:dyDescent="0.2">
      <c r="B37418" s="1168"/>
    </row>
    <row r="37419" spans="2:2" s="221" customFormat="1" ht="12.75" x14ac:dyDescent="0.2">
      <c r="B37419" s="1168"/>
    </row>
    <row r="37420" spans="2:2" s="221" customFormat="1" ht="12.75" x14ac:dyDescent="0.2">
      <c r="B37420" s="1168"/>
    </row>
    <row r="37421" spans="2:2" s="221" customFormat="1" ht="12.75" x14ac:dyDescent="0.2">
      <c r="B37421" s="1168"/>
    </row>
    <row r="37422" spans="2:2" s="221" customFormat="1" ht="12.75" x14ac:dyDescent="0.2">
      <c r="B37422" s="1168"/>
    </row>
    <row r="37423" spans="2:2" s="221" customFormat="1" ht="12.75" x14ac:dyDescent="0.2">
      <c r="B37423" s="1168"/>
    </row>
    <row r="37424" spans="2:2" s="221" customFormat="1" ht="12.75" x14ac:dyDescent="0.2">
      <c r="B37424" s="1168"/>
    </row>
    <row r="37425" spans="2:2" s="221" customFormat="1" ht="12.75" x14ac:dyDescent="0.2">
      <c r="B37425" s="1168"/>
    </row>
    <row r="37426" spans="2:2" s="221" customFormat="1" ht="12.75" x14ac:dyDescent="0.2">
      <c r="B37426" s="1168"/>
    </row>
    <row r="37427" spans="2:2" s="221" customFormat="1" ht="12.75" x14ac:dyDescent="0.2">
      <c r="B37427" s="1168"/>
    </row>
    <row r="37428" spans="2:2" s="221" customFormat="1" ht="12.75" x14ac:dyDescent="0.2">
      <c r="B37428" s="1168"/>
    </row>
    <row r="37429" spans="2:2" s="221" customFormat="1" ht="12.75" x14ac:dyDescent="0.2">
      <c r="B37429" s="1168"/>
    </row>
    <row r="37430" spans="2:2" s="221" customFormat="1" ht="12.75" x14ac:dyDescent="0.2">
      <c r="B37430" s="1168"/>
    </row>
    <row r="37431" spans="2:2" s="221" customFormat="1" ht="12.75" x14ac:dyDescent="0.2">
      <c r="B37431" s="1168"/>
    </row>
    <row r="37432" spans="2:2" s="221" customFormat="1" ht="12.75" x14ac:dyDescent="0.2">
      <c r="B37432" s="1168"/>
    </row>
    <row r="37433" spans="2:2" s="221" customFormat="1" ht="12.75" x14ac:dyDescent="0.2">
      <c r="B37433" s="1168"/>
    </row>
    <row r="37434" spans="2:2" s="221" customFormat="1" ht="12.75" x14ac:dyDescent="0.2">
      <c r="B37434" s="1168"/>
    </row>
    <row r="37435" spans="2:2" s="221" customFormat="1" ht="12.75" x14ac:dyDescent="0.2">
      <c r="B37435" s="1168"/>
    </row>
    <row r="37436" spans="2:2" s="221" customFormat="1" ht="12.75" x14ac:dyDescent="0.2">
      <c r="B37436" s="1168"/>
    </row>
    <row r="37437" spans="2:2" s="221" customFormat="1" ht="12.75" x14ac:dyDescent="0.2">
      <c r="B37437" s="1168"/>
    </row>
    <row r="37438" spans="2:2" s="221" customFormat="1" ht="12.75" x14ac:dyDescent="0.2">
      <c r="B37438" s="1168"/>
    </row>
    <row r="37439" spans="2:2" s="221" customFormat="1" ht="12.75" x14ac:dyDescent="0.2">
      <c r="B37439" s="1168"/>
    </row>
    <row r="37440" spans="2:2" s="221" customFormat="1" ht="12.75" x14ac:dyDescent="0.2">
      <c r="B37440" s="1168"/>
    </row>
    <row r="37441" spans="2:2" s="221" customFormat="1" ht="12.75" x14ac:dyDescent="0.2">
      <c r="B37441" s="1168"/>
    </row>
    <row r="37442" spans="2:2" s="221" customFormat="1" ht="12.75" x14ac:dyDescent="0.2">
      <c r="B37442" s="1168"/>
    </row>
    <row r="37443" spans="2:2" s="221" customFormat="1" ht="12.75" x14ac:dyDescent="0.2">
      <c r="B37443" s="1168"/>
    </row>
    <row r="37444" spans="2:2" s="221" customFormat="1" ht="12.75" x14ac:dyDescent="0.2">
      <c r="B37444" s="1168"/>
    </row>
    <row r="37445" spans="2:2" s="221" customFormat="1" ht="12.75" x14ac:dyDescent="0.2">
      <c r="B37445" s="1168"/>
    </row>
    <row r="37446" spans="2:2" s="221" customFormat="1" ht="12.75" x14ac:dyDescent="0.2">
      <c r="B37446" s="1168"/>
    </row>
    <row r="37447" spans="2:2" s="221" customFormat="1" ht="12.75" x14ac:dyDescent="0.2">
      <c r="B37447" s="1168"/>
    </row>
    <row r="37448" spans="2:2" s="221" customFormat="1" ht="12.75" x14ac:dyDescent="0.2">
      <c r="B37448" s="1168"/>
    </row>
    <row r="37449" spans="2:2" s="221" customFormat="1" ht="12.75" x14ac:dyDescent="0.2">
      <c r="B37449" s="1168"/>
    </row>
    <row r="37450" spans="2:2" s="221" customFormat="1" ht="12.75" x14ac:dyDescent="0.2">
      <c r="B37450" s="1168"/>
    </row>
    <row r="37451" spans="2:2" s="221" customFormat="1" ht="12.75" x14ac:dyDescent="0.2">
      <c r="B37451" s="1168"/>
    </row>
    <row r="37452" spans="2:2" s="221" customFormat="1" ht="12.75" x14ac:dyDescent="0.2">
      <c r="B37452" s="1168"/>
    </row>
    <row r="37453" spans="2:2" s="221" customFormat="1" ht="12.75" x14ac:dyDescent="0.2">
      <c r="B37453" s="1168"/>
    </row>
    <row r="37454" spans="2:2" s="221" customFormat="1" ht="12.75" x14ac:dyDescent="0.2">
      <c r="B37454" s="1168"/>
    </row>
    <row r="37455" spans="2:2" s="221" customFormat="1" ht="12.75" x14ac:dyDescent="0.2">
      <c r="B37455" s="1168"/>
    </row>
    <row r="37456" spans="2:2" s="221" customFormat="1" ht="12.75" x14ac:dyDescent="0.2">
      <c r="B37456" s="1168"/>
    </row>
    <row r="37457" spans="2:2" s="221" customFormat="1" ht="12.75" x14ac:dyDescent="0.2">
      <c r="B37457" s="1168"/>
    </row>
    <row r="37458" spans="2:2" s="221" customFormat="1" ht="12.75" x14ac:dyDescent="0.2">
      <c r="B37458" s="1168"/>
    </row>
    <row r="37459" spans="2:2" s="221" customFormat="1" ht="12.75" x14ac:dyDescent="0.2">
      <c r="B37459" s="1168"/>
    </row>
    <row r="37460" spans="2:2" s="221" customFormat="1" ht="12.75" x14ac:dyDescent="0.2">
      <c r="B37460" s="1168"/>
    </row>
    <row r="37461" spans="2:2" s="221" customFormat="1" ht="12.75" x14ac:dyDescent="0.2">
      <c r="B37461" s="1168"/>
    </row>
    <row r="37462" spans="2:2" s="221" customFormat="1" ht="12.75" x14ac:dyDescent="0.2">
      <c r="B37462" s="1168"/>
    </row>
    <row r="37463" spans="2:2" s="221" customFormat="1" ht="12.75" x14ac:dyDescent="0.2">
      <c r="B37463" s="1168"/>
    </row>
    <row r="37464" spans="2:2" s="221" customFormat="1" ht="12.75" x14ac:dyDescent="0.2">
      <c r="B37464" s="1168"/>
    </row>
    <row r="37465" spans="2:2" s="221" customFormat="1" ht="12.75" x14ac:dyDescent="0.2">
      <c r="B37465" s="1168"/>
    </row>
    <row r="37466" spans="2:2" s="221" customFormat="1" ht="12.75" x14ac:dyDescent="0.2">
      <c r="B37466" s="1168"/>
    </row>
    <row r="37467" spans="2:2" s="221" customFormat="1" ht="12.75" x14ac:dyDescent="0.2">
      <c r="B37467" s="1168"/>
    </row>
    <row r="37468" spans="2:2" s="221" customFormat="1" ht="12.75" x14ac:dyDescent="0.2">
      <c r="B37468" s="1168"/>
    </row>
    <row r="37469" spans="2:2" s="221" customFormat="1" ht="12.75" x14ac:dyDescent="0.2">
      <c r="B37469" s="1168"/>
    </row>
    <row r="37470" spans="2:2" s="221" customFormat="1" ht="12.75" x14ac:dyDescent="0.2">
      <c r="B37470" s="1168"/>
    </row>
    <row r="37471" spans="2:2" s="221" customFormat="1" ht="12.75" x14ac:dyDescent="0.2">
      <c r="B37471" s="1168"/>
    </row>
    <row r="37472" spans="2:2" s="221" customFormat="1" ht="12.75" x14ac:dyDescent="0.2">
      <c r="B37472" s="1168"/>
    </row>
    <row r="37473" spans="2:2" s="221" customFormat="1" ht="12.75" x14ac:dyDescent="0.2">
      <c r="B37473" s="1168"/>
    </row>
    <row r="37474" spans="2:2" s="221" customFormat="1" ht="12.75" x14ac:dyDescent="0.2">
      <c r="B37474" s="1168"/>
    </row>
    <row r="37475" spans="2:2" s="221" customFormat="1" ht="12.75" x14ac:dyDescent="0.2">
      <c r="B37475" s="1168"/>
    </row>
    <row r="37476" spans="2:2" s="221" customFormat="1" ht="12.75" x14ac:dyDescent="0.2">
      <c r="B37476" s="1168"/>
    </row>
    <row r="37477" spans="2:2" s="221" customFormat="1" ht="12.75" x14ac:dyDescent="0.2">
      <c r="B37477" s="1168"/>
    </row>
    <row r="37478" spans="2:2" s="221" customFormat="1" ht="12.75" x14ac:dyDescent="0.2">
      <c r="B37478" s="1168"/>
    </row>
    <row r="37479" spans="2:2" s="221" customFormat="1" ht="12.75" x14ac:dyDescent="0.2">
      <c r="B37479" s="1168"/>
    </row>
    <row r="37480" spans="2:2" s="221" customFormat="1" ht="12.75" x14ac:dyDescent="0.2">
      <c r="B37480" s="1168"/>
    </row>
    <row r="37481" spans="2:2" s="221" customFormat="1" ht="12.75" x14ac:dyDescent="0.2">
      <c r="B37481" s="1168"/>
    </row>
    <row r="37482" spans="2:2" s="221" customFormat="1" ht="12.75" x14ac:dyDescent="0.2">
      <c r="B37482" s="1168"/>
    </row>
    <row r="37483" spans="2:2" s="221" customFormat="1" ht="12.75" x14ac:dyDescent="0.2">
      <c r="B37483" s="1168"/>
    </row>
    <row r="37484" spans="2:2" s="221" customFormat="1" ht="12.75" x14ac:dyDescent="0.2">
      <c r="B37484" s="1168"/>
    </row>
    <row r="37485" spans="2:2" s="221" customFormat="1" ht="12.75" x14ac:dyDescent="0.2">
      <c r="B37485" s="1168"/>
    </row>
    <row r="37486" spans="2:2" s="221" customFormat="1" ht="12.75" x14ac:dyDescent="0.2">
      <c r="B37486" s="1168"/>
    </row>
    <row r="37487" spans="2:2" s="221" customFormat="1" ht="12.75" x14ac:dyDescent="0.2">
      <c r="B37487" s="1168"/>
    </row>
    <row r="37488" spans="2:2" s="221" customFormat="1" ht="12.75" x14ac:dyDescent="0.2">
      <c r="B37488" s="1168"/>
    </row>
    <row r="37489" spans="2:2" s="221" customFormat="1" ht="12.75" x14ac:dyDescent="0.2">
      <c r="B37489" s="1168"/>
    </row>
    <row r="37490" spans="2:2" s="221" customFormat="1" ht="12.75" x14ac:dyDescent="0.2">
      <c r="B37490" s="1168"/>
    </row>
    <row r="37491" spans="2:2" s="221" customFormat="1" ht="12.75" x14ac:dyDescent="0.2">
      <c r="B37491" s="1168"/>
    </row>
    <row r="37492" spans="2:2" s="221" customFormat="1" ht="12.75" x14ac:dyDescent="0.2">
      <c r="B37492" s="1168"/>
    </row>
    <row r="37493" spans="2:2" s="221" customFormat="1" ht="12.75" x14ac:dyDescent="0.2">
      <c r="B37493" s="1168"/>
    </row>
    <row r="37494" spans="2:2" s="221" customFormat="1" ht="12.75" x14ac:dyDescent="0.2">
      <c r="B37494" s="1168"/>
    </row>
    <row r="37495" spans="2:2" s="221" customFormat="1" ht="12.75" x14ac:dyDescent="0.2">
      <c r="B37495" s="1168"/>
    </row>
    <row r="37496" spans="2:2" s="221" customFormat="1" ht="12.75" x14ac:dyDescent="0.2">
      <c r="B37496" s="1168"/>
    </row>
    <row r="37497" spans="2:2" s="221" customFormat="1" ht="12.75" x14ac:dyDescent="0.2">
      <c r="B37497" s="1168"/>
    </row>
    <row r="37498" spans="2:2" s="221" customFormat="1" ht="12.75" x14ac:dyDescent="0.2">
      <c r="B37498" s="1168"/>
    </row>
    <row r="37499" spans="2:2" s="221" customFormat="1" ht="12.75" x14ac:dyDescent="0.2">
      <c r="B37499" s="1168"/>
    </row>
    <row r="37500" spans="2:2" s="221" customFormat="1" ht="12.75" x14ac:dyDescent="0.2">
      <c r="B37500" s="1168"/>
    </row>
    <row r="37501" spans="2:2" s="221" customFormat="1" ht="12.75" x14ac:dyDescent="0.2">
      <c r="B37501" s="1168"/>
    </row>
    <row r="37502" spans="2:2" s="221" customFormat="1" ht="12.75" x14ac:dyDescent="0.2">
      <c r="B37502" s="1168"/>
    </row>
    <row r="37503" spans="2:2" s="221" customFormat="1" ht="12.75" x14ac:dyDescent="0.2">
      <c r="B37503" s="1168"/>
    </row>
    <row r="37504" spans="2:2" s="221" customFormat="1" ht="12.75" x14ac:dyDescent="0.2">
      <c r="B37504" s="1168"/>
    </row>
    <row r="37505" spans="2:2" s="221" customFormat="1" ht="12.75" x14ac:dyDescent="0.2">
      <c r="B37505" s="1168"/>
    </row>
    <row r="37506" spans="2:2" s="221" customFormat="1" ht="12.75" x14ac:dyDescent="0.2">
      <c r="B37506" s="1168"/>
    </row>
    <row r="37507" spans="2:2" s="221" customFormat="1" ht="12.75" x14ac:dyDescent="0.2">
      <c r="B37507" s="1168"/>
    </row>
    <row r="37508" spans="2:2" s="221" customFormat="1" ht="12.75" x14ac:dyDescent="0.2">
      <c r="B37508" s="1168"/>
    </row>
    <row r="37509" spans="2:2" s="221" customFormat="1" ht="12.75" x14ac:dyDescent="0.2">
      <c r="B37509" s="1168"/>
    </row>
    <row r="37510" spans="2:2" s="221" customFormat="1" ht="12.75" x14ac:dyDescent="0.2">
      <c r="B37510" s="1168"/>
    </row>
    <row r="37511" spans="2:2" s="221" customFormat="1" ht="12.75" x14ac:dyDescent="0.2">
      <c r="B37511" s="1168"/>
    </row>
    <row r="37512" spans="2:2" s="221" customFormat="1" ht="12.75" x14ac:dyDescent="0.2">
      <c r="B37512" s="1168"/>
    </row>
    <row r="37513" spans="2:2" s="221" customFormat="1" ht="12.75" x14ac:dyDescent="0.2">
      <c r="B37513" s="1168"/>
    </row>
    <row r="37514" spans="2:2" s="221" customFormat="1" ht="12.75" x14ac:dyDescent="0.2">
      <c r="B37514" s="1168"/>
    </row>
    <row r="37515" spans="2:2" s="221" customFormat="1" ht="12.75" x14ac:dyDescent="0.2">
      <c r="B37515" s="1168"/>
    </row>
    <row r="37516" spans="2:2" s="221" customFormat="1" ht="12.75" x14ac:dyDescent="0.2">
      <c r="B37516" s="1168"/>
    </row>
    <row r="37517" spans="2:2" s="221" customFormat="1" ht="12.75" x14ac:dyDescent="0.2">
      <c r="B37517" s="1168"/>
    </row>
    <row r="37518" spans="2:2" s="221" customFormat="1" ht="12.75" x14ac:dyDescent="0.2">
      <c r="B37518" s="1168"/>
    </row>
    <row r="37519" spans="2:2" s="221" customFormat="1" ht="12.75" x14ac:dyDescent="0.2">
      <c r="B37519" s="1168"/>
    </row>
    <row r="37520" spans="2:2" s="221" customFormat="1" ht="12.75" x14ac:dyDescent="0.2">
      <c r="B37520" s="1168"/>
    </row>
    <row r="37521" spans="2:2" s="221" customFormat="1" ht="12.75" x14ac:dyDescent="0.2">
      <c r="B37521" s="1168"/>
    </row>
    <row r="37522" spans="2:2" s="221" customFormat="1" ht="12.75" x14ac:dyDescent="0.2">
      <c r="B37522" s="1168"/>
    </row>
    <row r="37523" spans="2:2" s="221" customFormat="1" ht="12.75" x14ac:dyDescent="0.2">
      <c r="B37523" s="1168"/>
    </row>
    <row r="37524" spans="2:2" s="221" customFormat="1" ht="12.75" x14ac:dyDescent="0.2">
      <c r="B37524" s="1168"/>
    </row>
    <row r="37525" spans="2:2" s="221" customFormat="1" ht="12.75" x14ac:dyDescent="0.2">
      <c r="B37525" s="1168"/>
    </row>
    <row r="37526" spans="2:2" s="221" customFormat="1" ht="12.75" x14ac:dyDescent="0.2">
      <c r="B37526" s="1168"/>
    </row>
    <row r="37527" spans="2:2" s="221" customFormat="1" ht="12.75" x14ac:dyDescent="0.2">
      <c r="B37527" s="1168"/>
    </row>
    <row r="37528" spans="2:2" s="221" customFormat="1" ht="12.75" x14ac:dyDescent="0.2">
      <c r="B37528" s="1168"/>
    </row>
    <row r="37529" spans="2:2" s="221" customFormat="1" ht="12.75" x14ac:dyDescent="0.2">
      <c r="B37529" s="1168"/>
    </row>
    <row r="37530" spans="2:2" s="221" customFormat="1" ht="12.75" x14ac:dyDescent="0.2">
      <c r="B37530" s="1168"/>
    </row>
    <row r="37531" spans="2:2" s="221" customFormat="1" ht="12.75" x14ac:dyDescent="0.2">
      <c r="B37531" s="1168"/>
    </row>
    <row r="37532" spans="2:2" s="221" customFormat="1" ht="12.75" x14ac:dyDescent="0.2">
      <c r="B37532" s="1168"/>
    </row>
    <row r="37533" spans="2:2" s="221" customFormat="1" ht="12.75" x14ac:dyDescent="0.2">
      <c r="B37533" s="1168"/>
    </row>
    <row r="37534" spans="2:2" s="221" customFormat="1" ht="12.75" x14ac:dyDescent="0.2">
      <c r="B37534" s="1168"/>
    </row>
    <row r="37535" spans="2:2" s="221" customFormat="1" ht="12.75" x14ac:dyDescent="0.2">
      <c r="B37535" s="1168"/>
    </row>
    <row r="37536" spans="2:2" s="221" customFormat="1" ht="12.75" x14ac:dyDescent="0.2">
      <c r="B37536" s="1168"/>
    </row>
    <row r="37537" spans="2:2" s="221" customFormat="1" ht="12.75" x14ac:dyDescent="0.2">
      <c r="B37537" s="1168"/>
    </row>
    <row r="37538" spans="2:2" s="221" customFormat="1" ht="12.75" x14ac:dyDescent="0.2">
      <c r="B37538" s="1168"/>
    </row>
    <row r="37539" spans="2:2" s="221" customFormat="1" ht="12.75" x14ac:dyDescent="0.2">
      <c r="B37539" s="1168"/>
    </row>
    <row r="37540" spans="2:2" s="221" customFormat="1" ht="12.75" x14ac:dyDescent="0.2">
      <c r="B37540" s="1168"/>
    </row>
    <row r="37541" spans="2:2" s="221" customFormat="1" ht="12.75" x14ac:dyDescent="0.2">
      <c r="B37541" s="1168"/>
    </row>
    <row r="37542" spans="2:2" s="221" customFormat="1" ht="12.75" x14ac:dyDescent="0.2">
      <c r="B37542" s="1168"/>
    </row>
    <row r="37543" spans="2:2" s="221" customFormat="1" ht="12.75" x14ac:dyDescent="0.2">
      <c r="B37543" s="1168"/>
    </row>
    <row r="37544" spans="2:2" s="221" customFormat="1" ht="12.75" x14ac:dyDescent="0.2">
      <c r="B37544" s="1168"/>
    </row>
    <row r="37545" spans="2:2" s="221" customFormat="1" ht="12.75" x14ac:dyDescent="0.2">
      <c r="B37545" s="1168"/>
    </row>
    <row r="37546" spans="2:2" s="221" customFormat="1" ht="12.75" x14ac:dyDescent="0.2">
      <c r="B37546" s="1168"/>
    </row>
    <row r="37547" spans="2:2" s="221" customFormat="1" ht="12.75" x14ac:dyDescent="0.2">
      <c r="B37547" s="1168"/>
    </row>
    <row r="37548" spans="2:2" s="221" customFormat="1" ht="12.75" x14ac:dyDescent="0.2">
      <c r="B37548" s="1168"/>
    </row>
    <row r="37549" spans="2:2" s="221" customFormat="1" ht="12.75" x14ac:dyDescent="0.2">
      <c r="B37549" s="1168"/>
    </row>
    <row r="37550" spans="2:2" s="221" customFormat="1" ht="12.75" x14ac:dyDescent="0.2">
      <c r="B37550" s="1168"/>
    </row>
    <row r="37551" spans="2:2" s="221" customFormat="1" ht="12.75" x14ac:dyDescent="0.2">
      <c r="B37551" s="1168"/>
    </row>
    <row r="37552" spans="2:2" s="221" customFormat="1" ht="12.75" x14ac:dyDescent="0.2">
      <c r="B37552" s="1168"/>
    </row>
    <row r="37553" spans="2:2" s="221" customFormat="1" ht="12.75" x14ac:dyDescent="0.2">
      <c r="B37553" s="1168"/>
    </row>
    <row r="37554" spans="2:2" s="221" customFormat="1" ht="12.75" x14ac:dyDescent="0.2">
      <c r="B37554" s="1168"/>
    </row>
    <row r="37555" spans="2:2" s="221" customFormat="1" ht="12.75" x14ac:dyDescent="0.2">
      <c r="B37555" s="1168"/>
    </row>
    <row r="37556" spans="2:2" s="221" customFormat="1" ht="12.75" x14ac:dyDescent="0.2">
      <c r="B37556" s="1168"/>
    </row>
    <row r="37557" spans="2:2" s="221" customFormat="1" ht="12.75" x14ac:dyDescent="0.2">
      <c r="B37557" s="1168"/>
    </row>
    <row r="37558" spans="2:2" s="221" customFormat="1" ht="12.75" x14ac:dyDescent="0.2">
      <c r="B37558" s="1168"/>
    </row>
    <row r="37559" spans="2:2" s="221" customFormat="1" ht="12.75" x14ac:dyDescent="0.2">
      <c r="B37559" s="1168"/>
    </row>
    <row r="37560" spans="2:2" s="221" customFormat="1" ht="12.75" x14ac:dyDescent="0.2">
      <c r="B37560" s="1168"/>
    </row>
    <row r="37561" spans="2:2" s="221" customFormat="1" ht="12.75" x14ac:dyDescent="0.2">
      <c r="B37561" s="1168"/>
    </row>
    <row r="37562" spans="2:2" s="221" customFormat="1" ht="12.75" x14ac:dyDescent="0.2">
      <c r="B37562" s="1168"/>
    </row>
    <row r="37563" spans="2:2" s="221" customFormat="1" ht="12.75" x14ac:dyDescent="0.2">
      <c r="B37563" s="1168"/>
    </row>
    <row r="37564" spans="2:2" s="221" customFormat="1" ht="12.75" x14ac:dyDescent="0.2">
      <c r="B37564" s="1168"/>
    </row>
    <row r="37565" spans="2:2" s="221" customFormat="1" ht="12.75" x14ac:dyDescent="0.2">
      <c r="B37565" s="1168"/>
    </row>
    <row r="37566" spans="2:2" s="221" customFormat="1" ht="12.75" x14ac:dyDescent="0.2">
      <c r="B37566" s="1168"/>
    </row>
    <row r="37567" spans="2:2" s="221" customFormat="1" ht="12.75" x14ac:dyDescent="0.2">
      <c r="B37567" s="1168"/>
    </row>
    <row r="37568" spans="2:2" s="221" customFormat="1" ht="12.75" x14ac:dyDescent="0.2">
      <c r="B37568" s="1168"/>
    </row>
    <row r="37569" spans="2:2" s="221" customFormat="1" ht="12.75" x14ac:dyDescent="0.2">
      <c r="B37569" s="1168"/>
    </row>
    <row r="37570" spans="2:2" s="221" customFormat="1" ht="12.75" x14ac:dyDescent="0.2">
      <c r="B37570" s="1168"/>
    </row>
    <row r="37571" spans="2:2" s="221" customFormat="1" ht="12.75" x14ac:dyDescent="0.2">
      <c r="B37571" s="1168"/>
    </row>
    <row r="37572" spans="2:2" s="221" customFormat="1" ht="12.75" x14ac:dyDescent="0.2">
      <c r="B37572" s="1168"/>
    </row>
    <row r="37573" spans="2:2" s="221" customFormat="1" ht="12.75" x14ac:dyDescent="0.2">
      <c r="B37573" s="1168"/>
    </row>
    <row r="37574" spans="2:2" s="221" customFormat="1" ht="12.75" x14ac:dyDescent="0.2">
      <c r="B37574" s="1168"/>
    </row>
    <row r="37575" spans="2:2" s="221" customFormat="1" ht="12.75" x14ac:dyDescent="0.2">
      <c r="B37575" s="1168"/>
    </row>
    <row r="37576" spans="2:2" s="221" customFormat="1" ht="12.75" x14ac:dyDescent="0.2">
      <c r="B37576" s="1168"/>
    </row>
    <row r="37577" spans="2:2" s="221" customFormat="1" ht="12.75" x14ac:dyDescent="0.2">
      <c r="B37577" s="1168"/>
    </row>
    <row r="37578" spans="2:2" s="221" customFormat="1" ht="12.75" x14ac:dyDescent="0.2">
      <c r="B37578" s="1168"/>
    </row>
    <row r="37579" spans="2:2" s="221" customFormat="1" ht="12.75" x14ac:dyDescent="0.2">
      <c r="B37579" s="1168"/>
    </row>
    <row r="37580" spans="2:2" s="221" customFormat="1" ht="12.75" x14ac:dyDescent="0.2">
      <c r="B37580" s="1168"/>
    </row>
    <row r="37581" spans="2:2" s="221" customFormat="1" ht="12.75" x14ac:dyDescent="0.2">
      <c r="B37581" s="1168"/>
    </row>
    <row r="37582" spans="2:2" s="221" customFormat="1" ht="12.75" x14ac:dyDescent="0.2">
      <c r="B37582" s="1168"/>
    </row>
    <row r="37583" spans="2:2" s="221" customFormat="1" ht="12.75" x14ac:dyDescent="0.2">
      <c r="B37583" s="1168"/>
    </row>
    <row r="37584" spans="2:2" s="221" customFormat="1" ht="12.75" x14ac:dyDescent="0.2">
      <c r="B37584" s="1168"/>
    </row>
    <row r="37585" spans="2:2" s="221" customFormat="1" ht="12.75" x14ac:dyDescent="0.2">
      <c r="B37585" s="1168"/>
    </row>
    <row r="37586" spans="2:2" s="221" customFormat="1" ht="12.75" x14ac:dyDescent="0.2">
      <c r="B37586" s="1168"/>
    </row>
    <row r="37587" spans="2:2" s="221" customFormat="1" ht="12.75" x14ac:dyDescent="0.2">
      <c r="B37587" s="1168"/>
    </row>
    <row r="37588" spans="2:2" s="221" customFormat="1" ht="12.75" x14ac:dyDescent="0.2">
      <c r="B37588" s="1168"/>
    </row>
    <row r="37589" spans="2:2" s="221" customFormat="1" ht="12.75" x14ac:dyDescent="0.2">
      <c r="B37589" s="1168"/>
    </row>
    <row r="37590" spans="2:2" s="221" customFormat="1" ht="12.75" x14ac:dyDescent="0.2">
      <c r="B37590" s="1168"/>
    </row>
    <row r="37591" spans="2:2" s="221" customFormat="1" ht="12.75" x14ac:dyDescent="0.2">
      <c r="B37591" s="1168"/>
    </row>
    <row r="37592" spans="2:2" s="221" customFormat="1" ht="12.75" x14ac:dyDescent="0.2">
      <c r="B37592" s="1168"/>
    </row>
    <row r="37593" spans="2:2" s="221" customFormat="1" ht="12.75" x14ac:dyDescent="0.2">
      <c r="B37593" s="1168"/>
    </row>
    <row r="37594" spans="2:2" s="221" customFormat="1" ht="12.75" x14ac:dyDescent="0.2">
      <c r="B37594" s="1168"/>
    </row>
    <row r="37595" spans="2:2" s="221" customFormat="1" ht="12.75" x14ac:dyDescent="0.2">
      <c r="B37595" s="1168"/>
    </row>
    <row r="37596" spans="2:2" s="221" customFormat="1" ht="12.75" x14ac:dyDescent="0.2">
      <c r="B37596" s="1168"/>
    </row>
    <row r="37597" spans="2:2" s="221" customFormat="1" ht="12.75" x14ac:dyDescent="0.2">
      <c r="B37597" s="1168"/>
    </row>
    <row r="37598" spans="2:2" s="221" customFormat="1" ht="12.75" x14ac:dyDescent="0.2">
      <c r="B37598" s="1168"/>
    </row>
    <row r="37599" spans="2:2" s="221" customFormat="1" ht="12.75" x14ac:dyDescent="0.2">
      <c r="B37599" s="1168"/>
    </row>
    <row r="37600" spans="2:2" s="221" customFormat="1" ht="12.75" x14ac:dyDescent="0.2">
      <c r="B37600" s="1168"/>
    </row>
    <row r="37601" spans="2:2" s="221" customFormat="1" ht="12.75" x14ac:dyDescent="0.2">
      <c r="B37601" s="1168"/>
    </row>
    <row r="37602" spans="2:2" s="221" customFormat="1" ht="12.75" x14ac:dyDescent="0.2">
      <c r="B37602" s="1168"/>
    </row>
    <row r="37603" spans="2:2" s="221" customFormat="1" ht="12.75" x14ac:dyDescent="0.2">
      <c r="B37603" s="1168"/>
    </row>
    <row r="37604" spans="2:2" s="221" customFormat="1" ht="12.75" x14ac:dyDescent="0.2">
      <c r="B37604" s="1168"/>
    </row>
    <row r="37605" spans="2:2" s="221" customFormat="1" ht="12.75" x14ac:dyDescent="0.2">
      <c r="B37605" s="1168"/>
    </row>
    <row r="37606" spans="2:2" s="221" customFormat="1" ht="12.75" x14ac:dyDescent="0.2">
      <c r="B37606" s="1168"/>
    </row>
    <row r="37607" spans="2:2" s="221" customFormat="1" ht="12.75" x14ac:dyDescent="0.2">
      <c r="B37607" s="1168"/>
    </row>
    <row r="37608" spans="2:2" s="221" customFormat="1" ht="12.75" x14ac:dyDescent="0.2">
      <c r="B37608" s="1168"/>
    </row>
    <row r="37609" spans="2:2" s="221" customFormat="1" ht="12.75" x14ac:dyDescent="0.2">
      <c r="B37609" s="1168"/>
    </row>
    <row r="37610" spans="2:2" s="221" customFormat="1" ht="12.75" x14ac:dyDescent="0.2">
      <c r="B37610" s="1168"/>
    </row>
    <row r="37611" spans="2:2" s="221" customFormat="1" ht="12.75" x14ac:dyDescent="0.2">
      <c r="B37611" s="1168"/>
    </row>
    <row r="37612" spans="2:2" s="221" customFormat="1" ht="12.75" x14ac:dyDescent="0.2">
      <c r="B37612" s="1168"/>
    </row>
    <row r="37613" spans="2:2" s="221" customFormat="1" ht="12.75" x14ac:dyDescent="0.2">
      <c r="B37613" s="1168"/>
    </row>
    <row r="37614" spans="2:2" s="221" customFormat="1" ht="12.75" x14ac:dyDescent="0.2">
      <c r="B37614" s="1168"/>
    </row>
    <row r="37615" spans="2:2" s="221" customFormat="1" ht="12.75" x14ac:dyDescent="0.2">
      <c r="B37615" s="1168"/>
    </row>
    <row r="37616" spans="2:2" s="221" customFormat="1" ht="12.75" x14ac:dyDescent="0.2">
      <c r="B37616" s="1168"/>
    </row>
    <row r="37617" spans="2:2" s="221" customFormat="1" ht="12.75" x14ac:dyDescent="0.2">
      <c r="B37617" s="1168"/>
    </row>
    <row r="37618" spans="2:2" s="221" customFormat="1" ht="12.75" x14ac:dyDescent="0.2">
      <c r="B37618" s="1168"/>
    </row>
    <row r="37619" spans="2:2" s="221" customFormat="1" ht="12.75" x14ac:dyDescent="0.2">
      <c r="B37619" s="1168"/>
    </row>
    <row r="37620" spans="2:2" s="221" customFormat="1" ht="12.75" x14ac:dyDescent="0.2">
      <c r="B37620" s="1168"/>
    </row>
    <row r="37621" spans="2:2" s="221" customFormat="1" ht="12.75" x14ac:dyDescent="0.2">
      <c r="B37621" s="1168"/>
    </row>
    <row r="37622" spans="2:2" s="221" customFormat="1" ht="12.75" x14ac:dyDescent="0.2">
      <c r="B37622" s="1168"/>
    </row>
    <row r="37623" spans="2:2" s="221" customFormat="1" ht="12.75" x14ac:dyDescent="0.2">
      <c r="B37623" s="1168"/>
    </row>
    <row r="37624" spans="2:2" s="221" customFormat="1" ht="12.75" x14ac:dyDescent="0.2">
      <c r="B37624" s="1168"/>
    </row>
    <row r="37625" spans="2:2" s="221" customFormat="1" ht="12.75" x14ac:dyDescent="0.2">
      <c r="B37625" s="1168"/>
    </row>
    <row r="37626" spans="2:2" s="221" customFormat="1" ht="12.75" x14ac:dyDescent="0.2">
      <c r="B37626" s="1168"/>
    </row>
    <row r="37627" spans="2:2" s="221" customFormat="1" ht="12.75" x14ac:dyDescent="0.2">
      <c r="B37627" s="1168"/>
    </row>
    <row r="37628" spans="2:2" s="221" customFormat="1" ht="12.75" x14ac:dyDescent="0.2">
      <c r="B37628" s="1168"/>
    </row>
    <row r="37629" spans="2:2" s="221" customFormat="1" ht="12.75" x14ac:dyDescent="0.2">
      <c r="B37629" s="1168"/>
    </row>
    <row r="37630" spans="2:2" s="221" customFormat="1" ht="12.75" x14ac:dyDescent="0.2">
      <c r="B37630" s="1168"/>
    </row>
    <row r="37631" spans="2:2" s="221" customFormat="1" ht="12.75" x14ac:dyDescent="0.2">
      <c r="B37631" s="1168"/>
    </row>
    <row r="37632" spans="2:2" s="221" customFormat="1" ht="12.75" x14ac:dyDescent="0.2">
      <c r="B37632" s="1168"/>
    </row>
    <row r="37633" spans="2:2" s="221" customFormat="1" ht="12.75" x14ac:dyDescent="0.2">
      <c r="B37633" s="1168"/>
    </row>
    <row r="37634" spans="2:2" s="221" customFormat="1" ht="12.75" x14ac:dyDescent="0.2">
      <c r="B37634" s="1168"/>
    </row>
    <row r="37635" spans="2:2" s="221" customFormat="1" ht="12.75" x14ac:dyDescent="0.2">
      <c r="B37635" s="1168"/>
    </row>
    <row r="37636" spans="2:2" s="221" customFormat="1" ht="12.75" x14ac:dyDescent="0.2">
      <c r="B37636" s="1168"/>
    </row>
    <row r="37637" spans="2:2" s="221" customFormat="1" ht="12.75" x14ac:dyDescent="0.2">
      <c r="B37637" s="1168"/>
    </row>
    <row r="37638" spans="2:2" s="221" customFormat="1" ht="12.75" x14ac:dyDescent="0.2">
      <c r="B37638" s="1168"/>
    </row>
    <row r="37639" spans="2:2" s="221" customFormat="1" ht="12.75" x14ac:dyDescent="0.2">
      <c r="B37639" s="1168"/>
    </row>
    <row r="37640" spans="2:2" s="221" customFormat="1" ht="12.75" x14ac:dyDescent="0.2">
      <c r="B37640" s="1168"/>
    </row>
    <row r="37641" spans="2:2" s="221" customFormat="1" ht="12.75" x14ac:dyDescent="0.2">
      <c r="B37641" s="1168"/>
    </row>
    <row r="37642" spans="2:2" s="221" customFormat="1" ht="12.75" x14ac:dyDescent="0.2">
      <c r="B37642" s="1168"/>
    </row>
    <row r="37643" spans="2:2" s="221" customFormat="1" ht="12.75" x14ac:dyDescent="0.2">
      <c r="B37643" s="1168"/>
    </row>
    <row r="37644" spans="2:2" s="221" customFormat="1" ht="12.75" x14ac:dyDescent="0.2">
      <c r="B37644" s="1168"/>
    </row>
    <row r="37645" spans="2:2" s="221" customFormat="1" ht="12.75" x14ac:dyDescent="0.2">
      <c r="B37645" s="1168"/>
    </row>
    <row r="37646" spans="2:2" s="221" customFormat="1" ht="12.75" x14ac:dyDescent="0.2">
      <c r="B37646" s="1168"/>
    </row>
    <row r="37647" spans="2:2" s="221" customFormat="1" ht="12.75" x14ac:dyDescent="0.2">
      <c r="B37647" s="1168"/>
    </row>
    <row r="37648" spans="2:2" s="221" customFormat="1" ht="12.75" x14ac:dyDescent="0.2">
      <c r="B37648" s="1168"/>
    </row>
    <row r="37649" spans="2:2" s="221" customFormat="1" ht="12.75" x14ac:dyDescent="0.2">
      <c r="B37649" s="1168"/>
    </row>
    <row r="37650" spans="2:2" s="221" customFormat="1" ht="12.75" x14ac:dyDescent="0.2">
      <c r="B37650" s="1168"/>
    </row>
    <row r="37651" spans="2:2" s="221" customFormat="1" ht="12.75" x14ac:dyDescent="0.2">
      <c r="B37651" s="1168"/>
    </row>
    <row r="37652" spans="2:2" s="221" customFormat="1" ht="12.75" x14ac:dyDescent="0.2">
      <c r="B37652" s="1168"/>
    </row>
    <row r="37653" spans="2:2" s="221" customFormat="1" ht="12.75" x14ac:dyDescent="0.2">
      <c r="B37653" s="1168"/>
    </row>
    <row r="37654" spans="2:2" s="221" customFormat="1" ht="12.75" x14ac:dyDescent="0.2">
      <c r="B37654" s="1168"/>
    </row>
    <row r="37655" spans="2:2" s="221" customFormat="1" ht="12.75" x14ac:dyDescent="0.2">
      <c r="B37655" s="1168"/>
    </row>
    <row r="37656" spans="2:2" s="221" customFormat="1" ht="12.75" x14ac:dyDescent="0.2">
      <c r="B37656" s="1168"/>
    </row>
    <row r="37657" spans="2:2" s="221" customFormat="1" ht="12.75" x14ac:dyDescent="0.2">
      <c r="B37657" s="1168"/>
    </row>
    <row r="37658" spans="2:2" s="221" customFormat="1" ht="12.75" x14ac:dyDescent="0.2">
      <c r="B37658" s="1168"/>
    </row>
    <row r="37659" spans="2:2" s="221" customFormat="1" ht="12.75" x14ac:dyDescent="0.2">
      <c r="B37659" s="1168"/>
    </row>
    <row r="37660" spans="2:2" s="221" customFormat="1" ht="12.75" x14ac:dyDescent="0.2">
      <c r="B37660" s="1168"/>
    </row>
    <row r="37661" spans="2:2" s="221" customFormat="1" ht="12.75" x14ac:dyDescent="0.2">
      <c r="B37661" s="1168"/>
    </row>
    <row r="37662" spans="2:2" s="221" customFormat="1" ht="12.75" x14ac:dyDescent="0.2">
      <c r="B37662" s="1168"/>
    </row>
    <row r="37663" spans="2:2" s="221" customFormat="1" ht="12.75" x14ac:dyDescent="0.2">
      <c r="B37663" s="1168"/>
    </row>
    <row r="37664" spans="2:2" s="221" customFormat="1" ht="12.75" x14ac:dyDescent="0.2">
      <c r="B37664" s="1168"/>
    </row>
    <row r="37665" spans="2:2" s="221" customFormat="1" ht="12.75" x14ac:dyDescent="0.2">
      <c r="B37665" s="1168"/>
    </row>
    <row r="37666" spans="2:2" s="221" customFormat="1" ht="12.75" x14ac:dyDescent="0.2">
      <c r="B37666" s="1168"/>
    </row>
    <row r="37667" spans="2:2" s="221" customFormat="1" ht="12.75" x14ac:dyDescent="0.2">
      <c r="B37667" s="1168"/>
    </row>
    <row r="37668" spans="2:2" s="221" customFormat="1" ht="12.75" x14ac:dyDescent="0.2">
      <c r="B37668" s="1168"/>
    </row>
    <row r="37669" spans="2:2" s="221" customFormat="1" ht="12.75" x14ac:dyDescent="0.2">
      <c r="B37669" s="1168"/>
    </row>
    <row r="37670" spans="2:2" s="221" customFormat="1" ht="12.75" x14ac:dyDescent="0.2">
      <c r="B37670" s="1168"/>
    </row>
    <row r="37671" spans="2:2" s="221" customFormat="1" ht="12.75" x14ac:dyDescent="0.2">
      <c r="B37671" s="1168"/>
    </row>
    <row r="37672" spans="2:2" s="221" customFormat="1" ht="12.75" x14ac:dyDescent="0.2">
      <c r="B37672" s="1168"/>
    </row>
    <row r="37673" spans="2:2" s="221" customFormat="1" ht="12.75" x14ac:dyDescent="0.2">
      <c r="B37673" s="1168"/>
    </row>
    <row r="37674" spans="2:2" s="221" customFormat="1" ht="12.75" x14ac:dyDescent="0.2">
      <c r="B37674" s="1168"/>
    </row>
    <row r="37675" spans="2:2" s="221" customFormat="1" ht="12.75" x14ac:dyDescent="0.2">
      <c r="B37675" s="1168"/>
    </row>
    <row r="37676" spans="2:2" s="221" customFormat="1" ht="12.75" x14ac:dyDescent="0.2">
      <c r="B37676" s="1168"/>
    </row>
    <row r="37677" spans="2:2" s="221" customFormat="1" ht="12.75" x14ac:dyDescent="0.2">
      <c r="B37677" s="1168"/>
    </row>
    <row r="37678" spans="2:2" s="221" customFormat="1" ht="12.75" x14ac:dyDescent="0.2">
      <c r="B37678" s="1168"/>
    </row>
    <row r="37679" spans="2:2" s="221" customFormat="1" ht="12.75" x14ac:dyDescent="0.2">
      <c r="B37679" s="1168"/>
    </row>
    <row r="37680" spans="2:2" s="221" customFormat="1" ht="12.75" x14ac:dyDescent="0.2">
      <c r="B37680" s="1168"/>
    </row>
    <row r="37681" spans="2:2" s="221" customFormat="1" ht="12.75" x14ac:dyDescent="0.2">
      <c r="B37681" s="1168"/>
    </row>
    <row r="37682" spans="2:2" s="221" customFormat="1" ht="12.75" x14ac:dyDescent="0.2">
      <c r="B37682" s="1168"/>
    </row>
    <row r="37683" spans="2:2" s="221" customFormat="1" ht="12.75" x14ac:dyDescent="0.2">
      <c r="B37683" s="1168"/>
    </row>
    <row r="37684" spans="2:2" s="221" customFormat="1" ht="12.75" x14ac:dyDescent="0.2">
      <c r="B37684" s="1168"/>
    </row>
    <row r="37685" spans="2:2" s="221" customFormat="1" ht="12.75" x14ac:dyDescent="0.2">
      <c r="B37685" s="1168"/>
    </row>
    <row r="37686" spans="2:2" s="221" customFormat="1" ht="12.75" x14ac:dyDescent="0.2">
      <c r="B37686" s="1168"/>
    </row>
    <row r="37687" spans="2:2" s="221" customFormat="1" ht="12.75" x14ac:dyDescent="0.2">
      <c r="B37687" s="1168"/>
    </row>
    <row r="37688" spans="2:2" s="221" customFormat="1" ht="12.75" x14ac:dyDescent="0.2">
      <c r="B37688" s="1168"/>
    </row>
    <row r="37689" spans="2:2" s="221" customFormat="1" ht="12.75" x14ac:dyDescent="0.2">
      <c r="B37689" s="1168"/>
    </row>
    <row r="37690" spans="2:2" s="221" customFormat="1" ht="12.75" x14ac:dyDescent="0.2">
      <c r="B37690" s="1168"/>
    </row>
    <row r="37691" spans="2:2" s="221" customFormat="1" ht="12.75" x14ac:dyDescent="0.2">
      <c r="B37691" s="1168"/>
    </row>
    <row r="37692" spans="2:2" s="221" customFormat="1" ht="12.75" x14ac:dyDescent="0.2">
      <c r="B37692" s="1168"/>
    </row>
    <row r="37693" spans="2:2" s="221" customFormat="1" ht="12.75" x14ac:dyDescent="0.2">
      <c r="B37693" s="1168"/>
    </row>
    <row r="37694" spans="2:2" s="221" customFormat="1" ht="12.75" x14ac:dyDescent="0.2">
      <c r="B37694" s="1168"/>
    </row>
    <row r="37695" spans="2:2" s="221" customFormat="1" ht="12.75" x14ac:dyDescent="0.2">
      <c r="B37695" s="1168"/>
    </row>
    <row r="37696" spans="2:2" s="221" customFormat="1" ht="12.75" x14ac:dyDescent="0.2">
      <c r="B37696" s="1168"/>
    </row>
    <row r="37697" spans="2:2" s="221" customFormat="1" ht="12.75" x14ac:dyDescent="0.2">
      <c r="B37697" s="1168"/>
    </row>
    <row r="37698" spans="2:2" s="221" customFormat="1" ht="12.75" x14ac:dyDescent="0.2">
      <c r="B37698" s="1168"/>
    </row>
    <row r="37699" spans="2:2" s="221" customFormat="1" ht="12.75" x14ac:dyDescent="0.2">
      <c r="B37699" s="1168"/>
    </row>
    <row r="37700" spans="2:2" s="221" customFormat="1" ht="12.75" x14ac:dyDescent="0.2">
      <c r="B37700" s="1168"/>
    </row>
    <row r="37701" spans="2:2" s="221" customFormat="1" ht="12.75" x14ac:dyDescent="0.2">
      <c r="B37701" s="1168"/>
    </row>
    <row r="37702" spans="2:2" s="221" customFormat="1" ht="12.75" x14ac:dyDescent="0.2">
      <c r="B37702" s="1168"/>
    </row>
    <row r="37703" spans="2:2" s="221" customFormat="1" ht="12.75" x14ac:dyDescent="0.2">
      <c r="B37703" s="1168"/>
    </row>
    <row r="37704" spans="2:2" s="221" customFormat="1" ht="12.75" x14ac:dyDescent="0.2">
      <c r="B37704" s="1168"/>
    </row>
    <row r="37705" spans="2:2" s="221" customFormat="1" ht="12.75" x14ac:dyDescent="0.2">
      <c r="B37705" s="1168"/>
    </row>
    <row r="37706" spans="2:2" s="221" customFormat="1" ht="12.75" x14ac:dyDescent="0.2">
      <c r="B37706" s="1168"/>
    </row>
    <row r="37707" spans="2:2" s="221" customFormat="1" ht="12.75" x14ac:dyDescent="0.2">
      <c r="B37707" s="1168"/>
    </row>
    <row r="37708" spans="2:2" s="221" customFormat="1" ht="12.75" x14ac:dyDescent="0.2">
      <c r="B37708" s="1168"/>
    </row>
    <row r="37709" spans="2:2" s="221" customFormat="1" ht="12.75" x14ac:dyDescent="0.2">
      <c r="B37709" s="1168"/>
    </row>
    <row r="37710" spans="2:2" s="221" customFormat="1" ht="12.75" x14ac:dyDescent="0.2">
      <c r="B37710" s="1168"/>
    </row>
    <row r="37711" spans="2:2" s="221" customFormat="1" ht="12.75" x14ac:dyDescent="0.2">
      <c r="B37711" s="1168"/>
    </row>
    <row r="37712" spans="2:2" s="221" customFormat="1" ht="12.75" x14ac:dyDescent="0.2">
      <c r="B37712" s="1168"/>
    </row>
    <row r="37713" spans="2:2" s="221" customFormat="1" ht="12.75" x14ac:dyDescent="0.2">
      <c r="B37713" s="1168"/>
    </row>
    <row r="37714" spans="2:2" s="221" customFormat="1" ht="12.75" x14ac:dyDescent="0.2">
      <c r="B37714" s="1168"/>
    </row>
    <row r="37715" spans="2:2" s="221" customFormat="1" ht="12.75" x14ac:dyDescent="0.2">
      <c r="B37715" s="1168"/>
    </row>
    <row r="37716" spans="2:2" s="221" customFormat="1" ht="12.75" x14ac:dyDescent="0.2">
      <c r="B37716" s="1168"/>
    </row>
    <row r="37717" spans="2:2" s="221" customFormat="1" ht="12.75" x14ac:dyDescent="0.2">
      <c r="B37717" s="1168"/>
    </row>
    <row r="37718" spans="2:2" s="221" customFormat="1" ht="12.75" x14ac:dyDescent="0.2">
      <c r="B37718" s="1168"/>
    </row>
    <row r="37719" spans="2:2" s="221" customFormat="1" ht="12.75" x14ac:dyDescent="0.2">
      <c r="B37719" s="1168"/>
    </row>
    <row r="37720" spans="2:2" s="221" customFormat="1" ht="12.75" x14ac:dyDescent="0.2">
      <c r="B37720" s="1168"/>
    </row>
    <row r="37721" spans="2:2" s="221" customFormat="1" ht="12.75" x14ac:dyDescent="0.2">
      <c r="B37721" s="1168"/>
    </row>
    <row r="37722" spans="2:2" s="221" customFormat="1" ht="12.75" x14ac:dyDescent="0.2">
      <c r="B37722" s="1168"/>
    </row>
    <row r="37723" spans="2:2" s="221" customFormat="1" ht="12.75" x14ac:dyDescent="0.2">
      <c r="B37723" s="1168"/>
    </row>
    <row r="37724" spans="2:2" s="221" customFormat="1" ht="12.75" x14ac:dyDescent="0.2">
      <c r="B37724" s="1168"/>
    </row>
    <row r="37725" spans="2:2" s="221" customFormat="1" ht="12.75" x14ac:dyDescent="0.2">
      <c r="B37725" s="1168"/>
    </row>
    <row r="37726" spans="2:2" s="221" customFormat="1" ht="12.75" x14ac:dyDescent="0.2">
      <c r="B37726" s="1168"/>
    </row>
    <row r="37727" spans="2:2" s="221" customFormat="1" ht="12.75" x14ac:dyDescent="0.2">
      <c r="B37727" s="1168"/>
    </row>
    <row r="37728" spans="2:2" s="221" customFormat="1" ht="12.75" x14ac:dyDescent="0.2">
      <c r="B37728" s="1168"/>
    </row>
    <row r="37729" spans="2:2" s="221" customFormat="1" ht="12.75" x14ac:dyDescent="0.2">
      <c r="B37729" s="1168"/>
    </row>
    <row r="37730" spans="2:2" s="221" customFormat="1" ht="12.75" x14ac:dyDescent="0.2">
      <c r="B37730" s="1168"/>
    </row>
    <row r="37731" spans="2:2" s="221" customFormat="1" ht="12.75" x14ac:dyDescent="0.2">
      <c r="B37731" s="1168"/>
    </row>
    <row r="37732" spans="2:2" s="221" customFormat="1" ht="12.75" x14ac:dyDescent="0.2">
      <c r="B37732" s="1168"/>
    </row>
    <row r="37733" spans="2:2" s="221" customFormat="1" ht="12.75" x14ac:dyDescent="0.2">
      <c r="B37733" s="1168"/>
    </row>
    <row r="37734" spans="2:2" s="221" customFormat="1" ht="12.75" x14ac:dyDescent="0.2">
      <c r="B37734" s="1168"/>
    </row>
    <row r="37735" spans="2:2" s="221" customFormat="1" ht="12.75" x14ac:dyDescent="0.2">
      <c r="B37735" s="1168"/>
    </row>
    <row r="37736" spans="2:2" s="221" customFormat="1" ht="12.75" x14ac:dyDescent="0.2">
      <c r="B37736" s="1168"/>
    </row>
    <row r="37737" spans="2:2" s="221" customFormat="1" ht="12.75" x14ac:dyDescent="0.2">
      <c r="B37737" s="1168"/>
    </row>
    <row r="37738" spans="2:2" s="221" customFormat="1" ht="12.75" x14ac:dyDescent="0.2">
      <c r="B37738" s="1168"/>
    </row>
    <row r="37739" spans="2:2" s="221" customFormat="1" ht="12.75" x14ac:dyDescent="0.2">
      <c r="B37739" s="1168"/>
    </row>
    <row r="37740" spans="2:2" s="221" customFormat="1" ht="12.75" x14ac:dyDescent="0.2">
      <c r="B37740" s="1168"/>
    </row>
    <row r="37741" spans="2:2" s="221" customFormat="1" ht="12.75" x14ac:dyDescent="0.2">
      <c r="B37741" s="1168"/>
    </row>
    <row r="37742" spans="2:2" s="221" customFormat="1" ht="12.75" x14ac:dyDescent="0.2">
      <c r="B37742" s="1168"/>
    </row>
    <row r="37743" spans="2:2" s="221" customFormat="1" ht="12.75" x14ac:dyDescent="0.2">
      <c r="B37743" s="1168"/>
    </row>
    <row r="37744" spans="2:2" s="221" customFormat="1" ht="12.75" x14ac:dyDescent="0.2">
      <c r="B37744" s="1168"/>
    </row>
    <row r="37745" spans="2:2" s="221" customFormat="1" ht="12.75" x14ac:dyDescent="0.2">
      <c r="B37745" s="1168"/>
    </row>
    <row r="37746" spans="2:2" s="221" customFormat="1" ht="12.75" x14ac:dyDescent="0.2">
      <c r="B37746" s="1168"/>
    </row>
    <row r="37747" spans="2:2" s="221" customFormat="1" ht="12.75" x14ac:dyDescent="0.2">
      <c r="B37747" s="1168"/>
    </row>
    <row r="37748" spans="2:2" s="221" customFormat="1" ht="12.75" x14ac:dyDescent="0.2">
      <c r="B37748" s="1168"/>
    </row>
    <row r="37749" spans="2:2" s="221" customFormat="1" ht="12.75" x14ac:dyDescent="0.2">
      <c r="B37749" s="1168"/>
    </row>
    <row r="37750" spans="2:2" s="221" customFormat="1" ht="12.75" x14ac:dyDescent="0.2">
      <c r="B37750" s="1168"/>
    </row>
    <row r="37751" spans="2:2" s="221" customFormat="1" ht="12.75" x14ac:dyDescent="0.2">
      <c r="B37751" s="1168"/>
    </row>
    <row r="37752" spans="2:2" s="221" customFormat="1" ht="12.75" x14ac:dyDescent="0.2">
      <c r="B37752" s="1168"/>
    </row>
    <row r="37753" spans="2:2" s="221" customFormat="1" ht="12.75" x14ac:dyDescent="0.2">
      <c r="B37753" s="1168"/>
    </row>
    <row r="37754" spans="2:2" s="221" customFormat="1" ht="12.75" x14ac:dyDescent="0.2">
      <c r="B37754" s="1168"/>
    </row>
    <row r="37755" spans="2:2" s="221" customFormat="1" ht="12.75" x14ac:dyDescent="0.2">
      <c r="B37755" s="1168"/>
    </row>
    <row r="37756" spans="2:2" s="221" customFormat="1" ht="12.75" x14ac:dyDescent="0.2">
      <c r="B37756" s="1168"/>
    </row>
    <row r="37757" spans="2:2" s="221" customFormat="1" ht="12.75" x14ac:dyDescent="0.2">
      <c r="B37757" s="1168"/>
    </row>
    <row r="37758" spans="2:2" s="221" customFormat="1" ht="12.75" x14ac:dyDescent="0.2">
      <c r="B37758" s="1168"/>
    </row>
    <row r="37759" spans="2:2" s="221" customFormat="1" ht="12.75" x14ac:dyDescent="0.2">
      <c r="B37759" s="1168"/>
    </row>
    <row r="37760" spans="2:2" s="221" customFormat="1" ht="12.75" x14ac:dyDescent="0.2">
      <c r="B37760" s="1168"/>
    </row>
    <row r="37761" spans="2:2" s="221" customFormat="1" ht="12.75" x14ac:dyDescent="0.2">
      <c r="B37761" s="1168"/>
    </row>
    <row r="37762" spans="2:2" s="221" customFormat="1" ht="12.75" x14ac:dyDescent="0.2">
      <c r="B37762" s="1168"/>
    </row>
    <row r="37763" spans="2:2" s="221" customFormat="1" ht="12.75" x14ac:dyDescent="0.2">
      <c r="B37763" s="1168"/>
    </row>
    <row r="37764" spans="2:2" s="221" customFormat="1" ht="12.75" x14ac:dyDescent="0.2">
      <c r="B37764" s="1168"/>
    </row>
    <row r="37765" spans="2:2" s="221" customFormat="1" ht="12.75" x14ac:dyDescent="0.2">
      <c r="B37765" s="1168"/>
    </row>
    <row r="37766" spans="2:2" s="221" customFormat="1" ht="12.75" x14ac:dyDescent="0.2">
      <c r="B37766" s="1168"/>
    </row>
    <row r="37767" spans="2:2" s="221" customFormat="1" ht="12.75" x14ac:dyDescent="0.2">
      <c r="B37767" s="1168"/>
    </row>
    <row r="37768" spans="2:2" s="221" customFormat="1" ht="12.75" x14ac:dyDescent="0.2">
      <c r="B37768" s="1168"/>
    </row>
    <row r="37769" spans="2:2" s="221" customFormat="1" ht="12.75" x14ac:dyDescent="0.2">
      <c r="B37769" s="1168"/>
    </row>
    <row r="37770" spans="2:2" s="221" customFormat="1" ht="12.75" x14ac:dyDescent="0.2">
      <c r="B37770" s="1168"/>
    </row>
    <row r="37771" spans="2:2" s="221" customFormat="1" ht="12.75" x14ac:dyDescent="0.2">
      <c r="B37771" s="1168"/>
    </row>
    <row r="37772" spans="2:2" s="221" customFormat="1" ht="12.75" x14ac:dyDescent="0.2">
      <c r="B37772" s="1168"/>
    </row>
    <row r="37773" spans="2:2" s="221" customFormat="1" ht="12.75" x14ac:dyDescent="0.2">
      <c r="B37773" s="1168"/>
    </row>
    <row r="37774" spans="2:2" s="221" customFormat="1" ht="12.75" x14ac:dyDescent="0.2">
      <c r="B37774" s="1168"/>
    </row>
    <row r="37775" spans="2:2" s="221" customFormat="1" ht="12.75" x14ac:dyDescent="0.2">
      <c r="B37775" s="1168"/>
    </row>
    <row r="37776" spans="2:2" s="221" customFormat="1" ht="12.75" x14ac:dyDescent="0.2">
      <c r="B37776" s="1168"/>
    </row>
    <row r="37777" spans="2:2" s="221" customFormat="1" ht="12.75" x14ac:dyDescent="0.2">
      <c r="B37777" s="1168"/>
    </row>
    <row r="37778" spans="2:2" s="221" customFormat="1" ht="12.75" x14ac:dyDescent="0.2">
      <c r="B37778" s="1168"/>
    </row>
    <row r="37779" spans="2:2" s="221" customFormat="1" ht="12.75" x14ac:dyDescent="0.2">
      <c r="B37779" s="1168"/>
    </row>
    <row r="37780" spans="2:2" s="221" customFormat="1" ht="12.75" x14ac:dyDescent="0.2">
      <c r="B37780" s="1168"/>
    </row>
    <row r="37781" spans="2:2" s="221" customFormat="1" ht="12.75" x14ac:dyDescent="0.2">
      <c r="B37781" s="1168"/>
    </row>
    <row r="37782" spans="2:2" s="221" customFormat="1" ht="12.75" x14ac:dyDescent="0.2">
      <c r="B37782" s="1168"/>
    </row>
    <row r="37783" spans="2:2" s="221" customFormat="1" ht="12.75" x14ac:dyDescent="0.2">
      <c r="B37783" s="1168"/>
    </row>
    <row r="37784" spans="2:2" s="221" customFormat="1" ht="12.75" x14ac:dyDescent="0.2">
      <c r="B37784" s="1168"/>
    </row>
    <row r="37785" spans="2:2" s="221" customFormat="1" ht="12.75" x14ac:dyDescent="0.2">
      <c r="B37785" s="1168"/>
    </row>
    <row r="37786" spans="2:2" s="221" customFormat="1" ht="12.75" x14ac:dyDescent="0.2">
      <c r="B37786" s="1168"/>
    </row>
    <row r="37787" spans="2:2" s="221" customFormat="1" ht="12.75" x14ac:dyDescent="0.2">
      <c r="B37787" s="1168"/>
    </row>
    <row r="37788" spans="2:2" s="221" customFormat="1" ht="12.75" x14ac:dyDescent="0.2">
      <c r="B37788" s="1168"/>
    </row>
    <row r="37789" spans="2:2" s="221" customFormat="1" ht="12.75" x14ac:dyDescent="0.2">
      <c r="B37789" s="1168"/>
    </row>
    <row r="37790" spans="2:2" s="221" customFormat="1" ht="12.75" x14ac:dyDescent="0.2">
      <c r="B37790" s="1168"/>
    </row>
    <row r="37791" spans="2:2" s="221" customFormat="1" ht="12.75" x14ac:dyDescent="0.2">
      <c r="B37791" s="1168"/>
    </row>
    <row r="37792" spans="2:2" s="221" customFormat="1" ht="12.75" x14ac:dyDescent="0.2">
      <c r="B37792" s="1168"/>
    </row>
    <row r="37793" spans="2:2" s="221" customFormat="1" ht="12.75" x14ac:dyDescent="0.2">
      <c r="B37793" s="1168"/>
    </row>
    <row r="37794" spans="2:2" s="221" customFormat="1" ht="12.75" x14ac:dyDescent="0.2">
      <c r="B37794" s="1168"/>
    </row>
    <row r="37795" spans="2:2" s="221" customFormat="1" ht="12.75" x14ac:dyDescent="0.2">
      <c r="B37795" s="1168"/>
    </row>
    <row r="37796" spans="2:2" s="221" customFormat="1" ht="12.75" x14ac:dyDescent="0.2">
      <c r="B37796" s="1168"/>
    </row>
    <row r="37797" spans="2:2" s="221" customFormat="1" ht="12.75" x14ac:dyDescent="0.2">
      <c r="B37797" s="1168"/>
    </row>
    <row r="37798" spans="2:2" s="221" customFormat="1" ht="12.75" x14ac:dyDescent="0.2">
      <c r="B37798" s="1168"/>
    </row>
    <row r="37799" spans="2:2" s="221" customFormat="1" ht="12.75" x14ac:dyDescent="0.2">
      <c r="B37799" s="1168"/>
    </row>
    <row r="37800" spans="2:2" s="221" customFormat="1" ht="12.75" x14ac:dyDescent="0.2">
      <c r="B37800" s="1168"/>
    </row>
    <row r="37801" spans="2:2" s="221" customFormat="1" ht="12.75" x14ac:dyDescent="0.2">
      <c r="B37801" s="1168"/>
    </row>
    <row r="37802" spans="2:2" s="221" customFormat="1" ht="12.75" x14ac:dyDescent="0.2">
      <c r="B37802" s="1168"/>
    </row>
    <row r="37803" spans="2:2" s="221" customFormat="1" ht="12.75" x14ac:dyDescent="0.2">
      <c r="B37803" s="1168"/>
    </row>
    <row r="37804" spans="2:2" s="221" customFormat="1" ht="12.75" x14ac:dyDescent="0.2">
      <c r="B37804" s="1168"/>
    </row>
    <row r="37805" spans="2:2" s="221" customFormat="1" ht="12.75" x14ac:dyDescent="0.2">
      <c r="B37805" s="1168"/>
    </row>
    <row r="37806" spans="2:2" s="221" customFormat="1" ht="12.75" x14ac:dyDescent="0.2">
      <c r="B37806" s="1168"/>
    </row>
    <row r="37807" spans="2:2" s="221" customFormat="1" ht="12.75" x14ac:dyDescent="0.2">
      <c r="B37807" s="1168"/>
    </row>
    <row r="37808" spans="2:2" s="221" customFormat="1" ht="12.75" x14ac:dyDescent="0.2">
      <c r="B37808" s="1168"/>
    </row>
    <row r="37809" spans="2:2" s="221" customFormat="1" ht="12.75" x14ac:dyDescent="0.2">
      <c r="B37809" s="1168"/>
    </row>
    <row r="37810" spans="2:2" s="221" customFormat="1" ht="12.75" x14ac:dyDescent="0.2">
      <c r="B37810" s="1168"/>
    </row>
    <row r="37811" spans="2:2" s="221" customFormat="1" ht="12.75" x14ac:dyDescent="0.2">
      <c r="B37811" s="1168"/>
    </row>
    <row r="37812" spans="2:2" s="221" customFormat="1" ht="12.75" x14ac:dyDescent="0.2">
      <c r="B37812" s="1168"/>
    </row>
    <row r="37813" spans="2:2" s="221" customFormat="1" ht="12.75" x14ac:dyDescent="0.2">
      <c r="B37813" s="1168"/>
    </row>
    <row r="37814" spans="2:2" s="221" customFormat="1" ht="12.75" x14ac:dyDescent="0.2">
      <c r="B37814" s="1168"/>
    </row>
    <row r="37815" spans="2:2" s="221" customFormat="1" ht="12.75" x14ac:dyDescent="0.2">
      <c r="B37815" s="1168"/>
    </row>
    <row r="37816" spans="2:2" s="221" customFormat="1" ht="12.75" x14ac:dyDescent="0.2">
      <c r="B37816" s="1168"/>
    </row>
    <row r="37817" spans="2:2" s="221" customFormat="1" ht="12.75" x14ac:dyDescent="0.2">
      <c r="B37817" s="1168"/>
    </row>
    <row r="37818" spans="2:2" s="221" customFormat="1" ht="12.75" x14ac:dyDescent="0.2">
      <c r="B37818" s="1168"/>
    </row>
    <row r="37819" spans="2:2" s="221" customFormat="1" ht="12.75" x14ac:dyDescent="0.2">
      <c r="B37819" s="1168"/>
    </row>
    <row r="37820" spans="2:2" s="221" customFormat="1" ht="12.75" x14ac:dyDescent="0.2">
      <c r="B37820" s="1168"/>
    </row>
    <row r="37821" spans="2:2" s="221" customFormat="1" ht="12.75" x14ac:dyDescent="0.2">
      <c r="B37821" s="1168"/>
    </row>
    <row r="37822" spans="2:2" s="221" customFormat="1" ht="12.75" x14ac:dyDescent="0.2">
      <c r="B37822" s="1168"/>
    </row>
    <row r="37823" spans="2:2" s="221" customFormat="1" ht="12.75" x14ac:dyDescent="0.2">
      <c r="B37823" s="1168"/>
    </row>
    <row r="37824" spans="2:2" s="221" customFormat="1" ht="12.75" x14ac:dyDescent="0.2">
      <c r="B37824" s="1168"/>
    </row>
    <row r="37825" spans="2:2" s="221" customFormat="1" ht="12.75" x14ac:dyDescent="0.2">
      <c r="B37825" s="1168"/>
    </row>
    <row r="37826" spans="2:2" s="221" customFormat="1" ht="12.75" x14ac:dyDescent="0.2">
      <c r="B37826" s="1168"/>
    </row>
    <row r="37827" spans="2:2" s="221" customFormat="1" ht="12.75" x14ac:dyDescent="0.2">
      <c r="B37827" s="1168"/>
    </row>
    <row r="37828" spans="2:2" s="221" customFormat="1" ht="12.75" x14ac:dyDescent="0.2">
      <c r="B37828" s="1168"/>
    </row>
    <row r="37829" spans="2:2" s="221" customFormat="1" ht="12.75" x14ac:dyDescent="0.2">
      <c r="B37829" s="1168"/>
    </row>
    <row r="37830" spans="2:2" s="221" customFormat="1" ht="12.75" x14ac:dyDescent="0.2">
      <c r="B37830" s="1168"/>
    </row>
    <row r="37831" spans="2:2" s="221" customFormat="1" ht="12.75" x14ac:dyDescent="0.2">
      <c r="B37831" s="1168"/>
    </row>
    <row r="37832" spans="2:2" s="221" customFormat="1" ht="12.75" x14ac:dyDescent="0.2">
      <c r="B37832" s="1168"/>
    </row>
    <row r="37833" spans="2:2" s="221" customFormat="1" ht="12.75" x14ac:dyDescent="0.2">
      <c r="B37833" s="1168"/>
    </row>
    <row r="37834" spans="2:2" s="221" customFormat="1" ht="12.75" x14ac:dyDescent="0.2">
      <c r="B37834" s="1168"/>
    </row>
    <row r="37835" spans="2:2" s="221" customFormat="1" ht="12.75" x14ac:dyDescent="0.2">
      <c r="B37835" s="1168"/>
    </row>
    <row r="37836" spans="2:2" s="221" customFormat="1" ht="12.75" x14ac:dyDescent="0.2">
      <c r="B37836" s="1168"/>
    </row>
    <row r="37837" spans="2:2" s="221" customFormat="1" ht="12.75" x14ac:dyDescent="0.2">
      <c r="B37837" s="1168"/>
    </row>
    <row r="37838" spans="2:2" s="221" customFormat="1" ht="12.75" x14ac:dyDescent="0.2">
      <c r="B37838" s="1168"/>
    </row>
    <row r="37839" spans="2:2" s="221" customFormat="1" ht="12.75" x14ac:dyDescent="0.2">
      <c r="B37839" s="1168"/>
    </row>
    <row r="37840" spans="2:2" s="221" customFormat="1" ht="12.75" x14ac:dyDescent="0.2">
      <c r="B37840" s="1168"/>
    </row>
    <row r="37841" spans="2:2" s="221" customFormat="1" ht="12.75" x14ac:dyDescent="0.2">
      <c r="B37841" s="1168"/>
    </row>
    <row r="37842" spans="2:2" s="221" customFormat="1" ht="12.75" x14ac:dyDescent="0.2">
      <c r="B37842" s="1168"/>
    </row>
    <row r="37843" spans="2:2" s="221" customFormat="1" ht="12.75" x14ac:dyDescent="0.2">
      <c r="B37843" s="1168"/>
    </row>
    <row r="37844" spans="2:2" s="221" customFormat="1" ht="12.75" x14ac:dyDescent="0.2">
      <c r="B37844" s="1168"/>
    </row>
    <row r="37845" spans="2:2" s="221" customFormat="1" ht="12.75" x14ac:dyDescent="0.2">
      <c r="B37845" s="1168"/>
    </row>
    <row r="37846" spans="2:2" s="221" customFormat="1" ht="12.75" x14ac:dyDescent="0.2">
      <c r="B37846" s="1168"/>
    </row>
    <row r="37847" spans="2:2" s="221" customFormat="1" ht="12.75" x14ac:dyDescent="0.2">
      <c r="B37847" s="1168"/>
    </row>
    <row r="37848" spans="2:2" s="221" customFormat="1" ht="12.75" x14ac:dyDescent="0.2">
      <c r="B37848" s="1168"/>
    </row>
    <row r="37849" spans="2:2" s="221" customFormat="1" ht="12.75" x14ac:dyDescent="0.2">
      <c r="B37849" s="1168"/>
    </row>
    <row r="37850" spans="2:2" s="221" customFormat="1" ht="12.75" x14ac:dyDescent="0.2">
      <c r="B37850" s="1168"/>
    </row>
    <row r="37851" spans="2:2" s="221" customFormat="1" ht="12.75" x14ac:dyDescent="0.2">
      <c r="B37851" s="1168"/>
    </row>
    <row r="37852" spans="2:2" s="221" customFormat="1" ht="12.75" x14ac:dyDescent="0.2">
      <c r="B37852" s="1168"/>
    </row>
    <row r="37853" spans="2:2" s="221" customFormat="1" ht="12.75" x14ac:dyDescent="0.2">
      <c r="B37853" s="1168"/>
    </row>
    <row r="37854" spans="2:2" s="221" customFormat="1" ht="12.75" x14ac:dyDescent="0.2">
      <c r="B37854" s="1168"/>
    </row>
    <row r="37855" spans="2:2" s="221" customFormat="1" ht="12.75" x14ac:dyDescent="0.2">
      <c r="B37855" s="1168"/>
    </row>
    <row r="37856" spans="2:2" s="221" customFormat="1" ht="12.75" x14ac:dyDescent="0.2">
      <c r="B37856" s="1168"/>
    </row>
    <row r="37857" spans="2:2" s="221" customFormat="1" ht="12.75" x14ac:dyDescent="0.2">
      <c r="B37857" s="1168"/>
    </row>
    <row r="37858" spans="2:2" s="221" customFormat="1" ht="12.75" x14ac:dyDescent="0.2">
      <c r="B37858" s="1168"/>
    </row>
    <row r="37859" spans="2:2" s="221" customFormat="1" ht="12.75" x14ac:dyDescent="0.2">
      <c r="B37859" s="1168"/>
    </row>
    <row r="37860" spans="2:2" s="221" customFormat="1" ht="12.75" x14ac:dyDescent="0.2">
      <c r="B37860" s="1168"/>
    </row>
    <row r="37861" spans="2:2" s="221" customFormat="1" ht="12.75" x14ac:dyDescent="0.2">
      <c r="B37861" s="1168"/>
    </row>
    <row r="37862" spans="2:2" s="221" customFormat="1" ht="12.75" x14ac:dyDescent="0.2">
      <c r="B37862" s="1168"/>
    </row>
    <row r="37863" spans="2:2" s="221" customFormat="1" ht="12.75" x14ac:dyDescent="0.2">
      <c r="B37863" s="1168"/>
    </row>
    <row r="37864" spans="2:2" s="221" customFormat="1" ht="12.75" x14ac:dyDescent="0.2">
      <c r="B37864" s="1168"/>
    </row>
    <row r="37865" spans="2:2" s="221" customFormat="1" ht="12.75" x14ac:dyDescent="0.2">
      <c r="B37865" s="1168"/>
    </row>
    <row r="37866" spans="2:2" s="221" customFormat="1" ht="12.75" x14ac:dyDescent="0.2">
      <c r="B37866" s="1168"/>
    </row>
    <row r="37867" spans="2:2" s="221" customFormat="1" ht="12.75" x14ac:dyDescent="0.2">
      <c r="B37867" s="1168"/>
    </row>
    <row r="37868" spans="2:2" s="221" customFormat="1" ht="12.75" x14ac:dyDescent="0.2">
      <c r="B37868" s="1168"/>
    </row>
    <row r="37869" spans="2:2" s="221" customFormat="1" ht="12.75" x14ac:dyDescent="0.2">
      <c r="B37869" s="1168"/>
    </row>
    <row r="37870" spans="2:2" s="221" customFormat="1" ht="12.75" x14ac:dyDescent="0.2">
      <c r="B37870" s="1168"/>
    </row>
    <row r="37871" spans="2:2" s="221" customFormat="1" ht="12.75" x14ac:dyDescent="0.2">
      <c r="B37871" s="1168"/>
    </row>
    <row r="37872" spans="2:2" s="221" customFormat="1" ht="12.75" x14ac:dyDescent="0.2">
      <c r="B37872" s="1168"/>
    </row>
    <row r="37873" spans="2:2" s="221" customFormat="1" ht="12.75" x14ac:dyDescent="0.2">
      <c r="B37873" s="1168"/>
    </row>
    <row r="37874" spans="2:2" s="221" customFormat="1" ht="12.75" x14ac:dyDescent="0.2">
      <c r="B37874" s="1168"/>
    </row>
    <row r="37875" spans="2:2" s="221" customFormat="1" ht="12.75" x14ac:dyDescent="0.2">
      <c r="B37875" s="1168"/>
    </row>
    <row r="37876" spans="2:2" s="221" customFormat="1" ht="12.75" x14ac:dyDescent="0.2">
      <c r="B37876" s="1168"/>
    </row>
    <row r="37877" spans="2:2" s="221" customFormat="1" ht="12.75" x14ac:dyDescent="0.2">
      <c r="B37877" s="1168"/>
    </row>
    <row r="37878" spans="2:2" s="221" customFormat="1" ht="12.75" x14ac:dyDescent="0.2">
      <c r="B37878" s="1168"/>
    </row>
    <row r="37879" spans="2:2" s="221" customFormat="1" ht="12.75" x14ac:dyDescent="0.2">
      <c r="B37879" s="1168"/>
    </row>
    <row r="37880" spans="2:2" s="221" customFormat="1" ht="12.75" x14ac:dyDescent="0.2">
      <c r="B37880" s="1168"/>
    </row>
    <row r="37881" spans="2:2" s="221" customFormat="1" ht="12.75" x14ac:dyDescent="0.2">
      <c r="B37881" s="1168"/>
    </row>
    <row r="37882" spans="2:2" s="221" customFormat="1" ht="12.75" x14ac:dyDescent="0.2">
      <c r="B37882" s="1168"/>
    </row>
    <row r="37883" spans="2:2" s="221" customFormat="1" ht="12.75" x14ac:dyDescent="0.2">
      <c r="B37883" s="1168"/>
    </row>
    <row r="37884" spans="2:2" s="221" customFormat="1" ht="12.75" x14ac:dyDescent="0.2">
      <c r="B37884" s="1168"/>
    </row>
    <row r="37885" spans="2:2" s="221" customFormat="1" ht="12.75" x14ac:dyDescent="0.2">
      <c r="B37885" s="1168"/>
    </row>
    <row r="37886" spans="2:2" s="221" customFormat="1" ht="12.75" x14ac:dyDescent="0.2">
      <c r="B37886" s="1168"/>
    </row>
    <row r="37887" spans="2:2" s="221" customFormat="1" ht="12.75" x14ac:dyDescent="0.2">
      <c r="B37887" s="1168"/>
    </row>
    <row r="37888" spans="2:2" s="221" customFormat="1" ht="12.75" x14ac:dyDescent="0.2">
      <c r="B37888" s="1168"/>
    </row>
    <row r="37889" spans="2:2" s="221" customFormat="1" ht="12.75" x14ac:dyDescent="0.2">
      <c r="B37889" s="1168"/>
    </row>
    <row r="37890" spans="2:2" s="221" customFormat="1" ht="12.75" x14ac:dyDescent="0.2">
      <c r="B37890" s="1168"/>
    </row>
    <row r="37891" spans="2:2" s="221" customFormat="1" ht="12.75" x14ac:dyDescent="0.2">
      <c r="B37891" s="1168"/>
    </row>
    <row r="37892" spans="2:2" s="221" customFormat="1" ht="12.75" x14ac:dyDescent="0.2">
      <c r="B37892" s="1168"/>
    </row>
    <row r="37893" spans="2:2" s="221" customFormat="1" ht="12.75" x14ac:dyDescent="0.2">
      <c r="B37893" s="1168"/>
    </row>
    <row r="37894" spans="2:2" s="221" customFormat="1" ht="12.75" x14ac:dyDescent="0.2">
      <c r="B37894" s="1168"/>
    </row>
    <row r="37895" spans="2:2" s="221" customFormat="1" ht="12.75" x14ac:dyDescent="0.2">
      <c r="B37895" s="1168"/>
    </row>
    <row r="37896" spans="2:2" s="221" customFormat="1" ht="12.75" x14ac:dyDescent="0.2">
      <c r="B37896" s="1168"/>
    </row>
    <row r="37897" spans="2:2" s="221" customFormat="1" ht="12.75" x14ac:dyDescent="0.2">
      <c r="B37897" s="1168"/>
    </row>
    <row r="37898" spans="2:2" s="221" customFormat="1" ht="12.75" x14ac:dyDescent="0.2">
      <c r="B37898" s="1168"/>
    </row>
    <row r="37899" spans="2:2" s="221" customFormat="1" ht="12.75" x14ac:dyDescent="0.2">
      <c r="B37899" s="1168"/>
    </row>
    <row r="37900" spans="2:2" s="221" customFormat="1" ht="12.75" x14ac:dyDescent="0.2">
      <c r="B37900" s="1168"/>
    </row>
    <row r="37901" spans="2:2" s="221" customFormat="1" ht="12.75" x14ac:dyDescent="0.2">
      <c r="B37901" s="1168"/>
    </row>
    <row r="37902" spans="2:2" s="221" customFormat="1" ht="12.75" x14ac:dyDescent="0.2">
      <c r="B37902" s="1168"/>
    </row>
    <row r="37903" spans="2:2" s="221" customFormat="1" ht="12.75" x14ac:dyDescent="0.2">
      <c r="B37903" s="1168"/>
    </row>
    <row r="37904" spans="2:2" s="221" customFormat="1" ht="12.75" x14ac:dyDescent="0.2">
      <c r="B37904" s="1168"/>
    </row>
    <row r="37905" spans="2:2" s="221" customFormat="1" ht="12.75" x14ac:dyDescent="0.2">
      <c r="B37905" s="1168"/>
    </row>
    <row r="37906" spans="2:2" s="221" customFormat="1" ht="12.75" x14ac:dyDescent="0.2">
      <c r="B37906" s="1168"/>
    </row>
    <row r="37907" spans="2:2" s="221" customFormat="1" ht="12.75" x14ac:dyDescent="0.2">
      <c r="B37907" s="1168"/>
    </row>
    <row r="37908" spans="2:2" s="221" customFormat="1" ht="12.75" x14ac:dyDescent="0.2">
      <c r="B37908" s="1168"/>
    </row>
    <row r="37909" spans="2:2" s="221" customFormat="1" ht="12.75" x14ac:dyDescent="0.2">
      <c r="B37909" s="1168"/>
    </row>
    <row r="37910" spans="2:2" s="221" customFormat="1" ht="12.75" x14ac:dyDescent="0.2">
      <c r="B37910" s="1168"/>
    </row>
    <row r="37911" spans="2:2" s="221" customFormat="1" ht="12.75" x14ac:dyDescent="0.2">
      <c r="B37911" s="1168"/>
    </row>
    <row r="37912" spans="2:2" s="221" customFormat="1" ht="12.75" x14ac:dyDescent="0.2">
      <c r="B37912" s="1168"/>
    </row>
    <row r="37913" spans="2:2" s="221" customFormat="1" ht="12.75" x14ac:dyDescent="0.2">
      <c r="B37913" s="1168"/>
    </row>
    <row r="37914" spans="2:2" s="221" customFormat="1" ht="12.75" x14ac:dyDescent="0.2">
      <c r="B37914" s="1168"/>
    </row>
    <row r="37915" spans="2:2" s="221" customFormat="1" ht="12.75" x14ac:dyDescent="0.2">
      <c r="B37915" s="1168"/>
    </row>
    <row r="37916" spans="2:2" s="221" customFormat="1" ht="12.75" x14ac:dyDescent="0.2">
      <c r="B37916" s="1168"/>
    </row>
    <row r="37917" spans="2:2" s="221" customFormat="1" ht="12.75" x14ac:dyDescent="0.2">
      <c r="B37917" s="1168"/>
    </row>
    <row r="37918" spans="2:2" s="221" customFormat="1" ht="12.75" x14ac:dyDescent="0.2">
      <c r="B37918" s="1168"/>
    </row>
    <row r="37919" spans="2:2" s="221" customFormat="1" ht="12.75" x14ac:dyDescent="0.2">
      <c r="B37919" s="1168"/>
    </row>
    <row r="37920" spans="2:2" s="221" customFormat="1" ht="12.75" x14ac:dyDescent="0.2">
      <c r="B37920" s="1168"/>
    </row>
    <row r="37921" spans="2:2" s="221" customFormat="1" ht="12.75" x14ac:dyDescent="0.2">
      <c r="B37921" s="1168"/>
    </row>
    <row r="37922" spans="2:2" s="221" customFormat="1" ht="12.75" x14ac:dyDescent="0.2">
      <c r="B37922" s="1168"/>
    </row>
    <row r="37923" spans="2:2" s="221" customFormat="1" ht="12.75" x14ac:dyDescent="0.2">
      <c r="B37923" s="1168"/>
    </row>
    <row r="37924" spans="2:2" s="221" customFormat="1" ht="12.75" x14ac:dyDescent="0.2">
      <c r="B37924" s="1168"/>
    </row>
    <row r="37925" spans="2:2" s="221" customFormat="1" ht="12.75" x14ac:dyDescent="0.2">
      <c r="B37925" s="1168"/>
    </row>
    <row r="37926" spans="2:2" s="221" customFormat="1" ht="12.75" x14ac:dyDescent="0.2">
      <c r="B37926" s="1168"/>
    </row>
    <row r="37927" spans="2:2" s="221" customFormat="1" ht="12.75" x14ac:dyDescent="0.2">
      <c r="B37927" s="1168"/>
    </row>
    <row r="37928" spans="2:2" s="221" customFormat="1" ht="12.75" x14ac:dyDescent="0.2">
      <c r="B37928" s="1168"/>
    </row>
    <row r="37929" spans="2:2" s="221" customFormat="1" ht="12.75" x14ac:dyDescent="0.2">
      <c r="B37929" s="1168"/>
    </row>
    <row r="37930" spans="2:2" s="221" customFormat="1" ht="12.75" x14ac:dyDescent="0.2">
      <c r="B37930" s="1168"/>
    </row>
    <row r="37931" spans="2:2" s="221" customFormat="1" ht="12.75" x14ac:dyDescent="0.2">
      <c r="B37931" s="1168"/>
    </row>
    <row r="37932" spans="2:2" s="221" customFormat="1" ht="12.75" x14ac:dyDescent="0.2">
      <c r="B37932" s="1168"/>
    </row>
    <row r="37933" spans="2:2" s="221" customFormat="1" ht="12.75" x14ac:dyDescent="0.2">
      <c r="B37933" s="1168"/>
    </row>
    <row r="37934" spans="2:2" s="221" customFormat="1" ht="12.75" x14ac:dyDescent="0.2">
      <c r="B37934" s="1168"/>
    </row>
    <row r="37935" spans="2:2" s="221" customFormat="1" ht="12.75" x14ac:dyDescent="0.2">
      <c r="B37935" s="1168"/>
    </row>
    <row r="37936" spans="2:2" s="221" customFormat="1" ht="12.75" x14ac:dyDescent="0.2">
      <c r="B37936" s="1168"/>
    </row>
    <row r="37937" spans="2:2" s="221" customFormat="1" ht="12.75" x14ac:dyDescent="0.2">
      <c r="B37937" s="1168"/>
    </row>
    <row r="37938" spans="2:2" s="221" customFormat="1" ht="12.75" x14ac:dyDescent="0.2">
      <c r="B37938" s="1168"/>
    </row>
    <row r="37939" spans="2:2" s="221" customFormat="1" ht="12.75" x14ac:dyDescent="0.2">
      <c r="B37939" s="1168"/>
    </row>
    <row r="37940" spans="2:2" s="221" customFormat="1" ht="12.75" x14ac:dyDescent="0.2">
      <c r="B37940" s="1168"/>
    </row>
    <row r="37941" spans="2:2" s="221" customFormat="1" ht="12.75" x14ac:dyDescent="0.2">
      <c r="B37941" s="1168"/>
    </row>
    <row r="37942" spans="2:2" s="221" customFormat="1" ht="12.75" x14ac:dyDescent="0.2">
      <c r="B37942" s="1168"/>
    </row>
    <row r="37943" spans="2:2" s="221" customFormat="1" ht="12.75" x14ac:dyDescent="0.2">
      <c r="B37943" s="1168"/>
    </row>
    <row r="37944" spans="2:2" s="221" customFormat="1" ht="12.75" x14ac:dyDescent="0.2">
      <c r="B37944" s="1168"/>
    </row>
    <row r="37945" spans="2:2" s="221" customFormat="1" ht="12.75" x14ac:dyDescent="0.2">
      <c r="B37945" s="1168"/>
    </row>
    <row r="37946" spans="2:2" s="221" customFormat="1" ht="12.75" x14ac:dyDescent="0.2">
      <c r="B37946" s="1168"/>
    </row>
    <row r="37947" spans="2:2" s="221" customFormat="1" ht="12.75" x14ac:dyDescent="0.2">
      <c r="B37947" s="1168"/>
    </row>
    <row r="37948" spans="2:2" s="221" customFormat="1" ht="12.75" x14ac:dyDescent="0.2">
      <c r="B37948" s="1168"/>
    </row>
    <row r="37949" spans="2:2" s="221" customFormat="1" ht="12.75" x14ac:dyDescent="0.2">
      <c r="B37949" s="1168"/>
    </row>
    <row r="37950" spans="2:2" s="221" customFormat="1" ht="12.75" x14ac:dyDescent="0.2">
      <c r="B37950" s="1168"/>
    </row>
    <row r="37951" spans="2:2" s="221" customFormat="1" ht="12.75" x14ac:dyDescent="0.2">
      <c r="B37951" s="1168"/>
    </row>
    <row r="37952" spans="2:2" s="221" customFormat="1" ht="12.75" x14ac:dyDescent="0.2">
      <c r="B37952" s="1168"/>
    </row>
    <row r="37953" spans="2:2" s="221" customFormat="1" ht="12.75" x14ac:dyDescent="0.2">
      <c r="B37953" s="1168"/>
    </row>
    <row r="37954" spans="2:2" s="221" customFormat="1" ht="12.75" x14ac:dyDescent="0.2">
      <c r="B37954" s="1168"/>
    </row>
    <row r="37955" spans="2:2" s="221" customFormat="1" ht="12.75" x14ac:dyDescent="0.2">
      <c r="B37955" s="1168"/>
    </row>
    <row r="37956" spans="2:2" s="221" customFormat="1" ht="12.75" x14ac:dyDescent="0.2">
      <c r="B37956" s="1168"/>
    </row>
    <row r="37957" spans="2:2" s="221" customFormat="1" ht="12.75" x14ac:dyDescent="0.2">
      <c r="B37957" s="1168"/>
    </row>
    <row r="37958" spans="2:2" s="221" customFormat="1" ht="12.75" x14ac:dyDescent="0.2">
      <c r="B37958" s="1168"/>
    </row>
    <row r="37959" spans="2:2" s="221" customFormat="1" ht="12.75" x14ac:dyDescent="0.2">
      <c r="B37959" s="1168"/>
    </row>
    <row r="37960" spans="2:2" s="221" customFormat="1" ht="12.75" x14ac:dyDescent="0.2">
      <c r="B37960" s="1168"/>
    </row>
    <row r="37961" spans="2:2" s="221" customFormat="1" ht="12.75" x14ac:dyDescent="0.2">
      <c r="B37961" s="1168"/>
    </row>
    <row r="37962" spans="2:2" s="221" customFormat="1" ht="12.75" x14ac:dyDescent="0.2">
      <c r="B37962" s="1168"/>
    </row>
    <row r="37963" spans="2:2" s="221" customFormat="1" ht="12.75" x14ac:dyDescent="0.2">
      <c r="B37963" s="1168"/>
    </row>
    <row r="37964" spans="2:2" s="221" customFormat="1" ht="12.75" x14ac:dyDescent="0.2">
      <c r="B37964" s="1168"/>
    </row>
    <row r="37965" spans="2:2" s="221" customFormat="1" ht="12.75" x14ac:dyDescent="0.2">
      <c r="B37965" s="1168"/>
    </row>
    <row r="37966" spans="2:2" s="221" customFormat="1" ht="12.75" x14ac:dyDescent="0.2">
      <c r="B37966" s="1168"/>
    </row>
    <row r="37967" spans="2:2" s="221" customFormat="1" ht="12.75" x14ac:dyDescent="0.2">
      <c r="B37967" s="1168"/>
    </row>
    <row r="37968" spans="2:2" s="221" customFormat="1" ht="12.75" x14ac:dyDescent="0.2">
      <c r="B37968" s="1168"/>
    </row>
    <row r="37969" spans="2:2" s="221" customFormat="1" ht="12.75" x14ac:dyDescent="0.2">
      <c r="B37969" s="1168"/>
    </row>
    <row r="37970" spans="2:2" s="221" customFormat="1" ht="12.75" x14ac:dyDescent="0.2">
      <c r="B37970" s="1168"/>
    </row>
    <row r="37971" spans="2:2" s="221" customFormat="1" ht="12.75" x14ac:dyDescent="0.2">
      <c r="B37971" s="1168"/>
    </row>
    <row r="37972" spans="2:2" s="221" customFormat="1" ht="12.75" x14ac:dyDescent="0.2">
      <c r="B37972" s="1168"/>
    </row>
    <row r="37973" spans="2:2" s="221" customFormat="1" ht="12.75" x14ac:dyDescent="0.2">
      <c r="B37973" s="1168"/>
    </row>
    <row r="37974" spans="2:2" s="221" customFormat="1" ht="12.75" x14ac:dyDescent="0.2">
      <c r="B37974" s="1168"/>
    </row>
    <row r="37975" spans="2:2" s="221" customFormat="1" ht="12.75" x14ac:dyDescent="0.2">
      <c r="B37975" s="1168"/>
    </row>
    <row r="37976" spans="2:2" s="221" customFormat="1" ht="12.75" x14ac:dyDescent="0.2">
      <c r="B37976" s="1168"/>
    </row>
    <row r="37977" spans="2:2" s="221" customFormat="1" ht="12.75" x14ac:dyDescent="0.2">
      <c r="B37977" s="1168"/>
    </row>
    <row r="37978" spans="2:2" s="221" customFormat="1" ht="12.75" x14ac:dyDescent="0.2">
      <c r="B37978" s="1168"/>
    </row>
    <row r="37979" spans="2:2" s="221" customFormat="1" ht="12.75" x14ac:dyDescent="0.2">
      <c r="B37979" s="1168"/>
    </row>
    <row r="37980" spans="2:2" s="221" customFormat="1" ht="12.75" x14ac:dyDescent="0.2">
      <c r="B37980" s="1168"/>
    </row>
    <row r="37981" spans="2:2" s="221" customFormat="1" ht="12.75" x14ac:dyDescent="0.2">
      <c r="B37981" s="1168"/>
    </row>
    <row r="37982" spans="2:2" s="221" customFormat="1" ht="12.75" x14ac:dyDescent="0.2">
      <c r="B37982" s="1168"/>
    </row>
    <row r="37983" spans="2:2" s="221" customFormat="1" ht="12.75" x14ac:dyDescent="0.2">
      <c r="B37983" s="1168"/>
    </row>
    <row r="37984" spans="2:2" s="221" customFormat="1" ht="12.75" x14ac:dyDescent="0.2">
      <c r="B37984" s="1168"/>
    </row>
    <row r="37985" spans="2:2" s="221" customFormat="1" ht="12.75" x14ac:dyDescent="0.2">
      <c r="B37985" s="1168"/>
    </row>
    <row r="37986" spans="2:2" s="221" customFormat="1" ht="12.75" x14ac:dyDescent="0.2">
      <c r="B37986" s="1168"/>
    </row>
    <row r="37987" spans="2:2" s="221" customFormat="1" ht="12.75" x14ac:dyDescent="0.2">
      <c r="B37987" s="1168"/>
    </row>
    <row r="37988" spans="2:2" s="221" customFormat="1" ht="12.75" x14ac:dyDescent="0.2">
      <c r="B37988" s="1168"/>
    </row>
    <row r="37989" spans="2:2" s="221" customFormat="1" ht="12.75" x14ac:dyDescent="0.2">
      <c r="B37989" s="1168"/>
    </row>
    <row r="37990" spans="2:2" s="221" customFormat="1" ht="12.75" x14ac:dyDescent="0.2">
      <c r="B37990" s="1168"/>
    </row>
    <row r="37991" spans="2:2" s="221" customFormat="1" ht="12.75" x14ac:dyDescent="0.2">
      <c r="B37991" s="1168"/>
    </row>
    <row r="37992" spans="2:2" s="221" customFormat="1" ht="12.75" x14ac:dyDescent="0.2">
      <c r="B37992" s="1168"/>
    </row>
    <row r="37993" spans="2:2" s="221" customFormat="1" ht="12.75" x14ac:dyDescent="0.2">
      <c r="B37993" s="1168"/>
    </row>
    <row r="37994" spans="2:2" s="221" customFormat="1" ht="12.75" x14ac:dyDescent="0.2">
      <c r="B37994" s="1168"/>
    </row>
    <row r="37995" spans="2:2" s="221" customFormat="1" ht="12.75" x14ac:dyDescent="0.2">
      <c r="B37995" s="1168"/>
    </row>
    <row r="37996" spans="2:2" s="221" customFormat="1" ht="12.75" x14ac:dyDescent="0.2">
      <c r="B37996" s="1168"/>
    </row>
    <row r="37997" spans="2:2" s="221" customFormat="1" ht="12.75" x14ac:dyDescent="0.2">
      <c r="B37997" s="1168"/>
    </row>
    <row r="37998" spans="2:2" s="221" customFormat="1" ht="12.75" x14ac:dyDescent="0.2">
      <c r="B37998" s="1168"/>
    </row>
    <row r="37999" spans="2:2" s="221" customFormat="1" ht="12.75" x14ac:dyDescent="0.2">
      <c r="B37999" s="1168"/>
    </row>
    <row r="38000" spans="2:2" s="221" customFormat="1" ht="12.75" x14ac:dyDescent="0.2">
      <c r="B38000" s="1168"/>
    </row>
    <row r="38001" spans="2:2" s="221" customFormat="1" ht="12.75" x14ac:dyDescent="0.2">
      <c r="B38001" s="1168"/>
    </row>
    <row r="38002" spans="2:2" s="221" customFormat="1" ht="12.75" x14ac:dyDescent="0.2">
      <c r="B38002" s="1168"/>
    </row>
    <row r="38003" spans="2:2" s="221" customFormat="1" ht="12.75" x14ac:dyDescent="0.2">
      <c r="B38003" s="1168"/>
    </row>
    <row r="38004" spans="2:2" s="221" customFormat="1" ht="12.75" x14ac:dyDescent="0.2">
      <c r="B38004" s="1168"/>
    </row>
    <row r="38005" spans="2:2" s="221" customFormat="1" ht="12.75" x14ac:dyDescent="0.2">
      <c r="B38005" s="1168"/>
    </row>
    <row r="38006" spans="2:2" s="221" customFormat="1" ht="12.75" x14ac:dyDescent="0.2">
      <c r="B38006" s="1168"/>
    </row>
    <row r="38007" spans="2:2" s="221" customFormat="1" ht="12.75" x14ac:dyDescent="0.2">
      <c r="B38007" s="1168"/>
    </row>
    <row r="38008" spans="2:2" s="221" customFormat="1" ht="12.75" x14ac:dyDescent="0.2">
      <c r="B38008" s="1168"/>
    </row>
    <row r="38009" spans="2:2" s="221" customFormat="1" ht="12.75" x14ac:dyDescent="0.2">
      <c r="B38009" s="1168"/>
    </row>
    <row r="38010" spans="2:2" s="221" customFormat="1" ht="12.75" x14ac:dyDescent="0.2">
      <c r="B38010" s="1168"/>
    </row>
    <row r="38011" spans="2:2" s="221" customFormat="1" ht="12.75" x14ac:dyDescent="0.2">
      <c r="B38011" s="1168"/>
    </row>
    <row r="38012" spans="2:2" s="221" customFormat="1" ht="12.75" x14ac:dyDescent="0.2">
      <c r="B38012" s="1168"/>
    </row>
    <row r="38013" spans="2:2" s="221" customFormat="1" ht="12.75" x14ac:dyDescent="0.2">
      <c r="B38013" s="1168"/>
    </row>
    <row r="38014" spans="2:2" s="221" customFormat="1" ht="12.75" x14ac:dyDescent="0.2">
      <c r="B38014" s="1168"/>
    </row>
    <row r="38015" spans="2:2" s="221" customFormat="1" ht="12.75" x14ac:dyDescent="0.2">
      <c r="B38015" s="1168"/>
    </row>
    <row r="38016" spans="2:2" s="221" customFormat="1" ht="12.75" x14ac:dyDescent="0.2">
      <c r="B38016" s="1168"/>
    </row>
    <row r="38017" spans="2:2" s="221" customFormat="1" ht="12.75" x14ac:dyDescent="0.2">
      <c r="B38017" s="1168"/>
    </row>
    <row r="38018" spans="2:2" s="221" customFormat="1" ht="12.75" x14ac:dyDescent="0.2">
      <c r="B38018" s="1168"/>
    </row>
    <row r="38019" spans="2:2" s="221" customFormat="1" ht="12.75" x14ac:dyDescent="0.2">
      <c r="B38019" s="1168"/>
    </row>
    <row r="38020" spans="2:2" s="221" customFormat="1" ht="12.75" x14ac:dyDescent="0.2">
      <c r="B38020" s="1168"/>
    </row>
    <row r="38021" spans="2:2" s="221" customFormat="1" ht="12.75" x14ac:dyDescent="0.2">
      <c r="B38021" s="1168"/>
    </row>
    <row r="38022" spans="2:2" s="221" customFormat="1" ht="12.75" x14ac:dyDescent="0.2">
      <c r="B38022" s="1168"/>
    </row>
    <row r="38023" spans="2:2" s="221" customFormat="1" ht="12.75" x14ac:dyDescent="0.2">
      <c r="B38023" s="1168"/>
    </row>
    <row r="38024" spans="2:2" s="221" customFormat="1" ht="12.75" x14ac:dyDescent="0.2">
      <c r="B38024" s="1168"/>
    </row>
    <row r="38025" spans="2:2" s="221" customFormat="1" ht="12.75" x14ac:dyDescent="0.2">
      <c r="B38025" s="1168"/>
    </row>
    <row r="38026" spans="2:2" s="221" customFormat="1" ht="12.75" x14ac:dyDescent="0.2">
      <c r="B38026" s="1168"/>
    </row>
    <row r="38027" spans="2:2" s="221" customFormat="1" ht="12.75" x14ac:dyDescent="0.2">
      <c r="B38027" s="1168"/>
    </row>
    <row r="38028" spans="2:2" s="221" customFormat="1" ht="12.75" x14ac:dyDescent="0.2">
      <c r="B38028" s="1168"/>
    </row>
    <row r="38029" spans="2:2" s="221" customFormat="1" ht="12.75" x14ac:dyDescent="0.2">
      <c r="B38029" s="1168"/>
    </row>
    <row r="38030" spans="2:2" s="221" customFormat="1" ht="12.75" x14ac:dyDescent="0.2">
      <c r="B38030" s="1168"/>
    </row>
    <row r="38031" spans="2:2" s="221" customFormat="1" ht="12.75" x14ac:dyDescent="0.2">
      <c r="B38031" s="1168"/>
    </row>
    <row r="38032" spans="2:2" s="221" customFormat="1" ht="12.75" x14ac:dyDescent="0.2">
      <c r="B38032" s="1168"/>
    </row>
    <row r="38033" spans="2:2" s="221" customFormat="1" ht="12.75" x14ac:dyDescent="0.2">
      <c r="B38033" s="1168"/>
    </row>
    <row r="38034" spans="2:2" s="221" customFormat="1" ht="12.75" x14ac:dyDescent="0.2">
      <c r="B38034" s="1168"/>
    </row>
    <row r="38035" spans="2:2" s="221" customFormat="1" ht="12.75" x14ac:dyDescent="0.2">
      <c r="B38035" s="1168"/>
    </row>
    <row r="38036" spans="2:2" s="221" customFormat="1" ht="12.75" x14ac:dyDescent="0.2">
      <c r="B38036" s="1168"/>
    </row>
    <row r="38037" spans="2:2" s="221" customFormat="1" ht="12.75" x14ac:dyDescent="0.2">
      <c r="B38037" s="1168"/>
    </row>
    <row r="38038" spans="2:2" s="221" customFormat="1" ht="12.75" x14ac:dyDescent="0.2">
      <c r="B38038" s="1168"/>
    </row>
    <row r="38039" spans="2:2" s="221" customFormat="1" ht="12.75" x14ac:dyDescent="0.2">
      <c r="B38039" s="1168"/>
    </row>
    <row r="38040" spans="2:2" s="221" customFormat="1" ht="12.75" x14ac:dyDescent="0.2">
      <c r="B38040" s="1168"/>
    </row>
    <row r="38041" spans="2:2" s="221" customFormat="1" ht="12.75" x14ac:dyDescent="0.2">
      <c r="B38041" s="1168"/>
    </row>
    <row r="38042" spans="2:2" s="221" customFormat="1" ht="12.75" x14ac:dyDescent="0.2">
      <c r="B38042" s="1168"/>
    </row>
    <row r="38043" spans="2:2" s="221" customFormat="1" ht="12.75" x14ac:dyDescent="0.2">
      <c r="B38043" s="1168"/>
    </row>
    <row r="38044" spans="2:2" s="221" customFormat="1" ht="12.75" x14ac:dyDescent="0.2">
      <c r="B38044" s="1168"/>
    </row>
    <row r="38045" spans="2:2" s="221" customFormat="1" ht="12.75" x14ac:dyDescent="0.2">
      <c r="B38045" s="1168"/>
    </row>
    <row r="38046" spans="2:2" s="221" customFormat="1" ht="12.75" x14ac:dyDescent="0.2">
      <c r="B38046" s="1168"/>
    </row>
    <row r="38047" spans="2:2" s="221" customFormat="1" ht="12.75" x14ac:dyDescent="0.2">
      <c r="B38047" s="1168"/>
    </row>
    <row r="38048" spans="2:2" s="221" customFormat="1" ht="12.75" x14ac:dyDescent="0.2">
      <c r="B38048" s="1168"/>
    </row>
    <row r="38049" spans="2:2" s="221" customFormat="1" ht="12.75" x14ac:dyDescent="0.2">
      <c r="B38049" s="1168"/>
    </row>
    <row r="38050" spans="2:2" s="221" customFormat="1" ht="12.75" x14ac:dyDescent="0.2">
      <c r="B38050" s="1168"/>
    </row>
    <row r="38051" spans="2:2" s="221" customFormat="1" ht="12.75" x14ac:dyDescent="0.2">
      <c r="B38051" s="1168"/>
    </row>
    <row r="38052" spans="2:2" s="221" customFormat="1" ht="12.75" x14ac:dyDescent="0.2">
      <c r="B38052" s="1168"/>
    </row>
    <row r="38053" spans="2:2" s="221" customFormat="1" ht="12.75" x14ac:dyDescent="0.2">
      <c r="B38053" s="1168"/>
    </row>
    <row r="38054" spans="2:2" s="221" customFormat="1" ht="12.75" x14ac:dyDescent="0.2">
      <c r="B38054" s="1168"/>
    </row>
    <row r="38055" spans="2:2" s="221" customFormat="1" ht="12.75" x14ac:dyDescent="0.2">
      <c r="B38055" s="1168"/>
    </row>
    <row r="38056" spans="2:2" s="221" customFormat="1" ht="12.75" x14ac:dyDescent="0.2">
      <c r="B38056" s="1168"/>
    </row>
    <row r="38057" spans="2:2" s="221" customFormat="1" ht="12.75" x14ac:dyDescent="0.2">
      <c r="B38057" s="1168"/>
    </row>
    <row r="38058" spans="2:2" s="221" customFormat="1" ht="12.75" x14ac:dyDescent="0.2">
      <c r="B38058" s="1168"/>
    </row>
    <row r="38059" spans="2:2" s="221" customFormat="1" ht="12.75" x14ac:dyDescent="0.2">
      <c r="B38059" s="1168"/>
    </row>
    <row r="38060" spans="2:2" s="221" customFormat="1" ht="12.75" x14ac:dyDescent="0.2">
      <c r="B38060" s="1168"/>
    </row>
    <row r="38061" spans="2:2" s="221" customFormat="1" ht="12.75" x14ac:dyDescent="0.2">
      <c r="B38061" s="1168"/>
    </row>
    <row r="38062" spans="2:2" s="221" customFormat="1" ht="12.75" x14ac:dyDescent="0.2">
      <c r="B38062" s="1168"/>
    </row>
    <row r="38063" spans="2:2" s="221" customFormat="1" ht="12.75" x14ac:dyDescent="0.2">
      <c r="B38063" s="1168"/>
    </row>
    <row r="38064" spans="2:2" s="221" customFormat="1" ht="12.75" x14ac:dyDescent="0.2">
      <c r="B38064" s="1168"/>
    </row>
    <row r="38065" spans="2:2" s="221" customFormat="1" ht="12.75" x14ac:dyDescent="0.2">
      <c r="B38065" s="1168"/>
    </row>
    <row r="38066" spans="2:2" s="221" customFormat="1" ht="12.75" x14ac:dyDescent="0.2">
      <c r="B38066" s="1168"/>
    </row>
    <row r="38067" spans="2:2" s="221" customFormat="1" ht="12.75" x14ac:dyDescent="0.2">
      <c r="B38067" s="1168"/>
    </row>
    <row r="38068" spans="2:2" s="221" customFormat="1" ht="12.75" x14ac:dyDescent="0.2">
      <c r="B38068" s="1168"/>
    </row>
    <row r="38069" spans="2:2" s="221" customFormat="1" ht="12.75" x14ac:dyDescent="0.2">
      <c r="B38069" s="1168"/>
    </row>
    <row r="38070" spans="2:2" s="221" customFormat="1" ht="12.75" x14ac:dyDescent="0.2">
      <c r="B38070" s="1168"/>
    </row>
    <row r="38071" spans="2:2" s="221" customFormat="1" ht="12.75" x14ac:dyDescent="0.2">
      <c r="B38071" s="1168"/>
    </row>
    <row r="38072" spans="2:2" s="221" customFormat="1" ht="12.75" x14ac:dyDescent="0.2">
      <c r="B38072" s="1168"/>
    </row>
    <row r="38073" spans="2:2" s="221" customFormat="1" ht="12.75" x14ac:dyDescent="0.2">
      <c r="B38073" s="1168"/>
    </row>
    <row r="38074" spans="2:2" s="221" customFormat="1" ht="12.75" x14ac:dyDescent="0.2">
      <c r="B38074" s="1168"/>
    </row>
    <row r="38075" spans="2:2" s="221" customFormat="1" ht="12.75" x14ac:dyDescent="0.2">
      <c r="B38075" s="1168"/>
    </row>
    <row r="38076" spans="2:2" s="221" customFormat="1" ht="12.75" x14ac:dyDescent="0.2">
      <c r="B38076" s="1168"/>
    </row>
    <row r="38077" spans="2:2" s="221" customFormat="1" ht="12.75" x14ac:dyDescent="0.2">
      <c r="B38077" s="1168"/>
    </row>
    <row r="38078" spans="2:2" s="221" customFormat="1" ht="12.75" x14ac:dyDescent="0.2">
      <c r="B38078" s="1168"/>
    </row>
    <row r="38079" spans="2:2" s="221" customFormat="1" ht="12.75" x14ac:dyDescent="0.2">
      <c r="B38079" s="1168"/>
    </row>
    <row r="38080" spans="2:2" s="221" customFormat="1" ht="12.75" x14ac:dyDescent="0.2">
      <c r="B38080" s="1168"/>
    </row>
    <row r="38081" spans="2:2" s="221" customFormat="1" ht="12.75" x14ac:dyDescent="0.2">
      <c r="B38081" s="1168"/>
    </row>
    <row r="38082" spans="2:2" s="221" customFormat="1" ht="12.75" x14ac:dyDescent="0.2">
      <c r="B38082" s="1168"/>
    </row>
    <row r="38083" spans="2:2" s="221" customFormat="1" ht="12.75" x14ac:dyDescent="0.2">
      <c r="B38083" s="1168"/>
    </row>
    <row r="38084" spans="2:2" s="221" customFormat="1" ht="12.75" x14ac:dyDescent="0.2">
      <c r="B38084" s="1168"/>
    </row>
    <row r="38085" spans="2:2" s="221" customFormat="1" ht="12.75" x14ac:dyDescent="0.2">
      <c r="B38085" s="1168"/>
    </row>
    <row r="38086" spans="2:2" s="221" customFormat="1" ht="12.75" x14ac:dyDescent="0.2">
      <c r="B38086" s="1168"/>
    </row>
    <row r="38087" spans="2:2" s="221" customFormat="1" ht="12.75" x14ac:dyDescent="0.2">
      <c r="B38087" s="1168"/>
    </row>
    <row r="38088" spans="2:2" s="221" customFormat="1" ht="12.75" x14ac:dyDescent="0.2">
      <c r="B38088" s="1168"/>
    </row>
    <row r="38089" spans="2:2" s="221" customFormat="1" ht="12.75" x14ac:dyDescent="0.2">
      <c r="B38089" s="1168"/>
    </row>
    <row r="38090" spans="2:2" s="221" customFormat="1" ht="12.75" x14ac:dyDescent="0.2">
      <c r="B38090" s="1168"/>
    </row>
    <row r="38091" spans="2:2" s="221" customFormat="1" ht="12.75" x14ac:dyDescent="0.2">
      <c r="B38091" s="1168"/>
    </row>
    <row r="38092" spans="2:2" s="221" customFormat="1" ht="12.75" x14ac:dyDescent="0.2">
      <c r="B38092" s="1168"/>
    </row>
    <row r="38093" spans="2:2" s="221" customFormat="1" ht="12.75" x14ac:dyDescent="0.2">
      <c r="B38093" s="1168"/>
    </row>
    <row r="38094" spans="2:2" s="221" customFormat="1" ht="12.75" x14ac:dyDescent="0.2">
      <c r="B38094" s="1168"/>
    </row>
    <row r="38095" spans="2:2" s="221" customFormat="1" ht="12.75" x14ac:dyDescent="0.2">
      <c r="B38095" s="1168"/>
    </row>
    <row r="38096" spans="2:2" s="221" customFormat="1" ht="12.75" x14ac:dyDescent="0.2">
      <c r="B38096" s="1168"/>
    </row>
    <row r="38097" spans="2:2" s="221" customFormat="1" ht="12.75" x14ac:dyDescent="0.2">
      <c r="B38097" s="1168"/>
    </row>
    <row r="38098" spans="2:2" s="221" customFormat="1" ht="12.75" x14ac:dyDescent="0.2">
      <c r="B38098" s="1168"/>
    </row>
    <row r="38099" spans="2:2" s="221" customFormat="1" ht="12.75" x14ac:dyDescent="0.2">
      <c r="B38099" s="1168"/>
    </row>
    <row r="38100" spans="2:2" s="221" customFormat="1" ht="12.75" x14ac:dyDescent="0.2">
      <c r="B38100" s="1168"/>
    </row>
    <row r="38101" spans="2:2" s="221" customFormat="1" ht="12.75" x14ac:dyDescent="0.2">
      <c r="B38101" s="1168"/>
    </row>
    <row r="38102" spans="2:2" s="221" customFormat="1" ht="12.75" x14ac:dyDescent="0.2">
      <c r="B38102" s="1168"/>
    </row>
    <row r="38103" spans="2:2" s="221" customFormat="1" ht="12.75" x14ac:dyDescent="0.2">
      <c r="B38103" s="1168"/>
    </row>
    <row r="38104" spans="2:2" s="221" customFormat="1" ht="12.75" x14ac:dyDescent="0.2">
      <c r="B38104" s="1168"/>
    </row>
    <row r="38105" spans="2:2" s="221" customFormat="1" ht="12.75" x14ac:dyDescent="0.2">
      <c r="B38105" s="1168"/>
    </row>
    <row r="38106" spans="2:2" s="221" customFormat="1" ht="12.75" x14ac:dyDescent="0.2">
      <c r="B38106" s="1168"/>
    </row>
    <row r="38107" spans="2:2" s="221" customFormat="1" ht="12.75" x14ac:dyDescent="0.2">
      <c r="B38107" s="1168"/>
    </row>
    <row r="38108" spans="2:2" s="221" customFormat="1" ht="12.75" x14ac:dyDescent="0.2">
      <c r="B38108" s="1168"/>
    </row>
    <row r="38109" spans="2:2" s="221" customFormat="1" ht="12.75" x14ac:dyDescent="0.2">
      <c r="B38109" s="1168"/>
    </row>
    <row r="38110" spans="2:2" s="221" customFormat="1" ht="12.75" x14ac:dyDescent="0.2">
      <c r="B38110" s="1168"/>
    </row>
    <row r="38111" spans="2:2" s="221" customFormat="1" ht="12.75" x14ac:dyDescent="0.2">
      <c r="B38111" s="1168"/>
    </row>
    <row r="38112" spans="2:2" s="221" customFormat="1" ht="12.75" x14ac:dyDescent="0.2">
      <c r="B38112" s="1168"/>
    </row>
    <row r="38113" spans="2:2" s="221" customFormat="1" ht="12.75" x14ac:dyDescent="0.2">
      <c r="B38113" s="1168"/>
    </row>
    <row r="38114" spans="2:2" s="221" customFormat="1" ht="12.75" x14ac:dyDescent="0.2">
      <c r="B38114" s="1168"/>
    </row>
    <row r="38115" spans="2:2" s="221" customFormat="1" ht="12.75" x14ac:dyDescent="0.2">
      <c r="B38115" s="1168"/>
    </row>
    <row r="38116" spans="2:2" s="221" customFormat="1" ht="12.75" x14ac:dyDescent="0.2">
      <c r="B38116" s="1168"/>
    </row>
    <row r="38117" spans="2:2" s="221" customFormat="1" ht="12.75" x14ac:dyDescent="0.2">
      <c r="B38117" s="1168"/>
    </row>
    <row r="38118" spans="2:2" s="221" customFormat="1" ht="12.75" x14ac:dyDescent="0.2">
      <c r="B38118" s="1168"/>
    </row>
    <row r="38119" spans="2:2" s="221" customFormat="1" ht="12.75" x14ac:dyDescent="0.2">
      <c r="B38119" s="1168"/>
    </row>
    <row r="38120" spans="2:2" s="221" customFormat="1" ht="12.75" x14ac:dyDescent="0.2">
      <c r="B38120" s="1168"/>
    </row>
    <row r="38121" spans="2:2" s="221" customFormat="1" ht="12.75" x14ac:dyDescent="0.2">
      <c r="B38121" s="1168"/>
    </row>
    <row r="38122" spans="2:2" s="221" customFormat="1" ht="12.75" x14ac:dyDescent="0.2">
      <c r="B38122" s="1168"/>
    </row>
    <row r="38123" spans="2:2" s="221" customFormat="1" ht="12.75" x14ac:dyDescent="0.2">
      <c r="B38123" s="1168"/>
    </row>
    <row r="38124" spans="2:2" s="221" customFormat="1" ht="12.75" x14ac:dyDescent="0.2">
      <c r="B38124" s="1168"/>
    </row>
    <row r="38125" spans="2:2" s="221" customFormat="1" ht="12.75" x14ac:dyDescent="0.2">
      <c r="B38125" s="1168"/>
    </row>
    <row r="38126" spans="2:2" s="221" customFormat="1" ht="12.75" x14ac:dyDescent="0.2">
      <c r="B38126" s="1168"/>
    </row>
    <row r="38127" spans="2:2" s="221" customFormat="1" ht="12.75" x14ac:dyDescent="0.2">
      <c r="B38127" s="1168"/>
    </row>
    <row r="38128" spans="2:2" s="221" customFormat="1" ht="12.75" x14ac:dyDescent="0.2">
      <c r="B38128" s="1168"/>
    </row>
    <row r="38129" spans="2:2" s="221" customFormat="1" ht="12.75" x14ac:dyDescent="0.2">
      <c r="B38129" s="1168"/>
    </row>
    <row r="38130" spans="2:2" s="221" customFormat="1" ht="12.75" x14ac:dyDescent="0.2">
      <c r="B38130" s="1168"/>
    </row>
    <row r="38131" spans="2:2" s="221" customFormat="1" ht="12.75" x14ac:dyDescent="0.2">
      <c r="B38131" s="1168"/>
    </row>
    <row r="38132" spans="2:2" s="221" customFormat="1" ht="12.75" x14ac:dyDescent="0.2">
      <c r="B38132" s="1168"/>
    </row>
    <row r="38133" spans="2:2" s="221" customFormat="1" ht="12.75" x14ac:dyDescent="0.2">
      <c r="B38133" s="1168"/>
    </row>
    <row r="38134" spans="2:2" s="221" customFormat="1" ht="12.75" x14ac:dyDescent="0.2">
      <c r="B38134" s="1168"/>
    </row>
    <row r="38135" spans="2:2" s="221" customFormat="1" ht="12.75" x14ac:dyDescent="0.2">
      <c r="B38135" s="1168"/>
    </row>
    <row r="38136" spans="2:2" s="221" customFormat="1" ht="12.75" x14ac:dyDescent="0.2">
      <c r="B38136" s="1168"/>
    </row>
    <row r="38137" spans="2:2" s="221" customFormat="1" ht="12.75" x14ac:dyDescent="0.2">
      <c r="B38137" s="1168"/>
    </row>
    <row r="38138" spans="2:2" s="221" customFormat="1" ht="12.75" x14ac:dyDescent="0.2">
      <c r="B38138" s="1168"/>
    </row>
    <row r="38139" spans="2:2" s="221" customFormat="1" ht="12.75" x14ac:dyDescent="0.2">
      <c r="B38139" s="1168"/>
    </row>
    <row r="38140" spans="2:2" s="221" customFormat="1" ht="12.75" x14ac:dyDescent="0.2">
      <c r="B38140" s="1168"/>
    </row>
    <row r="38141" spans="2:2" s="221" customFormat="1" ht="12.75" x14ac:dyDescent="0.2">
      <c r="B38141" s="1168"/>
    </row>
    <row r="38142" spans="2:2" s="221" customFormat="1" ht="12.75" x14ac:dyDescent="0.2">
      <c r="B38142" s="1168"/>
    </row>
    <row r="38143" spans="2:2" s="221" customFormat="1" ht="12.75" x14ac:dyDescent="0.2">
      <c r="B38143" s="1168"/>
    </row>
    <row r="38144" spans="2:2" s="221" customFormat="1" ht="12.75" x14ac:dyDescent="0.2">
      <c r="B38144" s="1168"/>
    </row>
    <row r="38145" spans="2:2" s="221" customFormat="1" ht="12.75" x14ac:dyDescent="0.2">
      <c r="B38145" s="1168"/>
    </row>
    <row r="38146" spans="2:2" s="221" customFormat="1" ht="12.75" x14ac:dyDescent="0.2">
      <c r="B38146" s="1168"/>
    </row>
    <row r="38147" spans="2:2" s="221" customFormat="1" ht="12.75" x14ac:dyDescent="0.2">
      <c r="B38147" s="1168"/>
    </row>
    <row r="38148" spans="2:2" s="221" customFormat="1" ht="12.75" x14ac:dyDescent="0.2">
      <c r="B38148" s="1168"/>
    </row>
    <row r="38149" spans="2:2" s="221" customFormat="1" ht="12.75" x14ac:dyDescent="0.2">
      <c r="B38149" s="1168"/>
    </row>
    <row r="38150" spans="2:2" s="221" customFormat="1" ht="12.75" x14ac:dyDescent="0.2">
      <c r="B38150" s="1168"/>
    </row>
    <row r="38151" spans="2:2" s="221" customFormat="1" ht="12.75" x14ac:dyDescent="0.2">
      <c r="B38151" s="1168"/>
    </row>
    <row r="38152" spans="2:2" s="221" customFormat="1" ht="12.75" x14ac:dyDescent="0.2">
      <c r="B38152" s="1168"/>
    </row>
    <row r="38153" spans="2:2" s="221" customFormat="1" ht="12.75" x14ac:dyDescent="0.2">
      <c r="B38153" s="1168"/>
    </row>
    <row r="38154" spans="2:2" s="221" customFormat="1" ht="12.75" x14ac:dyDescent="0.2">
      <c r="B38154" s="1168"/>
    </row>
    <row r="38155" spans="2:2" s="221" customFormat="1" ht="12.75" x14ac:dyDescent="0.2">
      <c r="B38155" s="1168"/>
    </row>
    <row r="38156" spans="2:2" s="221" customFormat="1" ht="12.75" x14ac:dyDescent="0.2">
      <c r="B38156" s="1168"/>
    </row>
    <row r="38157" spans="2:2" s="221" customFormat="1" ht="12.75" x14ac:dyDescent="0.2">
      <c r="B38157" s="1168"/>
    </row>
    <row r="38158" spans="2:2" s="221" customFormat="1" ht="12.75" x14ac:dyDescent="0.2">
      <c r="B38158" s="1168"/>
    </row>
    <row r="38159" spans="2:2" s="221" customFormat="1" ht="12.75" x14ac:dyDescent="0.2">
      <c r="B38159" s="1168"/>
    </row>
    <row r="38160" spans="2:2" s="221" customFormat="1" ht="12.75" x14ac:dyDescent="0.2">
      <c r="B38160" s="1168"/>
    </row>
    <row r="38161" spans="2:2" s="221" customFormat="1" ht="12.75" x14ac:dyDescent="0.2">
      <c r="B38161" s="1168"/>
    </row>
    <row r="38162" spans="2:2" s="221" customFormat="1" ht="12.75" x14ac:dyDescent="0.2">
      <c r="B38162" s="1168"/>
    </row>
    <row r="38163" spans="2:2" s="221" customFormat="1" ht="12.75" x14ac:dyDescent="0.2">
      <c r="B38163" s="1168"/>
    </row>
    <row r="38164" spans="2:2" s="221" customFormat="1" ht="12.75" x14ac:dyDescent="0.2">
      <c r="B38164" s="1168"/>
    </row>
    <row r="38165" spans="2:2" s="221" customFormat="1" ht="12.75" x14ac:dyDescent="0.2">
      <c r="B38165" s="1168"/>
    </row>
    <row r="38166" spans="2:2" s="221" customFormat="1" ht="12.75" x14ac:dyDescent="0.2">
      <c r="B38166" s="1168"/>
    </row>
    <row r="38167" spans="2:2" s="221" customFormat="1" ht="12.75" x14ac:dyDescent="0.2">
      <c r="B38167" s="1168"/>
    </row>
    <row r="38168" spans="2:2" s="221" customFormat="1" ht="12.75" x14ac:dyDescent="0.2">
      <c r="B38168" s="1168"/>
    </row>
    <row r="38169" spans="2:2" s="221" customFormat="1" ht="12.75" x14ac:dyDescent="0.2">
      <c r="B38169" s="1168"/>
    </row>
    <row r="38170" spans="2:2" s="221" customFormat="1" ht="12.75" x14ac:dyDescent="0.2">
      <c r="B38170" s="1168"/>
    </row>
    <row r="38171" spans="2:2" s="221" customFormat="1" ht="12.75" x14ac:dyDescent="0.2">
      <c r="B38171" s="1168"/>
    </row>
    <row r="38172" spans="2:2" s="221" customFormat="1" ht="12.75" x14ac:dyDescent="0.2">
      <c r="B38172" s="1168"/>
    </row>
    <row r="38173" spans="2:2" s="221" customFormat="1" ht="12.75" x14ac:dyDescent="0.2">
      <c r="B38173" s="1168"/>
    </row>
    <row r="38174" spans="2:2" s="221" customFormat="1" ht="12.75" x14ac:dyDescent="0.2">
      <c r="B38174" s="1168"/>
    </row>
    <row r="38175" spans="2:2" s="221" customFormat="1" ht="12.75" x14ac:dyDescent="0.2">
      <c r="B38175" s="1168"/>
    </row>
    <row r="38176" spans="2:2" s="221" customFormat="1" ht="12.75" x14ac:dyDescent="0.2">
      <c r="B38176" s="1168"/>
    </row>
    <row r="38177" spans="2:2" s="221" customFormat="1" ht="12.75" x14ac:dyDescent="0.2">
      <c r="B38177" s="1168"/>
    </row>
    <row r="38178" spans="2:2" s="221" customFormat="1" ht="12.75" x14ac:dyDescent="0.2">
      <c r="B38178" s="1168"/>
    </row>
    <row r="38179" spans="2:2" s="221" customFormat="1" ht="12.75" x14ac:dyDescent="0.2">
      <c r="B38179" s="1168"/>
    </row>
    <row r="38180" spans="2:2" s="221" customFormat="1" ht="12.75" x14ac:dyDescent="0.2">
      <c r="B38180" s="1168"/>
    </row>
    <row r="38181" spans="2:2" s="221" customFormat="1" ht="12.75" x14ac:dyDescent="0.2">
      <c r="B38181" s="1168"/>
    </row>
    <row r="38182" spans="2:2" s="221" customFormat="1" ht="12.75" x14ac:dyDescent="0.2">
      <c r="B38182" s="1168"/>
    </row>
    <row r="38183" spans="2:2" s="221" customFormat="1" ht="12.75" x14ac:dyDescent="0.2">
      <c r="B38183" s="1168"/>
    </row>
    <row r="38184" spans="2:2" s="221" customFormat="1" ht="12.75" x14ac:dyDescent="0.2">
      <c r="B38184" s="1168"/>
    </row>
    <row r="38185" spans="2:2" s="221" customFormat="1" ht="12.75" x14ac:dyDescent="0.2">
      <c r="B38185" s="1168"/>
    </row>
    <row r="38186" spans="2:2" s="221" customFormat="1" ht="12.75" x14ac:dyDescent="0.2">
      <c r="B38186" s="1168"/>
    </row>
    <row r="38187" spans="2:2" s="221" customFormat="1" ht="12.75" x14ac:dyDescent="0.2">
      <c r="B38187" s="1168"/>
    </row>
    <row r="38188" spans="2:2" s="221" customFormat="1" ht="12.75" x14ac:dyDescent="0.2">
      <c r="B38188" s="1168"/>
    </row>
    <row r="38189" spans="2:2" s="221" customFormat="1" ht="12.75" x14ac:dyDescent="0.2">
      <c r="B38189" s="1168"/>
    </row>
    <row r="38190" spans="2:2" s="221" customFormat="1" ht="12.75" x14ac:dyDescent="0.2">
      <c r="B38190" s="1168"/>
    </row>
    <row r="38191" spans="2:2" s="221" customFormat="1" ht="12.75" x14ac:dyDescent="0.2">
      <c r="B38191" s="1168"/>
    </row>
    <row r="38192" spans="2:2" s="221" customFormat="1" ht="12.75" x14ac:dyDescent="0.2">
      <c r="B38192" s="1168"/>
    </row>
    <row r="38193" spans="2:2" s="221" customFormat="1" ht="12.75" x14ac:dyDescent="0.2">
      <c r="B38193" s="1168"/>
    </row>
    <row r="38194" spans="2:2" s="221" customFormat="1" ht="12.75" x14ac:dyDescent="0.2">
      <c r="B38194" s="1168"/>
    </row>
    <row r="38195" spans="2:2" s="221" customFormat="1" ht="12.75" x14ac:dyDescent="0.2">
      <c r="B38195" s="1168"/>
    </row>
    <row r="38196" spans="2:2" s="221" customFormat="1" ht="12.75" x14ac:dyDescent="0.2">
      <c r="B38196" s="1168"/>
    </row>
    <row r="38197" spans="2:2" s="221" customFormat="1" ht="12.75" x14ac:dyDescent="0.2">
      <c r="B38197" s="1168"/>
    </row>
    <row r="38198" spans="2:2" s="221" customFormat="1" ht="12.75" x14ac:dyDescent="0.2">
      <c r="B38198" s="1168"/>
    </row>
    <row r="38199" spans="2:2" s="221" customFormat="1" ht="12.75" x14ac:dyDescent="0.2">
      <c r="B38199" s="1168"/>
    </row>
    <row r="38200" spans="2:2" s="221" customFormat="1" ht="12.75" x14ac:dyDescent="0.2">
      <c r="B38200" s="1168"/>
    </row>
    <row r="38201" spans="2:2" s="221" customFormat="1" ht="12.75" x14ac:dyDescent="0.2">
      <c r="B38201" s="1168"/>
    </row>
    <row r="38202" spans="2:2" s="221" customFormat="1" ht="12.75" x14ac:dyDescent="0.2">
      <c r="B38202" s="1168"/>
    </row>
    <row r="38203" spans="2:2" s="221" customFormat="1" ht="12.75" x14ac:dyDescent="0.2">
      <c r="B38203" s="1168"/>
    </row>
    <row r="38204" spans="2:2" s="221" customFormat="1" ht="12.75" x14ac:dyDescent="0.2">
      <c r="B38204" s="1168"/>
    </row>
    <row r="38205" spans="2:2" s="221" customFormat="1" ht="12.75" x14ac:dyDescent="0.2">
      <c r="B38205" s="1168"/>
    </row>
    <row r="38206" spans="2:2" s="221" customFormat="1" ht="12.75" x14ac:dyDescent="0.2">
      <c r="B38206" s="1168"/>
    </row>
    <row r="38207" spans="2:2" s="221" customFormat="1" ht="12.75" x14ac:dyDescent="0.2">
      <c r="B38207" s="1168"/>
    </row>
    <row r="38208" spans="2:2" s="221" customFormat="1" ht="12.75" x14ac:dyDescent="0.2">
      <c r="B38208" s="1168"/>
    </row>
    <row r="38209" spans="2:2" s="221" customFormat="1" ht="12.75" x14ac:dyDescent="0.2">
      <c r="B38209" s="1168"/>
    </row>
    <row r="38210" spans="2:2" s="221" customFormat="1" ht="12.75" x14ac:dyDescent="0.2">
      <c r="B38210" s="1168"/>
    </row>
    <row r="38211" spans="2:2" s="221" customFormat="1" ht="12.75" x14ac:dyDescent="0.2">
      <c r="B38211" s="1168"/>
    </row>
    <row r="38212" spans="2:2" s="221" customFormat="1" ht="12.75" x14ac:dyDescent="0.2">
      <c r="B38212" s="1168"/>
    </row>
    <row r="38213" spans="2:2" s="221" customFormat="1" ht="12.75" x14ac:dyDescent="0.2">
      <c r="B38213" s="1168"/>
    </row>
    <row r="38214" spans="2:2" s="221" customFormat="1" ht="12.75" x14ac:dyDescent="0.2">
      <c r="B38214" s="1168"/>
    </row>
    <row r="38215" spans="2:2" s="221" customFormat="1" ht="12.75" x14ac:dyDescent="0.2">
      <c r="B38215" s="1168"/>
    </row>
    <row r="38216" spans="2:2" s="221" customFormat="1" ht="12.75" x14ac:dyDescent="0.2">
      <c r="B38216" s="1168"/>
    </row>
    <row r="38217" spans="2:2" s="221" customFormat="1" ht="12.75" x14ac:dyDescent="0.2">
      <c r="B38217" s="1168"/>
    </row>
    <row r="38218" spans="2:2" s="221" customFormat="1" ht="12.75" x14ac:dyDescent="0.2">
      <c r="B38218" s="1168"/>
    </row>
    <row r="38219" spans="2:2" s="221" customFormat="1" ht="12.75" x14ac:dyDescent="0.2">
      <c r="B38219" s="1168"/>
    </row>
    <row r="38220" spans="2:2" s="221" customFormat="1" ht="12.75" x14ac:dyDescent="0.2">
      <c r="B38220" s="1168"/>
    </row>
    <row r="38221" spans="2:2" s="221" customFormat="1" ht="12.75" x14ac:dyDescent="0.2">
      <c r="B38221" s="1168"/>
    </row>
    <row r="38222" spans="2:2" s="221" customFormat="1" ht="12.75" x14ac:dyDescent="0.2">
      <c r="B38222" s="1168"/>
    </row>
    <row r="38223" spans="2:2" s="221" customFormat="1" ht="12.75" x14ac:dyDescent="0.2">
      <c r="B38223" s="1168"/>
    </row>
    <row r="38224" spans="2:2" s="221" customFormat="1" ht="12.75" x14ac:dyDescent="0.2">
      <c r="B38224" s="1168"/>
    </row>
    <row r="38225" spans="2:2" s="221" customFormat="1" ht="12.75" x14ac:dyDescent="0.2">
      <c r="B38225" s="1168"/>
    </row>
    <row r="38226" spans="2:2" s="221" customFormat="1" ht="12.75" x14ac:dyDescent="0.2">
      <c r="B38226" s="1168"/>
    </row>
    <row r="38227" spans="2:2" s="221" customFormat="1" ht="12.75" x14ac:dyDescent="0.2">
      <c r="B38227" s="1168"/>
    </row>
    <row r="38228" spans="2:2" s="221" customFormat="1" ht="12.75" x14ac:dyDescent="0.2">
      <c r="B38228" s="1168"/>
    </row>
    <row r="38229" spans="2:2" s="221" customFormat="1" ht="12.75" x14ac:dyDescent="0.2">
      <c r="B38229" s="1168"/>
    </row>
    <row r="38230" spans="2:2" s="221" customFormat="1" ht="12.75" x14ac:dyDescent="0.2">
      <c r="B38230" s="1168"/>
    </row>
    <row r="38231" spans="2:2" s="221" customFormat="1" ht="12.75" x14ac:dyDescent="0.2">
      <c r="B38231" s="1168"/>
    </row>
    <row r="38232" spans="2:2" s="221" customFormat="1" ht="12.75" x14ac:dyDescent="0.2">
      <c r="B38232" s="1168"/>
    </row>
    <row r="38233" spans="2:2" s="221" customFormat="1" ht="12.75" x14ac:dyDescent="0.2">
      <c r="B38233" s="1168"/>
    </row>
    <row r="38234" spans="2:2" s="221" customFormat="1" ht="12.75" x14ac:dyDescent="0.2">
      <c r="B38234" s="1168"/>
    </row>
    <row r="38235" spans="2:2" s="221" customFormat="1" ht="12.75" x14ac:dyDescent="0.2">
      <c r="B38235" s="1168"/>
    </row>
    <row r="38236" spans="2:2" s="221" customFormat="1" ht="12.75" x14ac:dyDescent="0.2">
      <c r="B38236" s="1168"/>
    </row>
    <row r="38237" spans="2:2" s="221" customFormat="1" ht="12.75" x14ac:dyDescent="0.2">
      <c r="B38237" s="1168"/>
    </row>
    <row r="38238" spans="2:2" s="221" customFormat="1" ht="12.75" x14ac:dyDescent="0.2">
      <c r="B38238" s="1168"/>
    </row>
    <row r="38239" spans="2:2" s="221" customFormat="1" ht="12.75" x14ac:dyDescent="0.2">
      <c r="B38239" s="1168"/>
    </row>
    <row r="38240" spans="2:2" s="221" customFormat="1" ht="12.75" x14ac:dyDescent="0.2">
      <c r="B38240" s="1168"/>
    </row>
    <row r="38241" spans="2:2" s="221" customFormat="1" ht="12.75" x14ac:dyDescent="0.2">
      <c r="B38241" s="1168"/>
    </row>
    <row r="38242" spans="2:2" s="221" customFormat="1" ht="12.75" x14ac:dyDescent="0.2">
      <c r="B38242" s="1168"/>
    </row>
    <row r="38243" spans="2:2" s="221" customFormat="1" ht="12.75" x14ac:dyDescent="0.2">
      <c r="B38243" s="1168"/>
    </row>
    <row r="38244" spans="2:2" s="221" customFormat="1" ht="12.75" x14ac:dyDescent="0.2">
      <c r="B38244" s="1168"/>
    </row>
    <row r="38245" spans="2:2" s="221" customFormat="1" ht="12.75" x14ac:dyDescent="0.2">
      <c r="B38245" s="1168"/>
    </row>
    <row r="38246" spans="2:2" s="221" customFormat="1" ht="12.75" x14ac:dyDescent="0.2">
      <c r="B38246" s="1168"/>
    </row>
    <row r="38247" spans="2:2" s="221" customFormat="1" ht="12.75" x14ac:dyDescent="0.2">
      <c r="B38247" s="1168"/>
    </row>
    <row r="38248" spans="2:2" s="221" customFormat="1" ht="12.75" x14ac:dyDescent="0.2">
      <c r="B38248" s="1168"/>
    </row>
    <row r="38249" spans="2:2" s="221" customFormat="1" ht="12.75" x14ac:dyDescent="0.2">
      <c r="B38249" s="1168"/>
    </row>
    <row r="38250" spans="2:2" s="221" customFormat="1" ht="12.75" x14ac:dyDescent="0.2">
      <c r="B38250" s="1168"/>
    </row>
    <row r="38251" spans="2:2" s="221" customFormat="1" ht="12.75" x14ac:dyDescent="0.2">
      <c r="B38251" s="1168"/>
    </row>
    <row r="38252" spans="2:2" s="221" customFormat="1" ht="12.75" x14ac:dyDescent="0.2">
      <c r="B38252" s="1168"/>
    </row>
    <row r="38253" spans="2:2" s="221" customFormat="1" ht="12.75" x14ac:dyDescent="0.2">
      <c r="B38253" s="1168"/>
    </row>
    <row r="38254" spans="2:2" s="221" customFormat="1" ht="12.75" x14ac:dyDescent="0.2">
      <c r="B38254" s="1168"/>
    </row>
    <row r="38255" spans="2:2" s="221" customFormat="1" ht="12.75" x14ac:dyDescent="0.2">
      <c r="B38255" s="1168"/>
    </row>
    <row r="38256" spans="2:2" s="221" customFormat="1" ht="12.75" x14ac:dyDescent="0.2">
      <c r="B38256" s="1168"/>
    </row>
    <row r="38257" spans="2:2" s="221" customFormat="1" ht="12.75" x14ac:dyDescent="0.2">
      <c r="B38257" s="1168"/>
    </row>
    <row r="38258" spans="2:2" s="221" customFormat="1" ht="12.75" x14ac:dyDescent="0.2">
      <c r="B38258" s="1168"/>
    </row>
    <row r="38259" spans="2:2" s="221" customFormat="1" ht="12.75" x14ac:dyDescent="0.2">
      <c r="B38259" s="1168"/>
    </row>
    <row r="38260" spans="2:2" s="221" customFormat="1" ht="12.75" x14ac:dyDescent="0.2">
      <c r="B38260" s="1168"/>
    </row>
    <row r="38261" spans="2:2" s="221" customFormat="1" ht="12.75" x14ac:dyDescent="0.2">
      <c r="B38261" s="1168"/>
    </row>
    <row r="38262" spans="2:2" s="221" customFormat="1" ht="12.75" x14ac:dyDescent="0.2">
      <c r="B38262" s="1168"/>
    </row>
    <row r="38263" spans="2:2" s="221" customFormat="1" ht="12.75" x14ac:dyDescent="0.2">
      <c r="B38263" s="1168"/>
    </row>
    <row r="38264" spans="2:2" s="221" customFormat="1" ht="12.75" x14ac:dyDescent="0.2">
      <c r="B38264" s="1168"/>
    </row>
    <row r="38265" spans="2:2" s="221" customFormat="1" ht="12.75" x14ac:dyDescent="0.2">
      <c r="B38265" s="1168"/>
    </row>
    <row r="38266" spans="2:2" s="221" customFormat="1" ht="12.75" x14ac:dyDescent="0.2">
      <c r="B38266" s="1168"/>
    </row>
    <row r="38267" spans="2:2" s="221" customFormat="1" ht="12.75" x14ac:dyDescent="0.2">
      <c r="B38267" s="1168"/>
    </row>
    <row r="38268" spans="2:2" s="221" customFormat="1" ht="12.75" x14ac:dyDescent="0.2">
      <c r="B38268" s="1168"/>
    </row>
    <row r="38269" spans="2:2" s="221" customFormat="1" ht="12.75" x14ac:dyDescent="0.2">
      <c r="B38269" s="1168"/>
    </row>
    <row r="38270" spans="2:2" s="221" customFormat="1" ht="12.75" x14ac:dyDescent="0.2">
      <c r="B38270" s="1168"/>
    </row>
    <row r="38271" spans="2:2" s="221" customFormat="1" ht="12.75" x14ac:dyDescent="0.2">
      <c r="B38271" s="1168"/>
    </row>
    <row r="38272" spans="2:2" s="221" customFormat="1" ht="12.75" x14ac:dyDescent="0.2">
      <c r="B38272" s="1168"/>
    </row>
    <row r="38273" spans="2:2" s="221" customFormat="1" ht="12.75" x14ac:dyDescent="0.2">
      <c r="B38273" s="1168"/>
    </row>
    <row r="38274" spans="2:2" s="221" customFormat="1" ht="12.75" x14ac:dyDescent="0.2">
      <c r="B38274" s="1168"/>
    </row>
    <row r="38275" spans="2:2" s="221" customFormat="1" ht="12.75" x14ac:dyDescent="0.2">
      <c r="B38275" s="1168"/>
    </row>
    <row r="38276" spans="2:2" s="221" customFormat="1" ht="12.75" x14ac:dyDescent="0.2">
      <c r="B38276" s="1168"/>
    </row>
    <row r="38277" spans="2:2" s="221" customFormat="1" ht="12.75" x14ac:dyDescent="0.2">
      <c r="B38277" s="1168"/>
    </row>
    <row r="38278" spans="2:2" s="221" customFormat="1" ht="12.75" x14ac:dyDescent="0.2">
      <c r="B38278" s="1168"/>
    </row>
    <row r="38279" spans="2:2" s="221" customFormat="1" ht="12.75" x14ac:dyDescent="0.2">
      <c r="B38279" s="1168"/>
    </row>
    <row r="38280" spans="2:2" s="221" customFormat="1" ht="12.75" x14ac:dyDescent="0.2">
      <c r="B38280" s="1168"/>
    </row>
    <row r="38281" spans="2:2" s="221" customFormat="1" ht="12.75" x14ac:dyDescent="0.2">
      <c r="B38281" s="1168"/>
    </row>
    <row r="38282" spans="2:2" s="221" customFormat="1" ht="12.75" x14ac:dyDescent="0.2">
      <c r="B38282" s="1168"/>
    </row>
    <row r="38283" spans="2:2" s="221" customFormat="1" ht="12.75" x14ac:dyDescent="0.2">
      <c r="B38283" s="1168"/>
    </row>
    <row r="38284" spans="2:2" s="221" customFormat="1" ht="12.75" x14ac:dyDescent="0.2">
      <c r="B38284" s="1168"/>
    </row>
    <row r="38285" spans="2:2" s="221" customFormat="1" ht="12.75" x14ac:dyDescent="0.2">
      <c r="B38285" s="1168"/>
    </row>
    <row r="38286" spans="2:2" s="221" customFormat="1" ht="12.75" x14ac:dyDescent="0.2">
      <c r="B38286" s="1168"/>
    </row>
    <row r="38287" spans="2:2" s="221" customFormat="1" ht="12.75" x14ac:dyDescent="0.2">
      <c r="B38287" s="1168"/>
    </row>
    <row r="38288" spans="2:2" s="221" customFormat="1" ht="12.75" x14ac:dyDescent="0.2">
      <c r="B38288" s="1168"/>
    </row>
    <row r="38289" spans="2:2" s="221" customFormat="1" ht="12.75" x14ac:dyDescent="0.2">
      <c r="B38289" s="1168"/>
    </row>
    <row r="38290" spans="2:2" s="221" customFormat="1" ht="12.75" x14ac:dyDescent="0.2">
      <c r="B38290" s="1168"/>
    </row>
    <row r="38291" spans="2:2" s="221" customFormat="1" ht="12.75" x14ac:dyDescent="0.2">
      <c r="B38291" s="1168"/>
    </row>
    <row r="38292" spans="2:2" s="221" customFormat="1" ht="12.75" x14ac:dyDescent="0.2">
      <c r="B38292" s="1168"/>
    </row>
    <row r="38293" spans="2:2" s="221" customFormat="1" ht="12.75" x14ac:dyDescent="0.2">
      <c r="B38293" s="1168"/>
    </row>
    <row r="38294" spans="2:2" s="221" customFormat="1" ht="12.75" x14ac:dyDescent="0.2">
      <c r="B38294" s="1168"/>
    </row>
    <row r="38295" spans="2:2" s="221" customFormat="1" ht="12.75" x14ac:dyDescent="0.2">
      <c r="B38295" s="1168"/>
    </row>
    <row r="38296" spans="2:2" s="221" customFormat="1" ht="12.75" x14ac:dyDescent="0.2">
      <c r="B38296" s="1168"/>
    </row>
    <row r="38297" spans="2:2" s="221" customFormat="1" ht="12.75" x14ac:dyDescent="0.2">
      <c r="B38297" s="1168"/>
    </row>
    <row r="38298" spans="2:2" s="221" customFormat="1" ht="12.75" x14ac:dyDescent="0.2">
      <c r="B38298" s="1168"/>
    </row>
    <row r="38299" spans="2:2" s="221" customFormat="1" ht="12.75" x14ac:dyDescent="0.2">
      <c r="B38299" s="1168"/>
    </row>
    <row r="38300" spans="2:2" s="221" customFormat="1" ht="12.75" x14ac:dyDescent="0.2">
      <c r="B38300" s="1168"/>
    </row>
    <row r="38301" spans="2:2" s="221" customFormat="1" ht="12.75" x14ac:dyDescent="0.2">
      <c r="B38301" s="1168"/>
    </row>
    <row r="38302" spans="2:2" s="221" customFormat="1" ht="12.75" x14ac:dyDescent="0.2">
      <c r="B38302" s="1168"/>
    </row>
    <row r="38303" spans="2:2" s="221" customFormat="1" ht="12.75" x14ac:dyDescent="0.2">
      <c r="B38303" s="1168"/>
    </row>
    <row r="38304" spans="2:2" s="221" customFormat="1" ht="12.75" x14ac:dyDescent="0.2">
      <c r="B38304" s="1168"/>
    </row>
    <row r="38305" spans="2:2" s="221" customFormat="1" ht="12.75" x14ac:dyDescent="0.2">
      <c r="B38305" s="1168"/>
    </row>
    <row r="38306" spans="2:2" s="221" customFormat="1" ht="12.75" x14ac:dyDescent="0.2">
      <c r="B38306" s="1168"/>
    </row>
    <row r="38307" spans="2:2" s="221" customFormat="1" ht="12.75" x14ac:dyDescent="0.2">
      <c r="B38307" s="1168"/>
    </row>
    <row r="38308" spans="2:2" s="221" customFormat="1" ht="12.75" x14ac:dyDescent="0.2">
      <c r="B38308" s="1168"/>
    </row>
    <row r="38309" spans="2:2" s="221" customFormat="1" ht="12.75" x14ac:dyDescent="0.2">
      <c r="B38309" s="1168"/>
    </row>
    <row r="38310" spans="2:2" s="221" customFormat="1" ht="12.75" x14ac:dyDescent="0.2">
      <c r="B38310" s="1168"/>
    </row>
    <row r="38311" spans="2:2" s="221" customFormat="1" ht="12.75" x14ac:dyDescent="0.2">
      <c r="B38311" s="1168"/>
    </row>
    <row r="38312" spans="2:2" s="221" customFormat="1" ht="12.75" x14ac:dyDescent="0.2">
      <c r="B38312" s="1168"/>
    </row>
    <row r="38313" spans="2:2" s="221" customFormat="1" ht="12.75" x14ac:dyDescent="0.2">
      <c r="B38313" s="1168"/>
    </row>
    <row r="38314" spans="2:2" s="221" customFormat="1" ht="12.75" x14ac:dyDescent="0.2">
      <c r="B38314" s="1168"/>
    </row>
    <row r="38315" spans="2:2" s="221" customFormat="1" ht="12.75" x14ac:dyDescent="0.2">
      <c r="B38315" s="1168"/>
    </row>
    <row r="38316" spans="2:2" s="221" customFormat="1" ht="12.75" x14ac:dyDescent="0.2">
      <c r="B38316" s="1168"/>
    </row>
    <row r="38317" spans="2:2" s="221" customFormat="1" ht="12.75" x14ac:dyDescent="0.2">
      <c r="B38317" s="1168"/>
    </row>
    <row r="38318" spans="2:2" s="221" customFormat="1" ht="12.75" x14ac:dyDescent="0.2">
      <c r="B38318" s="1168"/>
    </row>
    <row r="38319" spans="2:2" s="221" customFormat="1" ht="12.75" x14ac:dyDescent="0.2">
      <c r="B38319" s="1168"/>
    </row>
    <row r="38320" spans="2:2" s="221" customFormat="1" ht="12.75" x14ac:dyDescent="0.2">
      <c r="B38320" s="1168"/>
    </row>
    <row r="38321" spans="2:2" s="221" customFormat="1" ht="12.75" x14ac:dyDescent="0.2">
      <c r="B38321" s="1168"/>
    </row>
    <row r="38322" spans="2:2" s="221" customFormat="1" ht="12.75" x14ac:dyDescent="0.2">
      <c r="B38322" s="1168"/>
    </row>
    <row r="38323" spans="2:2" s="221" customFormat="1" ht="12.75" x14ac:dyDescent="0.2">
      <c r="B38323" s="1168"/>
    </row>
    <row r="38324" spans="2:2" s="221" customFormat="1" ht="12.75" x14ac:dyDescent="0.2">
      <c r="B38324" s="1168"/>
    </row>
    <row r="38325" spans="2:2" s="221" customFormat="1" ht="12.75" x14ac:dyDescent="0.2">
      <c r="B38325" s="1168"/>
    </row>
    <row r="38326" spans="2:2" s="221" customFormat="1" ht="12.75" x14ac:dyDescent="0.2">
      <c r="B38326" s="1168"/>
    </row>
    <row r="38327" spans="2:2" s="221" customFormat="1" ht="12.75" x14ac:dyDescent="0.2">
      <c r="B38327" s="1168"/>
    </row>
    <row r="38328" spans="2:2" s="221" customFormat="1" ht="12.75" x14ac:dyDescent="0.2">
      <c r="B38328" s="1168"/>
    </row>
    <row r="38329" spans="2:2" s="221" customFormat="1" ht="12.75" x14ac:dyDescent="0.2">
      <c r="B38329" s="1168"/>
    </row>
    <row r="38330" spans="2:2" s="221" customFormat="1" ht="12.75" x14ac:dyDescent="0.2">
      <c r="B38330" s="1168"/>
    </row>
    <row r="38331" spans="2:2" s="221" customFormat="1" ht="12.75" x14ac:dyDescent="0.2">
      <c r="B38331" s="1168"/>
    </row>
    <row r="38332" spans="2:2" s="221" customFormat="1" ht="12.75" x14ac:dyDescent="0.2">
      <c r="B38332" s="1168"/>
    </row>
    <row r="38333" spans="2:2" s="221" customFormat="1" ht="12.75" x14ac:dyDescent="0.2">
      <c r="B38333" s="1168"/>
    </row>
    <row r="38334" spans="2:2" s="221" customFormat="1" ht="12.75" x14ac:dyDescent="0.2">
      <c r="B38334" s="1168"/>
    </row>
    <row r="38335" spans="2:2" s="221" customFormat="1" ht="12.75" x14ac:dyDescent="0.2">
      <c r="B38335" s="1168"/>
    </row>
    <row r="38336" spans="2:2" s="221" customFormat="1" ht="12.75" x14ac:dyDescent="0.2">
      <c r="B38336" s="1168"/>
    </row>
    <row r="38337" spans="2:2" s="221" customFormat="1" ht="12.75" x14ac:dyDescent="0.2">
      <c r="B38337" s="1168"/>
    </row>
    <row r="38338" spans="2:2" s="221" customFormat="1" ht="12.75" x14ac:dyDescent="0.2">
      <c r="B38338" s="1168"/>
    </row>
    <row r="38339" spans="2:2" s="221" customFormat="1" ht="12.75" x14ac:dyDescent="0.2">
      <c r="B38339" s="1168"/>
    </row>
    <row r="38340" spans="2:2" s="221" customFormat="1" ht="12.75" x14ac:dyDescent="0.2">
      <c r="B38340" s="1168"/>
    </row>
    <row r="38341" spans="2:2" s="221" customFormat="1" ht="12.75" x14ac:dyDescent="0.2">
      <c r="B38341" s="1168"/>
    </row>
    <row r="38342" spans="2:2" s="221" customFormat="1" ht="12.75" x14ac:dyDescent="0.2">
      <c r="B38342" s="1168"/>
    </row>
    <row r="38343" spans="2:2" s="221" customFormat="1" ht="12.75" x14ac:dyDescent="0.2">
      <c r="B38343" s="1168"/>
    </row>
    <row r="38344" spans="2:2" s="221" customFormat="1" ht="12.75" x14ac:dyDescent="0.2">
      <c r="B38344" s="1168"/>
    </row>
    <row r="38345" spans="2:2" s="221" customFormat="1" ht="12.75" x14ac:dyDescent="0.2">
      <c r="B38345" s="1168"/>
    </row>
    <row r="38346" spans="2:2" s="221" customFormat="1" ht="12.75" x14ac:dyDescent="0.2">
      <c r="B38346" s="1168"/>
    </row>
    <row r="38347" spans="2:2" s="221" customFormat="1" ht="12.75" x14ac:dyDescent="0.2">
      <c r="B38347" s="1168"/>
    </row>
    <row r="38348" spans="2:2" s="221" customFormat="1" ht="12.75" x14ac:dyDescent="0.2">
      <c r="B38348" s="1168"/>
    </row>
    <row r="38349" spans="2:2" s="221" customFormat="1" ht="12.75" x14ac:dyDescent="0.2">
      <c r="B38349" s="1168"/>
    </row>
    <row r="38350" spans="2:2" s="221" customFormat="1" ht="12.75" x14ac:dyDescent="0.2">
      <c r="B38350" s="1168"/>
    </row>
    <row r="38351" spans="2:2" s="221" customFormat="1" ht="12.75" x14ac:dyDescent="0.2">
      <c r="B38351" s="1168"/>
    </row>
    <row r="38352" spans="2:2" s="221" customFormat="1" ht="12.75" x14ac:dyDescent="0.2">
      <c r="B38352" s="1168"/>
    </row>
    <row r="38353" spans="2:2" s="221" customFormat="1" ht="12.75" x14ac:dyDescent="0.2">
      <c r="B38353" s="1168"/>
    </row>
    <row r="38354" spans="2:2" s="221" customFormat="1" ht="12.75" x14ac:dyDescent="0.2">
      <c r="B38354" s="1168"/>
    </row>
    <row r="38355" spans="2:2" s="221" customFormat="1" ht="12.75" x14ac:dyDescent="0.2">
      <c r="B38355" s="1168"/>
    </row>
    <row r="38356" spans="2:2" s="221" customFormat="1" ht="12.75" x14ac:dyDescent="0.2">
      <c r="B38356" s="1168"/>
    </row>
    <row r="38357" spans="2:2" s="221" customFormat="1" ht="12.75" x14ac:dyDescent="0.2">
      <c r="B38357" s="1168"/>
    </row>
    <row r="38358" spans="2:2" s="221" customFormat="1" ht="12.75" x14ac:dyDescent="0.2">
      <c r="B38358" s="1168"/>
    </row>
    <row r="38359" spans="2:2" s="221" customFormat="1" ht="12.75" x14ac:dyDescent="0.2">
      <c r="B38359" s="1168"/>
    </row>
    <row r="38360" spans="2:2" s="221" customFormat="1" ht="12.75" x14ac:dyDescent="0.2">
      <c r="B38360" s="1168"/>
    </row>
    <row r="38361" spans="2:2" s="221" customFormat="1" ht="12.75" x14ac:dyDescent="0.2">
      <c r="B38361" s="1168"/>
    </row>
    <row r="38362" spans="2:2" s="221" customFormat="1" ht="12.75" x14ac:dyDescent="0.2">
      <c r="B38362" s="1168"/>
    </row>
    <row r="38363" spans="2:2" s="221" customFormat="1" ht="12.75" x14ac:dyDescent="0.2">
      <c r="B38363" s="1168"/>
    </row>
    <row r="38364" spans="2:2" s="221" customFormat="1" ht="12.75" x14ac:dyDescent="0.2">
      <c r="B38364" s="1168"/>
    </row>
    <row r="38365" spans="2:2" s="221" customFormat="1" ht="12.75" x14ac:dyDescent="0.2">
      <c r="B38365" s="1168"/>
    </row>
    <row r="38366" spans="2:2" s="221" customFormat="1" ht="12.75" x14ac:dyDescent="0.2">
      <c r="B38366" s="1168"/>
    </row>
    <row r="38367" spans="2:2" s="221" customFormat="1" ht="12.75" x14ac:dyDescent="0.2">
      <c r="B38367" s="1168"/>
    </row>
    <row r="38368" spans="2:2" s="221" customFormat="1" ht="12.75" x14ac:dyDescent="0.2">
      <c r="B38368" s="1168"/>
    </row>
    <row r="38369" spans="2:2" s="221" customFormat="1" ht="12.75" x14ac:dyDescent="0.2">
      <c r="B38369" s="1168"/>
    </row>
    <row r="38370" spans="2:2" s="221" customFormat="1" ht="12.75" x14ac:dyDescent="0.2">
      <c r="B38370" s="1168"/>
    </row>
    <row r="38371" spans="2:2" s="221" customFormat="1" ht="12.75" x14ac:dyDescent="0.2">
      <c r="B38371" s="1168"/>
    </row>
    <row r="38372" spans="2:2" s="221" customFormat="1" ht="12.75" x14ac:dyDescent="0.2">
      <c r="B38372" s="1168"/>
    </row>
    <row r="38373" spans="2:2" s="221" customFormat="1" ht="12.75" x14ac:dyDescent="0.2">
      <c r="B38373" s="1168"/>
    </row>
    <row r="38374" spans="2:2" s="221" customFormat="1" ht="12.75" x14ac:dyDescent="0.2">
      <c r="B38374" s="1168"/>
    </row>
    <row r="38375" spans="2:2" s="221" customFormat="1" ht="12.75" x14ac:dyDescent="0.2">
      <c r="B38375" s="1168"/>
    </row>
    <row r="38376" spans="2:2" s="221" customFormat="1" ht="12.75" x14ac:dyDescent="0.2">
      <c r="B38376" s="1168"/>
    </row>
    <row r="38377" spans="2:2" s="221" customFormat="1" ht="12.75" x14ac:dyDescent="0.2">
      <c r="B38377" s="1168"/>
    </row>
    <row r="38378" spans="2:2" s="221" customFormat="1" ht="12.75" x14ac:dyDescent="0.2">
      <c r="B38378" s="1168"/>
    </row>
    <row r="38379" spans="2:2" s="221" customFormat="1" ht="12.75" x14ac:dyDescent="0.2">
      <c r="B38379" s="1168"/>
    </row>
    <row r="38380" spans="2:2" s="221" customFormat="1" ht="12.75" x14ac:dyDescent="0.2">
      <c r="B38380" s="1168"/>
    </row>
    <row r="38381" spans="2:2" s="221" customFormat="1" ht="12.75" x14ac:dyDescent="0.2">
      <c r="B38381" s="1168"/>
    </row>
    <row r="38382" spans="2:2" s="221" customFormat="1" ht="12.75" x14ac:dyDescent="0.2">
      <c r="B38382" s="1168"/>
    </row>
    <row r="38383" spans="2:2" s="221" customFormat="1" ht="12.75" x14ac:dyDescent="0.2">
      <c r="B38383" s="1168"/>
    </row>
    <row r="38384" spans="2:2" s="221" customFormat="1" ht="12.75" x14ac:dyDescent="0.2">
      <c r="B38384" s="1168"/>
    </row>
    <row r="38385" spans="2:2" s="221" customFormat="1" ht="12.75" x14ac:dyDescent="0.2">
      <c r="B38385" s="1168"/>
    </row>
    <row r="38386" spans="2:2" s="221" customFormat="1" ht="12.75" x14ac:dyDescent="0.2">
      <c r="B38386" s="1168"/>
    </row>
    <row r="38387" spans="2:2" s="221" customFormat="1" ht="12.75" x14ac:dyDescent="0.2">
      <c r="B38387" s="1168"/>
    </row>
    <row r="38388" spans="2:2" s="221" customFormat="1" ht="12.75" x14ac:dyDescent="0.2">
      <c r="B38388" s="1168"/>
    </row>
    <row r="38389" spans="2:2" s="221" customFormat="1" ht="12.75" x14ac:dyDescent="0.2">
      <c r="B38389" s="1168"/>
    </row>
    <row r="38390" spans="2:2" s="221" customFormat="1" ht="12.75" x14ac:dyDescent="0.2">
      <c r="B38390" s="1168"/>
    </row>
    <row r="38391" spans="2:2" s="221" customFormat="1" ht="12.75" x14ac:dyDescent="0.2">
      <c r="B38391" s="1168"/>
    </row>
    <row r="38392" spans="2:2" s="221" customFormat="1" ht="12.75" x14ac:dyDescent="0.2">
      <c r="B38392" s="1168"/>
    </row>
    <row r="38393" spans="2:2" s="221" customFormat="1" ht="12.75" x14ac:dyDescent="0.2">
      <c r="B38393" s="1168"/>
    </row>
    <row r="38394" spans="2:2" s="221" customFormat="1" ht="12.75" x14ac:dyDescent="0.2">
      <c r="B38394" s="1168"/>
    </row>
    <row r="38395" spans="2:2" s="221" customFormat="1" ht="12.75" x14ac:dyDescent="0.2">
      <c r="B38395" s="1168"/>
    </row>
    <row r="38396" spans="2:2" s="221" customFormat="1" ht="12.75" x14ac:dyDescent="0.2">
      <c r="B38396" s="1168"/>
    </row>
    <row r="38397" spans="2:2" s="221" customFormat="1" ht="12.75" x14ac:dyDescent="0.2">
      <c r="B38397" s="1168"/>
    </row>
    <row r="38398" spans="2:2" s="221" customFormat="1" ht="12.75" x14ac:dyDescent="0.2">
      <c r="B38398" s="1168"/>
    </row>
    <row r="38399" spans="2:2" s="221" customFormat="1" ht="12.75" x14ac:dyDescent="0.2">
      <c r="B38399" s="1168"/>
    </row>
    <row r="38400" spans="2:2" s="221" customFormat="1" ht="12.75" x14ac:dyDescent="0.2">
      <c r="B38400" s="1168"/>
    </row>
    <row r="38401" spans="2:2" s="221" customFormat="1" ht="12.75" x14ac:dyDescent="0.2">
      <c r="B38401" s="1168"/>
    </row>
    <row r="38402" spans="2:2" s="221" customFormat="1" ht="12.75" x14ac:dyDescent="0.2">
      <c r="B38402" s="1168"/>
    </row>
    <row r="38403" spans="2:2" s="221" customFormat="1" ht="12.75" x14ac:dyDescent="0.2">
      <c r="B38403" s="1168"/>
    </row>
    <row r="38404" spans="2:2" s="221" customFormat="1" ht="12.75" x14ac:dyDescent="0.2">
      <c r="B38404" s="1168"/>
    </row>
    <row r="38405" spans="2:2" s="221" customFormat="1" ht="12.75" x14ac:dyDescent="0.2">
      <c r="B38405" s="1168"/>
    </row>
    <row r="38406" spans="2:2" s="221" customFormat="1" ht="12.75" x14ac:dyDescent="0.2">
      <c r="B38406" s="1168"/>
    </row>
    <row r="38407" spans="2:2" s="221" customFormat="1" ht="12.75" x14ac:dyDescent="0.2">
      <c r="B38407" s="1168"/>
    </row>
    <row r="38408" spans="2:2" s="221" customFormat="1" ht="12.75" x14ac:dyDescent="0.2">
      <c r="B38408" s="1168"/>
    </row>
    <row r="38409" spans="2:2" s="221" customFormat="1" ht="12.75" x14ac:dyDescent="0.2">
      <c r="B38409" s="1168"/>
    </row>
    <row r="38410" spans="2:2" s="221" customFormat="1" ht="12.75" x14ac:dyDescent="0.2">
      <c r="B38410" s="1168"/>
    </row>
    <row r="38411" spans="2:2" s="221" customFormat="1" ht="12.75" x14ac:dyDescent="0.2">
      <c r="B38411" s="1168"/>
    </row>
    <row r="38412" spans="2:2" s="221" customFormat="1" ht="12.75" x14ac:dyDescent="0.2">
      <c r="B38412" s="1168"/>
    </row>
    <row r="38413" spans="2:2" s="221" customFormat="1" ht="12.75" x14ac:dyDescent="0.2">
      <c r="B38413" s="1168"/>
    </row>
    <row r="38414" spans="2:2" s="221" customFormat="1" ht="12.75" x14ac:dyDescent="0.2">
      <c r="B38414" s="1168"/>
    </row>
    <row r="38415" spans="2:2" s="221" customFormat="1" ht="12.75" x14ac:dyDescent="0.2">
      <c r="B38415" s="1168"/>
    </row>
    <row r="38416" spans="2:2" s="221" customFormat="1" ht="12.75" x14ac:dyDescent="0.2">
      <c r="B38416" s="1168"/>
    </row>
    <row r="38417" spans="2:2" s="221" customFormat="1" ht="12.75" x14ac:dyDescent="0.2">
      <c r="B38417" s="1168"/>
    </row>
    <row r="38418" spans="2:2" s="221" customFormat="1" ht="12.75" x14ac:dyDescent="0.2">
      <c r="B38418" s="1168"/>
    </row>
    <row r="38419" spans="2:2" s="221" customFormat="1" ht="12.75" x14ac:dyDescent="0.2">
      <c r="B38419" s="1168"/>
    </row>
    <row r="38420" spans="2:2" s="221" customFormat="1" ht="12.75" x14ac:dyDescent="0.2">
      <c r="B38420" s="1168"/>
    </row>
    <row r="38421" spans="2:2" s="221" customFormat="1" ht="12.75" x14ac:dyDescent="0.2">
      <c r="B38421" s="1168"/>
    </row>
    <row r="38422" spans="2:2" s="221" customFormat="1" ht="12.75" x14ac:dyDescent="0.2">
      <c r="B38422" s="1168"/>
    </row>
    <row r="38423" spans="2:2" s="221" customFormat="1" ht="12.75" x14ac:dyDescent="0.2">
      <c r="B38423" s="1168"/>
    </row>
    <row r="38424" spans="2:2" s="221" customFormat="1" ht="12.75" x14ac:dyDescent="0.2">
      <c r="B38424" s="1168"/>
    </row>
    <row r="38425" spans="2:2" s="221" customFormat="1" ht="12.75" x14ac:dyDescent="0.2">
      <c r="B38425" s="1168"/>
    </row>
    <row r="38426" spans="2:2" s="221" customFormat="1" ht="12.75" x14ac:dyDescent="0.2">
      <c r="B38426" s="1168"/>
    </row>
    <row r="38427" spans="2:2" s="221" customFormat="1" ht="12.75" x14ac:dyDescent="0.2">
      <c r="B38427" s="1168"/>
    </row>
    <row r="38428" spans="2:2" s="221" customFormat="1" ht="12.75" x14ac:dyDescent="0.2">
      <c r="B38428" s="1168"/>
    </row>
    <row r="38429" spans="2:2" s="221" customFormat="1" ht="12.75" x14ac:dyDescent="0.2">
      <c r="B38429" s="1168"/>
    </row>
    <row r="38430" spans="2:2" s="221" customFormat="1" ht="12.75" x14ac:dyDescent="0.2">
      <c r="B38430" s="1168"/>
    </row>
    <row r="38431" spans="2:2" s="221" customFormat="1" ht="12.75" x14ac:dyDescent="0.2">
      <c r="B38431" s="1168"/>
    </row>
    <row r="38432" spans="2:2" s="221" customFormat="1" ht="12.75" x14ac:dyDescent="0.2">
      <c r="B38432" s="1168"/>
    </row>
    <row r="38433" spans="2:2" s="221" customFormat="1" ht="12.75" x14ac:dyDescent="0.2">
      <c r="B38433" s="1168"/>
    </row>
    <row r="38434" spans="2:2" s="221" customFormat="1" ht="12.75" x14ac:dyDescent="0.2">
      <c r="B38434" s="1168"/>
    </row>
    <row r="38435" spans="2:2" s="221" customFormat="1" ht="12.75" x14ac:dyDescent="0.2">
      <c r="B38435" s="1168"/>
    </row>
    <row r="38436" spans="2:2" s="221" customFormat="1" ht="12.75" x14ac:dyDescent="0.2">
      <c r="B38436" s="1168"/>
    </row>
    <row r="38437" spans="2:2" s="221" customFormat="1" ht="12.75" x14ac:dyDescent="0.2">
      <c r="B38437" s="1168"/>
    </row>
    <row r="38438" spans="2:2" s="221" customFormat="1" ht="12.75" x14ac:dyDescent="0.2">
      <c r="B38438" s="1168"/>
    </row>
    <row r="38439" spans="2:2" s="221" customFormat="1" ht="12.75" x14ac:dyDescent="0.2">
      <c r="B38439" s="1168"/>
    </row>
    <row r="38440" spans="2:2" s="221" customFormat="1" ht="12.75" x14ac:dyDescent="0.2">
      <c r="B38440" s="1168"/>
    </row>
    <row r="38441" spans="2:2" s="221" customFormat="1" ht="12.75" x14ac:dyDescent="0.2">
      <c r="B38441" s="1168"/>
    </row>
    <row r="38442" spans="2:2" s="221" customFormat="1" ht="12.75" x14ac:dyDescent="0.2">
      <c r="B38442" s="1168"/>
    </row>
    <row r="38443" spans="2:2" s="221" customFormat="1" ht="12.75" x14ac:dyDescent="0.2">
      <c r="B38443" s="1168"/>
    </row>
    <row r="38444" spans="2:2" s="221" customFormat="1" ht="12.75" x14ac:dyDescent="0.2">
      <c r="B38444" s="1168"/>
    </row>
    <row r="38445" spans="2:2" s="221" customFormat="1" ht="12.75" x14ac:dyDescent="0.2">
      <c r="B38445" s="1168"/>
    </row>
    <row r="38446" spans="2:2" s="221" customFormat="1" ht="12.75" x14ac:dyDescent="0.2">
      <c r="B38446" s="1168"/>
    </row>
    <row r="38447" spans="2:2" s="221" customFormat="1" ht="12.75" x14ac:dyDescent="0.2">
      <c r="B38447" s="1168"/>
    </row>
    <row r="38448" spans="2:2" s="221" customFormat="1" ht="12.75" x14ac:dyDescent="0.2">
      <c r="B38448" s="1168"/>
    </row>
    <row r="38449" spans="2:2" s="221" customFormat="1" ht="12.75" x14ac:dyDescent="0.2">
      <c r="B38449" s="1168"/>
    </row>
    <row r="38450" spans="2:2" s="221" customFormat="1" ht="12.75" x14ac:dyDescent="0.2">
      <c r="B38450" s="1168"/>
    </row>
    <row r="38451" spans="2:2" s="221" customFormat="1" ht="12.75" x14ac:dyDescent="0.2">
      <c r="B38451" s="1168"/>
    </row>
    <row r="38452" spans="2:2" s="221" customFormat="1" ht="12.75" x14ac:dyDescent="0.2">
      <c r="B38452" s="1168"/>
    </row>
    <row r="38453" spans="2:2" s="221" customFormat="1" ht="12.75" x14ac:dyDescent="0.2">
      <c r="B38453" s="1168"/>
    </row>
    <row r="38454" spans="2:2" s="221" customFormat="1" ht="12.75" x14ac:dyDescent="0.2">
      <c r="B38454" s="1168"/>
    </row>
    <row r="38455" spans="2:2" s="221" customFormat="1" ht="12.75" x14ac:dyDescent="0.2">
      <c r="B38455" s="1168"/>
    </row>
    <row r="38456" spans="2:2" s="221" customFormat="1" ht="12.75" x14ac:dyDescent="0.2">
      <c r="B38456" s="1168"/>
    </row>
    <row r="38457" spans="2:2" s="221" customFormat="1" ht="12.75" x14ac:dyDescent="0.2">
      <c r="B38457" s="1168"/>
    </row>
    <row r="38458" spans="2:2" s="221" customFormat="1" ht="12.75" x14ac:dyDescent="0.2">
      <c r="B38458" s="1168"/>
    </row>
    <row r="38459" spans="2:2" s="221" customFormat="1" ht="12.75" x14ac:dyDescent="0.2">
      <c r="B38459" s="1168"/>
    </row>
    <row r="38460" spans="2:2" s="221" customFormat="1" ht="12.75" x14ac:dyDescent="0.2">
      <c r="B38460" s="1168"/>
    </row>
    <row r="38461" spans="2:2" s="221" customFormat="1" ht="12.75" x14ac:dyDescent="0.2">
      <c r="B38461" s="1168"/>
    </row>
    <row r="38462" spans="2:2" s="221" customFormat="1" ht="12.75" x14ac:dyDescent="0.2">
      <c r="B38462" s="1168"/>
    </row>
    <row r="38463" spans="2:2" s="221" customFormat="1" ht="12.75" x14ac:dyDescent="0.2">
      <c r="B38463" s="1168"/>
    </row>
    <row r="38464" spans="2:2" s="221" customFormat="1" ht="12.75" x14ac:dyDescent="0.2">
      <c r="B38464" s="1168"/>
    </row>
    <row r="38465" spans="2:2" s="221" customFormat="1" ht="12.75" x14ac:dyDescent="0.2">
      <c r="B38465" s="1168"/>
    </row>
    <row r="38466" spans="2:2" s="221" customFormat="1" ht="12.75" x14ac:dyDescent="0.2">
      <c r="B38466" s="1168"/>
    </row>
    <row r="38467" spans="2:2" s="221" customFormat="1" ht="12.75" x14ac:dyDescent="0.2">
      <c r="B38467" s="1168"/>
    </row>
    <row r="38468" spans="2:2" s="221" customFormat="1" ht="12.75" x14ac:dyDescent="0.2">
      <c r="B38468" s="1168"/>
    </row>
    <row r="38469" spans="2:2" s="221" customFormat="1" ht="12.75" x14ac:dyDescent="0.2">
      <c r="B38469" s="1168"/>
    </row>
    <row r="38470" spans="2:2" s="221" customFormat="1" ht="12.75" x14ac:dyDescent="0.2">
      <c r="B38470" s="1168"/>
    </row>
    <row r="38471" spans="2:2" s="221" customFormat="1" ht="12.75" x14ac:dyDescent="0.2">
      <c r="B38471" s="1168"/>
    </row>
    <row r="38472" spans="2:2" s="221" customFormat="1" ht="12.75" x14ac:dyDescent="0.2">
      <c r="B38472" s="1168"/>
    </row>
    <row r="38473" spans="2:2" s="221" customFormat="1" ht="12.75" x14ac:dyDescent="0.2">
      <c r="B38473" s="1168"/>
    </row>
    <row r="38474" spans="2:2" s="221" customFormat="1" ht="12.75" x14ac:dyDescent="0.2">
      <c r="B38474" s="1168"/>
    </row>
    <row r="38475" spans="2:2" s="221" customFormat="1" ht="12.75" x14ac:dyDescent="0.2">
      <c r="B38475" s="1168"/>
    </row>
    <row r="38476" spans="2:2" s="221" customFormat="1" ht="12.75" x14ac:dyDescent="0.2">
      <c r="B38476" s="1168"/>
    </row>
    <row r="38477" spans="2:2" s="221" customFormat="1" ht="12.75" x14ac:dyDescent="0.2">
      <c r="B38477" s="1168"/>
    </row>
    <row r="38478" spans="2:2" s="221" customFormat="1" ht="12.75" x14ac:dyDescent="0.2">
      <c r="B38478" s="1168"/>
    </row>
    <row r="38479" spans="2:2" s="221" customFormat="1" ht="12.75" x14ac:dyDescent="0.2">
      <c r="B38479" s="1168"/>
    </row>
    <row r="38480" spans="2:2" s="221" customFormat="1" ht="12.75" x14ac:dyDescent="0.2">
      <c r="B38480" s="1168"/>
    </row>
    <row r="38481" spans="2:2" s="221" customFormat="1" ht="12.75" x14ac:dyDescent="0.2">
      <c r="B38481" s="1168"/>
    </row>
    <row r="38482" spans="2:2" s="221" customFormat="1" ht="12.75" x14ac:dyDescent="0.2">
      <c r="B38482" s="1168"/>
    </row>
    <row r="38483" spans="2:2" s="221" customFormat="1" ht="12.75" x14ac:dyDescent="0.2">
      <c r="B38483" s="1168"/>
    </row>
    <row r="38484" spans="2:2" s="221" customFormat="1" ht="12.75" x14ac:dyDescent="0.2">
      <c r="B38484" s="1168"/>
    </row>
    <row r="38485" spans="2:2" s="221" customFormat="1" ht="12.75" x14ac:dyDescent="0.2">
      <c r="B38485" s="1168"/>
    </row>
    <row r="38486" spans="2:2" s="221" customFormat="1" ht="12.75" x14ac:dyDescent="0.2">
      <c r="B38486" s="1168"/>
    </row>
    <row r="38487" spans="2:2" s="221" customFormat="1" ht="12.75" x14ac:dyDescent="0.2">
      <c r="B38487" s="1168"/>
    </row>
    <row r="38488" spans="2:2" s="221" customFormat="1" ht="12.75" x14ac:dyDescent="0.2">
      <c r="B38488" s="1168"/>
    </row>
    <row r="38489" spans="2:2" s="221" customFormat="1" ht="12.75" x14ac:dyDescent="0.2">
      <c r="B38489" s="1168"/>
    </row>
    <row r="38490" spans="2:2" s="221" customFormat="1" ht="12.75" x14ac:dyDescent="0.2">
      <c r="B38490" s="1168"/>
    </row>
    <row r="38491" spans="2:2" s="221" customFormat="1" ht="12.75" x14ac:dyDescent="0.2">
      <c r="B38491" s="1168"/>
    </row>
    <row r="38492" spans="2:2" s="221" customFormat="1" ht="12.75" x14ac:dyDescent="0.2">
      <c r="B38492" s="1168"/>
    </row>
    <row r="38493" spans="2:2" s="221" customFormat="1" ht="12.75" x14ac:dyDescent="0.2">
      <c r="B38493" s="1168"/>
    </row>
    <row r="38494" spans="2:2" s="221" customFormat="1" ht="12.75" x14ac:dyDescent="0.2">
      <c r="B38494" s="1168"/>
    </row>
    <row r="38495" spans="2:2" s="221" customFormat="1" ht="12.75" x14ac:dyDescent="0.2">
      <c r="B38495" s="1168"/>
    </row>
    <row r="38496" spans="2:2" s="221" customFormat="1" ht="12.75" x14ac:dyDescent="0.2">
      <c r="B38496" s="1168"/>
    </row>
    <row r="38497" spans="2:2" s="221" customFormat="1" ht="12.75" x14ac:dyDescent="0.2">
      <c r="B38497" s="1168"/>
    </row>
    <row r="38498" spans="2:2" s="221" customFormat="1" ht="12.75" x14ac:dyDescent="0.2">
      <c r="B38498" s="1168"/>
    </row>
    <row r="38499" spans="2:2" s="221" customFormat="1" ht="12.75" x14ac:dyDescent="0.2">
      <c r="B38499" s="1168"/>
    </row>
    <row r="38500" spans="2:2" s="221" customFormat="1" ht="12.75" x14ac:dyDescent="0.2">
      <c r="B38500" s="1168"/>
    </row>
    <row r="38501" spans="2:2" s="221" customFormat="1" ht="12.75" x14ac:dyDescent="0.2">
      <c r="B38501" s="1168"/>
    </row>
    <row r="38502" spans="2:2" s="221" customFormat="1" ht="12.75" x14ac:dyDescent="0.2">
      <c r="B38502" s="1168"/>
    </row>
    <row r="38503" spans="2:2" s="221" customFormat="1" ht="12.75" x14ac:dyDescent="0.2">
      <c r="B38503" s="1168"/>
    </row>
    <row r="38504" spans="2:2" s="221" customFormat="1" ht="12.75" x14ac:dyDescent="0.2">
      <c r="B38504" s="1168"/>
    </row>
    <row r="38505" spans="2:2" s="221" customFormat="1" ht="12.75" x14ac:dyDescent="0.2">
      <c r="B38505" s="1168"/>
    </row>
    <row r="38506" spans="2:2" s="221" customFormat="1" ht="12.75" x14ac:dyDescent="0.2">
      <c r="B38506" s="1168"/>
    </row>
    <row r="38507" spans="2:2" s="221" customFormat="1" ht="12.75" x14ac:dyDescent="0.2">
      <c r="B38507" s="1168"/>
    </row>
    <row r="38508" spans="2:2" s="221" customFormat="1" ht="12.75" x14ac:dyDescent="0.2">
      <c r="B38508" s="1168"/>
    </row>
    <row r="38509" spans="2:2" s="221" customFormat="1" ht="12.75" x14ac:dyDescent="0.2">
      <c r="B38509" s="1168"/>
    </row>
    <row r="38510" spans="2:2" s="221" customFormat="1" ht="12.75" x14ac:dyDescent="0.2">
      <c r="B38510" s="1168"/>
    </row>
    <row r="38511" spans="2:2" s="221" customFormat="1" ht="12.75" x14ac:dyDescent="0.2">
      <c r="B38511" s="1168"/>
    </row>
    <row r="38512" spans="2:2" s="221" customFormat="1" ht="12.75" x14ac:dyDescent="0.2">
      <c r="B38512" s="1168"/>
    </row>
    <row r="38513" spans="2:2" s="221" customFormat="1" ht="12.75" x14ac:dyDescent="0.2">
      <c r="B38513" s="1168"/>
    </row>
    <row r="38514" spans="2:2" s="221" customFormat="1" ht="12.75" x14ac:dyDescent="0.2">
      <c r="B38514" s="1168"/>
    </row>
    <row r="38515" spans="2:2" s="221" customFormat="1" ht="12.75" x14ac:dyDescent="0.2">
      <c r="B38515" s="1168"/>
    </row>
    <row r="38516" spans="2:2" s="221" customFormat="1" ht="12.75" x14ac:dyDescent="0.2">
      <c r="B38516" s="1168"/>
    </row>
    <row r="38517" spans="2:2" s="221" customFormat="1" ht="12.75" x14ac:dyDescent="0.2">
      <c r="B38517" s="1168"/>
    </row>
    <row r="38518" spans="2:2" s="221" customFormat="1" ht="12.75" x14ac:dyDescent="0.2">
      <c r="B38518" s="1168"/>
    </row>
    <row r="38519" spans="2:2" s="221" customFormat="1" ht="12.75" x14ac:dyDescent="0.2">
      <c r="B38519" s="1168"/>
    </row>
    <row r="38520" spans="2:2" s="221" customFormat="1" ht="12.75" x14ac:dyDescent="0.2">
      <c r="B38520" s="1168"/>
    </row>
    <row r="38521" spans="2:2" s="221" customFormat="1" ht="12.75" x14ac:dyDescent="0.2">
      <c r="B38521" s="1168"/>
    </row>
    <row r="38522" spans="2:2" s="221" customFormat="1" ht="12.75" x14ac:dyDescent="0.2">
      <c r="B38522" s="1168"/>
    </row>
    <row r="38523" spans="2:2" s="221" customFormat="1" ht="12.75" x14ac:dyDescent="0.2">
      <c r="B38523" s="1168"/>
    </row>
    <row r="38524" spans="2:2" s="221" customFormat="1" ht="12.75" x14ac:dyDescent="0.2">
      <c r="B38524" s="1168"/>
    </row>
    <row r="38525" spans="2:2" s="221" customFormat="1" ht="12.75" x14ac:dyDescent="0.2">
      <c r="B38525" s="1168"/>
    </row>
    <row r="38526" spans="2:2" s="221" customFormat="1" ht="12.75" x14ac:dyDescent="0.2">
      <c r="B38526" s="1168"/>
    </row>
    <row r="38527" spans="2:2" s="221" customFormat="1" ht="12.75" x14ac:dyDescent="0.2">
      <c r="B38527" s="1168"/>
    </row>
    <row r="38528" spans="2:2" s="221" customFormat="1" ht="12.75" x14ac:dyDescent="0.2">
      <c r="B38528" s="1168"/>
    </row>
    <row r="38529" spans="2:2" s="221" customFormat="1" ht="12.75" x14ac:dyDescent="0.2">
      <c r="B38529" s="1168"/>
    </row>
    <row r="38530" spans="2:2" s="221" customFormat="1" ht="12.75" x14ac:dyDescent="0.2">
      <c r="B38530" s="1168"/>
    </row>
    <row r="38531" spans="2:2" s="221" customFormat="1" ht="12.75" x14ac:dyDescent="0.2">
      <c r="B38531" s="1168"/>
    </row>
    <row r="38532" spans="2:2" s="221" customFormat="1" ht="12.75" x14ac:dyDescent="0.2">
      <c r="B38532" s="1168"/>
    </row>
    <row r="38533" spans="2:2" s="221" customFormat="1" ht="12.75" x14ac:dyDescent="0.2">
      <c r="B38533" s="1168"/>
    </row>
    <row r="38534" spans="2:2" s="221" customFormat="1" ht="12.75" x14ac:dyDescent="0.2">
      <c r="B38534" s="1168"/>
    </row>
    <row r="38535" spans="2:2" s="221" customFormat="1" ht="12.75" x14ac:dyDescent="0.2">
      <c r="B38535" s="1168"/>
    </row>
    <row r="38536" spans="2:2" s="221" customFormat="1" ht="12.75" x14ac:dyDescent="0.2">
      <c r="B38536" s="1168"/>
    </row>
    <row r="38537" spans="2:2" s="221" customFormat="1" ht="12.75" x14ac:dyDescent="0.2">
      <c r="B38537" s="1168"/>
    </row>
    <row r="38538" spans="2:2" s="221" customFormat="1" ht="12.75" x14ac:dyDescent="0.2">
      <c r="B38538" s="1168"/>
    </row>
    <row r="38539" spans="2:2" s="221" customFormat="1" ht="12.75" x14ac:dyDescent="0.2">
      <c r="B38539" s="1168"/>
    </row>
    <row r="38540" spans="2:2" s="221" customFormat="1" ht="12.75" x14ac:dyDescent="0.2">
      <c r="B38540" s="1168"/>
    </row>
    <row r="38541" spans="2:2" s="221" customFormat="1" ht="12.75" x14ac:dyDescent="0.2">
      <c r="B38541" s="1168"/>
    </row>
    <row r="38542" spans="2:2" s="221" customFormat="1" ht="12.75" x14ac:dyDescent="0.2">
      <c r="B38542" s="1168"/>
    </row>
    <row r="38543" spans="2:2" s="221" customFormat="1" ht="12.75" x14ac:dyDescent="0.2">
      <c r="B38543" s="1168"/>
    </row>
    <row r="38544" spans="2:2" s="221" customFormat="1" ht="12.75" x14ac:dyDescent="0.2">
      <c r="B38544" s="1168"/>
    </row>
    <row r="38545" spans="2:2" s="221" customFormat="1" ht="12.75" x14ac:dyDescent="0.2">
      <c r="B38545" s="1168"/>
    </row>
    <row r="38546" spans="2:2" s="221" customFormat="1" ht="12.75" x14ac:dyDescent="0.2">
      <c r="B38546" s="1168"/>
    </row>
    <row r="38547" spans="2:2" s="221" customFormat="1" ht="12.75" x14ac:dyDescent="0.2">
      <c r="B38547" s="1168"/>
    </row>
    <row r="38548" spans="2:2" s="221" customFormat="1" ht="12.75" x14ac:dyDescent="0.2">
      <c r="B38548" s="1168"/>
    </row>
    <row r="38549" spans="2:2" s="221" customFormat="1" ht="12.75" x14ac:dyDescent="0.2">
      <c r="B38549" s="1168"/>
    </row>
    <row r="38550" spans="2:2" s="221" customFormat="1" ht="12.75" x14ac:dyDescent="0.2">
      <c r="B38550" s="1168"/>
    </row>
    <row r="38551" spans="2:2" s="221" customFormat="1" ht="12.75" x14ac:dyDescent="0.2">
      <c r="B38551" s="1168"/>
    </row>
    <row r="38552" spans="2:2" s="221" customFormat="1" ht="12.75" x14ac:dyDescent="0.2">
      <c r="B38552" s="1168"/>
    </row>
    <row r="38553" spans="2:2" s="221" customFormat="1" ht="12.75" x14ac:dyDescent="0.2">
      <c r="B38553" s="1168"/>
    </row>
    <row r="38554" spans="2:2" s="221" customFormat="1" ht="12.75" x14ac:dyDescent="0.2">
      <c r="B38554" s="1168"/>
    </row>
    <row r="38555" spans="2:2" s="221" customFormat="1" ht="12.75" x14ac:dyDescent="0.2">
      <c r="B38555" s="1168"/>
    </row>
    <row r="38556" spans="2:2" s="221" customFormat="1" ht="12.75" x14ac:dyDescent="0.2">
      <c r="B38556" s="1168"/>
    </row>
    <row r="38557" spans="2:2" s="221" customFormat="1" ht="12.75" x14ac:dyDescent="0.2">
      <c r="B38557" s="1168"/>
    </row>
    <row r="38558" spans="2:2" s="221" customFormat="1" ht="12.75" x14ac:dyDescent="0.2">
      <c r="B38558" s="1168"/>
    </row>
    <row r="38559" spans="2:2" s="221" customFormat="1" ht="12.75" x14ac:dyDescent="0.2">
      <c r="B38559" s="1168"/>
    </row>
    <row r="38560" spans="2:2" s="221" customFormat="1" ht="12.75" x14ac:dyDescent="0.2">
      <c r="B38560" s="1168"/>
    </row>
    <row r="38561" spans="2:2" s="221" customFormat="1" ht="12.75" x14ac:dyDescent="0.2">
      <c r="B38561" s="1168"/>
    </row>
    <row r="38562" spans="2:2" s="221" customFormat="1" ht="12.75" x14ac:dyDescent="0.2">
      <c r="B38562" s="1168"/>
    </row>
    <row r="38563" spans="2:2" s="221" customFormat="1" ht="12.75" x14ac:dyDescent="0.2">
      <c r="B38563" s="1168"/>
    </row>
    <row r="38564" spans="2:2" s="221" customFormat="1" ht="12.75" x14ac:dyDescent="0.2">
      <c r="B38564" s="1168"/>
    </row>
    <row r="38565" spans="2:2" s="221" customFormat="1" ht="12.75" x14ac:dyDescent="0.2">
      <c r="B38565" s="1168"/>
    </row>
    <row r="38566" spans="2:2" s="221" customFormat="1" ht="12.75" x14ac:dyDescent="0.2">
      <c r="B38566" s="1168"/>
    </row>
    <row r="38567" spans="2:2" s="221" customFormat="1" ht="12.75" x14ac:dyDescent="0.2">
      <c r="B38567" s="1168"/>
    </row>
    <row r="38568" spans="2:2" s="221" customFormat="1" ht="12.75" x14ac:dyDescent="0.2">
      <c r="B38568" s="1168"/>
    </row>
    <row r="38569" spans="2:2" s="221" customFormat="1" ht="12.75" x14ac:dyDescent="0.2">
      <c r="B38569" s="1168"/>
    </row>
    <row r="38570" spans="2:2" s="221" customFormat="1" ht="12.75" x14ac:dyDescent="0.2">
      <c r="B38570" s="1168"/>
    </row>
    <row r="38571" spans="2:2" s="221" customFormat="1" ht="12.75" x14ac:dyDescent="0.2">
      <c r="B38571" s="1168"/>
    </row>
    <row r="38572" spans="2:2" s="221" customFormat="1" ht="12.75" x14ac:dyDescent="0.2">
      <c r="B38572" s="1168"/>
    </row>
    <row r="38573" spans="2:2" s="221" customFormat="1" ht="12.75" x14ac:dyDescent="0.2">
      <c r="B38573" s="1168"/>
    </row>
    <row r="38574" spans="2:2" s="221" customFormat="1" ht="12.75" x14ac:dyDescent="0.2">
      <c r="B38574" s="1168"/>
    </row>
    <row r="38575" spans="2:2" s="221" customFormat="1" ht="12.75" x14ac:dyDescent="0.2">
      <c r="B38575" s="1168"/>
    </row>
    <row r="38576" spans="2:2" s="221" customFormat="1" ht="12.75" x14ac:dyDescent="0.2">
      <c r="B38576" s="1168"/>
    </row>
    <row r="38577" spans="2:2" s="221" customFormat="1" ht="12.75" x14ac:dyDescent="0.2">
      <c r="B38577" s="1168"/>
    </row>
    <row r="38578" spans="2:2" s="221" customFormat="1" ht="12.75" x14ac:dyDescent="0.2">
      <c r="B38578" s="1168"/>
    </row>
    <row r="38579" spans="2:2" s="221" customFormat="1" ht="12.75" x14ac:dyDescent="0.2">
      <c r="B38579" s="1168"/>
    </row>
    <row r="38580" spans="2:2" s="221" customFormat="1" ht="12.75" x14ac:dyDescent="0.2">
      <c r="B38580" s="1168"/>
    </row>
    <row r="38581" spans="2:2" s="221" customFormat="1" ht="12.75" x14ac:dyDescent="0.2">
      <c r="B38581" s="1168"/>
    </row>
    <row r="38582" spans="2:2" s="221" customFormat="1" ht="12.75" x14ac:dyDescent="0.2">
      <c r="B38582" s="1168"/>
    </row>
    <row r="38583" spans="2:2" s="221" customFormat="1" ht="12.75" x14ac:dyDescent="0.2">
      <c r="B38583" s="1168"/>
    </row>
    <row r="38584" spans="2:2" s="221" customFormat="1" ht="12.75" x14ac:dyDescent="0.2">
      <c r="B38584" s="1168"/>
    </row>
    <row r="38585" spans="2:2" s="221" customFormat="1" ht="12.75" x14ac:dyDescent="0.2">
      <c r="B38585" s="1168"/>
    </row>
    <row r="38586" spans="2:2" s="221" customFormat="1" ht="12.75" x14ac:dyDescent="0.2">
      <c r="B38586" s="1168"/>
    </row>
    <row r="38587" spans="2:2" s="221" customFormat="1" ht="12.75" x14ac:dyDescent="0.2">
      <c r="B38587" s="1168"/>
    </row>
    <row r="38588" spans="2:2" s="221" customFormat="1" ht="12.75" x14ac:dyDescent="0.2">
      <c r="B38588" s="1168"/>
    </row>
    <row r="38589" spans="2:2" s="221" customFormat="1" ht="12.75" x14ac:dyDescent="0.2">
      <c r="B38589" s="1168"/>
    </row>
    <row r="38590" spans="2:2" s="221" customFormat="1" ht="12.75" x14ac:dyDescent="0.2">
      <c r="B38590" s="1168"/>
    </row>
    <row r="38591" spans="2:2" s="221" customFormat="1" ht="12.75" x14ac:dyDescent="0.2">
      <c r="B38591" s="1168"/>
    </row>
    <row r="38592" spans="2:2" s="221" customFormat="1" ht="12.75" x14ac:dyDescent="0.2">
      <c r="B38592" s="1168"/>
    </row>
    <row r="38593" spans="2:2" s="221" customFormat="1" ht="12.75" x14ac:dyDescent="0.2">
      <c r="B38593" s="1168"/>
    </row>
    <row r="38594" spans="2:2" s="221" customFormat="1" ht="12.75" x14ac:dyDescent="0.2">
      <c r="B38594" s="1168"/>
    </row>
    <row r="38595" spans="2:2" s="221" customFormat="1" ht="12.75" x14ac:dyDescent="0.2">
      <c r="B38595" s="1168"/>
    </row>
    <row r="38596" spans="2:2" s="221" customFormat="1" ht="12.75" x14ac:dyDescent="0.2">
      <c r="B38596" s="1168"/>
    </row>
    <row r="38597" spans="2:2" s="221" customFormat="1" ht="12.75" x14ac:dyDescent="0.2">
      <c r="B38597" s="1168"/>
    </row>
    <row r="38598" spans="2:2" s="221" customFormat="1" ht="12.75" x14ac:dyDescent="0.2">
      <c r="B38598" s="1168"/>
    </row>
    <row r="38599" spans="2:2" s="221" customFormat="1" ht="12.75" x14ac:dyDescent="0.2">
      <c r="B38599" s="1168"/>
    </row>
    <row r="38600" spans="2:2" s="221" customFormat="1" ht="12.75" x14ac:dyDescent="0.2">
      <c r="B38600" s="1168"/>
    </row>
    <row r="38601" spans="2:2" s="221" customFormat="1" ht="12.75" x14ac:dyDescent="0.2">
      <c r="B38601" s="1168"/>
    </row>
    <row r="38602" spans="2:2" s="221" customFormat="1" ht="12.75" x14ac:dyDescent="0.2">
      <c r="B38602" s="1168"/>
    </row>
    <row r="38603" spans="2:2" s="221" customFormat="1" ht="12.75" x14ac:dyDescent="0.2">
      <c r="B38603" s="1168"/>
    </row>
    <row r="38604" spans="2:2" s="221" customFormat="1" ht="12.75" x14ac:dyDescent="0.2">
      <c r="B38604" s="1168"/>
    </row>
    <row r="38605" spans="2:2" s="221" customFormat="1" ht="12.75" x14ac:dyDescent="0.2">
      <c r="B38605" s="1168"/>
    </row>
    <row r="38606" spans="2:2" s="221" customFormat="1" ht="12.75" x14ac:dyDescent="0.2">
      <c r="B38606" s="1168"/>
    </row>
    <row r="38607" spans="2:2" s="221" customFormat="1" ht="12.75" x14ac:dyDescent="0.2">
      <c r="B38607" s="1168"/>
    </row>
    <row r="38608" spans="2:2" s="221" customFormat="1" ht="12.75" x14ac:dyDescent="0.2">
      <c r="B38608" s="1168"/>
    </row>
    <row r="38609" spans="2:2" s="221" customFormat="1" ht="12.75" x14ac:dyDescent="0.2">
      <c r="B38609" s="1168"/>
    </row>
    <row r="38610" spans="2:2" s="221" customFormat="1" ht="12.75" x14ac:dyDescent="0.2">
      <c r="B38610" s="1168"/>
    </row>
    <row r="38611" spans="2:2" s="221" customFormat="1" ht="12.75" x14ac:dyDescent="0.2">
      <c r="B38611" s="1168"/>
    </row>
    <row r="38612" spans="2:2" s="221" customFormat="1" ht="12.75" x14ac:dyDescent="0.2">
      <c r="B38612" s="1168"/>
    </row>
    <row r="38613" spans="2:2" s="221" customFormat="1" ht="12.75" x14ac:dyDescent="0.2">
      <c r="B38613" s="1168"/>
    </row>
    <row r="38614" spans="2:2" s="221" customFormat="1" ht="12.75" x14ac:dyDescent="0.2">
      <c r="B38614" s="1168"/>
    </row>
    <row r="38615" spans="2:2" s="221" customFormat="1" ht="12.75" x14ac:dyDescent="0.2">
      <c r="B38615" s="1168"/>
    </row>
    <row r="38616" spans="2:2" s="221" customFormat="1" ht="12.75" x14ac:dyDescent="0.2">
      <c r="B38616" s="1168"/>
    </row>
    <row r="38617" spans="2:2" s="221" customFormat="1" ht="12.75" x14ac:dyDescent="0.2">
      <c r="B38617" s="1168"/>
    </row>
    <row r="38618" spans="2:2" s="221" customFormat="1" ht="12.75" x14ac:dyDescent="0.2">
      <c r="B38618" s="1168"/>
    </row>
    <row r="38619" spans="2:2" s="221" customFormat="1" ht="12.75" x14ac:dyDescent="0.2">
      <c r="B38619" s="1168"/>
    </row>
    <row r="38620" spans="2:2" s="221" customFormat="1" ht="12.75" x14ac:dyDescent="0.2">
      <c r="B38620" s="1168"/>
    </row>
    <row r="38621" spans="2:2" s="221" customFormat="1" ht="12.75" x14ac:dyDescent="0.2">
      <c r="B38621" s="1168"/>
    </row>
    <row r="38622" spans="2:2" s="221" customFormat="1" ht="12.75" x14ac:dyDescent="0.2">
      <c r="B38622" s="1168"/>
    </row>
    <row r="38623" spans="2:2" s="221" customFormat="1" ht="12.75" x14ac:dyDescent="0.2">
      <c r="B38623" s="1168"/>
    </row>
    <row r="38624" spans="2:2" s="221" customFormat="1" ht="12.75" x14ac:dyDescent="0.2">
      <c r="B38624" s="1168"/>
    </row>
    <row r="38625" spans="2:2" s="221" customFormat="1" ht="12.75" x14ac:dyDescent="0.2">
      <c r="B38625" s="1168"/>
    </row>
    <row r="38626" spans="2:2" s="221" customFormat="1" ht="12.75" x14ac:dyDescent="0.2">
      <c r="B38626" s="1168"/>
    </row>
    <row r="38627" spans="2:2" s="221" customFormat="1" ht="12.75" x14ac:dyDescent="0.2">
      <c r="B38627" s="1168"/>
    </row>
    <row r="38628" spans="2:2" s="221" customFormat="1" ht="12.75" x14ac:dyDescent="0.2">
      <c r="B38628" s="1168"/>
    </row>
    <row r="38629" spans="2:2" s="221" customFormat="1" ht="12.75" x14ac:dyDescent="0.2">
      <c r="B38629" s="1168"/>
    </row>
    <row r="38630" spans="2:2" s="221" customFormat="1" ht="12.75" x14ac:dyDescent="0.2">
      <c r="B38630" s="1168"/>
    </row>
    <row r="38631" spans="2:2" s="221" customFormat="1" ht="12.75" x14ac:dyDescent="0.2">
      <c r="B38631" s="1168"/>
    </row>
    <row r="38632" spans="2:2" s="221" customFormat="1" ht="12.75" x14ac:dyDescent="0.2">
      <c r="B38632" s="1168"/>
    </row>
    <row r="38633" spans="2:2" s="221" customFormat="1" ht="12.75" x14ac:dyDescent="0.2">
      <c r="B38633" s="1168"/>
    </row>
    <row r="38634" spans="2:2" s="221" customFormat="1" ht="12.75" x14ac:dyDescent="0.2">
      <c r="B38634" s="1168"/>
    </row>
    <row r="38635" spans="2:2" s="221" customFormat="1" ht="12.75" x14ac:dyDescent="0.2">
      <c r="B38635" s="1168"/>
    </row>
    <row r="38636" spans="2:2" s="221" customFormat="1" ht="12.75" x14ac:dyDescent="0.2">
      <c r="B38636" s="1168"/>
    </row>
    <row r="38637" spans="2:2" s="221" customFormat="1" ht="12.75" x14ac:dyDescent="0.2">
      <c r="B38637" s="1168"/>
    </row>
    <row r="38638" spans="2:2" s="221" customFormat="1" ht="12.75" x14ac:dyDescent="0.2">
      <c r="B38638" s="1168"/>
    </row>
    <row r="38639" spans="2:2" s="221" customFormat="1" ht="12.75" x14ac:dyDescent="0.2">
      <c r="B38639" s="1168"/>
    </row>
    <row r="38640" spans="2:2" s="221" customFormat="1" ht="12.75" x14ac:dyDescent="0.2">
      <c r="B38640" s="1168"/>
    </row>
    <row r="38641" spans="2:2" s="221" customFormat="1" ht="12.75" x14ac:dyDescent="0.2">
      <c r="B38641" s="1168"/>
    </row>
    <row r="38642" spans="2:2" s="221" customFormat="1" ht="12.75" x14ac:dyDescent="0.2">
      <c r="B38642" s="1168"/>
    </row>
    <row r="38643" spans="2:2" s="221" customFormat="1" ht="12.75" x14ac:dyDescent="0.2">
      <c r="B38643" s="1168"/>
    </row>
    <row r="38644" spans="2:2" s="221" customFormat="1" ht="12.75" x14ac:dyDescent="0.2">
      <c r="B38644" s="1168"/>
    </row>
    <row r="38645" spans="2:2" s="221" customFormat="1" ht="12.75" x14ac:dyDescent="0.2">
      <c r="B38645" s="1168"/>
    </row>
    <row r="38646" spans="2:2" s="221" customFormat="1" ht="12.75" x14ac:dyDescent="0.2">
      <c r="B38646" s="1168"/>
    </row>
    <row r="38647" spans="2:2" s="221" customFormat="1" ht="12.75" x14ac:dyDescent="0.2">
      <c r="B38647" s="1168"/>
    </row>
    <row r="38648" spans="2:2" s="221" customFormat="1" ht="12.75" x14ac:dyDescent="0.2">
      <c r="B38648" s="1168"/>
    </row>
    <row r="38649" spans="2:2" s="221" customFormat="1" ht="12.75" x14ac:dyDescent="0.2">
      <c r="B38649" s="1168"/>
    </row>
    <row r="38650" spans="2:2" s="221" customFormat="1" ht="12.75" x14ac:dyDescent="0.2">
      <c r="B38650" s="1168"/>
    </row>
    <row r="38651" spans="2:2" s="221" customFormat="1" ht="12.75" x14ac:dyDescent="0.2">
      <c r="B38651" s="1168"/>
    </row>
    <row r="38652" spans="2:2" s="221" customFormat="1" ht="12.75" x14ac:dyDescent="0.2">
      <c r="B38652" s="1168"/>
    </row>
    <row r="38653" spans="2:2" s="221" customFormat="1" ht="12.75" x14ac:dyDescent="0.2">
      <c r="B38653" s="1168"/>
    </row>
    <row r="38654" spans="2:2" s="221" customFormat="1" ht="12.75" x14ac:dyDescent="0.2">
      <c r="B38654" s="1168"/>
    </row>
    <row r="38655" spans="2:2" s="221" customFormat="1" ht="12.75" x14ac:dyDescent="0.2">
      <c r="B38655" s="1168"/>
    </row>
    <row r="38656" spans="2:2" s="221" customFormat="1" ht="12.75" x14ac:dyDescent="0.2">
      <c r="B38656" s="1168"/>
    </row>
    <row r="38657" spans="2:2" s="221" customFormat="1" ht="12.75" x14ac:dyDescent="0.2">
      <c r="B38657" s="1168"/>
    </row>
    <row r="38658" spans="2:2" s="221" customFormat="1" ht="12.75" x14ac:dyDescent="0.2">
      <c r="B38658" s="1168"/>
    </row>
    <row r="38659" spans="2:2" s="221" customFormat="1" ht="12.75" x14ac:dyDescent="0.2">
      <c r="B38659" s="1168"/>
    </row>
    <row r="38660" spans="2:2" s="221" customFormat="1" ht="12.75" x14ac:dyDescent="0.2">
      <c r="B38660" s="1168"/>
    </row>
    <row r="38661" spans="2:2" s="221" customFormat="1" ht="12.75" x14ac:dyDescent="0.2">
      <c r="B38661" s="1168"/>
    </row>
    <row r="38662" spans="2:2" s="221" customFormat="1" ht="12.75" x14ac:dyDescent="0.2">
      <c r="B38662" s="1168"/>
    </row>
    <row r="38663" spans="2:2" s="221" customFormat="1" ht="12.75" x14ac:dyDescent="0.2">
      <c r="B38663" s="1168"/>
    </row>
    <row r="38664" spans="2:2" s="221" customFormat="1" ht="12.75" x14ac:dyDescent="0.2">
      <c r="B38664" s="1168"/>
    </row>
    <row r="38665" spans="2:2" s="221" customFormat="1" ht="12.75" x14ac:dyDescent="0.2">
      <c r="B38665" s="1168"/>
    </row>
    <row r="38666" spans="2:2" s="221" customFormat="1" ht="12.75" x14ac:dyDescent="0.2">
      <c r="B38666" s="1168"/>
    </row>
    <row r="38667" spans="2:2" s="221" customFormat="1" ht="12.75" x14ac:dyDescent="0.2">
      <c r="B38667" s="1168"/>
    </row>
    <row r="38668" spans="2:2" s="221" customFormat="1" ht="12.75" x14ac:dyDescent="0.2">
      <c r="B38668" s="1168"/>
    </row>
    <row r="38669" spans="2:2" s="221" customFormat="1" ht="12.75" x14ac:dyDescent="0.2">
      <c r="B38669" s="1168"/>
    </row>
    <row r="38670" spans="2:2" s="221" customFormat="1" ht="12.75" x14ac:dyDescent="0.2">
      <c r="B38670" s="1168"/>
    </row>
    <row r="38671" spans="2:2" s="221" customFormat="1" ht="12.75" x14ac:dyDescent="0.2">
      <c r="B38671" s="1168"/>
    </row>
    <row r="38672" spans="2:2" s="221" customFormat="1" ht="12.75" x14ac:dyDescent="0.2">
      <c r="B38672" s="1168"/>
    </row>
    <row r="38673" spans="2:2" s="221" customFormat="1" ht="12.75" x14ac:dyDescent="0.2">
      <c r="B38673" s="1168"/>
    </row>
    <row r="38674" spans="2:2" s="221" customFormat="1" ht="12.75" x14ac:dyDescent="0.2">
      <c r="B38674" s="1168"/>
    </row>
    <row r="38675" spans="2:2" s="221" customFormat="1" ht="12.75" x14ac:dyDescent="0.2">
      <c r="B38675" s="1168"/>
    </row>
    <row r="38676" spans="2:2" s="221" customFormat="1" ht="12.75" x14ac:dyDescent="0.2">
      <c r="B38676" s="1168"/>
    </row>
    <row r="38677" spans="2:2" s="221" customFormat="1" ht="12.75" x14ac:dyDescent="0.2">
      <c r="B38677" s="1168"/>
    </row>
    <row r="38678" spans="2:2" s="221" customFormat="1" ht="12.75" x14ac:dyDescent="0.2">
      <c r="B38678" s="1168"/>
    </row>
    <row r="38679" spans="2:2" s="221" customFormat="1" ht="12.75" x14ac:dyDescent="0.2">
      <c r="B38679" s="1168"/>
    </row>
    <row r="38680" spans="2:2" s="221" customFormat="1" ht="12.75" x14ac:dyDescent="0.2">
      <c r="B38680" s="1168"/>
    </row>
    <row r="38681" spans="2:2" s="221" customFormat="1" ht="12.75" x14ac:dyDescent="0.2">
      <c r="B38681" s="1168"/>
    </row>
    <row r="38682" spans="2:2" s="221" customFormat="1" ht="12.75" x14ac:dyDescent="0.2">
      <c r="B38682" s="1168"/>
    </row>
    <row r="38683" spans="2:2" s="221" customFormat="1" ht="12.75" x14ac:dyDescent="0.2">
      <c r="B38683" s="1168"/>
    </row>
    <row r="38684" spans="2:2" s="221" customFormat="1" ht="12.75" x14ac:dyDescent="0.2">
      <c r="B38684" s="1168"/>
    </row>
    <row r="38685" spans="2:2" s="221" customFormat="1" ht="12.75" x14ac:dyDescent="0.2">
      <c r="B38685" s="1168"/>
    </row>
    <row r="38686" spans="2:2" s="221" customFormat="1" ht="12.75" x14ac:dyDescent="0.2">
      <c r="B38686" s="1168"/>
    </row>
    <row r="38687" spans="2:2" s="221" customFormat="1" ht="12.75" x14ac:dyDescent="0.2">
      <c r="B38687" s="1168"/>
    </row>
    <row r="38688" spans="2:2" s="221" customFormat="1" ht="12.75" x14ac:dyDescent="0.2">
      <c r="B38688" s="1168"/>
    </row>
    <row r="38689" spans="2:2" s="221" customFormat="1" ht="12.75" x14ac:dyDescent="0.2">
      <c r="B38689" s="1168"/>
    </row>
    <row r="38690" spans="2:2" s="221" customFormat="1" ht="12.75" x14ac:dyDescent="0.2">
      <c r="B38690" s="1168"/>
    </row>
    <row r="38691" spans="2:2" s="221" customFormat="1" ht="12.75" x14ac:dyDescent="0.2">
      <c r="B38691" s="1168"/>
    </row>
    <row r="38692" spans="2:2" s="221" customFormat="1" ht="12.75" x14ac:dyDescent="0.2">
      <c r="B38692" s="1168"/>
    </row>
    <row r="38693" spans="2:2" s="221" customFormat="1" ht="12.75" x14ac:dyDescent="0.2">
      <c r="B38693" s="1168"/>
    </row>
    <row r="38694" spans="2:2" s="221" customFormat="1" ht="12.75" x14ac:dyDescent="0.2">
      <c r="B38694" s="1168"/>
    </row>
    <row r="38695" spans="2:2" s="221" customFormat="1" ht="12.75" x14ac:dyDescent="0.2">
      <c r="B38695" s="1168"/>
    </row>
    <row r="38696" spans="2:2" s="221" customFormat="1" ht="12.75" x14ac:dyDescent="0.2">
      <c r="B38696" s="1168"/>
    </row>
    <row r="38697" spans="2:2" s="221" customFormat="1" ht="12.75" x14ac:dyDescent="0.2">
      <c r="B38697" s="1168"/>
    </row>
    <row r="38698" spans="2:2" s="221" customFormat="1" ht="12.75" x14ac:dyDescent="0.2">
      <c r="B38698" s="1168"/>
    </row>
    <row r="38699" spans="2:2" s="221" customFormat="1" ht="12.75" x14ac:dyDescent="0.2">
      <c r="B38699" s="1168"/>
    </row>
    <row r="38700" spans="2:2" s="221" customFormat="1" ht="12.75" x14ac:dyDescent="0.2">
      <c r="B38700" s="1168"/>
    </row>
    <row r="38701" spans="2:2" s="221" customFormat="1" ht="12.75" x14ac:dyDescent="0.2">
      <c r="B38701" s="1168"/>
    </row>
    <row r="38702" spans="2:2" s="221" customFormat="1" ht="12.75" x14ac:dyDescent="0.2">
      <c r="B38702" s="1168"/>
    </row>
    <row r="38703" spans="2:2" s="221" customFormat="1" ht="12.75" x14ac:dyDescent="0.2">
      <c r="B38703" s="1168"/>
    </row>
    <row r="38704" spans="2:2" s="221" customFormat="1" ht="12.75" x14ac:dyDescent="0.2">
      <c r="B38704" s="1168"/>
    </row>
    <row r="38705" spans="2:2" s="221" customFormat="1" ht="12.75" x14ac:dyDescent="0.2">
      <c r="B38705" s="1168"/>
    </row>
    <row r="38706" spans="2:2" s="221" customFormat="1" ht="12.75" x14ac:dyDescent="0.2">
      <c r="B38706" s="1168"/>
    </row>
    <row r="38707" spans="2:2" s="221" customFormat="1" ht="12.75" x14ac:dyDescent="0.2">
      <c r="B38707" s="1168"/>
    </row>
    <row r="38708" spans="2:2" s="221" customFormat="1" ht="12.75" x14ac:dyDescent="0.2">
      <c r="B38708" s="1168"/>
    </row>
    <row r="38709" spans="2:2" s="221" customFormat="1" ht="12.75" x14ac:dyDescent="0.2">
      <c r="B38709" s="1168"/>
    </row>
    <row r="38710" spans="2:2" s="221" customFormat="1" ht="12.75" x14ac:dyDescent="0.2">
      <c r="B38710" s="1168"/>
    </row>
    <row r="38711" spans="2:2" s="221" customFormat="1" ht="12.75" x14ac:dyDescent="0.2">
      <c r="B38711" s="1168"/>
    </row>
    <row r="38712" spans="2:2" s="221" customFormat="1" ht="12.75" x14ac:dyDescent="0.2">
      <c r="B38712" s="1168"/>
    </row>
    <row r="38713" spans="2:2" s="221" customFormat="1" ht="12.75" x14ac:dyDescent="0.2">
      <c r="B38713" s="1168"/>
    </row>
    <row r="38714" spans="2:2" s="221" customFormat="1" ht="12.75" x14ac:dyDescent="0.2">
      <c r="B38714" s="1168"/>
    </row>
    <row r="38715" spans="2:2" s="221" customFormat="1" ht="12.75" x14ac:dyDescent="0.2">
      <c r="B38715" s="1168"/>
    </row>
    <row r="38716" spans="2:2" s="221" customFormat="1" ht="12.75" x14ac:dyDescent="0.2">
      <c r="B38716" s="1168"/>
    </row>
    <row r="38717" spans="2:2" s="221" customFormat="1" ht="12.75" x14ac:dyDescent="0.2">
      <c r="B38717" s="1168"/>
    </row>
    <row r="38718" spans="2:2" s="221" customFormat="1" ht="12.75" x14ac:dyDescent="0.2">
      <c r="B38718" s="1168"/>
    </row>
    <row r="38719" spans="2:2" s="221" customFormat="1" ht="12.75" x14ac:dyDescent="0.2">
      <c r="B38719" s="1168"/>
    </row>
    <row r="38720" spans="2:2" s="221" customFormat="1" ht="12.75" x14ac:dyDescent="0.2">
      <c r="B38720" s="1168"/>
    </row>
    <row r="38721" spans="2:2" s="221" customFormat="1" ht="12.75" x14ac:dyDescent="0.2">
      <c r="B38721" s="1168"/>
    </row>
    <row r="38722" spans="2:2" s="221" customFormat="1" ht="12.75" x14ac:dyDescent="0.2">
      <c r="B38722" s="1168"/>
    </row>
    <row r="38723" spans="2:2" s="221" customFormat="1" ht="12.75" x14ac:dyDescent="0.2">
      <c r="B38723" s="1168"/>
    </row>
    <row r="38724" spans="2:2" s="221" customFormat="1" ht="12.75" x14ac:dyDescent="0.2">
      <c r="B38724" s="1168"/>
    </row>
    <row r="38725" spans="2:2" s="221" customFormat="1" ht="12.75" x14ac:dyDescent="0.2">
      <c r="B38725" s="1168"/>
    </row>
    <row r="38726" spans="2:2" s="221" customFormat="1" ht="12.75" x14ac:dyDescent="0.2">
      <c r="B38726" s="1168"/>
    </row>
    <row r="38727" spans="2:2" s="221" customFormat="1" ht="12.75" x14ac:dyDescent="0.2">
      <c r="B38727" s="1168"/>
    </row>
    <row r="38728" spans="2:2" s="221" customFormat="1" ht="12.75" x14ac:dyDescent="0.2">
      <c r="B38728" s="1168"/>
    </row>
    <row r="38729" spans="2:2" s="221" customFormat="1" ht="12.75" x14ac:dyDescent="0.2">
      <c r="B38729" s="1168"/>
    </row>
    <row r="38730" spans="2:2" s="221" customFormat="1" ht="12.75" x14ac:dyDescent="0.2">
      <c r="B38730" s="1168"/>
    </row>
    <row r="38731" spans="2:2" s="221" customFormat="1" ht="12.75" x14ac:dyDescent="0.2">
      <c r="B38731" s="1168"/>
    </row>
    <row r="38732" spans="2:2" s="221" customFormat="1" ht="12.75" x14ac:dyDescent="0.2">
      <c r="B38732" s="1168"/>
    </row>
    <row r="38733" spans="2:2" s="221" customFormat="1" ht="12.75" x14ac:dyDescent="0.2">
      <c r="B38733" s="1168"/>
    </row>
    <row r="38734" spans="2:2" s="221" customFormat="1" ht="12.75" x14ac:dyDescent="0.2">
      <c r="B38734" s="1168"/>
    </row>
    <row r="38735" spans="2:2" s="221" customFormat="1" ht="12.75" x14ac:dyDescent="0.2">
      <c r="B38735" s="1168"/>
    </row>
    <row r="38736" spans="2:2" s="221" customFormat="1" ht="12.75" x14ac:dyDescent="0.2">
      <c r="B38736" s="1168"/>
    </row>
    <row r="38737" spans="2:2" s="221" customFormat="1" ht="12.75" x14ac:dyDescent="0.2">
      <c r="B38737" s="1168"/>
    </row>
    <row r="38738" spans="2:2" s="221" customFormat="1" ht="12.75" x14ac:dyDescent="0.2">
      <c r="B38738" s="1168"/>
    </row>
    <row r="38739" spans="2:2" s="221" customFormat="1" ht="12.75" x14ac:dyDescent="0.2">
      <c r="B38739" s="1168"/>
    </row>
    <row r="38740" spans="2:2" s="221" customFormat="1" ht="12.75" x14ac:dyDescent="0.2">
      <c r="B38740" s="1168"/>
    </row>
    <row r="38741" spans="2:2" s="221" customFormat="1" ht="12.75" x14ac:dyDescent="0.2">
      <c r="B38741" s="1168"/>
    </row>
    <row r="38742" spans="2:2" s="221" customFormat="1" ht="12.75" x14ac:dyDescent="0.2">
      <c r="B38742" s="1168"/>
    </row>
    <row r="38743" spans="2:2" s="221" customFormat="1" ht="12.75" x14ac:dyDescent="0.2">
      <c r="B38743" s="1168"/>
    </row>
    <row r="38744" spans="2:2" s="221" customFormat="1" ht="12.75" x14ac:dyDescent="0.2">
      <c r="B38744" s="1168"/>
    </row>
    <row r="38745" spans="2:2" s="221" customFormat="1" ht="12.75" x14ac:dyDescent="0.2">
      <c r="B38745" s="1168"/>
    </row>
    <row r="38746" spans="2:2" s="221" customFormat="1" ht="12.75" x14ac:dyDescent="0.2">
      <c r="B38746" s="1168"/>
    </row>
    <row r="38747" spans="2:2" s="221" customFormat="1" ht="12.75" x14ac:dyDescent="0.2">
      <c r="B38747" s="1168"/>
    </row>
    <row r="38748" spans="2:2" s="221" customFormat="1" ht="12.75" x14ac:dyDescent="0.2">
      <c r="B38748" s="1168"/>
    </row>
    <row r="38749" spans="2:2" s="221" customFormat="1" ht="12.75" x14ac:dyDescent="0.2">
      <c r="B38749" s="1168"/>
    </row>
    <row r="38750" spans="2:2" s="221" customFormat="1" ht="12.75" x14ac:dyDescent="0.2">
      <c r="B38750" s="1168"/>
    </row>
    <row r="38751" spans="2:2" s="221" customFormat="1" ht="12.75" x14ac:dyDescent="0.2">
      <c r="B38751" s="1168"/>
    </row>
    <row r="38752" spans="2:2" s="221" customFormat="1" ht="12.75" x14ac:dyDescent="0.2">
      <c r="B38752" s="1168"/>
    </row>
    <row r="38753" spans="2:2" s="221" customFormat="1" ht="12.75" x14ac:dyDescent="0.2">
      <c r="B38753" s="1168"/>
    </row>
    <row r="38754" spans="2:2" s="221" customFormat="1" ht="12.75" x14ac:dyDescent="0.2">
      <c r="B38754" s="1168"/>
    </row>
    <row r="38755" spans="2:2" s="221" customFormat="1" ht="12.75" x14ac:dyDescent="0.2">
      <c r="B38755" s="1168"/>
    </row>
    <row r="38756" spans="2:2" s="221" customFormat="1" ht="12.75" x14ac:dyDescent="0.2">
      <c r="B38756" s="1168"/>
    </row>
    <row r="38757" spans="2:2" s="221" customFormat="1" ht="12.75" x14ac:dyDescent="0.2">
      <c r="B38757" s="1168"/>
    </row>
    <row r="38758" spans="2:2" s="221" customFormat="1" ht="12.75" x14ac:dyDescent="0.2">
      <c r="B38758" s="1168"/>
    </row>
    <row r="38759" spans="2:2" s="221" customFormat="1" ht="12.75" x14ac:dyDescent="0.2">
      <c r="B38759" s="1168"/>
    </row>
    <row r="38760" spans="2:2" s="221" customFormat="1" ht="12.75" x14ac:dyDescent="0.2">
      <c r="B38760" s="1168"/>
    </row>
    <row r="38761" spans="2:2" s="221" customFormat="1" ht="12.75" x14ac:dyDescent="0.2">
      <c r="B38761" s="1168"/>
    </row>
    <row r="38762" spans="2:2" s="221" customFormat="1" ht="12.75" x14ac:dyDescent="0.2">
      <c r="B38762" s="1168"/>
    </row>
    <row r="38763" spans="2:2" s="221" customFormat="1" ht="12.75" x14ac:dyDescent="0.2">
      <c r="B38763" s="1168"/>
    </row>
    <row r="38764" spans="2:2" s="221" customFormat="1" ht="12.75" x14ac:dyDescent="0.2">
      <c r="B38764" s="1168"/>
    </row>
    <row r="38765" spans="2:2" s="221" customFormat="1" ht="12.75" x14ac:dyDescent="0.2">
      <c r="B38765" s="1168"/>
    </row>
    <row r="38766" spans="2:2" s="221" customFormat="1" ht="12.75" x14ac:dyDescent="0.2">
      <c r="B38766" s="1168"/>
    </row>
    <row r="38767" spans="2:2" s="221" customFormat="1" ht="12.75" x14ac:dyDescent="0.2">
      <c r="B38767" s="1168"/>
    </row>
    <row r="38768" spans="2:2" s="221" customFormat="1" ht="12.75" x14ac:dyDescent="0.2">
      <c r="B38768" s="1168"/>
    </row>
    <row r="38769" spans="2:2" s="221" customFormat="1" ht="12.75" x14ac:dyDescent="0.2">
      <c r="B38769" s="1168"/>
    </row>
    <row r="38770" spans="2:2" s="221" customFormat="1" ht="12.75" x14ac:dyDescent="0.2">
      <c r="B38770" s="1168"/>
    </row>
    <row r="38771" spans="2:2" s="221" customFormat="1" ht="12.75" x14ac:dyDescent="0.2">
      <c r="B38771" s="1168"/>
    </row>
    <row r="38772" spans="2:2" s="221" customFormat="1" ht="12.75" x14ac:dyDescent="0.2">
      <c r="B38772" s="1168"/>
    </row>
    <row r="38773" spans="2:2" s="221" customFormat="1" ht="12.75" x14ac:dyDescent="0.2">
      <c r="B38773" s="1168"/>
    </row>
    <row r="38774" spans="2:2" s="221" customFormat="1" ht="12.75" x14ac:dyDescent="0.2">
      <c r="B38774" s="1168"/>
    </row>
    <row r="38775" spans="2:2" s="221" customFormat="1" ht="12.75" x14ac:dyDescent="0.2">
      <c r="B38775" s="1168"/>
    </row>
    <row r="38776" spans="2:2" s="221" customFormat="1" ht="12.75" x14ac:dyDescent="0.2">
      <c r="B38776" s="1168"/>
    </row>
    <row r="38777" spans="2:2" s="221" customFormat="1" ht="12.75" x14ac:dyDescent="0.2">
      <c r="B38777" s="1168"/>
    </row>
    <row r="38778" spans="2:2" s="221" customFormat="1" ht="12.75" x14ac:dyDescent="0.2">
      <c r="B38778" s="1168"/>
    </row>
    <row r="38779" spans="2:2" s="221" customFormat="1" ht="12.75" x14ac:dyDescent="0.2">
      <c r="B38779" s="1168"/>
    </row>
    <row r="38780" spans="2:2" s="221" customFormat="1" ht="12.75" x14ac:dyDescent="0.2">
      <c r="B38780" s="1168"/>
    </row>
    <row r="38781" spans="2:2" s="221" customFormat="1" ht="12.75" x14ac:dyDescent="0.2">
      <c r="B38781" s="1168"/>
    </row>
    <row r="38782" spans="2:2" s="221" customFormat="1" ht="12.75" x14ac:dyDescent="0.2">
      <c r="B38782" s="1168"/>
    </row>
    <row r="38783" spans="2:2" s="221" customFormat="1" ht="12.75" x14ac:dyDescent="0.2">
      <c r="B38783" s="1168"/>
    </row>
    <row r="38784" spans="2:2" s="221" customFormat="1" ht="12.75" x14ac:dyDescent="0.2">
      <c r="B38784" s="1168"/>
    </row>
    <row r="38785" spans="2:2" s="221" customFormat="1" ht="12.75" x14ac:dyDescent="0.2">
      <c r="B38785" s="1168"/>
    </row>
    <row r="38786" spans="2:2" s="221" customFormat="1" ht="12.75" x14ac:dyDescent="0.2">
      <c r="B38786" s="1168"/>
    </row>
    <row r="38787" spans="2:2" s="221" customFormat="1" ht="12.75" x14ac:dyDescent="0.2">
      <c r="B38787" s="1168"/>
    </row>
    <row r="38788" spans="2:2" s="221" customFormat="1" ht="12.75" x14ac:dyDescent="0.2">
      <c r="B38788" s="1168"/>
    </row>
    <row r="38789" spans="2:2" s="221" customFormat="1" ht="12.75" x14ac:dyDescent="0.2">
      <c r="B38789" s="1168"/>
    </row>
    <row r="38790" spans="2:2" s="221" customFormat="1" ht="12.75" x14ac:dyDescent="0.2">
      <c r="B38790" s="1168"/>
    </row>
    <row r="38791" spans="2:2" s="221" customFormat="1" ht="12.75" x14ac:dyDescent="0.2">
      <c r="B38791" s="1168"/>
    </row>
    <row r="38792" spans="2:2" s="221" customFormat="1" ht="12.75" x14ac:dyDescent="0.2">
      <c r="B38792" s="1168"/>
    </row>
    <row r="38793" spans="2:2" s="221" customFormat="1" ht="12.75" x14ac:dyDescent="0.2">
      <c r="B38793" s="1168"/>
    </row>
    <row r="38794" spans="2:2" s="221" customFormat="1" ht="12.75" x14ac:dyDescent="0.2">
      <c r="B38794" s="1168"/>
    </row>
    <row r="38795" spans="2:2" s="221" customFormat="1" ht="12.75" x14ac:dyDescent="0.2">
      <c r="B38795" s="1168"/>
    </row>
    <row r="38796" spans="2:2" s="221" customFormat="1" ht="12.75" x14ac:dyDescent="0.2">
      <c r="B38796" s="1168"/>
    </row>
    <row r="38797" spans="2:2" s="221" customFormat="1" ht="12.75" x14ac:dyDescent="0.2">
      <c r="B38797" s="1168"/>
    </row>
    <row r="38798" spans="2:2" s="221" customFormat="1" ht="12.75" x14ac:dyDescent="0.2">
      <c r="B38798" s="1168"/>
    </row>
    <row r="38799" spans="2:2" s="221" customFormat="1" ht="12.75" x14ac:dyDescent="0.2">
      <c r="B38799" s="1168"/>
    </row>
    <row r="38800" spans="2:2" s="221" customFormat="1" ht="12.75" x14ac:dyDescent="0.2">
      <c r="B38800" s="1168"/>
    </row>
    <row r="38801" spans="2:2" s="221" customFormat="1" ht="12.75" x14ac:dyDescent="0.2">
      <c r="B38801" s="1168"/>
    </row>
    <row r="38802" spans="2:2" s="221" customFormat="1" ht="12.75" x14ac:dyDescent="0.2">
      <c r="B38802" s="1168"/>
    </row>
    <row r="38803" spans="2:2" s="221" customFormat="1" ht="12.75" x14ac:dyDescent="0.2">
      <c r="B38803" s="1168"/>
    </row>
    <row r="38804" spans="2:2" s="221" customFormat="1" ht="12.75" x14ac:dyDescent="0.2">
      <c r="B38804" s="1168"/>
    </row>
    <row r="38805" spans="2:2" s="221" customFormat="1" ht="12.75" x14ac:dyDescent="0.2">
      <c r="B38805" s="1168"/>
    </row>
    <row r="38806" spans="2:2" s="221" customFormat="1" ht="12.75" x14ac:dyDescent="0.2">
      <c r="B38806" s="1168"/>
    </row>
    <row r="38807" spans="2:2" s="221" customFormat="1" ht="12.75" x14ac:dyDescent="0.2">
      <c r="B38807" s="1168"/>
    </row>
    <row r="38808" spans="2:2" s="221" customFormat="1" ht="12.75" x14ac:dyDescent="0.2">
      <c r="B38808" s="1168"/>
    </row>
    <row r="38809" spans="2:2" s="221" customFormat="1" ht="12.75" x14ac:dyDescent="0.2">
      <c r="B38809" s="1168"/>
    </row>
    <row r="38810" spans="2:2" s="221" customFormat="1" ht="12.75" x14ac:dyDescent="0.2">
      <c r="B38810" s="1168"/>
    </row>
    <row r="38811" spans="2:2" s="221" customFormat="1" ht="12.75" x14ac:dyDescent="0.2">
      <c r="B38811" s="1168"/>
    </row>
    <row r="38812" spans="2:2" s="221" customFormat="1" ht="12.75" x14ac:dyDescent="0.2">
      <c r="B38812" s="1168"/>
    </row>
    <row r="38813" spans="2:2" s="221" customFormat="1" ht="12.75" x14ac:dyDescent="0.2">
      <c r="B38813" s="1168"/>
    </row>
    <row r="38814" spans="2:2" s="221" customFormat="1" ht="12.75" x14ac:dyDescent="0.2">
      <c r="B38814" s="1168"/>
    </row>
    <row r="38815" spans="2:2" s="221" customFormat="1" ht="12.75" x14ac:dyDescent="0.2">
      <c r="B38815" s="1168"/>
    </row>
    <row r="38816" spans="2:2" s="221" customFormat="1" ht="12.75" x14ac:dyDescent="0.2">
      <c r="B38816" s="1168"/>
    </row>
    <row r="38817" spans="2:2" s="221" customFormat="1" ht="12.75" x14ac:dyDescent="0.2">
      <c r="B38817" s="1168"/>
    </row>
    <row r="38818" spans="2:2" s="221" customFormat="1" ht="12.75" x14ac:dyDescent="0.2">
      <c r="B38818" s="1168"/>
    </row>
    <row r="38819" spans="2:2" s="221" customFormat="1" ht="12.75" x14ac:dyDescent="0.2">
      <c r="B38819" s="1168"/>
    </row>
    <row r="38820" spans="2:2" s="221" customFormat="1" ht="12.75" x14ac:dyDescent="0.2">
      <c r="B38820" s="1168"/>
    </row>
    <row r="38821" spans="2:2" s="221" customFormat="1" ht="12.75" x14ac:dyDescent="0.2">
      <c r="B38821" s="1168"/>
    </row>
    <row r="38822" spans="2:2" s="221" customFormat="1" ht="12.75" x14ac:dyDescent="0.2">
      <c r="B38822" s="1168"/>
    </row>
    <row r="38823" spans="2:2" s="221" customFormat="1" ht="12.75" x14ac:dyDescent="0.2">
      <c r="B38823" s="1168"/>
    </row>
    <row r="38824" spans="2:2" s="221" customFormat="1" ht="12.75" x14ac:dyDescent="0.2">
      <c r="B38824" s="1168"/>
    </row>
    <row r="38825" spans="2:2" s="221" customFormat="1" ht="12.75" x14ac:dyDescent="0.2">
      <c r="B38825" s="1168"/>
    </row>
    <row r="38826" spans="2:2" s="221" customFormat="1" ht="12.75" x14ac:dyDescent="0.2">
      <c r="B38826" s="1168"/>
    </row>
    <row r="38827" spans="2:2" s="221" customFormat="1" ht="12.75" x14ac:dyDescent="0.2">
      <c r="B38827" s="1168"/>
    </row>
    <row r="38828" spans="2:2" s="221" customFormat="1" ht="12.75" x14ac:dyDescent="0.2">
      <c r="B38828" s="1168"/>
    </row>
    <row r="38829" spans="2:2" s="221" customFormat="1" ht="12.75" x14ac:dyDescent="0.2">
      <c r="B38829" s="1168"/>
    </row>
    <row r="38830" spans="2:2" s="221" customFormat="1" ht="12.75" x14ac:dyDescent="0.2">
      <c r="B38830" s="1168"/>
    </row>
    <row r="38831" spans="2:2" s="221" customFormat="1" ht="12.75" x14ac:dyDescent="0.2">
      <c r="B38831" s="1168"/>
    </row>
    <row r="38832" spans="2:2" s="221" customFormat="1" ht="12.75" x14ac:dyDescent="0.2">
      <c r="B38832" s="1168"/>
    </row>
    <row r="38833" spans="2:2" s="221" customFormat="1" ht="12.75" x14ac:dyDescent="0.2">
      <c r="B38833" s="1168"/>
    </row>
    <row r="38834" spans="2:2" s="221" customFormat="1" ht="12.75" x14ac:dyDescent="0.2">
      <c r="B38834" s="1168"/>
    </row>
    <row r="38835" spans="2:2" s="221" customFormat="1" ht="12.75" x14ac:dyDescent="0.2">
      <c r="B38835" s="1168"/>
    </row>
    <row r="38836" spans="2:2" s="221" customFormat="1" ht="12.75" x14ac:dyDescent="0.2">
      <c r="B38836" s="1168"/>
    </row>
    <row r="38837" spans="2:2" s="221" customFormat="1" ht="12.75" x14ac:dyDescent="0.2">
      <c r="B38837" s="1168"/>
    </row>
    <row r="38838" spans="2:2" s="221" customFormat="1" ht="12.75" x14ac:dyDescent="0.2">
      <c r="B38838" s="1168"/>
    </row>
    <row r="38839" spans="2:2" s="221" customFormat="1" ht="12.75" x14ac:dyDescent="0.2">
      <c r="B38839" s="1168"/>
    </row>
    <row r="38840" spans="2:2" s="221" customFormat="1" ht="12.75" x14ac:dyDescent="0.2">
      <c r="B38840" s="1168"/>
    </row>
    <row r="38841" spans="2:2" s="221" customFormat="1" ht="12.75" x14ac:dyDescent="0.2">
      <c r="B38841" s="1168"/>
    </row>
    <row r="38842" spans="2:2" s="221" customFormat="1" ht="12.75" x14ac:dyDescent="0.2">
      <c r="B38842" s="1168"/>
    </row>
    <row r="38843" spans="2:2" s="221" customFormat="1" ht="12.75" x14ac:dyDescent="0.2">
      <c r="B38843" s="1168"/>
    </row>
    <row r="38844" spans="2:2" s="221" customFormat="1" ht="12.75" x14ac:dyDescent="0.2">
      <c r="B38844" s="1168"/>
    </row>
    <row r="38845" spans="2:2" s="221" customFormat="1" ht="12.75" x14ac:dyDescent="0.2">
      <c r="B38845" s="1168"/>
    </row>
    <row r="38846" spans="2:2" s="221" customFormat="1" ht="12.75" x14ac:dyDescent="0.2">
      <c r="B38846" s="1168"/>
    </row>
    <row r="38847" spans="2:2" s="221" customFormat="1" ht="12.75" x14ac:dyDescent="0.2">
      <c r="B38847" s="1168"/>
    </row>
    <row r="38848" spans="2:2" s="221" customFormat="1" ht="12.75" x14ac:dyDescent="0.2">
      <c r="B38848" s="1168"/>
    </row>
    <row r="38849" spans="2:2" s="221" customFormat="1" ht="12.75" x14ac:dyDescent="0.2">
      <c r="B38849" s="1168"/>
    </row>
    <row r="38850" spans="2:2" s="221" customFormat="1" ht="12.75" x14ac:dyDescent="0.2">
      <c r="B38850" s="1168"/>
    </row>
    <row r="38851" spans="2:2" s="221" customFormat="1" ht="12.75" x14ac:dyDescent="0.2">
      <c r="B38851" s="1168"/>
    </row>
    <row r="38852" spans="2:2" s="221" customFormat="1" ht="12.75" x14ac:dyDescent="0.2">
      <c r="B38852" s="1168"/>
    </row>
    <row r="38853" spans="2:2" s="221" customFormat="1" ht="12.75" x14ac:dyDescent="0.2">
      <c r="B38853" s="1168"/>
    </row>
    <row r="38854" spans="2:2" s="221" customFormat="1" ht="12.75" x14ac:dyDescent="0.2">
      <c r="B38854" s="1168"/>
    </row>
    <row r="38855" spans="2:2" s="221" customFormat="1" ht="12.75" x14ac:dyDescent="0.2">
      <c r="B38855" s="1168"/>
    </row>
    <row r="38856" spans="2:2" s="221" customFormat="1" ht="12.75" x14ac:dyDescent="0.2">
      <c r="B38856" s="1168"/>
    </row>
    <row r="38857" spans="2:2" s="221" customFormat="1" ht="12.75" x14ac:dyDescent="0.2">
      <c r="B38857" s="1168"/>
    </row>
    <row r="38858" spans="2:2" s="221" customFormat="1" ht="12.75" x14ac:dyDescent="0.2">
      <c r="B38858" s="1168"/>
    </row>
    <row r="38859" spans="2:2" s="221" customFormat="1" ht="12.75" x14ac:dyDescent="0.2">
      <c r="B38859" s="1168"/>
    </row>
    <row r="38860" spans="2:2" s="221" customFormat="1" ht="12.75" x14ac:dyDescent="0.2">
      <c r="B38860" s="1168"/>
    </row>
    <row r="38861" spans="2:2" s="221" customFormat="1" ht="12.75" x14ac:dyDescent="0.2">
      <c r="B38861" s="1168"/>
    </row>
    <row r="38862" spans="2:2" s="221" customFormat="1" ht="12.75" x14ac:dyDescent="0.2">
      <c r="B38862" s="1168"/>
    </row>
    <row r="38863" spans="2:2" s="221" customFormat="1" ht="12.75" x14ac:dyDescent="0.2">
      <c r="B38863" s="1168"/>
    </row>
    <row r="38864" spans="2:2" s="221" customFormat="1" ht="12.75" x14ac:dyDescent="0.2">
      <c r="B38864" s="1168"/>
    </row>
    <row r="38865" spans="2:2" s="221" customFormat="1" ht="12.75" x14ac:dyDescent="0.2">
      <c r="B38865" s="1168"/>
    </row>
    <row r="38866" spans="2:2" s="221" customFormat="1" ht="12.75" x14ac:dyDescent="0.2">
      <c r="B38866" s="1168"/>
    </row>
    <row r="38867" spans="2:2" s="221" customFormat="1" ht="12.75" x14ac:dyDescent="0.2">
      <c r="B38867" s="1168"/>
    </row>
    <row r="38868" spans="2:2" s="221" customFormat="1" ht="12.75" x14ac:dyDescent="0.2">
      <c r="B38868" s="1168"/>
    </row>
    <row r="38869" spans="2:2" s="221" customFormat="1" ht="12.75" x14ac:dyDescent="0.2">
      <c r="B38869" s="1168"/>
    </row>
    <row r="38870" spans="2:2" s="221" customFormat="1" ht="12.75" x14ac:dyDescent="0.2">
      <c r="B38870" s="1168"/>
    </row>
    <row r="38871" spans="2:2" s="221" customFormat="1" ht="12.75" x14ac:dyDescent="0.2">
      <c r="B38871" s="1168"/>
    </row>
    <row r="38872" spans="2:2" s="221" customFormat="1" ht="12.75" x14ac:dyDescent="0.2">
      <c r="B38872" s="1168"/>
    </row>
    <row r="38873" spans="2:2" s="221" customFormat="1" ht="12.75" x14ac:dyDescent="0.2">
      <c r="B38873" s="1168"/>
    </row>
    <row r="38874" spans="2:2" s="221" customFormat="1" ht="12.75" x14ac:dyDescent="0.2">
      <c r="B38874" s="1168"/>
    </row>
    <row r="38875" spans="2:2" s="221" customFormat="1" ht="12.75" x14ac:dyDescent="0.2">
      <c r="B38875" s="1168"/>
    </row>
    <row r="38876" spans="2:2" s="221" customFormat="1" ht="12.75" x14ac:dyDescent="0.2">
      <c r="B38876" s="1168"/>
    </row>
    <row r="38877" spans="2:2" s="221" customFormat="1" ht="12.75" x14ac:dyDescent="0.2">
      <c r="B38877" s="1168"/>
    </row>
    <row r="38878" spans="2:2" s="221" customFormat="1" ht="12.75" x14ac:dyDescent="0.2">
      <c r="B38878" s="1168"/>
    </row>
    <row r="38879" spans="2:2" s="221" customFormat="1" ht="12.75" x14ac:dyDescent="0.2">
      <c r="B38879" s="1168"/>
    </row>
    <row r="38880" spans="2:2" s="221" customFormat="1" ht="12.75" x14ac:dyDescent="0.2">
      <c r="B38880" s="1168"/>
    </row>
    <row r="38881" spans="2:2" s="221" customFormat="1" ht="12.75" x14ac:dyDescent="0.2">
      <c r="B38881" s="1168"/>
    </row>
    <row r="38882" spans="2:2" s="221" customFormat="1" ht="12.75" x14ac:dyDescent="0.2">
      <c r="B38882" s="1168"/>
    </row>
    <row r="38883" spans="2:2" s="221" customFormat="1" ht="12.75" x14ac:dyDescent="0.2">
      <c r="B38883" s="1168"/>
    </row>
    <row r="38884" spans="2:2" s="221" customFormat="1" ht="12.75" x14ac:dyDescent="0.2">
      <c r="B38884" s="1168"/>
    </row>
    <row r="38885" spans="2:2" s="221" customFormat="1" ht="12.75" x14ac:dyDescent="0.2">
      <c r="B38885" s="1168"/>
    </row>
    <row r="38886" spans="2:2" s="221" customFormat="1" ht="12.75" x14ac:dyDescent="0.2">
      <c r="B38886" s="1168"/>
    </row>
    <row r="38887" spans="2:2" s="221" customFormat="1" ht="12.75" x14ac:dyDescent="0.2">
      <c r="B38887" s="1168"/>
    </row>
    <row r="38888" spans="2:2" s="221" customFormat="1" ht="12.75" x14ac:dyDescent="0.2">
      <c r="B38888" s="1168"/>
    </row>
    <row r="38889" spans="2:2" s="221" customFormat="1" ht="12.75" x14ac:dyDescent="0.2">
      <c r="B38889" s="1168"/>
    </row>
    <row r="38890" spans="2:2" s="221" customFormat="1" ht="12.75" x14ac:dyDescent="0.2">
      <c r="B38890" s="1168"/>
    </row>
    <row r="38891" spans="2:2" s="221" customFormat="1" ht="12.75" x14ac:dyDescent="0.2">
      <c r="B38891" s="1168"/>
    </row>
    <row r="38892" spans="2:2" s="221" customFormat="1" ht="12.75" x14ac:dyDescent="0.2">
      <c r="B38892" s="1168"/>
    </row>
    <row r="38893" spans="2:2" s="221" customFormat="1" ht="12.75" x14ac:dyDescent="0.2">
      <c r="B38893" s="1168"/>
    </row>
    <row r="38894" spans="2:2" s="221" customFormat="1" ht="12.75" x14ac:dyDescent="0.2">
      <c r="B38894" s="1168"/>
    </row>
    <row r="38895" spans="2:2" s="221" customFormat="1" ht="12.75" x14ac:dyDescent="0.2">
      <c r="B38895" s="1168"/>
    </row>
    <row r="38896" spans="2:2" s="221" customFormat="1" ht="12.75" x14ac:dyDescent="0.2">
      <c r="B38896" s="1168"/>
    </row>
    <row r="38897" spans="2:2" s="221" customFormat="1" ht="12.75" x14ac:dyDescent="0.2">
      <c r="B38897" s="1168"/>
    </row>
    <row r="38898" spans="2:2" s="221" customFormat="1" ht="12.75" x14ac:dyDescent="0.2">
      <c r="B38898" s="1168"/>
    </row>
    <row r="38899" spans="2:2" s="221" customFormat="1" ht="12.75" x14ac:dyDescent="0.2">
      <c r="B38899" s="1168"/>
    </row>
    <row r="38900" spans="2:2" s="221" customFormat="1" ht="12.75" x14ac:dyDescent="0.2">
      <c r="B38900" s="1168"/>
    </row>
    <row r="38901" spans="2:2" s="221" customFormat="1" ht="12.75" x14ac:dyDescent="0.2">
      <c r="B38901" s="1168"/>
    </row>
    <row r="38902" spans="2:2" s="221" customFormat="1" ht="12.75" x14ac:dyDescent="0.2">
      <c r="B38902" s="1168"/>
    </row>
    <row r="38903" spans="2:2" s="221" customFormat="1" ht="12.75" x14ac:dyDescent="0.2">
      <c r="B38903" s="1168"/>
    </row>
    <row r="38904" spans="2:2" s="221" customFormat="1" ht="12.75" x14ac:dyDescent="0.2">
      <c r="B38904" s="1168"/>
    </row>
    <row r="38905" spans="2:2" s="221" customFormat="1" ht="12.75" x14ac:dyDescent="0.2">
      <c r="B38905" s="1168"/>
    </row>
    <row r="38906" spans="2:2" s="221" customFormat="1" ht="12.75" x14ac:dyDescent="0.2">
      <c r="B38906" s="1168"/>
    </row>
    <row r="38907" spans="2:2" s="221" customFormat="1" ht="12.75" x14ac:dyDescent="0.2">
      <c r="B38907" s="1168"/>
    </row>
    <row r="38908" spans="2:2" s="221" customFormat="1" ht="12.75" x14ac:dyDescent="0.2">
      <c r="B38908" s="1168"/>
    </row>
    <row r="38909" spans="2:2" s="221" customFormat="1" ht="12.75" x14ac:dyDescent="0.2">
      <c r="B38909" s="1168"/>
    </row>
    <row r="38910" spans="2:2" s="221" customFormat="1" ht="12.75" x14ac:dyDescent="0.2">
      <c r="B38910" s="1168"/>
    </row>
    <row r="38911" spans="2:2" s="221" customFormat="1" ht="12.75" x14ac:dyDescent="0.2">
      <c r="B38911" s="1168"/>
    </row>
    <row r="38912" spans="2:2" s="221" customFormat="1" ht="12.75" x14ac:dyDescent="0.2">
      <c r="B38912" s="1168"/>
    </row>
    <row r="38913" spans="2:2" s="221" customFormat="1" ht="12.75" x14ac:dyDescent="0.2">
      <c r="B38913" s="1168"/>
    </row>
    <row r="38914" spans="2:2" s="221" customFormat="1" ht="12.75" x14ac:dyDescent="0.2">
      <c r="B38914" s="1168"/>
    </row>
    <row r="38915" spans="2:2" s="221" customFormat="1" ht="12.75" x14ac:dyDescent="0.2">
      <c r="B38915" s="1168"/>
    </row>
    <row r="38916" spans="2:2" s="221" customFormat="1" ht="12.75" x14ac:dyDescent="0.2">
      <c r="B38916" s="1168"/>
    </row>
    <row r="38917" spans="2:2" s="221" customFormat="1" ht="12.75" x14ac:dyDescent="0.2">
      <c r="B38917" s="1168"/>
    </row>
    <row r="38918" spans="2:2" s="221" customFormat="1" ht="12.75" x14ac:dyDescent="0.2">
      <c r="B38918" s="1168"/>
    </row>
    <row r="38919" spans="2:2" s="221" customFormat="1" ht="12.75" x14ac:dyDescent="0.2">
      <c r="B38919" s="1168"/>
    </row>
    <row r="38920" spans="2:2" s="221" customFormat="1" ht="12.75" x14ac:dyDescent="0.2">
      <c r="B38920" s="1168"/>
    </row>
    <row r="38921" spans="2:2" s="221" customFormat="1" ht="12.75" x14ac:dyDescent="0.2">
      <c r="B38921" s="1168"/>
    </row>
    <row r="38922" spans="2:2" s="221" customFormat="1" ht="12.75" x14ac:dyDescent="0.2">
      <c r="B38922" s="1168"/>
    </row>
    <row r="38923" spans="2:2" s="221" customFormat="1" ht="12.75" x14ac:dyDescent="0.2">
      <c r="B38923" s="1168"/>
    </row>
    <row r="38924" spans="2:2" s="221" customFormat="1" ht="12.75" x14ac:dyDescent="0.2">
      <c r="B38924" s="1168"/>
    </row>
    <row r="38925" spans="2:2" s="221" customFormat="1" ht="12.75" x14ac:dyDescent="0.2">
      <c r="B38925" s="1168"/>
    </row>
    <row r="38926" spans="2:2" s="221" customFormat="1" ht="12.75" x14ac:dyDescent="0.2">
      <c r="B38926" s="1168"/>
    </row>
    <row r="38927" spans="2:2" s="221" customFormat="1" ht="12.75" x14ac:dyDescent="0.2">
      <c r="B38927" s="1168"/>
    </row>
    <row r="38928" spans="2:2" s="221" customFormat="1" ht="12.75" x14ac:dyDescent="0.2">
      <c r="B38928" s="1168"/>
    </row>
    <row r="38929" spans="2:2" s="221" customFormat="1" ht="12.75" x14ac:dyDescent="0.2">
      <c r="B38929" s="1168"/>
    </row>
    <row r="38930" spans="2:2" s="221" customFormat="1" ht="12.75" x14ac:dyDescent="0.2">
      <c r="B38930" s="1168"/>
    </row>
    <row r="38931" spans="2:2" s="221" customFormat="1" ht="12.75" x14ac:dyDescent="0.2">
      <c r="B38931" s="1168"/>
    </row>
    <row r="38932" spans="2:2" s="221" customFormat="1" ht="12.75" x14ac:dyDescent="0.2">
      <c r="B38932" s="1168"/>
    </row>
    <row r="38933" spans="2:2" s="221" customFormat="1" ht="12.75" x14ac:dyDescent="0.2">
      <c r="B38933" s="1168"/>
    </row>
    <row r="38934" spans="2:2" s="221" customFormat="1" ht="12.75" x14ac:dyDescent="0.2">
      <c r="B38934" s="1168"/>
    </row>
    <row r="38935" spans="2:2" s="221" customFormat="1" ht="12.75" x14ac:dyDescent="0.2">
      <c r="B38935" s="1168"/>
    </row>
    <row r="38936" spans="2:2" s="221" customFormat="1" ht="12.75" x14ac:dyDescent="0.2">
      <c r="B38936" s="1168"/>
    </row>
    <row r="38937" spans="2:2" s="221" customFormat="1" ht="12.75" x14ac:dyDescent="0.2">
      <c r="B38937" s="1168"/>
    </row>
    <row r="38938" spans="2:2" s="221" customFormat="1" ht="12.75" x14ac:dyDescent="0.2">
      <c r="B38938" s="1168"/>
    </row>
    <row r="38939" spans="2:2" s="221" customFormat="1" ht="12.75" x14ac:dyDescent="0.2">
      <c r="B38939" s="1168"/>
    </row>
    <row r="38940" spans="2:2" s="221" customFormat="1" ht="12.75" x14ac:dyDescent="0.2">
      <c r="B38940" s="1168"/>
    </row>
    <row r="38941" spans="2:2" s="221" customFormat="1" ht="12.75" x14ac:dyDescent="0.2">
      <c r="B38941" s="1168"/>
    </row>
    <row r="38942" spans="2:2" s="221" customFormat="1" ht="12.75" x14ac:dyDescent="0.2">
      <c r="B38942" s="1168"/>
    </row>
    <row r="38943" spans="2:2" s="221" customFormat="1" ht="12.75" x14ac:dyDescent="0.2">
      <c r="B38943" s="1168"/>
    </row>
    <row r="38944" spans="2:2" s="221" customFormat="1" ht="12.75" x14ac:dyDescent="0.2">
      <c r="B38944" s="1168"/>
    </row>
    <row r="38945" spans="2:2" s="221" customFormat="1" ht="12.75" x14ac:dyDescent="0.2">
      <c r="B38945" s="1168"/>
    </row>
    <row r="38946" spans="2:2" s="221" customFormat="1" ht="12.75" x14ac:dyDescent="0.2">
      <c r="B38946" s="1168"/>
    </row>
    <row r="38947" spans="2:2" s="221" customFormat="1" ht="12.75" x14ac:dyDescent="0.2">
      <c r="B38947" s="1168"/>
    </row>
    <row r="38948" spans="2:2" s="221" customFormat="1" ht="12.75" x14ac:dyDescent="0.2">
      <c r="B38948" s="1168"/>
    </row>
    <row r="38949" spans="2:2" s="221" customFormat="1" ht="12.75" x14ac:dyDescent="0.2">
      <c r="B38949" s="1168"/>
    </row>
    <row r="38950" spans="2:2" s="221" customFormat="1" ht="12.75" x14ac:dyDescent="0.2">
      <c r="B38950" s="1168"/>
    </row>
    <row r="38951" spans="2:2" s="221" customFormat="1" ht="12.75" x14ac:dyDescent="0.2">
      <c r="B38951" s="1168"/>
    </row>
    <row r="38952" spans="2:2" s="221" customFormat="1" ht="12.75" x14ac:dyDescent="0.2">
      <c r="B38952" s="1168"/>
    </row>
    <row r="38953" spans="2:2" s="221" customFormat="1" ht="12.75" x14ac:dyDescent="0.2">
      <c r="B38953" s="1168"/>
    </row>
    <row r="38954" spans="2:2" s="221" customFormat="1" ht="12.75" x14ac:dyDescent="0.2">
      <c r="B38954" s="1168"/>
    </row>
    <row r="38955" spans="2:2" s="221" customFormat="1" ht="12.75" x14ac:dyDescent="0.2">
      <c r="B38955" s="1168"/>
    </row>
    <row r="38956" spans="2:2" s="221" customFormat="1" ht="12.75" x14ac:dyDescent="0.2">
      <c r="B38956" s="1168"/>
    </row>
    <row r="38957" spans="2:2" s="221" customFormat="1" ht="12.75" x14ac:dyDescent="0.2">
      <c r="B38957" s="1168"/>
    </row>
    <row r="38958" spans="2:2" s="221" customFormat="1" ht="12.75" x14ac:dyDescent="0.2">
      <c r="B38958" s="1168"/>
    </row>
    <row r="38959" spans="2:2" s="221" customFormat="1" ht="12.75" x14ac:dyDescent="0.2">
      <c r="B38959" s="1168"/>
    </row>
    <row r="38960" spans="2:2" s="221" customFormat="1" ht="12.75" x14ac:dyDescent="0.2">
      <c r="B38960" s="1168"/>
    </row>
    <row r="38961" spans="2:2" s="221" customFormat="1" ht="12.75" x14ac:dyDescent="0.2">
      <c r="B38961" s="1168"/>
    </row>
    <row r="38962" spans="2:2" s="221" customFormat="1" ht="12.75" x14ac:dyDescent="0.2">
      <c r="B38962" s="1168"/>
    </row>
    <row r="38963" spans="2:2" s="221" customFormat="1" ht="12.75" x14ac:dyDescent="0.2">
      <c r="B38963" s="1168"/>
    </row>
    <row r="38964" spans="2:2" s="221" customFormat="1" ht="12.75" x14ac:dyDescent="0.2">
      <c r="B38964" s="1168"/>
    </row>
    <row r="38965" spans="2:2" s="221" customFormat="1" ht="12.75" x14ac:dyDescent="0.2">
      <c r="B38965" s="1168"/>
    </row>
    <row r="38966" spans="2:2" s="221" customFormat="1" ht="12.75" x14ac:dyDescent="0.2">
      <c r="B38966" s="1168"/>
    </row>
    <row r="38967" spans="2:2" s="221" customFormat="1" ht="12.75" x14ac:dyDescent="0.2">
      <c r="B38967" s="1168"/>
    </row>
    <row r="38968" spans="2:2" s="221" customFormat="1" ht="12.75" x14ac:dyDescent="0.2">
      <c r="B38968" s="1168"/>
    </row>
    <row r="38969" spans="2:2" s="221" customFormat="1" ht="12.75" x14ac:dyDescent="0.2">
      <c r="B38969" s="1168"/>
    </row>
    <row r="38970" spans="2:2" s="221" customFormat="1" ht="12.75" x14ac:dyDescent="0.2">
      <c r="B38970" s="1168"/>
    </row>
    <row r="38971" spans="2:2" s="221" customFormat="1" ht="12.75" x14ac:dyDescent="0.2">
      <c r="B38971" s="1168"/>
    </row>
    <row r="38972" spans="2:2" s="221" customFormat="1" ht="12.75" x14ac:dyDescent="0.2">
      <c r="B38972" s="1168"/>
    </row>
    <row r="38973" spans="2:2" s="221" customFormat="1" ht="12.75" x14ac:dyDescent="0.2">
      <c r="B38973" s="1168"/>
    </row>
    <row r="38974" spans="2:2" s="221" customFormat="1" ht="12.75" x14ac:dyDescent="0.2">
      <c r="B38974" s="1168"/>
    </row>
    <row r="38975" spans="2:2" s="221" customFormat="1" ht="12.75" x14ac:dyDescent="0.2">
      <c r="B38975" s="1168"/>
    </row>
    <row r="38976" spans="2:2" s="221" customFormat="1" ht="12.75" x14ac:dyDescent="0.2">
      <c r="B38976" s="1168"/>
    </row>
    <row r="38977" spans="2:2" s="221" customFormat="1" ht="12.75" x14ac:dyDescent="0.2">
      <c r="B38977" s="1168"/>
    </row>
    <row r="38978" spans="2:2" s="221" customFormat="1" ht="12.75" x14ac:dyDescent="0.2">
      <c r="B38978" s="1168"/>
    </row>
    <row r="38979" spans="2:2" s="221" customFormat="1" ht="12.75" x14ac:dyDescent="0.2">
      <c r="B38979" s="1168"/>
    </row>
    <row r="38980" spans="2:2" s="221" customFormat="1" ht="12.75" x14ac:dyDescent="0.2">
      <c r="B38980" s="1168"/>
    </row>
    <row r="38981" spans="2:2" s="221" customFormat="1" ht="12.75" x14ac:dyDescent="0.2">
      <c r="B38981" s="1168"/>
    </row>
    <row r="38982" spans="2:2" s="221" customFormat="1" ht="12.75" x14ac:dyDescent="0.2">
      <c r="B38982" s="1168"/>
    </row>
    <row r="38983" spans="2:2" s="221" customFormat="1" ht="12.75" x14ac:dyDescent="0.2">
      <c r="B38983" s="1168"/>
    </row>
    <row r="38984" spans="2:2" s="221" customFormat="1" ht="12.75" x14ac:dyDescent="0.2">
      <c r="B38984" s="1168"/>
    </row>
    <row r="38985" spans="2:2" s="221" customFormat="1" ht="12.75" x14ac:dyDescent="0.2">
      <c r="B38985" s="1168"/>
    </row>
    <row r="38986" spans="2:2" s="221" customFormat="1" ht="12.75" x14ac:dyDescent="0.2">
      <c r="B38986" s="1168"/>
    </row>
    <row r="38987" spans="2:2" s="221" customFormat="1" ht="12.75" x14ac:dyDescent="0.2">
      <c r="B38987" s="1168"/>
    </row>
    <row r="38988" spans="2:2" s="221" customFormat="1" ht="12.75" x14ac:dyDescent="0.2">
      <c r="B38988" s="1168"/>
    </row>
    <row r="38989" spans="2:2" s="221" customFormat="1" ht="12.75" x14ac:dyDescent="0.2">
      <c r="B38989" s="1168"/>
    </row>
    <row r="38990" spans="2:2" s="221" customFormat="1" ht="12.75" x14ac:dyDescent="0.2">
      <c r="B38990" s="1168"/>
    </row>
    <row r="38991" spans="2:2" s="221" customFormat="1" ht="12.75" x14ac:dyDescent="0.2">
      <c r="B38991" s="1168"/>
    </row>
    <row r="38992" spans="2:2" s="221" customFormat="1" ht="12.75" x14ac:dyDescent="0.2">
      <c r="B38992" s="1168"/>
    </row>
    <row r="38993" spans="2:2" s="221" customFormat="1" ht="12.75" x14ac:dyDescent="0.2">
      <c r="B38993" s="1168"/>
    </row>
    <row r="38994" spans="2:2" s="221" customFormat="1" ht="12.75" x14ac:dyDescent="0.2">
      <c r="B38994" s="1168"/>
    </row>
    <row r="38995" spans="2:2" s="221" customFormat="1" ht="12.75" x14ac:dyDescent="0.2">
      <c r="B38995" s="1168"/>
    </row>
    <row r="38996" spans="2:2" s="221" customFormat="1" ht="12.75" x14ac:dyDescent="0.2">
      <c r="B38996" s="1168"/>
    </row>
    <row r="38997" spans="2:2" s="221" customFormat="1" ht="12.75" x14ac:dyDescent="0.2">
      <c r="B38997" s="1168"/>
    </row>
    <row r="38998" spans="2:2" s="221" customFormat="1" ht="12.75" x14ac:dyDescent="0.2">
      <c r="B38998" s="1168"/>
    </row>
    <row r="38999" spans="2:2" s="221" customFormat="1" ht="12.75" x14ac:dyDescent="0.2">
      <c r="B38999" s="1168"/>
    </row>
    <row r="39000" spans="2:2" s="221" customFormat="1" ht="12.75" x14ac:dyDescent="0.2">
      <c r="B39000" s="1168"/>
    </row>
    <row r="39001" spans="2:2" s="221" customFormat="1" ht="12.75" x14ac:dyDescent="0.2">
      <c r="B39001" s="1168"/>
    </row>
    <row r="39002" spans="2:2" s="221" customFormat="1" ht="12.75" x14ac:dyDescent="0.2">
      <c r="B39002" s="1168"/>
    </row>
    <row r="39003" spans="2:2" s="221" customFormat="1" ht="12.75" x14ac:dyDescent="0.2">
      <c r="B39003" s="1168"/>
    </row>
    <row r="39004" spans="2:2" s="221" customFormat="1" ht="12.75" x14ac:dyDescent="0.2">
      <c r="B39004" s="1168"/>
    </row>
    <row r="39005" spans="2:2" s="221" customFormat="1" ht="12.75" x14ac:dyDescent="0.2">
      <c r="B39005" s="1168"/>
    </row>
    <row r="39006" spans="2:2" s="221" customFormat="1" ht="12.75" x14ac:dyDescent="0.2">
      <c r="B39006" s="1168"/>
    </row>
    <row r="39007" spans="2:2" s="221" customFormat="1" ht="12.75" x14ac:dyDescent="0.2">
      <c r="B39007" s="1168"/>
    </row>
    <row r="39008" spans="2:2" s="221" customFormat="1" ht="12.75" x14ac:dyDescent="0.2">
      <c r="B39008" s="1168"/>
    </row>
    <row r="39009" spans="2:2" s="221" customFormat="1" ht="12.75" x14ac:dyDescent="0.2">
      <c r="B39009" s="1168"/>
    </row>
    <row r="39010" spans="2:2" s="221" customFormat="1" ht="12.75" x14ac:dyDescent="0.2">
      <c r="B39010" s="1168"/>
    </row>
    <row r="39011" spans="2:2" s="221" customFormat="1" ht="12.75" x14ac:dyDescent="0.2">
      <c r="B39011" s="1168"/>
    </row>
    <row r="39012" spans="2:2" s="221" customFormat="1" ht="12.75" x14ac:dyDescent="0.2">
      <c r="B39012" s="1168"/>
    </row>
    <row r="39013" spans="2:2" s="221" customFormat="1" ht="12.75" x14ac:dyDescent="0.2">
      <c r="B39013" s="1168"/>
    </row>
    <row r="39014" spans="2:2" s="221" customFormat="1" ht="12.75" x14ac:dyDescent="0.2">
      <c r="B39014" s="1168"/>
    </row>
    <row r="39015" spans="2:2" s="221" customFormat="1" ht="12.75" x14ac:dyDescent="0.2">
      <c r="B39015" s="1168"/>
    </row>
    <row r="39016" spans="2:2" s="221" customFormat="1" ht="12.75" x14ac:dyDescent="0.2">
      <c r="B39016" s="1168"/>
    </row>
    <row r="39017" spans="2:2" s="221" customFormat="1" ht="12.75" x14ac:dyDescent="0.2">
      <c r="B39017" s="1168"/>
    </row>
    <row r="39018" spans="2:2" s="221" customFormat="1" ht="12.75" x14ac:dyDescent="0.2">
      <c r="B39018" s="1168"/>
    </row>
    <row r="39019" spans="2:2" s="221" customFormat="1" ht="12.75" x14ac:dyDescent="0.2">
      <c r="B39019" s="1168"/>
    </row>
    <row r="39020" spans="2:2" s="221" customFormat="1" ht="12.75" x14ac:dyDescent="0.2">
      <c r="B39020" s="1168"/>
    </row>
    <row r="39021" spans="2:2" s="221" customFormat="1" ht="12.75" x14ac:dyDescent="0.2">
      <c r="B39021" s="1168"/>
    </row>
    <row r="39022" spans="2:2" s="221" customFormat="1" ht="12.75" x14ac:dyDescent="0.2">
      <c r="B39022" s="1168"/>
    </row>
    <row r="39023" spans="2:2" s="221" customFormat="1" ht="12.75" x14ac:dyDescent="0.2">
      <c r="B39023" s="1168"/>
    </row>
    <row r="39024" spans="2:2" s="221" customFormat="1" ht="12.75" x14ac:dyDescent="0.2">
      <c r="B39024" s="1168"/>
    </row>
    <row r="39025" spans="2:2" s="221" customFormat="1" ht="12.75" x14ac:dyDescent="0.2">
      <c r="B39025" s="1168"/>
    </row>
    <row r="39026" spans="2:2" s="221" customFormat="1" ht="12.75" x14ac:dyDescent="0.2">
      <c r="B39026" s="1168"/>
    </row>
    <row r="39027" spans="2:2" s="221" customFormat="1" ht="12.75" x14ac:dyDescent="0.2">
      <c r="B39027" s="1168"/>
    </row>
    <row r="39028" spans="2:2" s="221" customFormat="1" ht="12.75" x14ac:dyDescent="0.2">
      <c r="B39028" s="1168"/>
    </row>
    <row r="39029" spans="2:2" s="221" customFormat="1" ht="12.75" x14ac:dyDescent="0.2">
      <c r="B39029" s="1168"/>
    </row>
    <row r="39030" spans="2:2" s="221" customFormat="1" ht="12.75" x14ac:dyDescent="0.2">
      <c r="B39030" s="1168"/>
    </row>
    <row r="39031" spans="2:2" s="221" customFormat="1" ht="12.75" x14ac:dyDescent="0.2">
      <c r="B39031" s="1168"/>
    </row>
    <row r="39032" spans="2:2" s="221" customFormat="1" ht="12.75" x14ac:dyDescent="0.2">
      <c r="B39032" s="1168"/>
    </row>
    <row r="39033" spans="2:2" s="221" customFormat="1" ht="12.75" x14ac:dyDescent="0.2">
      <c r="B39033" s="1168"/>
    </row>
    <row r="39034" spans="2:2" s="221" customFormat="1" ht="12.75" x14ac:dyDescent="0.2">
      <c r="B39034" s="1168"/>
    </row>
    <row r="39035" spans="2:2" s="221" customFormat="1" ht="12.75" x14ac:dyDescent="0.2">
      <c r="B39035" s="1168"/>
    </row>
    <row r="39036" spans="2:2" s="221" customFormat="1" ht="12.75" x14ac:dyDescent="0.2">
      <c r="B39036" s="1168"/>
    </row>
    <row r="39037" spans="2:2" s="221" customFormat="1" ht="12.75" x14ac:dyDescent="0.2">
      <c r="B39037" s="1168"/>
    </row>
    <row r="39038" spans="2:2" s="221" customFormat="1" ht="12.75" x14ac:dyDescent="0.2">
      <c r="B39038" s="1168"/>
    </row>
    <row r="39039" spans="2:2" s="221" customFormat="1" ht="12.75" x14ac:dyDescent="0.2">
      <c r="B39039" s="1168"/>
    </row>
    <row r="39040" spans="2:2" s="221" customFormat="1" ht="12.75" x14ac:dyDescent="0.2">
      <c r="B39040" s="1168"/>
    </row>
    <row r="39041" spans="2:2" s="221" customFormat="1" ht="12.75" x14ac:dyDescent="0.2">
      <c r="B39041" s="1168"/>
    </row>
    <row r="39042" spans="2:2" s="221" customFormat="1" ht="12.75" x14ac:dyDescent="0.2">
      <c r="B39042" s="1168"/>
    </row>
    <row r="39043" spans="2:2" s="221" customFormat="1" ht="12.75" x14ac:dyDescent="0.2">
      <c r="B39043" s="1168"/>
    </row>
    <row r="39044" spans="2:2" s="221" customFormat="1" ht="12.75" x14ac:dyDescent="0.2">
      <c r="B39044" s="1168"/>
    </row>
    <row r="39045" spans="2:2" s="221" customFormat="1" ht="12.75" x14ac:dyDescent="0.2">
      <c r="B39045" s="1168"/>
    </row>
    <row r="39046" spans="2:2" s="221" customFormat="1" ht="12.75" x14ac:dyDescent="0.2">
      <c r="B39046" s="1168"/>
    </row>
    <row r="39047" spans="2:2" s="221" customFormat="1" ht="12.75" x14ac:dyDescent="0.2">
      <c r="B39047" s="1168"/>
    </row>
    <row r="39048" spans="2:2" s="221" customFormat="1" ht="12.75" x14ac:dyDescent="0.2">
      <c r="B39048" s="1168"/>
    </row>
    <row r="39049" spans="2:2" s="221" customFormat="1" ht="12.75" x14ac:dyDescent="0.2">
      <c r="B39049" s="1168"/>
    </row>
    <row r="39050" spans="2:2" s="221" customFormat="1" ht="12.75" x14ac:dyDescent="0.2">
      <c r="B39050" s="1168"/>
    </row>
    <row r="39051" spans="2:2" s="221" customFormat="1" ht="12.75" x14ac:dyDescent="0.2">
      <c r="B39051" s="1168"/>
    </row>
    <row r="39052" spans="2:2" s="221" customFormat="1" ht="12.75" x14ac:dyDescent="0.2">
      <c r="B39052" s="1168"/>
    </row>
    <row r="39053" spans="2:2" s="221" customFormat="1" ht="12.75" x14ac:dyDescent="0.2">
      <c r="B39053" s="1168"/>
    </row>
    <row r="39054" spans="2:2" s="221" customFormat="1" ht="12.75" x14ac:dyDescent="0.2">
      <c r="B39054" s="1168"/>
    </row>
    <row r="39055" spans="2:2" s="221" customFormat="1" ht="12.75" x14ac:dyDescent="0.2">
      <c r="B39055" s="1168"/>
    </row>
    <row r="39056" spans="2:2" s="221" customFormat="1" ht="12.75" x14ac:dyDescent="0.2">
      <c r="B39056" s="1168"/>
    </row>
    <row r="39057" spans="2:2" s="221" customFormat="1" ht="12.75" x14ac:dyDescent="0.2">
      <c r="B39057" s="1168"/>
    </row>
    <row r="39058" spans="2:2" s="221" customFormat="1" ht="12.75" x14ac:dyDescent="0.2">
      <c r="B39058" s="1168"/>
    </row>
    <row r="39059" spans="2:2" s="221" customFormat="1" ht="12.75" x14ac:dyDescent="0.2">
      <c r="B39059" s="1168"/>
    </row>
    <row r="39060" spans="2:2" s="221" customFormat="1" ht="12.75" x14ac:dyDescent="0.2">
      <c r="B39060" s="1168"/>
    </row>
    <row r="39061" spans="2:2" s="221" customFormat="1" ht="12.75" x14ac:dyDescent="0.2">
      <c r="B39061" s="1168"/>
    </row>
    <row r="39062" spans="2:2" s="221" customFormat="1" ht="12.75" x14ac:dyDescent="0.2">
      <c r="B39062" s="1168"/>
    </row>
    <row r="39063" spans="2:2" s="221" customFormat="1" ht="12.75" x14ac:dyDescent="0.2">
      <c r="B39063" s="1168"/>
    </row>
    <row r="39064" spans="2:2" s="221" customFormat="1" ht="12.75" x14ac:dyDescent="0.2">
      <c r="B39064" s="1168"/>
    </row>
    <row r="39065" spans="2:2" s="221" customFormat="1" ht="12.75" x14ac:dyDescent="0.2">
      <c r="B39065" s="1168"/>
    </row>
    <row r="39066" spans="2:2" s="221" customFormat="1" ht="12.75" x14ac:dyDescent="0.2">
      <c r="B39066" s="1168"/>
    </row>
    <row r="39067" spans="2:2" s="221" customFormat="1" ht="12.75" x14ac:dyDescent="0.2">
      <c r="B39067" s="1168"/>
    </row>
    <row r="39068" spans="2:2" s="221" customFormat="1" ht="12.75" x14ac:dyDescent="0.2">
      <c r="B39068" s="1168"/>
    </row>
    <row r="39069" spans="2:2" s="221" customFormat="1" ht="12.75" x14ac:dyDescent="0.2">
      <c r="B39069" s="1168"/>
    </row>
    <row r="39070" spans="2:2" s="221" customFormat="1" ht="12.75" x14ac:dyDescent="0.2">
      <c r="B39070" s="1168"/>
    </row>
    <row r="39071" spans="2:2" s="221" customFormat="1" ht="12.75" x14ac:dyDescent="0.2">
      <c r="B39071" s="1168"/>
    </row>
    <row r="39072" spans="2:2" s="221" customFormat="1" ht="12.75" x14ac:dyDescent="0.2">
      <c r="B39072" s="1168"/>
    </row>
    <row r="39073" spans="2:2" s="221" customFormat="1" ht="12.75" x14ac:dyDescent="0.2">
      <c r="B39073" s="1168"/>
    </row>
    <row r="39074" spans="2:2" s="221" customFormat="1" ht="12.75" x14ac:dyDescent="0.2">
      <c r="B39074" s="1168"/>
    </row>
    <row r="39075" spans="2:2" s="221" customFormat="1" ht="12.75" x14ac:dyDescent="0.2">
      <c r="B39075" s="1168"/>
    </row>
    <row r="39076" spans="2:2" s="221" customFormat="1" ht="12.75" x14ac:dyDescent="0.2">
      <c r="B39076" s="1168"/>
    </row>
    <row r="39077" spans="2:2" s="221" customFormat="1" ht="12.75" x14ac:dyDescent="0.2">
      <c r="B39077" s="1168"/>
    </row>
    <row r="39078" spans="2:2" s="221" customFormat="1" ht="12.75" x14ac:dyDescent="0.2">
      <c r="B39078" s="1168"/>
    </row>
    <row r="39079" spans="2:2" s="221" customFormat="1" ht="12.75" x14ac:dyDescent="0.2">
      <c r="B39079" s="1168"/>
    </row>
    <row r="39080" spans="2:2" s="221" customFormat="1" ht="12.75" x14ac:dyDescent="0.2">
      <c r="B39080" s="1168"/>
    </row>
    <row r="39081" spans="2:2" s="221" customFormat="1" ht="12.75" x14ac:dyDescent="0.2">
      <c r="B39081" s="1168"/>
    </row>
    <row r="39082" spans="2:2" s="221" customFormat="1" ht="12.75" x14ac:dyDescent="0.2">
      <c r="B39082" s="1168"/>
    </row>
    <row r="39083" spans="2:2" s="221" customFormat="1" ht="12.75" x14ac:dyDescent="0.2">
      <c r="B39083" s="1168"/>
    </row>
    <row r="39084" spans="2:2" s="221" customFormat="1" ht="12.75" x14ac:dyDescent="0.2">
      <c r="B39084" s="1168"/>
    </row>
    <row r="39085" spans="2:2" s="221" customFormat="1" ht="12.75" x14ac:dyDescent="0.2">
      <c r="B39085" s="1168"/>
    </row>
    <row r="39086" spans="2:2" s="221" customFormat="1" ht="12.75" x14ac:dyDescent="0.2">
      <c r="B39086" s="1168"/>
    </row>
    <row r="39087" spans="2:2" s="221" customFormat="1" ht="12.75" x14ac:dyDescent="0.2">
      <c r="B39087" s="1168"/>
    </row>
    <row r="39088" spans="2:2" s="221" customFormat="1" ht="12.75" x14ac:dyDescent="0.2">
      <c r="B39088" s="1168"/>
    </row>
    <row r="39089" spans="2:2" s="221" customFormat="1" ht="12.75" x14ac:dyDescent="0.2">
      <c r="B39089" s="1168"/>
    </row>
    <row r="39090" spans="2:2" s="221" customFormat="1" ht="12.75" x14ac:dyDescent="0.2">
      <c r="B39090" s="1168"/>
    </row>
    <row r="39091" spans="2:2" s="221" customFormat="1" ht="12.75" x14ac:dyDescent="0.2">
      <c r="B39091" s="1168"/>
    </row>
    <row r="39092" spans="2:2" s="221" customFormat="1" ht="12.75" x14ac:dyDescent="0.2">
      <c r="B39092" s="1168"/>
    </row>
    <row r="39093" spans="2:2" s="221" customFormat="1" ht="12.75" x14ac:dyDescent="0.2">
      <c r="B39093" s="1168"/>
    </row>
    <row r="39094" spans="2:2" s="221" customFormat="1" ht="12.75" x14ac:dyDescent="0.2">
      <c r="B39094" s="1168"/>
    </row>
    <row r="39095" spans="2:2" s="221" customFormat="1" ht="12.75" x14ac:dyDescent="0.2">
      <c r="B39095" s="1168"/>
    </row>
    <row r="39096" spans="2:2" s="221" customFormat="1" ht="12.75" x14ac:dyDescent="0.2">
      <c r="B39096" s="1168"/>
    </row>
    <row r="39097" spans="2:2" s="221" customFormat="1" ht="12.75" x14ac:dyDescent="0.2">
      <c r="B39097" s="1168"/>
    </row>
    <row r="39098" spans="2:2" s="221" customFormat="1" ht="12.75" x14ac:dyDescent="0.2">
      <c r="B39098" s="1168"/>
    </row>
    <row r="39099" spans="2:2" s="221" customFormat="1" ht="12.75" x14ac:dyDescent="0.2">
      <c r="B39099" s="1168"/>
    </row>
    <row r="39100" spans="2:2" s="221" customFormat="1" ht="12.75" x14ac:dyDescent="0.2">
      <c r="B39100" s="1168"/>
    </row>
    <row r="39101" spans="2:2" s="221" customFormat="1" ht="12.75" x14ac:dyDescent="0.2">
      <c r="B39101" s="1168"/>
    </row>
    <row r="39102" spans="2:2" s="221" customFormat="1" ht="12.75" x14ac:dyDescent="0.2">
      <c r="B39102" s="1168"/>
    </row>
    <row r="39103" spans="2:2" s="221" customFormat="1" ht="12.75" x14ac:dyDescent="0.2">
      <c r="B39103" s="1168"/>
    </row>
    <row r="39104" spans="2:2" s="221" customFormat="1" ht="12.75" x14ac:dyDescent="0.2">
      <c r="B39104" s="1168"/>
    </row>
    <row r="39105" spans="2:2" s="221" customFormat="1" ht="12.75" x14ac:dyDescent="0.2">
      <c r="B39105" s="1168"/>
    </row>
    <row r="39106" spans="2:2" s="221" customFormat="1" ht="12.75" x14ac:dyDescent="0.2">
      <c r="B39106" s="1168"/>
    </row>
    <row r="39107" spans="2:2" s="221" customFormat="1" ht="12.75" x14ac:dyDescent="0.2">
      <c r="B39107" s="1168"/>
    </row>
    <row r="39108" spans="2:2" s="221" customFormat="1" ht="12.75" x14ac:dyDescent="0.2">
      <c r="B39108" s="1168"/>
    </row>
    <row r="39109" spans="2:2" s="221" customFormat="1" ht="12.75" x14ac:dyDescent="0.2">
      <c r="B39109" s="1168"/>
    </row>
    <row r="39110" spans="2:2" s="221" customFormat="1" ht="12.75" x14ac:dyDescent="0.2">
      <c r="B39110" s="1168"/>
    </row>
    <row r="39111" spans="2:2" s="221" customFormat="1" ht="12.75" x14ac:dyDescent="0.2">
      <c r="B39111" s="1168"/>
    </row>
    <row r="39112" spans="2:2" s="221" customFormat="1" ht="12.75" x14ac:dyDescent="0.2">
      <c r="B39112" s="1168"/>
    </row>
    <row r="39113" spans="2:2" s="221" customFormat="1" ht="12.75" x14ac:dyDescent="0.2">
      <c r="B39113" s="1168"/>
    </row>
    <row r="39114" spans="2:2" s="221" customFormat="1" ht="12.75" x14ac:dyDescent="0.2">
      <c r="B39114" s="1168"/>
    </row>
    <row r="39115" spans="2:2" s="221" customFormat="1" ht="12.75" x14ac:dyDescent="0.2">
      <c r="B39115" s="1168"/>
    </row>
    <row r="39116" spans="2:2" s="221" customFormat="1" ht="12.75" x14ac:dyDescent="0.2">
      <c r="B39116" s="1168"/>
    </row>
    <row r="39117" spans="2:2" s="221" customFormat="1" ht="12.75" x14ac:dyDescent="0.2">
      <c r="B39117" s="1168"/>
    </row>
    <row r="39118" spans="2:2" s="221" customFormat="1" ht="12.75" x14ac:dyDescent="0.2">
      <c r="B39118" s="1168"/>
    </row>
    <row r="39119" spans="2:2" s="221" customFormat="1" ht="12.75" x14ac:dyDescent="0.2">
      <c r="B39119" s="1168"/>
    </row>
    <row r="39120" spans="2:2" s="221" customFormat="1" ht="12.75" x14ac:dyDescent="0.2">
      <c r="B39120" s="1168"/>
    </row>
    <row r="39121" spans="2:2" s="221" customFormat="1" ht="12.75" x14ac:dyDescent="0.2">
      <c r="B39121" s="1168"/>
    </row>
    <row r="39122" spans="2:2" s="221" customFormat="1" ht="12.75" x14ac:dyDescent="0.2">
      <c r="B39122" s="1168"/>
    </row>
    <row r="39123" spans="2:2" s="221" customFormat="1" ht="12.75" x14ac:dyDescent="0.2">
      <c r="B39123" s="1168"/>
    </row>
    <row r="39124" spans="2:2" s="221" customFormat="1" ht="12.75" x14ac:dyDescent="0.2">
      <c r="B39124" s="1168"/>
    </row>
    <row r="39125" spans="2:2" s="221" customFormat="1" ht="12.75" x14ac:dyDescent="0.2">
      <c r="B39125" s="1168"/>
    </row>
    <row r="39126" spans="2:2" s="221" customFormat="1" ht="12.75" x14ac:dyDescent="0.2">
      <c r="B39126" s="1168"/>
    </row>
    <row r="39127" spans="2:2" s="221" customFormat="1" ht="12.75" x14ac:dyDescent="0.2">
      <c r="B39127" s="1168"/>
    </row>
    <row r="39128" spans="2:2" s="221" customFormat="1" ht="12.75" x14ac:dyDescent="0.2">
      <c r="B39128" s="1168"/>
    </row>
    <row r="39129" spans="2:2" s="221" customFormat="1" ht="12.75" x14ac:dyDescent="0.2">
      <c r="B39129" s="1168"/>
    </row>
    <row r="39130" spans="2:2" s="221" customFormat="1" ht="12.75" x14ac:dyDescent="0.2">
      <c r="B39130" s="1168"/>
    </row>
    <row r="39131" spans="2:2" s="221" customFormat="1" ht="12.75" x14ac:dyDescent="0.2">
      <c r="B39131" s="1168"/>
    </row>
    <row r="39132" spans="2:2" s="221" customFormat="1" ht="12.75" x14ac:dyDescent="0.2">
      <c r="B39132" s="1168"/>
    </row>
    <row r="39133" spans="2:2" s="221" customFormat="1" ht="12.75" x14ac:dyDescent="0.2">
      <c r="B39133" s="1168"/>
    </row>
    <row r="39134" spans="2:2" s="221" customFormat="1" ht="12.75" x14ac:dyDescent="0.2">
      <c r="B39134" s="1168"/>
    </row>
    <row r="39135" spans="2:2" s="221" customFormat="1" ht="12.75" x14ac:dyDescent="0.2">
      <c r="B39135" s="1168"/>
    </row>
    <row r="39136" spans="2:2" s="221" customFormat="1" ht="12.75" x14ac:dyDescent="0.2">
      <c r="B39136" s="1168"/>
    </row>
    <row r="39137" spans="2:2" s="221" customFormat="1" ht="12.75" x14ac:dyDescent="0.2">
      <c r="B39137" s="1168"/>
    </row>
    <row r="39138" spans="2:2" s="221" customFormat="1" ht="12.75" x14ac:dyDescent="0.2">
      <c r="B39138" s="1168"/>
    </row>
    <row r="39139" spans="2:2" s="221" customFormat="1" ht="12.75" x14ac:dyDescent="0.2">
      <c r="B39139" s="1168"/>
    </row>
    <row r="39140" spans="2:2" s="221" customFormat="1" ht="12.75" x14ac:dyDescent="0.2">
      <c r="B39140" s="1168"/>
    </row>
    <row r="39141" spans="2:2" s="221" customFormat="1" ht="12.75" x14ac:dyDescent="0.2">
      <c r="B39141" s="1168"/>
    </row>
    <row r="39142" spans="2:2" s="221" customFormat="1" ht="12.75" x14ac:dyDescent="0.2">
      <c r="B39142" s="1168"/>
    </row>
    <row r="39143" spans="2:2" s="221" customFormat="1" ht="12.75" x14ac:dyDescent="0.2">
      <c r="B39143" s="1168"/>
    </row>
    <row r="39144" spans="2:2" s="221" customFormat="1" ht="12.75" x14ac:dyDescent="0.2">
      <c r="B39144" s="1168"/>
    </row>
    <row r="39145" spans="2:2" s="221" customFormat="1" ht="12.75" x14ac:dyDescent="0.2">
      <c r="B39145" s="1168"/>
    </row>
    <row r="39146" spans="2:2" s="221" customFormat="1" ht="12.75" x14ac:dyDescent="0.2">
      <c r="B39146" s="1168"/>
    </row>
    <row r="39147" spans="2:2" s="221" customFormat="1" ht="12.75" x14ac:dyDescent="0.2">
      <c r="B39147" s="1168"/>
    </row>
    <row r="39148" spans="2:2" s="221" customFormat="1" ht="12.75" x14ac:dyDescent="0.2">
      <c r="B39148" s="1168"/>
    </row>
    <row r="39149" spans="2:2" s="221" customFormat="1" ht="12.75" x14ac:dyDescent="0.2">
      <c r="B39149" s="1168"/>
    </row>
    <row r="39150" spans="2:2" s="221" customFormat="1" ht="12.75" x14ac:dyDescent="0.2">
      <c r="B39150" s="1168"/>
    </row>
    <row r="39151" spans="2:2" s="221" customFormat="1" ht="12.75" x14ac:dyDescent="0.2">
      <c r="B39151" s="1168"/>
    </row>
    <row r="39152" spans="2:2" s="221" customFormat="1" ht="12.75" x14ac:dyDescent="0.2">
      <c r="B39152" s="1168"/>
    </row>
    <row r="39153" spans="2:2" s="221" customFormat="1" ht="12.75" x14ac:dyDescent="0.2">
      <c r="B39153" s="1168"/>
    </row>
    <row r="39154" spans="2:2" s="221" customFormat="1" ht="12.75" x14ac:dyDescent="0.2">
      <c r="B39154" s="1168"/>
    </row>
    <row r="39155" spans="2:2" s="221" customFormat="1" ht="12.75" x14ac:dyDescent="0.2">
      <c r="B39155" s="1168"/>
    </row>
    <row r="39156" spans="2:2" s="221" customFormat="1" ht="12.75" x14ac:dyDescent="0.2">
      <c r="B39156" s="1168"/>
    </row>
    <row r="39157" spans="2:2" s="221" customFormat="1" ht="12.75" x14ac:dyDescent="0.2">
      <c r="B39157" s="1168"/>
    </row>
    <row r="39158" spans="2:2" s="221" customFormat="1" ht="12.75" x14ac:dyDescent="0.2">
      <c r="B39158" s="1168"/>
    </row>
    <row r="39159" spans="2:2" s="221" customFormat="1" ht="12.75" x14ac:dyDescent="0.2">
      <c r="B39159" s="1168"/>
    </row>
    <row r="39160" spans="2:2" s="221" customFormat="1" ht="12.75" x14ac:dyDescent="0.2">
      <c r="B39160" s="1168"/>
    </row>
    <row r="39161" spans="2:2" s="221" customFormat="1" ht="12.75" x14ac:dyDescent="0.2">
      <c r="B39161" s="1168"/>
    </row>
    <row r="39162" spans="2:2" s="221" customFormat="1" ht="12.75" x14ac:dyDescent="0.2">
      <c r="B39162" s="1168"/>
    </row>
    <row r="39163" spans="2:2" s="221" customFormat="1" ht="12.75" x14ac:dyDescent="0.2">
      <c r="B39163" s="1168"/>
    </row>
    <row r="39164" spans="2:2" s="221" customFormat="1" ht="12.75" x14ac:dyDescent="0.2">
      <c r="B39164" s="1168"/>
    </row>
    <row r="39165" spans="2:2" s="221" customFormat="1" ht="12.75" x14ac:dyDescent="0.2">
      <c r="B39165" s="1168"/>
    </row>
    <row r="39166" spans="2:2" s="221" customFormat="1" ht="12.75" x14ac:dyDescent="0.2">
      <c r="B39166" s="1168"/>
    </row>
    <row r="39167" spans="2:2" s="221" customFormat="1" ht="12.75" x14ac:dyDescent="0.2">
      <c r="B39167" s="1168"/>
    </row>
    <row r="39168" spans="2:2" s="221" customFormat="1" ht="12.75" x14ac:dyDescent="0.2">
      <c r="B39168" s="1168"/>
    </row>
    <row r="39169" spans="2:2" s="221" customFormat="1" ht="12.75" x14ac:dyDescent="0.2">
      <c r="B39169" s="1168"/>
    </row>
    <row r="39170" spans="2:2" s="221" customFormat="1" ht="12.75" x14ac:dyDescent="0.2">
      <c r="B39170" s="1168"/>
    </row>
    <row r="39171" spans="2:2" s="221" customFormat="1" ht="12.75" x14ac:dyDescent="0.2">
      <c r="B39171" s="1168"/>
    </row>
    <row r="39172" spans="2:2" s="221" customFormat="1" ht="12.75" x14ac:dyDescent="0.2">
      <c r="B39172" s="1168"/>
    </row>
    <row r="39173" spans="2:2" s="221" customFormat="1" ht="12.75" x14ac:dyDescent="0.2">
      <c r="B39173" s="1168"/>
    </row>
    <row r="39174" spans="2:2" s="221" customFormat="1" ht="12.75" x14ac:dyDescent="0.2">
      <c r="B39174" s="1168"/>
    </row>
    <row r="39175" spans="2:2" s="221" customFormat="1" ht="12.75" x14ac:dyDescent="0.2">
      <c r="B39175" s="1168"/>
    </row>
    <row r="39176" spans="2:2" s="221" customFormat="1" ht="12.75" x14ac:dyDescent="0.2">
      <c r="B39176" s="1168"/>
    </row>
    <row r="39177" spans="2:2" s="221" customFormat="1" ht="12.75" x14ac:dyDescent="0.2">
      <c r="B39177" s="1168"/>
    </row>
    <row r="39178" spans="2:2" s="221" customFormat="1" ht="12.75" x14ac:dyDescent="0.2">
      <c r="B39178" s="1168"/>
    </row>
    <row r="39179" spans="2:2" s="221" customFormat="1" ht="12.75" x14ac:dyDescent="0.2">
      <c r="B39179" s="1168"/>
    </row>
    <row r="39180" spans="2:2" s="221" customFormat="1" ht="12.75" x14ac:dyDescent="0.2">
      <c r="B39180" s="1168"/>
    </row>
    <row r="39181" spans="2:2" s="221" customFormat="1" ht="12.75" x14ac:dyDescent="0.2">
      <c r="B39181" s="1168"/>
    </row>
    <row r="39182" spans="2:2" s="221" customFormat="1" ht="12.75" x14ac:dyDescent="0.2">
      <c r="B39182" s="1168"/>
    </row>
    <row r="39183" spans="2:2" s="221" customFormat="1" ht="12.75" x14ac:dyDescent="0.2">
      <c r="B39183" s="1168"/>
    </row>
    <row r="39184" spans="2:2" s="221" customFormat="1" ht="12.75" x14ac:dyDescent="0.2">
      <c r="B39184" s="1168"/>
    </row>
    <row r="39185" spans="2:2" s="221" customFormat="1" ht="12.75" x14ac:dyDescent="0.2">
      <c r="B39185" s="1168"/>
    </row>
    <row r="39186" spans="2:2" s="221" customFormat="1" ht="12.75" x14ac:dyDescent="0.2">
      <c r="B39186" s="1168"/>
    </row>
    <row r="39187" spans="2:2" s="221" customFormat="1" ht="12.75" x14ac:dyDescent="0.2">
      <c r="B39187" s="1168"/>
    </row>
    <row r="39188" spans="2:2" s="221" customFormat="1" ht="12.75" x14ac:dyDescent="0.2">
      <c r="B39188" s="1168"/>
    </row>
    <row r="39189" spans="2:2" s="221" customFormat="1" ht="12.75" x14ac:dyDescent="0.2">
      <c r="B39189" s="1168"/>
    </row>
    <row r="39190" spans="2:2" s="221" customFormat="1" ht="12.75" x14ac:dyDescent="0.2">
      <c r="B39190" s="1168"/>
    </row>
    <row r="39191" spans="2:2" s="221" customFormat="1" ht="12.75" x14ac:dyDescent="0.2">
      <c r="B39191" s="1168"/>
    </row>
    <row r="39192" spans="2:2" s="221" customFormat="1" ht="12.75" x14ac:dyDescent="0.2">
      <c r="B39192" s="1168"/>
    </row>
    <row r="39193" spans="2:2" s="221" customFormat="1" ht="12.75" x14ac:dyDescent="0.2">
      <c r="B39193" s="1168"/>
    </row>
    <row r="39194" spans="2:2" s="221" customFormat="1" ht="12.75" x14ac:dyDescent="0.2">
      <c r="B39194" s="1168"/>
    </row>
    <row r="39195" spans="2:2" s="221" customFormat="1" ht="12.75" x14ac:dyDescent="0.2">
      <c r="B39195" s="1168"/>
    </row>
    <row r="39196" spans="2:2" s="221" customFormat="1" ht="12.75" x14ac:dyDescent="0.2">
      <c r="B39196" s="1168"/>
    </row>
    <row r="39197" spans="2:2" s="221" customFormat="1" ht="12.75" x14ac:dyDescent="0.2">
      <c r="B39197" s="1168"/>
    </row>
    <row r="39198" spans="2:2" s="221" customFormat="1" ht="12.75" x14ac:dyDescent="0.2">
      <c r="B39198" s="1168"/>
    </row>
    <row r="39199" spans="2:2" s="221" customFormat="1" ht="12.75" x14ac:dyDescent="0.2">
      <c r="B39199" s="1168"/>
    </row>
    <row r="39200" spans="2:2" s="221" customFormat="1" ht="12.75" x14ac:dyDescent="0.2">
      <c r="B39200" s="1168"/>
    </row>
    <row r="39201" spans="2:2" s="221" customFormat="1" ht="12.75" x14ac:dyDescent="0.2">
      <c r="B39201" s="1168"/>
    </row>
    <row r="39202" spans="2:2" s="221" customFormat="1" ht="12.75" x14ac:dyDescent="0.2">
      <c r="B39202" s="1168"/>
    </row>
    <row r="39203" spans="2:2" s="221" customFormat="1" ht="12.75" x14ac:dyDescent="0.2">
      <c r="B39203" s="1168"/>
    </row>
    <row r="39204" spans="2:2" s="221" customFormat="1" ht="12.75" x14ac:dyDescent="0.2">
      <c r="B39204" s="1168"/>
    </row>
    <row r="39205" spans="2:2" s="221" customFormat="1" ht="12.75" x14ac:dyDescent="0.2">
      <c r="B39205" s="1168"/>
    </row>
    <row r="39206" spans="2:2" s="221" customFormat="1" ht="12.75" x14ac:dyDescent="0.2">
      <c r="B39206" s="1168"/>
    </row>
    <row r="39207" spans="2:2" s="221" customFormat="1" ht="12.75" x14ac:dyDescent="0.2">
      <c r="B39207" s="1168"/>
    </row>
    <row r="39208" spans="2:2" s="221" customFormat="1" ht="12.75" x14ac:dyDescent="0.2">
      <c r="B39208" s="1168"/>
    </row>
    <row r="39209" spans="2:2" s="221" customFormat="1" ht="12.75" x14ac:dyDescent="0.2">
      <c r="B39209" s="1168"/>
    </row>
    <row r="39210" spans="2:2" s="221" customFormat="1" ht="12.75" x14ac:dyDescent="0.2">
      <c r="B39210" s="1168"/>
    </row>
    <row r="39211" spans="2:2" s="221" customFormat="1" ht="12.75" x14ac:dyDescent="0.2">
      <c r="B39211" s="1168"/>
    </row>
    <row r="39212" spans="2:2" s="221" customFormat="1" ht="12.75" x14ac:dyDescent="0.2">
      <c r="B39212" s="1168"/>
    </row>
    <row r="39213" spans="2:2" s="221" customFormat="1" ht="12.75" x14ac:dyDescent="0.2">
      <c r="B39213" s="1168"/>
    </row>
    <row r="39214" spans="2:2" s="221" customFormat="1" ht="12.75" x14ac:dyDescent="0.2">
      <c r="B39214" s="1168"/>
    </row>
    <row r="39215" spans="2:2" s="221" customFormat="1" ht="12.75" x14ac:dyDescent="0.2">
      <c r="B39215" s="1168"/>
    </row>
    <row r="39216" spans="2:2" s="221" customFormat="1" ht="12.75" x14ac:dyDescent="0.2">
      <c r="B39216" s="1168"/>
    </row>
    <row r="39217" spans="2:2" s="221" customFormat="1" ht="12.75" x14ac:dyDescent="0.2">
      <c r="B39217" s="1168"/>
    </row>
    <row r="39218" spans="2:2" s="221" customFormat="1" ht="12.75" x14ac:dyDescent="0.2">
      <c r="B39218" s="1168"/>
    </row>
    <row r="39219" spans="2:2" s="221" customFormat="1" ht="12.75" x14ac:dyDescent="0.2">
      <c r="B39219" s="1168"/>
    </row>
    <row r="39220" spans="2:2" s="221" customFormat="1" ht="12.75" x14ac:dyDescent="0.2">
      <c r="B39220" s="1168"/>
    </row>
    <row r="39221" spans="2:2" s="221" customFormat="1" ht="12.75" x14ac:dyDescent="0.2">
      <c r="B39221" s="1168"/>
    </row>
    <row r="39222" spans="2:2" s="221" customFormat="1" ht="12.75" x14ac:dyDescent="0.2">
      <c r="B39222" s="1168"/>
    </row>
    <row r="39223" spans="2:2" s="221" customFormat="1" ht="12.75" x14ac:dyDescent="0.2">
      <c r="B39223" s="1168"/>
    </row>
    <row r="39224" spans="2:2" s="221" customFormat="1" ht="12.75" x14ac:dyDescent="0.2">
      <c r="B39224" s="1168"/>
    </row>
    <row r="39225" spans="2:2" s="221" customFormat="1" ht="12.75" x14ac:dyDescent="0.2">
      <c r="B39225" s="1168"/>
    </row>
    <row r="39226" spans="2:2" s="221" customFormat="1" ht="12.75" x14ac:dyDescent="0.2">
      <c r="B39226" s="1168"/>
    </row>
    <row r="39227" spans="2:2" s="221" customFormat="1" ht="12.75" x14ac:dyDescent="0.2">
      <c r="B39227" s="1168"/>
    </row>
    <row r="39228" spans="2:2" s="221" customFormat="1" ht="12.75" x14ac:dyDescent="0.2">
      <c r="B39228" s="1168"/>
    </row>
    <row r="39229" spans="2:2" s="221" customFormat="1" ht="12.75" x14ac:dyDescent="0.2">
      <c r="B39229" s="1168"/>
    </row>
    <row r="39230" spans="2:2" s="221" customFormat="1" ht="12.75" x14ac:dyDescent="0.2">
      <c r="B39230" s="1168"/>
    </row>
    <row r="39231" spans="2:2" s="221" customFormat="1" ht="12.75" x14ac:dyDescent="0.2">
      <c r="B39231" s="1168"/>
    </row>
    <row r="39232" spans="2:2" s="221" customFormat="1" ht="12.75" x14ac:dyDescent="0.2">
      <c r="B39232" s="1168"/>
    </row>
    <row r="39233" spans="2:2" s="221" customFormat="1" ht="12.75" x14ac:dyDescent="0.2">
      <c r="B39233" s="1168"/>
    </row>
    <row r="39234" spans="2:2" s="221" customFormat="1" ht="12.75" x14ac:dyDescent="0.2">
      <c r="B39234" s="1168"/>
    </row>
    <row r="39235" spans="2:2" s="221" customFormat="1" ht="12.75" x14ac:dyDescent="0.2">
      <c r="B39235" s="1168"/>
    </row>
    <row r="39236" spans="2:2" s="221" customFormat="1" ht="12.75" x14ac:dyDescent="0.2">
      <c r="B39236" s="1168"/>
    </row>
    <row r="39237" spans="2:2" s="221" customFormat="1" ht="12.75" x14ac:dyDescent="0.2">
      <c r="B39237" s="1168"/>
    </row>
    <row r="39238" spans="2:2" s="221" customFormat="1" ht="12.75" x14ac:dyDescent="0.2">
      <c r="B39238" s="1168"/>
    </row>
    <row r="39239" spans="2:2" s="221" customFormat="1" ht="12.75" x14ac:dyDescent="0.2">
      <c r="B39239" s="1168"/>
    </row>
    <row r="39240" spans="2:2" s="221" customFormat="1" ht="12.75" x14ac:dyDescent="0.2">
      <c r="B39240" s="1168"/>
    </row>
    <row r="39241" spans="2:2" s="221" customFormat="1" ht="12.75" x14ac:dyDescent="0.2">
      <c r="B39241" s="1168"/>
    </row>
    <row r="39242" spans="2:2" s="221" customFormat="1" ht="12.75" x14ac:dyDescent="0.2">
      <c r="B39242" s="1168"/>
    </row>
    <row r="39243" spans="2:2" s="221" customFormat="1" ht="12.75" x14ac:dyDescent="0.2">
      <c r="B39243" s="1168"/>
    </row>
    <row r="39244" spans="2:2" s="221" customFormat="1" ht="12.75" x14ac:dyDescent="0.2">
      <c r="B39244" s="1168"/>
    </row>
    <row r="39245" spans="2:2" s="221" customFormat="1" ht="12.75" x14ac:dyDescent="0.2">
      <c r="B39245" s="1168"/>
    </row>
    <row r="39246" spans="2:2" s="221" customFormat="1" ht="12.75" x14ac:dyDescent="0.2">
      <c r="B39246" s="1168"/>
    </row>
    <row r="39247" spans="2:2" s="221" customFormat="1" ht="12.75" x14ac:dyDescent="0.2">
      <c r="B39247" s="1168"/>
    </row>
    <row r="39248" spans="2:2" s="221" customFormat="1" ht="12.75" x14ac:dyDescent="0.2">
      <c r="B39248" s="1168"/>
    </row>
    <row r="39249" spans="2:2" s="221" customFormat="1" ht="12.75" x14ac:dyDescent="0.2">
      <c r="B39249" s="1168"/>
    </row>
    <row r="39250" spans="2:2" s="221" customFormat="1" ht="12.75" x14ac:dyDescent="0.2">
      <c r="B39250" s="1168"/>
    </row>
    <row r="39251" spans="2:2" s="221" customFormat="1" ht="12.75" x14ac:dyDescent="0.2">
      <c r="B39251" s="1168"/>
    </row>
    <row r="39252" spans="2:2" s="221" customFormat="1" ht="12.75" x14ac:dyDescent="0.2">
      <c r="B39252" s="1168"/>
    </row>
    <row r="39253" spans="2:2" s="221" customFormat="1" ht="12.75" x14ac:dyDescent="0.2">
      <c r="B39253" s="1168"/>
    </row>
    <row r="39254" spans="2:2" s="221" customFormat="1" ht="12.75" x14ac:dyDescent="0.2">
      <c r="B39254" s="1168"/>
    </row>
    <row r="39255" spans="2:2" s="221" customFormat="1" ht="12.75" x14ac:dyDescent="0.2">
      <c r="B39255" s="1168"/>
    </row>
    <row r="39256" spans="2:2" s="221" customFormat="1" ht="12.75" x14ac:dyDescent="0.2">
      <c r="B39256" s="1168"/>
    </row>
    <row r="39257" spans="2:2" s="221" customFormat="1" ht="12.75" x14ac:dyDescent="0.2">
      <c r="B39257" s="1168"/>
    </row>
    <row r="39258" spans="2:2" s="221" customFormat="1" ht="12.75" x14ac:dyDescent="0.2">
      <c r="B39258" s="1168"/>
    </row>
    <row r="39259" spans="2:2" s="221" customFormat="1" ht="12.75" x14ac:dyDescent="0.2">
      <c r="B39259" s="1168"/>
    </row>
    <row r="39260" spans="2:2" s="221" customFormat="1" ht="12.75" x14ac:dyDescent="0.2">
      <c r="B39260" s="1168"/>
    </row>
    <row r="39261" spans="2:2" s="221" customFormat="1" ht="12.75" x14ac:dyDescent="0.2">
      <c r="B39261" s="1168"/>
    </row>
    <row r="39262" spans="2:2" s="221" customFormat="1" ht="12.75" x14ac:dyDescent="0.2">
      <c r="B39262" s="1168"/>
    </row>
    <row r="39263" spans="2:2" s="221" customFormat="1" ht="12.75" x14ac:dyDescent="0.2">
      <c r="B39263" s="1168"/>
    </row>
    <row r="39264" spans="2:2" s="221" customFormat="1" ht="12.75" x14ac:dyDescent="0.2">
      <c r="B39264" s="1168"/>
    </row>
    <row r="39265" spans="2:2" s="221" customFormat="1" ht="12.75" x14ac:dyDescent="0.2">
      <c r="B39265" s="1168"/>
    </row>
    <row r="39266" spans="2:2" s="221" customFormat="1" ht="12.75" x14ac:dyDescent="0.2">
      <c r="B39266" s="1168"/>
    </row>
    <row r="39267" spans="2:2" s="221" customFormat="1" ht="12.75" x14ac:dyDescent="0.2">
      <c r="B39267" s="1168"/>
    </row>
    <row r="39268" spans="2:2" s="221" customFormat="1" ht="12.75" x14ac:dyDescent="0.2">
      <c r="B39268" s="1168"/>
    </row>
    <row r="39269" spans="2:2" s="221" customFormat="1" ht="12.75" x14ac:dyDescent="0.2">
      <c r="B39269" s="1168"/>
    </row>
    <row r="39270" spans="2:2" s="221" customFormat="1" ht="12.75" x14ac:dyDescent="0.2">
      <c r="B39270" s="1168"/>
    </row>
    <row r="39271" spans="2:2" s="221" customFormat="1" ht="12.75" x14ac:dyDescent="0.2">
      <c r="B39271" s="1168"/>
    </row>
    <row r="39272" spans="2:2" s="221" customFormat="1" ht="12.75" x14ac:dyDescent="0.2">
      <c r="B39272" s="1168"/>
    </row>
    <row r="39273" spans="2:2" s="221" customFormat="1" ht="12.75" x14ac:dyDescent="0.2">
      <c r="B39273" s="1168"/>
    </row>
    <row r="39274" spans="2:2" s="221" customFormat="1" ht="12.75" x14ac:dyDescent="0.2">
      <c r="B39274" s="1168"/>
    </row>
    <row r="39275" spans="2:2" s="221" customFormat="1" ht="12.75" x14ac:dyDescent="0.2">
      <c r="B39275" s="1168"/>
    </row>
    <row r="39276" spans="2:2" s="221" customFormat="1" ht="12.75" x14ac:dyDescent="0.2">
      <c r="B39276" s="1168"/>
    </row>
    <row r="39277" spans="2:2" s="221" customFormat="1" ht="12.75" x14ac:dyDescent="0.2">
      <c r="B39277" s="1168"/>
    </row>
    <row r="39278" spans="2:2" s="221" customFormat="1" ht="12.75" x14ac:dyDescent="0.2">
      <c r="B39278" s="1168"/>
    </row>
    <row r="39279" spans="2:2" s="221" customFormat="1" ht="12.75" x14ac:dyDescent="0.2">
      <c r="B39279" s="1168"/>
    </row>
    <row r="39280" spans="2:2" s="221" customFormat="1" ht="12.75" x14ac:dyDescent="0.2">
      <c r="B39280" s="1168"/>
    </row>
    <row r="39281" spans="2:2" s="221" customFormat="1" ht="12.75" x14ac:dyDescent="0.2">
      <c r="B39281" s="1168"/>
    </row>
    <row r="39282" spans="2:2" s="221" customFormat="1" ht="12.75" x14ac:dyDescent="0.2">
      <c r="B39282" s="1168"/>
    </row>
    <row r="39283" spans="2:2" s="221" customFormat="1" ht="12.75" x14ac:dyDescent="0.2">
      <c r="B39283" s="1168"/>
    </row>
    <row r="39284" spans="2:2" s="221" customFormat="1" ht="12.75" x14ac:dyDescent="0.2">
      <c r="B39284" s="1168"/>
    </row>
    <row r="39285" spans="2:2" s="221" customFormat="1" ht="12.75" x14ac:dyDescent="0.2">
      <c r="B39285" s="1168"/>
    </row>
    <row r="39286" spans="2:2" s="221" customFormat="1" ht="12.75" x14ac:dyDescent="0.2">
      <c r="B39286" s="1168"/>
    </row>
    <row r="39287" spans="2:2" s="221" customFormat="1" ht="12.75" x14ac:dyDescent="0.2">
      <c r="B39287" s="1168"/>
    </row>
    <row r="39288" spans="2:2" s="221" customFormat="1" ht="12.75" x14ac:dyDescent="0.2">
      <c r="B39288" s="1168"/>
    </row>
    <row r="39289" spans="2:2" s="221" customFormat="1" ht="12.75" x14ac:dyDescent="0.2">
      <c r="B39289" s="1168"/>
    </row>
    <row r="39290" spans="2:2" s="221" customFormat="1" ht="12.75" x14ac:dyDescent="0.2">
      <c r="B39290" s="1168"/>
    </row>
    <row r="39291" spans="2:2" s="221" customFormat="1" ht="12.75" x14ac:dyDescent="0.2">
      <c r="B39291" s="1168"/>
    </row>
    <row r="39292" spans="2:2" s="221" customFormat="1" ht="12.75" x14ac:dyDescent="0.2">
      <c r="B39292" s="1168"/>
    </row>
    <row r="39293" spans="2:2" s="221" customFormat="1" ht="12.75" x14ac:dyDescent="0.2">
      <c r="B39293" s="1168"/>
    </row>
    <row r="39294" spans="2:2" s="221" customFormat="1" ht="12.75" x14ac:dyDescent="0.2">
      <c r="B39294" s="1168"/>
    </row>
    <row r="39295" spans="2:2" s="221" customFormat="1" ht="12.75" x14ac:dyDescent="0.2">
      <c r="B39295" s="1168"/>
    </row>
    <row r="39296" spans="2:2" s="221" customFormat="1" ht="12.75" x14ac:dyDescent="0.2">
      <c r="B39296" s="1168"/>
    </row>
    <row r="39297" spans="2:2" s="221" customFormat="1" ht="12.75" x14ac:dyDescent="0.2">
      <c r="B39297" s="1168"/>
    </row>
    <row r="39298" spans="2:2" s="221" customFormat="1" ht="12.75" x14ac:dyDescent="0.2">
      <c r="B39298" s="1168"/>
    </row>
    <row r="39299" spans="2:2" s="221" customFormat="1" ht="12.75" x14ac:dyDescent="0.2">
      <c r="B39299" s="1168"/>
    </row>
    <row r="39300" spans="2:2" s="221" customFormat="1" ht="12.75" x14ac:dyDescent="0.2">
      <c r="B39300" s="1168"/>
    </row>
    <row r="39301" spans="2:2" s="221" customFormat="1" ht="12.75" x14ac:dyDescent="0.2">
      <c r="B39301" s="1168"/>
    </row>
    <row r="39302" spans="2:2" s="221" customFormat="1" ht="12.75" x14ac:dyDescent="0.2">
      <c r="B39302" s="1168"/>
    </row>
    <row r="39303" spans="2:2" s="221" customFormat="1" ht="12.75" x14ac:dyDescent="0.2">
      <c r="B39303" s="1168"/>
    </row>
    <row r="39304" spans="2:2" s="221" customFormat="1" ht="12.75" x14ac:dyDescent="0.2">
      <c r="B39304" s="1168"/>
    </row>
    <row r="39305" spans="2:2" s="221" customFormat="1" ht="12.75" x14ac:dyDescent="0.2">
      <c r="B39305" s="1168"/>
    </row>
    <row r="39306" spans="2:2" s="221" customFormat="1" ht="12.75" x14ac:dyDescent="0.2">
      <c r="B39306" s="1168"/>
    </row>
    <row r="39307" spans="2:2" s="221" customFormat="1" ht="12.75" x14ac:dyDescent="0.2">
      <c r="B39307" s="1168"/>
    </row>
    <row r="39308" spans="2:2" s="221" customFormat="1" ht="12.75" x14ac:dyDescent="0.2">
      <c r="B39308" s="1168"/>
    </row>
    <row r="39309" spans="2:2" s="221" customFormat="1" ht="12.75" x14ac:dyDescent="0.2">
      <c r="B39309" s="1168"/>
    </row>
    <row r="39310" spans="2:2" s="221" customFormat="1" ht="12.75" x14ac:dyDescent="0.2">
      <c r="B39310" s="1168"/>
    </row>
    <row r="39311" spans="2:2" s="221" customFormat="1" ht="12.75" x14ac:dyDescent="0.2">
      <c r="B39311" s="1168"/>
    </row>
    <row r="39312" spans="2:2" s="221" customFormat="1" ht="12.75" x14ac:dyDescent="0.2">
      <c r="B39312" s="1168"/>
    </row>
    <row r="39313" spans="2:2" s="221" customFormat="1" ht="12.75" x14ac:dyDescent="0.2">
      <c r="B39313" s="1168"/>
    </row>
    <row r="39314" spans="2:2" s="221" customFormat="1" ht="12.75" x14ac:dyDescent="0.2">
      <c r="B39314" s="1168"/>
    </row>
    <row r="39315" spans="2:2" s="221" customFormat="1" ht="12.75" x14ac:dyDescent="0.2">
      <c r="B39315" s="1168"/>
    </row>
    <row r="39316" spans="2:2" s="221" customFormat="1" ht="12.75" x14ac:dyDescent="0.2">
      <c r="B39316" s="1168"/>
    </row>
    <row r="39317" spans="2:2" s="221" customFormat="1" ht="12.75" x14ac:dyDescent="0.2">
      <c r="B39317" s="1168"/>
    </row>
    <row r="39318" spans="2:2" s="221" customFormat="1" ht="12.75" x14ac:dyDescent="0.2">
      <c r="B39318" s="1168"/>
    </row>
    <row r="39319" spans="2:2" s="221" customFormat="1" ht="12.75" x14ac:dyDescent="0.2">
      <c r="B39319" s="1168"/>
    </row>
    <row r="39320" spans="2:2" s="221" customFormat="1" ht="12.75" x14ac:dyDescent="0.2">
      <c r="B39320" s="1168"/>
    </row>
    <row r="39321" spans="2:2" s="221" customFormat="1" ht="12.75" x14ac:dyDescent="0.2">
      <c r="B39321" s="1168"/>
    </row>
    <row r="39322" spans="2:2" s="221" customFormat="1" ht="12.75" x14ac:dyDescent="0.2">
      <c r="B39322" s="1168"/>
    </row>
    <row r="39323" spans="2:2" s="221" customFormat="1" ht="12.75" x14ac:dyDescent="0.2">
      <c r="B39323" s="1168"/>
    </row>
    <row r="39324" spans="2:2" s="221" customFormat="1" ht="12.75" x14ac:dyDescent="0.2">
      <c r="B39324" s="1168"/>
    </row>
    <row r="39325" spans="2:2" s="221" customFormat="1" ht="12.75" x14ac:dyDescent="0.2">
      <c r="B39325" s="1168"/>
    </row>
    <row r="39326" spans="2:2" s="221" customFormat="1" ht="12.75" x14ac:dyDescent="0.2">
      <c r="B39326" s="1168"/>
    </row>
    <row r="39327" spans="2:2" s="221" customFormat="1" ht="12.75" x14ac:dyDescent="0.2">
      <c r="B39327" s="1168"/>
    </row>
    <row r="39328" spans="2:2" s="221" customFormat="1" ht="12.75" x14ac:dyDescent="0.2">
      <c r="B39328" s="1168"/>
    </row>
    <row r="39329" spans="2:2" s="221" customFormat="1" ht="12.75" x14ac:dyDescent="0.2">
      <c r="B39329" s="1168"/>
    </row>
    <row r="39330" spans="2:2" s="221" customFormat="1" ht="12.75" x14ac:dyDescent="0.2">
      <c r="B39330" s="1168"/>
    </row>
    <row r="39331" spans="2:2" s="221" customFormat="1" ht="12.75" x14ac:dyDescent="0.2">
      <c r="B39331" s="1168"/>
    </row>
    <row r="39332" spans="2:2" s="221" customFormat="1" ht="12.75" x14ac:dyDescent="0.2">
      <c r="B39332" s="1168"/>
    </row>
    <row r="39333" spans="2:2" s="221" customFormat="1" ht="12.75" x14ac:dyDescent="0.2">
      <c r="B39333" s="1168"/>
    </row>
    <row r="39334" spans="2:2" s="221" customFormat="1" ht="12.75" x14ac:dyDescent="0.2">
      <c r="B39334" s="1168"/>
    </row>
    <row r="39335" spans="2:2" s="221" customFormat="1" ht="12.75" x14ac:dyDescent="0.2">
      <c r="B39335" s="1168"/>
    </row>
    <row r="39336" spans="2:2" s="221" customFormat="1" ht="12.75" x14ac:dyDescent="0.2">
      <c r="B39336" s="1168"/>
    </row>
    <row r="39337" spans="2:2" s="221" customFormat="1" ht="12.75" x14ac:dyDescent="0.2">
      <c r="B39337" s="1168"/>
    </row>
    <row r="39338" spans="2:2" s="221" customFormat="1" ht="12.75" x14ac:dyDescent="0.2">
      <c r="B39338" s="1168"/>
    </row>
    <row r="39339" spans="2:2" s="221" customFormat="1" ht="12.75" x14ac:dyDescent="0.2">
      <c r="B39339" s="1168"/>
    </row>
    <row r="39340" spans="2:2" s="221" customFormat="1" ht="12.75" x14ac:dyDescent="0.2">
      <c r="B39340" s="1168"/>
    </row>
    <row r="39341" spans="2:2" s="221" customFormat="1" ht="12.75" x14ac:dyDescent="0.2">
      <c r="B39341" s="1168"/>
    </row>
    <row r="39342" spans="2:2" s="221" customFormat="1" ht="12.75" x14ac:dyDescent="0.2">
      <c r="B39342" s="1168"/>
    </row>
    <row r="39343" spans="2:2" s="221" customFormat="1" ht="12.75" x14ac:dyDescent="0.2">
      <c r="B39343" s="1168"/>
    </row>
    <row r="39344" spans="2:2" s="221" customFormat="1" ht="12.75" x14ac:dyDescent="0.2">
      <c r="B39344" s="1168"/>
    </row>
    <row r="39345" spans="2:2" s="221" customFormat="1" ht="12.75" x14ac:dyDescent="0.2">
      <c r="B39345" s="1168"/>
    </row>
    <row r="39346" spans="2:2" s="221" customFormat="1" ht="12.75" x14ac:dyDescent="0.2">
      <c r="B39346" s="1168"/>
    </row>
    <row r="39347" spans="2:2" s="221" customFormat="1" ht="12.75" x14ac:dyDescent="0.2">
      <c r="B39347" s="1168"/>
    </row>
    <row r="39348" spans="2:2" s="221" customFormat="1" ht="12.75" x14ac:dyDescent="0.2">
      <c r="B39348" s="1168"/>
    </row>
    <row r="39349" spans="2:2" s="221" customFormat="1" ht="12.75" x14ac:dyDescent="0.2">
      <c r="B39349" s="1168"/>
    </row>
    <row r="39350" spans="2:2" s="221" customFormat="1" ht="12.75" x14ac:dyDescent="0.2">
      <c r="B39350" s="1168"/>
    </row>
    <row r="39351" spans="2:2" s="221" customFormat="1" ht="12.75" x14ac:dyDescent="0.2">
      <c r="B39351" s="1168"/>
    </row>
    <row r="39352" spans="2:2" s="221" customFormat="1" ht="12.75" x14ac:dyDescent="0.2">
      <c r="B39352" s="1168"/>
    </row>
    <row r="39353" spans="2:2" s="221" customFormat="1" ht="12.75" x14ac:dyDescent="0.2">
      <c r="B39353" s="1168"/>
    </row>
    <row r="39354" spans="2:2" s="221" customFormat="1" ht="12.75" x14ac:dyDescent="0.2">
      <c r="B39354" s="1168"/>
    </row>
    <row r="39355" spans="2:2" s="221" customFormat="1" ht="12.75" x14ac:dyDescent="0.2">
      <c r="B39355" s="1168"/>
    </row>
    <row r="39356" spans="2:2" s="221" customFormat="1" ht="12.75" x14ac:dyDescent="0.2">
      <c r="B39356" s="1168"/>
    </row>
    <row r="39357" spans="2:2" s="221" customFormat="1" ht="12.75" x14ac:dyDescent="0.2">
      <c r="B39357" s="1168"/>
    </row>
    <row r="39358" spans="2:2" s="221" customFormat="1" ht="12.75" x14ac:dyDescent="0.2">
      <c r="B39358" s="1168"/>
    </row>
    <row r="39359" spans="2:2" s="221" customFormat="1" ht="12.75" x14ac:dyDescent="0.2">
      <c r="B39359" s="1168"/>
    </row>
    <row r="39360" spans="2:2" s="221" customFormat="1" ht="12.75" x14ac:dyDescent="0.2">
      <c r="B39360" s="1168"/>
    </row>
    <row r="39361" spans="2:2" s="221" customFormat="1" ht="12.75" x14ac:dyDescent="0.2">
      <c r="B39361" s="1168"/>
    </row>
    <row r="39362" spans="2:2" s="221" customFormat="1" ht="12.75" x14ac:dyDescent="0.2">
      <c r="B39362" s="1168"/>
    </row>
    <row r="39363" spans="2:2" s="221" customFormat="1" ht="12.75" x14ac:dyDescent="0.2">
      <c r="B39363" s="1168"/>
    </row>
    <row r="39364" spans="2:2" s="221" customFormat="1" ht="12.75" x14ac:dyDescent="0.2">
      <c r="B39364" s="1168"/>
    </row>
    <row r="39365" spans="2:2" s="221" customFormat="1" ht="12.75" x14ac:dyDescent="0.2">
      <c r="B39365" s="1168"/>
    </row>
    <row r="39366" spans="2:2" s="221" customFormat="1" ht="12.75" x14ac:dyDescent="0.2">
      <c r="B39366" s="1168"/>
    </row>
    <row r="39367" spans="2:2" s="221" customFormat="1" ht="12.75" x14ac:dyDescent="0.2">
      <c r="B39367" s="1168"/>
    </row>
    <row r="39368" spans="2:2" s="221" customFormat="1" ht="12.75" x14ac:dyDescent="0.2">
      <c r="B39368" s="1168"/>
    </row>
    <row r="39369" spans="2:2" s="221" customFormat="1" ht="12.75" x14ac:dyDescent="0.2">
      <c r="B39369" s="1168"/>
    </row>
    <row r="39370" spans="2:2" s="221" customFormat="1" ht="12.75" x14ac:dyDescent="0.2">
      <c r="B39370" s="1168"/>
    </row>
    <row r="39371" spans="2:2" s="221" customFormat="1" ht="12.75" x14ac:dyDescent="0.2">
      <c r="B39371" s="1168"/>
    </row>
    <row r="39372" spans="2:2" s="221" customFormat="1" ht="12.75" x14ac:dyDescent="0.2">
      <c r="B39372" s="1168"/>
    </row>
    <row r="39373" spans="2:2" s="221" customFormat="1" ht="12.75" x14ac:dyDescent="0.2">
      <c r="B39373" s="1168"/>
    </row>
    <row r="39374" spans="2:2" s="221" customFormat="1" ht="12.75" x14ac:dyDescent="0.2">
      <c r="B39374" s="1168"/>
    </row>
    <row r="39375" spans="2:2" s="221" customFormat="1" ht="12.75" x14ac:dyDescent="0.2">
      <c r="B39375" s="1168"/>
    </row>
    <row r="39376" spans="2:2" s="221" customFormat="1" ht="12.75" x14ac:dyDescent="0.2">
      <c r="B39376" s="1168"/>
    </row>
    <row r="39377" spans="2:2" s="221" customFormat="1" ht="12.75" x14ac:dyDescent="0.2">
      <c r="B39377" s="1168"/>
    </row>
    <row r="39378" spans="2:2" s="221" customFormat="1" ht="12.75" x14ac:dyDescent="0.2">
      <c r="B39378" s="1168"/>
    </row>
    <row r="39379" spans="2:2" s="221" customFormat="1" ht="12.75" x14ac:dyDescent="0.2">
      <c r="B39379" s="1168"/>
    </row>
    <row r="39380" spans="2:2" s="221" customFormat="1" ht="12.75" x14ac:dyDescent="0.2">
      <c r="B39380" s="1168"/>
    </row>
    <row r="39381" spans="2:2" s="221" customFormat="1" ht="12.75" x14ac:dyDescent="0.2">
      <c r="B39381" s="1168"/>
    </row>
    <row r="39382" spans="2:2" s="221" customFormat="1" ht="12.75" x14ac:dyDescent="0.2">
      <c r="B39382" s="1168"/>
    </row>
    <row r="39383" spans="2:2" s="221" customFormat="1" ht="12.75" x14ac:dyDescent="0.2">
      <c r="B39383" s="1168"/>
    </row>
    <row r="39384" spans="2:2" s="221" customFormat="1" ht="12.75" x14ac:dyDescent="0.2">
      <c r="B39384" s="1168"/>
    </row>
    <row r="39385" spans="2:2" s="221" customFormat="1" ht="12.75" x14ac:dyDescent="0.2">
      <c r="B39385" s="1168"/>
    </row>
    <row r="39386" spans="2:2" s="221" customFormat="1" ht="12.75" x14ac:dyDescent="0.2">
      <c r="B39386" s="1168"/>
    </row>
    <row r="39387" spans="2:2" s="221" customFormat="1" ht="12.75" x14ac:dyDescent="0.2">
      <c r="B39387" s="1168"/>
    </row>
    <row r="39388" spans="2:2" s="221" customFormat="1" ht="12.75" x14ac:dyDescent="0.2">
      <c r="B39388" s="1168"/>
    </row>
    <row r="39389" spans="2:2" s="221" customFormat="1" ht="12.75" x14ac:dyDescent="0.2">
      <c r="B39389" s="1168"/>
    </row>
    <row r="39390" spans="2:2" s="221" customFormat="1" ht="12.75" x14ac:dyDescent="0.2">
      <c r="B39390" s="1168"/>
    </row>
    <row r="39391" spans="2:2" s="221" customFormat="1" ht="12.75" x14ac:dyDescent="0.2">
      <c r="B39391" s="1168"/>
    </row>
    <row r="39392" spans="2:2" s="221" customFormat="1" ht="12.75" x14ac:dyDescent="0.2">
      <c r="B39392" s="1168"/>
    </row>
    <row r="39393" spans="2:2" s="221" customFormat="1" ht="12.75" x14ac:dyDescent="0.2">
      <c r="B39393" s="1168"/>
    </row>
    <row r="39394" spans="2:2" s="221" customFormat="1" ht="12.75" x14ac:dyDescent="0.2">
      <c r="B39394" s="1168"/>
    </row>
    <row r="39395" spans="2:2" s="221" customFormat="1" ht="12.75" x14ac:dyDescent="0.2">
      <c r="B39395" s="1168"/>
    </row>
    <row r="39396" spans="2:2" s="221" customFormat="1" ht="12.75" x14ac:dyDescent="0.2">
      <c r="B39396" s="1168"/>
    </row>
    <row r="39397" spans="2:2" s="221" customFormat="1" ht="12.75" x14ac:dyDescent="0.2">
      <c r="B39397" s="1168"/>
    </row>
    <row r="39398" spans="2:2" s="221" customFormat="1" ht="12.75" x14ac:dyDescent="0.2">
      <c r="B39398" s="1168"/>
    </row>
    <row r="39399" spans="2:2" s="221" customFormat="1" ht="12.75" x14ac:dyDescent="0.2">
      <c r="B39399" s="1168"/>
    </row>
    <row r="39400" spans="2:2" s="221" customFormat="1" ht="12.75" x14ac:dyDescent="0.2">
      <c r="B39400" s="1168"/>
    </row>
    <row r="39401" spans="2:2" s="221" customFormat="1" ht="12.75" x14ac:dyDescent="0.2">
      <c r="B39401" s="1168"/>
    </row>
    <row r="39402" spans="2:2" s="221" customFormat="1" ht="12.75" x14ac:dyDescent="0.2">
      <c r="B39402" s="1168"/>
    </row>
    <row r="39403" spans="2:2" s="221" customFormat="1" ht="12.75" x14ac:dyDescent="0.2">
      <c r="B39403" s="1168"/>
    </row>
    <row r="39404" spans="2:2" s="221" customFormat="1" ht="12.75" x14ac:dyDescent="0.2">
      <c r="B39404" s="1168"/>
    </row>
    <row r="39405" spans="2:2" s="221" customFormat="1" ht="12.75" x14ac:dyDescent="0.2">
      <c r="B39405" s="1168"/>
    </row>
    <row r="39406" spans="2:2" s="221" customFormat="1" ht="12.75" x14ac:dyDescent="0.2">
      <c r="B39406" s="1168"/>
    </row>
    <row r="39407" spans="2:2" s="221" customFormat="1" ht="12.75" x14ac:dyDescent="0.2">
      <c r="B39407" s="1168"/>
    </row>
    <row r="39408" spans="2:2" s="221" customFormat="1" ht="12.75" x14ac:dyDescent="0.2">
      <c r="B39408" s="1168"/>
    </row>
    <row r="39409" spans="2:2" s="221" customFormat="1" ht="12.75" x14ac:dyDescent="0.2">
      <c r="B39409" s="1168"/>
    </row>
    <row r="39410" spans="2:2" s="221" customFormat="1" ht="12.75" x14ac:dyDescent="0.2">
      <c r="B39410" s="1168"/>
    </row>
    <row r="39411" spans="2:2" s="221" customFormat="1" ht="12.75" x14ac:dyDescent="0.2">
      <c r="B39411" s="1168"/>
    </row>
    <row r="39412" spans="2:2" s="221" customFormat="1" ht="12.75" x14ac:dyDescent="0.2">
      <c r="B39412" s="1168"/>
    </row>
    <row r="39413" spans="2:2" s="221" customFormat="1" ht="12.75" x14ac:dyDescent="0.2">
      <c r="B39413" s="1168"/>
    </row>
    <row r="39414" spans="2:2" s="221" customFormat="1" ht="12.75" x14ac:dyDescent="0.2">
      <c r="B39414" s="1168"/>
    </row>
    <row r="39415" spans="2:2" s="221" customFormat="1" ht="12.75" x14ac:dyDescent="0.2">
      <c r="B39415" s="1168"/>
    </row>
    <row r="39416" spans="2:2" s="221" customFormat="1" ht="12.75" x14ac:dyDescent="0.2">
      <c r="B39416" s="1168"/>
    </row>
    <row r="39417" spans="2:2" s="221" customFormat="1" ht="12.75" x14ac:dyDescent="0.2">
      <c r="B39417" s="1168"/>
    </row>
    <row r="39418" spans="2:2" s="221" customFormat="1" ht="12.75" x14ac:dyDescent="0.2">
      <c r="B39418" s="1168"/>
    </row>
    <row r="39419" spans="2:2" s="221" customFormat="1" ht="12.75" x14ac:dyDescent="0.2">
      <c r="B39419" s="1168"/>
    </row>
    <row r="39420" spans="2:2" s="221" customFormat="1" ht="12.75" x14ac:dyDescent="0.2">
      <c r="B39420" s="1168"/>
    </row>
    <row r="39421" spans="2:2" s="221" customFormat="1" ht="12.75" x14ac:dyDescent="0.2">
      <c r="B39421" s="1168"/>
    </row>
    <row r="39422" spans="2:2" s="221" customFormat="1" ht="12.75" x14ac:dyDescent="0.2">
      <c r="B39422" s="1168"/>
    </row>
    <row r="39423" spans="2:2" s="221" customFormat="1" ht="12.75" x14ac:dyDescent="0.2">
      <c r="B39423" s="1168"/>
    </row>
    <row r="39424" spans="2:2" s="221" customFormat="1" ht="12.75" x14ac:dyDescent="0.2">
      <c r="B39424" s="1168"/>
    </row>
    <row r="39425" spans="2:2" s="221" customFormat="1" ht="12.75" x14ac:dyDescent="0.2">
      <c r="B39425" s="1168"/>
    </row>
    <row r="39426" spans="2:2" s="221" customFormat="1" ht="12.75" x14ac:dyDescent="0.2">
      <c r="B39426" s="1168"/>
    </row>
    <row r="39427" spans="2:2" s="221" customFormat="1" ht="12.75" x14ac:dyDescent="0.2">
      <c r="B39427" s="1168"/>
    </row>
    <row r="39428" spans="2:2" s="221" customFormat="1" ht="12.75" x14ac:dyDescent="0.2">
      <c r="B39428" s="1168"/>
    </row>
    <row r="39429" spans="2:2" s="221" customFormat="1" ht="12.75" x14ac:dyDescent="0.2">
      <c r="B39429" s="1168"/>
    </row>
    <row r="39430" spans="2:2" s="221" customFormat="1" ht="12.75" x14ac:dyDescent="0.2">
      <c r="B39430" s="1168"/>
    </row>
    <row r="39431" spans="2:2" s="221" customFormat="1" ht="12.75" x14ac:dyDescent="0.2">
      <c r="B39431" s="1168"/>
    </row>
    <row r="39432" spans="2:2" s="221" customFormat="1" ht="12.75" x14ac:dyDescent="0.2">
      <c r="B39432" s="1168"/>
    </row>
    <row r="39433" spans="2:2" s="221" customFormat="1" ht="12.75" x14ac:dyDescent="0.2">
      <c r="B39433" s="1168"/>
    </row>
    <row r="39434" spans="2:2" s="221" customFormat="1" ht="12.75" x14ac:dyDescent="0.2">
      <c r="B39434" s="1168"/>
    </row>
    <row r="39435" spans="2:2" s="221" customFormat="1" ht="12.75" x14ac:dyDescent="0.2">
      <c r="B39435" s="1168"/>
    </row>
    <row r="39436" spans="2:2" s="221" customFormat="1" ht="12.75" x14ac:dyDescent="0.2">
      <c r="B39436" s="1168"/>
    </row>
    <row r="39437" spans="2:2" s="221" customFormat="1" ht="12.75" x14ac:dyDescent="0.2">
      <c r="B39437" s="1168"/>
    </row>
    <row r="39438" spans="2:2" s="221" customFormat="1" ht="12.75" x14ac:dyDescent="0.2">
      <c r="B39438" s="1168"/>
    </row>
    <row r="39439" spans="2:2" s="221" customFormat="1" ht="12.75" x14ac:dyDescent="0.2">
      <c r="B39439" s="1168"/>
    </row>
    <row r="39440" spans="2:2" s="221" customFormat="1" ht="12.75" x14ac:dyDescent="0.2">
      <c r="B39440" s="1168"/>
    </row>
    <row r="39441" spans="2:2" s="221" customFormat="1" ht="12.75" x14ac:dyDescent="0.2">
      <c r="B39441" s="1168"/>
    </row>
    <row r="39442" spans="2:2" s="221" customFormat="1" ht="12.75" x14ac:dyDescent="0.2">
      <c r="B39442" s="1168"/>
    </row>
    <row r="39443" spans="2:2" s="221" customFormat="1" ht="12.75" x14ac:dyDescent="0.2">
      <c r="B39443" s="1168"/>
    </row>
    <row r="39444" spans="2:2" s="221" customFormat="1" ht="12.75" x14ac:dyDescent="0.2">
      <c r="B39444" s="1168"/>
    </row>
    <row r="39445" spans="2:2" s="221" customFormat="1" ht="12.75" x14ac:dyDescent="0.2">
      <c r="B39445" s="1168"/>
    </row>
    <row r="39446" spans="2:2" s="221" customFormat="1" ht="12.75" x14ac:dyDescent="0.2">
      <c r="B39446" s="1168"/>
    </row>
    <row r="39447" spans="2:2" s="221" customFormat="1" ht="12.75" x14ac:dyDescent="0.2">
      <c r="B39447" s="1168"/>
    </row>
    <row r="39448" spans="2:2" s="221" customFormat="1" ht="12.75" x14ac:dyDescent="0.2">
      <c r="B39448" s="1168"/>
    </row>
    <row r="39449" spans="2:2" s="221" customFormat="1" ht="12.75" x14ac:dyDescent="0.2">
      <c r="B39449" s="1168"/>
    </row>
    <row r="39450" spans="2:2" s="221" customFormat="1" ht="12.75" x14ac:dyDescent="0.2">
      <c r="B39450" s="1168"/>
    </row>
    <row r="39451" spans="2:2" s="221" customFormat="1" ht="12.75" x14ac:dyDescent="0.2">
      <c r="B39451" s="1168"/>
    </row>
    <row r="39452" spans="2:2" s="221" customFormat="1" ht="12.75" x14ac:dyDescent="0.2">
      <c r="B39452" s="1168"/>
    </row>
    <row r="39453" spans="2:2" s="221" customFormat="1" ht="12.75" x14ac:dyDescent="0.2">
      <c r="B39453" s="1168"/>
    </row>
    <row r="39454" spans="2:2" s="221" customFormat="1" ht="12.75" x14ac:dyDescent="0.2">
      <c r="B39454" s="1168"/>
    </row>
    <row r="39455" spans="2:2" s="221" customFormat="1" ht="12.75" x14ac:dyDescent="0.2">
      <c r="B39455" s="1168"/>
    </row>
    <row r="39456" spans="2:2" s="221" customFormat="1" ht="12.75" x14ac:dyDescent="0.2">
      <c r="B39456" s="1168"/>
    </row>
    <row r="39457" spans="2:2" s="221" customFormat="1" ht="12.75" x14ac:dyDescent="0.2">
      <c r="B39457" s="1168"/>
    </row>
    <row r="39458" spans="2:2" s="221" customFormat="1" ht="12.75" x14ac:dyDescent="0.2">
      <c r="B39458" s="1168"/>
    </row>
    <row r="39459" spans="2:2" s="221" customFormat="1" ht="12.75" x14ac:dyDescent="0.2">
      <c r="B39459" s="1168"/>
    </row>
    <row r="39460" spans="2:2" s="221" customFormat="1" ht="12.75" x14ac:dyDescent="0.2">
      <c r="B39460" s="1168"/>
    </row>
    <row r="39461" spans="2:2" s="221" customFormat="1" ht="12.75" x14ac:dyDescent="0.2">
      <c r="B39461" s="1168"/>
    </row>
    <row r="39462" spans="2:2" s="221" customFormat="1" ht="12.75" x14ac:dyDescent="0.2">
      <c r="B39462" s="1168"/>
    </row>
    <row r="39463" spans="2:2" s="221" customFormat="1" ht="12.75" x14ac:dyDescent="0.2">
      <c r="B39463" s="1168"/>
    </row>
    <row r="39464" spans="2:2" s="221" customFormat="1" ht="12.75" x14ac:dyDescent="0.2">
      <c r="B39464" s="1168"/>
    </row>
    <row r="39465" spans="2:2" s="221" customFormat="1" ht="12.75" x14ac:dyDescent="0.2">
      <c r="B39465" s="1168"/>
    </row>
    <row r="39466" spans="2:2" s="221" customFormat="1" ht="12.75" x14ac:dyDescent="0.2">
      <c r="B39466" s="1168"/>
    </row>
    <row r="39467" spans="2:2" s="221" customFormat="1" ht="12.75" x14ac:dyDescent="0.2">
      <c r="B39467" s="1168"/>
    </row>
    <row r="39468" spans="2:2" s="221" customFormat="1" ht="12.75" x14ac:dyDescent="0.2">
      <c r="B39468" s="1168"/>
    </row>
    <row r="39469" spans="2:2" s="221" customFormat="1" ht="12.75" x14ac:dyDescent="0.2">
      <c r="B39469" s="1168"/>
    </row>
    <row r="39470" spans="2:2" s="221" customFormat="1" ht="12.75" x14ac:dyDescent="0.2">
      <c r="B39470" s="1168"/>
    </row>
    <row r="39471" spans="2:2" s="221" customFormat="1" ht="12.75" x14ac:dyDescent="0.2">
      <c r="B39471" s="1168"/>
    </row>
    <row r="39472" spans="2:2" s="221" customFormat="1" ht="12.75" x14ac:dyDescent="0.2">
      <c r="B39472" s="1168"/>
    </row>
    <row r="39473" spans="2:2" s="221" customFormat="1" ht="12.75" x14ac:dyDescent="0.2">
      <c r="B39473" s="1168"/>
    </row>
    <row r="39474" spans="2:2" s="221" customFormat="1" ht="12.75" x14ac:dyDescent="0.2">
      <c r="B39474" s="1168"/>
    </row>
    <row r="39475" spans="2:2" s="221" customFormat="1" ht="12.75" x14ac:dyDescent="0.2">
      <c r="B39475" s="1168"/>
    </row>
    <row r="39476" spans="2:2" s="221" customFormat="1" ht="12.75" x14ac:dyDescent="0.2">
      <c r="B39476" s="1168"/>
    </row>
    <row r="39477" spans="2:2" s="221" customFormat="1" ht="12.75" x14ac:dyDescent="0.2">
      <c r="B39477" s="1168"/>
    </row>
    <row r="39478" spans="2:2" s="221" customFormat="1" ht="12.75" x14ac:dyDescent="0.2">
      <c r="B39478" s="1168"/>
    </row>
    <row r="39479" spans="2:2" s="221" customFormat="1" ht="12.75" x14ac:dyDescent="0.2">
      <c r="B39479" s="1168"/>
    </row>
    <row r="39480" spans="2:2" s="221" customFormat="1" ht="12.75" x14ac:dyDescent="0.2">
      <c r="B39480" s="1168"/>
    </row>
    <row r="39481" spans="2:2" s="221" customFormat="1" ht="12.75" x14ac:dyDescent="0.2">
      <c r="B39481" s="1168"/>
    </row>
    <row r="39482" spans="2:2" s="221" customFormat="1" ht="12.75" x14ac:dyDescent="0.2">
      <c r="B39482" s="1168"/>
    </row>
    <row r="39483" spans="2:2" s="221" customFormat="1" ht="12.75" x14ac:dyDescent="0.2">
      <c r="B39483" s="1168"/>
    </row>
    <row r="39484" spans="2:2" s="221" customFormat="1" ht="12.75" x14ac:dyDescent="0.2">
      <c r="B39484" s="1168"/>
    </row>
    <row r="39485" spans="2:2" s="221" customFormat="1" ht="12.75" x14ac:dyDescent="0.2">
      <c r="B39485" s="1168"/>
    </row>
    <row r="39486" spans="2:2" s="221" customFormat="1" ht="12.75" x14ac:dyDescent="0.2">
      <c r="B39486" s="1168"/>
    </row>
    <row r="39487" spans="2:2" s="221" customFormat="1" ht="12.75" x14ac:dyDescent="0.2">
      <c r="B39487" s="1168"/>
    </row>
    <row r="39488" spans="2:2" s="221" customFormat="1" ht="12.75" x14ac:dyDescent="0.2">
      <c r="B39488" s="1168"/>
    </row>
    <row r="39489" spans="2:2" s="221" customFormat="1" ht="12.75" x14ac:dyDescent="0.2">
      <c r="B39489" s="1168"/>
    </row>
    <row r="39490" spans="2:2" s="221" customFormat="1" ht="12.75" x14ac:dyDescent="0.2">
      <c r="B39490" s="1168"/>
    </row>
    <row r="39491" spans="2:2" s="221" customFormat="1" ht="12.75" x14ac:dyDescent="0.2">
      <c r="B39491" s="1168"/>
    </row>
    <row r="39492" spans="2:2" s="221" customFormat="1" ht="12.75" x14ac:dyDescent="0.2">
      <c r="B39492" s="1168"/>
    </row>
    <row r="39493" spans="2:2" s="221" customFormat="1" ht="12.75" x14ac:dyDescent="0.2">
      <c r="B39493" s="1168"/>
    </row>
    <row r="39494" spans="2:2" s="221" customFormat="1" ht="12.75" x14ac:dyDescent="0.2">
      <c r="B39494" s="1168"/>
    </row>
    <row r="39495" spans="2:2" s="221" customFormat="1" ht="12.75" x14ac:dyDescent="0.2">
      <c r="B39495" s="1168"/>
    </row>
    <row r="39496" spans="2:2" s="221" customFormat="1" ht="12.75" x14ac:dyDescent="0.2">
      <c r="B39496" s="1168"/>
    </row>
    <row r="39497" spans="2:2" s="221" customFormat="1" ht="12.75" x14ac:dyDescent="0.2">
      <c r="B39497" s="1168"/>
    </row>
    <row r="39498" spans="2:2" s="221" customFormat="1" ht="12.75" x14ac:dyDescent="0.2">
      <c r="B39498" s="1168"/>
    </row>
    <row r="39499" spans="2:2" s="221" customFormat="1" ht="12.75" x14ac:dyDescent="0.2">
      <c r="B39499" s="1168"/>
    </row>
    <row r="39500" spans="2:2" s="221" customFormat="1" ht="12.75" x14ac:dyDescent="0.2">
      <c r="B39500" s="1168"/>
    </row>
    <row r="39501" spans="2:2" s="221" customFormat="1" ht="12.75" x14ac:dyDescent="0.2">
      <c r="B39501" s="1168"/>
    </row>
    <row r="39502" spans="2:2" s="221" customFormat="1" ht="12.75" x14ac:dyDescent="0.2">
      <c r="B39502" s="1168"/>
    </row>
    <row r="39503" spans="2:2" s="221" customFormat="1" ht="12.75" x14ac:dyDescent="0.2">
      <c r="B39503" s="1168"/>
    </row>
    <row r="39504" spans="2:2" s="221" customFormat="1" ht="12.75" x14ac:dyDescent="0.2">
      <c r="B39504" s="1168"/>
    </row>
    <row r="39505" spans="2:2" s="221" customFormat="1" ht="12.75" x14ac:dyDescent="0.2">
      <c r="B39505" s="1168"/>
    </row>
    <row r="39506" spans="2:2" s="221" customFormat="1" ht="12.75" x14ac:dyDescent="0.2">
      <c r="B39506" s="1168"/>
    </row>
    <row r="39507" spans="2:2" s="221" customFormat="1" ht="12.75" x14ac:dyDescent="0.2">
      <c r="B39507" s="1168"/>
    </row>
    <row r="39508" spans="2:2" s="221" customFormat="1" ht="12.75" x14ac:dyDescent="0.2">
      <c r="B39508" s="1168"/>
    </row>
    <row r="39509" spans="2:2" s="221" customFormat="1" ht="12.75" x14ac:dyDescent="0.2">
      <c r="B39509" s="1168"/>
    </row>
    <row r="39510" spans="2:2" s="221" customFormat="1" ht="12.75" x14ac:dyDescent="0.2">
      <c r="B39510" s="1168"/>
    </row>
    <row r="39511" spans="2:2" s="221" customFormat="1" ht="12.75" x14ac:dyDescent="0.2">
      <c r="B39511" s="1168"/>
    </row>
    <row r="39512" spans="2:2" s="221" customFormat="1" ht="12.75" x14ac:dyDescent="0.2">
      <c r="B39512" s="1168"/>
    </row>
    <row r="39513" spans="2:2" s="221" customFormat="1" ht="12.75" x14ac:dyDescent="0.2">
      <c r="B39513" s="1168"/>
    </row>
    <row r="39514" spans="2:2" s="221" customFormat="1" ht="12.75" x14ac:dyDescent="0.2">
      <c r="B39514" s="1168"/>
    </row>
    <row r="39515" spans="2:2" s="221" customFormat="1" ht="12.75" x14ac:dyDescent="0.2">
      <c r="B39515" s="1168"/>
    </row>
    <row r="39516" spans="2:2" s="221" customFormat="1" ht="12.75" x14ac:dyDescent="0.2">
      <c r="B39516" s="1168"/>
    </row>
    <row r="39517" spans="2:2" s="221" customFormat="1" ht="12.75" x14ac:dyDescent="0.2">
      <c r="B39517" s="1168"/>
    </row>
    <row r="39518" spans="2:2" s="221" customFormat="1" ht="12.75" x14ac:dyDescent="0.2">
      <c r="B39518" s="1168"/>
    </row>
    <row r="39519" spans="2:2" s="221" customFormat="1" ht="12.75" x14ac:dyDescent="0.2">
      <c r="B39519" s="1168"/>
    </row>
    <row r="39520" spans="2:2" s="221" customFormat="1" ht="12.75" x14ac:dyDescent="0.2">
      <c r="B39520" s="1168"/>
    </row>
    <row r="39521" spans="2:2" s="221" customFormat="1" ht="12.75" x14ac:dyDescent="0.2">
      <c r="B39521" s="1168"/>
    </row>
    <row r="39522" spans="2:2" s="221" customFormat="1" ht="12.75" x14ac:dyDescent="0.2">
      <c r="B39522" s="1168"/>
    </row>
    <row r="39523" spans="2:2" s="221" customFormat="1" ht="12.75" x14ac:dyDescent="0.2">
      <c r="B39523" s="1168"/>
    </row>
    <row r="39524" spans="2:2" s="221" customFormat="1" ht="12.75" x14ac:dyDescent="0.2">
      <c r="B39524" s="1168"/>
    </row>
    <row r="39525" spans="2:2" s="221" customFormat="1" ht="12.75" x14ac:dyDescent="0.2">
      <c r="B39525" s="1168"/>
    </row>
    <row r="39526" spans="2:2" s="221" customFormat="1" ht="12.75" x14ac:dyDescent="0.2">
      <c r="B39526" s="1168"/>
    </row>
    <row r="39527" spans="2:2" s="221" customFormat="1" ht="12.75" x14ac:dyDescent="0.2">
      <c r="B39527" s="1168"/>
    </row>
    <row r="39528" spans="2:2" s="221" customFormat="1" ht="12.75" x14ac:dyDescent="0.2">
      <c r="B39528" s="1168"/>
    </row>
    <row r="39529" spans="2:2" s="221" customFormat="1" ht="12.75" x14ac:dyDescent="0.2">
      <c r="B39529" s="1168"/>
    </row>
    <row r="39530" spans="2:2" s="221" customFormat="1" ht="12.75" x14ac:dyDescent="0.2">
      <c r="B39530" s="1168"/>
    </row>
    <row r="39531" spans="2:2" s="221" customFormat="1" ht="12.75" x14ac:dyDescent="0.2">
      <c r="B39531" s="1168"/>
    </row>
    <row r="39532" spans="2:2" s="221" customFormat="1" ht="12.75" x14ac:dyDescent="0.2">
      <c r="B39532" s="1168"/>
    </row>
    <row r="39533" spans="2:2" s="221" customFormat="1" ht="12.75" x14ac:dyDescent="0.2">
      <c r="B39533" s="1168"/>
    </row>
    <row r="39534" spans="2:2" s="221" customFormat="1" ht="12.75" x14ac:dyDescent="0.2">
      <c r="B39534" s="1168"/>
    </row>
    <row r="39535" spans="2:2" s="221" customFormat="1" ht="12.75" x14ac:dyDescent="0.2">
      <c r="B39535" s="1168"/>
    </row>
    <row r="39536" spans="2:2" s="221" customFormat="1" ht="12.75" x14ac:dyDescent="0.2">
      <c r="B39536" s="1168"/>
    </row>
    <row r="39537" spans="2:2" s="221" customFormat="1" ht="12.75" x14ac:dyDescent="0.2">
      <c r="B39537" s="1168"/>
    </row>
    <row r="39538" spans="2:2" s="221" customFormat="1" ht="12.75" x14ac:dyDescent="0.2">
      <c r="B39538" s="1168"/>
    </row>
    <row r="39539" spans="2:2" s="221" customFormat="1" ht="12.75" x14ac:dyDescent="0.2">
      <c r="B39539" s="1168"/>
    </row>
    <row r="39540" spans="2:2" s="221" customFormat="1" ht="12.75" x14ac:dyDescent="0.2">
      <c r="B39540" s="1168"/>
    </row>
    <row r="39541" spans="2:2" s="221" customFormat="1" ht="12.75" x14ac:dyDescent="0.2">
      <c r="B39541" s="1168"/>
    </row>
    <row r="39542" spans="2:2" s="221" customFormat="1" ht="12.75" x14ac:dyDescent="0.2">
      <c r="B39542" s="1168"/>
    </row>
    <row r="39543" spans="2:2" s="221" customFormat="1" ht="12.75" x14ac:dyDescent="0.2">
      <c r="B39543" s="1168"/>
    </row>
    <row r="39544" spans="2:2" s="221" customFormat="1" ht="12.75" x14ac:dyDescent="0.2">
      <c r="B39544" s="1168"/>
    </row>
    <row r="39545" spans="2:2" s="221" customFormat="1" ht="12.75" x14ac:dyDescent="0.2">
      <c r="B39545" s="1168"/>
    </row>
    <row r="39546" spans="2:2" s="221" customFormat="1" ht="12.75" x14ac:dyDescent="0.2">
      <c r="B39546" s="1168"/>
    </row>
    <row r="39547" spans="2:2" s="221" customFormat="1" ht="12.75" x14ac:dyDescent="0.2">
      <c r="B39547" s="1168"/>
    </row>
    <row r="39548" spans="2:2" s="221" customFormat="1" ht="12.75" x14ac:dyDescent="0.2">
      <c r="B39548" s="1168"/>
    </row>
    <row r="39549" spans="2:2" s="221" customFormat="1" ht="12.75" x14ac:dyDescent="0.2">
      <c r="B39549" s="1168"/>
    </row>
    <row r="39550" spans="2:2" s="221" customFormat="1" ht="12.75" x14ac:dyDescent="0.2">
      <c r="B39550" s="1168"/>
    </row>
    <row r="39551" spans="2:2" s="221" customFormat="1" ht="12.75" x14ac:dyDescent="0.2">
      <c r="B39551" s="1168"/>
    </row>
    <row r="39552" spans="2:2" s="221" customFormat="1" ht="12.75" x14ac:dyDescent="0.2">
      <c r="B39552" s="1168"/>
    </row>
    <row r="39553" spans="2:2" s="221" customFormat="1" ht="12.75" x14ac:dyDescent="0.2">
      <c r="B39553" s="1168"/>
    </row>
    <row r="39554" spans="2:2" s="221" customFormat="1" ht="12.75" x14ac:dyDescent="0.2">
      <c r="B39554" s="1168"/>
    </row>
    <row r="39555" spans="2:2" s="221" customFormat="1" ht="12.75" x14ac:dyDescent="0.2">
      <c r="B39555" s="1168"/>
    </row>
    <row r="39556" spans="2:2" s="221" customFormat="1" ht="12.75" x14ac:dyDescent="0.2">
      <c r="B39556" s="1168"/>
    </row>
    <row r="39557" spans="2:2" s="221" customFormat="1" ht="12.75" x14ac:dyDescent="0.2">
      <c r="B39557" s="1168"/>
    </row>
    <row r="39558" spans="2:2" s="221" customFormat="1" ht="12.75" x14ac:dyDescent="0.2">
      <c r="B39558" s="1168"/>
    </row>
    <row r="39559" spans="2:2" s="221" customFormat="1" ht="12.75" x14ac:dyDescent="0.2">
      <c r="B39559" s="1168"/>
    </row>
    <row r="39560" spans="2:2" s="221" customFormat="1" ht="12.75" x14ac:dyDescent="0.2">
      <c r="B39560" s="1168"/>
    </row>
    <row r="39561" spans="2:2" s="221" customFormat="1" ht="12.75" x14ac:dyDescent="0.2">
      <c r="B39561" s="1168"/>
    </row>
    <row r="39562" spans="2:2" s="221" customFormat="1" ht="12.75" x14ac:dyDescent="0.2">
      <c r="B39562" s="1168"/>
    </row>
    <row r="39563" spans="2:2" s="221" customFormat="1" ht="12.75" x14ac:dyDescent="0.2">
      <c r="B39563" s="1168"/>
    </row>
    <row r="39564" spans="2:2" s="221" customFormat="1" ht="12.75" x14ac:dyDescent="0.2">
      <c r="B39564" s="1168"/>
    </row>
    <row r="39565" spans="2:2" s="221" customFormat="1" ht="12.75" x14ac:dyDescent="0.2">
      <c r="B39565" s="1168"/>
    </row>
    <row r="39566" spans="2:2" s="221" customFormat="1" ht="12.75" x14ac:dyDescent="0.2">
      <c r="B39566" s="1168"/>
    </row>
    <row r="39567" spans="2:2" s="221" customFormat="1" ht="12.75" x14ac:dyDescent="0.2">
      <c r="B39567" s="1168"/>
    </row>
    <row r="39568" spans="2:2" s="221" customFormat="1" ht="12.75" x14ac:dyDescent="0.2">
      <c r="B39568" s="1168"/>
    </row>
    <row r="39569" spans="2:2" s="221" customFormat="1" ht="12.75" x14ac:dyDescent="0.2">
      <c r="B39569" s="1168"/>
    </row>
    <row r="39570" spans="2:2" s="221" customFormat="1" ht="12.75" x14ac:dyDescent="0.2">
      <c r="B39570" s="1168"/>
    </row>
    <row r="39571" spans="2:2" s="221" customFormat="1" ht="12.75" x14ac:dyDescent="0.2">
      <c r="B39571" s="1168"/>
    </row>
    <row r="39572" spans="2:2" s="221" customFormat="1" ht="12.75" x14ac:dyDescent="0.2">
      <c r="B39572" s="1168"/>
    </row>
    <row r="39573" spans="2:2" s="221" customFormat="1" ht="12.75" x14ac:dyDescent="0.2">
      <c r="B39573" s="1168"/>
    </row>
    <row r="39574" spans="2:2" s="221" customFormat="1" ht="12.75" x14ac:dyDescent="0.2">
      <c r="B39574" s="1168"/>
    </row>
    <row r="39575" spans="2:2" s="221" customFormat="1" ht="12.75" x14ac:dyDescent="0.2">
      <c r="B39575" s="1168"/>
    </row>
    <row r="39576" spans="2:2" s="221" customFormat="1" ht="12.75" x14ac:dyDescent="0.2">
      <c r="B39576" s="1168"/>
    </row>
    <row r="39577" spans="2:2" s="221" customFormat="1" ht="12.75" x14ac:dyDescent="0.2">
      <c r="B39577" s="1168"/>
    </row>
    <row r="39578" spans="2:2" s="221" customFormat="1" ht="12.75" x14ac:dyDescent="0.2">
      <c r="B39578" s="1168"/>
    </row>
    <row r="39579" spans="2:2" s="221" customFormat="1" ht="12.75" x14ac:dyDescent="0.2">
      <c r="B39579" s="1168"/>
    </row>
    <row r="39580" spans="2:2" s="221" customFormat="1" ht="12.75" x14ac:dyDescent="0.2">
      <c r="B39580" s="1168"/>
    </row>
    <row r="39581" spans="2:2" s="221" customFormat="1" ht="12.75" x14ac:dyDescent="0.2">
      <c r="B39581" s="1168"/>
    </row>
    <row r="39582" spans="2:2" s="221" customFormat="1" ht="12.75" x14ac:dyDescent="0.2">
      <c r="B39582" s="1168"/>
    </row>
    <row r="39583" spans="2:2" s="221" customFormat="1" ht="12.75" x14ac:dyDescent="0.2">
      <c r="B39583" s="1168"/>
    </row>
    <row r="39584" spans="2:2" s="221" customFormat="1" ht="12.75" x14ac:dyDescent="0.2">
      <c r="B39584" s="1168"/>
    </row>
    <row r="39585" spans="2:2" s="221" customFormat="1" ht="12.75" x14ac:dyDescent="0.2">
      <c r="B39585" s="1168"/>
    </row>
    <row r="39586" spans="2:2" s="221" customFormat="1" ht="12.75" x14ac:dyDescent="0.2">
      <c r="B39586" s="1168"/>
    </row>
    <row r="39587" spans="2:2" s="221" customFormat="1" ht="12.75" x14ac:dyDescent="0.2">
      <c r="B39587" s="1168"/>
    </row>
    <row r="39588" spans="2:2" s="221" customFormat="1" ht="12.75" x14ac:dyDescent="0.2">
      <c r="B39588" s="1168"/>
    </row>
    <row r="39589" spans="2:2" s="221" customFormat="1" ht="12.75" x14ac:dyDescent="0.2">
      <c r="B39589" s="1168"/>
    </row>
    <row r="39590" spans="2:2" s="221" customFormat="1" ht="12.75" x14ac:dyDescent="0.2">
      <c r="B39590" s="1168"/>
    </row>
    <row r="39591" spans="2:2" s="221" customFormat="1" ht="12.75" x14ac:dyDescent="0.2">
      <c r="B39591" s="1168"/>
    </row>
    <row r="39592" spans="2:2" s="221" customFormat="1" ht="12.75" x14ac:dyDescent="0.2">
      <c r="B39592" s="1168"/>
    </row>
    <row r="39593" spans="2:2" s="221" customFormat="1" ht="12.75" x14ac:dyDescent="0.2">
      <c r="B39593" s="1168"/>
    </row>
    <row r="39594" spans="2:2" s="221" customFormat="1" ht="12.75" x14ac:dyDescent="0.2">
      <c r="B39594" s="1168"/>
    </row>
    <row r="39595" spans="2:2" s="221" customFormat="1" ht="12.75" x14ac:dyDescent="0.2">
      <c r="B39595" s="1168"/>
    </row>
    <row r="39596" spans="2:2" s="221" customFormat="1" ht="12.75" x14ac:dyDescent="0.2">
      <c r="B39596" s="1168"/>
    </row>
    <row r="39597" spans="2:2" s="221" customFormat="1" ht="12.75" x14ac:dyDescent="0.2">
      <c r="B39597" s="1168"/>
    </row>
    <row r="39598" spans="2:2" s="221" customFormat="1" ht="12.75" x14ac:dyDescent="0.2">
      <c r="B39598" s="1168"/>
    </row>
    <row r="39599" spans="2:2" s="221" customFormat="1" ht="12.75" x14ac:dyDescent="0.2">
      <c r="B39599" s="1168"/>
    </row>
    <row r="39600" spans="2:2" s="221" customFormat="1" ht="12.75" x14ac:dyDescent="0.2">
      <c r="B39600" s="1168"/>
    </row>
    <row r="39601" spans="2:2" s="221" customFormat="1" ht="12.75" x14ac:dyDescent="0.2">
      <c r="B39601" s="1168"/>
    </row>
    <row r="39602" spans="2:2" s="221" customFormat="1" ht="12.75" x14ac:dyDescent="0.2">
      <c r="B39602" s="1168"/>
    </row>
    <row r="39603" spans="2:2" s="221" customFormat="1" ht="12.75" x14ac:dyDescent="0.2">
      <c r="B39603" s="1168"/>
    </row>
    <row r="39604" spans="2:2" s="221" customFormat="1" ht="12.75" x14ac:dyDescent="0.2">
      <c r="B39604" s="1168"/>
    </row>
    <row r="39605" spans="2:2" s="221" customFormat="1" ht="12.75" x14ac:dyDescent="0.2">
      <c r="B39605" s="1168"/>
    </row>
    <row r="39606" spans="2:2" s="221" customFormat="1" ht="12.75" x14ac:dyDescent="0.2">
      <c r="B39606" s="1168"/>
    </row>
    <row r="39607" spans="2:2" s="221" customFormat="1" ht="12.75" x14ac:dyDescent="0.2">
      <c r="B39607" s="1168"/>
    </row>
    <row r="39608" spans="2:2" s="221" customFormat="1" ht="12.75" x14ac:dyDescent="0.2">
      <c r="B39608" s="1168"/>
    </row>
    <row r="39609" spans="2:2" s="221" customFormat="1" ht="12.75" x14ac:dyDescent="0.2">
      <c r="B39609" s="1168"/>
    </row>
    <row r="39610" spans="2:2" s="221" customFormat="1" ht="12.75" x14ac:dyDescent="0.2">
      <c r="B39610" s="1168"/>
    </row>
    <row r="39611" spans="2:2" s="221" customFormat="1" ht="12.75" x14ac:dyDescent="0.2">
      <c r="B39611" s="1168"/>
    </row>
    <row r="39612" spans="2:2" s="221" customFormat="1" ht="12.75" x14ac:dyDescent="0.2">
      <c r="B39612" s="1168"/>
    </row>
    <row r="39613" spans="2:2" s="221" customFormat="1" ht="12.75" x14ac:dyDescent="0.2">
      <c r="B39613" s="1168"/>
    </row>
    <row r="39614" spans="2:2" s="221" customFormat="1" ht="12.75" x14ac:dyDescent="0.2">
      <c r="B39614" s="1168"/>
    </row>
    <row r="39615" spans="2:2" s="221" customFormat="1" ht="12.75" x14ac:dyDescent="0.2">
      <c r="B39615" s="1168"/>
    </row>
    <row r="39616" spans="2:2" s="221" customFormat="1" ht="12.75" x14ac:dyDescent="0.2">
      <c r="B39616" s="1168"/>
    </row>
    <row r="39617" spans="2:2" s="221" customFormat="1" ht="12.75" x14ac:dyDescent="0.2">
      <c r="B39617" s="1168"/>
    </row>
    <row r="39618" spans="2:2" s="221" customFormat="1" ht="12.75" x14ac:dyDescent="0.2">
      <c r="B39618" s="1168"/>
    </row>
    <row r="39619" spans="2:2" s="221" customFormat="1" ht="12.75" x14ac:dyDescent="0.2">
      <c r="B39619" s="1168"/>
    </row>
    <row r="39620" spans="2:2" s="221" customFormat="1" ht="12.75" x14ac:dyDescent="0.2">
      <c r="B39620" s="1168"/>
    </row>
    <row r="39621" spans="2:2" s="221" customFormat="1" ht="12.75" x14ac:dyDescent="0.2">
      <c r="B39621" s="1168"/>
    </row>
    <row r="39622" spans="2:2" s="221" customFormat="1" ht="12.75" x14ac:dyDescent="0.2">
      <c r="B39622" s="1168"/>
    </row>
    <row r="39623" spans="2:2" s="221" customFormat="1" ht="12.75" x14ac:dyDescent="0.2">
      <c r="B39623" s="1168"/>
    </row>
    <row r="39624" spans="2:2" s="221" customFormat="1" ht="12.75" x14ac:dyDescent="0.2">
      <c r="B39624" s="1168"/>
    </row>
    <row r="39625" spans="2:2" s="221" customFormat="1" ht="12.75" x14ac:dyDescent="0.2">
      <c r="B39625" s="1168"/>
    </row>
    <row r="39626" spans="2:2" s="221" customFormat="1" ht="12.75" x14ac:dyDescent="0.2">
      <c r="B39626" s="1168"/>
    </row>
    <row r="39627" spans="2:2" s="221" customFormat="1" ht="12.75" x14ac:dyDescent="0.2">
      <c r="B39627" s="1168"/>
    </row>
    <row r="39628" spans="2:2" s="221" customFormat="1" ht="12.75" x14ac:dyDescent="0.2">
      <c r="B39628" s="1168"/>
    </row>
    <row r="39629" spans="2:2" s="221" customFormat="1" ht="12.75" x14ac:dyDescent="0.2">
      <c r="B39629" s="1168"/>
    </row>
    <row r="39630" spans="2:2" s="221" customFormat="1" ht="12.75" x14ac:dyDescent="0.2">
      <c r="B39630" s="1168"/>
    </row>
    <row r="39631" spans="2:2" s="221" customFormat="1" ht="12.75" x14ac:dyDescent="0.2">
      <c r="B39631" s="1168"/>
    </row>
    <row r="39632" spans="2:2" s="221" customFormat="1" ht="12.75" x14ac:dyDescent="0.2">
      <c r="B39632" s="1168"/>
    </row>
    <row r="39633" spans="2:2" s="221" customFormat="1" ht="12.75" x14ac:dyDescent="0.2">
      <c r="B39633" s="1168"/>
    </row>
    <row r="39634" spans="2:2" s="221" customFormat="1" ht="12.75" x14ac:dyDescent="0.2">
      <c r="B39634" s="1168"/>
    </row>
    <row r="39635" spans="2:2" s="221" customFormat="1" ht="12.75" x14ac:dyDescent="0.2">
      <c r="B39635" s="1168"/>
    </row>
    <row r="39636" spans="2:2" s="221" customFormat="1" ht="12.75" x14ac:dyDescent="0.2">
      <c r="B39636" s="1168"/>
    </row>
    <row r="39637" spans="2:2" s="221" customFormat="1" ht="12.75" x14ac:dyDescent="0.2">
      <c r="B39637" s="1168"/>
    </row>
    <row r="39638" spans="2:2" s="221" customFormat="1" ht="12.75" x14ac:dyDescent="0.2">
      <c r="B39638" s="1168"/>
    </row>
    <row r="39639" spans="2:2" s="221" customFormat="1" ht="12.75" x14ac:dyDescent="0.2">
      <c r="B39639" s="1168"/>
    </row>
    <row r="39640" spans="2:2" s="221" customFormat="1" ht="12.75" x14ac:dyDescent="0.2">
      <c r="B39640" s="1168"/>
    </row>
    <row r="39641" spans="2:2" s="221" customFormat="1" ht="12.75" x14ac:dyDescent="0.2">
      <c r="B39641" s="1168"/>
    </row>
    <row r="39642" spans="2:2" s="221" customFormat="1" ht="12.75" x14ac:dyDescent="0.2">
      <c r="B39642" s="1168"/>
    </row>
    <row r="39643" spans="2:2" s="221" customFormat="1" ht="12.75" x14ac:dyDescent="0.2">
      <c r="B39643" s="1168"/>
    </row>
    <row r="39644" spans="2:2" s="221" customFormat="1" ht="12.75" x14ac:dyDescent="0.2">
      <c r="B39644" s="1168"/>
    </row>
    <row r="39645" spans="2:2" s="221" customFormat="1" ht="12.75" x14ac:dyDescent="0.2">
      <c r="B39645" s="1168"/>
    </row>
    <row r="39646" spans="2:2" s="221" customFormat="1" ht="12.75" x14ac:dyDescent="0.2">
      <c r="B39646" s="1168"/>
    </row>
    <row r="39647" spans="2:2" s="221" customFormat="1" ht="12.75" x14ac:dyDescent="0.2">
      <c r="B39647" s="1168"/>
    </row>
    <row r="39648" spans="2:2" s="221" customFormat="1" ht="12.75" x14ac:dyDescent="0.2">
      <c r="B39648" s="1168"/>
    </row>
    <row r="39649" spans="2:2" s="221" customFormat="1" ht="12.75" x14ac:dyDescent="0.2">
      <c r="B39649" s="1168"/>
    </row>
    <row r="39650" spans="2:2" s="221" customFormat="1" ht="12.75" x14ac:dyDescent="0.2">
      <c r="B39650" s="1168"/>
    </row>
    <row r="39651" spans="2:2" s="221" customFormat="1" ht="12.75" x14ac:dyDescent="0.2">
      <c r="B39651" s="1168"/>
    </row>
    <row r="39652" spans="2:2" s="221" customFormat="1" ht="12.75" x14ac:dyDescent="0.2">
      <c r="B39652" s="1168"/>
    </row>
    <row r="39653" spans="2:2" s="221" customFormat="1" ht="12.75" x14ac:dyDescent="0.2">
      <c r="B39653" s="1168"/>
    </row>
    <row r="39654" spans="2:2" s="221" customFormat="1" ht="12.75" x14ac:dyDescent="0.2">
      <c r="B39654" s="1168"/>
    </row>
    <row r="39655" spans="2:2" s="221" customFormat="1" ht="12.75" x14ac:dyDescent="0.2">
      <c r="B39655" s="1168"/>
    </row>
    <row r="39656" spans="2:2" s="221" customFormat="1" ht="12.75" x14ac:dyDescent="0.2">
      <c r="B39656" s="1168"/>
    </row>
    <row r="39657" spans="2:2" s="221" customFormat="1" ht="12.75" x14ac:dyDescent="0.2">
      <c r="B39657" s="1168"/>
    </row>
    <row r="39658" spans="2:2" s="221" customFormat="1" ht="12.75" x14ac:dyDescent="0.2">
      <c r="B39658" s="1168"/>
    </row>
    <row r="39659" spans="2:2" s="221" customFormat="1" ht="12.75" x14ac:dyDescent="0.2">
      <c r="B39659" s="1168"/>
    </row>
    <row r="39660" spans="2:2" s="221" customFormat="1" ht="12.75" x14ac:dyDescent="0.2">
      <c r="B39660" s="1168"/>
    </row>
    <row r="39661" spans="2:2" s="221" customFormat="1" ht="12.75" x14ac:dyDescent="0.2">
      <c r="B39661" s="1168"/>
    </row>
    <row r="39662" spans="2:2" s="221" customFormat="1" ht="12.75" x14ac:dyDescent="0.2">
      <c r="B39662" s="1168"/>
    </row>
    <row r="39663" spans="2:2" s="221" customFormat="1" ht="12.75" x14ac:dyDescent="0.2">
      <c r="B39663" s="1168"/>
    </row>
    <row r="39664" spans="2:2" s="221" customFormat="1" ht="12.75" x14ac:dyDescent="0.2">
      <c r="B39664" s="1168"/>
    </row>
    <row r="39665" spans="2:2" s="221" customFormat="1" ht="12.75" x14ac:dyDescent="0.2">
      <c r="B39665" s="1168"/>
    </row>
    <row r="39666" spans="2:2" s="221" customFormat="1" ht="12.75" x14ac:dyDescent="0.2">
      <c r="B39666" s="1168"/>
    </row>
    <row r="39667" spans="2:2" s="221" customFormat="1" ht="12.75" x14ac:dyDescent="0.2">
      <c r="B39667" s="1168"/>
    </row>
    <row r="39668" spans="2:2" s="221" customFormat="1" ht="12.75" x14ac:dyDescent="0.2">
      <c r="B39668" s="1168"/>
    </row>
    <row r="39669" spans="2:2" s="221" customFormat="1" ht="12.75" x14ac:dyDescent="0.2">
      <c r="B39669" s="1168"/>
    </row>
    <row r="39670" spans="2:2" s="221" customFormat="1" ht="12.75" x14ac:dyDescent="0.2">
      <c r="B39670" s="1168"/>
    </row>
    <row r="39671" spans="2:2" s="221" customFormat="1" ht="12.75" x14ac:dyDescent="0.2">
      <c r="B39671" s="1168"/>
    </row>
    <row r="39672" spans="2:2" s="221" customFormat="1" ht="12.75" x14ac:dyDescent="0.2">
      <c r="B39672" s="1168"/>
    </row>
    <row r="39673" spans="2:2" s="221" customFormat="1" ht="12.75" x14ac:dyDescent="0.2">
      <c r="B39673" s="1168"/>
    </row>
    <row r="39674" spans="2:2" s="221" customFormat="1" ht="12.75" x14ac:dyDescent="0.2">
      <c r="B39674" s="1168"/>
    </row>
    <row r="39675" spans="2:2" s="221" customFormat="1" ht="12.75" x14ac:dyDescent="0.2">
      <c r="B39675" s="1168"/>
    </row>
    <row r="39676" spans="2:2" s="221" customFormat="1" ht="12.75" x14ac:dyDescent="0.2">
      <c r="B39676" s="1168"/>
    </row>
    <row r="39677" spans="2:2" s="221" customFormat="1" ht="12.75" x14ac:dyDescent="0.2">
      <c r="B39677" s="1168"/>
    </row>
    <row r="39678" spans="2:2" s="221" customFormat="1" ht="12.75" x14ac:dyDescent="0.2">
      <c r="B39678" s="1168"/>
    </row>
    <row r="39679" spans="2:2" s="221" customFormat="1" ht="12.75" x14ac:dyDescent="0.2">
      <c r="B39679" s="1168"/>
    </row>
    <row r="39680" spans="2:2" s="221" customFormat="1" ht="12.75" x14ac:dyDescent="0.2">
      <c r="B39680" s="1168"/>
    </row>
    <row r="39681" spans="2:2" s="221" customFormat="1" ht="12.75" x14ac:dyDescent="0.2">
      <c r="B39681" s="1168"/>
    </row>
    <row r="39682" spans="2:2" s="221" customFormat="1" ht="12.75" x14ac:dyDescent="0.2">
      <c r="B39682" s="1168"/>
    </row>
    <row r="39683" spans="2:2" s="221" customFormat="1" ht="12.75" x14ac:dyDescent="0.2">
      <c r="B39683" s="1168"/>
    </row>
    <row r="39684" spans="2:2" s="221" customFormat="1" ht="12.75" x14ac:dyDescent="0.2">
      <c r="B39684" s="1168"/>
    </row>
    <row r="39685" spans="2:2" s="221" customFormat="1" ht="12.75" x14ac:dyDescent="0.2">
      <c r="B39685" s="1168"/>
    </row>
    <row r="39686" spans="2:2" s="221" customFormat="1" ht="12.75" x14ac:dyDescent="0.2">
      <c r="B39686" s="1168"/>
    </row>
    <row r="39687" spans="2:2" s="221" customFormat="1" ht="12.75" x14ac:dyDescent="0.2">
      <c r="B39687" s="1168"/>
    </row>
    <row r="39688" spans="2:2" s="221" customFormat="1" ht="12.75" x14ac:dyDescent="0.2">
      <c r="B39688" s="1168"/>
    </row>
    <row r="39689" spans="2:2" s="221" customFormat="1" ht="12.75" x14ac:dyDescent="0.2">
      <c r="B39689" s="1168"/>
    </row>
    <row r="39690" spans="2:2" s="221" customFormat="1" ht="12.75" x14ac:dyDescent="0.2">
      <c r="B39690" s="1168"/>
    </row>
    <row r="39691" spans="2:2" s="221" customFormat="1" ht="12.75" x14ac:dyDescent="0.2">
      <c r="B39691" s="1168"/>
    </row>
    <row r="39692" spans="2:2" s="221" customFormat="1" ht="12.75" x14ac:dyDescent="0.2">
      <c r="B39692" s="1168"/>
    </row>
    <row r="39693" spans="2:2" s="221" customFormat="1" ht="12.75" x14ac:dyDescent="0.2">
      <c r="B39693" s="1168"/>
    </row>
    <row r="39694" spans="2:2" s="221" customFormat="1" ht="12.75" x14ac:dyDescent="0.2">
      <c r="B39694" s="1168"/>
    </row>
    <row r="39695" spans="2:2" s="221" customFormat="1" ht="12.75" x14ac:dyDescent="0.2">
      <c r="B39695" s="1168"/>
    </row>
    <row r="39696" spans="2:2" s="221" customFormat="1" ht="12.75" x14ac:dyDescent="0.2">
      <c r="B39696" s="1168"/>
    </row>
    <row r="39697" spans="2:2" s="221" customFormat="1" ht="12.75" x14ac:dyDescent="0.2">
      <c r="B39697" s="1168"/>
    </row>
    <row r="39698" spans="2:2" s="221" customFormat="1" ht="12.75" x14ac:dyDescent="0.2">
      <c r="B39698" s="1168"/>
    </row>
    <row r="39699" spans="2:2" s="221" customFormat="1" ht="12.75" x14ac:dyDescent="0.2">
      <c r="B39699" s="1168"/>
    </row>
    <row r="39700" spans="2:2" s="221" customFormat="1" ht="12.75" x14ac:dyDescent="0.2">
      <c r="B39700" s="1168"/>
    </row>
    <row r="39701" spans="2:2" s="221" customFormat="1" ht="12.75" x14ac:dyDescent="0.2">
      <c r="B39701" s="1168"/>
    </row>
    <row r="39702" spans="2:2" s="221" customFormat="1" ht="12.75" x14ac:dyDescent="0.2">
      <c r="B39702" s="1168"/>
    </row>
    <row r="39703" spans="2:2" s="221" customFormat="1" ht="12.75" x14ac:dyDescent="0.2">
      <c r="B39703" s="1168"/>
    </row>
    <row r="39704" spans="2:2" s="221" customFormat="1" ht="12.75" x14ac:dyDescent="0.2">
      <c r="B39704" s="1168"/>
    </row>
    <row r="39705" spans="2:2" s="221" customFormat="1" ht="12.75" x14ac:dyDescent="0.2">
      <c r="B39705" s="1168"/>
    </row>
    <row r="39706" spans="2:2" s="221" customFormat="1" ht="12.75" x14ac:dyDescent="0.2">
      <c r="B39706" s="1168"/>
    </row>
    <row r="39707" spans="2:2" s="221" customFormat="1" ht="12.75" x14ac:dyDescent="0.2">
      <c r="B39707" s="1168"/>
    </row>
    <row r="39708" spans="2:2" s="221" customFormat="1" ht="12.75" x14ac:dyDescent="0.2">
      <c r="B39708" s="1168"/>
    </row>
    <row r="39709" spans="2:2" s="221" customFormat="1" ht="12.75" x14ac:dyDescent="0.2">
      <c r="B39709" s="1168"/>
    </row>
    <row r="39710" spans="2:2" s="221" customFormat="1" ht="12.75" x14ac:dyDescent="0.2">
      <c r="B39710" s="1168"/>
    </row>
    <row r="39711" spans="2:2" s="221" customFormat="1" ht="12.75" x14ac:dyDescent="0.2">
      <c r="B39711" s="1168"/>
    </row>
    <row r="39712" spans="2:2" s="221" customFormat="1" ht="12.75" x14ac:dyDescent="0.2">
      <c r="B39712" s="1168"/>
    </row>
    <row r="39713" spans="2:2" s="221" customFormat="1" ht="12.75" x14ac:dyDescent="0.2">
      <c r="B39713" s="1168"/>
    </row>
    <row r="39714" spans="2:2" s="221" customFormat="1" ht="12.75" x14ac:dyDescent="0.2">
      <c r="B39714" s="1168"/>
    </row>
    <row r="39715" spans="2:2" s="221" customFormat="1" ht="12.75" x14ac:dyDescent="0.2">
      <c r="B39715" s="1168"/>
    </row>
    <row r="39716" spans="2:2" s="221" customFormat="1" ht="12.75" x14ac:dyDescent="0.2">
      <c r="B39716" s="1168"/>
    </row>
    <row r="39717" spans="2:2" s="221" customFormat="1" ht="12.75" x14ac:dyDescent="0.2">
      <c r="B39717" s="1168"/>
    </row>
    <row r="39718" spans="2:2" s="221" customFormat="1" ht="12.75" x14ac:dyDescent="0.2">
      <c r="B39718" s="1168"/>
    </row>
    <row r="39719" spans="2:2" s="221" customFormat="1" ht="12.75" x14ac:dyDescent="0.2">
      <c r="B39719" s="1168"/>
    </row>
    <row r="39720" spans="2:2" s="221" customFormat="1" ht="12.75" x14ac:dyDescent="0.2">
      <c r="B39720" s="1168"/>
    </row>
    <row r="39721" spans="2:2" s="221" customFormat="1" ht="12.75" x14ac:dyDescent="0.2">
      <c r="B39721" s="1168"/>
    </row>
    <row r="39722" spans="2:2" s="221" customFormat="1" ht="12.75" x14ac:dyDescent="0.2">
      <c r="B39722" s="1168"/>
    </row>
    <row r="39723" spans="2:2" s="221" customFormat="1" ht="12.75" x14ac:dyDescent="0.2">
      <c r="B39723" s="1168"/>
    </row>
    <row r="39724" spans="2:2" s="221" customFormat="1" ht="12.75" x14ac:dyDescent="0.2">
      <c r="B39724" s="1168"/>
    </row>
    <row r="39725" spans="2:2" s="221" customFormat="1" ht="12.75" x14ac:dyDescent="0.2">
      <c r="B39725" s="1168"/>
    </row>
    <row r="39726" spans="2:2" s="221" customFormat="1" ht="12.75" x14ac:dyDescent="0.2">
      <c r="B39726" s="1168"/>
    </row>
    <row r="39727" spans="2:2" s="221" customFormat="1" ht="12.75" x14ac:dyDescent="0.2">
      <c r="B39727" s="1168"/>
    </row>
    <row r="39728" spans="2:2" s="221" customFormat="1" ht="12.75" x14ac:dyDescent="0.2">
      <c r="B39728" s="1168"/>
    </row>
    <row r="39729" spans="2:2" s="221" customFormat="1" ht="12.75" x14ac:dyDescent="0.2">
      <c r="B39729" s="1168"/>
    </row>
    <row r="39730" spans="2:2" s="221" customFormat="1" ht="12.75" x14ac:dyDescent="0.2">
      <c r="B39730" s="1168"/>
    </row>
    <row r="39731" spans="2:2" s="221" customFormat="1" ht="12.75" x14ac:dyDescent="0.2">
      <c r="B39731" s="1168"/>
    </row>
    <row r="39732" spans="2:2" s="221" customFormat="1" ht="12.75" x14ac:dyDescent="0.2">
      <c r="B39732" s="1168"/>
    </row>
    <row r="39733" spans="2:2" s="221" customFormat="1" ht="12.75" x14ac:dyDescent="0.2">
      <c r="B39733" s="1168"/>
    </row>
    <row r="39734" spans="2:2" s="221" customFormat="1" ht="12.75" x14ac:dyDescent="0.2">
      <c r="B39734" s="1168"/>
    </row>
    <row r="39735" spans="2:2" s="221" customFormat="1" ht="12.75" x14ac:dyDescent="0.2">
      <c r="B39735" s="1168"/>
    </row>
    <row r="39736" spans="2:2" s="221" customFormat="1" ht="12.75" x14ac:dyDescent="0.2">
      <c r="B39736" s="1168"/>
    </row>
    <row r="39737" spans="2:2" s="221" customFormat="1" ht="12.75" x14ac:dyDescent="0.2">
      <c r="B39737" s="1168"/>
    </row>
    <row r="39738" spans="2:2" s="221" customFormat="1" ht="12.75" x14ac:dyDescent="0.2">
      <c r="B39738" s="1168"/>
    </row>
    <row r="39739" spans="2:2" s="221" customFormat="1" ht="12.75" x14ac:dyDescent="0.2">
      <c r="B39739" s="1168"/>
    </row>
    <row r="39740" spans="2:2" s="221" customFormat="1" ht="12.75" x14ac:dyDescent="0.2">
      <c r="B39740" s="1168"/>
    </row>
    <row r="39741" spans="2:2" s="221" customFormat="1" ht="12.75" x14ac:dyDescent="0.2">
      <c r="B39741" s="1168"/>
    </row>
    <row r="39742" spans="2:2" s="221" customFormat="1" ht="12.75" x14ac:dyDescent="0.2">
      <c r="B39742" s="1168"/>
    </row>
    <row r="39743" spans="2:2" s="221" customFormat="1" ht="12.75" x14ac:dyDescent="0.2">
      <c r="B39743" s="1168"/>
    </row>
    <row r="39744" spans="2:2" s="221" customFormat="1" ht="12.75" x14ac:dyDescent="0.2">
      <c r="B39744" s="1168"/>
    </row>
    <row r="39745" spans="2:2" s="221" customFormat="1" ht="12.75" x14ac:dyDescent="0.2">
      <c r="B39745" s="1168"/>
    </row>
    <row r="39746" spans="2:2" s="221" customFormat="1" ht="12.75" x14ac:dyDescent="0.2">
      <c r="B39746" s="1168"/>
    </row>
    <row r="39747" spans="2:2" s="221" customFormat="1" ht="12.75" x14ac:dyDescent="0.2">
      <c r="B39747" s="1168"/>
    </row>
    <row r="39748" spans="2:2" s="221" customFormat="1" ht="12.75" x14ac:dyDescent="0.2">
      <c r="B39748" s="1168"/>
    </row>
    <row r="39749" spans="2:2" s="221" customFormat="1" ht="12.75" x14ac:dyDescent="0.2">
      <c r="B39749" s="1168"/>
    </row>
    <row r="39750" spans="2:2" s="221" customFormat="1" ht="12.75" x14ac:dyDescent="0.2">
      <c r="B39750" s="1168"/>
    </row>
    <row r="39751" spans="2:2" s="221" customFormat="1" ht="12.75" x14ac:dyDescent="0.2">
      <c r="B39751" s="1168"/>
    </row>
    <row r="39752" spans="2:2" s="221" customFormat="1" ht="12.75" x14ac:dyDescent="0.2">
      <c r="B39752" s="1168"/>
    </row>
    <row r="39753" spans="2:2" s="221" customFormat="1" ht="12.75" x14ac:dyDescent="0.2">
      <c r="B39753" s="1168"/>
    </row>
    <row r="39754" spans="2:2" s="221" customFormat="1" ht="12.75" x14ac:dyDescent="0.2">
      <c r="B39754" s="1168"/>
    </row>
    <row r="39755" spans="2:2" s="221" customFormat="1" ht="12.75" x14ac:dyDescent="0.2">
      <c r="B39755" s="1168"/>
    </row>
    <row r="39756" spans="2:2" s="221" customFormat="1" ht="12.75" x14ac:dyDescent="0.2">
      <c r="B39756" s="1168"/>
    </row>
    <row r="39757" spans="2:2" s="221" customFormat="1" ht="12.75" x14ac:dyDescent="0.2">
      <c r="B39757" s="1168"/>
    </row>
    <row r="39758" spans="2:2" s="221" customFormat="1" ht="12.75" x14ac:dyDescent="0.2">
      <c r="B39758" s="1168"/>
    </row>
    <row r="39759" spans="2:2" s="221" customFormat="1" ht="12.75" x14ac:dyDescent="0.2">
      <c r="B39759" s="1168"/>
    </row>
    <row r="39760" spans="2:2" s="221" customFormat="1" ht="12.75" x14ac:dyDescent="0.2">
      <c r="B39760" s="1168"/>
    </row>
    <row r="39761" spans="2:2" s="221" customFormat="1" ht="12.75" x14ac:dyDescent="0.2">
      <c r="B39761" s="1168"/>
    </row>
    <row r="39762" spans="2:2" s="221" customFormat="1" ht="12.75" x14ac:dyDescent="0.2">
      <c r="B39762" s="1168"/>
    </row>
    <row r="39763" spans="2:2" s="221" customFormat="1" ht="12.75" x14ac:dyDescent="0.2">
      <c r="B39763" s="1168"/>
    </row>
    <row r="39764" spans="2:2" s="221" customFormat="1" ht="12.75" x14ac:dyDescent="0.2">
      <c r="B39764" s="1168"/>
    </row>
    <row r="39765" spans="2:2" s="221" customFormat="1" ht="12.75" x14ac:dyDescent="0.2">
      <c r="B39765" s="1168"/>
    </row>
    <row r="39766" spans="2:2" s="221" customFormat="1" ht="12.75" x14ac:dyDescent="0.2">
      <c r="B39766" s="1168"/>
    </row>
    <row r="39767" spans="2:2" s="221" customFormat="1" ht="12.75" x14ac:dyDescent="0.2">
      <c r="B39767" s="1168"/>
    </row>
    <row r="39768" spans="2:2" s="221" customFormat="1" ht="12.75" x14ac:dyDescent="0.2">
      <c r="B39768" s="1168"/>
    </row>
    <row r="39769" spans="2:2" s="221" customFormat="1" ht="12.75" x14ac:dyDescent="0.2">
      <c r="B39769" s="1168"/>
    </row>
    <row r="39770" spans="2:2" s="221" customFormat="1" ht="12.75" x14ac:dyDescent="0.2">
      <c r="B39770" s="1168"/>
    </row>
    <row r="39771" spans="2:2" s="221" customFormat="1" ht="12.75" x14ac:dyDescent="0.2">
      <c r="B39771" s="1168"/>
    </row>
    <row r="39772" spans="2:2" s="221" customFormat="1" ht="12.75" x14ac:dyDescent="0.2">
      <c r="B39772" s="1168"/>
    </row>
    <row r="39773" spans="2:2" s="221" customFormat="1" ht="12.75" x14ac:dyDescent="0.2">
      <c r="B39773" s="1168"/>
    </row>
    <row r="39774" spans="2:2" s="221" customFormat="1" ht="12.75" x14ac:dyDescent="0.2">
      <c r="B39774" s="1168"/>
    </row>
    <row r="39775" spans="2:2" s="221" customFormat="1" ht="12.75" x14ac:dyDescent="0.2">
      <c r="B39775" s="1168"/>
    </row>
    <row r="39776" spans="2:2" s="221" customFormat="1" ht="12.75" x14ac:dyDescent="0.2">
      <c r="B39776" s="1168"/>
    </row>
    <row r="39777" spans="2:2" s="221" customFormat="1" ht="12.75" x14ac:dyDescent="0.2">
      <c r="B39777" s="1168"/>
    </row>
    <row r="39778" spans="2:2" s="221" customFormat="1" ht="12.75" x14ac:dyDescent="0.2">
      <c r="B39778" s="1168"/>
    </row>
    <row r="39779" spans="2:2" s="221" customFormat="1" ht="12.75" x14ac:dyDescent="0.2">
      <c r="B39779" s="1168"/>
    </row>
    <row r="39780" spans="2:2" s="221" customFormat="1" ht="12.75" x14ac:dyDescent="0.2">
      <c r="B39780" s="1168"/>
    </row>
    <row r="39781" spans="2:2" s="221" customFormat="1" ht="12.75" x14ac:dyDescent="0.2">
      <c r="B39781" s="1168"/>
    </row>
    <row r="39782" spans="2:2" s="221" customFormat="1" ht="12.75" x14ac:dyDescent="0.2">
      <c r="B39782" s="1168"/>
    </row>
    <row r="39783" spans="2:2" s="221" customFormat="1" ht="12.75" x14ac:dyDescent="0.2">
      <c r="B39783" s="1168"/>
    </row>
    <row r="39784" spans="2:2" s="221" customFormat="1" ht="12.75" x14ac:dyDescent="0.2">
      <c r="B39784" s="1168"/>
    </row>
    <row r="39785" spans="2:2" s="221" customFormat="1" ht="12.75" x14ac:dyDescent="0.2">
      <c r="B39785" s="1168"/>
    </row>
    <row r="39786" spans="2:2" s="221" customFormat="1" ht="12.75" x14ac:dyDescent="0.2">
      <c r="B39786" s="1168"/>
    </row>
    <row r="39787" spans="2:2" s="221" customFormat="1" ht="12.75" x14ac:dyDescent="0.2">
      <c r="B39787" s="1168"/>
    </row>
    <row r="39788" spans="2:2" s="221" customFormat="1" ht="12.75" x14ac:dyDescent="0.2">
      <c r="B39788" s="1168"/>
    </row>
    <row r="39789" spans="2:2" s="221" customFormat="1" ht="12.75" x14ac:dyDescent="0.2">
      <c r="B39789" s="1168"/>
    </row>
    <row r="39790" spans="2:2" s="221" customFormat="1" ht="12.75" x14ac:dyDescent="0.2">
      <c r="B39790" s="1168"/>
    </row>
    <row r="39791" spans="2:2" s="221" customFormat="1" ht="12.75" x14ac:dyDescent="0.2">
      <c r="B39791" s="1168"/>
    </row>
    <row r="39792" spans="2:2" s="221" customFormat="1" ht="12.75" x14ac:dyDescent="0.2">
      <c r="B39792" s="1168"/>
    </row>
    <row r="39793" spans="2:2" s="221" customFormat="1" ht="12.75" x14ac:dyDescent="0.2">
      <c r="B39793" s="1168"/>
    </row>
    <row r="39794" spans="2:2" s="221" customFormat="1" ht="12.75" x14ac:dyDescent="0.2">
      <c r="B39794" s="1168"/>
    </row>
    <row r="39795" spans="2:2" s="221" customFormat="1" ht="12.75" x14ac:dyDescent="0.2">
      <c r="B39795" s="1168"/>
    </row>
    <row r="39796" spans="2:2" s="221" customFormat="1" ht="12.75" x14ac:dyDescent="0.2">
      <c r="B39796" s="1168"/>
    </row>
    <row r="39797" spans="2:2" s="221" customFormat="1" ht="12.75" x14ac:dyDescent="0.2">
      <c r="B39797" s="1168"/>
    </row>
    <row r="39798" spans="2:2" s="221" customFormat="1" ht="12.75" x14ac:dyDescent="0.2">
      <c r="B39798" s="1168"/>
    </row>
    <row r="39799" spans="2:2" s="221" customFormat="1" ht="12.75" x14ac:dyDescent="0.2">
      <c r="B39799" s="1168"/>
    </row>
    <row r="39800" spans="2:2" s="221" customFormat="1" ht="12.75" x14ac:dyDescent="0.2">
      <c r="B39800" s="1168"/>
    </row>
    <row r="39801" spans="2:2" s="221" customFormat="1" ht="12.75" x14ac:dyDescent="0.2">
      <c r="B39801" s="1168"/>
    </row>
    <row r="39802" spans="2:2" s="221" customFormat="1" ht="12.75" x14ac:dyDescent="0.2">
      <c r="B39802" s="1168"/>
    </row>
    <row r="39803" spans="2:2" s="221" customFormat="1" ht="12.75" x14ac:dyDescent="0.2">
      <c r="B39803" s="1168"/>
    </row>
    <row r="39804" spans="2:2" s="221" customFormat="1" ht="12.75" x14ac:dyDescent="0.2">
      <c r="B39804" s="1168"/>
    </row>
    <row r="39805" spans="2:2" s="221" customFormat="1" ht="12.75" x14ac:dyDescent="0.2">
      <c r="B39805" s="1168"/>
    </row>
    <row r="39806" spans="2:2" s="221" customFormat="1" ht="12.75" x14ac:dyDescent="0.2">
      <c r="B39806" s="1168"/>
    </row>
    <row r="39807" spans="2:2" s="221" customFormat="1" ht="12.75" x14ac:dyDescent="0.2">
      <c r="B39807" s="1168"/>
    </row>
    <row r="39808" spans="2:2" s="221" customFormat="1" ht="12.75" x14ac:dyDescent="0.2">
      <c r="B39808" s="1168"/>
    </row>
    <row r="39809" spans="2:2" s="221" customFormat="1" ht="12.75" x14ac:dyDescent="0.2">
      <c r="B39809" s="1168"/>
    </row>
    <row r="39810" spans="2:2" s="221" customFormat="1" ht="12.75" x14ac:dyDescent="0.2">
      <c r="B39810" s="1168"/>
    </row>
    <row r="39811" spans="2:2" s="221" customFormat="1" ht="12.75" x14ac:dyDescent="0.2">
      <c r="B39811" s="1168"/>
    </row>
    <row r="39812" spans="2:2" s="221" customFormat="1" ht="12.75" x14ac:dyDescent="0.2">
      <c r="B39812" s="1168"/>
    </row>
    <row r="39813" spans="2:2" s="221" customFormat="1" ht="12.75" x14ac:dyDescent="0.2">
      <c r="B39813" s="1168"/>
    </row>
    <row r="39814" spans="2:2" s="221" customFormat="1" ht="12.75" x14ac:dyDescent="0.2">
      <c r="B39814" s="1168"/>
    </row>
    <row r="39815" spans="2:2" s="221" customFormat="1" ht="12.75" x14ac:dyDescent="0.2">
      <c r="B39815" s="1168"/>
    </row>
    <row r="39816" spans="2:2" s="221" customFormat="1" ht="12.75" x14ac:dyDescent="0.2">
      <c r="B39816" s="1168"/>
    </row>
    <row r="39817" spans="2:2" s="221" customFormat="1" ht="12.75" x14ac:dyDescent="0.2">
      <c r="B39817" s="1168"/>
    </row>
    <row r="39818" spans="2:2" s="221" customFormat="1" ht="12.75" x14ac:dyDescent="0.2">
      <c r="B39818" s="1168"/>
    </row>
    <row r="39819" spans="2:2" s="221" customFormat="1" ht="12.75" x14ac:dyDescent="0.2">
      <c r="B39819" s="1168"/>
    </row>
    <row r="39820" spans="2:2" s="221" customFormat="1" ht="12.75" x14ac:dyDescent="0.2">
      <c r="B39820" s="1168"/>
    </row>
    <row r="39821" spans="2:2" s="221" customFormat="1" ht="12.75" x14ac:dyDescent="0.2">
      <c r="B39821" s="1168"/>
    </row>
    <row r="39822" spans="2:2" s="221" customFormat="1" ht="12.75" x14ac:dyDescent="0.2">
      <c r="B39822" s="1168"/>
    </row>
    <row r="39823" spans="2:2" s="221" customFormat="1" ht="12.75" x14ac:dyDescent="0.2">
      <c r="B39823" s="1168"/>
    </row>
    <row r="39824" spans="2:2" s="221" customFormat="1" ht="12.75" x14ac:dyDescent="0.2">
      <c r="B39824" s="1168"/>
    </row>
    <row r="39825" spans="2:2" s="221" customFormat="1" ht="12.75" x14ac:dyDescent="0.2">
      <c r="B39825" s="1168"/>
    </row>
    <row r="39826" spans="2:2" s="221" customFormat="1" ht="12.75" x14ac:dyDescent="0.2">
      <c r="B39826" s="1168"/>
    </row>
    <row r="39827" spans="2:2" s="221" customFormat="1" ht="12.75" x14ac:dyDescent="0.2">
      <c r="B39827" s="1168"/>
    </row>
    <row r="39828" spans="2:2" s="221" customFormat="1" ht="12.75" x14ac:dyDescent="0.2">
      <c r="B39828" s="1168"/>
    </row>
    <row r="39829" spans="2:2" s="221" customFormat="1" ht="12.75" x14ac:dyDescent="0.2">
      <c r="B39829" s="1168"/>
    </row>
    <row r="39830" spans="2:2" s="221" customFormat="1" ht="12.75" x14ac:dyDescent="0.2">
      <c r="B39830" s="1168"/>
    </row>
    <row r="39831" spans="2:2" s="221" customFormat="1" ht="12.75" x14ac:dyDescent="0.2">
      <c r="B39831" s="1168"/>
    </row>
    <row r="39832" spans="2:2" s="221" customFormat="1" ht="12.75" x14ac:dyDescent="0.2">
      <c r="B39832" s="1168"/>
    </row>
    <row r="39833" spans="2:2" s="221" customFormat="1" ht="12.75" x14ac:dyDescent="0.2">
      <c r="B39833" s="1168"/>
    </row>
    <row r="39834" spans="2:2" s="221" customFormat="1" ht="12.75" x14ac:dyDescent="0.2">
      <c r="B39834" s="1168"/>
    </row>
    <row r="39835" spans="2:2" s="221" customFormat="1" ht="12.75" x14ac:dyDescent="0.2">
      <c r="B39835" s="1168"/>
    </row>
    <row r="39836" spans="2:2" s="221" customFormat="1" ht="12.75" x14ac:dyDescent="0.2">
      <c r="B39836" s="1168"/>
    </row>
    <row r="39837" spans="2:2" s="221" customFormat="1" ht="12.75" x14ac:dyDescent="0.2">
      <c r="B39837" s="1168"/>
    </row>
    <row r="39838" spans="2:2" s="221" customFormat="1" ht="12.75" x14ac:dyDescent="0.2">
      <c r="B39838" s="1168"/>
    </row>
    <row r="39839" spans="2:2" s="221" customFormat="1" ht="12.75" x14ac:dyDescent="0.2">
      <c r="B39839" s="1168"/>
    </row>
    <row r="39840" spans="2:2" s="221" customFormat="1" ht="12.75" x14ac:dyDescent="0.2">
      <c r="B39840" s="1168"/>
    </row>
    <row r="39841" spans="2:2" s="221" customFormat="1" ht="12.75" x14ac:dyDescent="0.2">
      <c r="B39841" s="1168"/>
    </row>
    <row r="39842" spans="2:2" s="221" customFormat="1" ht="12.75" x14ac:dyDescent="0.2">
      <c r="B39842" s="1168"/>
    </row>
    <row r="39843" spans="2:2" s="221" customFormat="1" ht="12.75" x14ac:dyDescent="0.2">
      <c r="B39843" s="1168"/>
    </row>
    <row r="39844" spans="2:2" s="221" customFormat="1" ht="12.75" x14ac:dyDescent="0.2">
      <c r="B39844" s="1168"/>
    </row>
    <row r="39845" spans="2:2" s="221" customFormat="1" ht="12.75" x14ac:dyDescent="0.2">
      <c r="B39845" s="1168"/>
    </row>
    <row r="39846" spans="2:2" s="221" customFormat="1" ht="12.75" x14ac:dyDescent="0.2">
      <c r="B39846" s="1168"/>
    </row>
    <row r="39847" spans="2:2" s="221" customFormat="1" ht="12.75" x14ac:dyDescent="0.2">
      <c r="B39847" s="1168"/>
    </row>
    <row r="39848" spans="2:2" s="221" customFormat="1" ht="12.75" x14ac:dyDescent="0.2">
      <c r="B39848" s="1168"/>
    </row>
    <row r="39849" spans="2:2" s="221" customFormat="1" ht="12.75" x14ac:dyDescent="0.2">
      <c r="B39849" s="1168"/>
    </row>
    <row r="39850" spans="2:2" s="221" customFormat="1" ht="12.75" x14ac:dyDescent="0.2">
      <c r="B39850" s="1168"/>
    </row>
    <row r="39851" spans="2:2" s="221" customFormat="1" ht="12.75" x14ac:dyDescent="0.2">
      <c r="B39851" s="1168"/>
    </row>
    <row r="39852" spans="2:2" s="221" customFormat="1" ht="12.75" x14ac:dyDescent="0.2">
      <c r="B39852" s="1168"/>
    </row>
    <row r="39853" spans="2:2" s="221" customFormat="1" ht="12.75" x14ac:dyDescent="0.2">
      <c r="B39853" s="1168"/>
    </row>
    <row r="39854" spans="2:2" s="221" customFormat="1" ht="12.75" x14ac:dyDescent="0.2">
      <c r="B39854" s="1168"/>
    </row>
    <row r="39855" spans="2:2" s="221" customFormat="1" ht="12.75" x14ac:dyDescent="0.2">
      <c r="B39855" s="1168"/>
    </row>
    <row r="39856" spans="2:2" s="221" customFormat="1" ht="12.75" x14ac:dyDescent="0.2">
      <c r="B39856" s="1168"/>
    </row>
    <row r="39857" spans="2:2" s="221" customFormat="1" ht="12.75" x14ac:dyDescent="0.2">
      <c r="B39857" s="1168"/>
    </row>
    <row r="39858" spans="2:2" s="221" customFormat="1" ht="12.75" x14ac:dyDescent="0.2">
      <c r="B39858" s="1168"/>
    </row>
    <row r="39859" spans="2:2" s="221" customFormat="1" ht="12.75" x14ac:dyDescent="0.2">
      <c r="B39859" s="1168"/>
    </row>
    <row r="39860" spans="2:2" s="221" customFormat="1" ht="12.75" x14ac:dyDescent="0.2">
      <c r="B39860" s="1168"/>
    </row>
    <row r="39861" spans="2:2" s="221" customFormat="1" ht="12.75" x14ac:dyDescent="0.2">
      <c r="B39861" s="1168"/>
    </row>
    <row r="39862" spans="2:2" s="221" customFormat="1" ht="12.75" x14ac:dyDescent="0.2">
      <c r="B39862" s="1168"/>
    </row>
    <row r="39863" spans="2:2" s="221" customFormat="1" ht="12.75" x14ac:dyDescent="0.2">
      <c r="B39863" s="1168"/>
    </row>
    <row r="39864" spans="2:2" s="221" customFormat="1" ht="12.75" x14ac:dyDescent="0.2">
      <c r="B39864" s="1168"/>
    </row>
    <row r="39865" spans="2:2" s="221" customFormat="1" ht="12.75" x14ac:dyDescent="0.2">
      <c r="B39865" s="1168"/>
    </row>
    <row r="39866" spans="2:2" s="221" customFormat="1" ht="12.75" x14ac:dyDescent="0.2">
      <c r="B39866" s="1168"/>
    </row>
    <row r="39867" spans="2:2" s="221" customFormat="1" ht="12.75" x14ac:dyDescent="0.2">
      <c r="B39867" s="1168"/>
    </row>
    <row r="39868" spans="2:2" s="221" customFormat="1" ht="12.75" x14ac:dyDescent="0.2">
      <c r="B39868" s="1168"/>
    </row>
    <row r="39869" spans="2:2" s="221" customFormat="1" ht="12.75" x14ac:dyDescent="0.2">
      <c r="B39869" s="1168"/>
    </row>
    <row r="39870" spans="2:2" s="221" customFormat="1" ht="12.75" x14ac:dyDescent="0.2">
      <c r="B39870" s="1168"/>
    </row>
    <row r="39871" spans="2:2" s="221" customFormat="1" ht="12.75" x14ac:dyDescent="0.2">
      <c r="B39871" s="1168"/>
    </row>
    <row r="39872" spans="2:2" s="221" customFormat="1" ht="12.75" x14ac:dyDescent="0.2">
      <c r="B39872" s="1168"/>
    </row>
    <row r="39873" spans="2:2" s="221" customFormat="1" ht="12.75" x14ac:dyDescent="0.2">
      <c r="B39873" s="1168"/>
    </row>
    <row r="39874" spans="2:2" s="221" customFormat="1" ht="12.75" x14ac:dyDescent="0.2">
      <c r="B39874" s="1168"/>
    </row>
    <row r="39875" spans="2:2" s="221" customFormat="1" ht="12.75" x14ac:dyDescent="0.2">
      <c r="B39875" s="1168"/>
    </row>
    <row r="39876" spans="2:2" s="221" customFormat="1" ht="12.75" x14ac:dyDescent="0.2">
      <c r="B39876" s="1168"/>
    </row>
    <row r="39877" spans="2:2" s="221" customFormat="1" ht="12.75" x14ac:dyDescent="0.2">
      <c r="B39877" s="1168"/>
    </row>
    <row r="39878" spans="2:2" s="221" customFormat="1" ht="12.75" x14ac:dyDescent="0.2">
      <c r="B39878" s="1168"/>
    </row>
    <row r="39879" spans="2:2" s="221" customFormat="1" ht="12.75" x14ac:dyDescent="0.2">
      <c r="B39879" s="1168"/>
    </row>
    <row r="39880" spans="2:2" s="221" customFormat="1" ht="12.75" x14ac:dyDescent="0.2">
      <c r="B39880" s="1168"/>
    </row>
    <row r="39881" spans="2:2" s="221" customFormat="1" ht="12.75" x14ac:dyDescent="0.2">
      <c r="B39881" s="1168"/>
    </row>
    <row r="39882" spans="2:2" s="221" customFormat="1" ht="12.75" x14ac:dyDescent="0.2">
      <c r="B39882" s="1168"/>
    </row>
    <row r="39883" spans="2:2" s="221" customFormat="1" ht="12.75" x14ac:dyDescent="0.2">
      <c r="B39883" s="1168"/>
    </row>
    <row r="39884" spans="2:2" s="221" customFormat="1" ht="12.75" x14ac:dyDescent="0.2">
      <c r="B39884" s="1168"/>
    </row>
    <row r="39885" spans="2:2" s="221" customFormat="1" ht="12.75" x14ac:dyDescent="0.2">
      <c r="B39885" s="1168"/>
    </row>
    <row r="39886" spans="2:2" s="221" customFormat="1" ht="12.75" x14ac:dyDescent="0.2">
      <c r="B39886" s="1168"/>
    </row>
    <row r="39887" spans="2:2" s="221" customFormat="1" ht="12.75" x14ac:dyDescent="0.2">
      <c r="B39887" s="1168"/>
    </row>
    <row r="39888" spans="2:2" s="221" customFormat="1" ht="12.75" x14ac:dyDescent="0.2">
      <c r="B39888" s="1168"/>
    </row>
    <row r="39889" spans="2:2" s="221" customFormat="1" ht="12.75" x14ac:dyDescent="0.2">
      <c r="B39889" s="1168"/>
    </row>
    <row r="39890" spans="2:2" s="221" customFormat="1" ht="12.75" x14ac:dyDescent="0.2">
      <c r="B39890" s="1168"/>
    </row>
    <row r="39891" spans="2:2" s="221" customFormat="1" ht="12.75" x14ac:dyDescent="0.2">
      <c r="B39891" s="1168"/>
    </row>
    <row r="39892" spans="2:2" s="221" customFormat="1" ht="12.75" x14ac:dyDescent="0.2">
      <c r="B39892" s="1168"/>
    </row>
    <row r="39893" spans="2:2" s="221" customFormat="1" ht="12.75" x14ac:dyDescent="0.2">
      <c r="B39893" s="1168"/>
    </row>
    <row r="39894" spans="2:2" s="221" customFormat="1" ht="12.75" x14ac:dyDescent="0.2">
      <c r="B39894" s="1168"/>
    </row>
    <row r="39895" spans="2:2" s="221" customFormat="1" ht="12.75" x14ac:dyDescent="0.2">
      <c r="B39895" s="1168"/>
    </row>
    <row r="39896" spans="2:2" s="221" customFormat="1" ht="12.75" x14ac:dyDescent="0.2">
      <c r="B39896" s="1168"/>
    </row>
    <row r="39897" spans="2:2" s="221" customFormat="1" ht="12.75" x14ac:dyDescent="0.2">
      <c r="B39897" s="1168"/>
    </row>
    <row r="39898" spans="2:2" s="221" customFormat="1" ht="12.75" x14ac:dyDescent="0.2">
      <c r="B39898" s="1168"/>
    </row>
    <row r="39899" spans="2:2" s="221" customFormat="1" ht="12.75" x14ac:dyDescent="0.2">
      <c r="B39899" s="1168"/>
    </row>
    <row r="39900" spans="2:2" s="221" customFormat="1" ht="12.75" x14ac:dyDescent="0.2">
      <c r="B39900" s="1168"/>
    </row>
    <row r="39901" spans="2:2" s="221" customFormat="1" ht="12.75" x14ac:dyDescent="0.2">
      <c r="B39901" s="1168"/>
    </row>
    <row r="39902" spans="2:2" s="221" customFormat="1" ht="12.75" x14ac:dyDescent="0.2">
      <c r="B39902" s="1168"/>
    </row>
    <row r="39903" spans="2:2" s="221" customFormat="1" ht="12.75" x14ac:dyDescent="0.2">
      <c r="B39903" s="1168"/>
    </row>
    <row r="39904" spans="2:2" s="221" customFormat="1" ht="12.75" x14ac:dyDescent="0.2">
      <c r="B39904" s="1168"/>
    </row>
    <row r="39905" spans="2:2" s="221" customFormat="1" ht="12.75" x14ac:dyDescent="0.2">
      <c r="B39905" s="1168"/>
    </row>
    <row r="39906" spans="2:2" s="221" customFormat="1" ht="12.75" x14ac:dyDescent="0.2">
      <c r="B39906" s="1168"/>
    </row>
    <row r="39907" spans="2:2" s="221" customFormat="1" ht="12.75" x14ac:dyDescent="0.2">
      <c r="B39907" s="1168"/>
    </row>
    <row r="39908" spans="2:2" s="221" customFormat="1" ht="12.75" x14ac:dyDescent="0.2">
      <c r="B39908" s="1168"/>
    </row>
    <row r="39909" spans="2:2" s="221" customFormat="1" ht="12.75" x14ac:dyDescent="0.2">
      <c r="B39909" s="1168"/>
    </row>
    <row r="39910" spans="2:2" s="221" customFormat="1" ht="12.75" x14ac:dyDescent="0.2">
      <c r="B39910" s="1168"/>
    </row>
    <row r="39911" spans="2:2" s="221" customFormat="1" ht="12.75" x14ac:dyDescent="0.2">
      <c r="B39911" s="1168"/>
    </row>
    <row r="39912" spans="2:2" s="221" customFormat="1" ht="12.75" x14ac:dyDescent="0.2">
      <c r="B39912" s="1168"/>
    </row>
    <row r="39913" spans="2:2" s="221" customFormat="1" ht="12.75" x14ac:dyDescent="0.2">
      <c r="B39913" s="1168"/>
    </row>
    <row r="39914" spans="2:2" s="221" customFormat="1" ht="12.75" x14ac:dyDescent="0.2">
      <c r="B39914" s="1168"/>
    </row>
    <row r="39915" spans="2:2" s="221" customFormat="1" ht="12.75" x14ac:dyDescent="0.2">
      <c r="B39915" s="1168"/>
    </row>
    <row r="39916" spans="2:2" s="221" customFormat="1" ht="12.75" x14ac:dyDescent="0.2">
      <c r="B39916" s="1168"/>
    </row>
    <row r="39917" spans="2:2" s="221" customFormat="1" ht="12.75" x14ac:dyDescent="0.2">
      <c r="B39917" s="1168"/>
    </row>
    <row r="39918" spans="2:2" s="221" customFormat="1" ht="12.75" x14ac:dyDescent="0.2">
      <c r="B39918" s="1168"/>
    </row>
    <row r="39919" spans="2:2" s="221" customFormat="1" ht="12.75" x14ac:dyDescent="0.2">
      <c r="B39919" s="1168"/>
    </row>
    <row r="39920" spans="2:2" s="221" customFormat="1" ht="12.75" x14ac:dyDescent="0.2">
      <c r="B39920" s="1168"/>
    </row>
    <row r="39921" spans="2:2" s="221" customFormat="1" ht="12.75" x14ac:dyDescent="0.2">
      <c r="B39921" s="1168"/>
    </row>
    <row r="39922" spans="2:2" s="221" customFormat="1" ht="12.75" x14ac:dyDescent="0.2">
      <c r="B39922" s="1168"/>
    </row>
    <row r="39923" spans="2:2" s="221" customFormat="1" ht="12.75" x14ac:dyDescent="0.2">
      <c r="B39923" s="1168"/>
    </row>
    <row r="39924" spans="2:2" s="221" customFormat="1" ht="12.75" x14ac:dyDescent="0.2">
      <c r="B39924" s="1168"/>
    </row>
    <row r="39925" spans="2:2" s="221" customFormat="1" ht="12.75" x14ac:dyDescent="0.2">
      <c r="B39925" s="1168"/>
    </row>
    <row r="39926" spans="2:2" s="221" customFormat="1" ht="12.75" x14ac:dyDescent="0.2">
      <c r="B39926" s="1168"/>
    </row>
    <row r="39927" spans="2:2" s="221" customFormat="1" ht="12.75" x14ac:dyDescent="0.2">
      <c r="B39927" s="1168"/>
    </row>
    <row r="39928" spans="2:2" s="221" customFormat="1" ht="12.75" x14ac:dyDescent="0.2">
      <c r="B39928" s="1168"/>
    </row>
    <row r="39929" spans="2:2" s="221" customFormat="1" ht="12.75" x14ac:dyDescent="0.2">
      <c r="B39929" s="1168"/>
    </row>
    <row r="39930" spans="2:2" s="221" customFormat="1" ht="12.75" x14ac:dyDescent="0.2">
      <c r="B39930" s="1168"/>
    </row>
    <row r="39931" spans="2:2" s="221" customFormat="1" ht="12.75" x14ac:dyDescent="0.2">
      <c r="B39931" s="1168"/>
    </row>
    <row r="39932" spans="2:2" s="221" customFormat="1" ht="12.75" x14ac:dyDescent="0.2">
      <c r="B39932" s="1168"/>
    </row>
    <row r="39933" spans="2:2" s="221" customFormat="1" ht="12.75" x14ac:dyDescent="0.2">
      <c r="B39933" s="1168"/>
    </row>
    <row r="39934" spans="2:2" s="221" customFormat="1" ht="12.75" x14ac:dyDescent="0.2">
      <c r="B39934" s="1168"/>
    </row>
    <row r="39935" spans="2:2" s="221" customFormat="1" ht="12.75" x14ac:dyDescent="0.2">
      <c r="B39935" s="1168"/>
    </row>
    <row r="39936" spans="2:2" s="221" customFormat="1" ht="12.75" x14ac:dyDescent="0.2">
      <c r="B39936" s="1168"/>
    </row>
    <row r="39937" spans="2:2" s="221" customFormat="1" ht="12.75" x14ac:dyDescent="0.2">
      <c r="B39937" s="1168"/>
    </row>
    <row r="39938" spans="2:2" s="221" customFormat="1" ht="12.75" x14ac:dyDescent="0.2">
      <c r="B39938" s="1168"/>
    </row>
    <row r="39939" spans="2:2" s="221" customFormat="1" ht="12.75" x14ac:dyDescent="0.2">
      <c r="B39939" s="1168"/>
    </row>
    <row r="39940" spans="2:2" s="221" customFormat="1" ht="12.75" x14ac:dyDescent="0.2">
      <c r="B39940" s="1168"/>
    </row>
    <row r="39941" spans="2:2" s="221" customFormat="1" ht="12.75" x14ac:dyDescent="0.2">
      <c r="B39941" s="1168"/>
    </row>
    <row r="39942" spans="2:2" s="221" customFormat="1" ht="12.75" x14ac:dyDescent="0.2">
      <c r="B39942" s="1168"/>
    </row>
    <row r="39943" spans="2:2" s="221" customFormat="1" ht="12.75" x14ac:dyDescent="0.2">
      <c r="B39943" s="1168"/>
    </row>
    <row r="39944" spans="2:2" s="221" customFormat="1" ht="12.75" x14ac:dyDescent="0.2">
      <c r="B39944" s="1168"/>
    </row>
    <row r="39945" spans="2:2" s="221" customFormat="1" ht="12.75" x14ac:dyDescent="0.2">
      <c r="B39945" s="1168"/>
    </row>
    <row r="39946" spans="2:2" s="221" customFormat="1" ht="12.75" x14ac:dyDescent="0.2">
      <c r="B39946" s="1168"/>
    </row>
    <row r="39947" spans="2:2" s="221" customFormat="1" ht="12.75" x14ac:dyDescent="0.2">
      <c r="B39947" s="1168"/>
    </row>
    <row r="39948" spans="2:2" s="221" customFormat="1" ht="12.75" x14ac:dyDescent="0.2">
      <c r="B39948" s="1168"/>
    </row>
    <row r="39949" spans="2:2" s="221" customFormat="1" ht="12.75" x14ac:dyDescent="0.2">
      <c r="B39949" s="1168"/>
    </row>
    <row r="39950" spans="2:2" s="221" customFormat="1" ht="12.75" x14ac:dyDescent="0.2">
      <c r="B39950" s="1168"/>
    </row>
    <row r="39951" spans="2:2" s="221" customFormat="1" ht="12.75" x14ac:dyDescent="0.2">
      <c r="B39951" s="1168"/>
    </row>
    <row r="39952" spans="2:2" s="221" customFormat="1" ht="12.75" x14ac:dyDescent="0.2">
      <c r="B39952" s="1168"/>
    </row>
    <row r="39953" spans="2:2" s="221" customFormat="1" ht="12.75" x14ac:dyDescent="0.2">
      <c r="B39953" s="1168"/>
    </row>
    <row r="39954" spans="2:2" s="221" customFormat="1" ht="12.75" x14ac:dyDescent="0.2">
      <c r="B39954" s="1168"/>
    </row>
    <row r="39955" spans="2:2" s="221" customFormat="1" ht="12.75" x14ac:dyDescent="0.2">
      <c r="B39955" s="1168"/>
    </row>
    <row r="39956" spans="2:2" s="221" customFormat="1" ht="12.75" x14ac:dyDescent="0.2">
      <c r="B39956" s="1168"/>
    </row>
    <row r="39957" spans="2:2" s="221" customFormat="1" ht="12.75" x14ac:dyDescent="0.2">
      <c r="B39957" s="1168"/>
    </row>
    <row r="39958" spans="2:2" s="221" customFormat="1" ht="12.75" x14ac:dyDescent="0.2">
      <c r="B39958" s="1168"/>
    </row>
    <row r="39959" spans="2:2" s="221" customFormat="1" ht="12.75" x14ac:dyDescent="0.2">
      <c r="B39959" s="1168"/>
    </row>
    <row r="39960" spans="2:2" s="221" customFormat="1" ht="12.75" x14ac:dyDescent="0.2">
      <c r="B39960" s="1168"/>
    </row>
    <row r="39961" spans="2:2" s="221" customFormat="1" ht="12.75" x14ac:dyDescent="0.2">
      <c r="B39961" s="1168"/>
    </row>
    <row r="39962" spans="2:2" s="221" customFormat="1" ht="12.75" x14ac:dyDescent="0.2">
      <c r="B39962" s="1168"/>
    </row>
    <row r="39963" spans="2:2" s="221" customFormat="1" ht="12.75" x14ac:dyDescent="0.2">
      <c r="B39963" s="1168"/>
    </row>
    <row r="39964" spans="2:2" s="221" customFormat="1" ht="12.75" x14ac:dyDescent="0.2">
      <c r="B39964" s="1168"/>
    </row>
    <row r="39965" spans="2:2" s="221" customFormat="1" ht="12.75" x14ac:dyDescent="0.2">
      <c r="B39965" s="1168"/>
    </row>
    <row r="39966" spans="2:2" s="221" customFormat="1" ht="12.75" x14ac:dyDescent="0.2">
      <c r="B39966" s="1168"/>
    </row>
    <row r="39967" spans="2:2" s="221" customFormat="1" ht="12.75" x14ac:dyDescent="0.2">
      <c r="B39967" s="1168"/>
    </row>
    <row r="39968" spans="2:2" s="221" customFormat="1" ht="12.75" x14ac:dyDescent="0.2">
      <c r="B39968" s="1168"/>
    </row>
    <row r="39969" spans="2:2" s="221" customFormat="1" ht="12.75" x14ac:dyDescent="0.2">
      <c r="B39969" s="1168"/>
    </row>
    <row r="39970" spans="2:2" s="221" customFormat="1" ht="12.75" x14ac:dyDescent="0.2">
      <c r="B39970" s="1168"/>
    </row>
    <row r="39971" spans="2:2" s="221" customFormat="1" ht="12.75" x14ac:dyDescent="0.2">
      <c r="B39971" s="1168"/>
    </row>
    <row r="39972" spans="2:2" s="221" customFormat="1" ht="12.75" x14ac:dyDescent="0.2">
      <c r="B39972" s="1168"/>
    </row>
    <row r="39973" spans="2:2" s="221" customFormat="1" ht="12.75" x14ac:dyDescent="0.2">
      <c r="B39973" s="1168"/>
    </row>
    <row r="39974" spans="2:2" s="221" customFormat="1" ht="12.75" x14ac:dyDescent="0.2">
      <c r="B39974" s="1168"/>
    </row>
    <row r="39975" spans="2:2" s="221" customFormat="1" ht="12.75" x14ac:dyDescent="0.2">
      <c r="B39975" s="1168"/>
    </row>
    <row r="39976" spans="2:2" s="221" customFormat="1" ht="12.75" x14ac:dyDescent="0.2">
      <c r="B39976" s="1168"/>
    </row>
    <row r="39977" spans="2:2" s="221" customFormat="1" ht="12.75" x14ac:dyDescent="0.2">
      <c r="B39977" s="1168"/>
    </row>
    <row r="39978" spans="2:2" s="221" customFormat="1" ht="12.75" x14ac:dyDescent="0.2">
      <c r="B39978" s="1168"/>
    </row>
    <row r="39979" spans="2:2" s="221" customFormat="1" ht="12.75" x14ac:dyDescent="0.2">
      <c r="B39979" s="1168"/>
    </row>
    <row r="39980" spans="2:2" s="221" customFormat="1" ht="12.75" x14ac:dyDescent="0.2">
      <c r="B39980" s="1168"/>
    </row>
    <row r="39981" spans="2:2" s="221" customFormat="1" ht="12.75" x14ac:dyDescent="0.2">
      <c r="B39981" s="1168"/>
    </row>
    <row r="39982" spans="2:2" s="221" customFormat="1" ht="12.75" x14ac:dyDescent="0.2">
      <c r="B39982" s="1168"/>
    </row>
    <row r="39983" spans="2:2" s="221" customFormat="1" ht="12.75" x14ac:dyDescent="0.2">
      <c r="B39983" s="1168"/>
    </row>
    <row r="39984" spans="2:2" s="221" customFormat="1" ht="12.75" x14ac:dyDescent="0.2">
      <c r="B39984" s="1168"/>
    </row>
    <row r="39985" spans="2:2" s="221" customFormat="1" ht="12.75" x14ac:dyDescent="0.2">
      <c r="B39985" s="1168"/>
    </row>
    <row r="39986" spans="2:2" s="221" customFormat="1" ht="12.75" x14ac:dyDescent="0.2">
      <c r="B39986" s="1168"/>
    </row>
    <row r="39987" spans="2:2" s="221" customFormat="1" ht="12.75" x14ac:dyDescent="0.2">
      <c r="B39987" s="1168"/>
    </row>
    <row r="39988" spans="2:2" s="221" customFormat="1" ht="12.75" x14ac:dyDescent="0.2">
      <c r="B39988" s="1168"/>
    </row>
    <row r="39989" spans="2:2" s="221" customFormat="1" ht="12.75" x14ac:dyDescent="0.2">
      <c r="B39989" s="1168"/>
    </row>
    <row r="39990" spans="2:2" s="221" customFormat="1" ht="12.75" x14ac:dyDescent="0.2">
      <c r="B39990" s="1168"/>
    </row>
    <row r="39991" spans="2:2" s="221" customFormat="1" ht="12.75" x14ac:dyDescent="0.2">
      <c r="B39991" s="1168"/>
    </row>
    <row r="39992" spans="2:2" s="221" customFormat="1" ht="12.75" x14ac:dyDescent="0.2">
      <c r="B39992" s="1168"/>
    </row>
    <row r="39993" spans="2:2" s="221" customFormat="1" ht="12.75" x14ac:dyDescent="0.2">
      <c r="B39993" s="1168"/>
    </row>
    <row r="39994" spans="2:2" s="221" customFormat="1" ht="12.75" x14ac:dyDescent="0.2">
      <c r="B39994" s="1168"/>
    </row>
    <row r="39995" spans="2:2" s="221" customFormat="1" ht="12.75" x14ac:dyDescent="0.2">
      <c r="B39995" s="1168"/>
    </row>
    <row r="39996" spans="2:2" s="221" customFormat="1" ht="12.75" x14ac:dyDescent="0.2">
      <c r="B39996" s="1168"/>
    </row>
    <row r="39997" spans="2:2" s="221" customFormat="1" ht="12.75" x14ac:dyDescent="0.2">
      <c r="B39997" s="1168"/>
    </row>
    <row r="39998" spans="2:2" s="221" customFormat="1" ht="12.75" x14ac:dyDescent="0.2">
      <c r="B39998" s="1168"/>
    </row>
    <row r="39999" spans="2:2" s="221" customFormat="1" ht="12.75" x14ac:dyDescent="0.2">
      <c r="B39999" s="1168"/>
    </row>
    <row r="40000" spans="2:2" s="221" customFormat="1" ht="12.75" x14ac:dyDescent="0.2">
      <c r="B40000" s="1168"/>
    </row>
    <row r="40001" spans="2:2" s="221" customFormat="1" ht="12.75" x14ac:dyDescent="0.2">
      <c r="B40001" s="1168"/>
    </row>
    <row r="40002" spans="2:2" s="221" customFormat="1" ht="12.75" x14ac:dyDescent="0.2">
      <c r="B40002" s="1168"/>
    </row>
    <row r="40003" spans="2:2" s="221" customFormat="1" ht="12.75" x14ac:dyDescent="0.2">
      <c r="B40003" s="1168"/>
    </row>
    <row r="40004" spans="2:2" s="221" customFormat="1" ht="12.75" x14ac:dyDescent="0.2">
      <c r="B40004" s="1168"/>
    </row>
    <row r="40005" spans="2:2" s="221" customFormat="1" ht="12.75" x14ac:dyDescent="0.2">
      <c r="B40005" s="1168"/>
    </row>
    <row r="40006" spans="2:2" s="221" customFormat="1" ht="12.75" x14ac:dyDescent="0.2">
      <c r="B40006" s="1168"/>
    </row>
    <row r="40007" spans="2:2" s="221" customFormat="1" ht="12.75" x14ac:dyDescent="0.2">
      <c r="B40007" s="1168"/>
    </row>
    <row r="40008" spans="2:2" s="221" customFormat="1" ht="12.75" x14ac:dyDescent="0.2">
      <c r="B40008" s="1168"/>
    </row>
    <row r="40009" spans="2:2" s="221" customFormat="1" ht="12.75" x14ac:dyDescent="0.2">
      <c r="B40009" s="1168"/>
    </row>
    <row r="40010" spans="2:2" s="221" customFormat="1" ht="12.75" x14ac:dyDescent="0.2">
      <c r="B40010" s="1168"/>
    </row>
    <row r="40011" spans="2:2" s="221" customFormat="1" ht="12.75" x14ac:dyDescent="0.2">
      <c r="B40011" s="1168"/>
    </row>
    <row r="40012" spans="2:2" s="221" customFormat="1" ht="12.75" x14ac:dyDescent="0.2">
      <c r="B40012" s="1168"/>
    </row>
    <row r="40013" spans="2:2" s="221" customFormat="1" ht="12.75" x14ac:dyDescent="0.2">
      <c r="B40013" s="1168"/>
    </row>
    <row r="40014" spans="2:2" s="221" customFormat="1" ht="12.75" x14ac:dyDescent="0.2">
      <c r="B40014" s="1168"/>
    </row>
    <row r="40015" spans="2:2" s="221" customFormat="1" ht="12.75" x14ac:dyDescent="0.2">
      <c r="B40015" s="1168"/>
    </row>
    <row r="40016" spans="2:2" s="221" customFormat="1" ht="12.75" x14ac:dyDescent="0.2">
      <c r="B40016" s="1168"/>
    </row>
    <row r="40017" spans="2:2" s="221" customFormat="1" ht="12.75" x14ac:dyDescent="0.2">
      <c r="B40017" s="1168"/>
    </row>
    <row r="40018" spans="2:2" s="221" customFormat="1" ht="12.75" x14ac:dyDescent="0.2">
      <c r="B40018" s="1168"/>
    </row>
    <row r="40019" spans="2:2" s="221" customFormat="1" ht="12.75" x14ac:dyDescent="0.2">
      <c r="B40019" s="1168"/>
    </row>
    <row r="40020" spans="2:2" s="221" customFormat="1" ht="12.75" x14ac:dyDescent="0.2">
      <c r="B40020" s="1168"/>
    </row>
    <row r="40021" spans="2:2" s="221" customFormat="1" ht="12.75" x14ac:dyDescent="0.2">
      <c r="B40021" s="1168"/>
    </row>
    <row r="40022" spans="2:2" s="221" customFormat="1" ht="12.75" x14ac:dyDescent="0.2">
      <c r="B40022" s="1168"/>
    </row>
    <row r="40023" spans="2:2" s="221" customFormat="1" ht="12.75" x14ac:dyDescent="0.2">
      <c r="B40023" s="1168"/>
    </row>
    <row r="40024" spans="2:2" s="221" customFormat="1" ht="12.75" x14ac:dyDescent="0.2">
      <c r="B40024" s="1168"/>
    </row>
    <row r="40025" spans="2:2" s="221" customFormat="1" ht="12.75" x14ac:dyDescent="0.2">
      <c r="B40025" s="1168"/>
    </row>
    <row r="40026" spans="2:2" s="221" customFormat="1" ht="12.75" x14ac:dyDescent="0.2">
      <c r="B40026" s="1168"/>
    </row>
    <row r="40027" spans="2:2" s="221" customFormat="1" ht="12.75" x14ac:dyDescent="0.2">
      <c r="B40027" s="1168"/>
    </row>
    <row r="40028" spans="2:2" s="221" customFormat="1" ht="12.75" x14ac:dyDescent="0.2">
      <c r="B40028" s="1168"/>
    </row>
    <row r="40029" spans="2:2" s="221" customFormat="1" ht="12.75" x14ac:dyDescent="0.2">
      <c r="B40029" s="1168"/>
    </row>
    <row r="40030" spans="2:2" s="221" customFormat="1" ht="12.75" x14ac:dyDescent="0.2">
      <c r="B40030" s="1168"/>
    </row>
    <row r="40031" spans="2:2" s="221" customFormat="1" ht="12.75" x14ac:dyDescent="0.2">
      <c r="B40031" s="1168"/>
    </row>
    <row r="40032" spans="2:2" s="221" customFormat="1" ht="12.75" x14ac:dyDescent="0.2">
      <c r="B40032" s="1168"/>
    </row>
    <row r="40033" spans="2:2" s="221" customFormat="1" ht="12.75" x14ac:dyDescent="0.2">
      <c r="B40033" s="1168"/>
    </row>
    <row r="40034" spans="2:2" s="221" customFormat="1" ht="12.75" x14ac:dyDescent="0.2">
      <c r="B40034" s="1168"/>
    </row>
    <row r="40035" spans="2:2" s="221" customFormat="1" ht="12.75" x14ac:dyDescent="0.2">
      <c r="B40035" s="1168"/>
    </row>
    <row r="40036" spans="2:2" s="221" customFormat="1" ht="12.75" x14ac:dyDescent="0.2">
      <c r="B40036" s="1168"/>
    </row>
    <row r="40037" spans="2:2" s="221" customFormat="1" ht="12.75" x14ac:dyDescent="0.2">
      <c r="B40037" s="1168"/>
    </row>
    <row r="40038" spans="2:2" s="221" customFormat="1" ht="12.75" x14ac:dyDescent="0.2">
      <c r="B40038" s="1168"/>
    </row>
    <row r="40039" spans="2:2" s="221" customFormat="1" ht="12.75" x14ac:dyDescent="0.2">
      <c r="B40039" s="1168"/>
    </row>
    <row r="40040" spans="2:2" s="221" customFormat="1" ht="12.75" x14ac:dyDescent="0.2">
      <c r="B40040" s="1168"/>
    </row>
    <row r="40041" spans="2:2" s="221" customFormat="1" ht="12.75" x14ac:dyDescent="0.2">
      <c r="B40041" s="1168"/>
    </row>
    <row r="40042" spans="2:2" s="221" customFormat="1" ht="12.75" x14ac:dyDescent="0.2">
      <c r="B40042" s="1168"/>
    </row>
    <row r="40043" spans="2:2" s="221" customFormat="1" ht="12.75" x14ac:dyDescent="0.2">
      <c r="B40043" s="1168"/>
    </row>
    <row r="40044" spans="2:2" s="221" customFormat="1" ht="12.75" x14ac:dyDescent="0.2">
      <c r="B40044" s="1168"/>
    </row>
    <row r="40045" spans="2:2" s="221" customFormat="1" ht="12.75" x14ac:dyDescent="0.2">
      <c r="B40045" s="1168"/>
    </row>
    <row r="40046" spans="2:2" s="221" customFormat="1" ht="12.75" x14ac:dyDescent="0.2">
      <c r="B40046" s="1168"/>
    </row>
    <row r="40047" spans="2:2" s="221" customFormat="1" ht="12.75" x14ac:dyDescent="0.2">
      <c r="B40047" s="1168"/>
    </row>
    <row r="40048" spans="2:2" s="221" customFormat="1" ht="12.75" x14ac:dyDescent="0.2">
      <c r="B40048" s="1168"/>
    </row>
    <row r="40049" spans="2:2" s="221" customFormat="1" ht="12.75" x14ac:dyDescent="0.2">
      <c r="B40049" s="1168"/>
    </row>
    <row r="40050" spans="2:2" s="221" customFormat="1" ht="12.75" x14ac:dyDescent="0.2">
      <c r="B40050" s="1168"/>
    </row>
    <row r="40051" spans="2:2" s="221" customFormat="1" ht="12.75" x14ac:dyDescent="0.2">
      <c r="B40051" s="1168"/>
    </row>
    <row r="40052" spans="2:2" s="221" customFormat="1" ht="12.75" x14ac:dyDescent="0.2">
      <c r="B40052" s="1168"/>
    </row>
    <row r="40053" spans="2:2" s="221" customFormat="1" ht="12.75" x14ac:dyDescent="0.2">
      <c r="B40053" s="1168"/>
    </row>
    <row r="40054" spans="2:2" s="221" customFormat="1" ht="12.75" x14ac:dyDescent="0.2">
      <c r="B40054" s="1168"/>
    </row>
    <row r="40055" spans="2:2" s="221" customFormat="1" ht="12.75" x14ac:dyDescent="0.2">
      <c r="B40055" s="1168"/>
    </row>
    <row r="40056" spans="2:2" s="221" customFormat="1" ht="12.75" x14ac:dyDescent="0.2">
      <c r="B40056" s="1168"/>
    </row>
    <row r="40057" spans="2:2" s="221" customFormat="1" ht="12.75" x14ac:dyDescent="0.2">
      <c r="B40057" s="1168"/>
    </row>
    <row r="40058" spans="2:2" s="221" customFormat="1" ht="12.75" x14ac:dyDescent="0.2">
      <c r="B40058" s="1168"/>
    </row>
    <row r="40059" spans="2:2" s="221" customFormat="1" ht="12.75" x14ac:dyDescent="0.2">
      <c r="B40059" s="1168"/>
    </row>
    <row r="40060" spans="2:2" s="221" customFormat="1" ht="12.75" x14ac:dyDescent="0.2">
      <c r="B40060" s="1168"/>
    </row>
    <row r="40061" spans="2:2" s="221" customFormat="1" ht="12.75" x14ac:dyDescent="0.2">
      <c r="B40061" s="1168"/>
    </row>
    <row r="40062" spans="2:2" s="221" customFormat="1" ht="12.75" x14ac:dyDescent="0.2">
      <c r="B40062" s="1168"/>
    </row>
    <row r="40063" spans="2:2" s="221" customFormat="1" ht="12.75" x14ac:dyDescent="0.2">
      <c r="B40063" s="1168"/>
    </row>
    <row r="40064" spans="2:2" s="221" customFormat="1" ht="12.75" x14ac:dyDescent="0.2">
      <c r="B40064" s="1168"/>
    </row>
    <row r="40065" spans="2:2" s="221" customFormat="1" ht="12.75" x14ac:dyDescent="0.2">
      <c r="B40065" s="1168"/>
    </row>
    <row r="40066" spans="2:2" s="221" customFormat="1" ht="12.75" x14ac:dyDescent="0.2">
      <c r="B40066" s="1168"/>
    </row>
    <row r="40067" spans="2:2" s="221" customFormat="1" ht="12.75" x14ac:dyDescent="0.2">
      <c r="B40067" s="1168"/>
    </row>
    <row r="40068" spans="2:2" s="221" customFormat="1" ht="12.75" x14ac:dyDescent="0.2">
      <c r="B40068" s="1168"/>
    </row>
    <row r="40069" spans="2:2" s="221" customFormat="1" ht="12.75" x14ac:dyDescent="0.2">
      <c r="B40069" s="1168"/>
    </row>
    <row r="40070" spans="2:2" s="221" customFormat="1" ht="12.75" x14ac:dyDescent="0.2">
      <c r="B40070" s="1168"/>
    </row>
    <row r="40071" spans="2:2" s="221" customFormat="1" ht="12.75" x14ac:dyDescent="0.2">
      <c r="B40071" s="1168"/>
    </row>
    <row r="40072" spans="2:2" s="221" customFormat="1" ht="12.75" x14ac:dyDescent="0.2">
      <c r="B40072" s="1168"/>
    </row>
    <row r="40073" spans="2:2" s="221" customFormat="1" ht="12.75" x14ac:dyDescent="0.2">
      <c r="B40073" s="1168"/>
    </row>
    <row r="40074" spans="2:2" s="221" customFormat="1" ht="12.75" x14ac:dyDescent="0.2">
      <c r="B40074" s="1168"/>
    </row>
    <row r="40075" spans="2:2" s="221" customFormat="1" ht="12.75" x14ac:dyDescent="0.2">
      <c r="B40075" s="1168"/>
    </row>
    <row r="40076" spans="2:2" s="221" customFormat="1" ht="12.75" x14ac:dyDescent="0.2">
      <c r="B40076" s="1168"/>
    </row>
    <row r="40077" spans="2:2" s="221" customFormat="1" ht="12.75" x14ac:dyDescent="0.2">
      <c r="B40077" s="1168"/>
    </row>
    <row r="40078" spans="2:2" s="221" customFormat="1" ht="12.75" x14ac:dyDescent="0.2">
      <c r="B40078" s="1168"/>
    </row>
    <row r="40079" spans="2:2" s="221" customFormat="1" ht="12.75" x14ac:dyDescent="0.2">
      <c r="B40079" s="1168"/>
    </row>
    <row r="40080" spans="2:2" s="221" customFormat="1" ht="12.75" x14ac:dyDescent="0.2">
      <c r="B40080" s="1168"/>
    </row>
    <row r="40081" spans="2:2" s="221" customFormat="1" ht="12.75" x14ac:dyDescent="0.2">
      <c r="B40081" s="1168"/>
    </row>
    <row r="40082" spans="2:2" s="221" customFormat="1" ht="12.75" x14ac:dyDescent="0.2">
      <c r="B40082" s="1168"/>
    </row>
    <row r="40083" spans="2:2" s="221" customFormat="1" ht="12.75" x14ac:dyDescent="0.2">
      <c r="B40083" s="1168"/>
    </row>
    <row r="40084" spans="2:2" s="221" customFormat="1" ht="12.75" x14ac:dyDescent="0.2">
      <c r="B40084" s="1168"/>
    </row>
    <row r="40085" spans="2:2" s="221" customFormat="1" ht="12.75" x14ac:dyDescent="0.2">
      <c r="B40085" s="1168"/>
    </row>
    <row r="40086" spans="2:2" s="221" customFormat="1" ht="12.75" x14ac:dyDescent="0.2">
      <c r="B40086" s="1168"/>
    </row>
    <row r="40087" spans="2:2" s="221" customFormat="1" ht="12.75" x14ac:dyDescent="0.2">
      <c r="B40087" s="1168"/>
    </row>
    <row r="40088" spans="2:2" s="221" customFormat="1" ht="12.75" x14ac:dyDescent="0.2">
      <c r="B40088" s="1168"/>
    </row>
    <row r="40089" spans="2:2" s="221" customFormat="1" ht="12.75" x14ac:dyDescent="0.2">
      <c r="B40089" s="1168"/>
    </row>
    <row r="40090" spans="2:2" s="221" customFormat="1" ht="12.75" x14ac:dyDescent="0.2">
      <c r="B40090" s="1168"/>
    </row>
    <row r="40091" spans="2:2" s="221" customFormat="1" ht="12.75" x14ac:dyDescent="0.2">
      <c r="B40091" s="1168"/>
    </row>
    <row r="40092" spans="2:2" s="221" customFormat="1" ht="12.75" x14ac:dyDescent="0.2">
      <c r="B40092" s="1168"/>
    </row>
    <row r="40093" spans="2:2" s="221" customFormat="1" ht="12.75" x14ac:dyDescent="0.2">
      <c r="B40093" s="1168"/>
    </row>
    <row r="40094" spans="2:2" s="221" customFormat="1" ht="12.75" x14ac:dyDescent="0.2">
      <c r="B40094" s="1168"/>
    </row>
    <row r="40095" spans="2:2" s="221" customFormat="1" ht="12.75" x14ac:dyDescent="0.2">
      <c r="B40095" s="1168"/>
    </row>
    <row r="40096" spans="2:2" s="221" customFormat="1" ht="12.75" x14ac:dyDescent="0.2">
      <c r="B40096" s="1168"/>
    </row>
    <row r="40097" spans="2:2" s="221" customFormat="1" ht="12.75" x14ac:dyDescent="0.2">
      <c r="B40097" s="1168"/>
    </row>
    <row r="40098" spans="2:2" s="221" customFormat="1" ht="12.75" x14ac:dyDescent="0.2">
      <c r="B40098" s="1168"/>
    </row>
    <row r="40099" spans="2:2" s="221" customFormat="1" ht="12.75" x14ac:dyDescent="0.2">
      <c r="B40099" s="1168"/>
    </row>
    <row r="40100" spans="2:2" s="221" customFormat="1" ht="12.75" x14ac:dyDescent="0.2">
      <c r="B40100" s="1168"/>
    </row>
    <row r="40101" spans="2:2" s="221" customFormat="1" ht="12.75" x14ac:dyDescent="0.2">
      <c r="B40101" s="1168"/>
    </row>
    <row r="40102" spans="2:2" s="221" customFormat="1" ht="12.75" x14ac:dyDescent="0.2">
      <c r="B40102" s="1168"/>
    </row>
    <row r="40103" spans="2:2" s="221" customFormat="1" ht="12.75" x14ac:dyDescent="0.2">
      <c r="B40103" s="1168"/>
    </row>
    <row r="40104" spans="2:2" s="221" customFormat="1" ht="12.75" x14ac:dyDescent="0.2">
      <c r="B40104" s="1168"/>
    </row>
    <row r="40105" spans="2:2" s="221" customFormat="1" ht="12.75" x14ac:dyDescent="0.2">
      <c r="B40105" s="1168"/>
    </row>
    <row r="40106" spans="2:2" s="221" customFormat="1" ht="12.75" x14ac:dyDescent="0.2">
      <c r="B40106" s="1168"/>
    </row>
    <row r="40107" spans="2:2" s="221" customFormat="1" ht="12.75" x14ac:dyDescent="0.2">
      <c r="B40107" s="1168"/>
    </row>
    <row r="40108" spans="2:2" s="221" customFormat="1" ht="12.75" x14ac:dyDescent="0.2">
      <c r="B40108" s="1168"/>
    </row>
    <row r="40109" spans="2:2" s="221" customFormat="1" ht="12.75" x14ac:dyDescent="0.2">
      <c r="B40109" s="1168"/>
    </row>
    <row r="40110" spans="2:2" s="221" customFormat="1" ht="12.75" x14ac:dyDescent="0.2">
      <c r="B40110" s="1168"/>
    </row>
    <row r="40111" spans="2:2" s="221" customFormat="1" ht="12.75" x14ac:dyDescent="0.2">
      <c r="B40111" s="1168"/>
    </row>
    <row r="40112" spans="2:2" s="221" customFormat="1" ht="12.75" x14ac:dyDescent="0.2">
      <c r="B40112" s="1168"/>
    </row>
    <row r="40113" spans="2:2" s="221" customFormat="1" ht="12.75" x14ac:dyDescent="0.2">
      <c r="B40113" s="1168"/>
    </row>
    <row r="40114" spans="2:2" s="221" customFormat="1" ht="12.75" x14ac:dyDescent="0.2">
      <c r="B40114" s="1168"/>
    </row>
    <row r="40115" spans="2:2" s="221" customFormat="1" ht="12.75" x14ac:dyDescent="0.2">
      <c r="B40115" s="1168"/>
    </row>
    <row r="40116" spans="2:2" s="221" customFormat="1" ht="12.75" x14ac:dyDescent="0.2">
      <c r="B40116" s="1168"/>
    </row>
    <row r="40117" spans="2:2" s="221" customFormat="1" ht="12.75" x14ac:dyDescent="0.2">
      <c r="B40117" s="1168"/>
    </row>
    <row r="40118" spans="2:2" s="221" customFormat="1" ht="12.75" x14ac:dyDescent="0.2">
      <c r="B40118" s="1168"/>
    </row>
    <row r="40119" spans="2:2" s="221" customFormat="1" ht="12.75" x14ac:dyDescent="0.2">
      <c r="B40119" s="1168"/>
    </row>
    <row r="40120" spans="2:2" s="221" customFormat="1" ht="12.75" x14ac:dyDescent="0.2">
      <c r="B40120" s="1168"/>
    </row>
    <row r="40121" spans="2:2" s="221" customFormat="1" ht="12.75" x14ac:dyDescent="0.2">
      <c r="B40121" s="1168"/>
    </row>
    <row r="40122" spans="2:2" s="221" customFormat="1" ht="12.75" x14ac:dyDescent="0.2">
      <c r="B40122" s="1168"/>
    </row>
    <row r="40123" spans="2:2" s="221" customFormat="1" ht="12.75" x14ac:dyDescent="0.2">
      <c r="B40123" s="1168"/>
    </row>
    <row r="40124" spans="2:2" s="221" customFormat="1" ht="12.75" x14ac:dyDescent="0.2">
      <c r="B40124" s="1168"/>
    </row>
    <row r="40125" spans="2:2" s="221" customFormat="1" ht="12.75" x14ac:dyDescent="0.2">
      <c r="B40125" s="1168"/>
    </row>
    <row r="40126" spans="2:2" s="221" customFormat="1" ht="12.75" x14ac:dyDescent="0.2">
      <c r="B40126" s="1168"/>
    </row>
    <row r="40127" spans="2:2" s="221" customFormat="1" ht="12.75" x14ac:dyDescent="0.2">
      <c r="B40127" s="1168"/>
    </row>
    <row r="40128" spans="2:2" s="221" customFormat="1" ht="12.75" x14ac:dyDescent="0.2">
      <c r="B40128" s="1168"/>
    </row>
    <row r="40129" spans="2:2" s="221" customFormat="1" ht="12.75" x14ac:dyDescent="0.2">
      <c r="B40129" s="1168"/>
    </row>
    <row r="40130" spans="2:2" s="221" customFormat="1" ht="12.75" x14ac:dyDescent="0.2">
      <c r="B40130" s="1168"/>
    </row>
    <row r="40131" spans="2:2" s="221" customFormat="1" ht="12.75" x14ac:dyDescent="0.2">
      <c r="B40131" s="1168"/>
    </row>
    <row r="40132" spans="2:2" s="221" customFormat="1" ht="12.75" x14ac:dyDescent="0.2">
      <c r="B40132" s="1168"/>
    </row>
    <row r="40133" spans="2:2" s="221" customFormat="1" ht="12.75" x14ac:dyDescent="0.2">
      <c r="B40133" s="1168"/>
    </row>
    <row r="40134" spans="2:2" s="221" customFormat="1" ht="12.75" x14ac:dyDescent="0.2">
      <c r="B40134" s="1168"/>
    </row>
    <row r="40135" spans="2:2" s="221" customFormat="1" ht="12.75" x14ac:dyDescent="0.2">
      <c r="B40135" s="1168"/>
    </row>
    <row r="40136" spans="2:2" s="221" customFormat="1" ht="12.75" x14ac:dyDescent="0.2">
      <c r="B40136" s="1168"/>
    </row>
    <row r="40137" spans="2:2" s="221" customFormat="1" ht="12.75" x14ac:dyDescent="0.2">
      <c r="B40137" s="1168"/>
    </row>
    <row r="40138" spans="2:2" s="221" customFormat="1" ht="12.75" x14ac:dyDescent="0.2">
      <c r="B40138" s="1168"/>
    </row>
    <row r="40139" spans="2:2" s="221" customFormat="1" ht="12.75" x14ac:dyDescent="0.2">
      <c r="B40139" s="1168"/>
    </row>
    <row r="40140" spans="2:2" s="221" customFormat="1" ht="12.75" x14ac:dyDescent="0.2">
      <c r="B40140" s="1168"/>
    </row>
    <row r="40141" spans="2:2" s="221" customFormat="1" ht="12.75" x14ac:dyDescent="0.2">
      <c r="B40141" s="1168"/>
    </row>
    <row r="40142" spans="2:2" s="221" customFormat="1" ht="12.75" x14ac:dyDescent="0.2">
      <c r="B40142" s="1168"/>
    </row>
    <row r="40143" spans="2:2" s="221" customFormat="1" ht="12.75" x14ac:dyDescent="0.2">
      <c r="B40143" s="1168"/>
    </row>
    <row r="40144" spans="2:2" s="221" customFormat="1" ht="12.75" x14ac:dyDescent="0.2">
      <c r="B40144" s="1168"/>
    </row>
    <row r="40145" spans="2:2" s="221" customFormat="1" ht="12.75" x14ac:dyDescent="0.2">
      <c r="B40145" s="1168"/>
    </row>
    <row r="40146" spans="2:2" s="221" customFormat="1" ht="12.75" x14ac:dyDescent="0.2">
      <c r="B40146" s="1168"/>
    </row>
    <row r="40147" spans="2:2" s="221" customFormat="1" ht="12.75" x14ac:dyDescent="0.2">
      <c r="B40147" s="1168"/>
    </row>
    <row r="40148" spans="2:2" s="221" customFormat="1" ht="12.75" x14ac:dyDescent="0.2">
      <c r="B40148" s="1168"/>
    </row>
    <row r="40149" spans="2:2" s="221" customFormat="1" ht="12.75" x14ac:dyDescent="0.2">
      <c r="B40149" s="1168"/>
    </row>
    <row r="40150" spans="2:2" s="221" customFormat="1" ht="12.75" x14ac:dyDescent="0.2">
      <c r="B40150" s="1168"/>
    </row>
    <row r="40151" spans="2:2" s="221" customFormat="1" ht="12.75" x14ac:dyDescent="0.2">
      <c r="B40151" s="1168"/>
    </row>
    <row r="40152" spans="2:2" s="221" customFormat="1" ht="12.75" x14ac:dyDescent="0.2">
      <c r="B40152" s="1168"/>
    </row>
    <row r="40153" spans="2:2" s="221" customFormat="1" ht="12.75" x14ac:dyDescent="0.2">
      <c r="B40153" s="1168"/>
    </row>
    <row r="40154" spans="2:2" s="221" customFormat="1" ht="12.75" x14ac:dyDescent="0.2">
      <c r="B40154" s="1168"/>
    </row>
    <row r="40155" spans="2:2" s="221" customFormat="1" ht="12.75" x14ac:dyDescent="0.2">
      <c r="B40155" s="1168"/>
    </row>
    <row r="40156" spans="2:2" s="221" customFormat="1" ht="12.75" x14ac:dyDescent="0.2">
      <c r="B40156" s="1168"/>
    </row>
    <row r="40157" spans="2:2" s="221" customFormat="1" ht="12.75" x14ac:dyDescent="0.2">
      <c r="B40157" s="1168"/>
    </row>
    <row r="40158" spans="2:2" s="221" customFormat="1" ht="12.75" x14ac:dyDescent="0.2">
      <c r="B40158" s="1168"/>
    </row>
    <row r="40159" spans="2:2" s="221" customFormat="1" ht="12.75" x14ac:dyDescent="0.2">
      <c r="B40159" s="1168"/>
    </row>
    <row r="40160" spans="2:2" s="221" customFormat="1" ht="12.75" x14ac:dyDescent="0.2">
      <c r="B40160" s="1168"/>
    </row>
    <row r="40161" spans="2:2" s="221" customFormat="1" ht="12.75" x14ac:dyDescent="0.2">
      <c r="B40161" s="1168"/>
    </row>
    <row r="40162" spans="2:2" s="221" customFormat="1" ht="12.75" x14ac:dyDescent="0.2">
      <c r="B40162" s="1168"/>
    </row>
    <row r="40163" spans="2:2" s="221" customFormat="1" ht="12.75" x14ac:dyDescent="0.2">
      <c r="B40163" s="1168"/>
    </row>
    <row r="40164" spans="2:2" s="221" customFormat="1" ht="12.75" x14ac:dyDescent="0.2">
      <c r="B40164" s="1168"/>
    </row>
    <row r="40165" spans="2:2" s="221" customFormat="1" ht="12.75" x14ac:dyDescent="0.2">
      <c r="B40165" s="1168"/>
    </row>
    <row r="40166" spans="2:2" s="221" customFormat="1" ht="12.75" x14ac:dyDescent="0.2">
      <c r="B40166" s="1168"/>
    </row>
    <row r="40167" spans="2:2" s="221" customFormat="1" ht="12.75" x14ac:dyDescent="0.2">
      <c r="B40167" s="1168"/>
    </row>
    <row r="40168" spans="2:2" s="221" customFormat="1" ht="12.75" x14ac:dyDescent="0.2">
      <c r="B40168" s="1168"/>
    </row>
    <row r="40169" spans="2:2" s="221" customFormat="1" ht="12.75" x14ac:dyDescent="0.2">
      <c r="B40169" s="1168"/>
    </row>
    <row r="40170" spans="2:2" s="221" customFormat="1" ht="12.75" x14ac:dyDescent="0.2">
      <c r="B40170" s="1168"/>
    </row>
    <row r="40171" spans="2:2" s="221" customFormat="1" ht="12.75" x14ac:dyDescent="0.2">
      <c r="B40171" s="1168"/>
    </row>
    <row r="40172" spans="2:2" s="221" customFormat="1" ht="12.75" x14ac:dyDescent="0.2">
      <c r="B40172" s="1168"/>
    </row>
    <row r="40173" spans="2:2" s="221" customFormat="1" ht="12.75" x14ac:dyDescent="0.2">
      <c r="B40173" s="1168"/>
    </row>
    <row r="40174" spans="2:2" s="221" customFormat="1" ht="12.75" x14ac:dyDescent="0.2">
      <c r="B40174" s="1168"/>
    </row>
    <row r="40175" spans="2:2" s="221" customFormat="1" ht="12.75" x14ac:dyDescent="0.2">
      <c r="B40175" s="1168"/>
    </row>
    <row r="40176" spans="2:2" s="221" customFormat="1" ht="12.75" x14ac:dyDescent="0.2">
      <c r="B40176" s="1168"/>
    </row>
    <row r="40177" spans="2:2" s="221" customFormat="1" ht="12.75" x14ac:dyDescent="0.2">
      <c r="B40177" s="1168"/>
    </row>
    <row r="40178" spans="2:2" s="221" customFormat="1" ht="12.75" x14ac:dyDescent="0.2">
      <c r="B40178" s="1168"/>
    </row>
    <row r="40179" spans="2:2" s="221" customFormat="1" ht="12.75" x14ac:dyDescent="0.2">
      <c r="B40179" s="1168"/>
    </row>
    <row r="40180" spans="2:2" s="221" customFormat="1" ht="12.75" x14ac:dyDescent="0.2">
      <c r="B40180" s="1168"/>
    </row>
    <row r="40181" spans="2:2" s="221" customFormat="1" ht="12.75" x14ac:dyDescent="0.2">
      <c r="B40181" s="1168"/>
    </row>
    <row r="40182" spans="2:2" s="221" customFormat="1" ht="12.75" x14ac:dyDescent="0.2">
      <c r="B40182" s="1168"/>
    </row>
    <row r="40183" spans="2:2" s="221" customFormat="1" ht="12.75" x14ac:dyDescent="0.2">
      <c r="B40183" s="1168"/>
    </row>
    <row r="40184" spans="2:2" s="221" customFormat="1" ht="12.75" x14ac:dyDescent="0.2">
      <c r="B40184" s="1168"/>
    </row>
    <row r="40185" spans="2:2" s="221" customFormat="1" ht="12.75" x14ac:dyDescent="0.2">
      <c r="B40185" s="1168"/>
    </row>
    <row r="40186" spans="2:2" s="221" customFormat="1" ht="12.75" x14ac:dyDescent="0.2">
      <c r="B40186" s="1168"/>
    </row>
    <row r="40187" spans="2:2" s="221" customFormat="1" ht="12.75" x14ac:dyDescent="0.2">
      <c r="B40187" s="1168"/>
    </row>
    <row r="40188" spans="2:2" s="221" customFormat="1" ht="12.75" x14ac:dyDescent="0.2">
      <c r="B40188" s="1168"/>
    </row>
    <row r="40189" spans="2:2" s="221" customFormat="1" ht="12.75" x14ac:dyDescent="0.2">
      <c r="B40189" s="1168"/>
    </row>
    <row r="40190" spans="2:2" s="221" customFormat="1" ht="12.75" x14ac:dyDescent="0.2">
      <c r="B40190" s="1168"/>
    </row>
    <row r="40191" spans="2:2" s="221" customFormat="1" ht="12.75" x14ac:dyDescent="0.2">
      <c r="B40191" s="1168"/>
    </row>
    <row r="40192" spans="2:2" s="221" customFormat="1" ht="12.75" x14ac:dyDescent="0.2">
      <c r="B40192" s="1168"/>
    </row>
    <row r="40193" spans="2:2" s="221" customFormat="1" ht="12.75" x14ac:dyDescent="0.2">
      <c r="B40193" s="1168"/>
    </row>
    <row r="40194" spans="2:2" s="221" customFormat="1" ht="12.75" x14ac:dyDescent="0.2">
      <c r="B40194" s="1168"/>
    </row>
    <row r="40195" spans="2:2" s="221" customFormat="1" ht="12.75" x14ac:dyDescent="0.2">
      <c r="B40195" s="1168"/>
    </row>
    <row r="40196" spans="2:2" s="221" customFormat="1" ht="12.75" x14ac:dyDescent="0.2">
      <c r="B40196" s="1168"/>
    </row>
    <row r="40197" spans="2:2" s="221" customFormat="1" ht="12.75" x14ac:dyDescent="0.2">
      <c r="B40197" s="1168"/>
    </row>
    <row r="40198" spans="2:2" s="221" customFormat="1" ht="12.75" x14ac:dyDescent="0.2">
      <c r="B40198" s="1168"/>
    </row>
    <row r="40199" spans="2:2" s="221" customFormat="1" ht="12.75" x14ac:dyDescent="0.2">
      <c r="B40199" s="1168"/>
    </row>
    <row r="40200" spans="2:2" s="221" customFormat="1" ht="12.75" x14ac:dyDescent="0.2">
      <c r="B40200" s="1168"/>
    </row>
    <row r="40201" spans="2:2" s="221" customFormat="1" ht="12.75" x14ac:dyDescent="0.2">
      <c r="B40201" s="1168"/>
    </row>
    <row r="40202" spans="2:2" s="221" customFormat="1" ht="12.75" x14ac:dyDescent="0.2">
      <c r="B40202" s="1168"/>
    </row>
    <row r="40203" spans="2:2" s="221" customFormat="1" ht="12.75" x14ac:dyDescent="0.2">
      <c r="B40203" s="1168"/>
    </row>
    <row r="40204" spans="2:2" s="221" customFormat="1" ht="12.75" x14ac:dyDescent="0.2">
      <c r="B40204" s="1168"/>
    </row>
    <row r="40205" spans="2:2" s="221" customFormat="1" ht="12.75" x14ac:dyDescent="0.2">
      <c r="B40205" s="1168"/>
    </row>
    <row r="40206" spans="2:2" s="221" customFormat="1" ht="12.75" x14ac:dyDescent="0.2">
      <c r="B40206" s="1168"/>
    </row>
    <row r="40207" spans="2:2" s="221" customFormat="1" ht="12.75" x14ac:dyDescent="0.2">
      <c r="B40207" s="1168"/>
    </row>
    <row r="40208" spans="2:2" s="221" customFormat="1" ht="12.75" x14ac:dyDescent="0.2">
      <c r="B40208" s="1168"/>
    </row>
    <row r="40209" spans="2:2" s="221" customFormat="1" ht="12.75" x14ac:dyDescent="0.2">
      <c r="B40209" s="1168"/>
    </row>
    <row r="40210" spans="2:2" s="221" customFormat="1" ht="12.75" x14ac:dyDescent="0.2">
      <c r="B40210" s="1168"/>
    </row>
    <row r="40211" spans="2:2" s="221" customFormat="1" ht="12.75" x14ac:dyDescent="0.2">
      <c r="B40211" s="1168"/>
    </row>
    <row r="40212" spans="2:2" s="221" customFormat="1" ht="12.75" x14ac:dyDescent="0.2">
      <c r="B40212" s="1168"/>
    </row>
    <row r="40213" spans="2:2" s="221" customFormat="1" ht="12.75" x14ac:dyDescent="0.2">
      <c r="B40213" s="1168"/>
    </row>
    <row r="40214" spans="2:2" s="221" customFormat="1" ht="12.75" x14ac:dyDescent="0.2">
      <c r="B40214" s="1168"/>
    </row>
    <row r="40215" spans="2:2" s="221" customFormat="1" ht="12.75" x14ac:dyDescent="0.2">
      <c r="B40215" s="1168"/>
    </row>
    <row r="40216" spans="2:2" s="221" customFormat="1" ht="12.75" x14ac:dyDescent="0.2">
      <c r="B40216" s="1168"/>
    </row>
    <row r="40217" spans="2:2" s="221" customFormat="1" ht="12.75" x14ac:dyDescent="0.2">
      <c r="B40217" s="1168"/>
    </row>
    <row r="40218" spans="2:2" s="221" customFormat="1" ht="12.75" x14ac:dyDescent="0.2">
      <c r="B40218" s="1168"/>
    </row>
    <row r="40219" spans="2:2" s="221" customFormat="1" ht="12.75" x14ac:dyDescent="0.2">
      <c r="B40219" s="1168"/>
    </row>
    <row r="40220" spans="2:2" s="221" customFormat="1" ht="12.75" x14ac:dyDescent="0.2">
      <c r="B40220" s="1168"/>
    </row>
    <row r="40221" spans="2:2" s="221" customFormat="1" ht="12.75" x14ac:dyDescent="0.2">
      <c r="B40221" s="1168"/>
    </row>
    <row r="40222" spans="2:2" s="221" customFormat="1" ht="12.75" x14ac:dyDescent="0.2">
      <c r="B40222" s="1168"/>
    </row>
    <row r="40223" spans="2:2" s="221" customFormat="1" ht="12.75" x14ac:dyDescent="0.2">
      <c r="B40223" s="1168"/>
    </row>
    <row r="40224" spans="2:2" s="221" customFormat="1" ht="12.75" x14ac:dyDescent="0.2">
      <c r="B40224" s="1168"/>
    </row>
    <row r="40225" spans="2:2" s="221" customFormat="1" ht="12.75" x14ac:dyDescent="0.2">
      <c r="B40225" s="1168"/>
    </row>
    <row r="40226" spans="2:2" s="221" customFormat="1" ht="12.75" x14ac:dyDescent="0.2">
      <c r="B40226" s="1168"/>
    </row>
    <row r="40227" spans="2:2" s="221" customFormat="1" ht="12.75" x14ac:dyDescent="0.2">
      <c r="B40227" s="1168"/>
    </row>
    <row r="40228" spans="2:2" s="221" customFormat="1" ht="12.75" x14ac:dyDescent="0.2">
      <c r="B40228" s="1168"/>
    </row>
    <row r="40229" spans="2:2" s="221" customFormat="1" ht="12.75" x14ac:dyDescent="0.2">
      <c r="B40229" s="1168"/>
    </row>
    <row r="40230" spans="2:2" s="221" customFormat="1" ht="12.75" x14ac:dyDescent="0.2">
      <c r="B40230" s="1168"/>
    </row>
    <row r="40231" spans="2:2" s="221" customFormat="1" ht="12.75" x14ac:dyDescent="0.2">
      <c r="B40231" s="1168"/>
    </row>
    <row r="40232" spans="2:2" s="221" customFormat="1" ht="12.75" x14ac:dyDescent="0.2">
      <c r="B40232" s="1168"/>
    </row>
    <row r="40233" spans="2:2" s="221" customFormat="1" ht="12.75" x14ac:dyDescent="0.2">
      <c r="B40233" s="1168"/>
    </row>
    <row r="40234" spans="2:2" s="221" customFormat="1" ht="12.75" x14ac:dyDescent="0.2">
      <c r="B40234" s="1168"/>
    </row>
    <row r="40235" spans="2:2" s="221" customFormat="1" ht="12.75" x14ac:dyDescent="0.2">
      <c r="B40235" s="1168"/>
    </row>
    <row r="40236" spans="2:2" s="221" customFormat="1" ht="12.75" x14ac:dyDescent="0.2">
      <c r="B40236" s="1168"/>
    </row>
    <row r="40237" spans="2:2" s="221" customFormat="1" ht="12.75" x14ac:dyDescent="0.2">
      <c r="B40237" s="1168"/>
    </row>
    <row r="40238" spans="2:2" s="221" customFormat="1" ht="12.75" x14ac:dyDescent="0.2">
      <c r="B40238" s="1168"/>
    </row>
    <row r="40239" spans="2:2" s="221" customFormat="1" ht="12.75" x14ac:dyDescent="0.2">
      <c r="B40239" s="1168"/>
    </row>
    <row r="40240" spans="2:2" s="221" customFormat="1" ht="12.75" x14ac:dyDescent="0.2">
      <c r="B40240" s="1168"/>
    </row>
    <row r="40241" spans="2:2" s="221" customFormat="1" ht="12.75" x14ac:dyDescent="0.2">
      <c r="B40241" s="1168"/>
    </row>
    <row r="40242" spans="2:2" s="221" customFormat="1" ht="12.75" x14ac:dyDescent="0.2">
      <c r="B40242" s="1168"/>
    </row>
    <row r="40243" spans="2:2" s="221" customFormat="1" ht="12.75" x14ac:dyDescent="0.2">
      <c r="B40243" s="1168"/>
    </row>
    <row r="40244" spans="2:2" s="221" customFormat="1" ht="12.75" x14ac:dyDescent="0.2">
      <c r="B40244" s="1168"/>
    </row>
    <row r="40245" spans="2:2" s="221" customFormat="1" ht="12.75" x14ac:dyDescent="0.2">
      <c r="B40245" s="1168"/>
    </row>
    <row r="40246" spans="2:2" s="221" customFormat="1" ht="12.75" x14ac:dyDescent="0.2">
      <c r="B40246" s="1168"/>
    </row>
    <row r="40247" spans="2:2" s="221" customFormat="1" ht="12.75" x14ac:dyDescent="0.2">
      <c r="B40247" s="1168"/>
    </row>
    <row r="40248" spans="2:2" s="221" customFormat="1" ht="12.75" x14ac:dyDescent="0.2">
      <c r="B40248" s="1168"/>
    </row>
    <row r="40249" spans="2:2" s="221" customFormat="1" ht="12.75" x14ac:dyDescent="0.2">
      <c r="B40249" s="1168"/>
    </row>
    <row r="40250" spans="2:2" s="221" customFormat="1" ht="12.75" x14ac:dyDescent="0.2">
      <c r="B40250" s="1168"/>
    </row>
    <row r="40251" spans="2:2" s="221" customFormat="1" ht="12.75" x14ac:dyDescent="0.2">
      <c r="B40251" s="1168"/>
    </row>
    <row r="40252" spans="2:2" s="221" customFormat="1" ht="12.75" x14ac:dyDescent="0.2">
      <c r="B40252" s="1168"/>
    </row>
    <row r="40253" spans="2:2" s="221" customFormat="1" ht="12.75" x14ac:dyDescent="0.2">
      <c r="B40253" s="1168"/>
    </row>
    <row r="40254" spans="2:2" s="221" customFormat="1" ht="12.75" x14ac:dyDescent="0.2">
      <c r="B40254" s="1168"/>
    </row>
    <row r="40255" spans="2:2" s="221" customFormat="1" ht="12.75" x14ac:dyDescent="0.2">
      <c r="B40255" s="1168"/>
    </row>
    <row r="40256" spans="2:2" s="221" customFormat="1" ht="12.75" x14ac:dyDescent="0.2">
      <c r="B40256" s="1168"/>
    </row>
    <row r="40257" spans="2:2" s="221" customFormat="1" ht="12.75" x14ac:dyDescent="0.2">
      <c r="B40257" s="1168"/>
    </row>
    <row r="40258" spans="2:2" s="221" customFormat="1" ht="12.75" x14ac:dyDescent="0.2">
      <c r="B40258" s="1168"/>
    </row>
    <row r="40259" spans="2:2" s="221" customFormat="1" ht="12.75" x14ac:dyDescent="0.2">
      <c r="B40259" s="1168"/>
    </row>
    <row r="40260" spans="2:2" s="221" customFormat="1" ht="12.75" x14ac:dyDescent="0.2">
      <c r="B40260" s="1168"/>
    </row>
    <row r="40261" spans="2:2" s="221" customFormat="1" ht="12.75" x14ac:dyDescent="0.2">
      <c r="B40261" s="1168"/>
    </row>
    <row r="40262" spans="2:2" s="221" customFormat="1" ht="12.75" x14ac:dyDescent="0.2">
      <c r="B40262" s="1168"/>
    </row>
    <row r="40263" spans="2:2" s="221" customFormat="1" ht="12.75" x14ac:dyDescent="0.2">
      <c r="B40263" s="1168"/>
    </row>
    <row r="40264" spans="2:2" s="221" customFormat="1" ht="12.75" x14ac:dyDescent="0.2">
      <c r="B40264" s="1168"/>
    </row>
    <row r="40265" spans="2:2" s="221" customFormat="1" ht="12.75" x14ac:dyDescent="0.2">
      <c r="B40265" s="1168"/>
    </row>
    <row r="40266" spans="2:2" s="221" customFormat="1" ht="12.75" x14ac:dyDescent="0.2">
      <c r="B40266" s="1168"/>
    </row>
    <row r="40267" spans="2:2" s="221" customFormat="1" ht="12.75" x14ac:dyDescent="0.2">
      <c r="B40267" s="1168"/>
    </row>
    <row r="40268" spans="2:2" s="221" customFormat="1" ht="12.75" x14ac:dyDescent="0.2">
      <c r="B40268" s="1168"/>
    </row>
    <row r="40269" spans="2:2" s="221" customFormat="1" ht="12.75" x14ac:dyDescent="0.2">
      <c r="B40269" s="1168"/>
    </row>
    <row r="40270" spans="2:2" s="221" customFormat="1" ht="12.75" x14ac:dyDescent="0.2">
      <c r="B40270" s="1168"/>
    </row>
    <row r="40271" spans="2:2" s="221" customFormat="1" ht="12.75" x14ac:dyDescent="0.2">
      <c r="B40271" s="1168"/>
    </row>
    <row r="40272" spans="2:2" s="221" customFormat="1" ht="12.75" x14ac:dyDescent="0.2">
      <c r="B40272" s="1168"/>
    </row>
    <row r="40273" spans="2:2" s="221" customFormat="1" ht="12.75" x14ac:dyDescent="0.2">
      <c r="B40273" s="1168"/>
    </row>
    <row r="40274" spans="2:2" s="221" customFormat="1" ht="12.75" x14ac:dyDescent="0.2">
      <c r="B40274" s="1168"/>
    </row>
    <row r="40275" spans="2:2" s="221" customFormat="1" ht="12.75" x14ac:dyDescent="0.2">
      <c r="B40275" s="1168"/>
    </row>
    <row r="40276" spans="2:2" s="221" customFormat="1" ht="12.75" x14ac:dyDescent="0.2">
      <c r="B40276" s="1168"/>
    </row>
    <row r="40277" spans="2:2" s="221" customFormat="1" ht="12.75" x14ac:dyDescent="0.2">
      <c r="B40277" s="1168"/>
    </row>
    <row r="40278" spans="2:2" s="221" customFormat="1" ht="12.75" x14ac:dyDescent="0.2">
      <c r="B40278" s="1168"/>
    </row>
    <row r="40279" spans="2:2" s="221" customFormat="1" ht="12.75" x14ac:dyDescent="0.2">
      <c r="B40279" s="1168"/>
    </row>
    <row r="40280" spans="2:2" s="221" customFormat="1" ht="12.75" x14ac:dyDescent="0.2">
      <c r="B40280" s="1168"/>
    </row>
    <row r="40281" spans="2:2" s="221" customFormat="1" ht="12.75" x14ac:dyDescent="0.2">
      <c r="B40281" s="1168"/>
    </row>
    <row r="40282" spans="2:2" s="221" customFormat="1" ht="12.75" x14ac:dyDescent="0.2">
      <c r="B40282" s="1168"/>
    </row>
    <row r="40283" spans="2:2" s="221" customFormat="1" ht="12.75" x14ac:dyDescent="0.2">
      <c r="B40283" s="1168"/>
    </row>
    <row r="40284" spans="2:2" s="221" customFormat="1" ht="12.75" x14ac:dyDescent="0.2">
      <c r="B40284" s="1168"/>
    </row>
    <row r="40285" spans="2:2" s="221" customFormat="1" ht="12.75" x14ac:dyDescent="0.2">
      <c r="B40285" s="1168"/>
    </row>
    <row r="40286" spans="2:2" s="221" customFormat="1" ht="12.75" x14ac:dyDescent="0.2">
      <c r="B40286" s="1168"/>
    </row>
    <row r="40287" spans="2:2" s="221" customFormat="1" ht="12.75" x14ac:dyDescent="0.2">
      <c r="B40287" s="1168"/>
    </row>
    <row r="40288" spans="2:2" s="221" customFormat="1" ht="12.75" x14ac:dyDescent="0.2">
      <c r="B40288" s="1168"/>
    </row>
    <row r="40289" spans="2:2" s="221" customFormat="1" ht="12.75" x14ac:dyDescent="0.2">
      <c r="B40289" s="1168"/>
    </row>
    <row r="40290" spans="2:2" s="221" customFormat="1" ht="12.75" x14ac:dyDescent="0.2">
      <c r="B40290" s="1168"/>
    </row>
    <row r="40291" spans="2:2" s="221" customFormat="1" ht="12.75" x14ac:dyDescent="0.2">
      <c r="B40291" s="1168"/>
    </row>
    <row r="40292" spans="2:2" s="221" customFormat="1" ht="12.75" x14ac:dyDescent="0.2">
      <c r="B40292" s="1168"/>
    </row>
    <row r="40293" spans="2:2" s="221" customFormat="1" ht="12.75" x14ac:dyDescent="0.2">
      <c r="B40293" s="1168"/>
    </row>
    <row r="40294" spans="2:2" s="221" customFormat="1" ht="12.75" x14ac:dyDescent="0.2">
      <c r="B40294" s="1168"/>
    </row>
    <row r="40295" spans="2:2" s="221" customFormat="1" ht="12.75" x14ac:dyDescent="0.2">
      <c r="B40295" s="1168"/>
    </row>
    <row r="40296" spans="2:2" s="221" customFormat="1" ht="12.75" x14ac:dyDescent="0.2">
      <c r="B40296" s="1168"/>
    </row>
    <row r="40297" spans="2:2" s="221" customFormat="1" ht="12.75" x14ac:dyDescent="0.2">
      <c r="B40297" s="1168"/>
    </row>
    <row r="40298" spans="2:2" s="221" customFormat="1" ht="12.75" x14ac:dyDescent="0.2">
      <c r="B40298" s="1168"/>
    </row>
    <row r="40299" spans="2:2" s="221" customFormat="1" ht="12.75" x14ac:dyDescent="0.2">
      <c r="B40299" s="1168"/>
    </row>
    <row r="40300" spans="2:2" s="221" customFormat="1" ht="12.75" x14ac:dyDescent="0.2">
      <c r="B40300" s="1168"/>
    </row>
    <row r="40301" spans="2:2" s="221" customFormat="1" ht="12.75" x14ac:dyDescent="0.2">
      <c r="B40301" s="1168"/>
    </row>
    <row r="40302" spans="2:2" s="221" customFormat="1" ht="12.75" x14ac:dyDescent="0.2">
      <c r="B40302" s="1168"/>
    </row>
    <row r="40303" spans="2:2" s="221" customFormat="1" ht="12.75" x14ac:dyDescent="0.2">
      <c r="B40303" s="1168"/>
    </row>
    <row r="40304" spans="2:2" s="221" customFormat="1" ht="12.75" x14ac:dyDescent="0.2">
      <c r="B40304" s="1168"/>
    </row>
    <row r="40305" spans="2:2" s="221" customFormat="1" ht="12.75" x14ac:dyDescent="0.2">
      <c r="B40305" s="1168"/>
    </row>
    <row r="40306" spans="2:2" s="221" customFormat="1" ht="12.75" x14ac:dyDescent="0.2">
      <c r="B40306" s="1168"/>
    </row>
    <row r="40307" spans="2:2" s="221" customFormat="1" ht="12.75" x14ac:dyDescent="0.2">
      <c r="B40307" s="1168"/>
    </row>
    <row r="40308" spans="2:2" s="221" customFormat="1" ht="12.75" x14ac:dyDescent="0.2">
      <c r="B40308" s="1168"/>
    </row>
    <row r="40309" spans="2:2" s="221" customFormat="1" ht="12.75" x14ac:dyDescent="0.2">
      <c r="B40309" s="1168"/>
    </row>
    <row r="40310" spans="2:2" s="221" customFormat="1" ht="12.75" x14ac:dyDescent="0.2">
      <c r="B40310" s="1168"/>
    </row>
    <row r="40311" spans="2:2" s="221" customFormat="1" ht="12.75" x14ac:dyDescent="0.2">
      <c r="B40311" s="1168"/>
    </row>
    <row r="40312" spans="2:2" s="221" customFormat="1" ht="12.75" x14ac:dyDescent="0.2">
      <c r="B40312" s="1168"/>
    </row>
    <row r="40313" spans="2:2" s="221" customFormat="1" ht="12.75" x14ac:dyDescent="0.2">
      <c r="B40313" s="1168"/>
    </row>
    <row r="40314" spans="2:2" s="221" customFormat="1" ht="12.75" x14ac:dyDescent="0.2">
      <c r="B40314" s="1168"/>
    </row>
    <row r="40315" spans="2:2" s="221" customFormat="1" ht="12.75" x14ac:dyDescent="0.2">
      <c r="B40315" s="1168"/>
    </row>
    <row r="40316" spans="2:2" s="221" customFormat="1" ht="12.75" x14ac:dyDescent="0.2">
      <c r="B40316" s="1168"/>
    </row>
    <row r="40317" spans="2:2" s="221" customFormat="1" ht="12.75" x14ac:dyDescent="0.2">
      <c r="B40317" s="1168"/>
    </row>
    <row r="40318" spans="2:2" s="221" customFormat="1" ht="12.75" x14ac:dyDescent="0.2">
      <c r="B40318" s="1168"/>
    </row>
    <row r="40319" spans="2:2" s="221" customFormat="1" ht="12.75" x14ac:dyDescent="0.2">
      <c r="B40319" s="1168"/>
    </row>
    <row r="40320" spans="2:2" s="221" customFormat="1" ht="12.75" x14ac:dyDescent="0.2">
      <c r="B40320" s="1168"/>
    </row>
    <row r="40321" spans="2:2" s="221" customFormat="1" ht="12.75" x14ac:dyDescent="0.2">
      <c r="B40321" s="1168"/>
    </row>
    <row r="40322" spans="2:2" s="221" customFormat="1" ht="12.75" x14ac:dyDescent="0.2">
      <c r="B40322" s="1168"/>
    </row>
    <row r="40323" spans="2:2" s="221" customFormat="1" ht="12.75" x14ac:dyDescent="0.2">
      <c r="B40323" s="1168"/>
    </row>
    <row r="40324" spans="2:2" s="221" customFormat="1" ht="12.75" x14ac:dyDescent="0.2">
      <c r="B40324" s="1168"/>
    </row>
    <row r="40325" spans="2:2" s="221" customFormat="1" ht="12.75" x14ac:dyDescent="0.2">
      <c r="B40325" s="1168"/>
    </row>
    <row r="40326" spans="2:2" s="221" customFormat="1" ht="12.75" x14ac:dyDescent="0.2">
      <c r="B40326" s="1168"/>
    </row>
    <row r="40327" spans="2:2" s="221" customFormat="1" ht="12.75" x14ac:dyDescent="0.2">
      <c r="B40327" s="1168"/>
    </row>
    <row r="40328" spans="2:2" s="221" customFormat="1" ht="12.75" x14ac:dyDescent="0.2">
      <c r="B40328" s="1168"/>
    </row>
    <row r="40329" spans="2:2" s="221" customFormat="1" ht="12.75" x14ac:dyDescent="0.2">
      <c r="B40329" s="1168"/>
    </row>
    <row r="40330" spans="2:2" s="221" customFormat="1" ht="12.75" x14ac:dyDescent="0.2">
      <c r="B40330" s="1168"/>
    </row>
    <row r="40331" spans="2:2" s="221" customFormat="1" ht="12.75" x14ac:dyDescent="0.2">
      <c r="B40331" s="1168"/>
    </row>
    <row r="40332" spans="2:2" s="221" customFormat="1" ht="12.75" x14ac:dyDescent="0.2">
      <c r="B40332" s="1168"/>
    </row>
    <row r="40333" spans="2:2" s="221" customFormat="1" ht="12.75" x14ac:dyDescent="0.2">
      <c r="B40333" s="1168"/>
    </row>
    <row r="40334" spans="2:2" s="221" customFormat="1" ht="12.75" x14ac:dyDescent="0.2">
      <c r="B40334" s="1168"/>
    </row>
    <row r="40335" spans="2:2" s="221" customFormat="1" ht="12.75" x14ac:dyDescent="0.2">
      <c r="B40335" s="1168"/>
    </row>
    <row r="40336" spans="2:2" s="221" customFormat="1" ht="12.75" x14ac:dyDescent="0.2">
      <c r="B40336" s="1168"/>
    </row>
    <row r="40337" spans="2:2" s="221" customFormat="1" ht="12.75" x14ac:dyDescent="0.2">
      <c r="B40337" s="1168"/>
    </row>
    <row r="40338" spans="2:2" s="221" customFormat="1" ht="12.75" x14ac:dyDescent="0.2">
      <c r="B40338" s="1168"/>
    </row>
    <row r="40339" spans="2:2" s="221" customFormat="1" ht="12.75" x14ac:dyDescent="0.2">
      <c r="B40339" s="1168"/>
    </row>
    <row r="40340" spans="2:2" s="221" customFormat="1" ht="12.75" x14ac:dyDescent="0.2">
      <c r="B40340" s="1168"/>
    </row>
    <row r="40341" spans="2:2" s="221" customFormat="1" ht="12.75" x14ac:dyDescent="0.2">
      <c r="B40341" s="1168"/>
    </row>
    <row r="40342" spans="2:2" s="221" customFormat="1" ht="12.75" x14ac:dyDescent="0.2">
      <c r="B40342" s="1168"/>
    </row>
    <row r="40343" spans="2:2" s="221" customFormat="1" ht="12.75" x14ac:dyDescent="0.2">
      <c r="B40343" s="1168"/>
    </row>
    <row r="40344" spans="2:2" s="221" customFormat="1" ht="12.75" x14ac:dyDescent="0.2">
      <c r="B40344" s="1168"/>
    </row>
    <row r="40345" spans="2:2" s="221" customFormat="1" ht="12.75" x14ac:dyDescent="0.2">
      <c r="B40345" s="1168"/>
    </row>
    <row r="40346" spans="2:2" s="221" customFormat="1" ht="12.75" x14ac:dyDescent="0.2">
      <c r="B40346" s="1168"/>
    </row>
    <row r="40347" spans="2:2" s="221" customFormat="1" ht="12.75" x14ac:dyDescent="0.2">
      <c r="B40347" s="1168"/>
    </row>
    <row r="40348" spans="2:2" s="221" customFormat="1" ht="12.75" x14ac:dyDescent="0.2">
      <c r="B40348" s="1168"/>
    </row>
    <row r="40349" spans="2:2" s="221" customFormat="1" ht="12.75" x14ac:dyDescent="0.2">
      <c r="B40349" s="1168"/>
    </row>
    <row r="40350" spans="2:2" s="221" customFormat="1" ht="12.75" x14ac:dyDescent="0.2">
      <c r="B40350" s="1168"/>
    </row>
    <row r="40351" spans="2:2" s="221" customFormat="1" ht="12.75" x14ac:dyDescent="0.2">
      <c r="B40351" s="1168"/>
    </row>
    <row r="40352" spans="2:2" s="221" customFormat="1" ht="12.75" x14ac:dyDescent="0.2">
      <c r="B40352" s="1168"/>
    </row>
    <row r="40353" spans="2:2" s="221" customFormat="1" ht="12.75" x14ac:dyDescent="0.2">
      <c r="B40353" s="1168"/>
    </row>
    <row r="40354" spans="2:2" s="221" customFormat="1" ht="12.75" x14ac:dyDescent="0.2">
      <c r="B40354" s="1168"/>
    </row>
    <row r="40355" spans="2:2" s="221" customFormat="1" ht="12.75" x14ac:dyDescent="0.2">
      <c r="B40355" s="1168"/>
    </row>
    <row r="40356" spans="2:2" s="221" customFormat="1" ht="12.75" x14ac:dyDescent="0.2">
      <c r="B40356" s="1168"/>
    </row>
    <row r="40357" spans="2:2" s="221" customFormat="1" ht="12.75" x14ac:dyDescent="0.2">
      <c r="B40357" s="1168"/>
    </row>
    <row r="40358" spans="2:2" s="221" customFormat="1" ht="12.75" x14ac:dyDescent="0.2">
      <c r="B40358" s="1168"/>
    </row>
    <row r="40359" spans="2:2" s="221" customFormat="1" ht="12.75" x14ac:dyDescent="0.2">
      <c r="B40359" s="1168"/>
    </row>
    <row r="40360" spans="2:2" s="221" customFormat="1" ht="12.75" x14ac:dyDescent="0.2">
      <c r="B40360" s="1168"/>
    </row>
    <row r="40361" spans="2:2" s="221" customFormat="1" ht="12.75" x14ac:dyDescent="0.2">
      <c r="B40361" s="1168"/>
    </row>
    <row r="40362" spans="2:2" s="221" customFormat="1" ht="12.75" x14ac:dyDescent="0.2">
      <c r="B40362" s="1168"/>
    </row>
    <row r="40363" spans="2:2" s="221" customFormat="1" ht="12.75" x14ac:dyDescent="0.2">
      <c r="B40363" s="1168"/>
    </row>
    <row r="40364" spans="2:2" s="221" customFormat="1" ht="12.75" x14ac:dyDescent="0.2">
      <c r="B40364" s="1168"/>
    </row>
    <row r="40365" spans="2:2" s="221" customFormat="1" ht="12.75" x14ac:dyDescent="0.2">
      <c r="B40365" s="1168"/>
    </row>
    <row r="40366" spans="2:2" s="221" customFormat="1" ht="12.75" x14ac:dyDescent="0.2">
      <c r="B40366" s="1168"/>
    </row>
    <row r="40367" spans="2:2" s="221" customFormat="1" ht="12.75" x14ac:dyDescent="0.2">
      <c r="B40367" s="1168"/>
    </row>
    <row r="40368" spans="2:2" s="221" customFormat="1" ht="12.75" x14ac:dyDescent="0.2">
      <c r="B40368" s="1168"/>
    </row>
    <row r="40369" spans="2:2" s="221" customFormat="1" ht="12.75" x14ac:dyDescent="0.2">
      <c r="B40369" s="1168"/>
    </row>
    <row r="40370" spans="2:2" s="221" customFormat="1" ht="12.75" x14ac:dyDescent="0.2">
      <c r="B40370" s="1168"/>
    </row>
    <row r="40371" spans="2:2" s="221" customFormat="1" ht="12.75" x14ac:dyDescent="0.2">
      <c r="B40371" s="1168"/>
    </row>
    <row r="40372" spans="2:2" s="221" customFormat="1" ht="12.75" x14ac:dyDescent="0.2">
      <c r="B40372" s="1168"/>
    </row>
    <row r="40373" spans="2:2" s="221" customFormat="1" ht="12.75" x14ac:dyDescent="0.2">
      <c r="B40373" s="1168"/>
    </row>
    <row r="40374" spans="2:2" s="221" customFormat="1" ht="12.75" x14ac:dyDescent="0.2">
      <c r="B40374" s="1168"/>
    </row>
    <row r="40375" spans="2:2" s="221" customFormat="1" ht="12.75" x14ac:dyDescent="0.2">
      <c r="B40375" s="1168"/>
    </row>
    <row r="40376" spans="2:2" s="221" customFormat="1" ht="12.75" x14ac:dyDescent="0.2">
      <c r="B40376" s="1168"/>
    </row>
    <row r="40377" spans="2:2" s="221" customFormat="1" ht="12.75" x14ac:dyDescent="0.2">
      <c r="B40377" s="1168"/>
    </row>
    <row r="40378" spans="2:2" s="221" customFormat="1" ht="12.75" x14ac:dyDescent="0.2">
      <c r="B40378" s="1168"/>
    </row>
    <row r="40379" spans="2:2" s="221" customFormat="1" ht="12.75" x14ac:dyDescent="0.2">
      <c r="B40379" s="1168"/>
    </row>
    <row r="40380" spans="2:2" s="221" customFormat="1" ht="12.75" x14ac:dyDescent="0.2">
      <c r="B40380" s="1168"/>
    </row>
    <row r="40381" spans="2:2" s="221" customFormat="1" ht="12.75" x14ac:dyDescent="0.2">
      <c r="B40381" s="1168"/>
    </row>
    <row r="40382" spans="2:2" s="221" customFormat="1" ht="12.75" x14ac:dyDescent="0.2">
      <c r="B40382" s="1168"/>
    </row>
    <row r="40383" spans="2:2" s="221" customFormat="1" ht="12.75" x14ac:dyDescent="0.2">
      <c r="B40383" s="1168"/>
    </row>
    <row r="40384" spans="2:2" s="221" customFormat="1" ht="12.75" x14ac:dyDescent="0.2">
      <c r="B40384" s="1168"/>
    </row>
    <row r="40385" spans="2:2" s="221" customFormat="1" ht="12.75" x14ac:dyDescent="0.2">
      <c r="B40385" s="1168"/>
    </row>
    <row r="40386" spans="2:2" s="221" customFormat="1" ht="12.75" x14ac:dyDescent="0.2">
      <c r="B40386" s="1168"/>
    </row>
    <row r="40387" spans="2:2" s="221" customFormat="1" ht="12.75" x14ac:dyDescent="0.2">
      <c r="B40387" s="1168"/>
    </row>
    <row r="40388" spans="2:2" s="221" customFormat="1" ht="12.75" x14ac:dyDescent="0.2">
      <c r="B40388" s="1168"/>
    </row>
    <row r="40389" spans="2:2" s="221" customFormat="1" ht="12.75" x14ac:dyDescent="0.2">
      <c r="B40389" s="1168"/>
    </row>
    <row r="40390" spans="2:2" s="221" customFormat="1" ht="12.75" x14ac:dyDescent="0.2">
      <c r="B40390" s="1168"/>
    </row>
    <row r="40391" spans="2:2" s="221" customFormat="1" ht="12.75" x14ac:dyDescent="0.2">
      <c r="B40391" s="1168"/>
    </row>
    <row r="40392" spans="2:2" s="221" customFormat="1" ht="12.75" x14ac:dyDescent="0.2">
      <c r="B40392" s="1168"/>
    </row>
    <row r="40393" spans="2:2" s="221" customFormat="1" ht="12.75" x14ac:dyDescent="0.2">
      <c r="B40393" s="1168"/>
    </row>
    <row r="40394" spans="2:2" s="221" customFormat="1" ht="12.75" x14ac:dyDescent="0.2">
      <c r="B40394" s="1168"/>
    </row>
    <row r="40395" spans="2:2" s="221" customFormat="1" ht="12.75" x14ac:dyDescent="0.2">
      <c r="B40395" s="1168"/>
    </row>
    <row r="40396" spans="2:2" s="221" customFormat="1" ht="12.75" x14ac:dyDescent="0.2">
      <c r="B40396" s="1168"/>
    </row>
    <row r="40397" spans="2:2" s="221" customFormat="1" ht="12.75" x14ac:dyDescent="0.2">
      <c r="B40397" s="1168"/>
    </row>
    <row r="40398" spans="2:2" s="221" customFormat="1" ht="12.75" x14ac:dyDescent="0.2">
      <c r="B40398" s="1168"/>
    </row>
    <row r="40399" spans="2:2" s="221" customFormat="1" ht="12.75" x14ac:dyDescent="0.2">
      <c r="B40399" s="1168"/>
    </row>
    <row r="40400" spans="2:2" s="221" customFormat="1" ht="12.75" x14ac:dyDescent="0.2">
      <c r="B40400" s="1168"/>
    </row>
    <row r="40401" spans="2:2" s="221" customFormat="1" ht="12.75" x14ac:dyDescent="0.2">
      <c r="B40401" s="1168"/>
    </row>
    <row r="40402" spans="2:2" s="221" customFormat="1" ht="12.75" x14ac:dyDescent="0.2">
      <c r="B40402" s="1168"/>
    </row>
    <row r="40403" spans="2:2" s="221" customFormat="1" ht="12.75" x14ac:dyDescent="0.2">
      <c r="B40403" s="1168"/>
    </row>
    <row r="40404" spans="2:2" s="221" customFormat="1" ht="12.75" x14ac:dyDescent="0.2">
      <c r="B40404" s="1168"/>
    </row>
    <row r="40405" spans="2:2" s="221" customFormat="1" ht="12.75" x14ac:dyDescent="0.2">
      <c r="B40405" s="1168"/>
    </row>
    <row r="40406" spans="2:2" s="221" customFormat="1" ht="12.75" x14ac:dyDescent="0.2">
      <c r="B40406" s="1168"/>
    </row>
    <row r="40407" spans="2:2" s="221" customFormat="1" ht="12.75" x14ac:dyDescent="0.2">
      <c r="B40407" s="1168"/>
    </row>
    <row r="40408" spans="2:2" s="221" customFormat="1" ht="12.75" x14ac:dyDescent="0.2">
      <c r="B40408" s="1168"/>
    </row>
    <row r="40409" spans="2:2" s="221" customFormat="1" ht="12.75" x14ac:dyDescent="0.2">
      <c r="B40409" s="1168"/>
    </row>
    <row r="40410" spans="2:2" s="221" customFormat="1" ht="12.75" x14ac:dyDescent="0.2">
      <c r="B40410" s="1168"/>
    </row>
    <row r="40411" spans="2:2" s="221" customFormat="1" ht="12.75" x14ac:dyDescent="0.2">
      <c r="B40411" s="1168"/>
    </row>
    <row r="40412" spans="2:2" s="221" customFormat="1" ht="12.75" x14ac:dyDescent="0.2">
      <c r="B40412" s="1168"/>
    </row>
    <row r="40413" spans="2:2" s="221" customFormat="1" ht="12.75" x14ac:dyDescent="0.2">
      <c r="B40413" s="1168"/>
    </row>
    <row r="40414" spans="2:2" s="221" customFormat="1" ht="12.75" x14ac:dyDescent="0.2">
      <c r="B40414" s="1168"/>
    </row>
    <row r="40415" spans="2:2" s="221" customFormat="1" ht="12.75" x14ac:dyDescent="0.2">
      <c r="B40415" s="1168"/>
    </row>
    <row r="40416" spans="2:2" s="221" customFormat="1" ht="12.75" x14ac:dyDescent="0.2">
      <c r="B40416" s="1168"/>
    </row>
    <row r="40417" spans="2:2" s="221" customFormat="1" ht="12.75" x14ac:dyDescent="0.2">
      <c r="B40417" s="1168"/>
    </row>
    <row r="40418" spans="2:2" s="221" customFormat="1" ht="12.75" x14ac:dyDescent="0.2">
      <c r="B40418" s="1168"/>
    </row>
    <row r="40419" spans="2:2" s="221" customFormat="1" ht="12.75" x14ac:dyDescent="0.2">
      <c r="B40419" s="1168"/>
    </row>
    <row r="40420" spans="2:2" s="221" customFormat="1" ht="12.75" x14ac:dyDescent="0.2">
      <c r="B40420" s="1168"/>
    </row>
    <row r="40421" spans="2:2" s="221" customFormat="1" ht="12.75" x14ac:dyDescent="0.2">
      <c r="B40421" s="1168"/>
    </row>
    <row r="40422" spans="2:2" s="221" customFormat="1" ht="12.75" x14ac:dyDescent="0.2">
      <c r="B40422" s="1168"/>
    </row>
    <row r="40423" spans="2:2" s="221" customFormat="1" ht="12.75" x14ac:dyDescent="0.2">
      <c r="B40423" s="1168"/>
    </row>
    <row r="40424" spans="2:2" s="221" customFormat="1" ht="12.75" x14ac:dyDescent="0.2">
      <c r="B40424" s="1168"/>
    </row>
    <row r="40425" spans="2:2" s="221" customFormat="1" ht="12.75" x14ac:dyDescent="0.2">
      <c r="B40425" s="1168"/>
    </row>
    <row r="40426" spans="2:2" s="221" customFormat="1" ht="12.75" x14ac:dyDescent="0.2">
      <c r="B40426" s="1168"/>
    </row>
    <row r="40427" spans="2:2" s="221" customFormat="1" ht="12.75" x14ac:dyDescent="0.2">
      <c r="B40427" s="1168"/>
    </row>
    <row r="40428" spans="2:2" s="221" customFormat="1" ht="12.75" x14ac:dyDescent="0.2">
      <c r="B40428" s="1168"/>
    </row>
    <row r="40429" spans="2:2" s="221" customFormat="1" ht="12.75" x14ac:dyDescent="0.2">
      <c r="B40429" s="1168"/>
    </row>
    <row r="40430" spans="2:2" s="221" customFormat="1" ht="12.75" x14ac:dyDescent="0.2">
      <c r="B40430" s="1168"/>
    </row>
    <row r="40431" spans="2:2" s="221" customFormat="1" ht="12.75" x14ac:dyDescent="0.2">
      <c r="B40431" s="1168"/>
    </row>
    <row r="40432" spans="2:2" s="221" customFormat="1" ht="12.75" x14ac:dyDescent="0.2">
      <c r="B40432" s="1168"/>
    </row>
    <row r="40433" spans="2:2" s="221" customFormat="1" ht="12.75" x14ac:dyDescent="0.2">
      <c r="B40433" s="1168"/>
    </row>
    <row r="40434" spans="2:2" s="221" customFormat="1" ht="12.75" x14ac:dyDescent="0.2">
      <c r="B40434" s="1168"/>
    </row>
    <row r="40435" spans="2:2" s="221" customFormat="1" ht="12.75" x14ac:dyDescent="0.2">
      <c r="B40435" s="1168"/>
    </row>
    <row r="40436" spans="2:2" s="221" customFormat="1" ht="12.75" x14ac:dyDescent="0.2">
      <c r="B40436" s="1168"/>
    </row>
    <row r="40437" spans="2:2" s="221" customFormat="1" ht="12.75" x14ac:dyDescent="0.2">
      <c r="B40437" s="1168"/>
    </row>
    <row r="40438" spans="2:2" s="221" customFormat="1" ht="12.75" x14ac:dyDescent="0.2">
      <c r="B40438" s="1168"/>
    </row>
    <row r="40439" spans="2:2" s="221" customFormat="1" ht="12.75" x14ac:dyDescent="0.2">
      <c r="B40439" s="1168"/>
    </row>
    <row r="40440" spans="2:2" s="221" customFormat="1" ht="12.75" x14ac:dyDescent="0.2">
      <c r="B40440" s="1168"/>
    </row>
    <row r="40441" spans="2:2" s="221" customFormat="1" ht="12.75" x14ac:dyDescent="0.2">
      <c r="B40441" s="1168"/>
    </row>
    <row r="40442" spans="2:2" s="221" customFormat="1" ht="12.75" x14ac:dyDescent="0.2">
      <c r="B40442" s="1168"/>
    </row>
    <row r="40443" spans="2:2" s="221" customFormat="1" ht="12.75" x14ac:dyDescent="0.2">
      <c r="B40443" s="1168"/>
    </row>
    <row r="40444" spans="2:2" s="221" customFormat="1" ht="12.75" x14ac:dyDescent="0.2">
      <c r="B40444" s="1168"/>
    </row>
    <row r="40445" spans="2:2" s="221" customFormat="1" ht="12.75" x14ac:dyDescent="0.2">
      <c r="B40445" s="1168"/>
    </row>
    <row r="40446" spans="2:2" s="221" customFormat="1" ht="12.75" x14ac:dyDescent="0.2">
      <c r="B40446" s="1168"/>
    </row>
    <row r="40447" spans="2:2" s="221" customFormat="1" ht="12.75" x14ac:dyDescent="0.2">
      <c r="B40447" s="1168"/>
    </row>
    <row r="40448" spans="2:2" s="221" customFormat="1" ht="12.75" x14ac:dyDescent="0.2">
      <c r="B40448" s="1168"/>
    </row>
    <row r="40449" spans="2:2" s="221" customFormat="1" ht="12.75" x14ac:dyDescent="0.2">
      <c r="B40449" s="1168"/>
    </row>
    <row r="40450" spans="2:2" s="221" customFormat="1" ht="12.75" x14ac:dyDescent="0.2">
      <c r="B40450" s="1168"/>
    </row>
    <row r="40451" spans="2:2" s="221" customFormat="1" ht="12.75" x14ac:dyDescent="0.2">
      <c r="B40451" s="1168"/>
    </row>
    <row r="40452" spans="2:2" s="221" customFormat="1" ht="12.75" x14ac:dyDescent="0.2">
      <c r="B40452" s="1168"/>
    </row>
    <row r="40453" spans="2:2" s="221" customFormat="1" ht="12.75" x14ac:dyDescent="0.2">
      <c r="B40453" s="1168"/>
    </row>
    <row r="40454" spans="2:2" s="221" customFormat="1" ht="12.75" x14ac:dyDescent="0.2">
      <c r="B40454" s="1168"/>
    </row>
    <row r="40455" spans="2:2" s="221" customFormat="1" ht="12.75" x14ac:dyDescent="0.2">
      <c r="B40455" s="1168"/>
    </row>
    <row r="40456" spans="2:2" s="221" customFormat="1" ht="12.75" x14ac:dyDescent="0.2">
      <c r="B40456" s="1168"/>
    </row>
    <row r="40457" spans="2:2" s="221" customFormat="1" ht="12.75" x14ac:dyDescent="0.2">
      <c r="B40457" s="1168"/>
    </row>
    <row r="40458" spans="2:2" s="221" customFormat="1" ht="12.75" x14ac:dyDescent="0.2">
      <c r="B40458" s="1168"/>
    </row>
    <row r="40459" spans="2:2" s="221" customFormat="1" ht="12.75" x14ac:dyDescent="0.2">
      <c r="B40459" s="1168"/>
    </row>
    <row r="40460" spans="2:2" s="221" customFormat="1" ht="12.75" x14ac:dyDescent="0.2">
      <c r="B40460" s="1168"/>
    </row>
    <row r="40461" spans="2:2" s="221" customFormat="1" ht="12.75" x14ac:dyDescent="0.2">
      <c r="B40461" s="1168"/>
    </row>
    <row r="40462" spans="2:2" s="221" customFormat="1" ht="12.75" x14ac:dyDescent="0.2">
      <c r="B40462" s="1168"/>
    </row>
    <row r="40463" spans="2:2" s="221" customFormat="1" ht="12.75" x14ac:dyDescent="0.2">
      <c r="B40463" s="1168"/>
    </row>
    <row r="40464" spans="2:2" s="221" customFormat="1" ht="12.75" x14ac:dyDescent="0.2">
      <c r="B40464" s="1168"/>
    </row>
    <row r="40465" spans="2:2" s="221" customFormat="1" ht="12.75" x14ac:dyDescent="0.2">
      <c r="B40465" s="1168"/>
    </row>
    <row r="40466" spans="2:2" s="221" customFormat="1" ht="12.75" x14ac:dyDescent="0.2">
      <c r="B40466" s="1168"/>
    </row>
    <row r="40467" spans="2:2" s="221" customFormat="1" ht="12.75" x14ac:dyDescent="0.2">
      <c r="B40467" s="1168"/>
    </row>
    <row r="40468" spans="2:2" s="221" customFormat="1" ht="12.75" x14ac:dyDescent="0.2">
      <c r="B40468" s="1168"/>
    </row>
    <row r="40469" spans="2:2" s="221" customFormat="1" ht="12.75" x14ac:dyDescent="0.2">
      <c r="B40469" s="1168"/>
    </row>
    <row r="40470" spans="2:2" s="221" customFormat="1" ht="12.75" x14ac:dyDescent="0.2">
      <c r="B40470" s="1168"/>
    </row>
    <row r="40471" spans="2:2" s="221" customFormat="1" ht="12.75" x14ac:dyDescent="0.2">
      <c r="B40471" s="1168"/>
    </row>
    <row r="40472" spans="2:2" s="221" customFormat="1" ht="12.75" x14ac:dyDescent="0.2">
      <c r="B40472" s="1168"/>
    </row>
    <row r="40473" spans="2:2" s="221" customFormat="1" ht="12.75" x14ac:dyDescent="0.2">
      <c r="B40473" s="1168"/>
    </row>
    <row r="40474" spans="2:2" s="221" customFormat="1" ht="12.75" x14ac:dyDescent="0.2">
      <c r="B40474" s="1168"/>
    </row>
    <row r="40475" spans="2:2" s="221" customFormat="1" ht="12.75" x14ac:dyDescent="0.2">
      <c r="B40475" s="1168"/>
    </row>
    <row r="40476" spans="2:2" s="221" customFormat="1" ht="12.75" x14ac:dyDescent="0.2">
      <c r="B40476" s="1168"/>
    </row>
    <row r="40477" spans="2:2" s="221" customFormat="1" ht="12.75" x14ac:dyDescent="0.2">
      <c r="B40477" s="1168"/>
    </row>
    <row r="40478" spans="2:2" s="221" customFormat="1" ht="12.75" x14ac:dyDescent="0.2">
      <c r="B40478" s="1168"/>
    </row>
    <row r="40479" spans="2:2" s="221" customFormat="1" ht="12.75" x14ac:dyDescent="0.2">
      <c r="B40479" s="1168"/>
    </row>
    <row r="40480" spans="2:2" s="221" customFormat="1" ht="12.75" x14ac:dyDescent="0.2">
      <c r="B40480" s="1168"/>
    </row>
    <row r="40481" spans="2:2" s="221" customFormat="1" ht="12.75" x14ac:dyDescent="0.2">
      <c r="B40481" s="1168"/>
    </row>
    <row r="40482" spans="2:2" s="221" customFormat="1" ht="12.75" x14ac:dyDescent="0.2">
      <c r="B40482" s="1168"/>
    </row>
    <row r="40483" spans="2:2" s="221" customFormat="1" ht="12.75" x14ac:dyDescent="0.2">
      <c r="B40483" s="1168"/>
    </row>
    <row r="40484" spans="2:2" s="221" customFormat="1" ht="12.75" x14ac:dyDescent="0.2">
      <c r="B40484" s="1168"/>
    </row>
    <row r="40485" spans="2:2" s="221" customFormat="1" ht="12.75" x14ac:dyDescent="0.2">
      <c r="B40485" s="1168"/>
    </row>
    <row r="40486" spans="2:2" s="221" customFormat="1" ht="12.75" x14ac:dyDescent="0.2">
      <c r="B40486" s="1168"/>
    </row>
    <row r="40487" spans="2:2" s="221" customFormat="1" ht="12.75" x14ac:dyDescent="0.2">
      <c r="B40487" s="1168"/>
    </row>
    <row r="40488" spans="2:2" s="221" customFormat="1" ht="12.75" x14ac:dyDescent="0.2">
      <c r="B40488" s="1168"/>
    </row>
    <row r="40489" spans="2:2" s="221" customFormat="1" ht="12.75" x14ac:dyDescent="0.2">
      <c r="B40489" s="1168"/>
    </row>
    <row r="40490" spans="2:2" s="221" customFormat="1" ht="12.75" x14ac:dyDescent="0.2">
      <c r="B40490" s="1168"/>
    </row>
    <row r="40491" spans="2:2" s="221" customFormat="1" ht="12.75" x14ac:dyDescent="0.2">
      <c r="B40491" s="1168"/>
    </row>
    <row r="40492" spans="2:2" s="221" customFormat="1" ht="12.75" x14ac:dyDescent="0.2">
      <c r="B40492" s="1168"/>
    </row>
    <row r="40493" spans="2:2" s="221" customFormat="1" ht="12.75" x14ac:dyDescent="0.2">
      <c r="B40493" s="1168"/>
    </row>
    <row r="40494" spans="2:2" s="221" customFormat="1" ht="12.75" x14ac:dyDescent="0.2">
      <c r="B40494" s="1168"/>
    </row>
    <row r="40495" spans="2:2" s="221" customFormat="1" ht="12.75" x14ac:dyDescent="0.2">
      <c r="B40495" s="1168"/>
    </row>
    <row r="40496" spans="2:2" s="221" customFormat="1" ht="12.75" x14ac:dyDescent="0.2">
      <c r="B40496" s="1168"/>
    </row>
    <row r="40497" spans="2:2" s="221" customFormat="1" ht="12.75" x14ac:dyDescent="0.2">
      <c r="B40497" s="1168"/>
    </row>
    <row r="40498" spans="2:2" s="221" customFormat="1" ht="12.75" x14ac:dyDescent="0.2">
      <c r="B40498" s="1168"/>
    </row>
    <row r="40499" spans="2:2" s="221" customFormat="1" ht="12.75" x14ac:dyDescent="0.2">
      <c r="B40499" s="1168"/>
    </row>
    <row r="40500" spans="2:2" s="221" customFormat="1" ht="12.75" x14ac:dyDescent="0.2">
      <c r="B40500" s="1168"/>
    </row>
    <row r="40501" spans="2:2" s="221" customFormat="1" ht="12.75" x14ac:dyDescent="0.2">
      <c r="B40501" s="1168"/>
    </row>
    <row r="40502" spans="2:2" s="221" customFormat="1" ht="12.75" x14ac:dyDescent="0.2">
      <c r="B40502" s="1168"/>
    </row>
    <row r="40503" spans="2:2" s="221" customFormat="1" ht="12.75" x14ac:dyDescent="0.2">
      <c r="B40503" s="1168"/>
    </row>
    <row r="40504" spans="2:2" s="221" customFormat="1" ht="12.75" x14ac:dyDescent="0.2">
      <c r="B40504" s="1168"/>
    </row>
    <row r="40505" spans="2:2" s="221" customFormat="1" ht="12.75" x14ac:dyDescent="0.2">
      <c r="B40505" s="1168"/>
    </row>
    <row r="40506" spans="2:2" s="221" customFormat="1" ht="12.75" x14ac:dyDescent="0.2">
      <c r="B40506" s="1168"/>
    </row>
    <row r="40507" spans="2:2" s="221" customFormat="1" ht="12.75" x14ac:dyDescent="0.2">
      <c r="B40507" s="1168"/>
    </row>
    <row r="40508" spans="2:2" s="221" customFormat="1" ht="12.75" x14ac:dyDescent="0.2">
      <c r="B40508" s="1168"/>
    </row>
    <row r="40509" spans="2:2" s="221" customFormat="1" ht="12.75" x14ac:dyDescent="0.2">
      <c r="B40509" s="1168"/>
    </row>
    <row r="40510" spans="2:2" s="221" customFormat="1" ht="12.75" x14ac:dyDescent="0.2">
      <c r="B40510" s="1168"/>
    </row>
    <row r="40511" spans="2:2" s="221" customFormat="1" ht="12.75" x14ac:dyDescent="0.2">
      <c r="B40511" s="1168"/>
    </row>
    <row r="40512" spans="2:2" s="221" customFormat="1" ht="12.75" x14ac:dyDescent="0.2">
      <c r="B40512" s="1168"/>
    </row>
    <row r="40513" spans="2:2" s="221" customFormat="1" ht="12.75" x14ac:dyDescent="0.2">
      <c r="B40513" s="1168"/>
    </row>
    <row r="40514" spans="2:2" s="221" customFormat="1" ht="12.75" x14ac:dyDescent="0.2">
      <c r="B40514" s="1168"/>
    </row>
    <row r="40515" spans="2:2" s="221" customFormat="1" ht="12.75" x14ac:dyDescent="0.2">
      <c r="B40515" s="1168"/>
    </row>
    <row r="40516" spans="2:2" s="221" customFormat="1" ht="12.75" x14ac:dyDescent="0.2">
      <c r="B40516" s="1168"/>
    </row>
    <row r="40517" spans="2:2" s="221" customFormat="1" ht="12.75" x14ac:dyDescent="0.2">
      <c r="B40517" s="1168"/>
    </row>
    <row r="40518" spans="2:2" s="221" customFormat="1" ht="12.75" x14ac:dyDescent="0.2">
      <c r="B40518" s="1168"/>
    </row>
    <row r="40519" spans="2:2" s="221" customFormat="1" ht="12.75" x14ac:dyDescent="0.2">
      <c r="B40519" s="1168"/>
    </row>
    <row r="40520" spans="2:2" s="221" customFormat="1" ht="12.75" x14ac:dyDescent="0.2">
      <c r="B40520" s="1168"/>
    </row>
    <row r="40521" spans="2:2" s="221" customFormat="1" ht="12.75" x14ac:dyDescent="0.2">
      <c r="B40521" s="1168"/>
    </row>
    <row r="40522" spans="2:2" s="221" customFormat="1" ht="12.75" x14ac:dyDescent="0.2">
      <c r="B40522" s="1168"/>
    </row>
    <row r="40523" spans="2:2" s="221" customFormat="1" ht="12.75" x14ac:dyDescent="0.2">
      <c r="B40523" s="1168"/>
    </row>
    <row r="40524" spans="2:2" s="221" customFormat="1" ht="12.75" x14ac:dyDescent="0.2">
      <c r="B40524" s="1168"/>
    </row>
    <row r="40525" spans="2:2" s="221" customFormat="1" ht="12.75" x14ac:dyDescent="0.2">
      <c r="B40525" s="1168"/>
    </row>
    <row r="40526" spans="2:2" s="221" customFormat="1" ht="12.75" x14ac:dyDescent="0.2">
      <c r="B40526" s="1168"/>
    </row>
    <row r="40527" spans="2:2" s="221" customFormat="1" ht="12.75" x14ac:dyDescent="0.2">
      <c r="B40527" s="1168"/>
    </row>
    <row r="40528" spans="2:2" s="221" customFormat="1" ht="12.75" x14ac:dyDescent="0.2">
      <c r="B40528" s="1168"/>
    </row>
    <row r="40529" spans="2:2" s="221" customFormat="1" ht="12.75" x14ac:dyDescent="0.2">
      <c r="B40529" s="1168"/>
    </row>
    <row r="40530" spans="2:2" s="221" customFormat="1" ht="12.75" x14ac:dyDescent="0.2">
      <c r="B40530" s="1168"/>
    </row>
    <row r="40531" spans="2:2" s="221" customFormat="1" ht="12.75" x14ac:dyDescent="0.2">
      <c r="B40531" s="1168"/>
    </row>
    <row r="40532" spans="2:2" s="221" customFormat="1" ht="12.75" x14ac:dyDescent="0.2">
      <c r="B40532" s="1168"/>
    </row>
    <row r="40533" spans="2:2" s="221" customFormat="1" ht="12.75" x14ac:dyDescent="0.2">
      <c r="B40533" s="1168"/>
    </row>
    <row r="40534" spans="2:2" s="221" customFormat="1" ht="12.75" x14ac:dyDescent="0.2">
      <c r="B40534" s="1168"/>
    </row>
    <row r="40535" spans="2:2" s="221" customFormat="1" ht="12.75" x14ac:dyDescent="0.2">
      <c r="B40535" s="1168"/>
    </row>
    <row r="40536" spans="2:2" s="221" customFormat="1" ht="12.75" x14ac:dyDescent="0.2">
      <c r="B40536" s="1168"/>
    </row>
    <row r="40537" spans="2:2" s="221" customFormat="1" ht="12.75" x14ac:dyDescent="0.2">
      <c r="B40537" s="1168"/>
    </row>
    <row r="40538" spans="2:2" s="221" customFormat="1" ht="12.75" x14ac:dyDescent="0.2">
      <c r="B40538" s="1168"/>
    </row>
    <row r="40539" spans="2:2" s="221" customFormat="1" ht="12.75" x14ac:dyDescent="0.2">
      <c r="B40539" s="1168"/>
    </row>
    <row r="40540" spans="2:2" s="221" customFormat="1" ht="12.75" x14ac:dyDescent="0.2">
      <c r="B40540" s="1168"/>
    </row>
    <row r="40541" spans="2:2" s="221" customFormat="1" ht="12.75" x14ac:dyDescent="0.2">
      <c r="B40541" s="1168"/>
    </row>
    <row r="40542" spans="2:2" s="221" customFormat="1" ht="12.75" x14ac:dyDescent="0.2">
      <c r="B40542" s="1168"/>
    </row>
    <row r="40543" spans="2:2" s="221" customFormat="1" ht="12.75" x14ac:dyDescent="0.2">
      <c r="B40543" s="1168"/>
    </row>
    <row r="40544" spans="2:2" s="221" customFormat="1" ht="12.75" x14ac:dyDescent="0.2">
      <c r="B40544" s="1168"/>
    </row>
    <row r="40545" spans="2:2" s="221" customFormat="1" ht="12.75" x14ac:dyDescent="0.2">
      <c r="B40545" s="1168"/>
    </row>
    <row r="40546" spans="2:2" s="221" customFormat="1" ht="12.75" x14ac:dyDescent="0.2">
      <c r="B40546" s="1168"/>
    </row>
    <row r="40547" spans="2:2" s="221" customFormat="1" ht="12.75" x14ac:dyDescent="0.2">
      <c r="B40547" s="1168"/>
    </row>
    <row r="40548" spans="2:2" s="221" customFormat="1" ht="12.75" x14ac:dyDescent="0.2">
      <c r="B40548" s="1168"/>
    </row>
    <row r="40549" spans="2:2" s="221" customFormat="1" ht="12.75" x14ac:dyDescent="0.2">
      <c r="B40549" s="1168"/>
    </row>
    <row r="40550" spans="2:2" s="221" customFormat="1" ht="12.75" x14ac:dyDescent="0.2">
      <c r="B40550" s="1168"/>
    </row>
    <row r="40551" spans="2:2" s="221" customFormat="1" ht="12.75" x14ac:dyDescent="0.2">
      <c r="B40551" s="1168"/>
    </row>
    <row r="40552" spans="2:2" s="221" customFormat="1" ht="12.75" x14ac:dyDescent="0.2">
      <c r="B40552" s="1168"/>
    </row>
    <row r="40553" spans="2:2" s="221" customFormat="1" ht="12.75" x14ac:dyDescent="0.2">
      <c r="B40553" s="1168"/>
    </row>
    <row r="40554" spans="2:2" s="221" customFormat="1" ht="12.75" x14ac:dyDescent="0.2">
      <c r="B40554" s="1168"/>
    </row>
    <row r="40555" spans="2:2" s="221" customFormat="1" ht="12.75" x14ac:dyDescent="0.2">
      <c r="B40555" s="1168"/>
    </row>
    <row r="40556" spans="2:2" s="221" customFormat="1" ht="12.75" x14ac:dyDescent="0.2">
      <c r="B40556" s="1168"/>
    </row>
    <row r="40557" spans="2:2" s="221" customFormat="1" ht="12.75" x14ac:dyDescent="0.2">
      <c r="B40557" s="1168"/>
    </row>
    <row r="40558" spans="2:2" s="221" customFormat="1" ht="12.75" x14ac:dyDescent="0.2">
      <c r="B40558" s="1168"/>
    </row>
    <row r="40559" spans="2:2" s="221" customFormat="1" ht="12.75" x14ac:dyDescent="0.2">
      <c r="B40559" s="1168"/>
    </row>
    <row r="40560" spans="2:2" s="221" customFormat="1" ht="12.75" x14ac:dyDescent="0.2">
      <c r="B40560" s="1168"/>
    </row>
    <row r="40561" spans="2:2" s="221" customFormat="1" ht="12.75" x14ac:dyDescent="0.2">
      <c r="B40561" s="1168"/>
    </row>
    <row r="40562" spans="2:2" s="221" customFormat="1" ht="12.75" x14ac:dyDescent="0.2">
      <c r="B40562" s="1168"/>
    </row>
    <row r="40563" spans="2:2" s="221" customFormat="1" ht="12.75" x14ac:dyDescent="0.2">
      <c r="B40563" s="1168"/>
    </row>
    <row r="40564" spans="2:2" s="221" customFormat="1" ht="12.75" x14ac:dyDescent="0.2">
      <c r="B40564" s="1168"/>
    </row>
    <row r="40565" spans="2:2" s="221" customFormat="1" ht="12.75" x14ac:dyDescent="0.2">
      <c r="B40565" s="1168"/>
    </row>
    <row r="40566" spans="2:2" s="221" customFormat="1" ht="12.75" x14ac:dyDescent="0.2">
      <c r="B40566" s="1168"/>
    </row>
    <row r="40567" spans="2:2" s="221" customFormat="1" ht="12.75" x14ac:dyDescent="0.2">
      <c r="B40567" s="1168"/>
    </row>
    <row r="40568" spans="2:2" s="221" customFormat="1" ht="12.75" x14ac:dyDescent="0.2">
      <c r="B40568" s="1168"/>
    </row>
    <row r="40569" spans="2:2" s="221" customFormat="1" ht="12.75" x14ac:dyDescent="0.2">
      <c r="B40569" s="1168"/>
    </row>
    <row r="40570" spans="2:2" s="221" customFormat="1" ht="12.75" x14ac:dyDescent="0.2">
      <c r="B40570" s="1168"/>
    </row>
    <row r="40571" spans="2:2" s="221" customFormat="1" ht="12.75" x14ac:dyDescent="0.2">
      <c r="B40571" s="1168"/>
    </row>
    <row r="40572" spans="2:2" s="221" customFormat="1" ht="12.75" x14ac:dyDescent="0.2">
      <c r="B40572" s="1168"/>
    </row>
    <row r="40573" spans="2:2" s="221" customFormat="1" ht="12.75" x14ac:dyDescent="0.2">
      <c r="B40573" s="1168"/>
    </row>
    <row r="40574" spans="2:2" s="221" customFormat="1" ht="12.75" x14ac:dyDescent="0.2">
      <c r="B40574" s="1168"/>
    </row>
    <row r="40575" spans="2:2" s="221" customFormat="1" ht="12.75" x14ac:dyDescent="0.2">
      <c r="B40575" s="1168"/>
    </row>
    <row r="40576" spans="2:2" s="221" customFormat="1" ht="12.75" x14ac:dyDescent="0.2">
      <c r="B40576" s="1168"/>
    </row>
    <row r="40577" spans="2:2" s="221" customFormat="1" ht="12.75" x14ac:dyDescent="0.2">
      <c r="B40577" s="1168"/>
    </row>
    <row r="40578" spans="2:2" s="221" customFormat="1" ht="12.75" x14ac:dyDescent="0.2">
      <c r="B40578" s="1168"/>
    </row>
    <row r="40579" spans="2:2" s="221" customFormat="1" ht="12.75" x14ac:dyDescent="0.2">
      <c r="B40579" s="1168"/>
    </row>
    <row r="40580" spans="2:2" s="221" customFormat="1" ht="12.75" x14ac:dyDescent="0.2">
      <c r="B40580" s="1168"/>
    </row>
    <row r="40581" spans="2:2" s="221" customFormat="1" ht="12.75" x14ac:dyDescent="0.2">
      <c r="B40581" s="1168"/>
    </row>
    <row r="40582" spans="2:2" s="221" customFormat="1" ht="12.75" x14ac:dyDescent="0.2">
      <c r="B40582" s="1168"/>
    </row>
    <row r="40583" spans="2:2" s="221" customFormat="1" ht="12.75" x14ac:dyDescent="0.2">
      <c r="B40583" s="1168"/>
    </row>
    <row r="40584" spans="2:2" s="221" customFormat="1" ht="12.75" x14ac:dyDescent="0.2">
      <c r="B40584" s="1168"/>
    </row>
    <row r="40585" spans="2:2" s="221" customFormat="1" ht="12.75" x14ac:dyDescent="0.2">
      <c r="B40585" s="1168"/>
    </row>
    <row r="40586" spans="2:2" s="221" customFormat="1" ht="12.75" x14ac:dyDescent="0.2">
      <c r="B40586" s="1168"/>
    </row>
    <row r="40587" spans="2:2" s="221" customFormat="1" ht="12.75" x14ac:dyDescent="0.2">
      <c r="B40587" s="1168"/>
    </row>
    <row r="40588" spans="2:2" s="221" customFormat="1" ht="12.75" x14ac:dyDescent="0.2">
      <c r="B40588" s="1168"/>
    </row>
    <row r="40589" spans="2:2" s="221" customFormat="1" ht="12.75" x14ac:dyDescent="0.2">
      <c r="B40589" s="1168"/>
    </row>
    <row r="40590" spans="2:2" s="221" customFormat="1" ht="12.75" x14ac:dyDescent="0.2">
      <c r="B40590" s="1168"/>
    </row>
    <row r="40591" spans="2:2" s="221" customFormat="1" ht="12.75" x14ac:dyDescent="0.2">
      <c r="B40591" s="1168"/>
    </row>
    <row r="40592" spans="2:2" s="221" customFormat="1" ht="12.75" x14ac:dyDescent="0.2">
      <c r="B40592" s="1168"/>
    </row>
    <row r="40593" spans="2:2" s="221" customFormat="1" ht="12.75" x14ac:dyDescent="0.2">
      <c r="B40593" s="1168"/>
    </row>
    <row r="40594" spans="2:2" s="221" customFormat="1" ht="12.75" x14ac:dyDescent="0.2">
      <c r="B40594" s="1168"/>
    </row>
    <row r="40595" spans="2:2" s="221" customFormat="1" ht="12.75" x14ac:dyDescent="0.2">
      <c r="B40595" s="1168"/>
    </row>
    <row r="40596" spans="2:2" s="221" customFormat="1" ht="12.75" x14ac:dyDescent="0.2">
      <c r="B40596" s="1168"/>
    </row>
    <row r="40597" spans="2:2" s="221" customFormat="1" ht="12.75" x14ac:dyDescent="0.2">
      <c r="B40597" s="1168"/>
    </row>
    <row r="40598" spans="2:2" s="221" customFormat="1" ht="12.75" x14ac:dyDescent="0.2">
      <c r="B40598" s="1168"/>
    </row>
    <row r="40599" spans="2:2" s="221" customFormat="1" ht="12.75" x14ac:dyDescent="0.2">
      <c r="B40599" s="1168"/>
    </row>
    <row r="40600" spans="2:2" s="221" customFormat="1" ht="12.75" x14ac:dyDescent="0.2">
      <c r="B40600" s="1168"/>
    </row>
    <row r="40601" spans="2:2" s="221" customFormat="1" ht="12.75" x14ac:dyDescent="0.2">
      <c r="B40601" s="1168"/>
    </row>
    <row r="40602" spans="2:2" s="221" customFormat="1" ht="12.75" x14ac:dyDescent="0.2">
      <c r="B40602" s="1168"/>
    </row>
    <row r="40603" spans="2:2" s="221" customFormat="1" ht="12.75" x14ac:dyDescent="0.2">
      <c r="B40603" s="1168"/>
    </row>
    <row r="40604" spans="2:2" s="221" customFormat="1" ht="12.75" x14ac:dyDescent="0.2">
      <c r="B40604" s="1168"/>
    </row>
    <row r="40605" spans="2:2" s="221" customFormat="1" ht="12.75" x14ac:dyDescent="0.2">
      <c r="B40605" s="1168"/>
    </row>
    <row r="40606" spans="2:2" s="221" customFormat="1" ht="12.75" x14ac:dyDescent="0.2">
      <c r="B40606" s="1168"/>
    </row>
    <row r="40607" spans="2:2" s="221" customFormat="1" ht="12.75" x14ac:dyDescent="0.2">
      <c r="B40607" s="1168"/>
    </row>
    <row r="40608" spans="2:2" s="221" customFormat="1" ht="12.75" x14ac:dyDescent="0.2">
      <c r="B40608" s="1168"/>
    </row>
    <row r="40609" spans="2:2" s="221" customFormat="1" ht="12.75" x14ac:dyDescent="0.2">
      <c r="B40609" s="1168"/>
    </row>
    <row r="40610" spans="2:2" s="221" customFormat="1" ht="12.75" x14ac:dyDescent="0.2">
      <c r="B40610" s="1168"/>
    </row>
    <row r="40611" spans="2:2" s="221" customFormat="1" ht="12.75" x14ac:dyDescent="0.2">
      <c r="B40611" s="1168"/>
    </row>
    <row r="40612" spans="2:2" s="221" customFormat="1" ht="12.75" x14ac:dyDescent="0.2">
      <c r="B40612" s="1168"/>
    </row>
    <row r="40613" spans="2:2" s="221" customFormat="1" ht="12.75" x14ac:dyDescent="0.2">
      <c r="B40613" s="1168"/>
    </row>
    <row r="40614" spans="2:2" s="221" customFormat="1" ht="12.75" x14ac:dyDescent="0.2">
      <c r="B40614" s="1168"/>
    </row>
    <row r="40615" spans="2:2" s="221" customFormat="1" ht="12.75" x14ac:dyDescent="0.2">
      <c r="B40615" s="1168"/>
    </row>
    <row r="40616" spans="2:2" s="221" customFormat="1" ht="12.75" x14ac:dyDescent="0.2">
      <c r="B40616" s="1168"/>
    </row>
    <row r="40617" spans="2:2" s="221" customFormat="1" ht="12.75" x14ac:dyDescent="0.2">
      <c r="B40617" s="1168"/>
    </row>
    <row r="40618" spans="2:2" s="221" customFormat="1" ht="12.75" x14ac:dyDescent="0.2">
      <c r="B40618" s="1168"/>
    </row>
    <row r="40619" spans="2:2" s="221" customFormat="1" ht="12.75" x14ac:dyDescent="0.2">
      <c r="B40619" s="1168"/>
    </row>
    <row r="40620" spans="2:2" s="221" customFormat="1" ht="12.75" x14ac:dyDescent="0.2">
      <c r="B40620" s="1168"/>
    </row>
    <row r="40621" spans="2:2" s="221" customFormat="1" ht="12.75" x14ac:dyDescent="0.2">
      <c r="B40621" s="1168"/>
    </row>
    <row r="40622" spans="2:2" s="221" customFormat="1" ht="12.75" x14ac:dyDescent="0.2">
      <c r="B40622" s="1168"/>
    </row>
    <row r="40623" spans="2:2" s="221" customFormat="1" ht="12.75" x14ac:dyDescent="0.2">
      <c r="B40623" s="1168"/>
    </row>
    <row r="40624" spans="2:2" s="221" customFormat="1" ht="12.75" x14ac:dyDescent="0.2">
      <c r="B40624" s="1168"/>
    </row>
    <row r="40625" spans="2:2" s="221" customFormat="1" ht="12.75" x14ac:dyDescent="0.2">
      <c r="B40625" s="1168"/>
    </row>
    <row r="40626" spans="2:2" s="221" customFormat="1" ht="12.75" x14ac:dyDescent="0.2">
      <c r="B40626" s="1168"/>
    </row>
    <row r="40627" spans="2:2" s="221" customFormat="1" ht="12.75" x14ac:dyDescent="0.2">
      <c r="B40627" s="1168"/>
    </row>
    <row r="40628" spans="2:2" s="221" customFormat="1" ht="12.75" x14ac:dyDescent="0.2">
      <c r="B40628" s="1168"/>
    </row>
    <row r="40629" spans="2:2" s="221" customFormat="1" ht="12.75" x14ac:dyDescent="0.2">
      <c r="B40629" s="1168"/>
    </row>
    <row r="40630" spans="2:2" s="221" customFormat="1" ht="12.75" x14ac:dyDescent="0.2">
      <c r="B40630" s="1168"/>
    </row>
    <row r="40631" spans="2:2" s="221" customFormat="1" ht="12.75" x14ac:dyDescent="0.2">
      <c r="B40631" s="1168"/>
    </row>
    <row r="40632" spans="2:2" s="221" customFormat="1" ht="12.75" x14ac:dyDescent="0.2">
      <c r="B40632" s="1168"/>
    </row>
    <row r="40633" spans="2:2" s="221" customFormat="1" ht="12.75" x14ac:dyDescent="0.2">
      <c r="B40633" s="1168"/>
    </row>
    <row r="40634" spans="2:2" s="221" customFormat="1" ht="12.75" x14ac:dyDescent="0.2">
      <c r="B40634" s="1168"/>
    </row>
    <row r="40635" spans="2:2" s="221" customFormat="1" ht="12.75" x14ac:dyDescent="0.2">
      <c r="B40635" s="1168"/>
    </row>
    <row r="40636" spans="2:2" s="221" customFormat="1" ht="12.75" x14ac:dyDescent="0.2">
      <c r="B40636" s="1168"/>
    </row>
    <row r="40637" spans="2:2" s="221" customFormat="1" ht="12.75" x14ac:dyDescent="0.2">
      <c r="B40637" s="1168"/>
    </row>
    <row r="40638" spans="2:2" s="221" customFormat="1" ht="12.75" x14ac:dyDescent="0.2">
      <c r="B40638" s="1168"/>
    </row>
    <row r="40639" spans="2:2" s="221" customFormat="1" ht="12.75" x14ac:dyDescent="0.2">
      <c r="B40639" s="1168"/>
    </row>
    <row r="40640" spans="2:2" s="221" customFormat="1" ht="12.75" x14ac:dyDescent="0.2">
      <c r="B40640" s="1168"/>
    </row>
    <row r="40641" spans="2:2" s="221" customFormat="1" ht="12.75" x14ac:dyDescent="0.2">
      <c r="B40641" s="1168"/>
    </row>
    <row r="40642" spans="2:2" s="221" customFormat="1" ht="12.75" x14ac:dyDescent="0.2">
      <c r="B40642" s="1168"/>
    </row>
    <row r="40643" spans="2:2" s="221" customFormat="1" ht="12.75" x14ac:dyDescent="0.2">
      <c r="B40643" s="1168"/>
    </row>
    <row r="40644" spans="2:2" s="221" customFormat="1" ht="12.75" x14ac:dyDescent="0.2">
      <c r="B40644" s="1168"/>
    </row>
    <row r="40645" spans="2:2" s="221" customFormat="1" ht="12.75" x14ac:dyDescent="0.2">
      <c r="B40645" s="1168"/>
    </row>
    <row r="40646" spans="2:2" s="221" customFormat="1" ht="12.75" x14ac:dyDescent="0.2">
      <c r="B40646" s="1168"/>
    </row>
    <row r="40647" spans="2:2" s="221" customFormat="1" ht="12.75" x14ac:dyDescent="0.2">
      <c r="B40647" s="1168"/>
    </row>
    <row r="40648" spans="2:2" s="221" customFormat="1" ht="12.75" x14ac:dyDescent="0.2">
      <c r="B40648" s="1168"/>
    </row>
    <row r="40649" spans="2:2" s="221" customFormat="1" ht="12.75" x14ac:dyDescent="0.2">
      <c r="B40649" s="1168"/>
    </row>
    <row r="40650" spans="2:2" s="221" customFormat="1" ht="12.75" x14ac:dyDescent="0.2">
      <c r="B40650" s="1168"/>
    </row>
    <row r="40651" spans="2:2" s="221" customFormat="1" ht="12.75" x14ac:dyDescent="0.2">
      <c r="B40651" s="1168"/>
    </row>
    <row r="40652" spans="2:2" s="221" customFormat="1" ht="12.75" x14ac:dyDescent="0.2">
      <c r="B40652" s="1168"/>
    </row>
    <row r="40653" spans="2:2" s="221" customFormat="1" ht="12.75" x14ac:dyDescent="0.2">
      <c r="B40653" s="1168"/>
    </row>
    <row r="40654" spans="2:2" s="221" customFormat="1" ht="12.75" x14ac:dyDescent="0.2">
      <c r="B40654" s="1168"/>
    </row>
    <row r="40655" spans="2:2" s="221" customFormat="1" ht="12.75" x14ac:dyDescent="0.2">
      <c r="B40655" s="1168"/>
    </row>
    <row r="40656" spans="2:2" s="221" customFormat="1" ht="12.75" x14ac:dyDescent="0.2">
      <c r="B40656" s="1168"/>
    </row>
    <row r="40657" spans="2:2" s="221" customFormat="1" ht="12.75" x14ac:dyDescent="0.2">
      <c r="B40657" s="1168"/>
    </row>
    <row r="40658" spans="2:2" s="221" customFormat="1" ht="12.75" x14ac:dyDescent="0.2">
      <c r="B40658" s="1168"/>
    </row>
    <row r="40659" spans="2:2" s="221" customFormat="1" ht="12.75" x14ac:dyDescent="0.2">
      <c r="B40659" s="1168"/>
    </row>
    <row r="40660" spans="2:2" s="221" customFormat="1" ht="12.75" x14ac:dyDescent="0.2">
      <c r="B40660" s="1168"/>
    </row>
    <row r="40661" spans="2:2" s="221" customFormat="1" ht="12.75" x14ac:dyDescent="0.2">
      <c r="B40661" s="1168"/>
    </row>
    <row r="40662" spans="2:2" s="221" customFormat="1" ht="12.75" x14ac:dyDescent="0.2">
      <c r="B40662" s="1168"/>
    </row>
    <row r="40663" spans="2:2" s="221" customFormat="1" ht="12.75" x14ac:dyDescent="0.2">
      <c r="B40663" s="1168"/>
    </row>
    <row r="40664" spans="2:2" s="221" customFormat="1" ht="12.75" x14ac:dyDescent="0.2">
      <c r="B40664" s="1168"/>
    </row>
    <row r="40665" spans="2:2" s="221" customFormat="1" ht="12.75" x14ac:dyDescent="0.2">
      <c r="B40665" s="1168"/>
    </row>
    <row r="40666" spans="2:2" s="221" customFormat="1" ht="12.75" x14ac:dyDescent="0.2">
      <c r="B40666" s="1168"/>
    </row>
    <row r="40667" spans="2:2" s="221" customFormat="1" ht="12.75" x14ac:dyDescent="0.2">
      <c r="B40667" s="1168"/>
    </row>
    <row r="40668" spans="2:2" s="221" customFormat="1" ht="12.75" x14ac:dyDescent="0.2">
      <c r="B40668" s="1168"/>
    </row>
    <row r="40669" spans="2:2" s="221" customFormat="1" ht="12.75" x14ac:dyDescent="0.2">
      <c r="B40669" s="1168"/>
    </row>
    <row r="40670" spans="2:2" s="221" customFormat="1" ht="12.75" x14ac:dyDescent="0.2">
      <c r="B40670" s="1168"/>
    </row>
    <row r="40671" spans="2:2" s="221" customFormat="1" ht="12.75" x14ac:dyDescent="0.2">
      <c r="B40671" s="1168"/>
    </row>
    <row r="40672" spans="2:2" s="221" customFormat="1" ht="12.75" x14ac:dyDescent="0.2">
      <c r="B40672" s="1168"/>
    </row>
    <row r="40673" spans="2:2" s="221" customFormat="1" ht="12.75" x14ac:dyDescent="0.2">
      <c r="B40673" s="1168"/>
    </row>
    <row r="40674" spans="2:2" s="221" customFormat="1" ht="12.75" x14ac:dyDescent="0.2">
      <c r="B40674" s="1168"/>
    </row>
    <row r="40675" spans="2:2" s="221" customFormat="1" ht="12.75" x14ac:dyDescent="0.2">
      <c r="B40675" s="1168"/>
    </row>
    <row r="40676" spans="2:2" s="221" customFormat="1" ht="12.75" x14ac:dyDescent="0.2">
      <c r="B40676" s="1168"/>
    </row>
    <row r="40677" spans="2:2" s="221" customFormat="1" ht="12.75" x14ac:dyDescent="0.2">
      <c r="B40677" s="1168"/>
    </row>
    <row r="40678" spans="2:2" s="221" customFormat="1" ht="12.75" x14ac:dyDescent="0.2">
      <c r="B40678" s="1168"/>
    </row>
    <row r="40679" spans="2:2" s="221" customFormat="1" ht="12.75" x14ac:dyDescent="0.2">
      <c r="B40679" s="1168"/>
    </row>
    <row r="40680" spans="2:2" s="221" customFormat="1" ht="12.75" x14ac:dyDescent="0.2">
      <c r="B40680" s="1168"/>
    </row>
    <row r="40681" spans="2:2" s="221" customFormat="1" ht="12.75" x14ac:dyDescent="0.2">
      <c r="B40681" s="1168"/>
    </row>
    <row r="40682" spans="2:2" s="221" customFormat="1" ht="12.75" x14ac:dyDescent="0.2">
      <c r="B40682" s="1168"/>
    </row>
    <row r="40683" spans="2:2" s="221" customFormat="1" ht="12.75" x14ac:dyDescent="0.2">
      <c r="B40683" s="1168"/>
    </row>
    <row r="40684" spans="2:2" s="221" customFormat="1" ht="12.75" x14ac:dyDescent="0.2">
      <c r="B40684" s="1168"/>
    </row>
    <row r="40685" spans="2:2" s="221" customFormat="1" ht="12.75" x14ac:dyDescent="0.2">
      <c r="B40685" s="1168"/>
    </row>
    <row r="40686" spans="2:2" s="221" customFormat="1" ht="12.75" x14ac:dyDescent="0.2">
      <c r="B40686" s="1168"/>
    </row>
    <row r="40687" spans="2:2" s="221" customFormat="1" ht="12.75" x14ac:dyDescent="0.2">
      <c r="B40687" s="1168"/>
    </row>
    <row r="40688" spans="2:2" s="221" customFormat="1" ht="12.75" x14ac:dyDescent="0.2">
      <c r="B40688" s="1168"/>
    </row>
    <row r="40689" spans="2:2" s="221" customFormat="1" ht="12.75" x14ac:dyDescent="0.2">
      <c r="B40689" s="1168"/>
    </row>
    <row r="40690" spans="2:2" s="221" customFormat="1" ht="12.75" x14ac:dyDescent="0.2">
      <c r="B40690" s="1168"/>
    </row>
    <row r="40691" spans="2:2" s="221" customFormat="1" ht="12.75" x14ac:dyDescent="0.2">
      <c r="B40691" s="1168"/>
    </row>
    <row r="40692" spans="2:2" s="221" customFormat="1" ht="12.75" x14ac:dyDescent="0.2">
      <c r="B40692" s="1168"/>
    </row>
    <row r="40693" spans="2:2" s="221" customFormat="1" ht="12.75" x14ac:dyDescent="0.2">
      <c r="B40693" s="1168"/>
    </row>
    <row r="40694" spans="2:2" s="221" customFormat="1" ht="12.75" x14ac:dyDescent="0.2">
      <c r="B40694" s="1168"/>
    </row>
    <row r="40695" spans="2:2" s="221" customFormat="1" ht="12.75" x14ac:dyDescent="0.2">
      <c r="B40695" s="1168"/>
    </row>
    <row r="40696" spans="2:2" s="221" customFormat="1" ht="12.75" x14ac:dyDescent="0.2">
      <c r="B40696" s="1168"/>
    </row>
    <row r="40697" spans="2:2" s="221" customFormat="1" ht="12.75" x14ac:dyDescent="0.2">
      <c r="B40697" s="1168"/>
    </row>
    <row r="40698" spans="2:2" s="221" customFormat="1" ht="12.75" x14ac:dyDescent="0.2">
      <c r="B40698" s="1168"/>
    </row>
    <row r="40699" spans="2:2" s="221" customFormat="1" ht="12.75" x14ac:dyDescent="0.2">
      <c r="B40699" s="1168"/>
    </row>
    <row r="40700" spans="2:2" s="221" customFormat="1" ht="12.75" x14ac:dyDescent="0.2">
      <c r="B40700" s="1168"/>
    </row>
    <row r="40701" spans="2:2" s="221" customFormat="1" ht="12.75" x14ac:dyDescent="0.2">
      <c r="B40701" s="1168"/>
    </row>
    <row r="40702" spans="2:2" s="221" customFormat="1" ht="12.75" x14ac:dyDescent="0.2">
      <c r="B40702" s="1168"/>
    </row>
    <row r="40703" spans="2:2" s="221" customFormat="1" ht="12.75" x14ac:dyDescent="0.2">
      <c r="B40703" s="1168"/>
    </row>
    <row r="40704" spans="2:2" s="221" customFormat="1" ht="12.75" x14ac:dyDescent="0.2">
      <c r="B40704" s="1168"/>
    </row>
    <row r="40705" spans="2:2" s="221" customFormat="1" ht="12.75" x14ac:dyDescent="0.2">
      <c r="B40705" s="1168"/>
    </row>
    <row r="40706" spans="2:2" s="221" customFormat="1" ht="12.75" x14ac:dyDescent="0.2">
      <c r="B40706" s="1168"/>
    </row>
    <row r="40707" spans="2:2" s="221" customFormat="1" ht="12.75" x14ac:dyDescent="0.2">
      <c r="B40707" s="1168"/>
    </row>
    <row r="40708" spans="2:2" s="221" customFormat="1" ht="12.75" x14ac:dyDescent="0.2">
      <c r="B40708" s="1168"/>
    </row>
    <row r="40709" spans="2:2" s="221" customFormat="1" ht="12.75" x14ac:dyDescent="0.2">
      <c r="B40709" s="1168"/>
    </row>
    <row r="40710" spans="2:2" s="221" customFormat="1" ht="12.75" x14ac:dyDescent="0.2">
      <c r="B40710" s="1168"/>
    </row>
    <row r="40711" spans="2:2" s="221" customFormat="1" ht="12.75" x14ac:dyDescent="0.2">
      <c r="B40711" s="1168"/>
    </row>
    <row r="40712" spans="2:2" s="221" customFormat="1" ht="12.75" x14ac:dyDescent="0.2">
      <c r="B40712" s="1168"/>
    </row>
    <row r="40713" spans="2:2" s="221" customFormat="1" ht="12.75" x14ac:dyDescent="0.2">
      <c r="B40713" s="1168"/>
    </row>
    <row r="40714" spans="2:2" s="221" customFormat="1" ht="12.75" x14ac:dyDescent="0.2">
      <c r="B40714" s="1168"/>
    </row>
    <row r="40715" spans="2:2" s="221" customFormat="1" ht="12.75" x14ac:dyDescent="0.2">
      <c r="B40715" s="1168"/>
    </row>
    <row r="40716" spans="2:2" s="221" customFormat="1" ht="12.75" x14ac:dyDescent="0.2">
      <c r="B40716" s="1168"/>
    </row>
    <row r="40717" spans="2:2" s="221" customFormat="1" ht="12.75" x14ac:dyDescent="0.2">
      <c r="B40717" s="1168"/>
    </row>
    <row r="40718" spans="2:2" s="221" customFormat="1" ht="12.75" x14ac:dyDescent="0.2">
      <c r="B40718" s="1168"/>
    </row>
    <row r="40719" spans="2:2" s="221" customFormat="1" ht="12.75" x14ac:dyDescent="0.2">
      <c r="B40719" s="1168"/>
    </row>
    <row r="40720" spans="2:2" s="221" customFormat="1" ht="12.75" x14ac:dyDescent="0.2">
      <c r="B40720" s="1168"/>
    </row>
    <row r="40721" spans="2:2" s="221" customFormat="1" ht="12.75" x14ac:dyDescent="0.2">
      <c r="B40721" s="1168"/>
    </row>
    <row r="40722" spans="2:2" s="221" customFormat="1" ht="12.75" x14ac:dyDescent="0.2">
      <c r="B40722" s="1168"/>
    </row>
    <row r="40723" spans="2:2" s="221" customFormat="1" ht="12.75" x14ac:dyDescent="0.2">
      <c r="B40723" s="1168"/>
    </row>
    <row r="40724" spans="2:2" s="221" customFormat="1" ht="12.75" x14ac:dyDescent="0.2">
      <c r="B40724" s="1168"/>
    </row>
    <row r="40725" spans="2:2" s="221" customFormat="1" ht="12.75" x14ac:dyDescent="0.2">
      <c r="B40725" s="1168"/>
    </row>
    <row r="40726" spans="2:2" s="221" customFormat="1" ht="12.75" x14ac:dyDescent="0.2">
      <c r="B40726" s="1168"/>
    </row>
    <row r="40727" spans="2:2" s="221" customFormat="1" ht="12.75" x14ac:dyDescent="0.2">
      <c r="B40727" s="1168"/>
    </row>
    <row r="40728" spans="2:2" s="221" customFormat="1" ht="12.75" x14ac:dyDescent="0.2">
      <c r="B40728" s="1168"/>
    </row>
    <row r="40729" spans="2:2" s="221" customFormat="1" ht="12.75" x14ac:dyDescent="0.2">
      <c r="B40729" s="1168"/>
    </row>
    <row r="40730" spans="2:2" s="221" customFormat="1" ht="12.75" x14ac:dyDescent="0.2">
      <c r="B40730" s="1168"/>
    </row>
    <row r="40731" spans="2:2" s="221" customFormat="1" ht="12.75" x14ac:dyDescent="0.2">
      <c r="B40731" s="1168"/>
    </row>
    <row r="40732" spans="2:2" s="221" customFormat="1" ht="12.75" x14ac:dyDescent="0.2">
      <c r="B40732" s="1168"/>
    </row>
    <row r="40733" spans="2:2" s="221" customFormat="1" ht="12.75" x14ac:dyDescent="0.2">
      <c r="B40733" s="1168"/>
    </row>
    <row r="40734" spans="2:2" s="221" customFormat="1" ht="12.75" x14ac:dyDescent="0.2">
      <c r="B40734" s="1168"/>
    </row>
    <row r="40735" spans="2:2" s="221" customFormat="1" ht="12.75" x14ac:dyDescent="0.2">
      <c r="B40735" s="1168"/>
    </row>
    <row r="40736" spans="2:2" s="221" customFormat="1" ht="12.75" x14ac:dyDescent="0.2">
      <c r="B40736" s="1168"/>
    </row>
    <row r="40737" spans="2:2" s="221" customFormat="1" ht="12.75" x14ac:dyDescent="0.2">
      <c r="B40737" s="1168"/>
    </row>
    <row r="40738" spans="2:2" s="221" customFormat="1" ht="12.75" x14ac:dyDescent="0.2">
      <c r="B40738" s="1168"/>
    </row>
    <row r="40739" spans="2:2" s="221" customFormat="1" ht="12.75" x14ac:dyDescent="0.2">
      <c r="B40739" s="1168"/>
    </row>
    <row r="40740" spans="2:2" s="221" customFormat="1" ht="12.75" x14ac:dyDescent="0.2">
      <c r="B40740" s="1168"/>
    </row>
    <row r="40741" spans="2:2" s="221" customFormat="1" ht="12.75" x14ac:dyDescent="0.2">
      <c r="B40741" s="1168"/>
    </row>
    <row r="40742" spans="2:2" s="221" customFormat="1" ht="12.75" x14ac:dyDescent="0.2">
      <c r="B40742" s="1168"/>
    </row>
    <row r="40743" spans="2:2" s="221" customFormat="1" ht="12.75" x14ac:dyDescent="0.2">
      <c r="B40743" s="1168"/>
    </row>
    <row r="40744" spans="2:2" s="221" customFormat="1" ht="12.75" x14ac:dyDescent="0.2">
      <c r="B40744" s="1168"/>
    </row>
    <row r="40745" spans="2:2" s="221" customFormat="1" ht="12.75" x14ac:dyDescent="0.2">
      <c r="B40745" s="1168"/>
    </row>
    <row r="40746" spans="2:2" s="221" customFormat="1" ht="12.75" x14ac:dyDescent="0.2">
      <c r="B40746" s="1168"/>
    </row>
    <row r="40747" spans="2:2" s="221" customFormat="1" ht="12.75" x14ac:dyDescent="0.2">
      <c r="B40747" s="1168"/>
    </row>
    <row r="40748" spans="2:2" s="221" customFormat="1" ht="12.75" x14ac:dyDescent="0.2">
      <c r="B40748" s="1168"/>
    </row>
    <row r="40749" spans="2:2" s="221" customFormat="1" ht="12.75" x14ac:dyDescent="0.2">
      <c r="B40749" s="1168"/>
    </row>
    <row r="40750" spans="2:2" s="221" customFormat="1" ht="12.75" x14ac:dyDescent="0.2">
      <c r="B40750" s="1168"/>
    </row>
    <row r="40751" spans="2:2" s="221" customFormat="1" ht="12.75" x14ac:dyDescent="0.2">
      <c r="B40751" s="1168"/>
    </row>
    <row r="40752" spans="2:2" s="221" customFormat="1" ht="12.75" x14ac:dyDescent="0.2">
      <c r="B40752" s="1168"/>
    </row>
    <row r="40753" spans="2:2" s="221" customFormat="1" ht="12.75" x14ac:dyDescent="0.2">
      <c r="B40753" s="1168"/>
    </row>
    <row r="40754" spans="2:2" s="221" customFormat="1" ht="12.75" x14ac:dyDescent="0.2">
      <c r="B40754" s="1168"/>
    </row>
    <row r="40755" spans="2:2" s="221" customFormat="1" ht="12.75" x14ac:dyDescent="0.2">
      <c r="B40755" s="1168"/>
    </row>
    <row r="40756" spans="2:2" s="221" customFormat="1" ht="12.75" x14ac:dyDescent="0.2">
      <c r="B40756" s="1168"/>
    </row>
    <row r="40757" spans="2:2" s="221" customFormat="1" ht="12.75" x14ac:dyDescent="0.2">
      <c r="B40757" s="1168"/>
    </row>
    <row r="40758" spans="2:2" s="221" customFormat="1" ht="12.75" x14ac:dyDescent="0.2">
      <c r="B40758" s="1168"/>
    </row>
    <row r="40759" spans="2:2" s="221" customFormat="1" ht="12.75" x14ac:dyDescent="0.2">
      <c r="B40759" s="1168"/>
    </row>
    <row r="40760" spans="2:2" s="221" customFormat="1" ht="12.75" x14ac:dyDescent="0.2">
      <c r="B40760" s="1168"/>
    </row>
    <row r="40761" spans="2:2" s="221" customFormat="1" ht="12.75" x14ac:dyDescent="0.2">
      <c r="B40761" s="1168"/>
    </row>
    <row r="40762" spans="2:2" s="221" customFormat="1" ht="12.75" x14ac:dyDescent="0.2">
      <c r="B40762" s="1168"/>
    </row>
    <row r="40763" spans="2:2" s="221" customFormat="1" ht="12.75" x14ac:dyDescent="0.2">
      <c r="B40763" s="1168"/>
    </row>
    <row r="40764" spans="2:2" s="221" customFormat="1" ht="12.75" x14ac:dyDescent="0.2">
      <c r="B40764" s="1168"/>
    </row>
    <row r="40765" spans="2:2" s="221" customFormat="1" ht="12.75" x14ac:dyDescent="0.2">
      <c r="B40765" s="1168"/>
    </row>
    <row r="40766" spans="2:2" s="221" customFormat="1" ht="12.75" x14ac:dyDescent="0.2">
      <c r="B40766" s="1168"/>
    </row>
    <row r="40767" spans="2:2" s="221" customFormat="1" ht="12.75" x14ac:dyDescent="0.2">
      <c r="B40767" s="1168"/>
    </row>
    <row r="40768" spans="2:2" s="221" customFormat="1" ht="12.75" x14ac:dyDescent="0.2">
      <c r="B40768" s="1168"/>
    </row>
    <row r="40769" spans="2:2" s="221" customFormat="1" ht="12.75" x14ac:dyDescent="0.2">
      <c r="B40769" s="1168"/>
    </row>
    <row r="40770" spans="2:2" s="221" customFormat="1" ht="12.75" x14ac:dyDescent="0.2">
      <c r="B40770" s="1168"/>
    </row>
    <row r="40771" spans="2:2" s="221" customFormat="1" ht="12.75" x14ac:dyDescent="0.2">
      <c r="B40771" s="1168"/>
    </row>
    <row r="40772" spans="2:2" s="221" customFormat="1" ht="12.75" x14ac:dyDescent="0.2">
      <c r="B40772" s="1168"/>
    </row>
    <row r="40773" spans="2:2" s="221" customFormat="1" ht="12.75" x14ac:dyDescent="0.2">
      <c r="B40773" s="1168"/>
    </row>
    <row r="40774" spans="2:2" s="221" customFormat="1" ht="12.75" x14ac:dyDescent="0.2">
      <c r="B40774" s="1168"/>
    </row>
    <row r="40775" spans="2:2" s="221" customFormat="1" ht="12.75" x14ac:dyDescent="0.2">
      <c r="B40775" s="1168"/>
    </row>
    <row r="40776" spans="2:2" s="221" customFormat="1" ht="12.75" x14ac:dyDescent="0.2">
      <c r="B40776" s="1168"/>
    </row>
    <row r="40777" spans="2:2" s="221" customFormat="1" ht="12.75" x14ac:dyDescent="0.2">
      <c r="B40777" s="1168"/>
    </row>
    <row r="40778" spans="2:2" s="221" customFormat="1" ht="12.75" x14ac:dyDescent="0.2">
      <c r="B40778" s="1168"/>
    </row>
    <row r="40779" spans="2:2" s="221" customFormat="1" ht="12.75" x14ac:dyDescent="0.2">
      <c r="B40779" s="1168"/>
    </row>
    <row r="40780" spans="2:2" s="221" customFormat="1" ht="12.75" x14ac:dyDescent="0.2">
      <c r="B40780" s="1168"/>
    </row>
    <row r="40781" spans="2:2" s="221" customFormat="1" ht="12.75" x14ac:dyDescent="0.2">
      <c r="B40781" s="1168"/>
    </row>
    <row r="40782" spans="2:2" s="221" customFormat="1" ht="12.75" x14ac:dyDescent="0.2">
      <c r="B40782" s="1168"/>
    </row>
    <row r="40783" spans="2:2" s="221" customFormat="1" ht="12.75" x14ac:dyDescent="0.2">
      <c r="B40783" s="1168"/>
    </row>
    <row r="40784" spans="2:2" s="221" customFormat="1" ht="12.75" x14ac:dyDescent="0.2">
      <c r="B40784" s="1168"/>
    </row>
    <row r="40785" spans="2:2" s="221" customFormat="1" ht="12.75" x14ac:dyDescent="0.2">
      <c r="B40785" s="1168"/>
    </row>
    <row r="40786" spans="2:2" s="221" customFormat="1" ht="12.75" x14ac:dyDescent="0.2">
      <c r="B40786" s="1168"/>
    </row>
    <row r="40787" spans="2:2" s="221" customFormat="1" ht="12.75" x14ac:dyDescent="0.2">
      <c r="B40787" s="1168"/>
    </row>
    <row r="40788" spans="2:2" s="221" customFormat="1" ht="12.75" x14ac:dyDescent="0.2">
      <c r="B40788" s="1168"/>
    </row>
    <row r="40789" spans="2:2" s="221" customFormat="1" ht="12.75" x14ac:dyDescent="0.2">
      <c r="B40789" s="1168"/>
    </row>
    <row r="40790" spans="2:2" s="221" customFormat="1" ht="12.75" x14ac:dyDescent="0.2">
      <c r="B40790" s="1168"/>
    </row>
    <row r="40791" spans="2:2" s="221" customFormat="1" ht="12.75" x14ac:dyDescent="0.2">
      <c r="B40791" s="1168"/>
    </row>
    <row r="40792" spans="2:2" s="221" customFormat="1" ht="12.75" x14ac:dyDescent="0.2">
      <c r="B40792" s="1168"/>
    </row>
    <row r="40793" spans="2:2" s="221" customFormat="1" ht="12.75" x14ac:dyDescent="0.2">
      <c r="B40793" s="1168"/>
    </row>
    <row r="40794" spans="2:2" s="221" customFormat="1" ht="12.75" x14ac:dyDescent="0.2">
      <c r="B40794" s="1168"/>
    </row>
    <row r="40795" spans="2:2" s="221" customFormat="1" ht="12.75" x14ac:dyDescent="0.2">
      <c r="B40795" s="1168"/>
    </row>
    <row r="40796" spans="2:2" s="221" customFormat="1" ht="12.75" x14ac:dyDescent="0.2">
      <c r="B40796" s="1168"/>
    </row>
    <row r="40797" spans="2:2" s="221" customFormat="1" ht="12.75" x14ac:dyDescent="0.2">
      <c r="B40797" s="1168"/>
    </row>
    <row r="40798" spans="2:2" s="221" customFormat="1" ht="12.75" x14ac:dyDescent="0.2">
      <c r="B40798" s="1168"/>
    </row>
    <row r="40799" spans="2:2" s="221" customFormat="1" ht="12.75" x14ac:dyDescent="0.2">
      <c r="B40799" s="1168"/>
    </row>
    <row r="40800" spans="2:2" s="221" customFormat="1" ht="12.75" x14ac:dyDescent="0.2">
      <c r="B40800" s="1168"/>
    </row>
    <row r="40801" spans="2:2" s="221" customFormat="1" ht="12.75" x14ac:dyDescent="0.2">
      <c r="B40801" s="1168"/>
    </row>
    <row r="40802" spans="2:2" s="221" customFormat="1" ht="12.75" x14ac:dyDescent="0.2">
      <c r="B40802" s="1168"/>
    </row>
    <row r="40803" spans="2:2" s="221" customFormat="1" ht="12.75" x14ac:dyDescent="0.2">
      <c r="B40803" s="1168"/>
    </row>
    <row r="40804" spans="2:2" s="221" customFormat="1" ht="12.75" x14ac:dyDescent="0.2">
      <c r="B40804" s="1168"/>
    </row>
    <row r="40805" spans="2:2" s="221" customFormat="1" ht="12.75" x14ac:dyDescent="0.2">
      <c r="B40805" s="1168"/>
    </row>
    <row r="40806" spans="2:2" s="221" customFormat="1" ht="12.75" x14ac:dyDescent="0.2">
      <c r="B40806" s="1168"/>
    </row>
    <row r="40807" spans="2:2" s="221" customFormat="1" ht="12.75" x14ac:dyDescent="0.2">
      <c r="B40807" s="1168"/>
    </row>
    <row r="40808" spans="2:2" s="221" customFormat="1" ht="12.75" x14ac:dyDescent="0.2">
      <c r="B40808" s="1168"/>
    </row>
    <row r="40809" spans="2:2" s="221" customFormat="1" ht="12.75" x14ac:dyDescent="0.2">
      <c r="B40809" s="1168"/>
    </row>
    <row r="40810" spans="2:2" s="221" customFormat="1" ht="12.75" x14ac:dyDescent="0.2">
      <c r="B40810" s="1168"/>
    </row>
    <row r="40811" spans="2:2" s="221" customFormat="1" ht="12.75" x14ac:dyDescent="0.2">
      <c r="B40811" s="1168"/>
    </row>
    <row r="40812" spans="2:2" s="221" customFormat="1" ht="12.75" x14ac:dyDescent="0.2">
      <c r="B40812" s="1168"/>
    </row>
    <row r="40813" spans="2:2" s="221" customFormat="1" ht="12.75" x14ac:dyDescent="0.2">
      <c r="B40813" s="1168"/>
    </row>
    <row r="40814" spans="2:2" s="221" customFormat="1" ht="12.75" x14ac:dyDescent="0.2">
      <c r="B40814" s="1168"/>
    </row>
    <row r="40815" spans="2:2" s="221" customFormat="1" ht="12.75" x14ac:dyDescent="0.2">
      <c r="B40815" s="1168"/>
    </row>
    <row r="40816" spans="2:2" s="221" customFormat="1" ht="12.75" x14ac:dyDescent="0.2">
      <c r="B40816" s="1168"/>
    </row>
    <row r="40817" spans="2:2" s="221" customFormat="1" ht="12.75" x14ac:dyDescent="0.2">
      <c r="B40817" s="1168"/>
    </row>
    <row r="40818" spans="2:2" s="221" customFormat="1" ht="12.75" x14ac:dyDescent="0.2">
      <c r="B40818" s="1168"/>
    </row>
    <row r="40819" spans="2:2" s="221" customFormat="1" ht="12.75" x14ac:dyDescent="0.2">
      <c r="B40819" s="1168"/>
    </row>
    <row r="40820" spans="2:2" s="221" customFormat="1" ht="12.75" x14ac:dyDescent="0.2">
      <c r="B40820" s="1168"/>
    </row>
    <row r="40821" spans="2:2" s="221" customFormat="1" ht="12.75" x14ac:dyDescent="0.2">
      <c r="B40821" s="1168"/>
    </row>
    <row r="40822" spans="2:2" s="221" customFormat="1" ht="12.75" x14ac:dyDescent="0.2">
      <c r="B40822" s="1168"/>
    </row>
    <row r="40823" spans="2:2" s="221" customFormat="1" ht="12.75" x14ac:dyDescent="0.2">
      <c r="B40823" s="1168"/>
    </row>
    <row r="40824" spans="2:2" s="221" customFormat="1" ht="12.75" x14ac:dyDescent="0.2">
      <c r="B40824" s="1168"/>
    </row>
    <row r="40825" spans="2:2" s="221" customFormat="1" ht="12.75" x14ac:dyDescent="0.2">
      <c r="B40825" s="1168"/>
    </row>
    <row r="40826" spans="2:2" s="221" customFormat="1" ht="12.75" x14ac:dyDescent="0.2">
      <c r="B40826" s="1168"/>
    </row>
    <row r="40827" spans="2:2" s="221" customFormat="1" ht="12.75" x14ac:dyDescent="0.2">
      <c r="B40827" s="1168"/>
    </row>
    <row r="40828" spans="2:2" s="221" customFormat="1" ht="12.75" x14ac:dyDescent="0.2">
      <c r="B40828" s="1168"/>
    </row>
    <row r="40829" spans="2:2" s="221" customFormat="1" ht="12.75" x14ac:dyDescent="0.2">
      <c r="B40829" s="1168"/>
    </row>
    <row r="40830" spans="2:2" s="221" customFormat="1" ht="12.75" x14ac:dyDescent="0.2">
      <c r="B40830" s="1168"/>
    </row>
    <row r="40831" spans="2:2" s="221" customFormat="1" ht="12.75" x14ac:dyDescent="0.2">
      <c r="B40831" s="1168"/>
    </row>
    <row r="40832" spans="2:2" s="221" customFormat="1" ht="12.75" x14ac:dyDescent="0.2">
      <c r="B40832" s="1168"/>
    </row>
    <row r="40833" spans="2:2" s="221" customFormat="1" ht="12.75" x14ac:dyDescent="0.2">
      <c r="B40833" s="1168"/>
    </row>
    <row r="40834" spans="2:2" s="221" customFormat="1" ht="12.75" x14ac:dyDescent="0.2">
      <c r="B40834" s="1168"/>
    </row>
    <row r="40835" spans="2:2" s="221" customFormat="1" ht="12.75" x14ac:dyDescent="0.2">
      <c r="B40835" s="1168"/>
    </row>
    <row r="40836" spans="2:2" s="221" customFormat="1" ht="12.75" x14ac:dyDescent="0.2">
      <c r="B40836" s="1168"/>
    </row>
    <row r="40837" spans="2:2" s="221" customFormat="1" ht="12.75" x14ac:dyDescent="0.2">
      <c r="B40837" s="1168"/>
    </row>
    <row r="40838" spans="2:2" s="221" customFormat="1" ht="12.75" x14ac:dyDescent="0.2">
      <c r="B40838" s="1168"/>
    </row>
    <row r="40839" spans="2:2" s="221" customFormat="1" ht="12.75" x14ac:dyDescent="0.2">
      <c r="B40839" s="1168"/>
    </row>
    <row r="40840" spans="2:2" s="221" customFormat="1" ht="12.75" x14ac:dyDescent="0.2">
      <c r="B40840" s="1168"/>
    </row>
    <row r="40841" spans="2:2" s="221" customFormat="1" ht="12.75" x14ac:dyDescent="0.2">
      <c r="B40841" s="1168"/>
    </row>
    <row r="40842" spans="2:2" s="221" customFormat="1" ht="12.75" x14ac:dyDescent="0.2">
      <c r="B40842" s="1168"/>
    </row>
    <row r="40843" spans="2:2" s="221" customFormat="1" ht="12.75" x14ac:dyDescent="0.2">
      <c r="B40843" s="1168"/>
    </row>
    <row r="40844" spans="2:2" s="221" customFormat="1" ht="12.75" x14ac:dyDescent="0.2">
      <c r="B40844" s="1168"/>
    </row>
    <row r="40845" spans="2:2" s="221" customFormat="1" ht="12.75" x14ac:dyDescent="0.2">
      <c r="B40845" s="1168"/>
    </row>
    <row r="40846" spans="2:2" s="221" customFormat="1" ht="12.75" x14ac:dyDescent="0.2">
      <c r="B40846" s="1168"/>
    </row>
    <row r="40847" spans="2:2" s="221" customFormat="1" ht="12.75" x14ac:dyDescent="0.2">
      <c r="B40847" s="1168"/>
    </row>
    <row r="40848" spans="2:2" s="221" customFormat="1" ht="12.75" x14ac:dyDescent="0.2">
      <c r="B40848" s="1168"/>
    </row>
    <row r="40849" spans="2:2" s="221" customFormat="1" ht="12.75" x14ac:dyDescent="0.2">
      <c r="B40849" s="1168"/>
    </row>
    <row r="40850" spans="2:2" s="221" customFormat="1" ht="12.75" x14ac:dyDescent="0.2">
      <c r="B40850" s="1168"/>
    </row>
    <row r="40851" spans="2:2" s="221" customFormat="1" ht="12.75" x14ac:dyDescent="0.2">
      <c r="B40851" s="1168"/>
    </row>
    <row r="40852" spans="2:2" s="221" customFormat="1" ht="12.75" x14ac:dyDescent="0.2">
      <c r="B40852" s="1168"/>
    </row>
    <row r="40853" spans="2:2" s="221" customFormat="1" ht="12.75" x14ac:dyDescent="0.2">
      <c r="B40853" s="1168"/>
    </row>
    <row r="40854" spans="2:2" s="221" customFormat="1" ht="12.75" x14ac:dyDescent="0.2">
      <c r="B40854" s="1168"/>
    </row>
    <row r="40855" spans="2:2" s="221" customFormat="1" ht="12.75" x14ac:dyDescent="0.2">
      <c r="B40855" s="1168"/>
    </row>
    <row r="40856" spans="2:2" s="221" customFormat="1" ht="12.75" x14ac:dyDescent="0.2">
      <c r="B40856" s="1168"/>
    </row>
    <row r="40857" spans="2:2" s="221" customFormat="1" ht="12.75" x14ac:dyDescent="0.2">
      <c r="B40857" s="1168"/>
    </row>
    <row r="40858" spans="2:2" s="221" customFormat="1" ht="12.75" x14ac:dyDescent="0.2">
      <c r="B40858" s="1168"/>
    </row>
    <row r="40859" spans="2:2" s="221" customFormat="1" ht="12.75" x14ac:dyDescent="0.2">
      <c r="B40859" s="1168"/>
    </row>
    <row r="40860" spans="2:2" s="221" customFormat="1" ht="12.75" x14ac:dyDescent="0.2">
      <c r="B40860" s="1168"/>
    </row>
    <row r="40861" spans="2:2" s="221" customFormat="1" ht="12.75" x14ac:dyDescent="0.2">
      <c r="B40861" s="1168"/>
    </row>
    <row r="40862" spans="2:2" s="221" customFormat="1" ht="12.75" x14ac:dyDescent="0.2">
      <c r="B40862" s="1168"/>
    </row>
    <row r="40863" spans="2:2" s="221" customFormat="1" ht="12.75" x14ac:dyDescent="0.2">
      <c r="B40863" s="1168"/>
    </row>
    <row r="40864" spans="2:2" s="221" customFormat="1" ht="12.75" x14ac:dyDescent="0.2">
      <c r="B40864" s="1168"/>
    </row>
    <row r="40865" spans="2:2" s="221" customFormat="1" ht="12.75" x14ac:dyDescent="0.2">
      <c r="B40865" s="1168"/>
    </row>
    <row r="40866" spans="2:2" s="221" customFormat="1" ht="12.75" x14ac:dyDescent="0.2">
      <c r="B40866" s="1168"/>
    </row>
    <row r="40867" spans="2:2" s="221" customFormat="1" ht="12.75" x14ac:dyDescent="0.2">
      <c r="B40867" s="1168"/>
    </row>
    <row r="40868" spans="2:2" s="221" customFormat="1" ht="12.75" x14ac:dyDescent="0.2">
      <c r="B40868" s="1168"/>
    </row>
    <row r="40869" spans="2:2" s="221" customFormat="1" ht="12.75" x14ac:dyDescent="0.2">
      <c r="B40869" s="1168"/>
    </row>
    <row r="40870" spans="2:2" s="221" customFormat="1" ht="12.75" x14ac:dyDescent="0.2">
      <c r="B40870" s="1168"/>
    </row>
    <row r="40871" spans="2:2" s="221" customFormat="1" ht="12.75" x14ac:dyDescent="0.2">
      <c r="B40871" s="1168"/>
    </row>
    <row r="40872" spans="2:2" s="221" customFormat="1" ht="12.75" x14ac:dyDescent="0.2">
      <c r="B40872" s="1168"/>
    </row>
    <row r="40873" spans="2:2" s="221" customFormat="1" ht="12.75" x14ac:dyDescent="0.2">
      <c r="B40873" s="1168"/>
    </row>
    <row r="40874" spans="2:2" s="221" customFormat="1" ht="12.75" x14ac:dyDescent="0.2">
      <c r="B40874" s="1168"/>
    </row>
    <row r="40875" spans="2:2" s="221" customFormat="1" ht="12.75" x14ac:dyDescent="0.2">
      <c r="B40875" s="1168"/>
    </row>
    <row r="40876" spans="2:2" s="221" customFormat="1" ht="12.75" x14ac:dyDescent="0.2">
      <c r="B40876" s="1168"/>
    </row>
    <row r="40877" spans="2:2" s="221" customFormat="1" ht="12.75" x14ac:dyDescent="0.2">
      <c r="B40877" s="1168"/>
    </row>
    <row r="40878" spans="2:2" s="221" customFormat="1" ht="12.75" x14ac:dyDescent="0.2">
      <c r="B40878" s="1168"/>
    </row>
    <row r="40879" spans="2:2" s="221" customFormat="1" ht="12.75" x14ac:dyDescent="0.2">
      <c r="B40879" s="1168"/>
    </row>
    <row r="40880" spans="2:2" s="221" customFormat="1" ht="12.75" x14ac:dyDescent="0.2">
      <c r="B40880" s="1168"/>
    </row>
    <row r="40881" spans="2:2" s="221" customFormat="1" ht="12.75" x14ac:dyDescent="0.2">
      <c r="B40881" s="1168"/>
    </row>
    <row r="40882" spans="2:2" s="221" customFormat="1" ht="12.75" x14ac:dyDescent="0.2">
      <c r="B40882" s="1168"/>
    </row>
    <row r="40883" spans="2:2" s="221" customFormat="1" ht="12.75" x14ac:dyDescent="0.2">
      <c r="B40883" s="1168"/>
    </row>
    <row r="40884" spans="2:2" s="221" customFormat="1" ht="12.75" x14ac:dyDescent="0.2">
      <c r="B40884" s="1168"/>
    </row>
    <row r="40885" spans="2:2" s="221" customFormat="1" ht="12.75" x14ac:dyDescent="0.2">
      <c r="B40885" s="1168"/>
    </row>
    <row r="40886" spans="2:2" s="221" customFormat="1" ht="12.75" x14ac:dyDescent="0.2">
      <c r="B40886" s="1168"/>
    </row>
    <row r="40887" spans="2:2" s="221" customFormat="1" ht="12.75" x14ac:dyDescent="0.2">
      <c r="B40887" s="1168"/>
    </row>
    <row r="40888" spans="2:2" s="221" customFormat="1" ht="12.75" x14ac:dyDescent="0.2">
      <c r="B40888" s="1168"/>
    </row>
    <row r="40889" spans="2:2" s="221" customFormat="1" ht="12.75" x14ac:dyDescent="0.2">
      <c r="B40889" s="1168"/>
    </row>
    <row r="40890" spans="2:2" s="221" customFormat="1" ht="12.75" x14ac:dyDescent="0.2">
      <c r="B40890" s="1168"/>
    </row>
    <row r="40891" spans="2:2" s="221" customFormat="1" ht="12.75" x14ac:dyDescent="0.2">
      <c r="B40891" s="1168"/>
    </row>
    <row r="40892" spans="2:2" s="221" customFormat="1" ht="12.75" x14ac:dyDescent="0.2">
      <c r="B40892" s="1168"/>
    </row>
    <row r="40893" spans="2:2" s="221" customFormat="1" ht="12.75" x14ac:dyDescent="0.2">
      <c r="B40893" s="1168"/>
    </row>
    <row r="40894" spans="2:2" s="221" customFormat="1" ht="12.75" x14ac:dyDescent="0.2">
      <c r="B40894" s="1168"/>
    </row>
    <row r="40895" spans="2:2" s="221" customFormat="1" ht="12.75" x14ac:dyDescent="0.2">
      <c r="B40895" s="1168"/>
    </row>
    <row r="40896" spans="2:2" s="221" customFormat="1" ht="12.75" x14ac:dyDescent="0.2">
      <c r="B40896" s="1168"/>
    </row>
    <row r="40897" spans="2:2" s="221" customFormat="1" ht="12.75" x14ac:dyDescent="0.2">
      <c r="B40897" s="1168"/>
    </row>
    <row r="40898" spans="2:2" s="221" customFormat="1" ht="12.75" x14ac:dyDescent="0.2">
      <c r="B40898" s="1168"/>
    </row>
    <row r="40899" spans="2:2" s="221" customFormat="1" ht="12.75" x14ac:dyDescent="0.2">
      <c r="B40899" s="1168"/>
    </row>
    <row r="40900" spans="2:2" s="221" customFormat="1" ht="12.75" x14ac:dyDescent="0.2">
      <c r="B40900" s="1168"/>
    </row>
    <row r="40901" spans="2:2" s="221" customFormat="1" ht="12.75" x14ac:dyDescent="0.2">
      <c r="B40901" s="1168"/>
    </row>
    <row r="40902" spans="2:2" s="221" customFormat="1" ht="12.75" x14ac:dyDescent="0.2">
      <c r="B40902" s="1168"/>
    </row>
    <row r="40903" spans="2:2" s="221" customFormat="1" ht="12.75" x14ac:dyDescent="0.2">
      <c r="B40903" s="1168"/>
    </row>
    <row r="40904" spans="2:2" s="221" customFormat="1" ht="12.75" x14ac:dyDescent="0.2">
      <c r="B40904" s="1168"/>
    </row>
    <row r="40905" spans="2:2" s="221" customFormat="1" ht="12.75" x14ac:dyDescent="0.2">
      <c r="B40905" s="1168"/>
    </row>
    <row r="40906" spans="2:2" s="221" customFormat="1" ht="12.75" x14ac:dyDescent="0.2">
      <c r="B40906" s="1168"/>
    </row>
    <row r="40907" spans="2:2" s="221" customFormat="1" ht="12.75" x14ac:dyDescent="0.2">
      <c r="B40907" s="1168"/>
    </row>
    <row r="40908" spans="2:2" s="221" customFormat="1" ht="12.75" x14ac:dyDescent="0.2">
      <c r="B40908" s="1168"/>
    </row>
    <row r="40909" spans="2:2" s="221" customFormat="1" ht="12.75" x14ac:dyDescent="0.2">
      <c r="B40909" s="1168"/>
    </row>
    <row r="40910" spans="2:2" s="221" customFormat="1" ht="12.75" x14ac:dyDescent="0.2">
      <c r="B40910" s="1168"/>
    </row>
    <row r="40911" spans="2:2" s="221" customFormat="1" ht="12.75" x14ac:dyDescent="0.2">
      <c r="B40911" s="1168"/>
    </row>
    <row r="40912" spans="2:2" s="221" customFormat="1" ht="12.75" x14ac:dyDescent="0.2">
      <c r="B40912" s="1168"/>
    </row>
    <row r="40913" spans="2:2" s="221" customFormat="1" ht="12.75" x14ac:dyDescent="0.2">
      <c r="B40913" s="1168"/>
    </row>
    <row r="40914" spans="2:2" s="221" customFormat="1" ht="12.75" x14ac:dyDescent="0.2">
      <c r="B40914" s="1168"/>
    </row>
    <row r="40915" spans="2:2" s="221" customFormat="1" ht="12.75" x14ac:dyDescent="0.2">
      <c r="B40915" s="1168"/>
    </row>
    <row r="40916" spans="2:2" s="221" customFormat="1" ht="12.75" x14ac:dyDescent="0.2">
      <c r="B40916" s="1168"/>
    </row>
    <row r="40917" spans="2:2" s="221" customFormat="1" ht="12.75" x14ac:dyDescent="0.2">
      <c r="B40917" s="1168"/>
    </row>
    <row r="40918" spans="2:2" s="221" customFormat="1" ht="12.75" x14ac:dyDescent="0.2">
      <c r="B40918" s="1168"/>
    </row>
    <row r="40919" spans="2:2" s="221" customFormat="1" ht="12.75" x14ac:dyDescent="0.2">
      <c r="B40919" s="1168"/>
    </row>
    <row r="40920" spans="2:2" s="221" customFormat="1" ht="12.75" x14ac:dyDescent="0.2">
      <c r="B40920" s="1168"/>
    </row>
    <row r="40921" spans="2:2" s="221" customFormat="1" ht="12.75" x14ac:dyDescent="0.2">
      <c r="B40921" s="1168"/>
    </row>
    <row r="40922" spans="2:2" s="221" customFormat="1" ht="12.75" x14ac:dyDescent="0.2">
      <c r="B40922" s="1168"/>
    </row>
    <row r="40923" spans="2:2" s="221" customFormat="1" ht="12.75" x14ac:dyDescent="0.2">
      <c r="B40923" s="1168"/>
    </row>
    <row r="40924" spans="2:2" s="221" customFormat="1" ht="12.75" x14ac:dyDescent="0.2">
      <c r="B40924" s="1168"/>
    </row>
    <row r="40925" spans="2:2" s="221" customFormat="1" ht="12.75" x14ac:dyDescent="0.2">
      <c r="B40925" s="1168"/>
    </row>
    <row r="40926" spans="2:2" s="221" customFormat="1" ht="12.75" x14ac:dyDescent="0.2">
      <c r="B40926" s="1168"/>
    </row>
    <row r="40927" spans="2:2" s="221" customFormat="1" ht="12.75" x14ac:dyDescent="0.2">
      <c r="B40927" s="1168"/>
    </row>
    <row r="40928" spans="2:2" s="221" customFormat="1" ht="12.75" x14ac:dyDescent="0.2">
      <c r="B40928" s="1168"/>
    </row>
    <row r="40929" spans="2:2" s="221" customFormat="1" ht="12.75" x14ac:dyDescent="0.2">
      <c r="B40929" s="1168"/>
    </row>
    <row r="40930" spans="2:2" s="221" customFormat="1" ht="12.75" x14ac:dyDescent="0.2">
      <c r="B40930" s="1168"/>
    </row>
    <row r="40931" spans="2:2" s="221" customFormat="1" ht="12.75" x14ac:dyDescent="0.2">
      <c r="B40931" s="1168"/>
    </row>
    <row r="40932" spans="2:2" s="221" customFormat="1" ht="12.75" x14ac:dyDescent="0.2">
      <c r="B40932" s="1168"/>
    </row>
    <row r="40933" spans="2:2" s="221" customFormat="1" ht="12.75" x14ac:dyDescent="0.2">
      <c r="B40933" s="1168"/>
    </row>
    <row r="40934" spans="2:2" s="221" customFormat="1" ht="12.75" x14ac:dyDescent="0.2">
      <c r="B40934" s="1168"/>
    </row>
    <row r="40935" spans="2:2" s="221" customFormat="1" ht="12.75" x14ac:dyDescent="0.2">
      <c r="B40935" s="1168"/>
    </row>
    <row r="40936" spans="2:2" s="221" customFormat="1" ht="12.75" x14ac:dyDescent="0.2">
      <c r="B40936" s="1168"/>
    </row>
    <row r="40937" spans="2:2" s="221" customFormat="1" ht="12.75" x14ac:dyDescent="0.2">
      <c r="B40937" s="1168"/>
    </row>
    <row r="40938" spans="2:2" s="221" customFormat="1" ht="12.75" x14ac:dyDescent="0.2">
      <c r="B40938" s="1168"/>
    </row>
    <row r="40939" spans="2:2" s="221" customFormat="1" ht="12.75" x14ac:dyDescent="0.2">
      <c r="B40939" s="1168"/>
    </row>
    <row r="40940" spans="2:2" s="221" customFormat="1" ht="12.75" x14ac:dyDescent="0.2">
      <c r="B40940" s="1168"/>
    </row>
    <row r="40941" spans="2:2" s="221" customFormat="1" ht="12.75" x14ac:dyDescent="0.2">
      <c r="B40941" s="1168"/>
    </row>
    <row r="40942" spans="2:2" s="221" customFormat="1" ht="12.75" x14ac:dyDescent="0.2">
      <c r="B40942" s="1168"/>
    </row>
    <row r="40943" spans="2:2" s="221" customFormat="1" ht="12.75" x14ac:dyDescent="0.2">
      <c r="B40943" s="1168"/>
    </row>
    <row r="40944" spans="2:2" s="221" customFormat="1" ht="12.75" x14ac:dyDescent="0.2">
      <c r="B40944" s="1168"/>
    </row>
    <row r="40945" spans="2:2" s="221" customFormat="1" ht="12.75" x14ac:dyDescent="0.2">
      <c r="B40945" s="1168"/>
    </row>
    <row r="40946" spans="2:2" s="221" customFormat="1" ht="12.75" x14ac:dyDescent="0.2">
      <c r="B40946" s="1168"/>
    </row>
    <row r="40947" spans="2:2" s="221" customFormat="1" ht="12.75" x14ac:dyDescent="0.2">
      <c r="B40947" s="1168"/>
    </row>
    <row r="40948" spans="2:2" s="221" customFormat="1" ht="12.75" x14ac:dyDescent="0.2">
      <c r="B40948" s="1168"/>
    </row>
    <row r="40949" spans="2:2" s="221" customFormat="1" ht="12.75" x14ac:dyDescent="0.2">
      <c r="B40949" s="1168"/>
    </row>
    <row r="40950" spans="2:2" s="221" customFormat="1" ht="12.75" x14ac:dyDescent="0.2">
      <c r="B40950" s="1168"/>
    </row>
    <row r="40951" spans="2:2" s="221" customFormat="1" ht="12.75" x14ac:dyDescent="0.2">
      <c r="B40951" s="1168"/>
    </row>
    <row r="40952" spans="2:2" s="221" customFormat="1" ht="12.75" x14ac:dyDescent="0.2">
      <c r="B40952" s="1168"/>
    </row>
    <row r="40953" spans="2:2" s="221" customFormat="1" ht="12.75" x14ac:dyDescent="0.2">
      <c r="B40953" s="1168"/>
    </row>
    <row r="40954" spans="2:2" s="221" customFormat="1" ht="12.75" x14ac:dyDescent="0.2">
      <c r="B40954" s="1168"/>
    </row>
    <row r="40955" spans="2:2" s="221" customFormat="1" ht="12.75" x14ac:dyDescent="0.2">
      <c r="B40955" s="1168"/>
    </row>
    <row r="40956" spans="2:2" s="221" customFormat="1" ht="12.75" x14ac:dyDescent="0.2">
      <c r="B40956" s="1168"/>
    </row>
    <row r="40957" spans="2:2" s="221" customFormat="1" ht="12.75" x14ac:dyDescent="0.2">
      <c r="B40957" s="1168"/>
    </row>
    <row r="40958" spans="2:2" s="221" customFormat="1" ht="12.75" x14ac:dyDescent="0.2">
      <c r="B40958" s="1168"/>
    </row>
    <row r="40959" spans="2:2" s="221" customFormat="1" ht="12.75" x14ac:dyDescent="0.2">
      <c r="B40959" s="1168"/>
    </row>
    <row r="40960" spans="2:2" s="221" customFormat="1" ht="12.75" x14ac:dyDescent="0.2">
      <c r="B40960" s="1168"/>
    </row>
    <row r="40961" spans="2:2" s="221" customFormat="1" ht="12.75" x14ac:dyDescent="0.2">
      <c r="B40961" s="1168"/>
    </row>
    <row r="40962" spans="2:2" s="221" customFormat="1" ht="12.75" x14ac:dyDescent="0.2">
      <c r="B40962" s="1168"/>
    </row>
    <row r="40963" spans="2:2" s="221" customFormat="1" ht="12.75" x14ac:dyDescent="0.2">
      <c r="B40963" s="1168"/>
    </row>
    <row r="40964" spans="2:2" s="221" customFormat="1" ht="12.75" x14ac:dyDescent="0.2">
      <c r="B40964" s="1168"/>
    </row>
    <row r="40965" spans="2:2" s="221" customFormat="1" ht="12.75" x14ac:dyDescent="0.2">
      <c r="B40965" s="1168"/>
    </row>
    <row r="40966" spans="2:2" s="221" customFormat="1" ht="12.75" x14ac:dyDescent="0.2">
      <c r="B40966" s="1168"/>
    </row>
    <row r="40967" spans="2:2" s="221" customFormat="1" ht="12.75" x14ac:dyDescent="0.2">
      <c r="B40967" s="1168"/>
    </row>
    <row r="40968" spans="2:2" s="221" customFormat="1" ht="12.75" x14ac:dyDescent="0.2">
      <c r="B40968" s="1168"/>
    </row>
    <row r="40969" spans="2:2" s="221" customFormat="1" ht="12.75" x14ac:dyDescent="0.2">
      <c r="B40969" s="1168"/>
    </row>
    <row r="40970" spans="2:2" s="221" customFormat="1" ht="12.75" x14ac:dyDescent="0.2">
      <c r="B40970" s="1168"/>
    </row>
    <row r="40971" spans="2:2" s="221" customFormat="1" ht="12.75" x14ac:dyDescent="0.2">
      <c r="B40971" s="1168"/>
    </row>
    <row r="40972" spans="2:2" s="221" customFormat="1" ht="12.75" x14ac:dyDescent="0.2">
      <c r="B40972" s="1168"/>
    </row>
    <row r="40973" spans="2:2" s="221" customFormat="1" ht="12.75" x14ac:dyDescent="0.2">
      <c r="B40973" s="1168"/>
    </row>
    <row r="40974" spans="2:2" s="221" customFormat="1" ht="12.75" x14ac:dyDescent="0.2">
      <c r="B40974" s="1168"/>
    </row>
    <row r="40975" spans="2:2" s="221" customFormat="1" ht="12.75" x14ac:dyDescent="0.2">
      <c r="B40975" s="1168"/>
    </row>
    <row r="40976" spans="2:2" s="221" customFormat="1" ht="12.75" x14ac:dyDescent="0.2">
      <c r="B40976" s="1168"/>
    </row>
    <row r="40977" spans="2:2" s="221" customFormat="1" ht="12.75" x14ac:dyDescent="0.2">
      <c r="B40977" s="1168"/>
    </row>
    <row r="40978" spans="2:2" s="221" customFormat="1" ht="12.75" x14ac:dyDescent="0.2">
      <c r="B40978" s="1168"/>
    </row>
    <row r="40979" spans="2:2" s="221" customFormat="1" ht="12.75" x14ac:dyDescent="0.2">
      <c r="B40979" s="1168"/>
    </row>
    <row r="40980" spans="2:2" s="221" customFormat="1" ht="12.75" x14ac:dyDescent="0.2">
      <c r="B40980" s="1168"/>
    </row>
    <row r="40981" spans="2:2" s="221" customFormat="1" ht="12.75" x14ac:dyDescent="0.2">
      <c r="B40981" s="1168"/>
    </row>
    <row r="40982" spans="2:2" s="221" customFormat="1" ht="12.75" x14ac:dyDescent="0.2">
      <c r="B40982" s="1168"/>
    </row>
    <row r="40983" spans="2:2" s="221" customFormat="1" ht="12.75" x14ac:dyDescent="0.2">
      <c r="B40983" s="1168"/>
    </row>
    <row r="40984" spans="2:2" s="221" customFormat="1" ht="12.75" x14ac:dyDescent="0.2">
      <c r="B40984" s="1168"/>
    </row>
    <row r="40985" spans="2:2" s="221" customFormat="1" ht="12.75" x14ac:dyDescent="0.2">
      <c r="B40985" s="1168"/>
    </row>
    <row r="40986" spans="2:2" s="221" customFormat="1" ht="12.75" x14ac:dyDescent="0.2">
      <c r="B40986" s="1168"/>
    </row>
    <row r="40987" spans="2:2" s="221" customFormat="1" ht="12.75" x14ac:dyDescent="0.2">
      <c r="B40987" s="1168"/>
    </row>
    <row r="40988" spans="2:2" s="221" customFormat="1" ht="12.75" x14ac:dyDescent="0.2">
      <c r="B40988" s="1168"/>
    </row>
    <row r="40989" spans="2:2" s="221" customFormat="1" ht="12.75" x14ac:dyDescent="0.2">
      <c r="B40989" s="1168"/>
    </row>
    <row r="40990" spans="2:2" s="221" customFormat="1" ht="12.75" x14ac:dyDescent="0.2">
      <c r="B40990" s="1168"/>
    </row>
    <row r="40991" spans="2:2" s="221" customFormat="1" ht="12.75" x14ac:dyDescent="0.2">
      <c r="B40991" s="1168"/>
    </row>
    <row r="40992" spans="2:2" s="221" customFormat="1" ht="12.75" x14ac:dyDescent="0.2">
      <c r="B40992" s="1168"/>
    </row>
    <row r="40993" spans="2:2" s="221" customFormat="1" ht="12.75" x14ac:dyDescent="0.2">
      <c r="B40993" s="1168"/>
    </row>
    <row r="40994" spans="2:2" s="221" customFormat="1" ht="12.75" x14ac:dyDescent="0.2">
      <c r="B40994" s="1168"/>
    </row>
    <row r="40995" spans="2:2" s="221" customFormat="1" ht="12.75" x14ac:dyDescent="0.2">
      <c r="B40995" s="1168"/>
    </row>
    <row r="40996" spans="2:2" s="221" customFormat="1" ht="12.75" x14ac:dyDescent="0.2">
      <c r="B40996" s="1168"/>
    </row>
    <row r="40997" spans="2:2" s="221" customFormat="1" ht="12.75" x14ac:dyDescent="0.2">
      <c r="B40997" s="1168"/>
    </row>
    <row r="40998" spans="2:2" s="221" customFormat="1" ht="12.75" x14ac:dyDescent="0.2">
      <c r="B40998" s="1168"/>
    </row>
    <row r="40999" spans="2:2" s="221" customFormat="1" ht="12.75" x14ac:dyDescent="0.2">
      <c r="B40999" s="1168"/>
    </row>
    <row r="41000" spans="2:2" s="221" customFormat="1" ht="12.75" x14ac:dyDescent="0.2">
      <c r="B41000" s="1168"/>
    </row>
    <row r="41001" spans="2:2" s="221" customFormat="1" ht="12.75" x14ac:dyDescent="0.2">
      <c r="B41001" s="1168"/>
    </row>
    <row r="41002" spans="2:2" s="221" customFormat="1" ht="12.75" x14ac:dyDescent="0.2">
      <c r="B41002" s="1168"/>
    </row>
    <row r="41003" spans="2:2" s="221" customFormat="1" ht="12.75" x14ac:dyDescent="0.2">
      <c r="B41003" s="1168"/>
    </row>
    <row r="41004" spans="2:2" s="221" customFormat="1" ht="12.75" x14ac:dyDescent="0.2">
      <c r="B41004" s="1168"/>
    </row>
    <row r="41005" spans="2:2" s="221" customFormat="1" ht="12.75" x14ac:dyDescent="0.2">
      <c r="B41005" s="1168"/>
    </row>
    <row r="41006" spans="2:2" s="221" customFormat="1" ht="12.75" x14ac:dyDescent="0.2">
      <c r="B41006" s="1168"/>
    </row>
    <row r="41007" spans="2:2" s="221" customFormat="1" ht="12.75" x14ac:dyDescent="0.2">
      <c r="B41007" s="1168"/>
    </row>
    <row r="41008" spans="2:2" s="221" customFormat="1" ht="12.75" x14ac:dyDescent="0.2">
      <c r="B41008" s="1168"/>
    </row>
    <row r="41009" spans="2:2" s="221" customFormat="1" ht="12.75" x14ac:dyDescent="0.2">
      <c r="B41009" s="1168"/>
    </row>
    <row r="41010" spans="2:2" s="221" customFormat="1" ht="12.75" x14ac:dyDescent="0.2">
      <c r="B41010" s="1168"/>
    </row>
    <row r="41011" spans="2:2" s="221" customFormat="1" ht="12.75" x14ac:dyDescent="0.2">
      <c r="B41011" s="1168"/>
    </row>
    <row r="41012" spans="2:2" s="221" customFormat="1" ht="12.75" x14ac:dyDescent="0.2">
      <c r="B41012" s="1168"/>
    </row>
    <row r="41013" spans="2:2" s="221" customFormat="1" ht="12.75" x14ac:dyDescent="0.2">
      <c r="B41013" s="1168"/>
    </row>
    <row r="41014" spans="2:2" s="221" customFormat="1" ht="12.75" x14ac:dyDescent="0.2">
      <c r="B41014" s="1168"/>
    </row>
    <row r="41015" spans="2:2" s="221" customFormat="1" ht="12.75" x14ac:dyDescent="0.2">
      <c r="B41015" s="1168"/>
    </row>
    <row r="41016" spans="2:2" s="221" customFormat="1" ht="12.75" x14ac:dyDescent="0.2">
      <c r="B41016" s="1168"/>
    </row>
    <row r="41017" spans="2:2" s="221" customFormat="1" ht="12.75" x14ac:dyDescent="0.2">
      <c r="B41017" s="1168"/>
    </row>
    <row r="41018" spans="2:2" s="221" customFormat="1" ht="12.75" x14ac:dyDescent="0.2">
      <c r="B41018" s="1168"/>
    </row>
    <row r="41019" spans="2:2" s="221" customFormat="1" ht="12.75" x14ac:dyDescent="0.2">
      <c r="B41019" s="1168"/>
    </row>
    <row r="41020" spans="2:2" s="221" customFormat="1" ht="12.75" x14ac:dyDescent="0.2">
      <c r="B41020" s="1168"/>
    </row>
    <row r="41021" spans="2:2" s="221" customFormat="1" ht="12.75" x14ac:dyDescent="0.2">
      <c r="B41021" s="1168"/>
    </row>
    <row r="41022" spans="2:2" s="221" customFormat="1" ht="12.75" x14ac:dyDescent="0.2">
      <c r="B41022" s="1168"/>
    </row>
    <row r="41023" spans="2:2" s="221" customFormat="1" ht="12.75" x14ac:dyDescent="0.2">
      <c r="B41023" s="1168"/>
    </row>
    <row r="41024" spans="2:2" s="221" customFormat="1" ht="12.75" x14ac:dyDescent="0.2">
      <c r="B41024" s="1168"/>
    </row>
    <row r="41025" spans="2:2" s="221" customFormat="1" ht="12.75" x14ac:dyDescent="0.2">
      <c r="B41025" s="1168"/>
    </row>
    <row r="41026" spans="2:2" s="221" customFormat="1" ht="12.75" x14ac:dyDescent="0.2">
      <c r="B41026" s="1168"/>
    </row>
    <row r="41027" spans="2:2" s="221" customFormat="1" ht="12.75" x14ac:dyDescent="0.2">
      <c r="B41027" s="1168"/>
    </row>
    <row r="41028" spans="2:2" s="221" customFormat="1" ht="12.75" x14ac:dyDescent="0.2">
      <c r="B41028" s="1168"/>
    </row>
    <row r="41029" spans="2:2" s="221" customFormat="1" ht="12.75" x14ac:dyDescent="0.2">
      <c r="B41029" s="1168"/>
    </row>
    <row r="41030" spans="2:2" s="221" customFormat="1" ht="12.75" x14ac:dyDescent="0.2">
      <c r="B41030" s="1168"/>
    </row>
    <row r="41031" spans="2:2" s="221" customFormat="1" ht="12.75" x14ac:dyDescent="0.2">
      <c r="B41031" s="1168"/>
    </row>
    <row r="41032" spans="2:2" s="221" customFormat="1" ht="12.75" x14ac:dyDescent="0.2">
      <c r="B41032" s="1168"/>
    </row>
    <row r="41033" spans="2:2" s="221" customFormat="1" ht="12.75" x14ac:dyDescent="0.2">
      <c r="B41033" s="1168"/>
    </row>
    <row r="41034" spans="2:2" s="221" customFormat="1" ht="12.75" x14ac:dyDescent="0.2">
      <c r="B41034" s="1168"/>
    </row>
    <row r="41035" spans="2:2" s="221" customFormat="1" ht="12.75" x14ac:dyDescent="0.2">
      <c r="B41035" s="1168"/>
    </row>
    <row r="41036" spans="2:2" s="221" customFormat="1" ht="12.75" x14ac:dyDescent="0.2">
      <c r="B41036" s="1168"/>
    </row>
    <row r="41037" spans="2:2" s="221" customFormat="1" ht="12.75" x14ac:dyDescent="0.2">
      <c r="B41037" s="1168"/>
    </row>
    <row r="41038" spans="2:2" s="221" customFormat="1" ht="12.75" x14ac:dyDescent="0.2">
      <c r="B41038" s="1168"/>
    </row>
    <row r="41039" spans="2:2" s="221" customFormat="1" ht="12.75" x14ac:dyDescent="0.2">
      <c r="B41039" s="1168"/>
    </row>
    <row r="41040" spans="2:2" s="221" customFormat="1" ht="12.75" x14ac:dyDescent="0.2">
      <c r="B41040" s="1168"/>
    </row>
    <row r="41041" spans="2:2" s="221" customFormat="1" ht="12.75" x14ac:dyDescent="0.2">
      <c r="B41041" s="1168"/>
    </row>
    <row r="41042" spans="2:2" s="221" customFormat="1" ht="12.75" x14ac:dyDescent="0.2">
      <c r="B41042" s="1168"/>
    </row>
    <row r="41043" spans="2:2" s="221" customFormat="1" ht="12.75" x14ac:dyDescent="0.2">
      <c r="B41043" s="1168"/>
    </row>
    <row r="41044" spans="2:2" s="221" customFormat="1" ht="12.75" x14ac:dyDescent="0.2">
      <c r="B41044" s="1168"/>
    </row>
    <row r="41045" spans="2:2" s="221" customFormat="1" ht="12.75" x14ac:dyDescent="0.2">
      <c r="B41045" s="1168"/>
    </row>
    <row r="41046" spans="2:2" s="221" customFormat="1" ht="12.75" x14ac:dyDescent="0.2">
      <c r="B41046" s="1168"/>
    </row>
    <row r="41047" spans="2:2" s="221" customFormat="1" ht="12.75" x14ac:dyDescent="0.2">
      <c r="B41047" s="1168"/>
    </row>
    <row r="41048" spans="2:2" s="221" customFormat="1" ht="12.75" x14ac:dyDescent="0.2">
      <c r="B41048" s="1168"/>
    </row>
    <row r="41049" spans="2:2" s="221" customFormat="1" ht="12.75" x14ac:dyDescent="0.2">
      <c r="B41049" s="1168"/>
    </row>
    <row r="41050" spans="2:2" s="221" customFormat="1" ht="12.75" x14ac:dyDescent="0.2">
      <c r="B41050" s="1168"/>
    </row>
    <row r="41051" spans="2:2" s="221" customFormat="1" ht="12.75" x14ac:dyDescent="0.2">
      <c r="B41051" s="1168"/>
    </row>
    <row r="41052" spans="2:2" s="221" customFormat="1" ht="12.75" x14ac:dyDescent="0.2">
      <c r="B41052" s="1168"/>
    </row>
    <row r="41053" spans="2:2" s="221" customFormat="1" ht="12.75" x14ac:dyDescent="0.2">
      <c r="B41053" s="1168"/>
    </row>
    <row r="41054" spans="2:2" s="221" customFormat="1" ht="12.75" x14ac:dyDescent="0.2">
      <c r="B41054" s="1168"/>
    </row>
    <row r="41055" spans="2:2" s="221" customFormat="1" ht="12.75" x14ac:dyDescent="0.2">
      <c r="B41055" s="1168"/>
    </row>
    <row r="41056" spans="2:2" s="221" customFormat="1" ht="12.75" x14ac:dyDescent="0.2">
      <c r="B41056" s="1168"/>
    </row>
    <row r="41057" spans="2:2" s="221" customFormat="1" ht="12.75" x14ac:dyDescent="0.2">
      <c r="B41057" s="1168"/>
    </row>
    <row r="41058" spans="2:2" s="221" customFormat="1" ht="12.75" x14ac:dyDescent="0.2">
      <c r="B41058" s="1168"/>
    </row>
    <row r="41059" spans="2:2" s="221" customFormat="1" ht="12.75" x14ac:dyDescent="0.2">
      <c r="B41059" s="1168"/>
    </row>
    <row r="41060" spans="2:2" s="221" customFormat="1" ht="12.75" x14ac:dyDescent="0.2">
      <c r="B41060" s="1168"/>
    </row>
    <row r="41061" spans="2:2" s="221" customFormat="1" ht="12.75" x14ac:dyDescent="0.2">
      <c r="B41061" s="1168"/>
    </row>
    <row r="41062" spans="2:2" s="221" customFormat="1" ht="12.75" x14ac:dyDescent="0.2">
      <c r="B41062" s="1168"/>
    </row>
    <row r="41063" spans="2:2" s="221" customFormat="1" ht="12.75" x14ac:dyDescent="0.2">
      <c r="B41063" s="1168"/>
    </row>
    <row r="41064" spans="2:2" s="221" customFormat="1" ht="12.75" x14ac:dyDescent="0.2">
      <c r="B41064" s="1168"/>
    </row>
    <row r="41065" spans="2:2" s="221" customFormat="1" ht="12.75" x14ac:dyDescent="0.2">
      <c r="B41065" s="1168"/>
    </row>
    <row r="41066" spans="2:2" s="221" customFormat="1" ht="12.75" x14ac:dyDescent="0.2">
      <c r="B41066" s="1168"/>
    </row>
    <row r="41067" spans="2:2" s="221" customFormat="1" ht="12.75" x14ac:dyDescent="0.2">
      <c r="B41067" s="1168"/>
    </row>
    <row r="41068" spans="2:2" s="221" customFormat="1" ht="12.75" x14ac:dyDescent="0.2">
      <c r="B41068" s="1168"/>
    </row>
    <row r="41069" spans="2:2" s="221" customFormat="1" ht="12.75" x14ac:dyDescent="0.2">
      <c r="B41069" s="1168"/>
    </row>
    <row r="41070" spans="2:2" s="221" customFormat="1" ht="12.75" x14ac:dyDescent="0.2">
      <c r="B41070" s="1168"/>
    </row>
    <row r="41071" spans="2:2" s="221" customFormat="1" ht="12.75" x14ac:dyDescent="0.2">
      <c r="B41071" s="1168"/>
    </row>
    <row r="41072" spans="2:2" s="221" customFormat="1" ht="12.75" x14ac:dyDescent="0.2">
      <c r="B41072" s="1168"/>
    </row>
    <row r="41073" spans="2:2" s="221" customFormat="1" ht="12.75" x14ac:dyDescent="0.2">
      <c r="B41073" s="1168"/>
    </row>
    <row r="41074" spans="2:2" s="221" customFormat="1" ht="12.75" x14ac:dyDescent="0.2">
      <c r="B41074" s="1168"/>
    </row>
    <row r="41075" spans="2:2" s="221" customFormat="1" ht="12.75" x14ac:dyDescent="0.2">
      <c r="B41075" s="1168"/>
    </row>
    <row r="41076" spans="2:2" s="221" customFormat="1" ht="12.75" x14ac:dyDescent="0.2">
      <c r="B41076" s="1168"/>
    </row>
    <row r="41077" spans="2:2" s="221" customFormat="1" ht="12.75" x14ac:dyDescent="0.2">
      <c r="B41077" s="1168"/>
    </row>
    <row r="41078" spans="2:2" s="221" customFormat="1" ht="12.75" x14ac:dyDescent="0.2">
      <c r="B41078" s="1168"/>
    </row>
    <row r="41079" spans="2:2" s="221" customFormat="1" ht="12.75" x14ac:dyDescent="0.2">
      <c r="B41079" s="1168"/>
    </row>
    <row r="41080" spans="2:2" s="221" customFormat="1" ht="12.75" x14ac:dyDescent="0.2">
      <c r="B41080" s="1168"/>
    </row>
    <row r="41081" spans="2:2" s="221" customFormat="1" ht="12.75" x14ac:dyDescent="0.2">
      <c r="B41081" s="1168"/>
    </row>
    <row r="41082" spans="2:2" s="221" customFormat="1" ht="12.75" x14ac:dyDescent="0.2">
      <c r="B41082" s="1168"/>
    </row>
    <row r="41083" spans="2:2" s="221" customFormat="1" ht="12.75" x14ac:dyDescent="0.2">
      <c r="B41083" s="1168"/>
    </row>
    <row r="41084" spans="2:2" s="221" customFormat="1" ht="12.75" x14ac:dyDescent="0.2">
      <c r="B41084" s="1168"/>
    </row>
    <row r="41085" spans="2:2" s="221" customFormat="1" ht="12.75" x14ac:dyDescent="0.2">
      <c r="B41085" s="1168"/>
    </row>
    <row r="41086" spans="2:2" s="221" customFormat="1" ht="12.75" x14ac:dyDescent="0.2">
      <c r="B41086" s="1168"/>
    </row>
    <row r="41087" spans="2:2" s="221" customFormat="1" ht="12.75" x14ac:dyDescent="0.2">
      <c r="B41087" s="1168"/>
    </row>
    <row r="41088" spans="2:2" s="221" customFormat="1" ht="12.75" x14ac:dyDescent="0.2">
      <c r="B41088" s="1168"/>
    </row>
    <row r="41089" spans="2:2" s="221" customFormat="1" ht="12.75" x14ac:dyDescent="0.2">
      <c r="B41089" s="1168"/>
    </row>
    <row r="41090" spans="2:2" s="221" customFormat="1" ht="12.75" x14ac:dyDescent="0.2">
      <c r="B41090" s="1168"/>
    </row>
    <row r="41091" spans="2:2" s="221" customFormat="1" ht="12.75" x14ac:dyDescent="0.2">
      <c r="B41091" s="1168"/>
    </row>
    <row r="41092" spans="2:2" s="221" customFormat="1" ht="12.75" x14ac:dyDescent="0.2">
      <c r="B41092" s="1168"/>
    </row>
    <row r="41093" spans="2:2" s="221" customFormat="1" ht="12.75" x14ac:dyDescent="0.2">
      <c r="B41093" s="1168"/>
    </row>
    <row r="41094" spans="2:2" s="221" customFormat="1" ht="12.75" x14ac:dyDescent="0.2">
      <c r="B41094" s="1168"/>
    </row>
    <row r="41095" spans="2:2" s="221" customFormat="1" ht="12.75" x14ac:dyDescent="0.2">
      <c r="B41095" s="1168"/>
    </row>
    <row r="41096" spans="2:2" s="221" customFormat="1" ht="12.75" x14ac:dyDescent="0.2">
      <c r="B41096" s="1168"/>
    </row>
    <row r="41097" spans="2:2" s="221" customFormat="1" ht="12.75" x14ac:dyDescent="0.2">
      <c r="B41097" s="1168"/>
    </row>
    <row r="41098" spans="2:2" s="221" customFormat="1" ht="12.75" x14ac:dyDescent="0.2">
      <c r="B41098" s="1168"/>
    </row>
    <row r="41099" spans="2:2" s="221" customFormat="1" ht="12.75" x14ac:dyDescent="0.2">
      <c r="B41099" s="1168"/>
    </row>
    <row r="41100" spans="2:2" s="221" customFormat="1" ht="12.75" x14ac:dyDescent="0.2">
      <c r="B41100" s="1168"/>
    </row>
    <row r="41101" spans="2:2" s="221" customFormat="1" ht="12.75" x14ac:dyDescent="0.2">
      <c r="B41101" s="1168"/>
    </row>
    <row r="41102" spans="2:2" s="221" customFormat="1" ht="12.75" x14ac:dyDescent="0.2">
      <c r="B41102" s="1168"/>
    </row>
    <row r="41103" spans="2:2" s="221" customFormat="1" ht="12.75" x14ac:dyDescent="0.2">
      <c r="B41103" s="1168"/>
    </row>
    <row r="41104" spans="2:2" s="221" customFormat="1" ht="12.75" x14ac:dyDescent="0.2">
      <c r="B41104" s="1168"/>
    </row>
    <row r="41105" spans="2:2" s="221" customFormat="1" ht="12.75" x14ac:dyDescent="0.2">
      <c r="B41105" s="1168"/>
    </row>
    <row r="41106" spans="2:2" s="221" customFormat="1" ht="12.75" x14ac:dyDescent="0.2">
      <c r="B41106" s="1168"/>
    </row>
    <row r="41107" spans="2:2" s="221" customFormat="1" ht="12.75" x14ac:dyDescent="0.2">
      <c r="B41107" s="1168"/>
    </row>
    <row r="41108" spans="2:2" s="221" customFormat="1" ht="12.75" x14ac:dyDescent="0.2">
      <c r="B41108" s="1168"/>
    </row>
    <row r="41109" spans="2:2" s="221" customFormat="1" ht="12.75" x14ac:dyDescent="0.2">
      <c r="B41109" s="1168"/>
    </row>
    <row r="41110" spans="2:2" s="221" customFormat="1" ht="12.75" x14ac:dyDescent="0.2">
      <c r="B41110" s="1168"/>
    </row>
    <row r="41111" spans="2:2" s="221" customFormat="1" ht="12.75" x14ac:dyDescent="0.2">
      <c r="B41111" s="1168"/>
    </row>
    <row r="41112" spans="2:2" s="221" customFormat="1" ht="12.75" x14ac:dyDescent="0.2">
      <c r="B41112" s="1168"/>
    </row>
    <row r="41113" spans="2:2" s="221" customFormat="1" ht="12.75" x14ac:dyDescent="0.2">
      <c r="B41113" s="1168"/>
    </row>
    <row r="41114" spans="2:2" s="221" customFormat="1" ht="12.75" x14ac:dyDescent="0.2">
      <c r="B41114" s="1168"/>
    </row>
    <row r="41115" spans="2:2" s="221" customFormat="1" ht="12.75" x14ac:dyDescent="0.2">
      <c r="B41115" s="1168"/>
    </row>
    <row r="41116" spans="2:2" s="221" customFormat="1" ht="12.75" x14ac:dyDescent="0.2">
      <c r="B41116" s="1168"/>
    </row>
    <row r="41117" spans="2:2" s="221" customFormat="1" ht="12.75" x14ac:dyDescent="0.2">
      <c r="B41117" s="1168"/>
    </row>
    <row r="41118" spans="2:2" s="221" customFormat="1" ht="12.75" x14ac:dyDescent="0.2">
      <c r="B41118" s="1168"/>
    </row>
    <row r="41119" spans="2:2" s="221" customFormat="1" ht="12.75" x14ac:dyDescent="0.2">
      <c r="B41119" s="1168"/>
    </row>
    <row r="41120" spans="2:2" s="221" customFormat="1" ht="12.75" x14ac:dyDescent="0.2">
      <c r="B41120" s="1168"/>
    </row>
    <row r="41121" spans="2:2" s="221" customFormat="1" ht="12.75" x14ac:dyDescent="0.2">
      <c r="B41121" s="1168"/>
    </row>
    <row r="41122" spans="2:2" s="221" customFormat="1" ht="12.75" x14ac:dyDescent="0.2">
      <c r="B41122" s="1168"/>
    </row>
    <row r="41123" spans="2:2" s="221" customFormat="1" ht="12.75" x14ac:dyDescent="0.2">
      <c r="B41123" s="1168"/>
    </row>
    <row r="41124" spans="2:2" s="221" customFormat="1" ht="12.75" x14ac:dyDescent="0.2">
      <c r="B41124" s="1168"/>
    </row>
    <row r="41125" spans="2:2" s="221" customFormat="1" ht="12.75" x14ac:dyDescent="0.2">
      <c r="B41125" s="1168"/>
    </row>
    <row r="41126" spans="2:2" s="221" customFormat="1" ht="12.75" x14ac:dyDescent="0.2">
      <c r="B41126" s="1168"/>
    </row>
    <row r="41127" spans="2:2" s="221" customFormat="1" ht="12.75" x14ac:dyDescent="0.2">
      <c r="B41127" s="1168"/>
    </row>
    <row r="41128" spans="2:2" s="221" customFormat="1" ht="12.75" x14ac:dyDescent="0.2">
      <c r="B41128" s="1168"/>
    </row>
    <row r="41129" spans="2:2" s="221" customFormat="1" ht="12.75" x14ac:dyDescent="0.2">
      <c r="B41129" s="1168"/>
    </row>
    <row r="41130" spans="2:2" s="221" customFormat="1" ht="12.75" x14ac:dyDescent="0.2">
      <c r="B41130" s="1168"/>
    </row>
    <row r="41131" spans="2:2" s="221" customFormat="1" ht="12.75" x14ac:dyDescent="0.2">
      <c r="B41131" s="1168"/>
    </row>
    <row r="41132" spans="2:2" s="221" customFormat="1" ht="12.75" x14ac:dyDescent="0.2">
      <c r="B41132" s="1168"/>
    </row>
    <row r="41133" spans="2:2" s="221" customFormat="1" ht="12.75" x14ac:dyDescent="0.2">
      <c r="B41133" s="1168"/>
    </row>
    <row r="41134" spans="2:2" s="221" customFormat="1" ht="12.75" x14ac:dyDescent="0.2">
      <c r="B41134" s="1168"/>
    </row>
    <row r="41135" spans="2:2" s="221" customFormat="1" ht="12.75" x14ac:dyDescent="0.2">
      <c r="B41135" s="1168"/>
    </row>
    <row r="41136" spans="2:2" s="221" customFormat="1" ht="12.75" x14ac:dyDescent="0.2">
      <c r="B41136" s="1168"/>
    </row>
    <row r="41137" spans="2:2" s="221" customFormat="1" ht="12.75" x14ac:dyDescent="0.2">
      <c r="B41137" s="1168"/>
    </row>
    <row r="41138" spans="2:2" s="221" customFormat="1" ht="12.75" x14ac:dyDescent="0.2">
      <c r="B41138" s="1168"/>
    </row>
    <row r="41139" spans="2:2" s="221" customFormat="1" ht="12.75" x14ac:dyDescent="0.2">
      <c r="B41139" s="1168"/>
    </row>
    <row r="41140" spans="2:2" s="221" customFormat="1" ht="12.75" x14ac:dyDescent="0.2">
      <c r="B41140" s="1168"/>
    </row>
    <row r="41141" spans="2:2" s="221" customFormat="1" ht="12.75" x14ac:dyDescent="0.2">
      <c r="B41141" s="1168"/>
    </row>
    <row r="41142" spans="2:2" s="221" customFormat="1" ht="12.75" x14ac:dyDescent="0.2">
      <c r="B41142" s="1168"/>
    </row>
    <row r="41143" spans="2:2" s="221" customFormat="1" ht="12.75" x14ac:dyDescent="0.2">
      <c r="B41143" s="1168"/>
    </row>
    <row r="41144" spans="2:2" s="221" customFormat="1" ht="12.75" x14ac:dyDescent="0.2">
      <c r="B41144" s="1168"/>
    </row>
    <row r="41145" spans="2:2" s="221" customFormat="1" ht="12.75" x14ac:dyDescent="0.2">
      <c r="B41145" s="1168"/>
    </row>
    <row r="41146" spans="2:2" s="221" customFormat="1" ht="12.75" x14ac:dyDescent="0.2">
      <c r="B41146" s="1168"/>
    </row>
    <row r="41147" spans="2:2" s="221" customFormat="1" ht="12.75" x14ac:dyDescent="0.2">
      <c r="B41147" s="1168"/>
    </row>
    <row r="41148" spans="2:2" s="221" customFormat="1" ht="12.75" x14ac:dyDescent="0.2">
      <c r="B41148" s="1168"/>
    </row>
    <row r="41149" spans="2:2" s="221" customFormat="1" ht="12.75" x14ac:dyDescent="0.2">
      <c r="B41149" s="1168"/>
    </row>
    <row r="41150" spans="2:2" s="221" customFormat="1" ht="12.75" x14ac:dyDescent="0.2">
      <c r="B41150" s="1168"/>
    </row>
    <row r="41151" spans="2:2" s="221" customFormat="1" ht="12.75" x14ac:dyDescent="0.2">
      <c r="B41151" s="1168"/>
    </row>
    <row r="41152" spans="2:2" s="221" customFormat="1" ht="12.75" x14ac:dyDescent="0.2">
      <c r="B41152" s="1168"/>
    </row>
    <row r="41153" spans="2:2" s="221" customFormat="1" ht="12.75" x14ac:dyDescent="0.2">
      <c r="B41153" s="1168"/>
    </row>
    <row r="41154" spans="2:2" s="221" customFormat="1" ht="12.75" x14ac:dyDescent="0.2">
      <c r="B41154" s="1168"/>
    </row>
    <row r="41155" spans="2:2" s="221" customFormat="1" ht="12.75" x14ac:dyDescent="0.2">
      <c r="B41155" s="1168"/>
    </row>
    <row r="41156" spans="2:2" s="221" customFormat="1" ht="12.75" x14ac:dyDescent="0.2">
      <c r="B41156" s="1168"/>
    </row>
    <row r="41157" spans="2:2" s="221" customFormat="1" ht="12.75" x14ac:dyDescent="0.2">
      <c r="B41157" s="1168"/>
    </row>
    <row r="41158" spans="2:2" s="221" customFormat="1" ht="12.75" x14ac:dyDescent="0.2">
      <c r="B41158" s="1168"/>
    </row>
    <row r="41159" spans="2:2" s="221" customFormat="1" ht="12.75" x14ac:dyDescent="0.2">
      <c r="B41159" s="1168"/>
    </row>
    <row r="41160" spans="2:2" s="221" customFormat="1" ht="12.75" x14ac:dyDescent="0.2">
      <c r="B41160" s="1168"/>
    </row>
    <row r="41161" spans="2:2" s="221" customFormat="1" ht="12.75" x14ac:dyDescent="0.2">
      <c r="B41161" s="1168"/>
    </row>
    <row r="41162" spans="2:2" s="221" customFormat="1" ht="12.75" x14ac:dyDescent="0.2">
      <c r="B41162" s="1168"/>
    </row>
    <row r="41163" spans="2:2" s="221" customFormat="1" ht="12.75" x14ac:dyDescent="0.2">
      <c r="B41163" s="1168"/>
    </row>
    <row r="41164" spans="2:2" s="221" customFormat="1" ht="12.75" x14ac:dyDescent="0.2">
      <c r="B41164" s="1168"/>
    </row>
    <row r="41165" spans="2:2" s="221" customFormat="1" ht="12.75" x14ac:dyDescent="0.2">
      <c r="B41165" s="1168"/>
    </row>
    <row r="41166" spans="2:2" s="221" customFormat="1" ht="12.75" x14ac:dyDescent="0.2">
      <c r="B41166" s="1168"/>
    </row>
    <row r="41167" spans="2:2" s="221" customFormat="1" ht="12.75" x14ac:dyDescent="0.2">
      <c r="B41167" s="1168"/>
    </row>
    <row r="41168" spans="2:2" s="221" customFormat="1" ht="12.75" x14ac:dyDescent="0.2">
      <c r="B41168" s="1168"/>
    </row>
    <row r="41169" spans="2:2" s="221" customFormat="1" ht="12.75" x14ac:dyDescent="0.2">
      <c r="B41169" s="1168"/>
    </row>
    <row r="41170" spans="2:2" s="221" customFormat="1" ht="12.75" x14ac:dyDescent="0.2">
      <c r="B41170" s="1168"/>
    </row>
    <row r="41171" spans="2:2" s="221" customFormat="1" ht="12.75" x14ac:dyDescent="0.2">
      <c r="B41171" s="1168"/>
    </row>
    <row r="41172" spans="2:2" s="221" customFormat="1" ht="12.75" x14ac:dyDescent="0.2">
      <c r="B41172" s="1168"/>
    </row>
    <row r="41173" spans="2:2" s="221" customFormat="1" ht="12.75" x14ac:dyDescent="0.2">
      <c r="B41173" s="1168"/>
    </row>
    <row r="41174" spans="2:2" s="221" customFormat="1" ht="12.75" x14ac:dyDescent="0.2">
      <c r="B41174" s="1168"/>
    </row>
    <row r="41175" spans="2:2" s="221" customFormat="1" ht="12.75" x14ac:dyDescent="0.2">
      <c r="B41175" s="1168"/>
    </row>
    <row r="41176" spans="2:2" s="221" customFormat="1" ht="12.75" x14ac:dyDescent="0.2">
      <c r="B41176" s="1168"/>
    </row>
    <row r="41177" spans="2:2" s="221" customFormat="1" ht="12.75" x14ac:dyDescent="0.2">
      <c r="B41177" s="1168"/>
    </row>
    <row r="41178" spans="2:2" s="221" customFormat="1" ht="12.75" x14ac:dyDescent="0.2">
      <c r="B41178" s="1168"/>
    </row>
    <row r="41179" spans="2:2" s="221" customFormat="1" ht="12.75" x14ac:dyDescent="0.2">
      <c r="B41179" s="1168"/>
    </row>
    <row r="41180" spans="2:2" s="221" customFormat="1" ht="12.75" x14ac:dyDescent="0.2">
      <c r="B41180" s="1168"/>
    </row>
    <row r="41181" spans="2:2" s="221" customFormat="1" ht="12.75" x14ac:dyDescent="0.2">
      <c r="B41181" s="1168"/>
    </row>
    <row r="41182" spans="2:2" s="221" customFormat="1" ht="12.75" x14ac:dyDescent="0.2">
      <c r="B41182" s="1168"/>
    </row>
    <row r="41183" spans="2:2" s="221" customFormat="1" ht="12.75" x14ac:dyDescent="0.2">
      <c r="B41183" s="1168"/>
    </row>
    <row r="41184" spans="2:2" s="221" customFormat="1" ht="12.75" x14ac:dyDescent="0.2">
      <c r="B41184" s="1168"/>
    </row>
    <row r="41185" spans="2:2" s="221" customFormat="1" ht="12.75" x14ac:dyDescent="0.2">
      <c r="B41185" s="1168"/>
    </row>
    <row r="41186" spans="2:2" s="221" customFormat="1" ht="12.75" x14ac:dyDescent="0.2">
      <c r="B41186" s="1168"/>
    </row>
    <row r="41187" spans="2:2" s="221" customFormat="1" ht="12.75" x14ac:dyDescent="0.2">
      <c r="B41187" s="1168"/>
    </row>
    <row r="41188" spans="2:2" s="221" customFormat="1" ht="12.75" x14ac:dyDescent="0.2">
      <c r="B41188" s="1168"/>
    </row>
    <row r="41189" spans="2:2" s="221" customFormat="1" ht="12.75" x14ac:dyDescent="0.2">
      <c r="B41189" s="1168"/>
    </row>
    <row r="41190" spans="2:2" s="221" customFormat="1" ht="12.75" x14ac:dyDescent="0.2">
      <c r="B41190" s="1168"/>
    </row>
    <row r="41191" spans="2:2" s="221" customFormat="1" ht="12.75" x14ac:dyDescent="0.2">
      <c r="B41191" s="1168"/>
    </row>
    <row r="41192" spans="2:2" s="221" customFormat="1" ht="12.75" x14ac:dyDescent="0.2">
      <c r="B41192" s="1168"/>
    </row>
    <row r="41193" spans="2:2" s="221" customFormat="1" ht="12.75" x14ac:dyDescent="0.2">
      <c r="B41193" s="1168"/>
    </row>
    <row r="41194" spans="2:2" s="221" customFormat="1" ht="12.75" x14ac:dyDescent="0.2">
      <c r="B41194" s="1168"/>
    </row>
    <row r="41195" spans="2:2" s="221" customFormat="1" ht="12.75" x14ac:dyDescent="0.2">
      <c r="B41195" s="1168"/>
    </row>
    <row r="41196" spans="2:2" s="221" customFormat="1" ht="12.75" x14ac:dyDescent="0.2">
      <c r="B41196" s="1168"/>
    </row>
    <row r="41197" spans="2:2" s="221" customFormat="1" ht="12.75" x14ac:dyDescent="0.2">
      <c r="B41197" s="1168"/>
    </row>
    <row r="41198" spans="2:2" s="221" customFormat="1" ht="12.75" x14ac:dyDescent="0.2">
      <c r="B41198" s="1168"/>
    </row>
    <row r="41199" spans="2:2" s="221" customFormat="1" ht="12.75" x14ac:dyDescent="0.2">
      <c r="B41199" s="1168"/>
    </row>
    <row r="41200" spans="2:2" s="221" customFormat="1" ht="12.75" x14ac:dyDescent="0.2">
      <c r="B41200" s="1168"/>
    </row>
    <row r="41201" spans="2:2" s="221" customFormat="1" ht="12.75" x14ac:dyDescent="0.2">
      <c r="B41201" s="1168"/>
    </row>
    <row r="41202" spans="2:2" s="221" customFormat="1" ht="12.75" x14ac:dyDescent="0.2">
      <c r="B41202" s="1168"/>
    </row>
    <row r="41203" spans="2:2" s="221" customFormat="1" ht="12.75" x14ac:dyDescent="0.2">
      <c r="B41203" s="1168"/>
    </row>
    <row r="41204" spans="2:2" s="221" customFormat="1" ht="12.75" x14ac:dyDescent="0.2">
      <c r="B41204" s="1168"/>
    </row>
    <row r="41205" spans="2:2" s="221" customFormat="1" ht="12.75" x14ac:dyDescent="0.2">
      <c r="B41205" s="1168"/>
    </row>
    <row r="41206" spans="2:2" s="221" customFormat="1" ht="12.75" x14ac:dyDescent="0.2">
      <c r="B41206" s="1168"/>
    </row>
    <row r="41207" spans="2:2" s="221" customFormat="1" ht="12.75" x14ac:dyDescent="0.2">
      <c r="B41207" s="1168"/>
    </row>
    <row r="41208" spans="2:2" s="221" customFormat="1" ht="12.75" x14ac:dyDescent="0.2">
      <c r="B41208" s="1168"/>
    </row>
    <row r="41209" spans="2:2" s="221" customFormat="1" ht="12.75" x14ac:dyDescent="0.2">
      <c r="B41209" s="1168"/>
    </row>
    <row r="41210" spans="2:2" s="221" customFormat="1" ht="12.75" x14ac:dyDescent="0.2">
      <c r="B41210" s="1168"/>
    </row>
    <row r="41211" spans="2:2" s="221" customFormat="1" ht="12.75" x14ac:dyDescent="0.2">
      <c r="B41211" s="1168"/>
    </row>
    <row r="41212" spans="2:2" s="221" customFormat="1" ht="12.75" x14ac:dyDescent="0.2">
      <c r="B41212" s="1168"/>
    </row>
    <row r="41213" spans="2:2" s="221" customFormat="1" ht="12.75" x14ac:dyDescent="0.2">
      <c r="B41213" s="1168"/>
    </row>
    <row r="41214" spans="2:2" s="221" customFormat="1" ht="12.75" x14ac:dyDescent="0.2">
      <c r="B41214" s="1168"/>
    </row>
    <row r="41215" spans="2:2" s="221" customFormat="1" ht="12.75" x14ac:dyDescent="0.2">
      <c r="B41215" s="1168"/>
    </row>
    <row r="41216" spans="2:2" s="221" customFormat="1" ht="12.75" x14ac:dyDescent="0.2">
      <c r="B41216" s="1168"/>
    </row>
    <row r="41217" spans="2:2" s="221" customFormat="1" ht="12.75" x14ac:dyDescent="0.2">
      <c r="B41217" s="1168"/>
    </row>
    <row r="41218" spans="2:2" s="221" customFormat="1" ht="12.75" x14ac:dyDescent="0.2">
      <c r="B41218" s="1168"/>
    </row>
    <row r="41219" spans="2:2" s="221" customFormat="1" ht="12.75" x14ac:dyDescent="0.2">
      <c r="B41219" s="1168"/>
    </row>
    <row r="41220" spans="2:2" s="221" customFormat="1" ht="12.75" x14ac:dyDescent="0.2">
      <c r="B41220" s="1168"/>
    </row>
    <row r="41221" spans="2:2" s="221" customFormat="1" ht="12.75" x14ac:dyDescent="0.2">
      <c r="B41221" s="1168"/>
    </row>
    <row r="41222" spans="2:2" s="221" customFormat="1" ht="12.75" x14ac:dyDescent="0.2">
      <c r="B41222" s="1168"/>
    </row>
    <row r="41223" spans="2:2" s="221" customFormat="1" ht="12.75" x14ac:dyDescent="0.2">
      <c r="B41223" s="1168"/>
    </row>
    <row r="41224" spans="2:2" s="221" customFormat="1" ht="12.75" x14ac:dyDescent="0.2">
      <c r="B41224" s="1168"/>
    </row>
    <row r="41225" spans="2:2" s="221" customFormat="1" ht="12.75" x14ac:dyDescent="0.2">
      <c r="B41225" s="1168"/>
    </row>
    <row r="41226" spans="2:2" s="221" customFormat="1" ht="12.75" x14ac:dyDescent="0.2">
      <c r="B41226" s="1168"/>
    </row>
    <row r="41227" spans="2:2" s="221" customFormat="1" ht="12.75" x14ac:dyDescent="0.2">
      <c r="B41227" s="1168"/>
    </row>
    <row r="41228" spans="2:2" s="221" customFormat="1" ht="12.75" x14ac:dyDescent="0.2">
      <c r="B41228" s="1168"/>
    </row>
    <row r="41229" spans="2:2" s="221" customFormat="1" ht="12.75" x14ac:dyDescent="0.2">
      <c r="B41229" s="1168"/>
    </row>
    <row r="41230" spans="2:2" s="221" customFormat="1" ht="12.75" x14ac:dyDescent="0.2">
      <c r="B41230" s="1168"/>
    </row>
    <row r="41231" spans="2:2" s="221" customFormat="1" ht="12.75" x14ac:dyDescent="0.2">
      <c r="B41231" s="1168"/>
    </row>
    <row r="41232" spans="2:2" s="221" customFormat="1" ht="12.75" x14ac:dyDescent="0.2">
      <c r="B41232" s="1168"/>
    </row>
    <row r="41233" spans="2:2" s="221" customFormat="1" ht="12.75" x14ac:dyDescent="0.2">
      <c r="B41233" s="1168"/>
    </row>
    <row r="41234" spans="2:2" s="221" customFormat="1" ht="12.75" x14ac:dyDescent="0.2">
      <c r="B41234" s="1168"/>
    </row>
    <row r="41235" spans="2:2" s="221" customFormat="1" ht="12.75" x14ac:dyDescent="0.2">
      <c r="B41235" s="1168"/>
    </row>
    <row r="41236" spans="2:2" s="221" customFormat="1" ht="12.75" x14ac:dyDescent="0.2">
      <c r="B41236" s="1168"/>
    </row>
    <row r="41237" spans="2:2" s="221" customFormat="1" ht="12.75" x14ac:dyDescent="0.2">
      <c r="B41237" s="1168"/>
    </row>
    <row r="41238" spans="2:2" s="221" customFormat="1" ht="12.75" x14ac:dyDescent="0.2">
      <c r="B41238" s="1168"/>
    </row>
    <row r="41239" spans="2:2" s="221" customFormat="1" ht="12.75" x14ac:dyDescent="0.2">
      <c r="B41239" s="1168"/>
    </row>
    <row r="41240" spans="2:2" s="221" customFormat="1" ht="12.75" x14ac:dyDescent="0.2">
      <c r="B41240" s="1168"/>
    </row>
    <row r="41241" spans="2:2" s="221" customFormat="1" ht="12.75" x14ac:dyDescent="0.2">
      <c r="B41241" s="1168"/>
    </row>
    <row r="41242" spans="2:2" s="221" customFormat="1" ht="12.75" x14ac:dyDescent="0.2">
      <c r="B41242" s="1168"/>
    </row>
    <row r="41243" spans="2:2" s="221" customFormat="1" ht="12.75" x14ac:dyDescent="0.2">
      <c r="B41243" s="1168"/>
    </row>
    <row r="41244" spans="2:2" s="221" customFormat="1" ht="12.75" x14ac:dyDescent="0.2">
      <c r="B41244" s="1168"/>
    </row>
    <row r="41245" spans="2:2" s="221" customFormat="1" ht="12.75" x14ac:dyDescent="0.2">
      <c r="B41245" s="1168"/>
    </row>
    <row r="41246" spans="2:2" s="221" customFormat="1" ht="12.75" x14ac:dyDescent="0.2">
      <c r="B41246" s="1168"/>
    </row>
    <row r="41247" spans="2:2" s="221" customFormat="1" ht="12.75" x14ac:dyDescent="0.2">
      <c r="B41247" s="1168"/>
    </row>
    <row r="41248" spans="2:2" s="221" customFormat="1" ht="12.75" x14ac:dyDescent="0.2">
      <c r="B41248" s="1168"/>
    </row>
    <row r="41249" spans="2:2" s="221" customFormat="1" ht="12.75" x14ac:dyDescent="0.2">
      <c r="B41249" s="1168"/>
    </row>
    <row r="41250" spans="2:2" s="221" customFormat="1" ht="12.75" x14ac:dyDescent="0.2">
      <c r="B41250" s="1168"/>
    </row>
    <row r="41251" spans="2:2" s="221" customFormat="1" ht="12.75" x14ac:dyDescent="0.2">
      <c r="B41251" s="1168"/>
    </row>
    <row r="41252" spans="2:2" s="221" customFormat="1" ht="12.75" x14ac:dyDescent="0.2">
      <c r="B41252" s="1168"/>
    </row>
    <row r="41253" spans="2:2" s="221" customFormat="1" ht="12.75" x14ac:dyDescent="0.2">
      <c r="B41253" s="1168"/>
    </row>
    <row r="41254" spans="2:2" s="221" customFormat="1" ht="12.75" x14ac:dyDescent="0.2">
      <c r="B41254" s="1168"/>
    </row>
    <row r="41255" spans="2:2" s="221" customFormat="1" ht="12.75" x14ac:dyDescent="0.2">
      <c r="B41255" s="1168"/>
    </row>
    <row r="41256" spans="2:2" s="221" customFormat="1" ht="12.75" x14ac:dyDescent="0.2">
      <c r="B41256" s="1168"/>
    </row>
    <row r="41257" spans="2:2" s="221" customFormat="1" ht="12.75" x14ac:dyDescent="0.2">
      <c r="B41257" s="1168"/>
    </row>
    <row r="41258" spans="2:2" s="221" customFormat="1" ht="12.75" x14ac:dyDescent="0.2">
      <c r="B41258" s="1168"/>
    </row>
    <row r="41259" spans="2:2" s="221" customFormat="1" ht="12.75" x14ac:dyDescent="0.2">
      <c r="B41259" s="1168"/>
    </row>
    <row r="41260" spans="2:2" s="221" customFormat="1" ht="12.75" x14ac:dyDescent="0.2">
      <c r="B41260" s="1168"/>
    </row>
    <row r="41261" spans="2:2" s="221" customFormat="1" ht="12.75" x14ac:dyDescent="0.2">
      <c r="B41261" s="1168"/>
    </row>
    <row r="41262" spans="2:2" s="221" customFormat="1" ht="12.75" x14ac:dyDescent="0.2">
      <c r="B41262" s="1168"/>
    </row>
    <row r="41263" spans="2:2" s="221" customFormat="1" ht="12.75" x14ac:dyDescent="0.2">
      <c r="B41263" s="1168"/>
    </row>
    <row r="41264" spans="2:2" s="221" customFormat="1" ht="12.75" x14ac:dyDescent="0.2">
      <c r="B41264" s="1168"/>
    </row>
    <row r="41265" spans="2:2" s="221" customFormat="1" ht="12.75" x14ac:dyDescent="0.2">
      <c r="B41265" s="1168"/>
    </row>
    <row r="41266" spans="2:2" s="221" customFormat="1" ht="12.75" x14ac:dyDescent="0.2">
      <c r="B41266" s="1168"/>
    </row>
    <row r="41267" spans="2:2" s="221" customFormat="1" ht="12.75" x14ac:dyDescent="0.2">
      <c r="B41267" s="1168"/>
    </row>
    <row r="41268" spans="2:2" s="221" customFormat="1" ht="12.75" x14ac:dyDescent="0.2">
      <c r="B41268" s="1168"/>
    </row>
    <row r="41269" spans="2:2" s="221" customFormat="1" ht="12.75" x14ac:dyDescent="0.2">
      <c r="B41269" s="1168"/>
    </row>
    <row r="41270" spans="2:2" s="221" customFormat="1" ht="12.75" x14ac:dyDescent="0.2">
      <c r="B41270" s="1168"/>
    </row>
    <row r="41271" spans="2:2" s="221" customFormat="1" ht="12.75" x14ac:dyDescent="0.2">
      <c r="B41271" s="1168"/>
    </row>
    <row r="41272" spans="2:2" s="221" customFormat="1" ht="12.75" x14ac:dyDescent="0.2">
      <c r="B41272" s="1168"/>
    </row>
    <row r="41273" spans="2:2" s="221" customFormat="1" ht="12.75" x14ac:dyDescent="0.2">
      <c r="B41273" s="1168"/>
    </row>
    <row r="41274" spans="2:2" s="221" customFormat="1" ht="12.75" x14ac:dyDescent="0.2">
      <c r="B41274" s="1168"/>
    </row>
    <row r="41275" spans="2:2" s="221" customFormat="1" ht="12.75" x14ac:dyDescent="0.2">
      <c r="B41275" s="1168"/>
    </row>
    <row r="41276" spans="2:2" s="221" customFormat="1" ht="12.75" x14ac:dyDescent="0.2">
      <c r="B41276" s="1168"/>
    </row>
    <row r="41277" spans="2:2" s="221" customFormat="1" ht="12.75" x14ac:dyDescent="0.2">
      <c r="B41277" s="1168"/>
    </row>
    <row r="41278" spans="2:2" s="221" customFormat="1" ht="12.75" x14ac:dyDescent="0.2">
      <c r="B41278" s="1168"/>
    </row>
    <row r="41279" spans="2:2" s="221" customFormat="1" ht="12.75" x14ac:dyDescent="0.2">
      <c r="B41279" s="1168"/>
    </row>
    <row r="41280" spans="2:2" s="221" customFormat="1" ht="12.75" x14ac:dyDescent="0.2">
      <c r="B41280" s="1168"/>
    </row>
    <row r="41281" spans="2:2" s="221" customFormat="1" ht="12.75" x14ac:dyDescent="0.2">
      <c r="B41281" s="1168"/>
    </row>
    <row r="41282" spans="2:2" s="221" customFormat="1" ht="12.75" x14ac:dyDescent="0.2">
      <c r="B41282" s="1168"/>
    </row>
    <row r="41283" spans="2:2" s="221" customFormat="1" ht="12.75" x14ac:dyDescent="0.2">
      <c r="B41283" s="1168"/>
    </row>
    <row r="41284" spans="2:2" s="221" customFormat="1" ht="12.75" x14ac:dyDescent="0.2">
      <c r="B41284" s="1168"/>
    </row>
    <row r="41285" spans="2:2" s="221" customFormat="1" ht="12.75" x14ac:dyDescent="0.2">
      <c r="B41285" s="1168"/>
    </row>
    <row r="41286" spans="2:2" s="221" customFormat="1" ht="12.75" x14ac:dyDescent="0.2">
      <c r="B41286" s="1168"/>
    </row>
    <row r="41287" spans="2:2" s="221" customFormat="1" ht="12.75" x14ac:dyDescent="0.2">
      <c r="B41287" s="1168"/>
    </row>
    <row r="41288" spans="2:2" s="221" customFormat="1" ht="12.75" x14ac:dyDescent="0.2">
      <c r="B41288" s="1168"/>
    </row>
    <row r="41289" spans="2:2" s="221" customFormat="1" ht="12.75" x14ac:dyDescent="0.2">
      <c r="B41289" s="1168"/>
    </row>
    <row r="41290" spans="2:2" s="221" customFormat="1" ht="12.75" x14ac:dyDescent="0.2">
      <c r="B41290" s="1168"/>
    </row>
    <row r="41291" spans="2:2" s="221" customFormat="1" ht="12.75" x14ac:dyDescent="0.2">
      <c r="B41291" s="1168"/>
    </row>
    <row r="41292" spans="2:2" s="221" customFormat="1" ht="12.75" x14ac:dyDescent="0.2">
      <c r="B41292" s="1168"/>
    </row>
    <row r="41293" spans="2:2" s="221" customFormat="1" ht="12.75" x14ac:dyDescent="0.2">
      <c r="B41293" s="1168"/>
    </row>
    <row r="41294" spans="2:2" s="221" customFormat="1" ht="12.75" x14ac:dyDescent="0.2">
      <c r="B41294" s="1168"/>
    </row>
    <row r="41295" spans="2:2" s="221" customFormat="1" ht="12.75" x14ac:dyDescent="0.2">
      <c r="B41295" s="1168"/>
    </row>
    <row r="41296" spans="2:2" s="221" customFormat="1" ht="12.75" x14ac:dyDescent="0.2">
      <c r="B41296" s="1168"/>
    </row>
    <row r="41297" spans="2:2" s="221" customFormat="1" ht="12.75" x14ac:dyDescent="0.2">
      <c r="B41297" s="1168"/>
    </row>
    <row r="41298" spans="2:2" s="221" customFormat="1" ht="12.75" x14ac:dyDescent="0.2">
      <c r="B41298" s="1168"/>
    </row>
    <row r="41299" spans="2:2" s="221" customFormat="1" ht="12.75" x14ac:dyDescent="0.2">
      <c r="B41299" s="1168"/>
    </row>
    <row r="41300" spans="2:2" s="221" customFormat="1" ht="12.75" x14ac:dyDescent="0.2">
      <c r="B41300" s="1168"/>
    </row>
    <row r="41301" spans="2:2" s="221" customFormat="1" ht="12.75" x14ac:dyDescent="0.2">
      <c r="B41301" s="1168"/>
    </row>
    <row r="41302" spans="2:2" s="221" customFormat="1" ht="12.75" x14ac:dyDescent="0.2">
      <c r="B41302" s="1168"/>
    </row>
    <row r="41303" spans="2:2" s="221" customFormat="1" ht="12.75" x14ac:dyDescent="0.2">
      <c r="B41303" s="1168"/>
    </row>
    <row r="41304" spans="2:2" s="221" customFormat="1" ht="12.75" x14ac:dyDescent="0.2">
      <c r="B41304" s="1168"/>
    </row>
    <row r="41305" spans="2:2" s="221" customFormat="1" ht="12.75" x14ac:dyDescent="0.2">
      <c r="B41305" s="1168"/>
    </row>
    <row r="41306" spans="2:2" s="221" customFormat="1" ht="12.75" x14ac:dyDescent="0.2">
      <c r="B41306" s="1168"/>
    </row>
    <row r="41307" spans="2:2" s="221" customFormat="1" ht="12.75" x14ac:dyDescent="0.2">
      <c r="B41307" s="1168"/>
    </row>
    <row r="41308" spans="2:2" s="221" customFormat="1" ht="12.75" x14ac:dyDescent="0.2">
      <c r="B41308" s="1168"/>
    </row>
    <row r="41309" spans="2:2" s="221" customFormat="1" ht="12.75" x14ac:dyDescent="0.2">
      <c r="B41309" s="1168"/>
    </row>
    <row r="41310" spans="2:2" s="221" customFormat="1" ht="12.75" x14ac:dyDescent="0.2">
      <c r="B41310" s="1168"/>
    </row>
    <row r="41311" spans="2:2" s="221" customFormat="1" ht="12.75" x14ac:dyDescent="0.2">
      <c r="B41311" s="1168"/>
    </row>
    <row r="41312" spans="2:2" s="221" customFormat="1" ht="12.75" x14ac:dyDescent="0.2">
      <c r="B41312" s="1168"/>
    </row>
    <row r="41313" spans="2:2" s="221" customFormat="1" ht="12.75" x14ac:dyDescent="0.2">
      <c r="B41313" s="1168"/>
    </row>
    <row r="41314" spans="2:2" s="221" customFormat="1" ht="12.75" x14ac:dyDescent="0.2">
      <c r="B41314" s="1168"/>
    </row>
    <row r="41315" spans="2:2" s="221" customFormat="1" ht="12.75" x14ac:dyDescent="0.2">
      <c r="B41315" s="1168"/>
    </row>
    <row r="41316" spans="2:2" s="221" customFormat="1" ht="12.75" x14ac:dyDescent="0.2">
      <c r="B41316" s="1168"/>
    </row>
    <row r="41317" spans="2:2" s="221" customFormat="1" ht="12.75" x14ac:dyDescent="0.2">
      <c r="B41317" s="1168"/>
    </row>
    <row r="41318" spans="2:2" s="221" customFormat="1" ht="12.75" x14ac:dyDescent="0.2">
      <c r="B41318" s="1168"/>
    </row>
    <row r="41319" spans="2:2" s="221" customFormat="1" ht="12.75" x14ac:dyDescent="0.2">
      <c r="B41319" s="1168"/>
    </row>
    <row r="41320" spans="2:2" s="221" customFormat="1" ht="12.75" x14ac:dyDescent="0.2">
      <c r="B41320" s="1168"/>
    </row>
    <row r="41321" spans="2:2" s="221" customFormat="1" ht="12.75" x14ac:dyDescent="0.2">
      <c r="B41321" s="1168"/>
    </row>
    <row r="41322" spans="2:2" s="221" customFormat="1" ht="12.75" x14ac:dyDescent="0.2">
      <c r="B41322" s="1168"/>
    </row>
    <row r="41323" spans="2:2" s="221" customFormat="1" ht="12.75" x14ac:dyDescent="0.2">
      <c r="B41323" s="1168"/>
    </row>
    <row r="41324" spans="2:2" s="221" customFormat="1" ht="12.75" x14ac:dyDescent="0.2">
      <c r="B41324" s="1168"/>
    </row>
    <row r="41325" spans="2:2" s="221" customFormat="1" ht="12.75" x14ac:dyDescent="0.2">
      <c r="B41325" s="1168"/>
    </row>
    <row r="41326" spans="2:2" s="221" customFormat="1" ht="12.75" x14ac:dyDescent="0.2">
      <c r="B41326" s="1168"/>
    </row>
    <row r="41327" spans="2:2" s="221" customFormat="1" ht="12.75" x14ac:dyDescent="0.2">
      <c r="B41327" s="1168"/>
    </row>
    <row r="41328" spans="2:2" s="221" customFormat="1" ht="12.75" x14ac:dyDescent="0.2">
      <c r="B41328" s="1168"/>
    </row>
    <row r="41329" spans="2:2" s="221" customFormat="1" ht="12.75" x14ac:dyDescent="0.2">
      <c r="B41329" s="1168"/>
    </row>
    <row r="41330" spans="2:2" s="221" customFormat="1" ht="12.75" x14ac:dyDescent="0.2">
      <c r="B41330" s="1168"/>
    </row>
    <row r="41331" spans="2:2" s="221" customFormat="1" ht="12.75" x14ac:dyDescent="0.2">
      <c r="B41331" s="1168"/>
    </row>
    <row r="41332" spans="2:2" s="221" customFormat="1" ht="12.75" x14ac:dyDescent="0.2">
      <c r="B41332" s="1168"/>
    </row>
    <row r="41333" spans="2:2" s="221" customFormat="1" ht="12.75" x14ac:dyDescent="0.2">
      <c r="B41333" s="1168"/>
    </row>
    <row r="41334" spans="2:2" s="221" customFormat="1" ht="12.75" x14ac:dyDescent="0.2">
      <c r="B41334" s="1168"/>
    </row>
    <row r="41335" spans="2:2" s="221" customFormat="1" ht="12.75" x14ac:dyDescent="0.2">
      <c r="B41335" s="1168"/>
    </row>
    <row r="41336" spans="2:2" s="221" customFormat="1" ht="12.75" x14ac:dyDescent="0.2">
      <c r="B41336" s="1168"/>
    </row>
    <row r="41337" spans="2:2" s="221" customFormat="1" ht="12.75" x14ac:dyDescent="0.2">
      <c r="B41337" s="1168"/>
    </row>
    <row r="41338" spans="2:2" s="221" customFormat="1" ht="12.75" x14ac:dyDescent="0.2">
      <c r="B41338" s="1168"/>
    </row>
    <row r="41339" spans="2:2" s="221" customFormat="1" ht="12.75" x14ac:dyDescent="0.2">
      <c r="B41339" s="1168"/>
    </row>
    <row r="41340" spans="2:2" s="221" customFormat="1" ht="12.75" x14ac:dyDescent="0.2">
      <c r="B41340" s="1168"/>
    </row>
    <row r="41341" spans="2:2" s="221" customFormat="1" ht="12.75" x14ac:dyDescent="0.2">
      <c r="B41341" s="1168"/>
    </row>
    <row r="41342" spans="2:2" s="221" customFormat="1" ht="12.75" x14ac:dyDescent="0.2">
      <c r="B41342" s="1168"/>
    </row>
    <row r="41343" spans="2:2" s="221" customFormat="1" ht="12.75" x14ac:dyDescent="0.2">
      <c r="B41343" s="1168"/>
    </row>
    <row r="41344" spans="2:2" s="221" customFormat="1" ht="12.75" x14ac:dyDescent="0.2">
      <c r="B41344" s="1168"/>
    </row>
    <row r="41345" spans="2:2" s="221" customFormat="1" ht="12.75" x14ac:dyDescent="0.2">
      <c r="B41345" s="1168"/>
    </row>
    <row r="41346" spans="2:2" s="221" customFormat="1" ht="12.75" x14ac:dyDescent="0.2">
      <c r="B41346" s="1168"/>
    </row>
    <row r="41347" spans="2:2" s="221" customFormat="1" ht="12.75" x14ac:dyDescent="0.2">
      <c r="B41347" s="1168"/>
    </row>
    <row r="41348" spans="2:2" s="221" customFormat="1" ht="12.75" x14ac:dyDescent="0.2">
      <c r="B41348" s="1168"/>
    </row>
    <row r="41349" spans="2:2" s="221" customFormat="1" ht="12.75" x14ac:dyDescent="0.2">
      <c r="B41349" s="1168"/>
    </row>
    <row r="41350" spans="2:2" s="221" customFormat="1" ht="12.75" x14ac:dyDescent="0.2">
      <c r="B41350" s="1168"/>
    </row>
    <row r="41351" spans="2:2" s="221" customFormat="1" ht="12.75" x14ac:dyDescent="0.2">
      <c r="B41351" s="1168"/>
    </row>
    <row r="41352" spans="2:2" s="221" customFormat="1" ht="12.75" x14ac:dyDescent="0.2">
      <c r="B41352" s="1168"/>
    </row>
    <row r="41353" spans="2:2" s="221" customFormat="1" ht="12.75" x14ac:dyDescent="0.2">
      <c r="B41353" s="1168"/>
    </row>
    <row r="41354" spans="2:2" s="221" customFormat="1" ht="12.75" x14ac:dyDescent="0.2">
      <c r="B41354" s="1168"/>
    </row>
    <row r="41355" spans="2:2" s="221" customFormat="1" ht="12.75" x14ac:dyDescent="0.2">
      <c r="B41355" s="1168"/>
    </row>
    <row r="41356" spans="2:2" s="221" customFormat="1" ht="12.75" x14ac:dyDescent="0.2">
      <c r="B41356" s="1168"/>
    </row>
    <row r="41357" spans="2:2" s="221" customFormat="1" ht="12.75" x14ac:dyDescent="0.2">
      <c r="B41357" s="1168"/>
    </row>
    <row r="41358" spans="2:2" s="221" customFormat="1" ht="12.75" x14ac:dyDescent="0.2">
      <c r="B41358" s="1168"/>
    </row>
    <row r="41359" spans="2:2" s="221" customFormat="1" ht="12.75" x14ac:dyDescent="0.2">
      <c r="B41359" s="1168"/>
    </row>
    <row r="41360" spans="2:2" s="221" customFormat="1" ht="12.75" x14ac:dyDescent="0.2">
      <c r="B41360" s="1168"/>
    </row>
    <row r="41361" spans="2:2" s="221" customFormat="1" ht="12.75" x14ac:dyDescent="0.2">
      <c r="B41361" s="1168"/>
    </row>
    <row r="41362" spans="2:2" s="221" customFormat="1" ht="12.75" x14ac:dyDescent="0.2">
      <c r="B41362" s="1168"/>
    </row>
    <row r="41363" spans="2:2" s="221" customFormat="1" ht="12.75" x14ac:dyDescent="0.2">
      <c r="B41363" s="1168"/>
    </row>
    <row r="41364" spans="2:2" s="221" customFormat="1" ht="12.75" x14ac:dyDescent="0.2">
      <c r="B41364" s="1168"/>
    </row>
    <row r="41365" spans="2:2" s="221" customFormat="1" ht="12.75" x14ac:dyDescent="0.2">
      <c r="B41365" s="1168"/>
    </row>
    <row r="41366" spans="2:2" s="221" customFormat="1" ht="12.75" x14ac:dyDescent="0.2">
      <c r="B41366" s="1168"/>
    </row>
    <row r="41367" spans="2:2" s="221" customFormat="1" ht="12.75" x14ac:dyDescent="0.2">
      <c r="B41367" s="1168"/>
    </row>
    <row r="41368" spans="2:2" s="221" customFormat="1" ht="12.75" x14ac:dyDescent="0.2">
      <c r="B41368" s="1168"/>
    </row>
    <row r="41369" spans="2:2" s="221" customFormat="1" ht="12.75" x14ac:dyDescent="0.2">
      <c r="B41369" s="1168"/>
    </row>
    <row r="41370" spans="2:2" s="221" customFormat="1" ht="12.75" x14ac:dyDescent="0.2">
      <c r="B41370" s="1168"/>
    </row>
    <row r="41371" spans="2:2" s="221" customFormat="1" ht="12.75" x14ac:dyDescent="0.2">
      <c r="B41371" s="1168"/>
    </row>
    <row r="41372" spans="2:2" s="221" customFormat="1" ht="12.75" x14ac:dyDescent="0.2">
      <c r="B41372" s="1168"/>
    </row>
    <row r="41373" spans="2:2" s="221" customFormat="1" ht="12.75" x14ac:dyDescent="0.2">
      <c r="B41373" s="1168"/>
    </row>
    <row r="41374" spans="2:2" s="221" customFormat="1" ht="12.75" x14ac:dyDescent="0.2">
      <c r="B41374" s="1168"/>
    </row>
    <row r="41375" spans="2:2" s="221" customFormat="1" ht="12.75" x14ac:dyDescent="0.2">
      <c r="B41375" s="1168"/>
    </row>
    <row r="41376" spans="2:2" s="221" customFormat="1" ht="12.75" x14ac:dyDescent="0.2">
      <c r="B41376" s="1168"/>
    </row>
    <row r="41377" spans="2:2" s="221" customFormat="1" ht="12.75" x14ac:dyDescent="0.2">
      <c r="B41377" s="1168"/>
    </row>
    <row r="41378" spans="2:2" s="221" customFormat="1" ht="12.75" x14ac:dyDescent="0.2">
      <c r="B41378" s="1168"/>
    </row>
    <row r="41379" spans="2:2" s="221" customFormat="1" ht="12.75" x14ac:dyDescent="0.2">
      <c r="B41379" s="1168"/>
    </row>
    <row r="41380" spans="2:2" s="221" customFormat="1" ht="12.75" x14ac:dyDescent="0.2">
      <c r="B41380" s="1168"/>
    </row>
    <row r="41381" spans="2:2" s="221" customFormat="1" ht="12.75" x14ac:dyDescent="0.2">
      <c r="B41381" s="1168"/>
    </row>
    <row r="41382" spans="2:2" s="221" customFormat="1" ht="12.75" x14ac:dyDescent="0.2">
      <c r="B41382" s="1168"/>
    </row>
    <row r="41383" spans="2:2" s="221" customFormat="1" ht="12.75" x14ac:dyDescent="0.2">
      <c r="B41383" s="1168"/>
    </row>
    <row r="41384" spans="2:2" s="221" customFormat="1" ht="12.75" x14ac:dyDescent="0.2">
      <c r="B41384" s="1168"/>
    </row>
    <row r="41385" spans="2:2" s="221" customFormat="1" ht="12.75" x14ac:dyDescent="0.2">
      <c r="B41385" s="1168"/>
    </row>
    <row r="41386" spans="2:2" s="221" customFormat="1" ht="12.75" x14ac:dyDescent="0.2">
      <c r="B41386" s="1168"/>
    </row>
    <row r="41387" spans="2:2" s="221" customFormat="1" ht="12.75" x14ac:dyDescent="0.2">
      <c r="B41387" s="1168"/>
    </row>
    <row r="41388" spans="2:2" s="221" customFormat="1" ht="12.75" x14ac:dyDescent="0.2">
      <c r="B41388" s="1168"/>
    </row>
    <row r="41389" spans="2:2" s="221" customFormat="1" ht="12.75" x14ac:dyDescent="0.2">
      <c r="B41389" s="1168"/>
    </row>
    <row r="41390" spans="2:2" s="221" customFormat="1" ht="12.75" x14ac:dyDescent="0.2">
      <c r="B41390" s="1168"/>
    </row>
    <row r="41391" spans="2:2" s="221" customFormat="1" ht="12.75" x14ac:dyDescent="0.2">
      <c r="B41391" s="1168"/>
    </row>
    <row r="41392" spans="2:2" s="221" customFormat="1" ht="12.75" x14ac:dyDescent="0.2">
      <c r="B41392" s="1168"/>
    </row>
    <row r="41393" spans="2:2" s="221" customFormat="1" ht="12.75" x14ac:dyDescent="0.2">
      <c r="B41393" s="1168"/>
    </row>
    <row r="41394" spans="2:2" s="221" customFormat="1" ht="12.75" x14ac:dyDescent="0.2">
      <c r="B41394" s="1168"/>
    </row>
    <row r="41395" spans="2:2" s="221" customFormat="1" ht="12.75" x14ac:dyDescent="0.2">
      <c r="B41395" s="1168"/>
    </row>
    <row r="41396" spans="2:2" s="221" customFormat="1" ht="12.75" x14ac:dyDescent="0.2">
      <c r="B41396" s="1168"/>
    </row>
    <row r="41397" spans="2:2" s="221" customFormat="1" ht="12.75" x14ac:dyDescent="0.2">
      <c r="B41397" s="1168"/>
    </row>
    <row r="41398" spans="2:2" s="221" customFormat="1" ht="12.75" x14ac:dyDescent="0.2">
      <c r="B41398" s="1168"/>
    </row>
    <row r="41399" spans="2:2" s="221" customFormat="1" ht="12.75" x14ac:dyDescent="0.2">
      <c r="B41399" s="1168"/>
    </row>
    <row r="41400" spans="2:2" s="221" customFormat="1" ht="12.75" x14ac:dyDescent="0.2">
      <c r="B41400" s="1168"/>
    </row>
    <row r="41401" spans="2:2" s="221" customFormat="1" ht="12.75" x14ac:dyDescent="0.2">
      <c r="B41401" s="1168"/>
    </row>
    <row r="41402" spans="2:2" s="221" customFormat="1" ht="12.75" x14ac:dyDescent="0.2">
      <c r="B41402" s="1168"/>
    </row>
    <row r="41403" spans="2:2" s="221" customFormat="1" ht="12.75" x14ac:dyDescent="0.2">
      <c r="B41403" s="1168"/>
    </row>
    <row r="41404" spans="2:2" s="221" customFormat="1" ht="12.75" x14ac:dyDescent="0.2">
      <c r="B41404" s="1168"/>
    </row>
    <row r="41405" spans="2:2" s="221" customFormat="1" ht="12.75" x14ac:dyDescent="0.2">
      <c r="B41405" s="1168"/>
    </row>
    <row r="41406" spans="2:2" s="221" customFormat="1" ht="12.75" x14ac:dyDescent="0.2">
      <c r="B41406" s="1168"/>
    </row>
    <row r="41407" spans="2:2" s="221" customFormat="1" ht="12.75" x14ac:dyDescent="0.2">
      <c r="B41407" s="1168"/>
    </row>
    <row r="41408" spans="2:2" s="221" customFormat="1" ht="12.75" x14ac:dyDescent="0.2">
      <c r="B41408" s="1168"/>
    </row>
    <row r="41409" spans="2:2" s="221" customFormat="1" ht="12.75" x14ac:dyDescent="0.2">
      <c r="B41409" s="1168"/>
    </row>
    <row r="41410" spans="2:2" s="221" customFormat="1" ht="12.75" x14ac:dyDescent="0.2">
      <c r="B41410" s="1168"/>
    </row>
    <row r="41411" spans="2:2" s="221" customFormat="1" ht="12.75" x14ac:dyDescent="0.2">
      <c r="B41411" s="1168"/>
    </row>
    <row r="41412" spans="2:2" s="221" customFormat="1" ht="12.75" x14ac:dyDescent="0.2">
      <c r="B41412" s="1168"/>
    </row>
    <row r="41413" spans="2:2" s="221" customFormat="1" ht="12.75" x14ac:dyDescent="0.2">
      <c r="B41413" s="1168"/>
    </row>
    <row r="41414" spans="2:2" s="221" customFormat="1" ht="12.75" x14ac:dyDescent="0.2">
      <c r="B41414" s="1168"/>
    </row>
    <row r="41415" spans="2:2" s="221" customFormat="1" ht="12.75" x14ac:dyDescent="0.2">
      <c r="B41415" s="1168"/>
    </row>
    <row r="41416" spans="2:2" s="221" customFormat="1" ht="12.75" x14ac:dyDescent="0.2">
      <c r="B41416" s="1168"/>
    </row>
    <row r="41417" spans="2:2" s="221" customFormat="1" ht="12.75" x14ac:dyDescent="0.2">
      <c r="B41417" s="1168"/>
    </row>
    <row r="41418" spans="2:2" s="221" customFormat="1" ht="12.75" x14ac:dyDescent="0.2">
      <c r="B41418" s="1168"/>
    </row>
    <row r="41419" spans="2:2" s="221" customFormat="1" ht="12.75" x14ac:dyDescent="0.2">
      <c r="B41419" s="1168"/>
    </row>
    <row r="41420" spans="2:2" s="221" customFormat="1" ht="12.75" x14ac:dyDescent="0.2">
      <c r="B41420" s="1168"/>
    </row>
    <row r="41421" spans="2:2" s="221" customFormat="1" ht="12.75" x14ac:dyDescent="0.2">
      <c r="B41421" s="1168"/>
    </row>
    <row r="41422" spans="2:2" s="221" customFormat="1" ht="12.75" x14ac:dyDescent="0.2">
      <c r="B41422" s="1168"/>
    </row>
    <row r="41423" spans="2:2" s="221" customFormat="1" ht="12.75" x14ac:dyDescent="0.2">
      <c r="B41423" s="1168"/>
    </row>
    <row r="41424" spans="2:2" s="221" customFormat="1" ht="12.75" x14ac:dyDescent="0.2">
      <c r="B41424" s="1168"/>
    </row>
    <row r="41425" spans="2:2" s="221" customFormat="1" ht="12.75" x14ac:dyDescent="0.2">
      <c r="B41425" s="1168"/>
    </row>
    <row r="41426" spans="2:2" s="221" customFormat="1" ht="12.75" x14ac:dyDescent="0.2">
      <c r="B41426" s="1168"/>
    </row>
    <row r="41427" spans="2:2" s="221" customFormat="1" ht="12.75" x14ac:dyDescent="0.2">
      <c r="B41427" s="1168"/>
    </row>
    <row r="41428" spans="2:2" s="221" customFormat="1" ht="12.75" x14ac:dyDescent="0.2">
      <c r="B41428" s="1168"/>
    </row>
    <row r="41429" spans="2:2" s="221" customFormat="1" ht="12.75" x14ac:dyDescent="0.2">
      <c r="B41429" s="1168"/>
    </row>
    <row r="41430" spans="2:2" s="221" customFormat="1" ht="12.75" x14ac:dyDescent="0.2">
      <c r="B41430" s="1168"/>
    </row>
    <row r="41431" spans="2:2" s="221" customFormat="1" ht="12.75" x14ac:dyDescent="0.2">
      <c r="B41431" s="1168"/>
    </row>
    <row r="41432" spans="2:2" s="221" customFormat="1" ht="12.75" x14ac:dyDescent="0.2">
      <c r="B41432" s="1168"/>
    </row>
    <row r="41433" spans="2:2" s="221" customFormat="1" ht="12.75" x14ac:dyDescent="0.2">
      <c r="B41433" s="1168"/>
    </row>
    <row r="41434" spans="2:2" s="221" customFormat="1" ht="12.75" x14ac:dyDescent="0.2">
      <c r="B41434" s="1168"/>
    </row>
    <row r="41435" spans="2:2" s="221" customFormat="1" ht="12.75" x14ac:dyDescent="0.2">
      <c r="B41435" s="1168"/>
    </row>
    <row r="41436" spans="2:2" s="221" customFormat="1" ht="12.75" x14ac:dyDescent="0.2">
      <c r="B41436" s="1168"/>
    </row>
    <row r="41437" spans="2:2" s="221" customFormat="1" ht="12.75" x14ac:dyDescent="0.2">
      <c r="B41437" s="1168"/>
    </row>
    <row r="41438" spans="2:2" s="221" customFormat="1" ht="12.75" x14ac:dyDescent="0.2">
      <c r="B41438" s="1168"/>
    </row>
    <row r="41439" spans="2:2" s="221" customFormat="1" ht="12.75" x14ac:dyDescent="0.2">
      <c r="B41439" s="1168"/>
    </row>
    <row r="41440" spans="2:2" s="221" customFormat="1" ht="12.75" x14ac:dyDescent="0.2">
      <c r="B41440" s="1168"/>
    </row>
    <row r="41441" spans="2:2" s="221" customFormat="1" ht="12.75" x14ac:dyDescent="0.2">
      <c r="B41441" s="1168"/>
    </row>
    <row r="41442" spans="2:2" s="221" customFormat="1" ht="12.75" x14ac:dyDescent="0.2">
      <c r="B41442" s="1168"/>
    </row>
    <row r="41443" spans="2:2" s="221" customFormat="1" ht="12.75" x14ac:dyDescent="0.2">
      <c r="B41443" s="1168"/>
    </row>
    <row r="41444" spans="2:2" s="221" customFormat="1" ht="12.75" x14ac:dyDescent="0.2">
      <c r="B41444" s="1168"/>
    </row>
    <row r="41445" spans="2:2" s="221" customFormat="1" ht="12.75" x14ac:dyDescent="0.2">
      <c r="B41445" s="1168"/>
    </row>
    <row r="41446" spans="2:2" s="221" customFormat="1" ht="12.75" x14ac:dyDescent="0.2">
      <c r="B41446" s="1168"/>
    </row>
    <row r="41447" spans="2:2" s="221" customFormat="1" ht="12.75" x14ac:dyDescent="0.2">
      <c r="B41447" s="1168"/>
    </row>
    <row r="41448" spans="2:2" s="221" customFormat="1" ht="12.75" x14ac:dyDescent="0.2">
      <c r="B41448" s="1168"/>
    </row>
    <row r="41449" spans="2:2" s="221" customFormat="1" ht="12.75" x14ac:dyDescent="0.2">
      <c r="B41449" s="1168"/>
    </row>
    <row r="41450" spans="2:2" s="221" customFormat="1" ht="12.75" x14ac:dyDescent="0.2">
      <c r="B41450" s="1168"/>
    </row>
    <row r="41451" spans="2:2" s="221" customFormat="1" ht="12.75" x14ac:dyDescent="0.2">
      <c r="B41451" s="1168"/>
    </row>
    <row r="41452" spans="2:2" s="221" customFormat="1" ht="12.75" x14ac:dyDescent="0.2">
      <c r="B41452" s="1168"/>
    </row>
    <row r="41453" spans="2:2" s="221" customFormat="1" ht="12.75" x14ac:dyDescent="0.2">
      <c r="B41453" s="1168"/>
    </row>
    <row r="41454" spans="2:2" s="221" customFormat="1" ht="12.75" x14ac:dyDescent="0.2">
      <c r="B41454" s="1168"/>
    </row>
    <row r="41455" spans="2:2" s="221" customFormat="1" ht="12.75" x14ac:dyDescent="0.2">
      <c r="B41455" s="1168"/>
    </row>
    <row r="41456" spans="2:2" s="221" customFormat="1" ht="12.75" x14ac:dyDescent="0.2">
      <c r="B41456" s="1168"/>
    </row>
    <row r="41457" spans="2:2" s="221" customFormat="1" ht="12.75" x14ac:dyDescent="0.2">
      <c r="B41457" s="1168"/>
    </row>
    <row r="41458" spans="2:2" s="221" customFormat="1" ht="12.75" x14ac:dyDescent="0.2">
      <c r="B41458" s="1168"/>
    </row>
    <row r="41459" spans="2:2" s="221" customFormat="1" ht="12.75" x14ac:dyDescent="0.2">
      <c r="B41459" s="1168"/>
    </row>
    <row r="41460" spans="2:2" s="221" customFormat="1" ht="12.75" x14ac:dyDescent="0.2">
      <c r="B41460" s="1168"/>
    </row>
    <row r="41461" spans="2:2" s="221" customFormat="1" ht="12.75" x14ac:dyDescent="0.2">
      <c r="B41461" s="1168"/>
    </row>
    <row r="41462" spans="2:2" s="221" customFormat="1" ht="12.75" x14ac:dyDescent="0.2">
      <c r="B41462" s="1168"/>
    </row>
    <row r="41463" spans="2:2" s="221" customFormat="1" ht="12.75" x14ac:dyDescent="0.2">
      <c r="B41463" s="1168"/>
    </row>
    <row r="41464" spans="2:2" s="221" customFormat="1" ht="12.75" x14ac:dyDescent="0.2">
      <c r="B41464" s="1168"/>
    </row>
    <row r="41465" spans="2:2" s="221" customFormat="1" ht="12.75" x14ac:dyDescent="0.2">
      <c r="B41465" s="1168"/>
    </row>
    <row r="41466" spans="2:2" s="221" customFormat="1" ht="12.75" x14ac:dyDescent="0.2">
      <c r="B41466" s="1168"/>
    </row>
    <row r="41467" spans="2:2" s="221" customFormat="1" ht="12.75" x14ac:dyDescent="0.2">
      <c r="B41467" s="1168"/>
    </row>
    <row r="41468" spans="2:2" s="221" customFormat="1" ht="12.75" x14ac:dyDescent="0.2">
      <c r="B41468" s="1168"/>
    </row>
    <row r="41469" spans="2:2" s="221" customFormat="1" ht="12.75" x14ac:dyDescent="0.2">
      <c r="B41469" s="1168"/>
    </row>
    <row r="41470" spans="2:2" s="221" customFormat="1" ht="12.75" x14ac:dyDescent="0.2">
      <c r="B41470" s="1168"/>
    </row>
    <row r="41471" spans="2:2" s="221" customFormat="1" ht="12.75" x14ac:dyDescent="0.2">
      <c r="B41471" s="1168"/>
    </row>
    <row r="41472" spans="2:2" s="221" customFormat="1" ht="12.75" x14ac:dyDescent="0.2">
      <c r="B41472" s="1168"/>
    </row>
    <row r="41473" spans="2:2" s="221" customFormat="1" ht="12.75" x14ac:dyDescent="0.2">
      <c r="B41473" s="1168"/>
    </row>
    <row r="41474" spans="2:2" s="221" customFormat="1" ht="12.75" x14ac:dyDescent="0.2">
      <c r="B41474" s="1168"/>
    </row>
    <row r="41475" spans="2:2" s="221" customFormat="1" ht="12.75" x14ac:dyDescent="0.2">
      <c r="B41475" s="1168"/>
    </row>
    <row r="41476" spans="2:2" s="221" customFormat="1" ht="12.75" x14ac:dyDescent="0.2">
      <c r="B41476" s="1168"/>
    </row>
    <row r="41477" spans="2:2" s="221" customFormat="1" ht="12.75" x14ac:dyDescent="0.2">
      <c r="B41477" s="1168"/>
    </row>
    <row r="41478" spans="2:2" s="221" customFormat="1" ht="12.75" x14ac:dyDescent="0.2">
      <c r="B41478" s="1168"/>
    </row>
    <row r="41479" spans="2:2" s="221" customFormat="1" ht="12.75" x14ac:dyDescent="0.2">
      <c r="B41479" s="1168"/>
    </row>
    <row r="41480" spans="2:2" s="221" customFormat="1" ht="12.75" x14ac:dyDescent="0.2">
      <c r="B41480" s="1168"/>
    </row>
    <row r="41481" spans="2:2" s="221" customFormat="1" ht="12.75" x14ac:dyDescent="0.2">
      <c r="B41481" s="1168"/>
    </row>
    <row r="41482" spans="2:2" s="221" customFormat="1" ht="12.75" x14ac:dyDescent="0.2">
      <c r="B41482" s="1168"/>
    </row>
    <row r="41483" spans="2:2" s="221" customFormat="1" ht="12.75" x14ac:dyDescent="0.2">
      <c r="B41483" s="1168"/>
    </row>
    <row r="41484" spans="2:2" s="221" customFormat="1" ht="12.75" x14ac:dyDescent="0.2">
      <c r="B41484" s="1168"/>
    </row>
    <row r="41485" spans="2:2" s="221" customFormat="1" ht="12.75" x14ac:dyDescent="0.2">
      <c r="B41485" s="1168"/>
    </row>
    <row r="41486" spans="2:2" s="221" customFormat="1" ht="12.75" x14ac:dyDescent="0.2">
      <c r="B41486" s="1168"/>
    </row>
    <row r="41487" spans="2:2" s="221" customFormat="1" ht="12.75" x14ac:dyDescent="0.2">
      <c r="B41487" s="1168"/>
    </row>
    <row r="41488" spans="2:2" s="221" customFormat="1" ht="12.75" x14ac:dyDescent="0.2">
      <c r="B41488" s="1168"/>
    </row>
    <row r="41489" spans="2:2" s="221" customFormat="1" ht="12.75" x14ac:dyDescent="0.2">
      <c r="B41489" s="1168"/>
    </row>
    <row r="41490" spans="2:2" s="221" customFormat="1" ht="12.75" x14ac:dyDescent="0.2">
      <c r="B41490" s="1168"/>
    </row>
    <row r="41491" spans="2:2" s="221" customFormat="1" ht="12.75" x14ac:dyDescent="0.2">
      <c r="B41491" s="1168"/>
    </row>
    <row r="41492" spans="2:2" s="221" customFormat="1" ht="12.75" x14ac:dyDescent="0.2">
      <c r="B41492" s="1168"/>
    </row>
    <row r="41493" spans="2:2" s="221" customFormat="1" ht="12.75" x14ac:dyDescent="0.2">
      <c r="B41493" s="1168"/>
    </row>
    <row r="41494" spans="2:2" s="221" customFormat="1" ht="12.75" x14ac:dyDescent="0.2">
      <c r="B41494" s="1168"/>
    </row>
    <row r="41495" spans="2:2" s="221" customFormat="1" ht="12.75" x14ac:dyDescent="0.2">
      <c r="B41495" s="1168"/>
    </row>
    <row r="41496" spans="2:2" s="221" customFormat="1" ht="12.75" x14ac:dyDescent="0.2">
      <c r="B41496" s="1168"/>
    </row>
    <row r="41497" spans="2:2" s="221" customFormat="1" ht="12.75" x14ac:dyDescent="0.2">
      <c r="B41497" s="1168"/>
    </row>
    <row r="41498" spans="2:2" s="221" customFormat="1" ht="12.75" x14ac:dyDescent="0.2">
      <c r="B41498" s="1168"/>
    </row>
    <row r="41499" spans="2:2" s="221" customFormat="1" ht="12.75" x14ac:dyDescent="0.2">
      <c r="B41499" s="1168"/>
    </row>
    <row r="41500" spans="2:2" s="221" customFormat="1" ht="12.75" x14ac:dyDescent="0.2">
      <c r="B41500" s="1168"/>
    </row>
    <row r="41501" spans="2:2" s="221" customFormat="1" ht="12.75" x14ac:dyDescent="0.2">
      <c r="B41501" s="1168"/>
    </row>
    <row r="41502" spans="2:2" s="221" customFormat="1" ht="12.75" x14ac:dyDescent="0.2">
      <c r="B41502" s="1168"/>
    </row>
    <row r="41503" spans="2:2" s="221" customFormat="1" ht="12.75" x14ac:dyDescent="0.2">
      <c r="B41503" s="1168"/>
    </row>
    <row r="41504" spans="2:2" s="221" customFormat="1" ht="12.75" x14ac:dyDescent="0.2">
      <c r="B41504" s="1168"/>
    </row>
    <row r="41505" spans="2:2" s="221" customFormat="1" ht="12.75" x14ac:dyDescent="0.2">
      <c r="B41505" s="1168"/>
    </row>
    <row r="41506" spans="2:2" s="221" customFormat="1" ht="12.75" x14ac:dyDescent="0.2">
      <c r="B41506" s="1168"/>
    </row>
    <row r="41507" spans="2:2" s="221" customFormat="1" ht="12.75" x14ac:dyDescent="0.2">
      <c r="B41507" s="1168"/>
    </row>
    <row r="41508" spans="2:2" s="221" customFormat="1" ht="12.75" x14ac:dyDescent="0.2">
      <c r="B41508" s="1168"/>
    </row>
    <row r="41509" spans="2:2" s="221" customFormat="1" ht="12.75" x14ac:dyDescent="0.2">
      <c r="B41509" s="1168"/>
    </row>
    <row r="41510" spans="2:2" s="221" customFormat="1" ht="12.75" x14ac:dyDescent="0.2">
      <c r="B41510" s="1168"/>
    </row>
    <row r="41511" spans="2:2" s="221" customFormat="1" ht="12.75" x14ac:dyDescent="0.2">
      <c r="B41511" s="1168"/>
    </row>
    <row r="41512" spans="2:2" s="221" customFormat="1" ht="12.75" x14ac:dyDescent="0.2">
      <c r="B41512" s="1168"/>
    </row>
    <row r="41513" spans="2:2" s="221" customFormat="1" ht="12.75" x14ac:dyDescent="0.2">
      <c r="B41513" s="1168"/>
    </row>
    <row r="41514" spans="2:2" s="221" customFormat="1" ht="12.75" x14ac:dyDescent="0.2">
      <c r="B41514" s="1168"/>
    </row>
    <row r="41515" spans="2:2" s="221" customFormat="1" ht="12.75" x14ac:dyDescent="0.2">
      <c r="B41515" s="1168"/>
    </row>
    <row r="41516" spans="2:2" s="221" customFormat="1" ht="12.75" x14ac:dyDescent="0.2">
      <c r="B41516" s="1168"/>
    </row>
    <row r="41517" spans="2:2" s="221" customFormat="1" ht="12.75" x14ac:dyDescent="0.2">
      <c r="B41517" s="1168"/>
    </row>
    <row r="41518" spans="2:2" s="221" customFormat="1" ht="12.75" x14ac:dyDescent="0.2">
      <c r="B41518" s="1168"/>
    </row>
    <row r="41519" spans="2:2" s="221" customFormat="1" ht="12.75" x14ac:dyDescent="0.2">
      <c r="B41519" s="1168"/>
    </row>
    <row r="41520" spans="2:2" s="221" customFormat="1" ht="12.75" x14ac:dyDescent="0.2">
      <c r="B41520" s="1168"/>
    </row>
    <row r="41521" spans="2:2" s="221" customFormat="1" ht="12.75" x14ac:dyDescent="0.2">
      <c r="B41521" s="1168"/>
    </row>
    <row r="41522" spans="2:2" s="221" customFormat="1" ht="12.75" x14ac:dyDescent="0.2">
      <c r="B41522" s="1168"/>
    </row>
    <row r="41523" spans="2:2" s="221" customFormat="1" ht="12.75" x14ac:dyDescent="0.2">
      <c r="B41523" s="1168"/>
    </row>
    <row r="41524" spans="2:2" s="221" customFormat="1" ht="12.75" x14ac:dyDescent="0.2">
      <c r="B41524" s="1168"/>
    </row>
    <row r="41525" spans="2:2" s="221" customFormat="1" ht="12.75" x14ac:dyDescent="0.2">
      <c r="B41525" s="1168"/>
    </row>
    <row r="41526" spans="2:2" s="221" customFormat="1" ht="12.75" x14ac:dyDescent="0.2">
      <c r="B41526" s="1168"/>
    </row>
    <row r="41527" spans="2:2" s="221" customFormat="1" ht="12.75" x14ac:dyDescent="0.2">
      <c r="B41527" s="1168"/>
    </row>
    <row r="41528" spans="2:2" s="221" customFormat="1" ht="12.75" x14ac:dyDescent="0.2">
      <c r="B41528" s="1168"/>
    </row>
    <row r="41529" spans="2:2" s="221" customFormat="1" ht="12.75" x14ac:dyDescent="0.2">
      <c r="B41529" s="1168"/>
    </row>
    <row r="41530" spans="2:2" s="221" customFormat="1" ht="12.75" x14ac:dyDescent="0.2">
      <c r="B41530" s="1168"/>
    </row>
    <row r="41531" spans="2:2" s="221" customFormat="1" ht="12.75" x14ac:dyDescent="0.2">
      <c r="B41531" s="1168"/>
    </row>
    <row r="41532" spans="2:2" s="221" customFormat="1" ht="12.75" x14ac:dyDescent="0.2">
      <c r="B41532" s="1168"/>
    </row>
    <row r="41533" spans="2:2" s="221" customFormat="1" ht="12.75" x14ac:dyDescent="0.2">
      <c r="B41533" s="1168"/>
    </row>
    <row r="41534" spans="2:2" s="221" customFormat="1" ht="12.75" x14ac:dyDescent="0.2">
      <c r="B41534" s="1168"/>
    </row>
    <row r="41535" spans="2:2" s="221" customFormat="1" ht="12.75" x14ac:dyDescent="0.2">
      <c r="B41535" s="1168"/>
    </row>
    <row r="41536" spans="2:2" s="221" customFormat="1" ht="12.75" x14ac:dyDescent="0.2">
      <c r="B41536" s="1168"/>
    </row>
    <row r="41537" spans="2:2" s="221" customFormat="1" ht="12.75" x14ac:dyDescent="0.2">
      <c r="B41537" s="1168"/>
    </row>
    <row r="41538" spans="2:2" s="221" customFormat="1" ht="12.75" x14ac:dyDescent="0.2">
      <c r="B41538" s="1168"/>
    </row>
    <row r="41539" spans="2:2" s="221" customFormat="1" ht="12.75" x14ac:dyDescent="0.2">
      <c r="B41539" s="1168"/>
    </row>
    <row r="41540" spans="2:2" s="221" customFormat="1" ht="12.75" x14ac:dyDescent="0.2">
      <c r="B41540" s="1168"/>
    </row>
    <row r="41541" spans="2:2" s="221" customFormat="1" ht="12.75" x14ac:dyDescent="0.2">
      <c r="B41541" s="1168"/>
    </row>
    <row r="41542" spans="2:2" s="221" customFormat="1" ht="12.75" x14ac:dyDescent="0.2">
      <c r="B41542" s="1168"/>
    </row>
    <row r="41543" spans="2:2" s="221" customFormat="1" ht="12.75" x14ac:dyDescent="0.2">
      <c r="B41543" s="1168"/>
    </row>
    <row r="41544" spans="2:2" s="221" customFormat="1" ht="12.75" x14ac:dyDescent="0.2">
      <c r="B41544" s="1168"/>
    </row>
    <row r="41545" spans="2:2" s="221" customFormat="1" ht="12.75" x14ac:dyDescent="0.2">
      <c r="B41545" s="1168"/>
    </row>
    <row r="41546" spans="2:2" s="221" customFormat="1" ht="12.75" x14ac:dyDescent="0.2">
      <c r="B41546" s="1168"/>
    </row>
    <row r="41547" spans="2:2" s="221" customFormat="1" ht="12.75" x14ac:dyDescent="0.2">
      <c r="B41547" s="1168"/>
    </row>
    <row r="41548" spans="2:2" s="221" customFormat="1" ht="12.75" x14ac:dyDescent="0.2">
      <c r="B41548" s="1168"/>
    </row>
    <row r="41549" spans="2:2" s="221" customFormat="1" ht="12.75" x14ac:dyDescent="0.2">
      <c r="B41549" s="1168"/>
    </row>
    <row r="41550" spans="2:2" s="221" customFormat="1" ht="12.75" x14ac:dyDescent="0.2">
      <c r="B41550" s="1168"/>
    </row>
    <row r="41551" spans="2:2" s="221" customFormat="1" ht="12.75" x14ac:dyDescent="0.2">
      <c r="B41551" s="1168"/>
    </row>
    <row r="41552" spans="2:2" s="221" customFormat="1" ht="12.75" x14ac:dyDescent="0.2">
      <c r="B41552" s="1168"/>
    </row>
    <row r="41553" spans="2:2" s="221" customFormat="1" ht="12.75" x14ac:dyDescent="0.2">
      <c r="B41553" s="1168"/>
    </row>
    <row r="41554" spans="2:2" s="221" customFormat="1" ht="12.75" x14ac:dyDescent="0.2">
      <c r="B41554" s="1168"/>
    </row>
    <row r="41555" spans="2:2" s="221" customFormat="1" ht="12.75" x14ac:dyDescent="0.2">
      <c r="B41555" s="1168"/>
    </row>
    <row r="41556" spans="2:2" s="221" customFormat="1" ht="12.75" x14ac:dyDescent="0.2">
      <c r="B41556" s="1168"/>
    </row>
    <row r="41557" spans="2:2" s="221" customFormat="1" ht="12.75" x14ac:dyDescent="0.2">
      <c r="B41557" s="1168"/>
    </row>
    <row r="41558" spans="2:2" s="221" customFormat="1" ht="12.75" x14ac:dyDescent="0.2">
      <c r="B41558" s="1168"/>
    </row>
    <row r="41559" spans="2:2" s="221" customFormat="1" ht="12.75" x14ac:dyDescent="0.2">
      <c r="B41559" s="1168"/>
    </row>
    <row r="41560" spans="2:2" s="221" customFormat="1" ht="12.75" x14ac:dyDescent="0.2">
      <c r="B41560" s="1168"/>
    </row>
    <row r="41561" spans="2:2" s="221" customFormat="1" ht="12.75" x14ac:dyDescent="0.2">
      <c r="B41561" s="1168"/>
    </row>
    <row r="41562" spans="2:2" s="221" customFormat="1" ht="12.75" x14ac:dyDescent="0.2">
      <c r="B41562" s="1168"/>
    </row>
    <row r="41563" spans="2:2" s="221" customFormat="1" ht="12.75" x14ac:dyDescent="0.2">
      <c r="B41563" s="1168"/>
    </row>
    <row r="41564" spans="2:2" s="221" customFormat="1" ht="12.75" x14ac:dyDescent="0.2">
      <c r="B41564" s="1168"/>
    </row>
    <row r="41565" spans="2:2" s="221" customFormat="1" ht="12.75" x14ac:dyDescent="0.2">
      <c r="B41565" s="1168"/>
    </row>
    <row r="41566" spans="2:2" s="221" customFormat="1" ht="12.75" x14ac:dyDescent="0.2">
      <c r="B41566" s="1168"/>
    </row>
    <row r="41567" spans="2:2" s="221" customFormat="1" ht="12.75" x14ac:dyDescent="0.2">
      <c r="B41567" s="1168"/>
    </row>
    <row r="41568" spans="2:2" s="221" customFormat="1" ht="12.75" x14ac:dyDescent="0.2">
      <c r="B41568" s="1168"/>
    </row>
    <row r="41569" spans="2:2" s="221" customFormat="1" ht="12.75" x14ac:dyDescent="0.2">
      <c r="B41569" s="1168"/>
    </row>
    <row r="41570" spans="2:2" s="221" customFormat="1" ht="12.75" x14ac:dyDescent="0.2">
      <c r="B41570" s="1168"/>
    </row>
    <row r="41571" spans="2:2" s="221" customFormat="1" ht="12.75" x14ac:dyDescent="0.2">
      <c r="B41571" s="1168"/>
    </row>
    <row r="41572" spans="2:2" s="221" customFormat="1" ht="12.75" x14ac:dyDescent="0.2">
      <c r="B41572" s="1168"/>
    </row>
    <row r="41573" spans="2:2" s="221" customFormat="1" ht="12.75" x14ac:dyDescent="0.2">
      <c r="B41573" s="1168"/>
    </row>
    <row r="41574" spans="2:2" s="221" customFormat="1" ht="12.75" x14ac:dyDescent="0.2">
      <c r="B41574" s="1168"/>
    </row>
    <row r="41575" spans="2:2" s="221" customFormat="1" ht="12.75" x14ac:dyDescent="0.2">
      <c r="B41575" s="1168"/>
    </row>
    <row r="41576" spans="2:2" s="221" customFormat="1" ht="12.75" x14ac:dyDescent="0.2">
      <c r="B41576" s="1168"/>
    </row>
    <row r="41577" spans="2:2" s="221" customFormat="1" ht="12.75" x14ac:dyDescent="0.2">
      <c r="B41577" s="1168"/>
    </row>
    <row r="41578" spans="2:2" s="221" customFormat="1" ht="12.75" x14ac:dyDescent="0.2">
      <c r="B41578" s="1168"/>
    </row>
    <row r="41579" spans="2:2" s="221" customFormat="1" ht="12.75" x14ac:dyDescent="0.2">
      <c r="B41579" s="1168"/>
    </row>
    <row r="41580" spans="2:2" s="221" customFormat="1" ht="12.75" x14ac:dyDescent="0.2">
      <c r="B41580" s="1168"/>
    </row>
    <row r="41581" spans="2:2" s="221" customFormat="1" ht="12.75" x14ac:dyDescent="0.2">
      <c r="B41581" s="1168"/>
    </row>
    <row r="41582" spans="2:2" s="221" customFormat="1" ht="12.75" x14ac:dyDescent="0.2">
      <c r="B41582" s="1168"/>
    </row>
    <row r="41583" spans="2:2" s="221" customFormat="1" ht="12.75" x14ac:dyDescent="0.2">
      <c r="B41583" s="1168"/>
    </row>
    <row r="41584" spans="2:2" s="221" customFormat="1" ht="12.75" x14ac:dyDescent="0.2">
      <c r="B41584" s="1168"/>
    </row>
    <row r="41585" spans="2:2" s="221" customFormat="1" ht="12.75" x14ac:dyDescent="0.2">
      <c r="B41585" s="1168"/>
    </row>
    <row r="41586" spans="2:2" s="221" customFormat="1" ht="12.75" x14ac:dyDescent="0.2">
      <c r="B41586" s="1168"/>
    </row>
    <row r="41587" spans="2:2" s="221" customFormat="1" ht="12.75" x14ac:dyDescent="0.2">
      <c r="B41587" s="1168"/>
    </row>
    <row r="41588" spans="2:2" s="221" customFormat="1" ht="12.75" x14ac:dyDescent="0.2">
      <c r="B41588" s="1168"/>
    </row>
    <row r="41589" spans="2:2" s="221" customFormat="1" ht="12.75" x14ac:dyDescent="0.2">
      <c r="B41589" s="1168"/>
    </row>
    <row r="41590" spans="2:2" s="221" customFormat="1" ht="12.75" x14ac:dyDescent="0.2">
      <c r="B41590" s="1168"/>
    </row>
    <row r="41591" spans="2:2" s="221" customFormat="1" ht="12.75" x14ac:dyDescent="0.2">
      <c r="B41591" s="1168"/>
    </row>
    <row r="41592" spans="2:2" s="221" customFormat="1" ht="12.75" x14ac:dyDescent="0.2">
      <c r="B41592" s="1168"/>
    </row>
    <row r="41593" spans="2:2" s="221" customFormat="1" ht="12.75" x14ac:dyDescent="0.2">
      <c r="B41593" s="1168"/>
    </row>
    <row r="41594" spans="2:2" s="221" customFormat="1" ht="12.75" x14ac:dyDescent="0.2">
      <c r="B41594" s="1168"/>
    </row>
    <row r="41595" spans="2:2" s="221" customFormat="1" ht="12.75" x14ac:dyDescent="0.2">
      <c r="B41595" s="1168"/>
    </row>
    <row r="41596" spans="2:2" s="221" customFormat="1" ht="12.75" x14ac:dyDescent="0.2">
      <c r="B41596" s="1168"/>
    </row>
    <row r="41597" spans="2:2" s="221" customFormat="1" ht="12.75" x14ac:dyDescent="0.2">
      <c r="B41597" s="1168"/>
    </row>
    <row r="41598" spans="2:2" s="221" customFormat="1" ht="12.75" x14ac:dyDescent="0.2">
      <c r="B41598" s="1168"/>
    </row>
    <row r="41599" spans="2:2" s="221" customFormat="1" ht="12.75" x14ac:dyDescent="0.2">
      <c r="B41599" s="1168"/>
    </row>
    <row r="41600" spans="2:2" s="221" customFormat="1" ht="12.75" x14ac:dyDescent="0.2">
      <c r="B41600" s="1168"/>
    </row>
    <row r="41601" spans="2:2" s="221" customFormat="1" ht="12.75" x14ac:dyDescent="0.2">
      <c r="B41601" s="1168"/>
    </row>
    <row r="41602" spans="2:2" s="221" customFormat="1" ht="12.75" x14ac:dyDescent="0.2">
      <c r="B41602" s="1168"/>
    </row>
    <row r="41603" spans="2:2" s="221" customFormat="1" ht="12.75" x14ac:dyDescent="0.2">
      <c r="B41603" s="1168"/>
    </row>
    <row r="41604" spans="2:2" s="221" customFormat="1" ht="12.75" x14ac:dyDescent="0.2">
      <c r="B41604" s="1168"/>
    </row>
    <row r="41605" spans="2:2" s="221" customFormat="1" ht="12.75" x14ac:dyDescent="0.2">
      <c r="B41605" s="1168"/>
    </row>
    <row r="41606" spans="2:2" s="221" customFormat="1" ht="12.75" x14ac:dyDescent="0.2">
      <c r="B41606" s="1168"/>
    </row>
    <row r="41607" spans="2:2" s="221" customFormat="1" ht="12.75" x14ac:dyDescent="0.2">
      <c r="B41607" s="1168"/>
    </row>
    <row r="41608" spans="2:2" s="221" customFormat="1" ht="12.75" x14ac:dyDescent="0.2">
      <c r="B41608" s="1168"/>
    </row>
    <row r="41609" spans="2:2" s="221" customFormat="1" ht="12.75" x14ac:dyDescent="0.2">
      <c r="B41609" s="1168"/>
    </row>
    <row r="41610" spans="2:2" s="221" customFormat="1" ht="12.75" x14ac:dyDescent="0.2">
      <c r="B41610" s="1168"/>
    </row>
    <row r="41611" spans="2:2" s="221" customFormat="1" ht="12.75" x14ac:dyDescent="0.2">
      <c r="B41611" s="1168"/>
    </row>
    <row r="41612" spans="2:2" s="221" customFormat="1" ht="12.75" x14ac:dyDescent="0.2">
      <c r="B41612" s="1168"/>
    </row>
    <row r="41613" spans="2:2" s="221" customFormat="1" ht="12.75" x14ac:dyDescent="0.2">
      <c r="B41613" s="1168"/>
    </row>
    <row r="41614" spans="2:2" s="221" customFormat="1" ht="12.75" x14ac:dyDescent="0.2">
      <c r="B41614" s="1168"/>
    </row>
    <row r="41615" spans="2:2" s="221" customFormat="1" ht="12.75" x14ac:dyDescent="0.2">
      <c r="B41615" s="1168"/>
    </row>
    <row r="41616" spans="2:2" s="221" customFormat="1" ht="12.75" x14ac:dyDescent="0.2">
      <c r="B41616" s="1168"/>
    </row>
    <row r="41617" spans="2:2" s="221" customFormat="1" ht="12.75" x14ac:dyDescent="0.2">
      <c r="B41617" s="1168"/>
    </row>
    <row r="41618" spans="2:2" s="221" customFormat="1" ht="12.75" x14ac:dyDescent="0.2">
      <c r="B41618" s="1168"/>
    </row>
    <row r="41619" spans="2:2" s="221" customFormat="1" ht="12.75" x14ac:dyDescent="0.2">
      <c r="B41619" s="1168"/>
    </row>
    <row r="41620" spans="2:2" s="221" customFormat="1" ht="12.75" x14ac:dyDescent="0.2">
      <c r="B41620" s="1168"/>
    </row>
    <row r="41621" spans="2:2" s="221" customFormat="1" ht="12.75" x14ac:dyDescent="0.2">
      <c r="B41621" s="1168"/>
    </row>
    <row r="41622" spans="2:2" s="221" customFormat="1" ht="12.75" x14ac:dyDescent="0.2">
      <c r="B41622" s="1168"/>
    </row>
    <row r="41623" spans="2:2" s="221" customFormat="1" ht="12.75" x14ac:dyDescent="0.2">
      <c r="B41623" s="1168"/>
    </row>
    <row r="41624" spans="2:2" s="221" customFormat="1" ht="12.75" x14ac:dyDescent="0.2">
      <c r="B41624" s="1168"/>
    </row>
    <row r="41625" spans="2:2" s="221" customFormat="1" ht="12.75" x14ac:dyDescent="0.2">
      <c r="B41625" s="1168"/>
    </row>
    <row r="41626" spans="2:2" s="221" customFormat="1" ht="12.75" x14ac:dyDescent="0.2">
      <c r="B41626" s="1168"/>
    </row>
    <row r="41627" spans="2:2" s="221" customFormat="1" ht="12.75" x14ac:dyDescent="0.2">
      <c r="B41627" s="1168"/>
    </row>
    <row r="41628" spans="2:2" s="221" customFormat="1" ht="12.75" x14ac:dyDescent="0.2">
      <c r="B41628" s="1168"/>
    </row>
    <row r="41629" spans="2:2" s="221" customFormat="1" ht="12.75" x14ac:dyDescent="0.2">
      <c r="B41629" s="1168"/>
    </row>
    <row r="41630" spans="2:2" s="221" customFormat="1" ht="12.75" x14ac:dyDescent="0.2">
      <c r="B41630" s="1168"/>
    </row>
    <row r="41631" spans="2:2" s="221" customFormat="1" ht="12.75" x14ac:dyDescent="0.2">
      <c r="B41631" s="1168"/>
    </row>
    <row r="41632" spans="2:2" s="221" customFormat="1" ht="12.75" x14ac:dyDescent="0.2">
      <c r="B41632" s="1168"/>
    </row>
    <row r="41633" spans="2:2" s="221" customFormat="1" ht="12.75" x14ac:dyDescent="0.2">
      <c r="B41633" s="1168"/>
    </row>
    <row r="41634" spans="2:2" s="221" customFormat="1" ht="12.75" x14ac:dyDescent="0.2">
      <c r="B41634" s="1168"/>
    </row>
    <row r="41635" spans="2:2" s="221" customFormat="1" ht="12.75" x14ac:dyDescent="0.2">
      <c r="B41635" s="1168"/>
    </row>
    <row r="41636" spans="2:2" s="221" customFormat="1" ht="12.75" x14ac:dyDescent="0.2">
      <c r="B41636" s="1168"/>
    </row>
    <row r="41637" spans="2:2" s="221" customFormat="1" ht="12.75" x14ac:dyDescent="0.2">
      <c r="B41637" s="1168"/>
    </row>
    <row r="41638" spans="2:2" s="221" customFormat="1" ht="12.75" x14ac:dyDescent="0.2">
      <c r="B41638" s="1168"/>
    </row>
    <row r="41639" spans="2:2" s="221" customFormat="1" ht="12.75" x14ac:dyDescent="0.2">
      <c r="B41639" s="1168"/>
    </row>
    <row r="41640" spans="2:2" s="221" customFormat="1" ht="12.75" x14ac:dyDescent="0.2">
      <c r="B41640" s="1168"/>
    </row>
    <row r="41641" spans="2:2" s="221" customFormat="1" ht="12.75" x14ac:dyDescent="0.2">
      <c r="B41641" s="1168"/>
    </row>
    <row r="41642" spans="2:2" s="221" customFormat="1" ht="12.75" x14ac:dyDescent="0.2">
      <c r="B41642" s="1168"/>
    </row>
    <row r="41643" spans="2:2" s="221" customFormat="1" ht="12.75" x14ac:dyDescent="0.2">
      <c r="B41643" s="1168"/>
    </row>
    <row r="41644" spans="2:2" s="221" customFormat="1" ht="12.75" x14ac:dyDescent="0.2">
      <c r="B41644" s="1168"/>
    </row>
    <row r="41645" spans="2:2" s="221" customFormat="1" ht="12.75" x14ac:dyDescent="0.2">
      <c r="B41645" s="1168"/>
    </row>
    <row r="41646" spans="2:2" s="221" customFormat="1" ht="12.75" x14ac:dyDescent="0.2">
      <c r="B41646" s="1168"/>
    </row>
    <row r="41647" spans="2:2" s="221" customFormat="1" ht="12.75" x14ac:dyDescent="0.2">
      <c r="B41647" s="1168"/>
    </row>
    <row r="41648" spans="2:2" s="221" customFormat="1" ht="12.75" x14ac:dyDescent="0.2">
      <c r="B41648" s="1168"/>
    </row>
    <row r="41649" spans="2:2" s="221" customFormat="1" ht="12.75" x14ac:dyDescent="0.2">
      <c r="B41649" s="1168"/>
    </row>
    <row r="41650" spans="2:2" s="221" customFormat="1" ht="12.75" x14ac:dyDescent="0.2">
      <c r="B41650" s="1168"/>
    </row>
    <row r="41651" spans="2:2" s="221" customFormat="1" ht="12.75" x14ac:dyDescent="0.2">
      <c r="B41651" s="1168"/>
    </row>
    <row r="41652" spans="2:2" s="221" customFormat="1" ht="12.75" x14ac:dyDescent="0.2">
      <c r="B41652" s="1168"/>
    </row>
    <row r="41653" spans="2:2" s="221" customFormat="1" ht="12.75" x14ac:dyDescent="0.2">
      <c r="B41653" s="1168"/>
    </row>
    <row r="41654" spans="2:2" s="221" customFormat="1" ht="12.75" x14ac:dyDescent="0.2">
      <c r="B41654" s="1168"/>
    </row>
    <row r="41655" spans="2:2" s="221" customFormat="1" ht="12.75" x14ac:dyDescent="0.2">
      <c r="B41655" s="1168"/>
    </row>
    <row r="41656" spans="2:2" s="221" customFormat="1" ht="12.75" x14ac:dyDescent="0.2">
      <c r="B41656" s="1168"/>
    </row>
    <row r="41657" spans="2:2" s="221" customFormat="1" ht="12.75" x14ac:dyDescent="0.2">
      <c r="B41657" s="1168"/>
    </row>
    <row r="41658" spans="2:2" s="221" customFormat="1" ht="12.75" x14ac:dyDescent="0.2">
      <c r="B41658" s="1168"/>
    </row>
    <row r="41659" spans="2:2" s="221" customFormat="1" ht="12.75" x14ac:dyDescent="0.2">
      <c r="B41659" s="1168"/>
    </row>
    <row r="41660" spans="2:2" s="221" customFormat="1" ht="12.75" x14ac:dyDescent="0.2">
      <c r="B41660" s="1168"/>
    </row>
    <row r="41661" spans="2:2" s="221" customFormat="1" ht="12.75" x14ac:dyDescent="0.2">
      <c r="B41661" s="1168"/>
    </row>
    <row r="41662" spans="2:2" s="221" customFormat="1" ht="12.75" x14ac:dyDescent="0.2">
      <c r="B41662" s="1168"/>
    </row>
    <row r="41663" spans="2:2" s="221" customFormat="1" ht="12.75" x14ac:dyDescent="0.2">
      <c r="B41663" s="1168"/>
    </row>
    <row r="41664" spans="2:2" s="221" customFormat="1" ht="12.75" x14ac:dyDescent="0.2">
      <c r="B41664" s="1168"/>
    </row>
    <row r="41665" spans="2:2" s="221" customFormat="1" ht="12.75" x14ac:dyDescent="0.2">
      <c r="B41665" s="1168"/>
    </row>
    <row r="41666" spans="2:2" s="221" customFormat="1" ht="12.75" x14ac:dyDescent="0.2">
      <c r="B41666" s="1168"/>
    </row>
    <row r="41667" spans="2:2" s="221" customFormat="1" ht="12.75" x14ac:dyDescent="0.2">
      <c r="B41667" s="1168"/>
    </row>
    <row r="41668" spans="2:2" s="221" customFormat="1" ht="12.75" x14ac:dyDescent="0.2">
      <c r="B41668" s="1168"/>
    </row>
    <row r="41669" spans="2:2" s="221" customFormat="1" ht="12.75" x14ac:dyDescent="0.2">
      <c r="B41669" s="1168"/>
    </row>
    <row r="41670" spans="2:2" s="221" customFormat="1" ht="12.75" x14ac:dyDescent="0.2">
      <c r="B41670" s="1168"/>
    </row>
    <row r="41671" spans="2:2" s="221" customFormat="1" ht="12.75" x14ac:dyDescent="0.2">
      <c r="B41671" s="1168"/>
    </row>
    <row r="41672" spans="2:2" s="221" customFormat="1" ht="12.75" x14ac:dyDescent="0.2">
      <c r="B41672" s="1168"/>
    </row>
    <row r="41673" spans="2:2" s="221" customFormat="1" ht="12.75" x14ac:dyDescent="0.2">
      <c r="B41673" s="1168"/>
    </row>
    <row r="41674" spans="2:2" s="221" customFormat="1" ht="12.75" x14ac:dyDescent="0.2">
      <c r="B41674" s="1168"/>
    </row>
    <row r="41675" spans="2:2" s="221" customFormat="1" ht="12.75" x14ac:dyDescent="0.2">
      <c r="B41675" s="1168"/>
    </row>
    <row r="41676" spans="2:2" s="221" customFormat="1" ht="12.75" x14ac:dyDescent="0.2">
      <c r="B41676" s="1168"/>
    </row>
    <row r="41677" spans="2:2" s="221" customFormat="1" ht="12.75" x14ac:dyDescent="0.2">
      <c r="B41677" s="1168"/>
    </row>
    <row r="41678" spans="2:2" s="221" customFormat="1" ht="12.75" x14ac:dyDescent="0.2">
      <c r="B41678" s="1168"/>
    </row>
    <row r="41679" spans="2:2" s="221" customFormat="1" ht="12.75" x14ac:dyDescent="0.2">
      <c r="B41679" s="1168"/>
    </row>
    <row r="41680" spans="2:2" s="221" customFormat="1" ht="12.75" x14ac:dyDescent="0.2">
      <c r="B41680" s="1168"/>
    </row>
    <row r="41681" spans="2:2" s="221" customFormat="1" ht="12.75" x14ac:dyDescent="0.2">
      <c r="B41681" s="1168"/>
    </row>
    <row r="41682" spans="2:2" s="221" customFormat="1" ht="12.75" x14ac:dyDescent="0.2">
      <c r="B41682" s="1168"/>
    </row>
    <row r="41683" spans="2:2" s="221" customFormat="1" ht="12.75" x14ac:dyDescent="0.2">
      <c r="B41683" s="1168"/>
    </row>
    <row r="41684" spans="2:2" s="221" customFormat="1" ht="12.75" x14ac:dyDescent="0.2">
      <c r="B41684" s="1168"/>
    </row>
    <row r="41685" spans="2:2" s="221" customFormat="1" ht="12.75" x14ac:dyDescent="0.2">
      <c r="B41685" s="1168"/>
    </row>
    <row r="41686" spans="2:2" s="221" customFormat="1" ht="12.75" x14ac:dyDescent="0.2">
      <c r="B41686" s="1168"/>
    </row>
    <row r="41687" spans="2:2" s="221" customFormat="1" ht="12.75" x14ac:dyDescent="0.2">
      <c r="B41687" s="1168"/>
    </row>
    <row r="41688" spans="2:2" s="221" customFormat="1" ht="12.75" x14ac:dyDescent="0.2">
      <c r="B41688" s="1168"/>
    </row>
    <row r="41689" spans="2:2" s="221" customFormat="1" ht="12.75" x14ac:dyDescent="0.2">
      <c r="B41689" s="1168"/>
    </row>
    <row r="41690" spans="2:2" s="221" customFormat="1" ht="12.75" x14ac:dyDescent="0.2">
      <c r="B41690" s="1168"/>
    </row>
    <row r="41691" spans="2:2" s="221" customFormat="1" ht="12.75" x14ac:dyDescent="0.2">
      <c r="B41691" s="1168"/>
    </row>
    <row r="41692" spans="2:2" s="221" customFormat="1" ht="12.75" x14ac:dyDescent="0.2">
      <c r="B41692" s="1168"/>
    </row>
    <row r="41693" spans="2:2" s="221" customFormat="1" ht="12.75" x14ac:dyDescent="0.2">
      <c r="B41693" s="1168"/>
    </row>
    <row r="41694" spans="2:2" s="221" customFormat="1" ht="12.75" x14ac:dyDescent="0.2">
      <c r="B41694" s="1168"/>
    </row>
    <row r="41695" spans="2:2" s="221" customFormat="1" ht="12.75" x14ac:dyDescent="0.2">
      <c r="B41695" s="1168"/>
    </row>
    <row r="41696" spans="2:2" s="221" customFormat="1" ht="12.75" x14ac:dyDescent="0.2">
      <c r="B41696" s="1168"/>
    </row>
    <row r="41697" spans="2:2" s="221" customFormat="1" ht="12.75" x14ac:dyDescent="0.2">
      <c r="B41697" s="1168"/>
    </row>
    <row r="41698" spans="2:2" s="221" customFormat="1" ht="12.75" x14ac:dyDescent="0.2">
      <c r="B41698" s="1168"/>
    </row>
    <row r="41699" spans="2:2" s="221" customFormat="1" ht="12.75" x14ac:dyDescent="0.2">
      <c r="B41699" s="1168"/>
    </row>
    <row r="41700" spans="2:2" s="221" customFormat="1" ht="12.75" x14ac:dyDescent="0.2">
      <c r="B41700" s="1168"/>
    </row>
    <row r="41701" spans="2:2" s="221" customFormat="1" ht="12.75" x14ac:dyDescent="0.2">
      <c r="B41701" s="1168"/>
    </row>
    <row r="41702" spans="2:2" s="221" customFormat="1" ht="12.75" x14ac:dyDescent="0.2">
      <c r="B41702" s="1168"/>
    </row>
    <row r="41703" spans="2:2" s="221" customFormat="1" ht="12.75" x14ac:dyDescent="0.2">
      <c r="B41703" s="1168"/>
    </row>
    <row r="41704" spans="2:2" s="221" customFormat="1" ht="12.75" x14ac:dyDescent="0.2">
      <c r="B41704" s="1168"/>
    </row>
    <row r="41705" spans="2:2" s="221" customFormat="1" ht="12.75" x14ac:dyDescent="0.2">
      <c r="B41705" s="1168"/>
    </row>
    <row r="41706" spans="2:2" s="221" customFormat="1" ht="12.75" x14ac:dyDescent="0.2">
      <c r="B41706" s="1168"/>
    </row>
    <row r="41707" spans="2:2" s="221" customFormat="1" ht="12.75" x14ac:dyDescent="0.2">
      <c r="B41707" s="1168"/>
    </row>
    <row r="41708" spans="2:2" s="221" customFormat="1" ht="12.75" x14ac:dyDescent="0.2">
      <c r="B41708" s="1168"/>
    </row>
    <row r="41709" spans="2:2" s="221" customFormat="1" ht="12.75" x14ac:dyDescent="0.2">
      <c r="B41709" s="1168"/>
    </row>
    <row r="41710" spans="2:2" s="221" customFormat="1" ht="12.75" x14ac:dyDescent="0.2">
      <c r="B41710" s="1168"/>
    </row>
    <row r="41711" spans="2:2" s="221" customFormat="1" ht="12.75" x14ac:dyDescent="0.2">
      <c r="B41711" s="1168"/>
    </row>
    <row r="41712" spans="2:2" s="221" customFormat="1" ht="12.75" x14ac:dyDescent="0.2">
      <c r="B41712" s="1168"/>
    </row>
    <row r="41713" spans="2:2" s="221" customFormat="1" ht="12.75" x14ac:dyDescent="0.2">
      <c r="B41713" s="1168"/>
    </row>
    <row r="41714" spans="2:2" s="221" customFormat="1" ht="12.75" x14ac:dyDescent="0.2">
      <c r="B41714" s="1168"/>
    </row>
    <row r="41715" spans="2:2" s="221" customFormat="1" ht="12.75" x14ac:dyDescent="0.2">
      <c r="B41715" s="1168"/>
    </row>
    <row r="41716" spans="2:2" s="221" customFormat="1" ht="12.75" x14ac:dyDescent="0.2">
      <c r="B41716" s="1168"/>
    </row>
    <row r="41717" spans="2:2" s="221" customFormat="1" ht="12.75" x14ac:dyDescent="0.2">
      <c r="B41717" s="1168"/>
    </row>
    <row r="41718" spans="2:2" s="221" customFormat="1" ht="12.75" x14ac:dyDescent="0.2">
      <c r="B41718" s="1168"/>
    </row>
    <row r="41719" spans="2:2" s="221" customFormat="1" ht="12.75" x14ac:dyDescent="0.2">
      <c r="B41719" s="1168"/>
    </row>
    <row r="41720" spans="2:2" s="221" customFormat="1" ht="12.75" x14ac:dyDescent="0.2">
      <c r="B41720" s="1168"/>
    </row>
    <row r="41721" spans="2:2" s="221" customFormat="1" ht="12.75" x14ac:dyDescent="0.2">
      <c r="B41721" s="1168"/>
    </row>
    <row r="41722" spans="2:2" s="221" customFormat="1" ht="12.75" x14ac:dyDescent="0.2">
      <c r="B41722" s="1168"/>
    </row>
    <row r="41723" spans="2:2" s="221" customFormat="1" ht="12.75" x14ac:dyDescent="0.2">
      <c r="B41723" s="1168"/>
    </row>
    <row r="41724" spans="2:2" s="221" customFormat="1" ht="12.75" x14ac:dyDescent="0.2">
      <c r="B41724" s="1168"/>
    </row>
    <row r="41725" spans="2:2" s="221" customFormat="1" ht="12.75" x14ac:dyDescent="0.2">
      <c r="B41725" s="1168"/>
    </row>
    <row r="41726" spans="2:2" s="221" customFormat="1" ht="12.75" x14ac:dyDescent="0.2">
      <c r="B41726" s="1168"/>
    </row>
    <row r="41727" spans="2:2" s="221" customFormat="1" ht="12.75" x14ac:dyDescent="0.2">
      <c r="B41727" s="1168"/>
    </row>
    <row r="41728" spans="2:2" s="221" customFormat="1" ht="12.75" x14ac:dyDescent="0.2">
      <c r="B41728" s="1168"/>
    </row>
    <row r="41729" spans="2:2" s="221" customFormat="1" ht="12.75" x14ac:dyDescent="0.2">
      <c r="B41729" s="1168"/>
    </row>
    <row r="41730" spans="2:2" s="221" customFormat="1" ht="12.75" x14ac:dyDescent="0.2">
      <c r="B41730" s="1168"/>
    </row>
    <row r="41731" spans="2:2" s="221" customFormat="1" ht="12.75" x14ac:dyDescent="0.2">
      <c r="B41731" s="1168"/>
    </row>
    <row r="41732" spans="2:2" s="221" customFormat="1" ht="12.75" x14ac:dyDescent="0.2">
      <c r="B41732" s="1168"/>
    </row>
    <row r="41733" spans="2:2" s="221" customFormat="1" ht="12.75" x14ac:dyDescent="0.2">
      <c r="B41733" s="1168"/>
    </row>
    <row r="41734" spans="2:2" s="221" customFormat="1" ht="12.75" x14ac:dyDescent="0.2">
      <c r="B41734" s="1168"/>
    </row>
    <row r="41735" spans="2:2" s="221" customFormat="1" ht="12.75" x14ac:dyDescent="0.2">
      <c r="B41735" s="1168"/>
    </row>
    <row r="41736" spans="2:2" s="221" customFormat="1" ht="12.75" x14ac:dyDescent="0.2">
      <c r="B41736" s="1168"/>
    </row>
    <row r="41737" spans="2:2" s="221" customFormat="1" ht="12.75" x14ac:dyDescent="0.2">
      <c r="B41737" s="1168"/>
    </row>
    <row r="41738" spans="2:2" s="221" customFormat="1" ht="12.75" x14ac:dyDescent="0.2">
      <c r="B41738" s="1168"/>
    </row>
    <row r="41739" spans="2:2" s="221" customFormat="1" ht="12.75" x14ac:dyDescent="0.2">
      <c r="B41739" s="1168"/>
    </row>
    <row r="41740" spans="2:2" s="221" customFormat="1" ht="12.75" x14ac:dyDescent="0.2">
      <c r="B41740" s="1168"/>
    </row>
    <row r="41741" spans="2:2" s="221" customFormat="1" ht="12.75" x14ac:dyDescent="0.2">
      <c r="B41741" s="1168"/>
    </row>
    <row r="41742" spans="2:2" s="221" customFormat="1" ht="12.75" x14ac:dyDescent="0.2">
      <c r="B41742" s="1168"/>
    </row>
    <row r="41743" spans="2:2" s="221" customFormat="1" ht="12.75" x14ac:dyDescent="0.2">
      <c r="B41743" s="1168"/>
    </row>
    <row r="41744" spans="2:2" s="221" customFormat="1" ht="12.75" x14ac:dyDescent="0.2">
      <c r="B41744" s="1168"/>
    </row>
    <row r="41745" spans="2:2" s="221" customFormat="1" ht="12.75" x14ac:dyDescent="0.2">
      <c r="B41745" s="1168"/>
    </row>
    <row r="41746" spans="2:2" s="221" customFormat="1" ht="12.75" x14ac:dyDescent="0.2">
      <c r="B41746" s="1168"/>
    </row>
    <row r="41747" spans="2:2" s="221" customFormat="1" ht="12.75" x14ac:dyDescent="0.2">
      <c r="B41747" s="1168"/>
    </row>
    <row r="41748" spans="2:2" s="221" customFormat="1" ht="12.75" x14ac:dyDescent="0.2">
      <c r="B41748" s="1168"/>
    </row>
    <row r="41749" spans="2:2" s="221" customFormat="1" ht="12.75" x14ac:dyDescent="0.2">
      <c r="B41749" s="1168"/>
    </row>
    <row r="41750" spans="2:2" s="221" customFormat="1" ht="12.75" x14ac:dyDescent="0.2">
      <c r="B41750" s="1168"/>
    </row>
    <row r="41751" spans="2:2" s="221" customFormat="1" ht="12.75" x14ac:dyDescent="0.2">
      <c r="B41751" s="1168"/>
    </row>
    <row r="41752" spans="2:2" s="221" customFormat="1" ht="12.75" x14ac:dyDescent="0.2">
      <c r="B41752" s="1168"/>
    </row>
    <row r="41753" spans="2:2" s="221" customFormat="1" ht="12.75" x14ac:dyDescent="0.2">
      <c r="B41753" s="1168"/>
    </row>
    <row r="41754" spans="2:2" s="221" customFormat="1" ht="12.75" x14ac:dyDescent="0.2">
      <c r="B41754" s="1168"/>
    </row>
    <row r="41755" spans="2:2" s="221" customFormat="1" ht="12.75" x14ac:dyDescent="0.2">
      <c r="B41755" s="1168"/>
    </row>
    <row r="41756" spans="2:2" s="221" customFormat="1" ht="12.75" x14ac:dyDescent="0.2">
      <c r="B41756" s="1168"/>
    </row>
    <row r="41757" spans="2:2" s="221" customFormat="1" ht="12.75" x14ac:dyDescent="0.2">
      <c r="B41757" s="1168"/>
    </row>
    <row r="41758" spans="2:2" s="221" customFormat="1" ht="12.75" x14ac:dyDescent="0.2">
      <c r="B41758" s="1168"/>
    </row>
    <row r="41759" spans="2:2" s="221" customFormat="1" ht="12.75" x14ac:dyDescent="0.2">
      <c r="B41759" s="1168"/>
    </row>
    <row r="41760" spans="2:2" s="221" customFormat="1" ht="12.75" x14ac:dyDescent="0.2">
      <c r="B41760" s="1168"/>
    </row>
    <row r="41761" spans="2:2" s="221" customFormat="1" ht="12.75" x14ac:dyDescent="0.2">
      <c r="B41761" s="1168"/>
    </row>
    <row r="41762" spans="2:2" s="221" customFormat="1" ht="12.75" x14ac:dyDescent="0.2">
      <c r="B41762" s="1168"/>
    </row>
    <row r="41763" spans="2:2" s="221" customFormat="1" ht="12.75" x14ac:dyDescent="0.2">
      <c r="B41763" s="1168"/>
    </row>
    <row r="41764" spans="2:2" s="221" customFormat="1" ht="12.75" x14ac:dyDescent="0.2">
      <c r="B41764" s="1168"/>
    </row>
    <row r="41765" spans="2:2" s="221" customFormat="1" ht="12.75" x14ac:dyDescent="0.2">
      <c r="B41765" s="1168"/>
    </row>
    <row r="41766" spans="2:2" s="221" customFormat="1" ht="12.75" x14ac:dyDescent="0.2">
      <c r="B41766" s="1168"/>
    </row>
    <row r="41767" spans="2:2" s="221" customFormat="1" ht="12.75" x14ac:dyDescent="0.2">
      <c r="B41767" s="1168"/>
    </row>
    <row r="41768" spans="2:2" s="221" customFormat="1" ht="12.75" x14ac:dyDescent="0.2">
      <c r="B41768" s="1168"/>
    </row>
    <row r="41769" spans="2:2" s="221" customFormat="1" ht="12.75" x14ac:dyDescent="0.2">
      <c r="B41769" s="1168"/>
    </row>
    <row r="41770" spans="2:2" s="221" customFormat="1" ht="12.75" x14ac:dyDescent="0.2">
      <c r="B41770" s="1168"/>
    </row>
    <row r="41771" spans="2:2" s="221" customFormat="1" ht="12.75" x14ac:dyDescent="0.2">
      <c r="B41771" s="1168"/>
    </row>
    <row r="41772" spans="2:2" s="221" customFormat="1" ht="12.75" x14ac:dyDescent="0.2">
      <c r="B41772" s="1168"/>
    </row>
    <row r="41773" spans="2:2" s="221" customFormat="1" ht="12.75" x14ac:dyDescent="0.2">
      <c r="B41773" s="1168"/>
    </row>
    <row r="41774" spans="2:2" s="221" customFormat="1" ht="12.75" x14ac:dyDescent="0.2">
      <c r="B41774" s="1168"/>
    </row>
    <row r="41775" spans="2:2" s="221" customFormat="1" ht="12.75" x14ac:dyDescent="0.2">
      <c r="B41775" s="1168"/>
    </row>
    <row r="41776" spans="2:2" s="221" customFormat="1" ht="12.75" x14ac:dyDescent="0.2">
      <c r="B41776" s="1168"/>
    </row>
    <row r="41777" spans="2:2" s="221" customFormat="1" ht="12.75" x14ac:dyDescent="0.2">
      <c r="B41777" s="1168"/>
    </row>
    <row r="41778" spans="2:2" s="221" customFormat="1" ht="12.75" x14ac:dyDescent="0.2">
      <c r="B41778" s="1168"/>
    </row>
    <row r="41779" spans="2:2" s="221" customFormat="1" ht="12.75" x14ac:dyDescent="0.2">
      <c r="B41779" s="1168"/>
    </row>
    <row r="41780" spans="2:2" s="221" customFormat="1" ht="12.75" x14ac:dyDescent="0.2">
      <c r="B41780" s="1168"/>
    </row>
    <row r="41781" spans="2:2" s="221" customFormat="1" ht="12.75" x14ac:dyDescent="0.2">
      <c r="B41781" s="1168"/>
    </row>
    <row r="41782" spans="2:2" s="221" customFormat="1" ht="12.75" x14ac:dyDescent="0.2">
      <c r="B41782" s="1168"/>
    </row>
    <row r="41783" spans="2:2" s="221" customFormat="1" ht="12.75" x14ac:dyDescent="0.2">
      <c r="B41783" s="1168"/>
    </row>
    <row r="41784" spans="2:2" s="221" customFormat="1" ht="12.75" x14ac:dyDescent="0.2">
      <c r="B41784" s="1168"/>
    </row>
    <row r="41785" spans="2:2" s="221" customFormat="1" ht="12.75" x14ac:dyDescent="0.2">
      <c r="B41785" s="1168"/>
    </row>
    <row r="41786" spans="2:2" s="221" customFormat="1" ht="12.75" x14ac:dyDescent="0.2">
      <c r="B41786" s="1168"/>
    </row>
    <row r="41787" spans="2:2" s="221" customFormat="1" ht="12.75" x14ac:dyDescent="0.2">
      <c r="B41787" s="1168"/>
    </row>
    <row r="41788" spans="2:2" s="221" customFormat="1" ht="12.75" x14ac:dyDescent="0.2">
      <c r="B41788" s="1168"/>
    </row>
    <row r="41789" spans="2:2" s="221" customFormat="1" ht="12.75" x14ac:dyDescent="0.2">
      <c r="B41789" s="1168"/>
    </row>
    <row r="41790" spans="2:2" s="221" customFormat="1" ht="12.75" x14ac:dyDescent="0.2">
      <c r="B41790" s="1168"/>
    </row>
    <row r="41791" spans="2:2" s="221" customFormat="1" ht="12.75" x14ac:dyDescent="0.2">
      <c r="B41791" s="1168"/>
    </row>
    <row r="41792" spans="2:2" s="221" customFormat="1" ht="12.75" x14ac:dyDescent="0.2">
      <c r="B41792" s="1168"/>
    </row>
    <row r="41793" spans="2:2" s="221" customFormat="1" ht="12.75" x14ac:dyDescent="0.2">
      <c r="B41793" s="1168"/>
    </row>
    <row r="41794" spans="2:2" s="221" customFormat="1" ht="12.75" x14ac:dyDescent="0.2">
      <c r="B41794" s="1168"/>
    </row>
    <row r="41795" spans="2:2" s="221" customFormat="1" ht="12.75" x14ac:dyDescent="0.2">
      <c r="B41795" s="1168"/>
    </row>
    <row r="41796" spans="2:2" s="221" customFormat="1" ht="12.75" x14ac:dyDescent="0.2">
      <c r="B41796" s="1168"/>
    </row>
    <row r="41797" spans="2:2" s="221" customFormat="1" ht="12.75" x14ac:dyDescent="0.2">
      <c r="B41797" s="1168"/>
    </row>
    <row r="41798" spans="2:2" s="221" customFormat="1" ht="12.75" x14ac:dyDescent="0.2">
      <c r="B41798" s="1168"/>
    </row>
    <row r="41799" spans="2:2" s="221" customFormat="1" ht="12.75" x14ac:dyDescent="0.2">
      <c r="B41799" s="1168"/>
    </row>
    <row r="41800" spans="2:2" s="221" customFormat="1" ht="12.75" x14ac:dyDescent="0.2">
      <c r="B41800" s="1168"/>
    </row>
    <row r="41801" spans="2:2" s="221" customFormat="1" ht="12.75" x14ac:dyDescent="0.2">
      <c r="B41801" s="1168"/>
    </row>
    <row r="41802" spans="2:2" s="221" customFormat="1" ht="12.75" x14ac:dyDescent="0.2">
      <c r="B41802" s="1168"/>
    </row>
    <row r="41803" spans="2:2" s="221" customFormat="1" ht="12.75" x14ac:dyDescent="0.2">
      <c r="B41803" s="1168"/>
    </row>
    <row r="41804" spans="2:2" s="221" customFormat="1" ht="12.75" x14ac:dyDescent="0.2">
      <c r="B41804" s="1168"/>
    </row>
    <row r="41805" spans="2:2" s="221" customFormat="1" ht="12.75" x14ac:dyDescent="0.2">
      <c r="B41805" s="1168"/>
    </row>
    <row r="41806" spans="2:2" s="221" customFormat="1" ht="12.75" x14ac:dyDescent="0.2">
      <c r="B41806" s="1168"/>
    </row>
    <row r="41807" spans="2:2" s="221" customFormat="1" ht="12.75" x14ac:dyDescent="0.2">
      <c r="B41807" s="1168"/>
    </row>
    <row r="41808" spans="2:2" s="221" customFormat="1" ht="12.75" x14ac:dyDescent="0.2">
      <c r="B41808" s="1168"/>
    </row>
    <row r="41809" spans="2:2" s="221" customFormat="1" ht="12.75" x14ac:dyDescent="0.2">
      <c r="B41809" s="1168"/>
    </row>
    <row r="41810" spans="2:2" s="221" customFormat="1" ht="12.75" x14ac:dyDescent="0.2">
      <c r="B41810" s="1168"/>
    </row>
    <row r="41811" spans="2:2" s="221" customFormat="1" ht="12.75" x14ac:dyDescent="0.2">
      <c r="B41811" s="1168"/>
    </row>
    <row r="41812" spans="2:2" s="221" customFormat="1" ht="12.75" x14ac:dyDescent="0.2">
      <c r="B41812" s="1168"/>
    </row>
    <row r="41813" spans="2:2" s="221" customFormat="1" ht="12.75" x14ac:dyDescent="0.2">
      <c r="B41813" s="1168"/>
    </row>
    <row r="41814" spans="2:2" s="221" customFormat="1" ht="12.75" x14ac:dyDescent="0.2">
      <c r="B41814" s="1168"/>
    </row>
    <row r="41815" spans="2:2" s="221" customFormat="1" ht="12.75" x14ac:dyDescent="0.2">
      <c r="B41815" s="1168"/>
    </row>
    <row r="41816" spans="2:2" s="221" customFormat="1" ht="12.75" x14ac:dyDescent="0.2">
      <c r="B41816" s="1168"/>
    </row>
    <row r="41817" spans="2:2" s="221" customFormat="1" ht="12.75" x14ac:dyDescent="0.2">
      <c r="B41817" s="1168"/>
    </row>
    <row r="41818" spans="2:2" s="221" customFormat="1" ht="12.75" x14ac:dyDescent="0.2">
      <c r="B41818" s="1168"/>
    </row>
    <row r="41819" spans="2:2" s="221" customFormat="1" ht="12.75" x14ac:dyDescent="0.2">
      <c r="B41819" s="1168"/>
    </row>
    <row r="41820" spans="2:2" s="221" customFormat="1" ht="12.75" x14ac:dyDescent="0.2">
      <c r="B41820" s="1168"/>
    </row>
    <row r="41821" spans="2:2" s="221" customFormat="1" ht="12.75" x14ac:dyDescent="0.2">
      <c r="B41821" s="1168"/>
    </row>
    <row r="41822" spans="2:2" s="221" customFormat="1" ht="12.75" x14ac:dyDescent="0.2">
      <c r="B41822" s="1168"/>
    </row>
    <row r="41823" spans="2:2" s="221" customFormat="1" ht="12.75" x14ac:dyDescent="0.2">
      <c r="B41823" s="1168"/>
    </row>
    <row r="41824" spans="2:2" s="221" customFormat="1" ht="12.75" x14ac:dyDescent="0.2">
      <c r="B41824" s="1168"/>
    </row>
    <row r="41825" spans="2:2" s="221" customFormat="1" ht="12.75" x14ac:dyDescent="0.2">
      <c r="B41825" s="1168"/>
    </row>
    <row r="41826" spans="2:2" s="221" customFormat="1" ht="12.75" x14ac:dyDescent="0.2">
      <c r="B41826" s="1168"/>
    </row>
    <row r="41827" spans="2:2" s="221" customFormat="1" ht="12.75" x14ac:dyDescent="0.2">
      <c r="B41827" s="1168"/>
    </row>
    <row r="41828" spans="2:2" s="221" customFormat="1" ht="12.75" x14ac:dyDescent="0.2">
      <c r="B41828" s="1168"/>
    </row>
    <row r="41829" spans="2:2" s="221" customFormat="1" ht="12.75" x14ac:dyDescent="0.2">
      <c r="B41829" s="1168"/>
    </row>
    <row r="41830" spans="2:2" s="221" customFormat="1" ht="12.75" x14ac:dyDescent="0.2">
      <c r="B41830" s="1168"/>
    </row>
    <row r="41831" spans="2:2" s="221" customFormat="1" ht="12.75" x14ac:dyDescent="0.2">
      <c r="B41831" s="1168"/>
    </row>
    <row r="41832" spans="2:2" s="221" customFormat="1" ht="12.75" x14ac:dyDescent="0.2">
      <c r="B41832" s="1168"/>
    </row>
    <row r="41833" spans="2:2" s="221" customFormat="1" ht="12.75" x14ac:dyDescent="0.2">
      <c r="B41833" s="1168"/>
    </row>
    <row r="41834" spans="2:2" s="221" customFormat="1" ht="12.75" x14ac:dyDescent="0.2">
      <c r="B41834" s="1168"/>
    </row>
    <row r="41835" spans="2:2" s="221" customFormat="1" ht="12.75" x14ac:dyDescent="0.2">
      <c r="B41835" s="1168"/>
    </row>
    <row r="41836" spans="2:2" s="221" customFormat="1" ht="12.75" x14ac:dyDescent="0.2">
      <c r="B41836" s="1168"/>
    </row>
    <row r="41837" spans="2:2" s="221" customFormat="1" ht="12.75" x14ac:dyDescent="0.2">
      <c r="B41837" s="1168"/>
    </row>
    <row r="41838" spans="2:2" s="221" customFormat="1" ht="12.75" x14ac:dyDescent="0.2">
      <c r="B41838" s="1168"/>
    </row>
    <row r="41839" spans="2:2" s="221" customFormat="1" ht="12.75" x14ac:dyDescent="0.2">
      <c r="B41839" s="1168"/>
    </row>
    <row r="41840" spans="2:2" s="221" customFormat="1" ht="12.75" x14ac:dyDescent="0.2">
      <c r="B41840" s="1168"/>
    </row>
    <row r="41841" spans="2:2" s="221" customFormat="1" ht="12.75" x14ac:dyDescent="0.2">
      <c r="B41841" s="1168"/>
    </row>
    <row r="41842" spans="2:2" s="221" customFormat="1" ht="12.75" x14ac:dyDescent="0.2">
      <c r="B41842" s="1168"/>
    </row>
    <row r="41843" spans="2:2" s="221" customFormat="1" ht="12.75" x14ac:dyDescent="0.2">
      <c r="B41843" s="1168"/>
    </row>
    <row r="41844" spans="2:2" s="221" customFormat="1" ht="12.75" x14ac:dyDescent="0.2">
      <c r="B41844" s="1168"/>
    </row>
    <row r="41845" spans="2:2" s="221" customFormat="1" ht="12.75" x14ac:dyDescent="0.2">
      <c r="B41845" s="1168"/>
    </row>
    <row r="41846" spans="2:2" s="221" customFormat="1" ht="12.75" x14ac:dyDescent="0.2">
      <c r="B41846" s="1168"/>
    </row>
    <row r="41847" spans="2:2" s="221" customFormat="1" ht="12.75" x14ac:dyDescent="0.2">
      <c r="B41847" s="1168"/>
    </row>
    <row r="41848" spans="2:2" s="221" customFormat="1" ht="12.75" x14ac:dyDescent="0.2">
      <c r="B41848" s="1168"/>
    </row>
    <row r="41849" spans="2:2" s="221" customFormat="1" ht="12.75" x14ac:dyDescent="0.2">
      <c r="B41849" s="1168"/>
    </row>
    <row r="41850" spans="2:2" s="221" customFormat="1" ht="12.75" x14ac:dyDescent="0.2">
      <c r="B41850" s="1168"/>
    </row>
    <row r="41851" spans="2:2" s="221" customFormat="1" ht="12.75" x14ac:dyDescent="0.2">
      <c r="B41851" s="1168"/>
    </row>
    <row r="41852" spans="2:2" s="221" customFormat="1" ht="12.75" x14ac:dyDescent="0.2">
      <c r="B41852" s="1168"/>
    </row>
    <row r="41853" spans="2:2" s="221" customFormat="1" ht="12.75" x14ac:dyDescent="0.2">
      <c r="B41853" s="1168"/>
    </row>
    <row r="41854" spans="2:2" s="221" customFormat="1" ht="12.75" x14ac:dyDescent="0.2">
      <c r="B41854" s="1168"/>
    </row>
    <row r="41855" spans="2:2" s="221" customFormat="1" ht="12.75" x14ac:dyDescent="0.2">
      <c r="B41855" s="1168"/>
    </row>
    <row r="41856" spans="2:2" s="221" customFormat="1" ht="12.75" x14ac:dyDescent="0.2">
      <c r="B41856" s="1168"/>
    </row>
    <row r="41857" spans="2:2" s="221" customFormat="1" ht="12.75" x14ac:dyDescent="0.2">
      <c r="B41857" s="1168"/>
    </row>
    <row r="41858" spans="2:2" s="221" customFormat="1" ht="12.75" x14ac:dyDescent="0.2">
      <c r="B41858" s="1168"/>
    </row>
    <row r="41859" spans="2:2" s="221" customFormat="1" ht="12.75" x14ac:dyDescent="0.2">
      <c r="B41859" s="1168"/>
    </row>
    <row r="41860" spans="2:2" s="221" customFormat="1" ht="12.75" x14ac:dyDescent="0.2">
      <c r="B41860" s="1168"/>
    </row>
    <row r="41861" spans="2:2" s="221" customFormat="1" ht="12.75" x14ac:dyDescent="0.2">
      <c r="B41861" s="1168"/>
    </row>
    <row r="41862" spans="2:2" s="221" customFormat="1" ht="12.75" x14ac:dyDescent="0.2">
      <c r="B41862" s="1168"/>
    </row>
    <row r="41863" spans="2:2" s="221" customFormat="1" ht="12.75" x14ac:dyDescent="0.2">
      <c r="B41863" s="1168"/>
    </row>
    <row r="41864" spans="2:2" s="221" customFormat="1" ht="12.75" x14ac:dyDescent="0.2">
      <c r="B41864" s="1168"/>
    </row>
    <row r="41865" spans="2:2" s="221" customFormat="1" ht="12.75" x14ac:dyDescent="0.2">
      <c r="B41865" s="1168"/>
    </row>
    <row r="41866" spans="2:2" s="221" customFormat="1" ht="12.75" x14ac:dyDescent="0.2">
      <c r="B41866" s="1168"/>
    </row>
    <row r="41867" spans="2:2" s="221" customFormat="1" ht="12.75" x14ac:dyDescent="0.2">
      <c r="B41867" s="1168"/>
    </row>
    <row r="41868" spans="2:2" s="221" customFormat="1" ht="12.75" x14ac:dyDescent="0.2">
      <c r="B41868" s="1168"/>
    </row>
    <row r="41869" spans="2:2" s="221" customFormat="1" ht="12.75" x14ac:dyDescent="0.2">
      <c r="B41869" s="1168"/>
    </row>
    <row r="41870" spans="2:2" s="221" customFormat="1" ht="12.75" x14ac:dyDescent="0.2">
      <c r="B41870" s="1168"/>
    </row>
    <row r="41871" spans="2:2" s="221" customFormat="1" ht="12.75" x14ac:dyDescent="0.2">
      <c r="B41871" s="1168"/>
    </row>
    <row r="41872" spans="2:2" s="221" customFormat="1" ht="12.75" x14ac:dyDescent="0.2">
      <c r="B41872" s="1168"/>
    </row>
    <row r="41873" spans="2:2" s="221" customFormat="1" ht="12.75" x14ac:dyDescent="0.2">
      <c r="B41873" s="1168"/>
    </row>
    <row r="41874" spans="2:2" s="221" customFormat="1" ht="12.75" x14ac:dyDescent="0.2">
      <c r="B41874" s="1168"/>
    </row>
    <row r="41875" spans="2:2" s="221" customFormat="1" ht="12.75" x14ac:dyDescent="0.2">
      <c r="B41875" s="1168"/>
    </row>
    <row r="41876" spans="2:2" s="221" customFormat="1" ht="12.75" x14ac:dyDescent="0.2">
      <c r="B41876" s="1168"/>
    </row>
    <row r="41877" spans="2:2" s="221" customFormat="1" ht="12.75" x14ac:dyDescent="0.2">
      <c r="B41877" s="1168"/>
    </row>
    <row r="41878" spans="2:2" s="221" customFormat="1" ht="12.75" x14ac:dyDescent="0.2">
      <c r="B41878" s="1168"/>
    </row>
    <row r="41879" spans="2:2" s="221" customFormat="1" ht="12.75" x14ac:dyDescent="0.2">
      <c r="B41879" s="1168"/>
    </row>
    <row r="41880" spans="2:2" s="221" customFormat="1" ht="12.75" x14ac:dyDescent="0.2">
      <c r="B41880" s="1168"/>
    </row>
    <row r="41881" spans="2:2" s="221" customFormat="1" ht="12.75" x14ac:dyDescent="0.2">
      <c r="B41881" s="1168"/>
    </row>
    <row r="41882" spans="2:2" s="221" customFormat="1" ht="12.75" x14ac:dyDescent="0.2">
      <c r="B41882" s="1168"/>
    </row>
    <row r="41883" spans="2:2" s="221" customFormat="1" ht="12.75" x14ac:dyDescent="0.2">
      <c r="B41883" s="1168"/>
    </row>
    <row r="41884" spans="2:2" s="221" customFormat="1" ht="12.75" x14ac:dyDescent="0.2">
      <c r="B41884" s="1168"/>
    </row>
    <row r="41885" spans="2:2" s="221" customFormat="1" ht="12.75" x14ac:dyDescent="0.2">
      <c r="B41885" s="1168"/>
    </row>
    <row r="41886" spans="2:2" s="221" customFormat="1" ht="12.75" x14ac:dyDescent="0.2">
      <c r="B41886" s="1168"/>
    </row>
    <row r="41887" spans="2:2" s="221" customFormat="1" ht="12.75" x14ac:dyDescent="0.2">
      <c r="B41887" s="1168"/>
    </row>
    <row r="41888" spans="2:2" s="221" customFormat="1" ht="12.75" x14ac:dyDescent="0.2">
      <c r="B41888" s="1168"/>
    </row>
    <row r="41889" spans="2:2" s="221" customFormat="1" ht="12.75" x14ac:dyDescent="0.2">
      <c r="B41889" s="1168"/>
    </row>
    <row r="41890" spans="2:2" s="221" customFormat="1" ht="12.75" x14ac:dyDescent="0.2">
      <c r="B41890" s="1168"/>
    </row>
    <row r="41891" spans="2:2" s="221" customFormat="1" ht="12.75" x14ac:dyDescent="0.2">
      <c r="B41891" s="1168"/>
    </row>
    <row r="41892" spans="2:2" s="221" customFormat="1" ht="12.75" x14ac:dyDescent="0.2">
      <c r="B41892" s="1168"/>
    </row>
    <row r="41893" spans="2:2" s="221" customFormat="1" ht="12.75" x14ac:dyDescent="0.2">
      <c r="B41893" s="1168"/>
    </row>
    <row r="41894" spans="2:2" s="221" customFormat="1" ht="12.75" x14ac:dyDescent="0.2">
      <c r="B41894" s="1168"/>
    </row>
    <row r="41895" spans="2:2" s="221" customFormat="1" ht="12.75" x14ac:dyDescent="0.2">
      <c r="B41895" s="1168"/>
    </row>
    <row r="41896" spans="2:2" s="221" customFormat="1" ht="12.75" x14ac:dyDescent="0.2">
      <c r="B41896" s="1168"/>
    </row>
    <row r="41897" spans="2:2" s="221" customFormat="1" ht="12.75" x14ac:dyDescent="0.2">
      <c r="B41897" s="1168"/>
    </row>
    <row r="41898" spans="2:2" s="221" customFormat="1" ht="12.75" x14ac:dyDescent="0.2">
      <c r="B41898" s="1168"/>
    </row>
    <row r="41899" spans="2:2" s="221" customFormat="1" ht="12.75" x14ac:dyDescent="0.2">
      <c r="B41899" s="1168"/>
    </row>
    <row r="41900" spans="2:2" s="221" customFormat="1" ht="12.75" x14ac:dyDescent="0.2">
      <c r="B41900" s="1168"/>
    </row>
    <row r="41901" spans="2:2" s="221" customFormat="1" ht="12.75" x14ac:dyDescent="0.2">
      <c r="B41901" s="1168"/>
    </row>
    <row r="41902" spans="2:2" s="221" customFormat="1" ht="12.75" x14ac:dyDescent="0.2">
      <c r="B41902" s="1168"/>
    </row>
    <row r="41903" spans="2:2" s="221" customFormat="1" ht="12.75" x14ac:dyDescent="0.2">
      <c r="B41903" s="1168"/>
    </row>
    <row r="41904" spans="2:2" s="221" customFormat="1" ht="12.75" x14ac:dyDescent="0.2">
      <c r="B41904" s="1168"/>
    </row>
    <row r="41905" spans="2:2" s="221" customFormat="1" ht="12.75" x14ac:dyDescent="0.2">
      <c r="B41905" s="1168"/>
    </row>
    <row r="41906" spans="2:2" s="221" customFormat="1" ht="12.75" x14ac:dyDescent="0.2">
      <c r="B41906" s="1168"/>
    </row>
    <row r="41907" spans="2:2" s="221" customFormat="1" ht="12.75" x14ac:dyDescent="0.2">
      <c r="B41907" s="1168"/>
    </row>
    <row r="41908" spans="2:2" s="221" customFormat="1" ht="12.75" x14ac:dyDescent="0.2">
      <c r="B41908" s="1168"/>
    </row>
    <row r="41909" spans="2:2" s="221" customFormat="1" ht="12.75" x14ac:dyDescent="0.2">
      <c r="B41909" s="1168"/>
    </row>
    <row r="41910" spans="2:2" s="221" customFormat="1" ht="12.75" x14ac:dyDescent="0.2">
      <c r="B41910" s="1168"/>
    </row>
    <row r="41911" spans="2:2" s="221" customFormat="1" ht="12.75" x14ac:dyDescent="0.2">
      <c r="B41911" s="1168"/>
    </row>
    <row r="41912" spans="2:2" s="221" customFormat="1" ht="12.75" x14ac:dyDescent="0.2">
      <c r="B41912" s="1168"/>
    </row>
    <row r="41913" spans="2:2" s="221" customFormat="1" ht="12.75" x14ac:dyDescent="0.2">
      <c r="B41913" s="1168"/>
    </row>
    <row r="41914" spans="2:2" s="221" customFormat="1" ht="12.75" x14ac:dyDescent="0.2">
      <c r="B41914" s="1168"/>
    </row>
    <row r="41915" spans="2:2" s="221" customFormat="1" ht="12.75" x14ac:dyDescent="0.2">
      <c r="B41915" s="1168"/>
    </row>
    <row r="41916" spans="2:2" s="221" customFormat="1" ht="12.75" x14ac:dyDescent="0.2">
      <c r="B41916" s="1168"/>
    </row>
    <row r="41917" spans="2:2" s="221" customFormat="1" ht="12.75" x14ac:dyDescent="0.2">
      <c r="B41917" s="1168"/>
    </row>
    <row r="41918" spans="2:2" s="221" customFormat="1" ht="12.75" x14ac:dyDescent="0.2">
      <c r="B41918" s="1168"/>
    </row>
    <row r="41919" spans="2:2" s="221" customFormat="1" ht="12.75" x14ac:dyDescent="0.2">
      <c r="B41919" s="1168"/>
    </row>
    <row r="41920" spans="2:2" s="221" customFormat="1" ht="12.75" x14ac:dyDescent="0.2">
      <c r="B41920" s="1168"/>
    </row>
    <row r="41921" spans="2:2" s="221" customFormat="1" ht="12.75" x14ac:dyDescent="0.2">
      <c r="B41921" s="1168"/>
    </row>
    <row r="41922" spans="2:2" s="221" customFormat="1" ht="12.75" x14ac:dyDescent="0.2">
      <c r="B41922" s="1168"/>
    </row>
    <row r="41923" spans="2:2" s="221" customFormat="1" ht="12.75" x14ac:dyDescent="0.2">
      <c r="B41923" s="1168"/>
    </row>
    <row r="41924" spans="2:2" s="221" customFormat="1" ht="12.75" x14ac:dyDescent="0.2">
      <c r="B41924" s="1168"/>
    </row>
    <row r="41925" spans="2:2" s="221" customFormat="1" ht="12.75" x14ac:dyDescent="0.2">
      <c r="B41925" s="1168"/>
    </row>
    <row r="41926" spans="2:2" s="221" customFormat="1" ht="12.75" x14ac:dyDescent="0.2">
      <c r="B41926" s="1168"/>
    </row>
    <row r="41927" spans="2:2" s="221" customFormat="1" ht="12.75" x14ac:dyDescent="0.2">
      <c r="B41927" s="1168"/>
    </row>
    <row r="41928" spans="2:2" s="221" customFormat="1" ht="12.75" x14ac:dyDescent="0.2">
      <c r="B41928" s="1168"/>
    </row>
    <row r="41929" spans="2:2" s="221" customFormat="1" ht="12.75" x14ac:dyDescent="0.2">
      <c r="B41929" s="1168"/>
    </row>
    <row r="41930" spans="2:2" s="221" customFormat="1" ht="12.75" x14ac:dyDescent="0.2">
      <c r="B41930" s="1168"/>
    </row>
    <row r="41931" spans="2:2" s="221" customFormat="1" ht="12.75" x14ac:dyDescent="0.2">
      <c r="B41931" s="1168"/>
    </row>
    <row r="41932" spans="2:2" s="221" customFormat="1" ht="12.75" x14ac:dyDescent="0.2">
      <c r="B41932" s="1168"/>
    </row>
    <row r="41933" spans="2:2" s="221" customFormat="1" ht="12.75" x14ac:dyDescent="0.2">
      <c r="B41933" s="1168"/>
    </row>
    <row r="41934" spans="2:2" s="221" customFormat="1" ht="12.75" x14ac:dyDescent="0.2">
      <c r="B41934" s="1168"/>
    </row>
    <row r="41935" spans="2:2" s="221" customFormat="1" ht="12.75" x14ac:dyDescent="0.2">
      <c r="B41935" s="1168"/>
    </row>
    <row r="41936" spans="2:2" s="221" customFormat="1" ht="12.75" x14ac:dyDescent="0.2">
      <c r="B41936" s="1168"/>
    </row>
    <row r="41937" spans="2:2" s="221" customFormat="1" ht="12.75" x14ac:dyDescent="0.2">
      <c r="B41937" s="1168"/>
    </row>
    <row r="41938" spans="2:2" s="221" customFormat="1" ht="12.75" x14ac:dyDescent="0.2">
      <c r="B41938" s="1168"/>
    </row>
    <row r="41939" spans="2:2" s="221" customFormat="1" ht="12.75" x14ac:dyDescent="0.2">
      <c r="B41939" s="1168"/>
    </row>
    <row r="41940" spans="2:2" s="221" customFormat="1" ht="12.75" x14ac:dyDescent="0.2">
      <c r="B41940" s="1168"/>
    </row>
    <row r="41941" spans="2:2" s="221" customFormat="1" ht="12.75" x14ac:dyDescent="0.2">
      <c r="B41941" s="1168"/>
    </row>
    <row r="41942" spans="2:2" s="221" customFormat="1" ht="12.75" x14ac:dyDescent="0.2">
      <c r="B41942" s="1168"/>
    </row>
    <row r="41943" spans="2:2" s="221" customFormat="1" ht="12.75" x14ac:dyDescent="0.2">
      <c r="B41943" s="1168"/>
    </row>
    <row r="41944" spans="2:2" s="221" customFormat="1" ht="12.75" x14ac:dyDescent="0.2">
      <c r="B41944" s="1168"/>
    </row>
    <row r="41945" spans="2:2" s="221" customFormat="1" ht="12.75" x14ac:dyDescent="0.2">
      <c r="B41945" s="1168"/>
    </row>
    <row r="41946" spans="2:2" s="221" customFormat="1" ht="12.75" x14ac:dyDescent="0.2">
      <c r="B41946" s="1168"/>
    </row>
    <row r="41947" spans="2:2" s="221" customFormat="1" ht="12.75" x14ac:dyDescent="0.2">
      <c r="B41947" s="1168"/>
    </row>
    <row r="41948" spans="2:2" s="221" customFormat="1" ht="12.75" x14ac:dyDescent="0.2">
      <c r="B41948" s="1168"/>
    </row>
    <row r="41949" spans="2:2" s="221" customFormat="1" ht="12.75" x14ac:dyDescent="0.2">
      <c r="B41949" s="1168"/>
    </row>
    <row r="41950" spans="2:2" s="221" customFormat="1" ht="12.75" x14ac:dyDescent="0.2">
      <c r="B41950" s="1168"/>
    </row>
    <row r="41951" spans="2:2" s="221" customFormat="1" ht="12.75" x14ac:dyDescent="0.2">
      <c r="B41951" s="1168"/>
    </row>
    <row r="41952" spans="2:2" s="221" customFormat="1" ht="12.75" x14ac:dyDescent="0.2">
      <c r="B41952" s="1168"/>
    </row>
    <row r="41953" spans="2:2" s="221" customFormat="1" ht="12.75" x14ac:dyDescent="0.2">
      <c r="B41953" s="1168"/>
    </row>
    <row r="41954" spans="2:2" s="221" customFormat="1" ht="12.75" x14ac:dyDescent="0.2">
      <c r="B41954" s="1168"/>
    </row>
    <row r="41955" spans="2:2" s="221" customFormat="1" ht="12.75" x14ac:dyDescent="0.2">
      <c r="B41955" s="1168"/>
    </row>
    <row r="41956" spans="2:2" s="221" customFormat="1" ht="12.75" x14ac:dyDescent="0.2">
      <c r="B41956" s="1168"/>
    </row>
    <row r="41957" spans="2:2" s="221" customFormat="1" ht="12.75" x14ac:dyDescent="0.2">
      <c r="B41957" s="1168"/>
    </row>
    <row r="41958" spans="2:2" s="221" customFormat="1" ht="12.75" x14ac:dyDescent="0.2">
      <c r="B41958" s="1168"/>
    </row>
    <row r="41959" spans="2:2" s="221" customFormat="1" ht="12.75" x14ac:dyDescent="0.2">
      <c r="B41959" s="1168"/>
    </row>
    <row r="41960" spans="2:2" s="221" customFormat="1" ht="12.75" x14ac:dyDescent="0.2">
      <c r="B41960" s="1168"/>
    </row>
    <row r="41961" spans="2:2" s="221" customFormat="1" ht="12.75" x14ac:dyDescent="0.2">
      <c r="B41961" s="1168"/>
    </row>
    <row r="41962" spans="2:2" s="221" customFormat="1" ht="12.75" x14ac:dyDescent="0.2">
      <c r="B41962" s="1168"/>
    </row>
    <row r="41963" spans="2:2" s="221" customFormat="1" ht="12.75" x14ac:dyDescent="0.2">
      <c r="B41963" s="1168"/>
    </row>
    <row r="41964" spans="2:2" s="221" customFormat="1" ht="12.75" x14ac:dyDescent="0.2">
      <c r="B41964" s="1168"/>
    </row>
    <row r="41965" spans="2:2" s="221" customFormat="1" ht="12.75" x14ac:dyDescent="0.2">
      <c r="B41965" s="1168"/>
    </row>
    <row r="41966" spans="2:2" s="221" customFormat="1" ht="12.75" x14ac:dyDescent="0.2">
      <c r="B41966" s="1168"/>
    </row>
    <row r="41967" spans="2:2" s="221" customFormat="1" ht="12.75" x14ac:dyDescent="0.2">
      <c r="B41967" s="1168"/>
    </row>
    <row r="41968" spans="2:2" s="221" customFormat="1" ht="12.75" x14ac:dyDescent="0.2">
      <c r="B41968" s="1168"/>
    </row>
    <row r="41969" spans="2:2" s="221" customFormat="1" ht="12.75" x14ac:dyDescent="0.2">
      <c r="B41969" s="1168"/>
    </row>
    <row r="41970" spans="2:2" s="221" customFormat="1" ht="12.75" x14ac:dyDescent="0.2">
      <c r="B41970" s="1168"/>
    </row>
    <row r="41971" spans="2:2" s="221" customFormat="1" ht="12.75" x14ac:dyDescent="0.2">
      <c r="B41971" s="1168"/>
    </row>
    <row r="41972" spans="2:2" s="221" customFormat="1" ht="12.75" x14ac:dyDescent="0.2">
      <c r="B41972" s="1168"/>
    </row>
    <row r="41973" spans="2:2" s="221" customFormat="1" ht="12.75" x14ac:dyDescent="0.2">
      <c r="B41973" s="1168"/>
    </row>
    <row r="41974" spans="2:2" s="221" customFormat="1" ht="12.75" x14ac:dyDescent="0.2">
      <c r="B41974" s="1168"/>
    </row>
    <row r="41975" spans="2:2" s="221" customFormat="1" ht="12.75" x14ac:dyDescent="0.2">
      <c r="B41975" s="1168"/>
    </row>
    <row r="41976" spans="2:2" s="221" customFormat="1" ht="12.75" x14ac:dyDescent="0.2">
      <c r="B41976" s="1168"/>
    </row>
    <row r="41977" spans="2:2" s="221" customFormat="1" ht="12.75" x14ac:dyDescent="0.2">
      <c r="B41977" s="1168"/>
    </row>
    <row r="41978" spans="2:2" s="221" customFormat="1" ht="12.75" x14ac:dyDescent="0.2">
      <c r="B41978" s="1168"/>
    </row>
    <row r="41979" spans="2:2" s="221" customFormat="1" ht="12.75" x14ac:dyDescent="0.2">
      <c r="B41979" s="1168"/>
    </row>
    <row r="41980" spans="2:2" s="221" customFormat="1" ht="12.75" x14ac:dyDescent="0.2">
      <c r="B41980" s="1168"/>
    </row>
    <row r="41981" spans="2:2" s="221" customFormat="1" ht="12.75" x14ac:dyDescent="0.2">
      <c r="B41981" s="1168"/>
    </row>
    <row r="41982" spans="2:2" s="221" customFormat="1" ht="12.75" x14ac:dyDescent="0.2">
      <c r="B41982" s="1168"/>
    </row>
    <row r="41983" spans="2:2" s="221" customFormat="1" ht="12.75" x14ac:dyDescent="0.2">
      <c r="B41983" s="1168"/>
    </row>
    <row r="41984" spans="2:2" s="221" customFormat="1" ht="12.75" x14ac:dyDescent="0.2">
      <c r="B41984" s="1168"/>
    </row>
    <row r="41985" spans="2:2" s="221" customFormat="1" ht="12.75" x14ac:dyDescent="0.2">
      <c r="B41985" s="1168"/>
    </row>
    <row r="41986" spans="2:2" s="221" customFormat="1" ht="12.75" x14ac:dyDescent="0.2">
      <c r="B41986" s="1168"/>
    </row>
    <row r="41987" spans="2:2" s="221" customFormat="1" ht="12.75" x14ac:dyDescent="0.2">
      <c r="B41987" s="1168"/>
    </row>
    <row r="41988" spans="2:2" s="221" customFormat="1" ht="12.75" x14ac:dyDescent="0.2">
      <c r="B41988" s="1168"/>
    </row>
    <row r="41989" spans="2:2" s="221" customFormat="1" ht="12.75" x14ac:dyDescent="0.2">
      <c r="B41989" s="1168"/>
    </row>
    <row r="41990" spans="2:2" s="221" customFormat="1" ht="12.75" x14ac:dyDescent="0.2">
      <c r="B41990" s="1168"/>
    </row>
    <row r="41991" spans="2:2" s="221" customFormat="1" ht="12.75" x14ac:dyDescent="0.2">
      <c r="B41991" s="1168"/>
    </row>
    <row r="41992" spans="2:2" s="221" customFormat="1" ht="12.75" x14ac:dyDescent="0.2">
      <c r="B41992" s="1168"/>
    </row>
    <row r="41993" spans="2:2" s="221" customFormat="1" ht="12.75" x14ac:dyDescent="0.2">
      <c r="B41993" s="1168"/>
    </row>
    <row r="41994" spans="2:2" s="221" customFormat="1" ht="12.75" x14ac:dyDescent="0.2">
      <c r="B41994" s="1168"/>
    </row>
    <row r="41995" spans="2:2" s="221" customFormat="1" ht="12.75" x14ac:dyDescent="0.2">
      <c r="B41995" s="1168"/>
    </row>
    <row r="41996" spans="2:2" s="221" customFormat="1" ht="12.75" x14ac:dyDescent="0.2">
      <c r="B41996" s="1168"/>
    </row>
    <row r="41997" spans="2:2" s="221" customFormat="1" ht="12.75" x14ac:dyDescent="0.2">
      <c r="B41997" s="1168"/>
    </row>
    <row r="41998" spans="2:2" s="221" customFormat="1" ht="12.75" x14ac:dyDescent="0.2">
      <c r="B41998" s="1168"/>
    </row>
    <row r="41999" spans="2:2" s="221" customFormat="1" ht="12.75" x14ac:dyDescent="0.2">
      <c r="B41999" s="1168"/>
    </row>
    <row r="42000" spans="2:2" s="221" customFormat="1" ht="12.75" x14ac:dyDescent="0.2">
      <c r="B42000" s="1168"/>
    </row>
    <row r="42001" spans="2:2" s="221" customFormat="1" ht="12.75" x14ac:dyDescent="0.2">
      <c r="B42001" s="1168"/>
    </row>
    <row r="42002" spans="2:2" s="221" customFormat="1" ht="12.75" x14ac:dyDescent="0.2">
      <c r="B42002" s="1168"/>
    </row>
    <row r="42003" spans="2:2" s="221" customFormat="1" ht="12.75" x14ac:dyDescent="0.2">
      <c r="B42003" s="1168"/>
    </row>
    <row r="42004" spans="2:2" s="221" customFormat="1" ht="12.75" x14ac:dyDescent="0.2">
      <c r="B42004" s="1168"/>
    </row>
    <row r="42005" spans="2:2" s="221" customFormat="1" ht="12.75" x14ac:dyDescent="0.2">
      <c r="B42005" s="1168"/>
    </row>
    <row r="42006" spans="2:2" s="221" customFormat="1" ht="12.75" x14ac:dyDescent="0.2">
      <c r="B42006" s="1168"/>
    </row>
    <row r="42007" spans="2:2" s="221" customFormat="1" ht="12.75" x14ac:dyDescent="0.2">
      <c r="B42007" s="1168"/>
    </row>
    <row r="42008" spans="2:2" s="221" customFormat="1" ht="12.75" x14ac:dyDescent="0.2">
      <c r="B42008" s="1168"/>
    </row>
    <row r="42009" spans="2:2" s="221" customFormat="1" ht="12.75" x14ac:dyDescent="0.2">
      <c r="B42009" s="1168"/>
    </row>
    <row r="42010" spans="2:2" s="221" customFormat="1" ht="12.75" x14ac:dyDescent="0.2">
      <c r="B42010" s="1168"/>
    </row>
    <row r="42011" spans="2:2" s="221" customFormat="1" ht="12.75" x14ac:dyDescent="0.2">
      <c r="B42011" s="1168"/>
    </row>
    <row r="42012" spans="2:2" s="221" customFormat="1" ht="12.75" x14ac:dyDescent="0.2">
      <c r="B42012" s="1168"/>
    </row>
    <row r="42013" spans="2:2" s="221" customFormat="1" ht="12.75" x14ac:dyDescent="0.2">
      <c r="B42013" s="1168"/>
    </row>
    <row r="42014" spans="2:2" s="221" customFormat="1" ht="12.75" x14ac:dyDescent="0.2">
      <c r="B42014" s="1168"/>
    </row>
    <row r="42015" spans="2:2" s="221" customFormat="1" ht="12.75" x14ac:dyDescent="0.2">
      <c r="B42015" s="1168"/>
    </row>
    <row r="42016" spans="2:2" s="221" customFormat="1" ht="12.75" x14ac:dyDescent="0.2">
      <c r="B42016" s="1168"/>
    </row>
    <row r="42017" spans="2:2" s="221" customFormat="1" ht="12.75" x14ac:dyDescent="0.2">
      <c r="B42017" s="1168"/>
    </row>
    <row r="42018" spans="2:2" s="221" customFormat="1" ht="12.75" x14ac:dyDescent="0.2">
      <c r="B42018" s="1168"/>
    </row>
    <row r="42019" spans="2:2" s="221" customFormat="1" ht="12.75" x14ac:dyDescent="0.2">
      <c r="B42019" s="1168"/>
    </row>
    <row r="42020" spans="2:2" s="221" customFormat="1" ht="12.75" x14ac:dyDescent="0.2">
      <c r="B42020" s="1168"/>
    </row>
    <row r="42021" spans="2:2" s="221" customFormat="1" ht="12.75" x14ac:dyDescent="0.2">
      <c r="B42021" s="1168"/>
    </row>
    <row r="42022" spans="2:2" s="221" customFormat="1" ht="12.75" x14ac:dyDescent="0.2">
      <c r="B42022" s="1168"/>
    </row>
    <row r="42023" spans="2:2" s="221" customFormat="1" ht="12.75" x14ac:dyDescent="0.2">
      <c r="B42023" s="1168"/>
    </row>
    <row r="42024" spans="2:2" s="221" customFormat="1" ht="12.75" x14ac:dyDescent="0.2">
      <c r="B42024" s="1168"/>
    </row>
    <row r="42025" spans="2:2" s="221" customFormat="1" ht="12.75" x14ac:dyDescent="0.2">
      <c r="B42025" s="1168"/>
    </row>
    <row r="42026" spans="2:2" s="221" customFormat="1" ht="12.75" x14ac:dyDescent="0.2">
      <c r="B42026" s="1168"/>
    </row>
    <row r="42027" spans="2:2" s="221" customFormat="1" ht="12.75" x14ac:dyDescent="0.2">
      <c r="B42027" s="1168"/>
    </row>
    <row r="42028" spans="2:2" s="221" customFormat="1" ht="12.75" x14ac:dyDescent="0.2">
      <c r="B42028" s="1168"/>
    </row>
    <row r="42029" spans="2:2" s="221" customFormat="1" ht="12.75" x14ac:dyDescent="0.2">
      <c r="B42029" s="1168"/>
    </row>
    <row r="42030" spans="2:2" s="221" customFormat="1" ht="12.75" x14ac:dyDescent="0.2">
      <c r="B42030" s="1168"/>
    </row>
    <row r="42031" spans="2:2" s="221" customFormat="1" ht="12.75" x14ac:dyDescent="0.2">
      <c r="B42031" s="1168"/>
    </row>
    <row r="42032" spans="2:2" s="221" customFormat="1" ht="12.75" x14ac:dyDescent="0.2">
      <c r="B42032" s="1168"/>
    </row>
    <row r="42033" spans="2:2" s="221" customFormat="1" ht="12.75" x14ac:dyDescent="0.2">
      <c r="B42033" s="1168"/>
    </row>
    <row r="42034" spans="2:2" s="221" customFormat="1" ht="12.75" x14ac:dyDescent="0.2">
      <c r="B42034" s="1168"/>
    </row>
    <row r="42035" spans="2:2" s="221" customFormat="1" ht="12.75" x14ac:dyDescent="0.2">
      <c r="B42035" s="1168"/>
    </row>
    <row r="42036" spans="2:2" s="221" customFormat="1" ht="12.75" x14ac:dyDescent="0.2">
      <c r="B42036" s="1168"/>
    </row>
    <row r="42037" spans="2:2" s="221" customFormat="1" ht="12.75" x14ac:dyDescent="0.2">
      <c r="B42037" s="1168"/>
    </row>
    <row r="42038" spans="2:2" s="221" customFormat="1" ht="12.75" x14ac:dyDescent="0.2">
      <c r="B42038" s="1168"/>
    </row>
    <row r="42039" spans="2:2" s="221" customFormat="1" ht="12.75" x14ac:dyDescent="0.2">
      <c r="B42039" s="1168"/>
    </row>
    <row r="42040" spans="2:2" s="221" customFormat="1" ht="12.75" x14ac:dyDescent="0.2">
      <c r="B42040" s="1168"/>
    </row>
    <row r="42041" spans="2:2" s="221" customFormat="1" ht="12.75" x14ac:dyDescent="0.2">
      <c r="B42041" s="1168"/>
    </row>
    <row r="42042" spans="2:2" s="221" customFormat="1" ht="12.75" x14ac:dyDescent="0.2">
      <c r="B42042" s="1168"/>
    </row>
    <row r="42043" spans="2:2" s="221" customFormat="1" ht="12.75" x14ac:dyDescent="0.2">
      <c r="B42043" s="1168"/>
    </row>
    <row r="42044" spans="2:2" s="221" customFormat="1" ht="12.75" x14ac:dyDescent="0.2">
      <c r="B42044" s="1168"/>
    </row>
    <row r="42045" spans="2:2" s="221" customFormat="1" ht="12.75" x14ac:dyDescent="0.2">
      <c r="B42045" s="1168"/>
    </row>
    <row r="42046" spans="2:2" s="221" customFormat="1" ht="12.75" x14ac:dyDescent="0.2">
      <c r="B42046" s="1168"/>
    </row>
    <row r="42047" spans="2:2" s="221" customFormat="1" ht="12.75" x14ac:dyDescent="0.2">
      <c r="B42047" s="1168"/>
    </row>
    <row r="42048" spans="2:2" s="221" customFormat="1" ht="12.75" x14ac:dyDescent="0.2">
      <c r="B42048" s="1168"/>
    </row>
    <row r="42049" spans="2:2" s="221" customFormat="1" ht="12.75" x14ac:dyDescent="0.2">
      <c r="B42049" s="1168"/>
    </row>
    <row r="42050" spans="2:2" s="221" customFormat="1" ht="12.75" x14ac:dyDescent="0.2">
      <c r="B42050" s="1168"/>
    </row>
    <row r="42051" spans="2:2" s="221" customFormat="1" ht="12.75" x14ac:dyDescent="0.2">
      <c r="B42051" s="1168"/>
    </row>
    <row r="42052" spans="2:2" s="221" customFormat="1" ht="12.75" x14ac:dyDescent="0.2">
      <c r="B42052" s="1168"/>
    </row>
    <row r="42053" spans="2:2" s="221" customFormat="1" ht="12.75" x14ac:dyDescent="0.2">
      <c r="B42053" s="1168"/>
    </row>
    <row r="42054" spans="2:2" s="221" customFormat="1" ht="12.75" x14ac:dyDescent="0.2">
      <c r="B42054" s="1168"/>
    </row>
    <row r="42055" spans="2:2" s="221" customFormat="1" ht="12.75" x14ac:dyDescent="0.2">
      <c r="B42055" s="1168"/>
    </row>
    <row r="42056" spans="2:2" s="221" customFormat="1" ht="12.75" x14ac:dyDescent="0.2">
      <c r="B42056" s="1168"/>
    </row>
    <row r="42057" spans="2:2" s="221" customFormat="1" ht="12.75" x14ac:dyDescent="0.2">
      <c r="B42057" s="1168"/>
    </row>
    <row r="42058" spans="2:2" s="221" customFormat="1" ht="12.75" x14ac:dyDescent="0.2">
      <c r="B42058" s="1168"/>
    </row>
    <row r="42059" spans="2:2" s="221" customFormat="1" ht="12.75" x14ac:dyDescent="0.2">
      <c r="B42059" s="1168"/>
    </row>
    <row r="42060" spans="2:2" s="221" customFormat="1" ht="12.75" x14ac:dyDescent="0.2">
      <c r="B42060" s="1168"/>
    </row>
    <row r="42061" spans="2:2" s="221" customFormat="1" ht="12.75" x14ac:dyDescent="0.2">
      <c r="B42061" s="1168"/>
    </row>
    <row r="42062" spans="2:2" s="221" customFormat="1" ht="12.75" x14ac:dyDescent="0.2">
      <c r="B42062" s="1168"/>
    </row>
    <row r="42063" spans="2:2" s="221" customFormat="1" ht="12.75" x14ac:dyDescent="0.2">
      <c r="B42063" s="1168"/>
    </row>
    <row r="42064" spans="2:2" s="221" customFormat="1" ht="12.75" x14ac:dyDescent="0.2">
      <c r="B42064" s="1168"/>
    </row>
    <row r="42065" spans="2:2" s="221" customFormat="1" ht="12.75" x14ac:dyDescent="0.2">
      <c r="B42065" s="1168"/>
    </row>
    <row r="42066" spans="2:2" s="221" customFormat="1" ht="12.75" x14ac:dyDescent="0.2">
      <c r="B42066" s="1168"/>
    </row>
    <row r="42067" spans="2:2" s="221" customFormat="1" ht="12.75" x14ac:dyDescent="0.2">
      <c r="B42067" s="1168"/>
    </row>
    <row r="42068" spans="2:2" s="221" customFormat="1" ht="12.75" x14ac:dyDescent="0.2">
      <c r="B42068" s="1168"/>
    </row>
    <row r="42069" spans="2:2" s="221" customFormat="1" ht="12.75" x14ac:dyDescent="0.2">
      <c r="B42069" s="1168"/>
    </row>
    <row r="42070" spans="2:2" s="221" customFormat="1" ht="12.75" x14ac:dyDescent="0.2">
      <c r="B42070" s="1168"/>
    </row>
    <row r="42071" spans="2:2" s="221" customFormat="1" ht="12.75" x14ac:dyDescent="0.2">
      <c r="B42071" s="1168"/>
    </row>
    <row r="42072" spans="2:2" s="221" customFormat="1" ht="12.75" x14ac:dyDescent="0.2">
      <c r="B42072" s="1168"/>
    </row>
    <row r="42073" spans="2:2" s="221" customFormat="1" ht="12.75" x14ac:dyDescent="0.2">
      <c r="B42073" s="1168"/>
    </row>
    <row r="42074" spans="2:2" s="221" customFormat="1" ht="12.75" x14ac:dyDescent="0.2">
      <c r="B42074" s="1168"/>
    </row>
    <row r="42075" spans="2:2" s="221" customFormat="1" ht="12.75" x14ac:dyDescent="0.2">
      <c r="B42075" s="1168"/>
    </row>
    <row r="42076" spans="2:2" s="221" customFormat="1" ht="12.75" x14ac:dyDescent="0.2">
      <c r="B42076" s="1168"/>
    </row>
    <row r="42077" spans="2:2" s="221" customFormat="1" ht="12.75" x14ac:dyDescent="0.2">
      <c r="B42077" s="1168"/>
    </row>
    <row r="42078" spans="2:2" s="221" customFormat="1" ht="12.75" x14ac:dyDescent="0.2">
      <c r="B42078" s="1168"/>
    </row>
    <row r="42079" spans="2:2" s="221" customFormat="1" ht="12.75" x14ac:dyDescent="0.2">
      <c r="B42079" s="1168"/>
    </row>
    <row r="42080" spans="2:2" s="221" customFormat="1" ht="12.75" x14ac:dyDescent="0.2">
      <c r="B42080" s="1168"/>
    </row>
    <row r="42081" spans="2:2" s="221" customFormat="1" ht="12.75" x14ac:dyDescent="0.2">
      <c r="B42081" s="1168"/>
    </row>
    <row r="42082" spans="2:2" s="221" customFormat="1" ht="12.75" x14ac:dyDescent="0.2">
      <c r="B42082" s="1168"/>
    </row>
    <row r="42083" spans="2:2" s="221" customFormat="1" ht="12.75" x14ac:dyDescent="0.2">
      <c r="B42083" s="1168"/>
    </row>
    <row r="42084" spans="2:2" s="221" customFormat="1" ht="12.75" x14ac:dyDescent="0.2">
      <c r="B42084" s="1168"/>
    </row>
    <row r="42085" spans="2:2" s="221" customFormat="1" ht="12.75" x14ac:dyDescent="0.2">
      <c r="B42085" s="1168"/>
    </row>
    <row r="42086" spans="2:2" s="221" customFormat="1" ht="12.75" x14ac:dyDescent="0.2">
      <c r="B42086" s="1168"/>
    </row>
    <row r="42087" spans="2:2" s="221" customFormat="1" ht="12.75" x14ac:dyDescent="0.2">
      <c r="B42087" s="1168"/>
    </row>
    <row r="42088" spans="2:2" s="221" customFormat="1" ht="12.75" x14ac:dyDescent="0.2">
      <c r="B42088" s="1168"/>
    </row>
    <row r="42089" spans="2:2" s="221" customFormat="1" ht="12.75" x14ac:dyDescent="0.2">
      <c r="B42089" s="1168"/>
    </row>
    <row r="42090" spans="2:2" s="221" customFormat="1" ht="12.75" x14ac:dyDescent="0.2">
      <c r="B42090" s="1168"/>
    </row>
    <row r="42091" spans="2:2" s="221" customFormat="1" ht="12.75" x14ac:dyDescent="0.2">
      <c r="B42091" s="1168"/>
    </row>
    <row r="42092" spans="2:2" s="221" customFormat="1" ht="12.75" x14ac:dyDescent="0.2">
      <c r="B42092" s="1168"/>
    </row>
    <row r="42093" spans="2:2" s="221" customFormat="1" ht="12.75" x14ac:dyDescent="0.2">
      <c r="B42093" s="1168"/>
    </row>
    <row r="42094" spans="2:2" s="221" customFormat="1" ht="12.75" x14ac:dyDescent="0.2">
      <c r="B42094" s="1168"/>
    </row>
    <row r="42095" spans="2:2" s="221" customFormat="1" ht="12.75" x14ac:dyDescent="0.2">
      <c r="B42095" s="1168"/>
    </row>
    <row r="42096" spans="2:2" s="221" customFormat="1" ht="12.75" x14ac:dyDescent="0.2">
      <c r="B42096" s="1168"/>
    </row>
    <row r="42097" spans="2:2" s="221" customFormat="1" ht="12.75" x14ac:dyDescent="0.2">
      <c r="B42097" s="1168"/>
    </row>
    <row r="42098" spans="2:2" s="221" customFormat="1" ht="12.75" x14ac:dyDescent="0.2">
      <c r="B42098" s="1168"/>
    </row>
    <row r="42099" spans="2:2" s="221" customFormat="1" ht="12.75" x14ac:dyDescent="0.2">
      <c r="B42099" s="1168"/>
    </row>
    <row r="42100" spans="2:2" s="221" customFormat="1" ht="12.75" x14ac:dyDescent="0.2">
      <c r="B42100" s="1168"/>
    </row>
    <row r="42101" spans="2:2" s="221" customFormat="1" ht="12.75" x14ac:dyDescent="0.2">
      <c r="B42101" s="1168"/>
    </row>
    <row r="42102" spans="2:2" s="221" customFormat="1" ht="12.75" x14ac:dyDescent="0.2">
      <c r="B42102" s="1168"/>
    </row>
    <row r="42103" spans="2:2" s="221" customFormat="1" ht="12.75" x14ac:dyDescent="0.2">
      <c r="B42103" s="1168"/>
    </row>
    <row r="42104" spans="2:2" s="221" customFormat="1" ht="12.75" x14ac:dyDescent="0.2">
      <c r="B42104" s="1168"/>
    </row>
    <row r="42105" spans="2:2" s="221" customFormat="1" ht="12.75" x14ac:dyDescent="0.2">
      <c r="B42105" s="1168"/>
    </row>
    <row r="42106" spans="2:2" s="221" customFormat="1" ht="12.75" x14ac:dyDescent="0.2">
      <c r="B42106" s="1168"/>
    </row>
    <row r="42107" spans="2:2" s="221" customFormat="1" ht="12.75" x14ac:dyDescent="0.2">
      <c r="B42107" s="1168"/>
    </row>
    <row r="42108" spans="2:2" s="221" customFormat="1" ht="12.75" x14ac:dyDescent="0.2">
      <c r="B42108" s="1168"/>
    </row>
    <row r="42109" spans="2:2" s="221" customFormat="1" ht="12.75" x14ac:dyDescent="0.2">
      <c r="B42109" s="1168"/>
    </row>
    <row r="42110" spans="2:2" s="221" customFormat="1" ht="12.75" x14ac:dyDescent="0.2">
      <c r="B42110" s="1168"/>
    </row>
    <row r="42111" spans="2:2" s="221" customFormat="1" ht="12.75" x14ac:dyDescent="0.2">
      <c r="B42111" s="1168"/>
    </row>
    <row r="42112" spans="2:2" s="221" customFormat="1" ht="12.75" x14ac:dyDescent="0.2">
      <c r="B42112" s="1168"/>
    </row>
    <row r="42113" spans="2:2" s="221" customFormat="1" ht="12.75" x14ac:dyDescent="0.2">
      <c r="B42113" s="1168"/>
    </row>
    <row r="42114" spans="2:2" s="221" customFormat="1" ht="12.75" x14ac:dyDescent="0.2">
      <c r="B42114" s="1168"/>
    </row>
    <row r="42115" spans="2:2" s="221" customFormat="1" ht="12.75" x14ac:dyDescent="0.2">
      <c r="B42115" s="1168"/>
    </row>
    <row r="42116" spans="2:2" s="221" customFormat="1" ht="12.75" x14ac:dyDescent="0.2">
      <c r="B42116" s="1168"/>
    </row>
    <row r="42117" spans="2:2" s="221" customFormat="1" ht="12.75" x14ac:dyDescent="0.2">
      <c r="B42117" s="1168"/>
    </row>
    <row r="42118" spans="2:2" s="221" customFormat="1" ht="12.75" x14ac:dyDescent="0.2">
      <c r="B42118" s="1168"/>
    </row>
    <row r="42119" spans="2:2" s="221" customFormat="1" ht="12.75" x14ac:dyDescent="0.2">
      <c r="B42119" s="1168"/>
    </row>
    <row r="42120" spans="2:2" s="221" customFormat="1" ht="12.75" x14ac:dyDescent="0.2">
      <c r="B42120" s="1168"/>
    </row>
    <row r="42121" spans="2:2" s="221" customFormat="1" ht="12.75" x14ac:dyDescent="0.2">
      <c r="B42121" s="1168"/>
    </row>
    <row r="42122" spans="2:2" s="221" customFormat="1" ht="12.75" x14ac:dyDescent="0.2">
      <c r="B42122" s="1168"/>
    </row>
    <row r="42123" spans="2:2" s="221" customFormat="1" ht="12.75" x14ac:dyDescent="0.2">
      <c r="B42123" s="1168"/>
    </row>
    <row r="42124" spans="2:2" s="221" customFormat="1" ht="12.75" x14ac:dyDescent="0.2">
      <c r="B42124" s="1168"/>
    </row>
    <row r="42125" spans="2:2" s="221" customFormat="1" ht="12.75" x14ac:dyDescent="0.2">
      <c r="B42125" s="1168"/>
    </row>
    <row r="42126" spans="2:2" s="221" customFormat="1" ht="12.75" x14ac:dyDescent="0.2">
      <c r="B42126" s="1168"/>
    </row>
    <row r="42127" spans="2:2" s="221" customFormat="1" ht="12.75" x14ac:dyDescent="0.2">
      <c r="B42127" s="1168"/>
    </row>
    <row r="42128" spans="2:2" s="221" customFormat="1" ht="12.75" x14ac:dyDescent="0.2">
      <c r="B42128" s="1168"/>
    </row>
    <row r="42129" spans="2:2" s="221" customFormat="1" ht="12.75" x14ac:dyDescent="0.2">
      <c r="B42129" s="1168"/>
    </row>
    <row r="42130" spans="2:2" s="221" customFormat="1" ht="12.75" x14ac:dyDescent="0.2">
      <c r="B42130" s="1168"/>
    </row>
    <row r="42131" spans="2:2" s="221" customFormat="1" ht="12.75" x14ac:dyDescent="0.2">
      <c r="B42131" s="1168"/>
    </row>
    <row r="42132" spans="2:2" s="221" customFormat="1" ht="12.75" x14ac:dyDescent="0.2">
      <c r="B42132" s="1168"/>
    </row>
    <row r="42133" spans="2:2" s="221" customFormat="1" ht="12.75" x14ac:dyDescent="0.2">
      <c r="B42133" s="1168"/>
    </row>
    <row r="42134" spans="2:2" s="221" customFormat="1" ht="12.75" x14ac:dyDescent="0.2">
      <c r="B42134" s="1168"/>
    </row>
    <row r="42135" spans="2:2" s="221" customFormat="1" ht="12.75" x14ac:dyDescent="0.2">
      <c r="B42135" s="1168"/>
    </row>
    <row r="42136" spans="2:2" s="221" customFormat="1" ht="12.75" x14ac:dyDescent="0.2">
      <c r="B42136" s="1168"/>
    </row>
    <row r="42137" spans="2:2" s="221" customFormat="1" ht="12.75" x14ac:dyDescent="0.2">
      <c r="B42137" s="1168"/>
    </row>
    <row r="42138" spans="2:2" s="221" customFormat="1" ht="12.75" x14ac:dyDescent="0.2">
      <c r="B42138" s="1168"/>
    </row>
    <row r="42139" spans="2:2" s="221" customFormat="1" ht="12.75" x14ac:dyDescent="0.2">
      <c r="B42139" s="1168"/>
    </row>
    <row r="42140" spans="2:2" s="221" customFormat="1" ht="12.75" x14ac:dyDescent="0.2">
      <c r="B42140" s="1168"/>
    </row>
    <row r="42141" spans="2:2" s="221" customFormat="1" ht="12.75" x14ac:dyDescent="0.2">
      <c r="B42141" s="1168"/>
    </row>
    <row r="42142" spans="2:2" s="221" customFormat="1" ht="12.75" x14ac:dyDescent="0.2">
      <c r="B42142" s="1168"/>
    </row>
    <row r="42143" spans="2:2" s="221" customFormat="1" ht="12.75" x14ac:dyDescent="0.2">
      <c r="B42143" s="1168"/>
    </row>
    <row r="42144" spans="2:2" s="221" customFormat="1" ht="12.75" x14ac:dyDescent="0.2">
      <c r="B42144" s="1168"/>
    </row>
    <row r="42145" spans="2:2" s="221" customFormat="1" ht="12.75" x14ac:dyDescent="0.2">
      <c r="B42145" s="1168"/>
    </row>
    <row r="42146" spans="2:2" s="221" customFormat="1" ht="12.75" x14ac:dyDescent="0.2">
      <c r="B42146" s="1168"/>
    </row>
    <row r="42147" spans="2:2" s="221" customFormat="1" ht="12.75" x14ac:dyDescent="0.2">
      <c r="B42147" s="1168"/>
    </row>
    <row r="42148" spans="2:2" s="221" customFormat="1" ht="12.75" x14ac:dyDescent="0.2">
      <c r="B42148" s="1168"/>
    </row>
    <row r="42149" spans="2:2" s="221" customFormat="1" ht="12.75" x14ac:dyDescent="0.2">
      <c r="B42149" s="1168"/>
    </row>
    <row r="42150" spans="2:2" s="221" customFormat="1" ht="12.75" x14ac:dyDescent="0.2">
      <c r="B42150" s="1168"/>
    </row>
    <row r="42151" spans="2:2" s="221" customFormat="1" ht="12.75" x14ac:dyDescent="0.2">
      <c r="B42151" s="1168"/>
    </row>
    <row r="42152" spans="2:2" s="221" customFormat="1" ht="12.75" x14ac:dyDescent="0.2">
      <c r="B42152" s="1168"/>
    </row>
    <row r="42153" spans="2:2" s="221" customFormat="1" ht="12.75" x14ac:dyDescent="0.2">
      <c r="B42153" s="1168"/>
    </row>
    <row r="42154" spans="2:2" s="221" customFormat="1" ht="12.75" x14ac:dyDescent="0.2">
      <c r="B42154" s="1168"/>
    </row>
    <row r="42155" spans="2:2" s="221" customFormat="1" ht="12.75" x14ac:dyDescent="0.2">
      <c r="B42155" s="1168"/>
    </row>
    <row r="42156" spans="2:2" s="221" customFormat="1" ht="12.75" x14ac:dyDescent="0.2">
      <c r="B42156" s="1168"/>
    </row>
    <row r="42157" spans="2:2" s="221" customFormat="1" ht="12.75" x14ac:dyDescent="0.2">
      <c r="B42157" s="1168"/>
    </row>
    <row r="42158" spans="2:2" s="221" customFormat="1" ht="12.75" x14ac:dyDescent="0.2">
      <c r="B42158" s="1168"/>
    </row>
    <row r="42159" spans="2:2" s="221" customFormat="1" ht="12.75" x14ac:dyDescent="0.2">
      <c r="B42159" s="1168"/>
    </row>
    <row r="42160" spans="2:2" s="221" customFormat="1" ht="12.75" x14ac:dyDescent="0.2">
      <c r="B42160" s="1168"/>
    </row>
    <row r="42161" spans="2:2" s="221" customFormat="1" ht="12.75" x14ac:dyDescent="0.2">
      <c r="B42161" s="1168"/>
    </row>
    <row r="42162" spans="2:2" s="221" customFormat="1" ht="12.75" x14ac:dyDescent="0.2">
      <c r="B42162" s="1168"/>
    </row>
    <row r="42163" spans="2:2" s="221" customFormat="1" ht="12.75" x14ac:dyDescent="0.2">
      <c r="B42163" s="1168"/>
    </row>
    <row r="42164" spans="2:2" s="221" customFormat="1" ht="12.75" x14ac:dyDescent="0.2">
      <c r="B42164" s="1168"/>
    </row>
    <row r="42165" spans="2:2" s="221" customFormat="1" ht="12.75" x14ac:dyDescent="0.2">
      <c r="B42165" s="1168"/>
    </row>
    <row r="42166" spans="2:2" s="221" customFormat="1" ht="12.75" x14ac:dyDescent="0.2">
      <c r="B42166" s="1168"/>
    </row>
    <row r="42167" spans="2:2" s="221" customFormat="1" ht="12.75" x14ac:dyDescent="0.2">
      <c r="B42167" s="1168"/>
    </row>
    <row r="42168" spans="2:2" s="221" customFormat="1" ht="12.75" x14ac:dyDescent="0.2">
      <c r="B42168" s="1168"/>
    </row>
    <row r="42169" spans="2:2" s="221" customFormat="1" ht="12.75" x14ac:dyDescent="0.2">
      <c r="B42169" s="1168"/>
    </row>
    <row r="42170" spans="2:2" s="221" customFormat="1" ht="12.75" x14ac:dyDescent="0.2">
      <c r="B42170" s="1168"/>
    </row>
    <row r="42171" spans="2:2" s="221" customFormat="1" ht="12.75" x14ac:dyDescent="0.2">
      <c r="B42171" s="1168"/>
    </row>
    <row r="42172" spans="2:2" s="221" customFormat="1" ht="12.75" x14ac:dyDescent="0.2">
      <c r="B42172" s="1168"/>
    </row>
    <row r="42173" spans="2:2" s="221" customFormat="1" ht="12.75" x14ac:dyDescent="0.2">
      <c r="B42173" s="1168"/>
    </row>
    <row r="42174" spans="2:2" s="221" customFormat="1" ht="12.75" x14ac:dyDescent="0.2">
      <c r="B42174" s="1168"/>
    </row>
    <row r="42175" spans="2:2" s="221" customFormat="1" ht="12.75" x14ac:dyDescent="0.2">
      <c r="B42175" s="1168"/>
    </row>
    <row r="42176" spans="2:2" s="221" customFormat="1" ht="12.75" x14ac:dyDescent="0.2">
      <c r="B42176" s="1168"/>
    </row>
    <row r="42177" spans="2:2" s="221" customFormat="1" ht="12.75" x14ac:dyDescent="0.2">
      <c r="B42177" s="1168"/>
    </row>
    <row r="42178" spans="2:2" s="221" customFormat="1" ht="12.75" x14ac:dyDescent="0.2">
      <c r="B42178" s="1168"/>
    </row>
    <row r="42179" spans="2:2" s="221" customFormat="1" ht="12.75" x14ac:dyDescent="0.2">
      <c r="B42179" s="1168"/>
    </row>
    <row r="42180" spans="2:2" s="221" customFormat="1" ht="12.75" x14ac:dyDescent="0.2">
      <c r="B42180" s="1168"/>
    </row>
    <row r="42181" spans="2:2" s="221" customFormat="1" ht="12.75" x14ac:dyDescent="0.2">
      <c r="B42181" s="1168"/>
    </row>
    <row r="42182" spans="2:2" s="221" customFormat="1" ht="12.75" x14ac:dyDescent="0.2">
      <c r="B42182" s="1168"/>
    </row>
    <row r="42183" spans="2:2" s="221" customFormat="1" ht="12.75" x14ac:dyDescent="0.2">
      <c r="B42183" s="1168"/>
    </row>
    <row r="42184" spans="2:2" s="221" customFormat="1" ht="12.75" x14ac:dyDescent="0.2">
      <c r="B42184" s="1168"/>
    </row>
    <row r="42185" spans="2:2" s="221" customFormat="1" ht="12.75" x14ac:dyDescent="0.2">
      <c r="B42185" s="1168"/>
    </row>
    <row r="42186" spans="2:2" s="221" customFormat="1" ht="12.75" x14ac:dyDescent="0.2">
      <c r="B42186" s="1168"/>
    </row>
    <row r="42187" spans="2:2" s="221" customFormat="1" ht="12.75" x14ac:dyDescent="0.2">
      <c r="B42187" s="1168"/>
    </row>
    <row r="42188" spans="2:2" s="221" customFormat="1" ht="12.75" x14ac:dyDescent="0.2">
      <c r="B42188" s="1168"/>
    </row>
    <row r="42189" spans="2:2" s="221" customFormat="1" ht="12.75" x14ac:dyDescent="0.2">
      <c r="B42189" s="1168"/>
    </row>
    <row r="42190" spans="2:2" s="221" customFormat="1" ht="12.75" x14ac:dyDescent="0.2">
      <c r="B42190" s="1168"/>
    </row>
    <row r="42191" spans="2:2" s="221" customFormat="1" ht="12.75" x14ac:dyDescent="0.2">
      <c r="B42191" s="1168"/>
    </row>
    <row r="42192" spans="2:2" s="221" customFormat="1" ht="12.75" x14ac:dyDescent="0.2">
      <c r="B42192" s="1168"/>
    </row>
    <row r="42193" spans="2:2" s="221" customFormat="1" ht="12.75" x14ac:dyDescent="0.2">
      <c r="B42193" s="1168"/>
    </row>
    <row r="42194" spans="2:2" s="221" customFormat="1" ht="12.75" x14ac:dyDescent="0.2">
      <c r="B42194" s="1168"/>
    </row>
    <row r="42195" spans="2:2" s="221" customFormat="1" ht="12.75" x14ac:dyDescent="0.2">
      <c r="B42195" s="1168"/>
    </row>
    <row r="42196" spans="2:2" s="221" customFormat="1" ht="12.75" x14ac:dyDescent="0.2">
      <c r="B42196" s="1168"/>
    </row>
    <row r="42197" spans="2:2" s="221" customFormat="1" ht="12.75" x14ac:dyDescent="0.2">
      <c r="B42197" s="1168"/>
    </row>
    <row r="42198" spans="2:2" s="221" customFormat="1" ht="12.75" x14ac:dyDescent="0.2">
      <c r="B42198" s="1168"/>
    </row>
    <row r="42199" spans="2:2" s="221" customFormat="1" ht="12.75" x14ac:dyDescent="0.2">
      <c r="B42199" s="1168"/>
    </row>
    <row r="42200" spans="2:2" s="221" customFormat="1" ht="12.75" x14ac:dyDescent="0.2">
      <c r="B42200" s="1168"/>
    </row>
    <row r="42201" spans="2:2" s="221" customFormat="1" ht="12.75" x14ac:dyDescent="0.2">
      <c r="B42201" s="1168"/>
    </row>
    <row r="42202" spans="2:2" s="221" customFormat="1" ht="12.75" x14ac:dyDescent="0.2">
      <c r="B42202" s="1168"/>
    </row>
    <row r="42203" spans="2:2" s="221" customFormat="1" ht="12.75" x14ac:dyDescent="0.2">
      <c r="B42203" s="1168"/>
    </row>
    <row r="42204" spans="2:2" s="221" customFormat="1" ht="12.75" x14ac:dyDescent="0.2">
      <c r="B42204" s="1168"/>
    </row>
    <row r="42205" spans="2:2" s="221" customFormat="1" ht="12.75" x14ac:dyDescent="0.2">
      <c r="B42205" s="1168"/>
    </row>
    <row r="42206" spans="2:2" s="221" customFormat="1" ht="12.75" x14ac:dyDescent="0.2">
      <c r="B42206" s="1168"/>
    </row>
    <row r="42207" spans="2:2" s="221" customFormat="1" ht="12.75" x14ac:dyDescent="0.2">
      <c r="B42207" s="1168"/>
    </row>
    <row r="42208" spans="2:2" s="221" customFormat="1" ht="12.75" x14ac:dyDescent="0.2">
      <c r="B42208" s="1168"/>
    </row>
    <row r="42209" spans="2:2" s="221" customFormat="1" ht="12.75" x14ac:dyDescent="0.2">
      <c r="B42209" s="1168"/>
    </row>
    <row r="42210" spans="2:2" s="221" customFormat="1" ht="12.75" x14ac:dyDescent="0.2">
      <c r="B42210" s="1168"/>
    </row>
    <row r="42211" spans="2:2" s="221" customFormat="1" ht="12.75" x14ac:dyDescent="0.2">
      <c r="B42211" s="1168"/>
    </row>
    <row r="42212" spans="2:2" s="221" customFormat="1" ht="12.75" x14ac:dyDescent="0.2">
      <c r="B42212" s="1168"/>
    </row>
    <row r="42213" spans="2:2" s="221" customFormat="1" ht="12.75" x14ac:dyDescent="0.2">
      <c r="B42213" s="1168"/>
    </row>
    <row r="42214" spans="2:2" s="221" customFormat="1" ht="12.75" x14ac:dyDescent="0.2">
      <c r="B42214" s="1168"/>
    </row>
    <row r="42215" spans="2:2" s="221" customFormat="1" ht="12.75" x14ac:dyDescent="0.2">
      <c r="B42215" s="1168"/>
    </row>
    <row r="42216" spans="2:2" s="221" customFormat="1" ht="12.75" x14ac:dyDescent="0.2">
      <c r="B42216" s="1168"/>
    </row>
    <row r="42217" spans="2:2" s="221" customFormat="1" ht="12.75" x14ac:dyDescent="0.2">
      <c r="B42217" s="1168"/>
    </row>
    <row r="42218" spans="2:2" s="221" customFormat="1" ht="12.75" x14ac:dyDescent="0.2">
      <c r="B42218" s="1168"/>
    </row>
    <row r="42219" spans="2:2" s="221" customFormat="1" ht="12.75" x14ac:dyDescent="0.2">
      <c r="B42219" s="1168"/>
    </row>
    <row r="42220" spans="2:2" s="221" customFormat="1" ht="12.75" x14ac:dyDescent="0.2">
      <c r="B42220" s="1168"/>
    </row>
    <row r="42221" spans="2:2" s="221" customFormat="1" ht="12.75" x14ac:dyDescent="0.2">
      <c r="B42221" s="1168"/>
    </row>
    <row r="42222" spans="2:2" s="221" customFormat="1" ht="12.75" x14ac:dyDescent="0.2">
      <c r="B42222" s="1168"/>
    </row>
    <row r="42223" spans="2:2" s="221" customFormat="1" ht="12.75" x14ac:dyDescent="0.2">
      <c r="B42223" s="1168"/>
    </row>
    <row r="42224" spans="2:2" s="221" customFormat="1" ht="12.75" x14ac:dyDescent="0.2">
      <c r="B42224" s="1168"/>
    </row>
    <row r="42225" spans="2:2" s="221" customFormat="1" ht="12.75" x14ac:dyDescent="0.2">
      <c r="B42225" s="1168"/>
    </row>
    <row r="42226" spans="2:2" s="221" customFormat="1" ht="12.75" x14ac:dyDescent="0.2">
      <c r="B42226" s="1168"/>
    </row>
    <row r="42227" spans="2:2" s="221" customFormat="1" ht="12.75" x14ac:dyDescent="0.2">
      <c r="B42227" s="1168"/>
    </row>
    <row r="42228" spans="2:2" s="221" customFormat="1" ht="12.75" x14ac:dyDescent="0.2">
      <c r="B42228" s="1168"/>
    </row>
    <row r="42229" spans="2:2" s="221" customFormat="1" ht="12.75" x14ac:dyDescent="0.2">
      <c r="B42229" s="1168"/>
    </row>
    <row r="42230" spans="2:2" s="221" customFormat="1" ht="12.75" x14ac:dyDescent="0.2">
      <c r="B42230" s="1168"/>
    </row>
    <row r="42231" spans="2:2" s="221" customFormat="1" ht="12.75" x14ac:dyDescent="0.2">
      <c r="B42231" s="1168"/>
    </row>
    <row r="42232" spans="2:2" s="221" customFormat="1" ht="12.75" x14ac:dyDescent="0.2">
      <c r="B42232" s="1168"/>
    </row>
    <row r="42233" spans="2:2" s="221" customFormat="1" ht="12.75" x14ac:dyDescent="0.2">
      <c r="B42233" s="1168"/>
    </row>
    <row r="42234" spans="2:2" s="221" customFormat="1" ht="12.75" x14ac:dyDescent="0.2">
      <c r="B42234" s="1168"/>
    </row>
    <row r="42235" spans="2:2" s="221" customFormat="1" ht="12.75" x14ac:dyDescent="0.2">
      <c r="B42235" s="1168"/>
    </row>
    <row r="42236" spans="2:2" s="221" customFormat="1" ht="12.75" x14ac:dyDescent="0.2">
      <c r="B42236" s="1168"/>
    </row>
    <row r="42237" spans="2:2" s="221" customFormat="1" ht="12.75" x14ac:dyDescent="0.2">
      <c r="B42237" s="1168"/>
    </row>
    <row r="42238" spans="2:2" s="221" customFormat="1" ht="12.75" x14ac:dyDescent="0.2">
      <c r="B42238" s="1168"/>
    </row>
    <row r="42239" spans="2:2" s="221" customFormat="1" ht="12.75" x14ac:dyDescent="0.2">
      <c r="B42239" s="1168"/>
    </row>
    <row r="42240" spans="2:2" s="221" customFormat="1" ht="12.75" x14ac:dyDescent="0.2">
      <c r="B42240" s="1168"/>
    </row>
    <row r="42241" spans="2:2" s="221" customFormat="1" ht="12.75" x14ac:dyDescent="0.2">
      <c r="B42241" s="1168"/>
    </row>
    <row r="42242" spans="2:2" s="221" customFormat="1" ht="12.75" x14ac:dyDescent="0.2">
      <c r="B42242" s="1168"/>
    </row>
    <row r="42243" spans="2:2" s="221" customFormat="1" ht="12.75" x14ac:dyDescent="0.2">
      <c r="B42243" s="1168"/>
    </row>
    <row r="42244" spans="2:2" s="221" customFormat="1" ht="12.75" x14ac:dyDescent="0.2">
      <c r="B42244" s="1168"/>
    </row>
    <row r="42245" spans="2:2" s="221" customFormat="1" ht="12.75" x14ac:dyDescent="0.2">
      <c r="B42245" s="1168"/>
    </row>
    <row r="42246" spans="2:2" s="221" customFormat="1" ht="12.75" x14ac:dyDescent="0.2">
      <c r="B42246" s="1168"/>
    </row>
    <row r="42247" spans="2:2" s="221" customFormat="1" ht="12.75" x14ac:dyDescent="0.2">
      <c r="B42247" s="1168"/>
    </row>
    <row r="42248" spans="2:2" s="221" customFormat="1" ht="12.75" x14ac:dyDescent="0.2">
      <c r="B42248" s="1168"/>
    </row>
    <row r="42249" spans="2:2" s="221" customFormat="1" ht="12.75" x14ac:dyDescent="0.2">
      <c r="B42249" s="1168"/>
    </row>
    <row r="42250" spans="2:2" s="221" customFormat="1" ht="12.75" x14ac:dyDescent="0.2">
      <c r="B42250" s="1168"/>
    </row>
    <row r="42251" spans="2:2" s="221" customFormat="1" ht="12.75" x14ac:dyDescent="0.2">
      <c r="B42251" s="1168"/>
    </row>
    <row r="42252" spans="2:2" s="221" customFormat="1" ht="12.75" x14ac:dyDescent="0.2">
      <c r="B42252" s="1168"/>
    </row>
    <row r="42253" spans="2:2" s="221" customFormat="1" ht="12.75" x14ac:dyDescent="0.2">
      <c r="B42253" s="1168"/>
    </row>
    <row r="42254" spans="2:2" s="221" customFormat="1" ht="12.75" x14ac:dyDescent="0.2">
      <c r="B42254" s="1168"/>
    </row>
    <row r="42255" spans="2:2" s="221" customFormat="1" ht="12.75" x14ac:dyDescent="0.2">
      <c r="B42255" s="1168"/>
    </row>
    <row r="42256" spans="2:2" s="221" customFormat="1" ht="12.75" x14ac:dyDescent="0.2">
      <c r="B42256" s="1168"/>
    </row>
    <row r="42257" spans="2:2" s="221" customFormat="1" ht="12.75" x14ac:dyDescent="0.2">
      <c r="B42257" s="1168"/>
    </row>
    <row r="42258" spans="2:2" s="221" customFormat="1" ht="12.75" x14ac:dyDescent="0.2">
      <c r="B42258" s="1168"/>
    </row>
    <row r="42259" spans="2:2" s="221" customFormat="1" ht="12.75" x14ac:dyDescent="0.2">
      <c r="B42259" s="1168"/>
    </row>
    <row r="42260" spans="2:2" s="221" customFormat="1" ht="12.75" x14ac:dyDescent="0.2">
      <c r="B42260" s="1168"/>
    </row>
    <row r="42261" spans="2:2" s="221" customFormat="1" ht="12.75" x14ac:dyDescent="0.2">
      <c r="B42261" s="1168"/>
    </row>
    <row r="42262" spans="2:2" s="221" customFormat="1" ht="12.75" x14ac:dyDescent="0.2">
      <c r="B42262" s="1168"/>
    </row>
    <row r="42263" spans="2:2" s="221" customFormat="1" ht="12.75" x14ac:dyDescent="0.2">
      <c r="B42263" s="1168"/>
    </row>
    <row r="42264" spans="2:2" s="221" customFormat="1" ht="12.75" x14ac:dyDescent="0.2">
      <c r="B42264" s="1168"/>
    </row>
    <row r="42265" spans="2:2" s="221" customFormat="1" ht="12.75" x14ac:dyDescent="0.2">
      <c r="B42265" s="1168"/>
    </row>
    <row r="42266" spans="2:2" s="221" customFormat="1" ht="12.75" x14ac:dyDescent="0.2">
      <c r="B42266" s="1168"/>
    </row>
    <row r="42267" spans="2:2" s="221" customFormat="1" ht="12.75" x14ac:dyDescent="0.2">
      <c r="B42267" s="1168"/>
    </row>
    <row r="42268" spans="2:2" s="221" customFormat="1" ht="12.75" x14ac:dyDescent="0.2">
      <c r="B42268" s="1168"/>
    </row>
    <row r="42269" spans="2:2" s="221" customFormat="1" ht="12.75" x14ac:dyDescent="0.2">
      <c r="B42269" s="1168"/>
    </row>
    <row r="42270" spans="2:2" s="221" customFormat="1" ht="12.75" x14ac:dyDescent="0.2">
      <c r="B42270" s="1168"/>
    </row>
    <row r="42271" spans="2:2" s="221" customFormat="1" ht="12.75" x14ac:dyDescent="0.2">
      <c r="B42271" s="1168"/>
    </row>
    <row r="42272" spans="2:2" s="221" customFormat="1" ht="12.75" x14ac:dyDescent="0.2">
      <c r="B42272" s="1168"/>
    </row>
    <row r="42273" spans="2:2" s="221" customFormat="1" ht="12.75" x14ac:dyDescent="0.2">
      <c r="B42273" s="1168"/>
    </row>
    <row r="42274" spans="2:2" s="221" customFormat="1" ht="12.75" x14ac:dyDescent="0.2">
      <c r="B42274" s="1168"/>
    </row>
    <row r="42275" spans="2:2" s="221" customFormat="1" ht="12.75" x14ac:dyDescent="0.2">
      <c r="B42275" s="1168"/>
    </row>
    <row r="42276" spans="2:2" s="221" customFormat="1" ht="12.75" x14ac:dyDescent="0.2">
      <c r="B42276" s="1168"/>
    </row>
    <row r="42277" spans="2:2" s="221" customFormat="1" ht="12.75" x14ac:dyDescent="0.2">
      <c r="B42277" s="1168"/>
    </row>
    <row r="42278" spans="2:2" s="221" customFormat="1" ht="12.75" x14ac:dyDescent="0.2">
      <c r="B42278" s="1168"/>
    </row>
    <row r="42279" spans="2:2" s="221" customFormat="1" ht="12.75" x14ac:dyDescent="0.2">
      <c r="B42279" s="1168"/>
    </row>
    <row r="42280" spans="2:2" s="221" customFormat="1" ht="12.75" x14ac:dyDescent="0.2">
      <c r="B42280" s="1168"/>
    </row>
    <row r="42281" spans="2:2" s="221" customFormat="1" ht="12.75" x14ac:dyDescent="0.2">
      <c r="B42281" s="1168"/>
    </row>
    <row r="42282" spans="2:2" s="221" customFormat="1" ht="12.75" x14ac:dyDescent="0.2">
      <c r="B42282" s="1168"/>
    </row>
    <row r="42283" spans="2:2" s="221" customFormat="1" ht="12.75" x14ac:dyDescent="0.2">
      <c r="B42283" s="1168"/>
    </row>
    <row r="42284" spans="2:2" s="221" customFormat="1" ht="12.75" x14ac:dyDescent="0.2">
      <c r="B42284" s="1168"/>
    </row>
    <row r="42285" spans="2:2" s="221" customFormat="1" ht="12.75" x14ac:dyDescent="0.2">
      <c r="B42285" s="1168"/>
    </row>
    <row r="42286" spans="2:2" s="221" customFormat="1" ht="12.75" x14ac:dyDescent="0.2">
      <c r="B42286" s="1168"/>
    </row>
    <row r="42287" spans="2:2" s="221" customFormat="1" ht="12.75" x14ac:dyDescent="0.2">
      <c r="B42287" s="1168"/>
    </row>
    <row r="42288" spans="2:2" s="221" customFormat="1" ht="12.75" x14ac:dyDescent="0.2">
      <c r="B42288" s="1168"/>
    </row>
    <row r="42289" spans="2:2" s="221" customFormat="1" ht="12.75" x14ac:dyDescent="0.2">
      <c r="B42289" s="1168"/>
    </row>
    <row r="42290" spans="2:2" s="221" customFormat="1" ht="12.75" x14ac:dyDescent="0.2">
      <c r="B42290" s="1168"/>
    </row>
    <row r="42291" spans="2:2" s="221" customFormat="1" ht="12.75" x14ac:dyDescent="0.2">
      <c r="B42291" s="1168"/>
    </row>
    <row r="42292" spans="2:2" s="221" customFormat="1" ht="12.75" x14ac:dyDescent="0.2">
      <c r="B42292" s="1168"/>
    </row>
    <row r="42293" spans="2:2" s="221" customFormat="1" ht="12.75" x14ac:dyDescent="0.2">
      <c r="B42293" s="1168"/>
    </row>
    <row r="42294" spans="2:2" s="221" customFormat="1" ht="12.75" x14ac:dyDescent="0.2">
      <c r="B42294" s="1168"/>
    </row>
    <row r="42295" spans="2:2" s="221" customFormat="1" ht="12.75" x14ac:dyDescent="0.2">
      <c r="B42295" s="1168"/>
    </row>
    <row r="42296" spans="2:2" s="221" customFormat="1" ht="12.75" x14ac:dyDescent="0.2">
      <c r="B42296" s="1168"/>
    </row>
    <row r="42297" spans="2:2" s="221" customFormat="1" ht="12.75" x14ac:dyDescent="0.2">
      <c r="B42297" s="1168"/>
    </row>
    <row r="42298" spans="2:2" s="221" customFormat="1" ht="12.75" x14ac:dyDescent="0.2">
      <c r="B42298" s="1168"/>
    </row>
    <row r="42299" spans="2:2" s="221" customFormat="1" ht="12.75" x14ac:dyDescent="0.2">
      <c r="B42299" s="1168"/>
    </row>
    <row r="42300" spans="2:2" s="221" customFormat="1" ht="12.75" x14ac:dyDescent="0.2">
      <c r="B42300" s="1168"/>
    </row>
    <row r="42301" spans="2:2" s="221" customFormat="1" ht="12.75" x14ac:dyDescent="0.2">
      <c r="B42301" s="1168"/>
    </row>
    <row r="42302" spans="2:2" s="221" customFormat="1" ht="12.75" x14ac:dyDescent="0.2">
      <c r="B42302" s="1168"/>
    </row>
    <row r="42303" spans="2:2" s="221" customFormat="1" ht="12.75" x14ac:dyDescent="0.2">
      <c r="B42303" s="1168"/>
    </row>
    <row r="42304" spans="2:2" s="221" customFormat="1" ht="12.75" x14ac:dyDescent="0.2">
      <c r="B42304" s="1168"/>
    </row>
    <row r="42305" spans="2:2" s="221" customFormat="1" ht="12.75" x14ac:dyDescent="0.2">
      <c r="B42305" s="1168"/>
    </row>
    <row r="42306" spans="2:2" s="221" customFormat="1" ht="12.75" x14ac:dyDescent="0.2">
      <c r="B42306" s="1168"/>
    </row>
    <row r="42307" spans="2:2" s="221" customFormat="1" ht="12.75" x14ac:dyDescent="0.2">
      <c r="B42307" s="1168"/>
    </row>
    <row r="42308" spans="2:2" s="221" customFormat="1" ht="12.75" x14ac:dyDescent="0.2">
      <c r="B42308" s="1168"/>
    </row>
    <row r="42309" spans="2:2" s="221" customFormat="1" ht="12.75" x14ac:dyDescent="0.2">
      <c r="B42309" s="1168"/>
    </row>
    <row r="42310" spans="2:2" s="221" customFormat="1" ht="12.75" x14ac:dyDescent="0.2">
      <c r="B42310" s="1168"/>
    </row>
    <row r="42311" spans="2:2" s="221" customFormat="1" ht="12.75" x14ac:dyDescent="0.2">
      <c r="B42311" s="1168"/>
    </row>
    <row r="42312" spans="2:2" s="221" customFormat="1" ht="12.75" x14ac:dyDescent="0.2">
      <c r="B42312" s="1168"/>
    </row>
    <row r="42313" spans="2:2" s="221" customFormat="1" ht="12.75" x14ac:dyDescent="0.2">
      <c r="B42313" s="1168"/>
    </row>
    <row r="42314" spans="2:2" s="221" customFormat="1" ht="12.75" x14ac:dyDescent="0.2">
      <c r="B42314" s="1168"/>
    </row>
    <row r="42315" spans="2:2" s="221" customFormat="1" ht="12.75" x14ac:dyDescent="0.2">
      <c r="B42315" s="1168"/>
    </row>
    <row r="42316" spans="2:2" s="221" customFormat="1" ht="12.75" x14ac:dyDescent="0.2">
      <c r="B42316" s="1168"/>
    </row>
    <row r="42317" spans="2:2" s="221" customFormat="1" ht="12.75" x14ac:dyDescent="0.2">
      <c r="B42317" s="1168"/>
    </row>
    <row r="42318" spans="2:2" s="221" customFormat="1" ht="12.75" x14ac:dyDescent="0.2">
      <c r="B42318" s="1168"/>
    </row>
    <row r="42319" spans="2:2" s="221" customFormat="1" ht="12.75" x14ac:dyDescent="0.2">
      <c r="B42319" s="1168"/>
    </row>
    <row r="42320" spans="2:2" s="221" customFormat="1" ht="12.75" x14ac:dyDescent="0.2">
      <c r="B42320" s="1168"/>
    </row>
    <row r="42321" spans="2:2" s="221" customFormat="1" ht="12.75" x14ac:dyDescent="0.2">
      <c r="B42321" s="1168"/>
    </row>
    <row r="42322" spans="2:2" s="221" customFormat="1" ht="12.75" x14ac:dyDescent="0.2">
      <c r="B42322" s="1168"/>
    </row>
    <row r="42323" spans="2:2" s="221" customFormat="1" ht="12.75" x14ac:dyDescent="0.2">
      <c r="B42323" s="1168"/>
    </row>
    <row r="42324" spans="2:2" s="221" customFormat="1" ht="12.75" x14ac:dyDescent="0.2">
      <c r="B42324" s="1168"/>
    </row>
    <row r="42325" spans="2:2" s="221" customFormat="1" ht="12.75" x14ac:dyDescent="0.2">
      <c r="B42325" s="1168"/>
    </row>
    <row r="42326" spans="2:2" s="221" customFormat="1" ht="12.75" x14ac:dyDescent="0.2">
      <c r="B42326" s="1168"/>
    </row>
    <row r="42327" spans="2:2" s="221" customFormat="1" ht="12.75" x14ac:dyDescent="0.2">
      <c r="B42327" s="1168"/>
    </row>
    <row r="42328" spans="2:2" s="221" customFormat="1" ht="12.75" x14ac:dyDescent="0.2">
      <c r="B42328" s="1168"/>
    </row>
    <row r="42329" spans="2:2" s="221" customFormat="1" ht="12.75" x14ac:dyDescent="0.2">
      <c r="B42329" s="1168"/>
    </row>
    <row r="42330" spans="2:2" s="221" customFormat="1" ht="12.75" x14ac:dyDescent="0.2">
      <c r="B42330" s="1168"/>
    </row>
    <row r="42331" spans="2:2" s="221" customFormat="1" ht="12.75" x14ac:dyDescent="0.2">
      <c r="B42331" s="1168"/>
    </row>
    <row r="42332" spans="2:2" s="221" customFormat="1" ht="12.75" x14ac:dyDescent="0.2">
      <c r="B42332" s="1168"/>
    </row>
    <row r="42333" spans="2:2" s="221" customFormat="1" ht="12.75" x14ac:dyDescent="0.2">
      <c r="B42333" s="1168"/>
    </row>
    <row r="42334" spans="2:2" s="221" customFormat="1" ht="12.75" x14ac:dyDescent="0.2">
      <c r="B42334" s="1168"/>
    </row>
    <row r="42335" spans="2:2" s="221" customFormat="1" ht="12.75" x14ac:dyDescent="0.2">
      <c r="B42335" s="1168"/>
    </row>
    <row r="42336" spans="2:2" s="221" customFormat="1" ht="12.75" x14ac:dyDescent="0.2">
      <c r="B42336" s="1168"/>
    </row>
    <row r="42337" spans="2:2" s="221" customFormat="1" ht="12.75" x14ac:dyDescent="0.2">
      <c r="B42337" s="1168"/>
    </row>
    <row r="42338" spans="2:2" s="221" customFormat="1" ht="12.75" x14ac:dyDescent="0.2">
      <c r="B42338" s="1168"/>
    </row>
    <row r="42339" spans="2:2" s="221" customFormat="1" ht="12.75" x14ac:dyDescent="0.2">
      <c r="B42339" s="1168"/>
    </row>
    <row r="42340" spans="2:2" s="221" customFormat="1" ht="12.75" x14ac:dyDescent="0.2">
      <c r="B42340" s="1168"/>
    </row>
    <row r="42341" spans="2:2" s="221" customFormat="1" ht="12.75" x14ac:dyDescent="0.2">
      <c r="B42341" s="1168"/>
    </row>
    <row r="42342" spans="2:2" s="221" customFormat="1" ht="12.75" x14ac:dyDescent="0.2">
      <c r="B42342" s="1168"/>
    </row>
    <row r="42343" spans="2:2" s="221" customFormat="1" ht="12.75" x14ac:dyDescent="0.2">
      <c r="B42343" s="1168"/>
    </row>
    <row r="42344" spans="2:2" s="221" customFormat="1" ht="12.75" x14ac:dyDescent="0.2">
      <c r="B42344" s="1168"/>
    </row>
    <row r="42345" spans="2:2" s="221" customFormat="1" ht="12.75" x14ac:dyDescent="0.2">
      <c r="B42345" s="1168"/>
    </row>
    <row r="42346" spans="2:2" s="221" customFormat="1" ht="12.75" x14ac:dyDescent="0.2">
      <c r="B42346" s="1168"/>
    </row>
    <row r="42347" spans="2:2" s="221" customFormat="1" ht="12.75" x14ac:dyDescent="0.2">
      <c r="B42347" s="1168"/>
    </row>
    <row r="42348" spans="2:2" s="221" customFormat="1" ht="12.75" x14ac:dyDescent="0.2">
      <c r="B42348" s="1168"/>
    </row>
    <row r="42349" spans="2:2" s="221" customFormat="1" ht="12.75" x14ac:dyDescent="0.2">
      <c r="B42349" s="1168"/>
    </row>
    <row r="42350" spans="2:2" s="221" customFormat="1" ht="12.75" x14ac:dyDescent="0.2">
      <c r="B42350" s="1168"/>
    </row>
    <row r="42351" spans="2:2" s="221" customFormat="1" ht="12.75" x14ac:dyDescent="0.2">
      <c r="B42351" s="1168"/>
    </row>
    <row r="42352" spans="2:2" s="221" customFormat="1" ht="12.75" x14ac:dyDescent="0.2">
      <c r="B42352" s="1168"/>
    </row>
    <row r="42353" spans="2:2" s="221" customFormat="1" ht="12.75" x14ac:dyDescent="0.2">
      <c r="B42353" s="1168"/>
    </row>
    <row r="42354" spans="2:2" s="221" customFormat="1" ht="12.75" x14ac:dyDescent="0.2">
      <c r="B42354" s="1168"/>
    </row>
    <row r="42355" spans="2:2" s="221" customFormat="1" ht="12.75" x14ac:dyDescent="0.2">
      <c r="B42355" s="1168"/>
    </row>
    <row r="42356" spans="2:2" s="221" customFormat="1" ht="12.75" x14ac:dyDescent="0.2">
      <c r="B42356" s="1168"/>
    </row>
    <row r="42357" spans="2:2" s="221" customFormat="1" ht="12.75" x14ac:dyDescent="0.2">
      <c r="B42357" s="1168"/>
    </row>
    <row r="42358" spans="2:2" s="221" customFormat="1" ht="12.75" x14ac:dyDescent="0.2">
      <c r="B42358" s="1168"/>
    </row>
    <row r="42359" spans="2:2" s="221" customFormat="1" ht="12.75" x14ac:dyDescent="0.2">
      <c r="B42359" s="1168"/>
    </row>
    <row r="42360" spans="2:2" s="221" customFormat="1" ht="12.75" x14ac:dyDescent="0.2">
      <c r="B42360" s="1168"/>
    </row>
    <row r="42361" spans="2:2" s="221" customFormat="1" ht="12.75" x14ac:dyDescent="0.2">
      <c r="B42361" s="1168"/>
    </row>
    <row r="42362" spans="2:2" s="221" customFormat="1" ht="12.75" x14ac:dyDescent="0.2">
      <c r="B42362" s="1168"/>
    </row>
    <row r="42363" spans="2:2" s="221" customFormat="1" ht="12.75" x14ac:dyDescent="0.2">
      <c r="B42363" s="1168"/>
    </row>
    <row r="42364" spans="2:2" s="221" customFormat="1" ht="12.75" x14ac:dyDescent="0.2">
      <c r="B42364" s="1168"/>
    </row>
    <row r="42365" spans="2:2" s="221" customFormat="1" ht="12.75" x14ac:dyDescent="0.2">
      <c r="B42365" s="1168"/>
    </row>
    <row r="42366" spans="2:2" s="221" customFormat="1" ht="12.75" x14ac:dyDescent="0.2">
      <c r="B42366" s="1168"/>
    </row>
    <row r="42367" spans="2:2" s="221" customFormat="1" ht="12.75" x14ac:dyDescent="0.2">
      <c r="B42367" s="1168"/>
    </row>
    <row r="42368" spans="2:2" s="221" customFormat="1" ht="12.75" x14ac:dyDescent="0.2">
      <c r="B42368" s="1168"/>
    </row>
    <row r="42369" spans="2:2" s="221" customFormat="1" ht="12.75" x14ac:dyDescent="0.2">
      <c r="B42369" s="1168"/>
    </row>
    <row r="42370" spans="2:2" s="221" customFormat="1" ht="12.75" x14ac:dyDescent="0.2">
      <c r="B42370" s="1168"/>
    </row>
    <row r="42371" spans="2:2" s="221" customFormat="1" ht="12.75" x14ac:dyDescent="0.2">
      <c r="B42371" s="1168"/>
    </row>
    <row r="42372" spans="2:2" s="221" customFormat="1" ht="12.75" x14ac:dyDescent="0.2">
      <c r="B42372" s="1168"/>
    </row>
    <row r="42373" spans="2:2" s="221" customFormat="1" ht="12.75" x14ac:dyDescent="0.2">
      <c r="B42373" s="1168"/>
    </row>
    <row r="42374" spans="2:2" s="221" customFormat="1" ht="12.75" x14ac:dyDescent="0.2">
      <c r="B42374" s="1168"/>
    </row>
    <row r="42375" spans="2:2" s="221" customFormat="1" ht="12.75" x14ac:dyDescent="0.2">
      <c r="B42375" s="1168"/>
    </row>
    <row r="42376" spans="2:2" s="221" customFormat="1" ht="12.75" x14ac:dyDescent="0.2">
      <c r="B42376" s="1168"/>
    </row>
    <row r="42377" spans="2:2" s="221" customFormat="1" ht="12.75" x14ac:dyDescent="0.2">
      <c r="B42377" s="1168"/>
    </row>
    <row r="42378" spans="2:2" s="221" customFormat="1" ht="12.75" x14ac:dyDescent="0.2">
      <c r="B42378" s="1168"/>
    </row>
    <row r="42379" spans="2:2" s="221" customFormat="1" ht="12.75" x14ac:dyDescent="0.2">
      <c r="B42379" s="1168"/>
    </row>
    <row r="42380" spans="2:2" s="221" customFormat="1" ht="12.75" x14ac:dyDescent="0.2">
      <c r="B42380" s="1168"/>
    </row>
    <row r="42381" spans="2:2" s="221" customFormat="1" ht="12.75" x14ac:dyDescent="0.2">
      <c r="B42381" s="1168"/>
    </row>
    <row r="42382" spans="2:2" s="221" customFormat="1" ht="12.75" x14ac:dyDescent="0.2">
      <c r="B42382" s="1168"/>
    </row>
    <row r="42383" spans="2:2" s="221" customFormat="1" ht="12.75" x14ac:dyDescent="0.2">
      <c r="B42383" s="1168"/>
    </row>
    <row r="42384" spans="2:2" s="221" customFormat="1" ht="12.75" x14ac:dyDescent="0.2">
      <c r="B42384" s="1168"/>
    </row>
    <row r="42385" spans="2:2" s="221" customFormat="1" ht="12.75" x14ac:dyDescent="0.2">
      <c r="B42385" s="1168"/>
    </row>
    <row r="42386" spans="2:2" s="221" customFormat="1" ht="12.75" x14ac:dyDescent="0.2">
      <c r="B42386" s="1168"/>
    </row>
    <row r="42387" spans="2:2" s="221" customFormat="1" ht="12.75" x14ac:dyDescent="0.2">
      <c r="B42387" s="1168"/>
    </row>
    <row r="42388" spans="2:2" s="221" customFormat="1" ht="12.75" x14ac:dyDescent="0.2">
      <c r="B42388" s="1168"/>
    </row>
    <row r="42389" spans="2:2" s="221" customFormat="1" ht="12.75" x14ac:dyDescent="0.2">
      <c r="B42389" s="1168"/>
    </row>
    <row r="42390" spans="2:2" s="221" customFormat="1" ht="12.75" x14ac:dyDescent="0.2">
      <c r="B42390" s="1168"/>
    </row>
    <row r="42391" spans="2:2" s="221" customFormat="1" ht="12.75" x14ac:dyDescent="0.2">
      <c r="B42391" s="1168"/>
    </row>
    <row r="42392" spans="2:2" s="221" customFormat="1" ht="12.75" x14ac:dyDescent="0.2">
      <c r="B42392" s="1168"/>
    </row>
    <row r="42393" spans="2:2" s="221" customFormat="1" ht="12.75" x14ac:dyDescent="0.2">
      <c r="B42393" s="1168"/>
    </row>
    <row r="42394" spans="2:2" s="221" customFormat="1" ht="12.75" x14ac:dyDescent="0.2">
      <c r="B42394" s="1168"/>
    </row>
    <row r="42395" spans="2:2" s="221" customFormat="1" ht="12.75" x14ac:dyDescent="0.2">
      <c r="B42395" s="1168"/>
    </row>
    <row r="42396" spans="2:2" s="221" customFormat="1" ht="12.75" x14ac:dyDescent="0.2">
      <c r="B42396" s="1168"/>
    </row>
    <row r="42397" spans="2:2" s="221" customFormat="1" ht="12.75" x14ac:dyDescent="0.2">
      <c r="B42397" s="1168"/>
    </row>
    <row r="42398" spans="2:2" s="221" customFormat="1" ht="12.75" x14ac:dyDescent="0.2">
      <c r="B42398" s="1168"/>
    </row>
    <row r="42399" spans="2:2" s="221" customFormat="1" ht="12.75" x14ac:dyDescent="0.2">
      <c r="B42399" s="1168"/>
    </row>
    <row r="42400" spans="2:2" s="221" customFormat="1" ht="12.75" x14ac:dyDescent="0.2">
      <c r="B42400" s="1168"/>
    </row>
    <row r="42401" spans="2:2" s="221" customFormat="1" ht="12.75" x14ac:dyDescent="0.2">
      <c r="B42401" s="1168"/>
    </row>
    <row r="42402" spans="2:2" s="221" customFormat="1" ht="12.75" x14ac:dyDescent="0.2">
      <c r="B42402" s="1168"/>
    </row>
    <row r="42403" spans="2:2" s="221" customFormat="1" ht="12.75" x14ac:dyDescent="0.2">
      <c r="B42403" s="1168"/>
    </row>
    <row r="42404" spans="2:2" s="221" customFormat="1" ht="12.75" x14ac:dyDescent="0.2">
      <c r="B42404" s="1168"/>
    </row>
    <row r="42405" spans="2:2" s="221" customFormat="1" ht="12.75" x14ac:dyDescent="0.2">
      <c r="B42405" s="1168"/>
    </row>
    <row r="42406" spans="2:2" s="221" customFormat="1" ht="12.75" x14ac:dyDescent="0.2">
      <c r="B42406" s="1168"/>
    </row>
    <row r="42407" spans="2:2" s="221" customFormat="1" ht="12.75" x14ac:dyDescent="0.2">
      <c r="B42407" s="1168"/>
    </row>
    <row r="42408" spans="2:2" s="221" customFormat="1" ht="12.75" x14ac:dyDescent="0.2">
      <c r="B42408" s="1168"/>
    </row>
    <row r="42409" spans="2:2" s="221" customFormat="1" ht="12.75" x14ac:dyDescent="0.2">
      <c r="B42409" s="1168"/>
    </row>
    <row r="42410" spans="2:2" s="221" customFormat="1" ht="12.75" x14ac:dyDescent="0.2">
      <c r="B42410" s="1168"/>
    </row>
    <row r="42411" spans="2:2" s="221" customFormat="1" ht="12.75" x14ac:dyDescent="0.2">
      <c r="B42411" s="1168"/>
    </row>
    <row r="42412" spans="2:2" s="221" customFormat="1" ht="12.75" x14ac:dyDescent="0.2">
      <c r="B42412" s="1168"/>
    </row>
    <row r="42413" spans="2:2" s="221" customFormat="1" ht="12.75" x14ac:dyDescent="0.2">
      <c r="B42413" s="1168"/>
    </row>
    <row r="42414" spans="2:2" s="221" customFormat="1" ht="12.75" x14ac:dyDescent="0.2">
      <c r="B42414" s="1168"/>
    </row>
    <row r="42415" spans="2:2" s="221" customFormat="1" ht="12.75" x14ac:dyDescent="0.2">
      <c r="B42415" s="1168"/>
    </row>
    <row r="42416" spans="2:2" s="221" customFormat="1" ht="12.75" x14ac:dyDescent="0.2">
      <c r="B42416" s="1168"/>
    </row>
    <row r="42417" spans="2:2" s="221" customFormat="1" ht="12.75" x14ac:dyDescent="0.2">
      <c r="B42417" s="1168"/>
    </row>
    <row r="42418" spans="2:2" s="221" customFormat="1" ht="12.75" x14ac:dyDescent="0.2">
      <c r="B42418" s="1168"/>
    </row>
    <row r="42419" spans="2:2" s="221" customFormat="1" ht="12.75" x14ac:dyDescent="0.2">
      <c r="B42419" s="1168"/>
    </row>
    <row r="42420" spans="2:2" s="221" customFormat="1" ht="12.75" x14ac:dyDescent="0.2">
      <c r="B42420" s="1168"/>
    </row>
    <row r="42421" spans="2:2" s="221" customFormat="1" ht="12.75" x14ac:dyDescent="0.2">
      <c r="B42421" s="1168"/>
    </row>
    <row r="42422" spans="2:2" s="221" customFormat="1" ht="12.75" x14ac:dyDescent="0.2">
      <c r="B42422" s="1168"/>
    </row>
    <row r="42423" spans="2:2" s="221" customFormat="1" ht="12.75" x14ac:dyDescent="0.2">
      <c r="B42423" s="1168"/>
    </row>
    <row r="42424" spans="2:2" s="221" customFormat="1" ht="12.75" x14ac:dyDescent="0.2">
      <c r="B42424" s="1168"/>
    </row>
    <row r="42425" spans="2:2" s="221" customFormat="1" ht="12.75" x14ac:dyDescent="0.2">
      <c r="B42425" s="1168"/>
    </row>
    <row r="42426" spans="2:2" s="221" customFormat="1" ht="12.75" x14ac:dyDescent="0.2">
      <c r="B42426" s="1168"/>
    </row>
    <row r="42427" spans="2:2" s="221" customFormat="1" ht="12.75" x14ac:dyDescent="0.2">
      <c r="B42427" s="1168"/>
    </row>
    <row r="42428" spans="2:2" s="221" customFormat="1" ht="12.75" x14ac:dyDescent="0.2">
      <c r="B42428" s="1168"/>
    </row>
    <row r="42429" spans="2:2" s="221" customFormat="1" ht="12.75" x14ac:dyDescent="0.2">
      <c r="B42429" s="1168"/>
    </row>
    <row r="42430" spans="2:2" s="221" customFormat="1" ht="12.75" x14ac:dyDescent="0.2">
      <c r="B42430" s="1168"/>
    </row>
    <row r="42431" spans="2:2" s="221" customFormat="1" ht="12.75" x14ac:dyDescent="0.2">
      <c r="B42431" s="1168"/>
    </row>
    <row r="42432" spans="2:2" s="221" customFormat="1" ht="12.75" x14ac:dyDescent="0.2">
      <c r="B42432" s="1168"/>
    </row>
    <row r="42433" spans="2:2" s="221" customFormat="1" ht="12.75" x14ac:dyDescent="0.2">
      <c r="B42433" s="1168"/>
    </row>
    <row r="42434" spans="2:2" s="221" customFormat="1" ht="12.75" x14ac:dyDescent="0.2">
      <c r="B42434" s="1168"/>
    </row>
    <row r="42435" spans="2:2" s="221" customFormat="1" ht="12.75" x14ac:dyDescent="0.2">
      <c r="B42435" s="1168"/>
    </row>
    <row r="42436" spans="2:2" s="221" customFormat="1" ht="12.75" x14ac:dyDescent="0.2">
      <c r="B42436" s="1168"/>
    </row>
    <row r="42437" spans="2:2" s="221" customFormat="1" ht="12.75" x14ac:dyDescent="0.2">
      <c r="B42437" s="1168"/>
    </row>
    <row r="42438" spans="2:2" s="221" customFormat="1" ht="12.75" x14ac:dyDescent="0.2">
      <c r="B42438" s="1168"/>
    </row>
    <row r="42439" spans="2:2" s="221" customFormat="1" ht="12.75" x14ac:dyDescent="0.2">
      <c r="B42439" s="1168"/>
    </row>
    <row r="42440" spans="2:2" s="221" customFormat="1" ht="12.75" x14ac:dyDescent="0.2">
      <c r="B42440" s="1168"/>
    </row>
    <row r="42441" spans="2:2" s="221" customFormat="1" ht="12.75" x14ac:dyDescent="0.2">
      <c r="B42441" s="1168"/>
    </row>
    <row r="42442" spans="2:2" s="221" customFormat="1" ht="12.75" x14ac:dyDescent="0.2">
      <c r="B42442" s="1168"/>
    </row>
    <row r="42443" spans="2:2" s="221" customFormat="1" ht="12.75" x14ac:dyDescent="0.2">
      <c r="B42443" s="1168"/>
    </row>
    <row r="42444" spans="2:2" s="221" customFormat="1" ht="12.75" x14ac:dyDescent="0.2">
      <c r="B42444" s="1168"/>
    </row>
    <row r="42445" spans="2:2" s="221" customFormat="1" ht="12.75" x14ac:dyDescent="0.2">
      <c r="B42445" s="1168"/>
    </row>
    <row r="42446" spans="2:2" s="221" customFormat="1" ht="12.75" x14ac:dyDescent="0.2">
      <c r="B42446" s="1168"/>
    </row>
    <row r="42447" spans="2:2" s="221" customFormat="1" ht="12.75" x14ac:dyDescent="0.2">
      <c r="B42447" s="1168"/>
    </row>
    <row r="42448" spans="2:2" s="221" customFormat="1" ht="12.75" x14ac:dyDescent="0.2">
      <c r="B42448" s="1168"/>
    </row>
    <row r="42449" spans="2:2" s="221" customFormat="1" ht="12.75" x14ac:dyDescent="0.2">
      <c r="B42449" s="1168"/>
    </row>
    <row r="42450" spans="2:2" s="221" customFormat="1" ht="12.75" x14ac:dyDescent="0.2">
      <c r="B42450" s="1168"/>
    </row>
    <row r="42451" spans="2:2" s="221" customFormat="1" ht="12.75" x14ac:dyDescent="0.2">
      <c r="B42451" s="1168"/>
    </row>
    <row r="42452" spans="2:2" s="221" customFormat="1" ht="12.75" x14ac:dyDescent="0.2">
      <c r="B42452" s="1168"/>
    </row>
    <row r="42453" spans="2:2" s="221" customFormat="1" ht="12.75" x14ac:dyDescent="0.2">
      <c r="B42453" s="1168"/>
    </row>
    <row r="42454" spans="2:2" s="221" customFormat="1" ht="12.75" x14ac:dyDescent="0.2">
      <c r="B42454" s="1168"/>
    </row>
    <row r="42455" spans="2:2" s="221" customFormat="1" ht="12.75" x14ac:dyDescent="0.2">
      <c r="B42455" s="1168"/>
    </row>
    <row r="42456" spans="2:2" s="221" customFormat="1" ht="12.75" x14ac:dyDescent="0.2">
      <c r="B42456" s="1168"/>
    </row>
    <row r="42457" spans="2:2" s="221" customFormat="1" ht="12.75" x14ac:dyDescent="0.2">
      <c r="B42457" s="1168"/>
    </row>
    <row r="42458" spans="2:2" s="221" customFormat="1" ht="12.75" x14ac:dyDescent="0.2">
      <c r="B42458" s="1168"/>
    </row>
    <row r="42459" spans="2:2" s="221" customFormat="1" ht="12.75" x14ac:dyDescent="0.2">
      <c r="B42459" s="1168"/>
    </row>
    <row r="42460" spans="2:2" s="221" customFormat="1" ht="12.75" x14ac:dyDescent="0.2">
      <c r="B42460" s="1168"/>
    </row>
    <row r="42461" spans="2:2" s="221" customFormat="1" ht="12.75" x14ac:dyDescent="0.2">
      <c r="B42461" s="1168"/>
    </row>
    <row r="42462" spans="2:2" s="221" customFormat="1" ht="12.75" x14ac:dyDescent="0.2">
      <c r="B42462" s="1168"/>
    </row>
    <row r="42463" spans="2:2" s="221" customFormat="1" ht="12.75" x14ac:dyDescent="0.2">
      <c r="B42463" s="1168"/>
    </row>
    <row r="42464" spans="2:2" s="221" customFormat="1" ht="12.75" x14ac:dyDescent="0.2">
      <c r="B42464" s="1168"/>
    </row>
    <row r="42465" spans="2:2" s="221" customFormat="1" ht="12.75" x14ac:dyDescent="0.2">
      <c r="B42465" s="1168"/>
    </row>
    <row r="42466" spans="2:2" s="221" customFormat="1" ht="12.75" x14ac:dyDescent="0.2">
      <c r="B42466" s="1168"/>
    </row>
    <row r="42467" spans="2:2" s="221" customFormat="1" ht="12.75" x14ac:dyDescent="0.2">
      <c r="B42467" s="1168"/>
    </row>
    <row r="42468" spans="2:2" s="221" customFormat="1" ht="12.75" x14ac:dyDescent="0.2">
      <c r="B42468" s="1168"/>
    </row>
    <row r="42469" spans="2:2" s="221" customFormat="1" ht="12.75" x14ac:dyDescent="0.2">
      <c r="B42469" s="1168"/>
    </row>
    <row r="42470" spans="2:2" s="221" customFormat="1" ht="12.75" x14ac:dyDescent="0.2">
      <c r="B42470" s="1168"/>
    </row>
    <row r="42471" spans="2:2" s="221" customFormat="1" ht="12.75" x14ac:dyDescent="0.2">
      <c r="B42471" s="1168"/>
    </row>
    <row r="42472" spans="2:2" s="221" customFormat="1" ht="12.75" x14ac:dyDescent="0.2">
      <c r="B42472" s="1168"/>
    </row>
    <row r="42473" spans="2:2" s="221" customFormat="1" ht="12.75" x14ac:dyDescent="0.2">
      <c r="B42473" s="1168"/>
    </row>
    <row r="42474" spans="2:2" s="221" customFormat="1" ht="12.75" x14ac:dyDescent="0.2">
      <c r="B42474" s="1168"/>
    </row>
    <row r="42475" spans="2:2" s="221" customFormat="1" ht="12.75" x14ac:dyDescent="0.2">
      <c r="B42475" s="1168"/>
    </row>
    <row r="42476" spans="2:2" s="221" customFormat="1" ht="12.75" x14ac:dyDescent="0.2">
      <c r="B42476" s="1168"/>
    </row>
    <row r="42477" spans="2:2" s="221" customFormat="1" ht="12.75" x14ac:dyDescent="0.2">
      <c r="B42477" s="1168"/>
    </row>
    <row r="42478" spans="2:2" s="221" customFormat="1" ht="12.75" x14ac:dyDescent="0.2">
      <c r="B42478" s="1168"/>
    </row>
    <row r="42479" spans="2:2" s="221" customFormat="1" ht="12.75" x14ac:dyDescent="0.2">
      <c r="B42479" s="1168"/>
    </row>
    <row r="42480" spans="2:2" s="221" customFormat="1" ht="12.75" x14ac:dyDescent="0.2">
      <c r="B42480" s="1168"/>
    </row>
    <row r="42481" spans="2:2" s="221" customFormat="1" ht="12.75" x14ac:dyDescent="0.2">
      <c r="B42481" s="1168"/>
    </row>
    <row r="42482" spans="2:2" s="221" customFormat="1" ht="12.75" x14ac:dyDescent="0.2">
      <c r="B42482" s="1168"/>
    </row>
    <row r="42483" spans="2:2" s="221" customFormat="1" ht="12.75" x14ac:dyDescent="0.2">
      <c r="B42483" s="1168"/>
    </row>
    <row r="42484" spans="2:2" s="221" customFormat="1" ht="12.75" x14ac:dyDescent="0.2">
      <c r="B42484" s="1168"/>
    </row>
    <row r="42485" spans="2:2" s="221" customFormat="1" ht="12.75" x14ac:dyDescent="0.2">
      <c r="B42485" s="1168"/>
    </row>
    <row r="42486" spans="2:2" s="221" customFormat="1" ht="12.75" x14ac:dyDescent="0.2">
      <c r="B42486" s="1168"/>
    </row>
    <row r="42487" spans="2:2" s="221" customFormat="1" ht="12.75" x14ac:dyDescent="0.2">
      <c r="B42487" s="1168"/>
    </row>
    <row r="42488" spans="2:2" s="221" customFormat="1" ht="12.75" x14ac:dyDescent="0.2">
      <c r="B42488" s="1168"/>
    </row>
    <row r="42489" spans="2:2" s="221" customFormat="1" ht="12.75" x14ac:dyDescent="0.2">
      <c r="B42489" s="1168"/>
    </row>
    <row r="42490" spans="2:2" s="221" customFormat="1" ht="12.75" x14ac:dyDescent="0.2">
      <c r="B42490" s="1168"/>
    </row>
    <row r="42491" spans="2:2" s="221" customFormat="1" ht="12.75" x14ac:dyDescent="0.2">
      <c r="B42491" s="1168"/>
    </row>
    <row r="42492" spans="2:2" s="221" customFormat="1" ht="12.75" x14ac:dyDescent="0.2">
      <c r="B42492" s="1168"/>
    </row>
    <row r="42493" spans="2:2" s="221" customFormat="1" ht="12.75" x14ac:dyDescent="0.2">
      <c r="B42493" s="1168"/>
    </row>
    <row r="42494" spans="2:2" s="221" customFormat="1" ht="12.75" x14ac:dyDescent="0.2">
      <c r="B42494" s="1168"/>
    </row>
    <row r="42495" spans="2:2" s="221" customFormat="1" ht="12.75" x14ac:dyDescent="0.2">
      <c r="B42495" s="1168"/>
    </row>
    <row r="42496" spans="2:2" s="221" customFormat="1" ht="12.75" x14ac:dyDescent="0.2">
      <c r="B42496" s="1168"/>
    </row>
    <row r="42497" spans="2:2" s="221" customFormat="1" ht="12.75" x14ac:dyDescent="0.2">
      <c r="B42497" s="1168"/>
    </row>
    <row r="42498" spans="2:2" s="221" customFormat="1" ht="12.75" x14ac:dyDescent="0.2">
      <c r="B42498" s="1168"/>
    </row>
    <row r="42499" spans="2:2" s="221" customFormat="1" ht="12.75" x14ac:dyDescent="0.2">
      <c r="B42499" s="1168"/>
    </row>
    <row r="42500" spans="2:2" s="221" customFormat="1" ht="12.75" x14ac:dyDescent="0.2">
      <c r="B42500" s="1168"/>
    </row>
    <row r="42501" spans="2:2" s="221" customFormat="1" ht="12.75" x14ac:dyDescent="0.2">
      <c r="B42501" s="1168"/>
    </row>
    <row r="42502" spans="2:2" s="221" customFormat="1" ht="12.75" x14ac:dyDescent="0.2">
      <c r="B42502" s="1168"/>
    </row>
    <row r="42503" spans="2:2" s="221" customFormat="1" ht="12.75" x14ac:dyDescent="0.2">
      <c r="B42503" s="1168"/>
    </row>
    <row r="42504" spans="2:2" s="221" customFormat="1" ht="12.75" x14ac:dyDescent="0.2">
      <c r="B42504" s="1168"/>
    </row>
    <row r="42505" spans="2:2" s="221" customFormat="1" ht="12.75" x14ac:dyDescent="0.2">
      <c r="B42505" s="1168"/>
    </row>
    <row r="42506" spans="2:2" s="221" customFormat="1" ht="12.75" x14ac:dyDescent="0.2">
      <c r="B42506" s="1168"/>
    </row>
    <row r="42507" spans="2:2" s="221" customFormat="1" ht="12.75" x14ac:dyDescent="0.2">
      <c r="B42507" s="1168"/>
    </row>
    <row r="42508" spans="2:2" s="221" customFormat="1" ht="12.75" x14ac:dyDescent="0.2">
      <c r="B42508" s="1168"/>
    </row>
    <row r="42509" spans="2:2" s="221" customFormat="1" ht="12.75" x14ac:dyDescent="0.2">
      <c r="B42509" s="1168"/>
    </row>
    <row r="42510" spans="2:2" s="221" customFormat="1" ht="12.75" x14ac:dyDescent="0.2">
      <c r="B42510" s="1168"/>
    </row>
    <row r="42511" spans="2:2" s="221" customFormat="1" ht="12.75" x14ac:dyDescent="0.2">
      <c r="B42511" s="1168"/>
    </row>
    <row r="42512" spans="2:2" s="221" customFormat="1" ht="12.75" x14ac:dyDescent="0.2">
      <c r="B42512" s="1168"/>
    </row>
    <row r="42513" spans="2:2" s="221" customFormat="1" ht="12.75" x14ac:dyDescent="0.2">
      <c r="B42513" s="1168"/>
    </row>
    <row r="42514" spans="2:2" s="221" customFormat="1" ht="12.75" x14ac:dyDescent="0.2">
      <c r="B42514" s="1168"/>
    </row>
    <row r="42515" spans="2:2" s="221" customFormat="1" ht="12.75" x14ac:dyDescent="0.2">
      <c r="B42515" s="1168"/>
    </row>
    <row r="42516" spans="2:2" s="221" customFormat="1" ht="12.75" x14ac:dyDescent="0.2">
      <c r="B42516" s="1168"/>
    </row>
    <row r="42517" spans="2:2" s="221" customFormat="1" ht="12.75" x14ac:dyDescent="0.2">
      <c r="B42517" s="1168"/>
    </row>
    <row r="42518" spans="2:2" s="221" customFormat="1" ht="12.75" x14ac:dyDescent="0.2">
      <c r="B42518" s="1168"/>
    </row>
    <row r="42519" spans="2:2" s="221" customFormat="1" ht="12.75" x14ac:dyDescent="0.2">
      <c r="B42519" s="1168"/>
    </row>
    <row r="42520" spans="2:2" s="221" customFormat="1" ht="12.75" x14ac:dyDescent="0.2">
      <c r="B42520" s="1168"/>
    </row>
    <row r="42521" spans="2:2" s="221" customFormat="1" ht="12.75" x14ac:dyDescent="0.2">
      <c r="B42521" s="1168"/>
    </row>
    <row r="42522" spans="2:2" s="221" customFormat="1" ht="12.75" x14ac:dyDescent="0.2">
      <c r="B42522" s="1168"/>
    </row>
    <row r="42523" spans="2:2" s="221" customFormat="1" ht="12.75" x14ac:dyDescent="0.2">
      <c r="B42523" s="1168"/>
    </row>
    <row r="42524" spans="2:2" s="221" customFormat="1" ht="12.75" x14ac:dyDescent="0.2">
      <c r="B42524" s="1168"/>
    </row>
    <row r="42525" spans="2:2" s="221" customFormat="1" ht="12.75" x14ac:dyDescent="0.2">
      <c r="B42525" s="1168"/>
    </row>
    <row r="42526" spans="2:2" s="221" customFormat="1" ht="12.75" x14ac:dyDescent="0.2">
      <c r="B42526" s="1168"/>
    </row>
    <row r="42527" spans="2:2" s="221" customFormat="1" ht="12.75" x14ac:dyDescent="0.2">
      <c r="B42527" s="1168"/>
    </row>
    <row r="42528" spans="2:2" s="221" customFormat="1" ht="12.75" x14ac:dyDescent="0.2">
      <c r="B42528" s="1168"/>
    </row>
    <row r="42529" spans="2:2" s="221" customFormat="1" ht="12.75" x14ac:dyDescent="0.2">
      <c r="B42529" s="1168"/>
    </row>
    <row r="42530" spans="2:2" s="221" customFormat="1" ht="12.75" x14ac:dyDescent="0.2">
      <c r="B42530" s="1168"/>
    </row>
    <row r="42531" spans="2:2" s="221" customFormat="1" ht="12.75" x14ac:dyDescent="0.2">
      <c r="B42531" s="1168"/>
    </row>
    <row r="42532" spans="2:2" s="221" customFormat="1" ht="12.75" x14ac:dyDescent="0.2">
      <c r="B42532" s="1168"/>
    </row>
    <row r="42533" spans="2:2" s="221" customFormat="1" ht="12.75" x14ac:dyDescent="0.2">
      <c r="B42533" s="1168"/>
    </row>
    <row r="42534" spans="2:2" s="221" customFormat="1" ht="12.75" x14ac:dyDescent="0.2">
      <c r="B42534" s="1168"/>
    </row>
    <row r="42535" spans="2:2" s="221" customFormat="1" ht="12.75" x14ac:dyDescent="0.2">
      <c r="B42535" s="1168"/>
    </row>
    <row r="42536" spans="2:2" s="221" customFormat="1" ht="12.75" x14ac:dyDescent="0.2">
      <c r="B42536" s="1168"/>
    </row>
    <row r="42537" spans="2:2" s="221" customFormat="1" ht="12.75" x14ac:dyDescent="0.2">
      <c r="B42537" s="1168"/>
    </row>
    <row r="42538" spans="2:2" s="221" customFormat="1" ht="12.75" x14ac:dyDescent="0.2">
      <c r="B42538" s="1168"/>
    </row>
    <row r="42539" spans="2:2" s="221" customFormat="1" ht="12.75" x14ac:dyDescent="0.2">
      <c r="B42539" s="1168"/>
    </row>
    <row r="42540" spans="2:2" s="221" customFormat="1" ht="12.75" x14ac:dyDescent="0.2">
      <c r="B42540" s="1168"/>
    </row>
    <row r="42541" spans="2:2" s="221" customFormat="1" ht="12.75" x14ac:dyDescent="0.2">
      <c r="B42541" s="1168"/>
    </row>
    <row r="42542" spans="2:2" s="221" customFormat="1" ht="12.75" x14ac:dyDescent="0.2">
      <c r="B42542" s="1168"/>
    </row>
    <row r="42543" spans="2:2" s="221" customFormat="1" ht="12.75" x14ac:dyDescent="0.2">
      <c r="B42543" s="1168"/>
    </row>
    <row r="42544" spans="2:2" s="221" customFormat="1" ht="12.75" x14ac:dyDescent="0.2">
      <c r="B42544" s="1168"/>
    </row>
    <row r="42545" spans="2:2" s="221" customFormat="1" ht="12.75" x14ac:dyDescent="0.2">
      <c r="B42545" s="1168"/>
    </row>
    <row r="42546" spans="2:2" s="221" customFormat="1" ht="12.75" x14ac:dyDescent="0.2">
      <c r="B42546" s="1168"/>
    </row>
    <row r="42547" spans="2:2" s="221" customFormat="1" ht="12.75" x14ac:dyDescent="0.2">
      <c r="B42547" s="1168"/>
    </row>
    <row r="42548" spans="2:2" s="221" customFormat="1" ht="12.75" x14ac:dyDescent="0.2">
      <c r="B42548" s="1168"/>
    </row>
    <row r="42549" spans="2:2" s="221" customFormat="1" ht="12.75" x14ac:dyDescent="0.2">
      <c r="B42549" s="1168"/>
    </row>
    <row r="42550" spans="2:2" s="221" customFormat="1" ht="12.75" x14ac:dyDescent="0.2">
      <c r="B42550" s="1168"/>
    </row>
    <row r="42551" spans="2:2" s="221" customFormat="1" ht="12.75" x14ac:dyDescent="0.2">
      <c r="B42551" s="1168"/>
    </row>
    <row r="42552" spans="2:2" s="221" customFormat="1" ht="12.75" x14ac:dyDescent="0.2">
      <c r="B42552" s="1168"/>
    </row>
    <row r="42553" spans="2:2" s="221" customFormat="1" ht="12.75" x14ac:dyDescent="0.2">
      <c r="B42553" s="1168"/>
    </row>
    <row r="42554" spans="2:2" s="221" customFormat="1" ht="12.75" x14ac:dyDescent="0.2">
      <c r="B42554" s="1168"/>
    </row>
    <row r="42555" spans="2:2" s="221" customFormat="1" ht="12.75" x14ac:dyDescent="0.2">
      <c r="B42555" s="1168"/>
    </row>
    <row r="42556" spans="2:2" s="221" customFormat="1" ht="12.75" x14ac:dyDescent="0.2">
      <c r="B42556" s="1168"/>
    </row>
    <row r="42557" spans="2:2" s="221" customFormat="1" ht="12.75" x14ac:dyDescent="0.2">
      <c r="B42557" s="1168"/>
    </row>
    <row r="42558" spans="2:2" s="221" customFormat="1" ht="12.75" x14ac:dyDescent="0.2">
      <c r="B42558" s="1168"/>
    </row>
    <row r="42559" spans="2:2" s="221" customFormat="1" ht="12.75" x14ac:dyDescent="0.2">
      <c r="B42559" s="1168"/>
    </row>
    <row r="42560" spans="2:2" s="221" customFormat="1" ht="12.75" x14ac:dyDescent="0.2">
      <c r="B42560" s="1168"/>
    </row>
    <row r="42561" spans="2:2" s="221" customFormat="1" ht="12.75" x14ac:dyDescent="0.2">
      <c r="B42561" s="1168"/>
    </row>
    <row r="42562" spans="2:2" s="221" customFormat="1" ht="12.75" x14ac:dyDescent="0.2">
      <c r="B42562" s="1168"/>
    </row>
    <row r="42563" spans="2:2" s="221" customFormat="1" ht="12.75" x14ac:dyDescent="0.2">
      <c r="B42563" s="1168"/>
    </row>
    <row r="42564" spans="2:2" s="221" customFormat="1" ht="12.75" x14ac:dyDescent="0.2">
      <c r="B42564" s="1168"/>
    </row>
    <row r="42565" spans="2:2" s="221" customFormat="1" ht="12.75" x14ac:dyDescent="0.2">
      <c r="B42565" s="1168"/>
    </row>
    <row r="42566" spans="2:2" s="221" customFormat="1" ht="12.75" x14ac:dyDescent="0.2">
      <c r="B42566" s="1168"/>
    </row>
    <row r="42567" spans="2:2" s="221" customFormat="1" ht="12.75" x14ac:dyDescent="0.2">
      <c r="B42567" s="1168"/>
    </row>
    <row r="42568" spans="2:2" s="221" customFormat="1" ht="12.75" x14ac:dyDescent="0.2">
      <c r="B42568" s="1168"/>
    </row>
    <row r="42569" spans="2:2" s="221" customFormat="1" ht="12.75" x14ac:dyDescent="0.2">
      <c r="B42569" s="1168"/>
    </row>
    <row r="42570" spans="2:2" s="221" customFormat="1" ht="12.75" x14ac:dyDescent="0.2">
      <c r="B42570" s="1168"/>
    </row>
    <row r="42571" spans="2:2" s="221" customFormat="1" ht="12.75" x14ac:dyDescent="0.2">
      <c r="B42571" s="1168"/>
    </row>
    <row r="42572" spans="2:2" s="221" customFormat="1" ht="12.75" x14ac:dyDescent="0.2">
      <c r="B42572" s="1168"/>
    </row>
    <row r="42573" spans="2:2" s="221" customFormat="1" ht="12.75" x14ac:dyDescent="0.2">
      <c r="B42573" s="1168"/>
    </row>
    <row r="42574" spans="2:2" s="221" customFormat="1" ht="12.75" x14ac:dyDescent="0.2">
      <c r="B42574" s="1168"/>
    </row>
    <row r="42575" spans="2:2" s="221" customFormat="1" ht="12.75" x14ac:dyDescent="0.2">
      <c r="B42575" s="1168"/>
    </row>
    <row r="42576" spans="2:2" s="221" customFormat="1" ht="12.75" x14ac:dyDescent="0.2">
      <c r="B42576" s="1168"/>
    </row>
    <row r="42577" spans="2:2" s="221" customFormat="1" ht="12.75" x14ac:dyDescent="0.2">
      <c r="B42577" s="1168"/>
    </row>
    <row r="42578" spans="2:2" s="221" customFormat="1" ht="12.75" x14ac:dyDescent="0.2">
      <c r="B42578" s="1168"/>
    </row>
    <row r="42579" spans="2:2" s="221" customFormat="1" ht="12.75" x14ac:dyDescent="0.2">
      <c r="B42579" s="1168"/>
    </row>
    <row r="42580" spans="2:2" s="221" customFormat="1" ht="12.75" x14ac:dyDescent="0.2">
      <c r="B42580" s="1168"/>
    </row>
    <row r="42581" spans="2:2" s="221" customFormat="1" ht="12.75" x14ac:dyDescent="0.2">
      <c r="B42581" s="1168"/>
    </row>
    <row r="42582" spans="2:2" s="221" customFormat="1" ht="12.75" x14ac:dyDescent="0.2">
      <c r="B42582" s="1168"/>
    </row>
    <row r="42583" spans="2:2" s="221" customFormat="1" ht="12.75" x14ac:dyDescent="0.2">
      <c r="B42583" s="1168"/>
    </row>
    <row r="42584" spans="2:2" s="221" customFormat="1" ht="12.75" x14ac:dyDescent="0.2">
      <c r="B42584" s="1168"/>
    </row>
    <row r="42585" spans="2:2" s="221" customFormat="1" ht="12.75" x14ac:dyDescent="0.2">
      <c r="B42585" s="1168"/>
    </row>
    <row r="42586" spans="2:2" s="221" customFormat="1" ht="12.75" x14ac:dyDescent="0.2">
      <c r="B42586" s="1168"/>
    </row>
    <row r="42587" spans="2:2" s="221" customFormat="1" ht="12.75" x14ac:dyDescent="0.2">
      <c r="B42587" s="1168"/>
    </row>
    <row r="42588" spans="2:2" s="221" customFormat="1" ht="12.75" x14ac:dyDescent="0.2">
      <c r="B42588" s="1168"/>
    </row>
    <row r="42589" spans="2:2" s="221" customFormat="1" ht="12.75" x14ac:dyDescent="0.2">
      <c r="B42589" s="1168"/>
    </row>
    <row r="42590" spans="2:2" s="221" customFormat="1" ht="12.75" x14ac:dyDescent="0.2">
      <c r="B42590" s="1168"/>
    </row>
    <row r="42591" spans="2:2" s="221" customFormat="1" ht="12.75" x14ac:dyDescent="0.2">
      <c r="B42591" s="1168"/>
    </row>
    <row r="42592" spans="2:2" s="221" customFormat="1" ht="12.75" x14ac:dyDescent="0.2">
      <c r="B42592" s="1168"/>
    </row>
    <row r="42593" spans="2:2" s="221" customFormat="1" ht="12.75" x14ac:dyDescent="0.2">
      <c r="B42593" s="1168"/>
    </row>
    <row r="42594" spans="2:2" s="221" customFormat="1" ht="12.75" x14ac:dyDescent="0.2">
      <c r="B42594" s="1168"/>
    </row>
    <row r="42595" spans="2:2" s="221" customFormat="1" ht="12.75" x14ac:dyDescent="0.2">
      <c r="B42595" s="1168"/>
    </row>
    <row r="42596" spans="2:2" s="221" customFormat="1" ht="12.75" x14ac:dyDescent="0.2">
      <c r="B42596" s="1168"/>
    </row>
    <row r="42597" spans="2:2" s="221" customFormat="1" ht="12.75" x14ac:dyDescent="0.2">
      <c r="B42597" s="1168"/>
    </row>
    <row r="42598" spans="2:2" s="221" customFormat="1" ht="12.75" x14ac:dyDescent="0.2">
      <c r="B42598" s="1168"/>
    </row>
    <row r="42599" spans="2:2" s="221" customFormat="1" ht="12.75" x14ac:dyDescent="0.2">
      <c r="B42599" s="1168"/>
    </row>
    <row r="42600" spans="2:2" s="221" customFormat="1" ht="12.75" x14ac:dyDescent="0.2">
      <c r="B42600" s="1168"/>
    </row>
    <row r="42601" spans="2:2" s="221" customFormat="1" ht="12.75" x14ac:dyDescent="0.2">
      <c r="B42601" s="1168"/>
    </row>
    <row r="42602" spans="2:2" s="221" customFormat="1" ht="12.75" x14ac:dyDescent="0.2">
      <c r="B42602" s="1168"/>
    </row>
    <row r="42603" spans="2:2" s="221" customFormat="1" ht="12.75" x14ac:dyDescent="0.2">
      <c r="B42603" s="1168"/>
    </row>
    <row r="42604" spans="2:2" s="221" customFormat="1" ht="12.75" x14ac:dyDescent="0.2">
      <c r="B42604" s="1168"/>
    </row>
    <row r="42605" spans="2:2" s="221" customFormat="1" ht="12.75" x14ac:dyDescent="0.2">
      <c r="B42605" s="1168"/>
    </row>
    <row r="42606" spans="2:2" s="221" customFormat="1" ht="12.75" x14ac:dyDescent="0.2">
      <c r="B42606" s="1168"/>
    </row>
    <row r="42607" spans="2:2" s="221" customFormat="1" ht="12.75" x14ac:dyDescent="0.2">
      <c r="B42607" s="1168"/>
    </row>
    <row r="42608" spans="2:2" s="221" customFormat="1" ht="12.75" x14ac:dyDescent="0.2">
      <c r="B42608" s="1168"/>
    </row>
    <row r="42609" spans="2:2" s="221" customFormat="1" ht="12.75" x14ac:dyDescent="0.2">
      <c r="B42609" s="1168"/>
    </row>
    <row r="42610" spans="2:2" s="221" customFormat="1" ht="12.75" x14ac:dyDescent="0.2">
      <c r="B42610" s="1168"/>
    </row>
    <row r="42611" spans="2:2" s="221" customFormat="1" ht="12.75" x14ac:dyDescent="0.2">
      <c r="B42611" s="1168"/>
    </row>
    <row r="42612" spans="2:2" s="221" customFormat="1" ht="12.75" x14ac:dyDescent="0.2">
      <c r="B42612" s="1168"/>
    </row>
    <row r="42613" spans="2:2" s="221" customFormat="1" ht="12.75" x14ac:dyDescent="0.2">
      <c r="B42613" s="1168"/>
    </row>
    <row r="42614" spans="2:2" s="221" customFormat="1" ht="12.75" x14ac:dyDescent="0.2">
      <c r="B42614" s="1168"/>
    </row>
    <row r="42615" spans="2:2" s="221" customFormat="1" ht="12.75" x14ac:dyDescent="0.2">
      <c r="B42615" s="1168"/>
    </row>
    <row r="42616" spans="2:2" s="221" customFormat="1" ht="12.75" x14ac:dyDescent="0.2">
      <c r="B42616" s="1168"/>
    </row>
    <row r="42617" spans="2:2" s="221" customFormat="1" ht="12.75" x14ac:dyDescent="0.2">
      <c r="B42617" s="1168"/>
    </row>
    <row r="42618" spans="2:2" s="221" customFormat="1" ht="12.75" x14ac:dyDescent="0.2">
      <c r="B42618" s="1168"/>
    </row>
    <row r="42619" spans="2:2" s="221" customFormat="1" ht="12.75" x14ac:dyDescent="0.2">
      <c r="B42619" s="1168"/>
    </row>
    <row r="42620" spans="2:2" s="221" customFormat="1" ht="12.75" x14ac:dyDescent="0.2">
      <c r="B42620" s="1168"/>
    </row>
    <row r="42621" spans="2:2" s="221" customFormat="1" ht="12.75" x14ac:dyDescent="0.2">
      <c r="B42621" s="1168"/>
    </row>
    <row r="42622" spans="2:2" s="221" customFormat="1" ht="12.75" x14ac:dyDescent="0.2">
      <c r="B42622" s="1168"/>
    </row>
    <row r="42623" spans="2:2" s="221" customFormat="1" ht="12.75" x14ac:dyDescent="0.2">
      <c r="B42623" s="1168"/>
    </row>
    <row r="42624" spans="2:2" s="221" customFormat="1" ht="12.75" x14ac:dyDescent="0.2">
      <c r="B42624" s="1168"/>
    </row>
    <row r="42625" spans="2:2" s="221" customFormat="1" ht="12.75" x14ac:dyDescent="0.2">
      <c r="B42625" s="1168"/>
    </row>
    <row r="42626" spans="2:2" s="221" customFormat="1" ht="12.75" x14ac:dyDescent="0.2">
      <c r="B42626" s="1168"/>
    </row>
    <row r="42627" spans="2:2" s="221" customFormat="1" ht="12.75" x14ac:dyDescent="0.2">
      <c r="B42627" s="1168"/>
    </row>
    <row r="42628" spans="2:2" s="221" customFormat="1" ht="12.75" x14ac:dyDescent="0.2">
      <c r="B42628" s="1168"/>
    </row>
    <row r="42629" spans="2:2" s="221" customFormat="1" ht="12.75" x14ac:dyDescent="0.2">
      <c r="B42629" s="1168"/>
    </row>
    <row r="42630" spans="2:2" s="221" customFormat="1" ht="12.75" x14ac:dyDescent="0.2">
      <c r="B42630" s="1168"/>
    </row>
    <row r="42631" spans="2:2" s="221" customFormat="1" ht="12.75" x14ac:dyDescent="0.2">
      <c r="B42631" s="1168"/>
    </row>
    <row r="42632" spans="2:2" s="221" customFormat="1" ht="12.75" x14ac:dyDescent="0.2">
      <c r="B42632" s="1168"/>
    </row>
    <row r="42633" spans="2:2" s="221" customFormat="1" ht="12.75" x14ac:dyDescent="0.2">
      <c r="B42633" s="1168"/>
    </row>
    <row r="42634" spans="2:2" s="221" customFormat="1" ht="12.75" x14ac:dyDescent="0.2">
      <c r="B42634" s="1168"/>
    </row>
    <row r="42635" spans="2:2" s="221" customFormat="1" ht="12.75" x14ac:dyDescent="0.2">
      <c r="B42635" s="1168"/>
    </row>
    <row r="42636" spans="2:2" s="221" customFormat="1" ht="12.75" x14ac:dyDescent="0.2">
      <c r="B42636" s="1168"/>
    </row>
    <row r="42637" spans="2:2" s="221" customFormat="1" ht="12.75" x14ac:dyDescent="0.2">
      <c r="B42637" s="1168"/>
    </row>
    <row r="42638" spans="2:2" s="221" customFormat="1" ht="12.75" x14ac:dyDescent="0.2">
      <c r="B42638" s="1168"/>
    </row>
    <row r="42639" spans="2:2" s="221" customFormat="1" ht="12.75" x14ac:dyDescent="0.2">
      <c r="B42639" s="1168"/>
    </row>
    <row r="42640" spans="2:2" s="221" customFormat="1" ht="12.75" x14ac:dyDescent="0.2">
      <c r="B42640" s="1168"/>
    </row>
    <row r="42641" spans="2:2" s="221" customFormat="1" ht="12.75" x14ac:dyDescent="0.2">
      <c r="B42641" s="1168"/>
    </row>
    <row r="42642" spans="2:2" s="221" customFormat="1" ht="12.75" x14ac:dyDescent="0.2">
      <c r="B42642" s="1168"/>
    </row>
    <row r="42643" spans="2:2" s="221" customFormat="1" ht="12.75" x14ac:dyDescent="0.2">
      <c r="B42643" s="1168"/>
    </row>
    <row r="42644" spans="2:2" s="221" customFormat="1" ht="12.75" x14ac:dyDescent="0.2">
      <c r="B42644" s="1168"/>
    </row>
    <row r="42645" spans="2:2" s="221" customFormat="1" ht="12.75" x14ac:dyDescent="0.2">
      <c r="B42645" s="1168"/>
    </row>
    <row r="42646" spans="2:2" s="221" customFormat="1" ht="12.75" x14ac:dyDescent="0.2">
      <c r="B42646" s="1168"/>
    </row>
    <row r="42647" spans="2:2" s="221" customFormat="1" ht="12.75" x14ac:dyDescent="0.2">
      <c r="B42647" s="1168"/>
    </row>
    <row r="42648" spans="2:2" s="221" customFormat="1" ht="12.75" x14ac:dyDescent="0.2">
      <c r="B42648" s="1168"/>
    </row>
    <row r="42649" spans="2:2" s="221" customFormat="1" ht="12.75" x14ac:dyDescent="0.2">
      <c r="B42649" s="1168"/>
    </row>
    <row r="42650" spans="2:2" s="221" customFormat="1" ht="12.75" x14ac:dyDescent="0.2">
      <c r="B42650" s="1168"/>
    </row>
    <row r="42651" spans="2:2" s="221" customFormat="1" ht="12.75" x14ac:dyDescent="0.2">
      <c r="B42651" s="1168"/>
    </row>
    <row r="42652" spans="2:2" s="221" customFormat="1" ht="12.75" x14ac:dyDescent="0.2">
      <c r="B42652" s="1168"/>
    </row>
    <row r="42653" spans="2:2" s="221" customFormat="1" ht="12.75" x14ac:dyDescent="0.2">
      <c r="B42653" s="1168"/>
    </row>
    <row r="42654" spans="2:2" s="221" customFormat="1" ht="12.75" x14ac:dyDescent="0.2">
      <c r="B42654" s="1168"/>
    </row>
    <row r="42655" spans="2:2" s="221" customFormat="1" ht="12.75" x14ac:dyDescent="0.2">
      <c r="B42655" s="1168"/>
    </row>
    <row r="42656" spans="2:2" s="221" customFormat="1" ht="12.75" x14ac:dyDescent="0.2">
      <c r="B42656" s="1168"/>
    </row>
    <row r="42657" spans="2:2" s="221" customFormat="1" ht="12.75" x14ac:dyDescent="0.2">
      <c r="B42657" s="1168"/>
    </row>
    <row r="42658" spans="2:2" s="221" customFormat="1" ht="12.75" x14ac:dyDescent="0.2">
      <c r="B42658" s="1168"/>
    </row>
    <row r="42659" spans="2:2" s="221" customFormat="1" ht="12.75" x14ac:dyDescent="0.2">
      <c r="B42659" s="1168"/>
    </row>
    <row r="42660" spans="2:2" s="221" customFormat="1" ht="12.75" x14ac:dyDescent="0.2">
      <c r="B42660" s="1168"/>
    </row>
    <row r="42661" spans="2:2" s="221" customFormat="1" ht="12.75" x14ac:dyDescent="0.2">
      <c r="B42661" s="1168"/>
    </row>
    <row r="42662" spans="2:2" s="221" customFormat="1" ht="12.75" x14ac:dyDescent="0.2">
      <c r="B42662" s="1168"/>
    </row>
    <row r="42663" spans="2:2" s="221" customFormat="1" ht="12.75" x14ac:dyDescent="0.2">
      <c r="B42663" s="1168"/>
    </row>
    <row r="42664" spans="2:2" s="221" customFormat="1" ht="12.75" x14ac:dyDescent="0.2">
      <c r="B42664" s="1168"/>
    </row>
    <row r="42665" spans="2:2" s="221" customFormat="1" ht="12.75" x14ac:dyDescent="0.2">
      <c r="B42665" s="1168"/>
    </row>
    <row r="42666" spans="2:2" s="221" customFormat="1" ht="12.75" x14ac:dyDescent="0.2">
      <c r="B42666" s="1168"/>
    </row>
    <row r="42667" spans="2:2" s="221" customFormat="1" ht="12.75" x14ac:dyDescent="0.2">
      <c r="B42667" s="1168"/>
    </row>
    <row r="42668" spans="2:2" s="221" customFormat="1" ht="12.75" x14ac:dyDescent="0.2">
      <c r="B42668" s="1168"/>
    </row>
    <row r="42669" spans="2:2" s="221" customFormat="1" ht="12.75" x14ac:dyDescent="0.2">
      <c r="B42669" s="1168"/>
    </row>
    <row r="42670" spans="2:2" s="221" customFormat="1" ht="12.75" x14ac:dyDescent="0.2">
      <c r="B42670" s="1168"/>
    </row>
    <row r="42671" spans="2:2" s="221" customFormat="1" ht="12.75" x14ac:dyDescent="0.2">
      <c r="B42671" s="1168"/>
    </row>
    <row r="42672" spans="2:2" s="221" customFormat="1" ht="12.75" x14ac:dyDescent="0.2">
      <c r="B42672" s="1168"/>
    </row>
    <row r="42673" spans="2:2" s="221" customFormat="1" ht="12.75" x14ac:dyDescent="0.2">
      <c r="B42673" s="1168"/>
    </row>
    <row r="42674" spans="2:2" s="221" customFormat="1" ht="12.75" x14ac:dyDescent="0.2">
      <c r="B42674" s="1168"/>
    </row>
    <row r="42675" spans="2:2" s="221" customFormat="1" ht="12.75" x14ac:dyDescent="0.2">
      <c r="B42675" s="1168"/>
    </row>
    <row r="42676" spans="2:2" s="221" customFormat="1" ht="12.75" x14ac:dyDescent="0.2">
      <c r="B42676" s="1168"/>
    </row>
    <row r="42677" spans="2:2" s="221" customFormat="1" ht="12.75" x14ac:dyDescent="0.2">
      <c r="B42677" s="1168"/>
    </row>
    <row r="42678" spans="2:2" s="221" customFormat="1" ht="12.75" x14ac:dyDescent="0.2">
      <c r="B42678" s="1168"/>
    </row>
    <row r="42679" spans="2:2" s="221" customFormat="1" ht="12.75" x14ac:dyDescent="0.2">
      <c r="B42679" s="1168"/>
    </row>
    <row r="42680" spans="2:2" s="221" customFormat="1" ht="12.75" x14ac:dyDescent="0.2">
      <c r="B42680" s="1168"/>
    </row>
    <row r="42681" spans="2:2" s="221" customFormat="1" ht="12.75" x14ac:dyDescent="0.2">
      <c r="B42681" s="1168"/>
    </row>
    <row r="42682" spans="2:2" s="221" customFormat="1" ht="12.75" x14ac:dyDescent="0.2">
      <c r="B42682" s="1168"/>
    </row>
    <row r="42683" spans="2:2" s="221" customFormat="1" ht="12.75" x14ac:dyDescent="0.2">
      <c r="B42683" s="1168"/>
    </row>
    <row r="42684" spans="2:2" s="221" customFormat="1" ht="12.75" x14ac:dyDescent="0.2">
      <c r="B42684" s="1168"/>
    </row>
    <row r="42685" spans="2:2" s="221" customFormat="1" ht="12.75" x14ac:dyDescent="0.2">
      <c r="B42685" s="1168"/>
    </row>
    <row r="42686" spans="2:2" s="221" customFormat="1" ht="12.75" x14ac:dyDescent="0.2">
      <c r="B42686" s="1168"/>
    </row>
    <row r="42687" spans="2:2" s="221" customFormat="1" ht="12.75" x14ac:dyDescent="0.2">
      <c r="B42687" s="1168"/>
    </row>
    <row r="42688" spans="2:2" s="221" customFormat="1" ht="12.75" x14ac:dyDescent="0.2">
      <c r="B42688" s="1168"/>
    </row>
    <row r="42689" spans="2:2" s="221" customFormat="1" ht="12.75" x14ac:dyDescent="0.2">
      <c r="B42689" s="1168"/>
    </row>
    <row r="42690" spans="2:2" s="221" customFormat="1" ht="12.75" x14ac:dyDescent="0.2">
      <c r="B42690" s="1168"/>
    </row>
    <row r="42691" spans="2:2" s="221" customFormat="1" ht="12.75" x14ac:dyDescent="0.2">
      <c r="B42691" s="1168"/>
    </row>
    <row r="42692" spans="2:2" s="221" customFormat="1" ht="12.75" x14ac:dyDescent="0.2">
      <c r="B42692" s="1168"/>
    </row>
    <row r="42693" spans="2:2" s="221" customFormat="1" ht="12.75" x14ac:dyDescent="0.2">
      <c r="B42693" s="1168"/>
    </row>
    <row r="42694" spans="2:2" s="221" customFormat="1" ht="12.75" x14ac:dyDescent="0.2">
      <c r="B42694" s="1168"/>
    </row>
    <row r="42695" spans="2:2" s="221" customFormat="1" ht="12.75" x14ac:dyDescent="0.2">
      <c r="B42695" s="1168"/>
    </row>
    <row r="42696" spans="2:2" s="221" customFormat="1" ht="12.75" x14ac:dyDescent="0.2">
      <c r="B42696" s="1168"/>
    </row>
    <row r="42697" spans="2:2" s="221" customFormat="1" ht="12.75" x14ac:dyDescent="0.2">
      <c r="B42697" s="1168"/>
    </row>
    <row r="42698" spans="2:2" s="221" customFormat="1" ht="12.75" x14ac:dyDescent="0.2">
      <c r="B42698" s="1168"/>
    </row>
    <row r="42699" spans="2:2" s="221" customFormat="1" ht="12.75" x14ac:dyDescent="0.2">
      <c r="B42699" s="1168"/>
    </row>
    <row r="42700" spans="2:2" s="221" customFormat="1" ht="12.75" x14ac:dyDescent="0.2">
      <c r="B42700" s="1168"/>
    </row>
    <row r="42701" spans="2:2" s="221" customFormat="1" ht="12.75" x14ac:dyDescent="0.2">
      <c r="B42701" s="1168"/>
    </row>
    <row r="42702" spans="2:2" s="221" customFormat="1" ht="12.75" x14ac:dyDescent="0.2">
      <c r="B42702" s="1168"/>
    </row>
    <row r="42703" spans="2:2" s="221" customFormat="1" ht="12.75" x14ac:dyDescent="0.2">
      <c r="B42703" s="1168"/>
    </row>
    <row r="42704" spans="2:2" s="221" customFormat="1" ht="12.75" x14ac:dyDescent="0.2">
      <c r="B42704" s="1168"/>
    </row>
    <row r="42705" spans="2:2" s="221" customFormat="1" ht="12.75" x14ac:dyDescent="0.2">
      <c r="B42705" s="1168"/>
    </row>
    <row r="42706" spans="2:2" s="221" customFormat="1" ht="12.75" x14ac:dyDescent="0.2">
      <c r="B42706" s="1168"/>
    </row>
    <row r="42707" spans="2:2" s="221" customFormat="1" ht="12.75" x14ac:dyDescent="0.2">
      <c r="B42707" s="1168"/>
    </row>
    <row r="42708" spans="2:2" s="221" customFormat="1" ht="12.75" x14ac:dyDescent="0.2">
      <c r="B42708" s="1168"/>
    </row>
    <row r="42709" spans="2:2" s="221" customFormat="1" ht="12.75" x14ac:dyDescent="0.2">
      <c r="B42709" s="1168"/>
    </row>
    <row r="42710" spans="2:2" s="221" customFormat="1" ht="12.75" x14ac:dyDescent="0.2">
      <c r="B42710" s="1168"/>
    </row>
    <row r="42711" spans="2:2" s="221" customFormat="1" ht="12.75" x14ac:dyDescent="0.2">
      <c r="B42711" s="1168"/>
    </row>
    <row r="42712" spans="2:2" s="221" customFormat="1" ht="12.75" x14ac:dyDescent="0.2">
      <c r="B42712" s="1168"/>
    </row>
    <row r="42713" spans="2:2" s="221" customFormat="1" ht="12.75" x14ac:dyDescent="0.2">
      <c r="B42713" s="1168"/>
    </row>
    <row r="42714" spans="2:2" s="221" customFormat="1" ht="12.75" x14ac:dyDescent="0.2">
      <c r="B42714" s="1168"/>
    </row>
    <row r="42715" spans="2:2" s="221" customFormat="1" ht="12.75" x14ac:dyDescent="0.2">
      <c r="B42715" s="1168"/>
    </row>
    <row r="42716" spans="2:2" s="221" customFormat="1" ht="12.75" x14ac:dyDescent="0.2">
      <c r="B42716" s="1168"/>
    </row>
    <row r="42717" spans="2:2" s="221" customFormat="1" ht="12.75" x14ac:dyDescent="0.2">
      <c r="B42717" s="1168"/>
    </row>
    <row r="42718" spans="2:2" s="221" customFormat="1" ht="12.75" x14ac:dyDescent="0.2">
      <c r="B42718" s="1168"/>
    </row>
    <row r="42719" spans="2:2" s="221" customFormat="1" ht="12.75" x14ac:dyDescent="0.2">
      <c r="B42719" s="1168"/>
    </row>
    <row r="42720" spans="2:2" s="221" customFormat="1" ht="12.75" x14ac:dyDescent="0.2">
      <c r="B42720" s="1168"/>
    </row>
    <row r="42721" spans="2:2" s="221" customFormat="1" ht="12.75" x14ac:dyDescent="0.2">
      <c r="B42721" s="1168"/>
    </row>
    <row r="42722" spans="2:2" s="221" customFormat="1" ht="12.75" x14ac:dyDescent="0.2">
      <c r="B42722" s="1168"/>
    </row>
    <row r="42723" spans="2:2" s="221" customFormat="1" ht="12.75" x14ac:dyDescent="0.2">
      <c r="B42723" s="1168"/>
    </row>
    <row r="42724" spans="2:2" s="221" customFormat="1" ht="12.75" x14ac:dyDescent="0.2">
      <c r="B42724" s="1168"/>
    </row>
    <row r="42725" spans="2:2" s="221" customFormat="1" ht="12.75" x14ac:dyDescent="0.2">
      <c r="B42725" s="1168"/>
    </row>
    <row r="42726" spans="2:2" s="221" customFormat="1" ht="12.75" x14ac:dyDescent="0.2">
      <c r="B42726" s="1168"/>
    </row>
    <row r="42727" spans="2:2" s="221" customFormat="1" ht="12.75" x14ac:dyDescent="0.2">
      <c r="B42727" s="1168"/>
    </row>
    <row r="42728" spans="2:2" s="221" customFormat="1" ht="12.75" x14ac:dyDescent="0.2">
      <c r="B42728" s="1168"/>
    </row>
    <row r="42729" spans="2:2" s="221" customFormat="1" ht="12.75" x14ac:dyDescent="0.2">
      <c r="B42729" s="1168"/>
    </row>
    <row r="42730" spans="2:2" s="221" customFormat="1" ht="12.75" x14ac:dyDescent="0.2">
      <c r="B42730" s="1168"/>
    </row>
    <row r="42731" spans="2:2" s="221" customFormat="1" ht="12.75" x14ac:dyDescent="0.2">
      <c r="B42731" s="1168"/>
    </row>
    <row r="42732" spans="2:2" s="221" customFormat="1" ht="12.75" x14ac:dyDescent="0.2">
      <c r="B42732" s="1168"/>
    </row>
    <row r="42733" spans="2:2" s="221" customFormat="1" ht="12.75" x14ac:dyDescent="0.2">
      <c r="B42733" s="1168"/>
    </row>
    <row r="42734" spans="2:2" s="221" customFormat="1" ht="12.75" x14ac:dyDescent="0.2">
      <c r="B42734" s="1168"/>
    </row>
    <row r="42735" spans="2:2" s="221" customFormat="1" ht="12.75" x14ac:dyDescent="0.2">
      <c r="B42735" s="1168"/>
    </row>
    <row r="42736" spans="2:2" s="221" customFormat="1" ht="12.75" x14ac:dyDescent="0.2">
      <c r="B42736" s="1168"/>
    </row>
    <row r="42737" spans="2:2" s="221" customFormat="1" ht="12.75" x14ac:dyDescent="0.2">
      <c r="B42737" s="1168"/>
    </row>
    <row r="42738" spans="2:2" s="221" customFormat="1" ht="12.75" x14ac:dyDescent="0.2">
      <c r="B42738" s="1168"/>
    </row>
    <row r="42739" spans="2:2" s="221" customFormat="1" ht="12.75" x14ac:dyDescent="0.2">
      <c r="B42739" s="1168"/>
    </row>
    <row r="42740" spans="2:2" s="221" customFormat="1" ht="12.75" x14ac:dyDescent="0.2">
      <c r="B42740" s="1168"/>
    </row>
    <row r="42741" spans="2:2" s="221" customFormat="1" ht="12.75" x14ac:dyDescent="0.2">
      <c r="B42741" s="1168"/>
    </row>
    <row r="42742" spans="2:2" s="221" customFormat="1" ht="12.75" x14ac:dyDescent="0.2">
      <c r="B42742" s="1168"/>
    </row>
    <row r="42743" spans="2:2" s="221" customFormat="1" ht="12.75" x14ac:dyDescent="0.2">
      <c r="B42743" s="1168"/>
    </row>
    <row r="42744" spans="2:2" s="221" customFormat="1" ht="12.75" x14ac:dyDescent="0.2">
      <c r="B42744" s="1168"/>
    </row>
    <row r="42745" spans="2:2" s="221" customFormat="1" ht="12.75" x14ac:dyDescent="0.2">
      <c r="B42745" s="1168"/>
    </row>
    <row r="42746" spans="2:2" s="221" customFormat="1" ht="12.75" x14ac:dyDescent="0.2">
      <c r="B42746" s="1168"/>
    </row>
    <row r="42747" spans="2:2" s="221" customFormat="1" ht="12.75" x14ac:dyDescent="0.2">
      <c r="B42747" s="1168"/>
    </row>
    <row r="42748" spans="2:2" s="221" customFormat="1" ht="12.75" x14ac:dyDescent="0.2">
      <c r="B42748" s="1168"/>
    </row>
    <row r="42749" spans="2:2" s="221" customFormat="1" ht="12.75" x14ac:dyDescent="0.2">
      <c r="B42749" s="1168"/>
    </row>
    <row r="42750" spans="2:2" s="221" customFormat="1" ht="12.75" x14ac:dyDescent="0.2">
      <c r="B42750" s="1168"/>
    </row>
    <row r="42751" spans="2:2" s="221" customFormat="1" ht="12.75" x14ac:dyDescent="0.2">
      <c r="B42751" s="1168"/>
    </row>
    <row r="42752" spans="2:2" s="221" customFormat="1" ht="12.75" x14ac:dyDescent="0.2">
      <c r="B42752" s="1168"/>
    </row>
    <row r="42753" spans="2:2" s="221" customFormat="1" ht="12.75" x14ac:dyDescent="0.2">
      <c r="B42753" s="1168"/>
    </row>
    <row r="42754" spans="2:2" s="221" customFormat="1" ht="12.75" x14ac:dyDescent="0.2">
      <c r="B42754" s="1168"/>
    </row>
    <row r="42755" spans="2:2" s="221" customFormat="1" ht="12.75" x14ac:dyDescent="0.2">
      <c r="B42755" s="1168"/>
    </row>
    <row r="42756" spans="2:2" s="221" customFormat="1" ht="12.75" x14ac:dyDescent="0.2">
      <c r="B42756" s="1168"/>
    </row>
    <row r="42757" spans="2:2" s="221" customFormat="1" ht="12.75" x14ac:dyDescent="0.2">
      <c r="B42757" s="1168"/>
    </row>
    <row r="42758" spans="2:2" s="221" customFormat="1" ht="12.75" x14ac:dyDescent="0.2">
      <c r="B42758" s="1168"/>
    </row>
    <row r="42759" spans="2:2" s="221" customFormat="1" ht="12.75" x14ac:dyDescent="0.2">
      <c r="B42759" s="1168"/>
    </row>
    <row r="42760" spans="2:2" s="221" customFormat="1" ht="12.75" x14ac:dyDescent="0.2">
      <c r="B42760" s="1168"/>
    </row>
    <row r="42761" spans="2:2" s="221" customFormat="1" ht="12.75" x14ac:dyDescent="0.2">
      <c r="B42761" s="1168"/>
    </row>
    <row r="42762" spans="2:2" s="221" customFormat="1" ht="12.75" x14ac:dyDescent="0.2">
      <c r="B42762" s="1168"/>
    </row>
    <row r="42763" spans="2:2" s="221" customFormat="1" ht="12.75" x14ac:dyDescent="0.2">
      <c r="B42763" s="1168"/>
    </row>
    <row r="42764" spans="2:2" s="221" customFormat="1" ht="12.75" x14ac:dyDescent="0.2">
      <c r="B42764" s="1168"/>
    </row>
    <row r="42765" spans="2:2" s="221" customFormat="1" ht="12.75" x14ac:dyDescent="0.2">
      <c r="B42765" s="1168"/>
    </row>
    <row r="42766" spans="2:2" s="221" customFormat="1" ht="12.75" x14ac:dyDescent="0.2">
      <c r="B42766" s="1168"/>
    </row>
    <row r="42767" spans="2:2" s="221" customFormat="1" ht="12.75" x14ac:dyDescent="0.2">
      <c r="B42767" s="1168"/>
    </row>
    <row r="42768" spans="2:2" s="221" customFormat="1" ht="12.75" x14ac:dyDescent="0.2">
      <c r="B42768" s="1168"/>
    </row>
    <row r="42769" spans="2:2" s="221" customFormat="1" ht="12.75" x14ac:dyDescent="0.2">
      <c r="B42769" s="1168"/>
    </row>
    <row r="42770" spans="2:2" s="221" customFormat="1" ht="12.75" x14ac:dyDescent="0.2">
      <c r="B42770" s="1168"/>
    </row>
    <row r="42771" spans="2:2" s="221" customFormat="1" ht="12.75" x14ac:dyDescent="0.2">
      <c r="B42771" s="1168"/>
    </row>
    <row r="42772" spans="2:2" s="221" customFormat="1" ht="12.75" x14ac:dyDescent="0.2">
      <c r="B42772" s="1168"/>
    </row>
    <row r="42773" spans="2:2" s="221" customFormat="1" ht="12.75" x14ac:dyDescent="0.2">
      <c r="B42773" s="1168"/>
    </row>
    <row r="42774" spans="2:2" s="221" customFormat="1" ht="12.75" x14ac:dyDescent="0.2">
      <c r="B42774" s="1168"/>
    </row>
    <row r="42775" spans="2:2" s="221" customFormat="1" ht="12.75" x14ac:dyDescent="0.2">
      <c r="B42775" s="1168"/>
    </row>
    <row r="42776" spans="2:2" s="221" customFormat="1" ht="12.75" x14ac:dyDescent="0.2">
      <c r="B42776" s="1168"/>
    </row>
    <row r="42777" spans="2:2" s="221" customFormat="1" ht="12.75" x14ac:dyDescent="0.2">
      <c r="B42777" s="1168"/>
    </row>
    <row r="42778" spans="2:2" s="221" customFormat="1" ht="12.75" x14ac:dyDescent="0.2">
      <c r="B42778" s="1168"/>
    </row>
    <row r="42779" spans="2:2" s="221" customFormat="1" ht="12.75" x14ac:dyDescent="0.2">
      <c r="B42779" s="1168"/>
    </row>
    <row r="42780" spans="2:2" s="221" customFormat="1" ht="12.75" x14ac:dyDescent="0.2">
      <c r="B42780" s="1168"/>
    </row>
    <row r="42781" spans="2:2" s="221" customFormat="1" ht="12.75" x14ac:dyDescent="0.2">
      <c r="B42781" s="1168"/>
    </row>
    <row r="42782" spans="2:2" s="221" customFormat="1" ht="12.75" x14ac:dyDescent="0.2">
      <c r="B42782" s="1168"/>
    </row>
    <row r="42783" spans="2:2" s="221" customFormat="1" ht="12.75" x14ac:dyDescent="0.2">
      <c r="B42783" s="1168"/>
    </row>
    <row r="42784" spans="2:2" s="221" customFormat="1" ht="12.75" x14ac:dyDescent="0.2">
      <c r="B42784" s="1168"/>
    </row>
    <row r="42785" spans="2:2" s="221" customFormat="1" ht="12.75" x14ac:dyDescent="0.2">
      <c r="B42785" s="1168"/>
    </row>
    <row r="42786" spans="2:2" s="221" customFormat="1" ht="12.75" x14ac:dyDescent="0.2">
      <c r="B42786" s="1168"/>
    </row>
    <row r="42787" spans="2:2" s="221" customFormat="1" ht="12.75" x14ac:dyDescent="0.2">
      <c r="B42787" s="1168"/>
    </row>
    <row r="42788" spans="2:2" s="221" customFormat="1" ht="12.75" x14ac:dyDescent="0.2">
      <c r="B42788" s="1168"/>
    </row>
    <row r="42789" spans="2:2" s="221" customFormat="1" ht="12.75" x14ac:dyDescent="0.2">
      <c r="B42789" s="1168"/>
    </row>
    <row r="42790" spans="2:2" s="221" customFormat="1" ht="12.75" x14ac:dyDescent="0.2">
      <c r="B42790" s="1168"/>
    </row>
    <row r="42791" spans="2:2" s="221" customFormat="1" ht="12.75" x14ac:dyDescent="0.2">
      <c r="B42791" s="1168"/>
    </row>
    <row r="42792" spans="2:2" s="221" customFormat="1" ht="12.75" x14ac:dyDescent="0.2">
      <c r="B42792" s="1168"/>
    </row>
    <row r="42793" spans="2:2" s="221" customFormat="1" ht="12.75" x14ac:dyDescent="0.2">
      <c r="B42793" s="1168"/>
    </row>
    <row r="42794" spans="2:2" s="221" customFormat="1" ht="12.75" x14ac:dyDescent="0.2">
      <c r="B42794" s="1168"/>
    </row>
    <row r="42795" spans="2:2" s="221" customFormat="1" ht="12.75" x14ac:dyDescent="0.2">
      <c r="B42795" s="1168"/>
    </row>
    <row r="42796" spans="2:2" s="221" customFormat="1" ht="12.75" x14ac:dyDescent="0.2">
      <c r="B42796" s="1168"/>
    </row>
    <row r="42797" spans="2:2" s="221" customFormat="1" ht="12.75" x14ac:dyDescent="0.2">
      <c r="B42797" s="1168"/>
    </row>
    <row r="42798" spans="2:2" s="221" customFormat="1" ht="12.75" x14ac:dyDescent="0.2">
      <c r="B42798" s="1168"/>
    </row>
    <row r="42799" spans="2:2" s="221" customFormat="1" ht="12.75" x14ac:dyDescent="0.2">
      <c r="B42799" s="1168"/>
    </row>
    <row r="42800" spans="2:2" s="221" customFormat="1" ht="12.75" x14ac:dyDescent="0.2">
      <c r="B42800" s="1168"/>
    </row>
    <row r="42801" spans="2:2" s="221" customFormat="1" ht="12.75" x14ac:dyDescent="0.2">
      <c r="B42801" s="1168"/>
    </row>
    <row r="42802" spans="2:2" s="221" customFormat="1" ht="12.75" x14ac:dyDescent="0.2">
      <c r="B42802" s="1168"/>
    </row>
    <row r="42803" spans="2:2" s="221" customFormat="1" ht="12.75" x14ac:dyDescent="0.2">
      <c r="B42803" s="1168"/>
    </row>
    <row r="42804" spans="2:2" s="221" customFormat="1" ht="12.75" x14ac:dyDescent="0.2">
      <c r="B42804" s="1168"/>
    </row>
    <row r="42805" spans="2:2" s="221" customFormat="1" ht="12.75" x14ac:dyDescent="0.2">
      <c r="B42805" s="1168"/>
    </row>
    <row r="42806" spans="2:2" s="221" customFormat="1" ht="12.75" x14ac:dyDescent="0.2">
      <c r="B42806" s="1168"/>
    </row>
    <row r="42807" spans="2:2" s="221" customFormat="1" ht="12.75" x14ac:dyDescent="0.2">
      <c r="B42807" s="1168"/>
    </row>
    <row r="42808" spans="2:2" s="221" customFormat="1" ht="12.75" x14ac:dyDescent="0.2">
      <c r="B42808" s="1168"/>
    </row>
    <row r="42809" spans="2:2" s="221" customFormat="1" ht="12.75" x14ac:dyDescent="0.2">
      <c r="B42809" s="1168"/>
    </row>
    <row r="42810" spans="2:2" s="221" customFormat="1" ht="12.75" x14ac:dyDescent="0.2">
      <c r="B42810" s="1168"/>
    </row>
    <row r="42811" spans="2:2" s="221" customFormat="1" ht="12.75" x14ac:dyDescent="0.2">
      <c r="B42811" s="1168"/>
    </row>
    <row r="42812" spans="2:2" s="221" customFormat="1" ht="12.75" x14ac:dyDescent="0.2">
      <c r="B42812" s="1168"/>
    </row>
    <row r="42813" spans="2:2" s="221" customFormat="1" ht="12.75" x14ac:dyDescent="0.2">
      <c r="B42813" s="1168"/>
    </row>
    <row r="42814" spans="2:2" s="221" customFormat="1" ht="12.75" x14ac:dyDescent="0.2">
      <c r="B42814" s="1168"/>
    </row>
    <row r="42815" spans="2:2" s="221" customFormat="1" ht="12.75" x14ac:dyDescent="0.2">
      <c r="B42815" s="1168"/>
    </row>
    <row r="42816" spans="2:2" s="221" customFormat="1" ht="12.75" x14ac:dyDescent="0.2">
      <c r="B42816" s="1168"/>
    </row>
    <row r="42817" spans="2:2" s="221" customFormat="1" ht="12.75" x14ac:dyDescent="0.2">
      <c r="B42817" s="1168"/>
    </row>
    <row r="42818" spans="2:2" s="221" customFormat="1" ht="12.75" x14ac:dyDescent="0.2">
      <c r="B42818" s="1168"/>
    </row>
    <row r="42819" spans="2:2" s="221" customFormat="1" ht="12.75" x14ac:dyDescent="0.2">
      <c r="B42819" s="1168"/>
    </row>
    <row r="42820" spans="2:2" s="221" customFormat="1" ht="12.75" x14ac:dyDescent="0.2">
      <c r="B42820" s="1168"/>
    </row>
    <row r="42821" spans="2:2" s="221" customFormat="1" ht="12.75" x14ac:dyDescent="0.2">
      <c r="B42821" s="1168"/>
    </row>
    <row r="42822" spans="2:2" s="221" customFormat="1" ht="12.75" x14ac:dyDescent="0.2">
      <c r="B42822" s="1168"/>
    </row>
    <row r="42823" spans="2:2" s="221" customFormat="1" ht="12.75" x14ac:dyDescent="0.2">
      <c r="B42823" s="1168"/>
    </row>
    <row r="42824" spans="2:2" s="221" customFormat="1" ht="12.75" x14ac:dyDescent="0.2">
      <c r="B42824" s="1168"/>
    </row>
    <row r="42825" spans="2:2" s="221" customFormat="1" ht="12.75" x14ac:dyDescent="0.2">
      <c r="B42825" s="1168"/>
    </row>
    <row r="42826" spans="2:2" s="221" customFormat="1" ht="12.75" x14ac:dyDescent="0.2">
      <c r="B42826" s="1168"/>
    </row>
    <row r="42827" spans="2:2" s="221" customFormat="1" ht="12.75" x14ac:dyDescent="0.2">
      <c r="B42827" s="1168"/>
    </row>
    <row r="42828" spans="2:2" s="221" customFormat="1" ht="12.75" x14ac:dyDescent="0.2">
      <c r="B42828" s="1168"/>
    </row>
    <row r="42829" spans="2:2" s="221" customFormat="1" ht="12.75" x14ac:dyDescent="0.2">
      <c r="B42829" s="1168"/>
    </row>
    <row r="42830" spans="2:2" s="221" customFormat="1" ht="12.75" x14ac:dyDescent="0.2">
      <c r="B42830" s="1168"/>
    </row>
    <row r="42831" spans="2:2" s="221" customFormat="1" ht="12.75" x14ac:dyDescent="0.2">
      <c r="B42831" s="1168"/>
    </row>
    <row r="42832" spans="2:2" s="221" customFormat="1" ht="12.75" x14ac:dyDescent="0.2">
      <c r="B42832" s="1168"/>
    </row>
    <row r="42833" spans="2:2" s="221" customFormat="1" ht="12.75" x14ac:dyDescent="0.2">
      <c r="B42833" s="1168"/>
    </row>
    <row r="42834" spans="2:2" s="221" customFormat="1" ht="12.75" x14ac:dyDescent="0.2">
      <c r="B42834" s="1168"/>
    </row>
    <row r="42835" spans="2:2" s="221" customFormat="1" ht="12.75" x14ac:dyDescent="0.2">
      <c r="B42835" s="1168"/>
    </row>
    <row r="42836" spans="2:2" s="221" customFormat="1" ht="12.75" x14ac:dyDescent="0.2">
      <c r="B42836" s="1168"/>
    </row>
    <row r="42837" spans="2:2" s="221" customFormat="1" ht="12.75" x14ac:dyDescent="0.2">
      <c r="B42837" s="1168"/>
    </row>
    <row r="42838" spans="2:2" s="221" customFormat="1" ht="12.75" x14ac:dyDescent="0.2">
      <c r="B42838" s="1168"/>
    </row>
    <row r="42839" spans="2:2" s="221" customFormat="1" ht="12.75" x14ac:dyDescent="0.2">
      <c r="B42839" s="1168"/>
    </row>
    <row r="42840" spans="2:2" s="221" customFormat="1" ht="12.75" x14ac:dyDescent="0.2">
      <c r="B42840" s="1168"/>
    </row>
    <row r="42841" spans="2:2" s="221" customFormat="1" ht="12.75" x14ac:dyDescent="0.2">
      <c r="B42841" s="1168"/>
    </row>
    <row r="42842" spans="2:2" s="221" customFormat="1" ht="12.75" x14ac:dyDescent="0.2">
      <c r="B42842" s="1168"/>
    </row>
    <row r="42843" spans="2:2" s="221" customFormat="1" ht="12.75" x14ac:dyDescent="0.2">
      <c r="B42843" s="1168"/>
    </row>
    <row r="42844" spans="2:2" s="221" customFormat="1" ht="12.75" x14ac:dyDescent="0.2">
      <c r="B42844" s="1168"/>
    </row>
    <row r="42845" spans="2:2" s="221" customFormat="1" ht="12.75" x14ac:dyDescent="0.2">
      <c r="B42845" s="1168"/>
    </row>
    <row r="42846" spans="2:2" s="221" customFormat="1" ht="12.75" x14ac:dyDescent="0.2">
      <c r="B42846" s="1168"/>
    </row>
    <row r="42847" spans="2:2" s="221" customFormat="1" ht="12.75" x14ac:dyDescent="0.2">
      <c r="B42847" s="1168"/>
    </row>
    <row r="42848" spans="2:2" s="221" customFormat="1" ht="12.75" x14ac:dyDescent="0.2">
      <c r="B42848" s="1168"/>
    </row>
    <row r="42849" spans="2:2" s="221" customFormat="1" ht="12.75" x14ac:dyDescent="0.2">
      <c r="B42849" s="1168"/>
    </row>
    <row r="42850" spans="2:2" s="221" customFormat="1" ht="12.75" x14ac:dyDescent="0.2">
      <c r="B42850" s="1168"/>
    </row>
    <row r="42851" spans="2:2" s="221" customFormat="1" ht="12.75" x14ac:dyDescent="0.2">
      <c r="B42851" s="1168"/>
    </row>
    <row r="42852" spans="2:2" s="221" customFormat="1" ht="12.75" x14ac:dyDescent="0.2">
      <c r="B42852" s="1168"/>
    </row>
    <row r="42853" spans="2:2" s="221" customFormat="1" ht="12.75" x14ac:dyDescent="0.2">
      <c r="B42853" s="1168"/>
    </row>
    <row r="42854" spans="2:2" s="221" customFormat="1" ht="12.75" x14ac:dyDescent="0.2">
      <c r="B42854" s="1168"/>
    </row>
    <row r="42855" spans="2:2" s="221" customFormat="1" ht="12.75" x14ac:dyDescent="0.2">
      <c r="B42855" s="1168"/>
    </row>
    <row r="42856" spans="2:2" s="221" customFormat="1" ht="12.75" x14ac:dyDescent="0.2">
      <c r="B42856" s="1168"/>
    </row>
    <row r="42857" spans="2:2" s="221" customFormat="1" ht="12.75" x14ac:dyDescent="0.2">
      <c r="B42857" s="1168"/>
    </row>
    <row r="42858" spans="2:2" s="221" customFormat="1" ht="12.75" x14ac:dyDescent="0.2">
      <c r="B42858" s="1168"/>
    </row>
    <row r="42859" spans="2:2" s="221" customFormat="1" ht="12.75" x14ac:dyDescent="0.2">
      <c r="B42859" s="1168"/>
    </row>
    <row r="42860" spans="2:2" s="221" customFormat="1" ht="12.75" x14ac:dyDescent="0.2">
      <c r="B42860" s="1168"/>
    </row>
    <row r="42861" spans="2:2" s="221" customFormat="1" ht="12.75" x14ac:dyDescent="0.2">
      <c r="B42861" s="1168"/>
    </row>
    <row r="42862" spans="2:2" s="221" customFormat="1" ht="12.75" x14ac:dyDescent="0.2">
      <c r="B42862" s="1168"/>
    </row>
    <row r="42863" spans="2:2" s="221" customFormat="1" ht="12.75" x14ac:dyDescent="0.2">
      <c r="B42863" s="1168"/>
    </row>
    <row r="42864" spans="2:2" s="221" customFormat="1" ht="12.75" x14ac:dyDescent="0.2">
      <c r="B42864" s="1168"/>
    </row>
    <row r="42865" spans="2:2" s="221" customFormat="1" ht="12.75" x14ac:dyDescent="0.2">
      <c r="B42865" s="1168"/>
    </row>
    <row r="42866" spans="2:2" s="221" customFormat="1" ht="12.75" x14ac:dyDescent="0.2">
      <c r="B42866" s="1168"/>
    </row>
    <row r="42867" spans="2:2" s="221" customFormat="1" ht="12.75" x14ac:dyDescent="0.2">
      <c r="B42867" s="1168"/>
    </row>
    <row r="42868" spans="2:2" s="221" customFormat="1" ht="12.75" x14ac:dyDescent="0.2">
      <c r="B42868" s="1168"/>
    </row>
    <row r="42869" spans="2:2" s="221" customFormat="1" ht="12.75" x14ac:dyDescent="0.2">
      <c r="B42869" s="1168"/>
    </row>
    <row r="42870" spans="2:2" s="221" customFormat="1" ht="12.75" x14ac:dyDescent="0.2">
      <c r="B42870" s="1168"/>
    </row>
    <row r="42871" spans="2:2" s="221" customFormat="1" ht="12.75" x14ac:dyDescent="0.2">
      <c r="B42871" s="1168"/>
    </row>
    <row r="42872" spans="2:2" s="221" customFormat="1" ht="12.75" x14ac:dyDescent="0.2">
      <c r="B42872" s="1168"/>
    </row>
    <row r="42873" spans="2:2" s="221" customFormat="1" ht="12.75" x14ac:dyDescent="0.2">
      <c r="B42873" s="1168"/>
    </row>
    <row r="42874" spans="2:2" s="221" customFormat="1" ht="12.75" x14ac:dyDescent="0.2">
      <c r="B42874" s="1168"/>
    </row>
    <row r="42875" spans="2:2" s="221" customFormat="1" ht="12.75" x14ac:dyDescent="0.2">
      <c r="B42875" s="1168"/>
    </row>
    <row r="42876" spans="2:2" s="221" customFormat="1" ht="12.75" x14ac:dyDescent="0.2">
      <c r="B42876" s="1168"/>
    </row>
    <row r="42877" spans="2:2" s="221" customFormat="1" ht="12.75" x14ac:dyDescent="0.2">
      <c r="B42877" s="1168"/>
    </row>
    <row r="42878" spans="2:2" s="221" customFormat="1" ht="12.75" x14ac:dyDescent="0.2">
      <c r="B42878" s="1168"/>
    </row>
    <row r="42879" spans="2:2" s="221" customFormat="1" ht="12.75" x14ac:dyDescent="0.2">
      <c r="B42879" s="1168"/>
    </row>
    <row r="42880" spans="2:2" s="221" customFormat="1" ht="12.75" x14ac:dyDescent="0.2">
      <c r="B42880" s="1168"/>
    </row>
    <row r="42881" spans="2:2" s="221" customFormat="1" ht="12.75" x14ac:dyDescent="0.2">
      <c r="B42881" s="1168"/>
    </row>
    <row r="42882" spans="2:2" s="221" customFormat="1" ht="12.75" x14ac:dyDescent="0.2">
      <c r="B42882" s="1168"/>
    </row>
    <row r="42883" spans="2:2" s="221" customFormat="1" ht="12.75" x14ac:dyDescent="0.2">
      <c r="B42883" s="1168"/>
    </row>
    <row r="42884" spans="2:2" s="221" customFormat="1" ht="12.75" x14ac:dyDescent="0.2">
      <c r="B42884" s="1168"/>
    </row>
    <row r="42885" spans="2:2" s="221" customFormat="1" ht="12.75" x14ac:dyDescent="0.2">
      <c r="B42885" s="1168"/>
    </row>
    <row r="42886" spans="2:2" s="221" customFormat="1" ht="12.75" x14ac:dyDescent="0.2">
      <c r="B42886" s="1168"/>
    </row>
    <row r="42887" spans="2:2" s="221" customFormat="1" ht="12.75" x14ac:dyDescent="0.2">
      <c r="B42887" s="1168"/>
    </row>
    <row r="42888" spans="2:2" s="221" customFormat="1" ht="12.75" x14ac:dyDescent="0.2">
      <c r="B42888" s="1168"/>
    </row>
    <row r="42889" spans="2:2" s="221" customFormat="1" ht="12.75" x14ac:dyDescent="0.2">
      <c r="B42889" s="1168"/>
    </row>
    <row r="42890" spans="2:2" s="221" customFormat="1" ht="12.75" x14ac:dyDescent="0.2">
      <c r="B42890" s="1168"/>
    </row>
    <row r="42891" spans="2:2" s="221" customFormat="1" ht="12.75" x14ac:dyDescent="0.2">
      <c r="B42891" s="1168"/>
    </row>
    <row r="42892" spans="2:2" s="221" customFormat="1" ht="12.75" x14ac:dyDescent="0.2">
      <c r="B42892" s="1168"/>
    </row>
    <row r="42893" spans="2:2" s="221" customFormat="1" ht="12.75" x14ac:dyDescent="0.2">
      <c r="B42893" s="1168"/>
    </row>
    <row r="42894" spans="2:2" s="221" customFormat="1" ht="12.75" x14ac:dyDescent="0.2">
      <c r="B42894" s="1168"/>
    </row>
    <row r="42895" spans="2:2" s="221" customFormat="1" ht="12.75" x14ac:dyDescent="0.2">
      <c r="B42895" s="1168"/>
    </row>
    <row r="42896" spans="2:2" s="221" customFormat="1" ht="12.75" x14ac:dyDescent="0.2">
      <c r="B42896" s="1168"/>
    </row>
    <row r="42897" spans="2:2" s="221" customFormat="1" ht="12.75" x14ac:dyDescent="0.2">
      <c r="B42897" s="1168"/>
    </row>
    <row r="42898" spans="2:2" s="221" customFormat="1" ht="12.75" x14ac:dyDescent="0.2">
      <c r="B42898" s="1168"/>
    </row>
    <row r="42899" spans="2:2" s="221" customFormat="1" ht="12.75" x14ac:dyDescent="0.2">
      <c r="B42899" s="1168"/>
    </row>
    <row r="42900" spans="2:2" s="221" customFormat="1" ht="12.75" x14ac:dyDescent="0.2">
      <c r="B42900" s="1168"/>
    </row>
    <row r="42901" spans="2:2" s="221" customFormat="1" ht="12.75" x14ac:dyDescent="0.2">
      <c r="B42901" s="1168"/>
    </row>
    <row r="42902" spans="2:2" s="221" customFormat="1" ht="12.75" x14ac:dyDescent="0.2">
      <c r="B42902" s="1168"/>
    </row>
    <row r="42903" spans="2:2" s="221" customFormat="1" ht="12.75" x14ac:dyDescent="0.2">
      <c r="B42903" s="1168"/>
    </row>
    <row r="42904" spans="2:2" s="221" customFormat="1" ht="12.75" x14ac:dyDescent="0.2">
      <c r="B42904" s="1168"/>
    </row>
    <row r="42905" spans="2:2" s="221" customFormat="1" ht="12.75" x14ac:dyDescent="0.2">
      <c r="B42905" s="1168"/>
    </row>
    <row r="42906" spans="2:2" s="221" customFormat="1" ht="12.75" x14ac:dyDescent="0.2">
      <c r="B42906" s="1168"/>
    </row>
    <row r="42907" spans="2:2" s="221" customFormat="1" ht="12.75" x14ac:dyDescent="0.2">
      <c r="B42907" s="1168"/>
    </row>
    <row r="42908" spans="2:2" s="221" customFormat="1" ht="12.75" x14ac:dyDescent="0.2">
      <c r="B42908" s="1168"/>
    </row>
    <row r="42909" spans="2:2" s="221" customFormat="1" ht="12.75" x14ac:dyDescent="0.2">
      <c r="B42909" s="1168"/>
    </row>
    <row r="42910" spans="2:2" s="221" customFormat="1" ht="12.75" x14ac:dyDescent="0.2">
      <c r="B42910" s="1168"/>
    </row>
    <row r="42911" spans="2:2" s="221" customFormat="1" ht="12.75" x14ac:dyDescent="0.2">
      <c r="B42911" s="1168"/>
    </row>
    <row r="42912" spans="2:2" s="221" customFormat="1" ht="12.75" x14ac:dyDescent="0.2">
      <c r="B42912" s="1168"/>
    </row>
    <row r="42913" spans="2:2" s="221" customFormat="1" ht="12.75" x14ac:dyDescent="0.2">
      <c r="B42913" s="1168"/>
    </row>
    <row r="42914" spans="2:2" s="221" customFormat="1" ht="12.75" x14ac:dyDescent="0.2">
      <c r="B42914" s="1168"/>
    </row>
    <row r="42915" spans="2:2" s="221" customFormat="1" ht="12.75" x14ac:dyDescent="0.2">
      <c r="B42915" s="1168"/>
    </row>
    <row r="42916" spans="2:2" s="221" customFormat="1" ht="12.75" x14ac:dyDescent="0.2">
      <c r="B42916" s="1168"/>
    </row>
    <row r="42917" spans="2:2" s="221" customFormat="1" ht="12.75" x14ac:dyDescent="0.2">
      <c r="B42917" s="1168"/>
    </row>
    <row r="42918" spans="2:2" s="221" customFormat="1" ht="12.75" x14ac:dyDescent="0.2">
      <c r="B42918" s="1168"/>
    </row>
    <row r="42919" spans="2:2" s="221" customFormat="1" ht="12.75" x14ac:dyDescent="0.2">
      <c r="B42919" s="1168"/>
    </row>
    <row r="42920" spans="2:2" s="221" customFormat="1" ht="12.75" x14ac:dyDescent="0.2">
      <c r="B42920" s="1168"/>
    </row>
    <row r="42921" spans="2:2" s="221" customFormat="1" ht="12.75" x14ac:dyDescent="0.2">
      <c r="B42921" s="1168"/>
    </row>
    <row r="42922" spans="2:2" s="221" customFormat="1" ht="12.75" x14ac:dyDescent="0.2">
      <c r="B42922" s="1168"/>
    </row>
    <row r="42923" spans="2:2" s="221" customFormat="1" ht="12.75" x14ac:dyDescent="0.2">
      <c r="B42923" s="1168"/>
    </row>
    <row r="42924" spans="2:2" s="221" customFormat="1" ht="12.75" x14ac:dyDescent="0.2">
      <c r="B42924" s="1168"/>
    </row>
    <row r="42925" spans="2:2" s="221" customFormat="1" ht="12.75" x14ac:dyDescent="0.2">
      <c r="B42925" s="1168"/>
    </row>
    <row r="42926" spans="2:2" s="221" customFormat="1" ht="12.75" x14ac:dyDescent="0.2">
      <c r="B42926" s="1168"/>
    </row>
    <row r="42927" spans="2:2" s="221" customFormat="1" ht="12.75" x14ac:dyDescent="0.2">
      <c r="B42927" s="1168"/>
    </row>
    <row r="42928" spans="2:2" s="221" customFormat="1" ht="12.75" x14ac:dyDescent="0.2">
      <c r="B42928" s="1168"/>
    </row>
    <row r="42929" spans="2:2" s="221" customFormat="1" ht="12.75" x14ac:dyDescent="0.2">
      <c r="B42929" s="1168"/>
    </row>
    <row r="42930" spans="2:2" s="221" customFormat="1" ht="12.75" x14ac:dyDescent="0.2">
      <c r="B42930" s="1168"/>
    </row>
    <row r="42931" spans="2:2" s="221" customFormat="1" ht="12.75" x14ac:dyDescent="0.2">
      <c r="B42931" s="1168"/>
    </row>
    <row r="42932" spans="2:2" s="221" customFormat="1" ht="12.75" x14ac:dyDescent="0.2">
      <c r="B42932" s="1168"/>
    </row>
    <row r="42933" spans="2:2" s="221" customFormat="1" ht="12.75" x14ac:dyDescent="0.2">
      <c r="B42933" s="1168"/>
    </row>
    <row r="42934" spans="2:2" s="221" customFormat="1" ht="12.75" x14ac:dyDescent="0.2">
      <c r="B42934" s="1168"/>
    </row>
    <row r="42935" spans="2:2" s="221" customFormat="1" ht="12.75" x14ac:dyDescent="0.2">
      <c r="B42935" s="1168"/>
    </row>
    <row r="42936" spans="2:2" s="221" customFormat="1" ht="12.75" x14ac:dyDescent="0.2">
      <c r="B42936" s="1168"/>
    </row>
    <row r="42937" spans="2:2" s="221" customFormat="1" ht="12.75" x14ac:dyDescent="0.2">
      <c r="B42937" s="1168"/>
    </row>
    <row r="42938" spans="2:2" s="221" customFormat="1" ht="12.75" x14ac:dyDescent="0.2">
      <c r="B42938" s="1168"/>
    </row>
    <row r="42939" spans="2:2" s="221" customFormat="1" ht="12.75" x14ac:dyDescent="0.2">
      <c r="B42939" s="1168"/>
    </row>
    <row r="42940" spans="2:2" s="221" customFormat="1" ht="12.75" x14ac:dyDescent="0.2">
      <c r="B42940" s="1168"/>
    </row>
    <row r="42941" spans="2:2" s="221" customFormat="1" ht="12.75" x14ac:dyDescent="0.2">
      <c r="B42941" s="1168"/>
    </row>
    <row r="42942" spans="2:2" s="221" customFormat="1" ht="12.75" x14ac:dyDescent="0.2">
      <c r="B42942" s="1168"/>
    </row>
    <row r="42943" spans="2:2" s="221" customFormat="1" ht="12.75" x14ac:dyDescent="0.2">
      <c r="B42943" s="1168"/>
    </row>
    <row r="42944" spans="2:2" s="221" customFormat="1" ht="12.75" x14ac:dyDescent="0.2">
      <c r="B42944" s="1168"/>
    </row>
    <row r="42945" spans="2:2" s="221" customFormat="1" ht="12.75" x14ac:dyDescent="0.2">
      <c r="B42945" s="1168"/>
    </row>
    <row r="42946" spans="2:2" s="221" customFormat="1" ht="12.75" x14ac:dyDescent="0.2">
      <c r="B42946" s="1168"/>
    </row>
    <row r="42947" spans="2:2" s="221" customFormat="1" ht="12.75" x14ac:dyDescent="0.2">
      <c r="B42947" s="1168"/>
    </row>
    <row r="42948" spans="2:2" s="221" customFormat="1" ht="12.75" x14ac:dyDescent="0.2">
      <c r="B42948" s="1168"/>
    </row>
    <row r="42949" spans="2:2" s="221" customFormat="1" ht="12.75" x14ac:dyDescent="0.2">
      <c r="B42949" s="1168"/>
    </row>
    <row r="42950" spans="2:2" s="221" customFormat="1" ht="12.75" x14ac:dyDescent="0.2">
      <c r="B42950" s="1168"/>
    </row>
    <row r="42951" spans="2:2" s="221" customFormat="1" ht="12.75" x14ac:dyDescent="0.2">
      <c r="B42951" s="1168"/>
    </row>
    <row r="42952" spans="2:2" s="221" customFormat="1" ht="12.75" x14ac:dyDescent="0.2">
      <c r="B42952" s="1168"/>
    </row>
    <row r="42953" spans="2:2" s="221" customFormat="1" ht="12.75" x14ac:dyDescent="0.2">
      <c r="B42953" s="1168"/>
    </row>
    <row r="42954" spans="2:2" s="221" customFormat="1" ht="12.75" x14ac:dyDescent="0.2">
      <c r="B42954" s="1168"/>
    </row>
    <row r="42955" spans="2:2" s="221" customFormat="1" ht="12.75" x14ac:dyDescent="0.2">
      <c r="B42955" s="1168"/>
    </row>
    <row r="42956" spans="2:2" s="221" customFormat="1" ht="12.75" x14ac:dyDescent="0.2">
      <c r="B42956" s="1168"/>
    </row>
    <row r="42957" spans="2:2" s="221" customFormat="1" ht="12.75" x14ac:dyDescent="0.2">
      <c r="B42957" s="1168"/>
    </row>
    <row r="42958" spans="2:2" s="221" customFormat="1" ht="12.75" x14ac:dyDescent="0.2">
      <c r="B42958" s="1168"/>
    </row>
    <row r="42959" spans="2:2" s="221" customFormat="1" ht="12.75" x14ac:dyDescent="0.2">
      <c r="B42959" s="1168"/>
    </row>
    <row r="42960" spans="2:2" s="221" customFormat="1" ht="12.75" x14ac:dyDescent="0.2">
      <c r="B42960" s="1168"/>
    </row>
    <row r="42961" spans="2:2" s="221" customFormat="1" ht="12.75" x14ac:dyDescent="0.2">
      <c r="B42961" s="1168"/>
    </row>
    <row r="42962" spans="2:2" s="221" customFormat="1" ht="12.75" x14ac:dyDescent="0.2">
      <c r="B42962" s="1168"/>
    </row>
    <row r="42963" spans="2:2" s="221" customFormat="1" ht="12.75" x14ac:dyDescent="0.2">
      <c r="B42963" s="1168"/>
    </row>
    <row r="42964" spans="2:2" s="221" customFormat="1" ht="12.75" x14ac:dyDescent="0.2">
      <c r="B42964" s="1168"/>
    </row>
    <row r="42965" spans="2:2" s="221" customFormat="1" ht="12.75" x14ac:dyDescent="0.2">
      <c r="B42965" s="1168"/>
    </row>
    <row r="42966" spans="2:2" s="221" customFormat="1" ht="12.75" x14ac:dyDescent="0.2">
      <c r="B42966" s="1168"/>
    </row>
    <row r="42967" spans="2:2" s="221" customFormat="1" ht="12.75" x14ac:dyDescent="0.2">
      <c r="B42967" s="1168"/>
    </row>
    <row r="42968" spans="2:2" s="221" customFormat="1" ht="12.75" x14ac:dyDescent="0.2">
      <c r="B42968" s="1168"/>
    </row>
    <row r="42969" spans="2:2" s="221" customFormat="1" ht="12.75" x14ac:dyDescent="0.2">
      <c r="B42969" s="1168"/>
    </row>
    <row r="42970" spans="2:2" s="221" customFormat="1" ht="12.75" x14ac:dyDescent="0.2">
      <c r="B42970" s="1168"/>
    </row>
    <row r="42971" spans="2:2" s="221" customFormat="1" ht="12.75" x14ac:dyDescent="0.2">
      <c r="B42971" s="1168"/>
    </row>
    <row r="42972" spans="2:2" s="221" customFormat="1" ht="12.75" x14ac:dyDescent="0.2">
      <c r="B42972" s="1168"/>
    </row>
    <row r="42973" spans="2:2" s="221" customFormat="1" ht="12.75" x14ac:dyDescent="0.2">
      <c r="B42973" s="1168"/>
    </row>
    <row r="42974" spans="2:2" s="221" customFormat="1" ht="12.75" x14ac:dyDescent="0.2">
      <c r="B42974" s="1168"/>
    </row>
    <row r="42975" spans="2:2" s="221" customFormat="1" ht="12.75" x14ac:dyDescent="0.2">
      <c r="B42975" s="1168"/>
    </row>
    <row r="42976" spans="2:2" s="221" customFormat="1" ht="12.75" x14ac:dyDescent="0.2">
      <c r="B42976" s="1168"/>
    </row>
    <row r="42977" spans="2:2" s="221" customFormat="1" ht="12.75" x14ac:dyDescent="0.2">
      <c r="B42977" s="1168"/>
    </row>
    <row r="42978" spans="2:2" s="221" customFormat="1" ht="12.75" x14ac:dyDescent="0.2">
      <c r="B42978" s="1168"/>
    </row>
    <row r="42979" spans="2:2" s="221" customFormat="1" ht="12.75" x14ac:dyDescent="0.2">
      <c r="B42979" s="1168"/>
    </row>
    <row r="42980" spans="2:2" s="221" customFormat="1" ht="12.75" x14ac:dyDescent="0.2">
      <c r="B42980" s="1168"/>
    </row>
    <row r="42981" spans="2:2" s="221" customFormat="1" ht="12.75" x14ac:dyDescent="0.2">
      <c r="B42981" s="1168"/>
    </row>
    <row r="42982" spans="2:2" s="221" customFormat="1" ht="12.75" x14ac:dyDescent="0.2">
      <c r="B42982" s="1168"/>
    </row>
    <row r="42983" spans="2:2" s="221" customFormat="1" ht="12.75" x14ac:dyDescent="0.2">
      <c r="B42983" s="1168"/>
    </row>
    <row r="42984" spans="2:2" s="221" customFormat="1" ht="12.75" x14ac:dyDescent="0.2">
      <c r="B42984" s="1168"/>
    </row>
    <row r="42985" spans="2:2" s="221" customFormat="1" ht="12.75" x14ac:dyDescent="0.2">
      <c r="B42985" s="1168"/>
    </row>
    <row r="42986" spans="2:2" s="221" customFormat="1" ht="12.75" x14ac:dyDescent="0.2">
      <c r="B42986" s="1168"/>
    </row>
    <row r="42987" spans="2:2" s="221" customFormat="1" ht="12.75" x14ac:dyDescent="0.2">
      <c r="B42987" s="1168"/>
    </row>
    <row r="42988" spans="2:2" s="221" customFormat="1" ht="12.75" x14ac:dyDescent="0.2">
      <c r="B42988" s="1168"/>
    </row>
    <row r="42989" spans="2:2" s="221" customFormat="1" ht="12.75" x14ac:dyDescent="0.2">
      <c r="B42989" s="1168"/>
    </row>
    <row r="42990" spans="2:2" s="221" customFormat="1" ht="12.75" x14ac:dyDescent="0.2">
      <c r="B42990" s="1168"/>
    </row>
    <row r="42991" spans="2:2" s="221" customFormat="1" ht="12.75" x14ac:dyDescent="0.2">
      <c r="B42991" s="1168"/>
    </row>
    <row r="42992" spans="2:2" s="221" customFormat="1" ht="12.75" x14ac:dyDescent="0.2">
      <c r="B42992" s="1168"/>
    </row>
    <row r="42993" spans="2:2" s="221" customFormat="1" ht="12.75" x14ac:dyDescent="0.2">
      <c r="B42993" s="1168"/>
    </row>
    <row r="42994" spans="2:2" s="221" customFormat="1" ht="12.75" x14ac:dyDescent="0.2">
      <c r="B42994" s="1168"/>
    </row>
    <row r="42995" spans="2:2" s="221" customFormat="1" ht="12.75" x14ac:dyDescent="0.2">
      <c r="B42995" s="1168"/>
    </row>
    <row r="42996" spans="2:2" s="221" customFormat="1" ht="12.75" x14ac:dyDescent="0.2">
      <c r="B42996" s="1168"/>
    </row>
    <row r="42997" spans="2:2" s="221" customFormat="1" ht="12.75" x14ac:dyDescent="0.2">
      <c r="B42997" s="1168"/>
    </row>
    <row r="42998" spans="2:2" s="221" customFormat="1" ht="12.75" x14ac:dyDescent="0.2">
      <c r="B42998" s="1168"/>
    </row>
    <row r="42999" spans="2:2" s="221" customFormat="1" ht="12.75" x14ac:dyDescent="0.2">
      <c r="B42999" s="1168"/>
    </row>
    <row r="43000" spans="2:2" s="221" customFormat="1" ht="12.75" x14ac:dyDescent="0.2">
      <c r="B43000" s="1168"/>
    </row>
    <row r="43001" spans="2:2" s="221" customFormat="1" ht="12.75" x14ac:dyDescent="0.2">
      <c r="B43001" s="1168"/>
    </row>
    <row r="43002" spans="2:2" s="221" customFormat="1" ht="12.75" x14ac:dyDescent="0.2">
      <c r="B43002" s="1168"/>
    </row>
    <row r="43003" spans="2:2" s="221" customFormat="1" ht="12.75" x14ac:dyDescent="0.2">
      <c r="B43003" s="1168"/>
    </row>
    <row r="43004" spans="2:2" s="221" customFormat="1" ht="12.75" x14ac:dyDescent="0.2">
      <c r="B43004" s="1168"/>
    </row>
    <row r="43005" spans="2:2" s="221" customFormat="1" ht="12.75" x14ac:dyDescent="0.2">
      <c r="B43005" s="1168"/>
    </row>
    <row r="43006" spans="2:2" s="221" customFormat="1" ht="12.75" x14ac:dyDescent="0.2">
      <c r="B43006" s="1168"/>
    </row>
    <row r="43007" spans="2:2" s="221" customFormat="1" ht="12.75" x14ac:dyDescent="0.2">
      <c r="B43007" s="1168"/>
    </row>
    <row r="43008" spans="2:2" s="221" customFormat="1" ht="12.75" x14ac:dyDescent="0.2">
      <c r="B43008" s="1168"/>
    </row>
    <row r="43009" spans="2:2" s="221" customFormat="1" ht="12.75" x14ac:dyDescent="0.2">
      <c r="B43009" s="1168"/>
    </row>
    <row r="43010" spans="2:2" s="221" customFormat="1" ht="12.75" x14ac:dyDescent="0.2">
      <c r="B43010" s="1168"/>
    </row>
    <row r="43011" spans="2:2" s="221" customFormat="1" ht="12.75" x14ac:dyDescent="0.2">
      <c r="B43011" s="1168"/>
    </row>
    <row r="43012" spans="2:2" s="221" customFormat="1" ht="12.75" x14ac:dyDescent="0.2">
      <c r="B43012" s="1168"/>
    </row>
    <row r="43013" spans="2:2" s="221" customFormat="1" ht="12.75" x14ac:dyDescent="0.2">
      <c r="B43013" s="1168"/>
    </row>
    <row r="43014" spans="2:2" s="221" customFormat="1" ht="12.75" x14ac:dyDescent="0.2">
      <c r="B43014" s="1168"/>
    </row>
    <row r="43015" spans="2:2" s="221" customFormat="1" ht="12.75" x14ac:dyDescent="0.2">
      <c r="B43015" s="1168"/>
    </row>
    <row r="43016" spans="2:2" s="221" customFormat="1" ht="12.75" x14ac:dyDescent="0.2">
      <c r="B43016" s="1168"/>
    </row>
    <row r="43017" spans="2:2" s="221" customFormat="1" ht="12.75" x14ac:dyDescent="0.2">
      <c r="B43017" s="1168"/>
    </row>
    <row r="43018" spans="2:2" s="221" customFormat="1" ht="12.75" x14ac:dyDescent="0.2">
      <c r="B43018" s="1168"/>
    </row>
    <row r="43019" spans="2:2" s="221" customFormat="1" ht="12.75" x14ac:dyDescent="0.2">
      <c r="B43019" s="1168"/>
    </row>
    <row r="43020" spans="2:2" s="221" customFormat="1" ht="12.75" x14ac:dyDescent="0.2">
      <c r="B43020" s="1168"/>
    </row>
    <row r="43021" spans="2:2" s="221" customFormat="1" ht="12.75" x14ac:dyDescent="0.2">
      <c r="B43021" s="1168"/>
    </row>
    <row r="43022" spans="2:2" s="221" customFormat="1" ht="12.75" x14ac:dyDescent="0.2">
      <c r="B43022" s="1168"/>
    </row>
    <row r="43023" spans="2:2" s="221" customFormat="1" ht="12.75" x14ac:dyDescent="0.2">
      <c r="B43023" s="1168"/>
    </row>
    <row r="43024" spans="2:2" s="221" customFormat="1" ht="12.75" x14ac:dyDescent="0.2">
      <c r="B43024" s="1168"/>
    </row>
    <row r="43025" spans="2:2" s="221" customFormat="1" ht="12.75" x14ac:dyDescent="0.2">
      <c r="B43025" s="1168"/>
    </row>
    <row r="43026" spans="2:2" s="221" customFormat="1" ht="12.75" x14ac:dyDescent="0.2">
      <c r="B43026" s="1168"/>
    </row>
    <row r="43027" spans="2:2" s="221" customFormat="1" ht="12.75" x14ac:dyDescent="0.2">
      <c r="B43027" s="1168"/>
    </row>
    <row r="43028" spans="2:2" s="221" customFormat="1" ht="12.75" x14ac:dyDescent="0.2">
      <c r="B43028" s="1168"/>
    </row>
    <row r="43029" spans="2:2" s="221" customFormat="1" ht="12.75" x14ac:dyDescent="0.2">
      <c r="B43029" s="1168"/>
    </row>
    <row r="43030" spans="2:2" s="221" customFormat="1" ht="12.75" x14ac:dyDescent="0.2">
      <c r="B43030" s="1168"/>
    </row>
    <row r="43031" spans="2:2" s="221" customFormat="1" ht="12.75" x14ac:dyDescent="0.2">
      <c r="B43031" s="1168"/>
    </row>
    <row r="43032" spans="2:2" s="221" customFormat="1" ht="12.75" x14ac:dyDescent="0.2">
      <c r="B43032" s="1168"/>
    </row>
    <row r="43033" spans="2:2" s="221" customFormat="1" ht="12.75" x14ac:dyDescent="0.2">
      <c r="B43033" s="1168"/>
    </row>
    <row r="43034" spans="2:2" s="221" customFormat="1" ht="12.75" x14ac:dyDescent="0.2">
      <c r="B43034" s="1168"/>
    </row>
    <row r="43035" spans="2:2" s="221" customFormat="1" ht="12.75" x14ac:dyDescent="0.2">
      <c r="B43035" s="1168"/>
    </row>
    <row r="43036" spans="2:2" s="221" customFormat="1" ht="12.75" x14ac:dyDescent="0.2">
      <c r="B43036" s="1168"/>
    </row>
    <row r="43037" spans="2:2" s="221" customFormat="1" ht="12.75" x14ac:dyDescent="0.2">
      <c r="B43037" s="1168"/>
    </row>
    <row r="43038" spans="2:2" s="221" customFormat="1" ht="12.75" x14ac:dyDescent="0.2">
      <c r="B43038" s="1168"/>
    </row>
    <row r="43039" spans="2:2" s="221" customFormat="1" ht="12.75" x14ac:dyDescent="0.2">
      <c r="B43039" s="1168"/>
    </row>
    <row r="43040" spans="2:2" s="221" customFormat="1" ht="12.75" x14ac:dyDescent="0.2">
      <c r="B43040" s="1168"/>
    </row>
    <row r="43041" spans="2:2" s="221" customFormat="1" ht="12.75" x14ac:dyDescent="0.2">
      <c r="B43041" s="1168"/>
    </row>
    <row r="43042" spans="2:2" s="221" customFormat="1" ht="12.75" x14ac:dyDescent="0.2">
      <c r="B43042" s="1168"/>
    </row>
    <row r="43043" spans="2:2" s="221" customFormat="1" ht="12.75" x14ac:dyDescent="0.2">
      <c r="B43043" s="1168"/>
    </row>
    <row r="43044" spans="2:2" s="221" customFormat="1" ht="12.75" x14ac:dyDescent="0.2">
      <c r="B43044" s="1168"/>
    </row>
    <row r="43045" spans="2:2" s="221" customFormat="1" ht="12.75" x14ac:dyDescent="0.2">
      <c r="B43045" s="1168"/>
    </row>
    <row r="43046" spans="2:2" s="221" customFormat="1" ht="12.75" x14ac:dyDescent="0.2">
      <c r="B43046" s="1168"/>
    </row>
    <row r="43047" spans="2:2" s="221" customFormat="1" ht="12.75" x14ac:dyDescent="0.2">
      <c r="B43047" s="1168"/>
    </row>
    <row r="43048" spans="2:2" s="221" customFormat="1" ht="12.75" x14ac:dyDescent="0.2">
      <c r="B43048" s="1168"/>
    </row>
    <row r="43049" spans="2:2" s="221" customFormat="1" ht="12.75" x14ac:dyDescent="0.2">
      <c r="B43049" s="1168"/>
    </row>
    <row r="43050" spans="2:2" s="221" customFormat="1" ht="12.75" x14ac:dyDescent="0.2">
      <c r="B43050" s="1168"/>
    </row>
    <row r="43051" spans="2:2" s="221" customFormat="1" ht="12.75" x14ac:dyDescent="0.2">
      <c r="B43051" s="1168"/>
    </row>
    <row r="43052" spans="2:2" s="221" customFormat="1" ht="12.75" x14ac:dyDescent="0.2">
      <c r="B43052" s="1168"/>
    </row>
    <row r="43053" spans="2:2" s="221" customFormat="1" ht="12.75" x14ac:dyDescent="0.2">
      <c r="B43053" s="1168"/>
    </row>
    <row r="43054" spans="2:2" s="221" customFormat="1" ht="12.75" x14ac:dyDescent="0.2">
      <c r="B43054" s="1168"/>
    </row>
    <row r="43055" spans="2:2" s="221" customFormat="1" ht="12.75" x14ac:dyDescent="0.2">
      <c r="B43055" s="1168"/>
    </row>
    <row r="43056" spans="2:2" s="221" customFormat="1" ht="12.75" x14ac:dyDescent="0.2">
      <c r="B43056" s="1168"/>
    </row>
    <row r="43057" spans="2:2" s="221" customFormat="1" ht="12.75" x14ac:dyDescent="0.2">
      <c r="B43057" s="1168"/>
    </row>
    <row r="43058" spans="2:2" s="221" customFormat="1" ht="12.75" x14ac:dyDescent="0.2">
      <c r="B43058" s="1168"/>
    </row>
    <row r="43059" spans="2:2" s="221" customFormat="1" ht="12.75" x14ac:dyDescent="0.2">
      <c r="B43059" s="1168"/>
    </row>
    <row r="43060" spans="2:2" s="221" customFormat="1" ht="12.75" x14ac:dyDescent="0.2">
      <c r="B43060" s="1168"/>
    </row>
    <row r="43061" spans="2:2" s="221" customFormat="1" ht="12.75" x14ac:dyDescent="0.2">
      <c r="B43061" s="1168"/>
    </row>
    <row r="43062" spans="2:2" s="221" customFormat="1" ht="12.75" x14ac:dyDescent="0.2">
      <c r="B43062" s="1168"/>
    </row>
    <row r="43063" spans="2:2" s="221" customFormat="1" ht="12.75" x14ac:dyDescent="0.2">
      <c r="B43063" s="1168"/>
    </row>
    <row r="43064" spans="2:2" s="221" customFormat="1" ht="12.75" x14ac:dyDescent="0.2">
      <c r="B43064" s="1168"/>
    </row>
    <row r="43065" spans="2:2" s="221" customFormat="1" ht="12.75" x14ac:dyDescent="0.2">
      <c r="B43065" s="1168"/>
    </row>
    <row r="43066" spans="2:2" s="221" customFormat="1" ht="12.75" x14ac:dyDescent="0.2">
      <c r="B43066" s="1168"/>
    </row>
    <row r="43067" spans="2:2" s="221" customFormat="1" ht="12.75" x14ac:dyDescent="0.2">
      <c r="B43067" s="1168"/>
    </row>
    <row r="43068" spans="2:2" s="221" customFormat="1" ht="12.75" x14ac:dyDescent="0.2">
      <c r="B43068" s="1168"/>
    </row>
    <row r="43069" spans="2:2" s="221" customFormat="1" ht="12.75" x14ac:dyDescent="0.2">
      <c r="B43069" s="1168"/>
    </row>
    <row r="43070" spans="2:2" s="221" customFormat="1" ht="12.75" x14ac:dyDescent="0.2">
      <c r="B43070" s="1168"/>
    </row>
    <row r="43071" spans="2:2" s="221" customFormat="1" ht="12.75" x14ac:dyDescent="0.2">
      <c r="B43071" s="1168"/>
    </row>
    <row r="43072" spans="2:2" s="221" customFormat="1" ht="12.75" x14ac:dyDescent="0.2">
      <c r="B43072" s="1168"/>
    </row>
    <row r="43073" spans="2:2" s="221" customFormat="1" ht="12.75" x14ac:dyDescent="0.2">
      <c r="B43073" s="1168"/>
    </row>
    <row r="43074" spans="2:2" s="221" customFormat="1" ht="12.75" x14ac:dyDescent="0.2">
      <c r="B43074" s="1168"/>
    </row>
    <row r="43075" spans="2:2" s="221" customFormat="1" ht="12.75" x14ac:dyDescent="0.2">
      <c r="B43075" s="1168"/>
    </row>
    <row r="43076" spans="2:2" s="221" customFormat="1" ht="12.75" x14ac:dyDescent="0.2">
      <c r="B43076" s="1168"/>
    </row>
    <row r="43077" spans="2:2" s="221" customFormat="1" ht="12.75" x14ac:dyDescent="0.2">
      <c r="B43077" s="1168"/>
    </row>
    <row r="43078" spans="2:2" s="221" customFormat="1" ht="12.75" x14ac:dyDescent="0.2">
      <c r="B43078" s="1168"/>
    </row>
    <row r="43079" spans="2:2" s="221" customFormat="1" ht="12.75" x14ac:dyDescent="0.2">
      <c r="B43079" s="1168"/>
    </row>
    <row r="43080" spans="2:2" s="221" customFormat="1" ht="12.75" x14ac:dyDescent="0.2">
      <c r="B43080" s="1168"/>
    </row>
    <row r="43081" spans="2:2" s="221" customFormat="1" ht="12.75" x14ac:dyDescent="0.2">
      <c r="B43081" s="1168"/>
    </row>
    <row r="43082" spans="2:2" s="221" customFormat="1" ht="12.75" x14ac:dyDescent="0.2">
      <c r="B43082" s="1168"/>
    </row>
    <row r="43083" spans="2:2" s="221" customFormat="1" ht="12.75" x14ac:dyDescent="0.2">
      <c r="B43083" s="1168"/>
    </row>
    <row r="43084" spans="2:2" s="221" customFormat="1" ht="12.75" x14ac:dyDescent="0.2">
      <c r="B43084" s="1168"/>
    </row>
    <row r="43085" spans="2:2" s="221" customFormat="1" ht="12.75" x14ac:dyDescent="0.2">
      <c r="B43085" s="1168"/>
    </row>
    <row r="43086" spans="2:2" s="221" customFormat="1" ht="12.75" x14ac:dyDescent="0.2">
      <c r="B43086" s="1168"/>
    </row>
    <row r="43087" spans="2:2" s="221" customFormat="1" ht="12.75" x14ac:dyDescent="0.2">
      <c r="B43087" s="1168"/>
    </row>
    <row r="43088" spans="2:2" s="221" customFormat="1" ht="12.75" x14ac:dyDescent="0.2">
      <c r="B43088" s="1168"/>
    </row>
    <row r="43089" spans="2:2" s="221" customFormat="1" ht="12.75" x14ac:dyDescent="0.2">
      <c r="B43089" s="1168"/>
    </row>
    <row r="43090" spans="2:2" s="221" customFormat="1" ht="12.75" x14ac:dyDescent="0.2">
      <c r="B43090" s="1168"/>
    </row>
    <row r="43091" spans="2:2" s="221" customFormat="1" ht="12.75" x14ac:dyDescent="0.2">
      <c r="B43091" s="1168"/>
    </row>
    <row r="43092" spans="2:2" s="221" customFormat="1" ht="12.75" x14ac:dyDescent="0.2">
      <c r="B43092" s="1168"/>
    </row>
    <row r="43093" spans="2:2" s="221" customFormat="1" ht="12.75" x14ac:dyDescent="0.2">
      <c r="B43093" s="1168"/>
    </row>
    <row r="43094" spans="2:2" s="221" customFormat="1" ht="12.75" x14ac:dyDescent="0.2">
      <c r="B43094" s="1168"/>
    </row>
    <row r="43095" spans="2:2" s="221" customFormat="1" ht="12.75" x14ac:dyDescent="0.2">
      <c r="B43095" s="1168"/>
    </row>
    <row r="43096" spans="2:2" s="221" customFormat="1" ht="12.75" x14ac:dyDescent="0.2">
      <c r="B43096" s="1168"/>
    </row>
    <row r="43097" spans="2:2" s="221" customFormat="1" ht="12.75" x14ac:dyDescent="0.2">
      <c r="B43097" s="1168"/>
    </row>
    <row r="43098" spans="2:2" s="221" customFormat="1" ht="12.75" x14ac:dyDescent="0.2">
      <c r="B43098" s="1168"/>
    </row>
    <row r="43099" spans="2:2" s="221" customFormat="1" ht="12.75" x14ac:dyDescent="0.2">
      <c r="B43099" s="1168"/>
    </row>
    <row r="43100" spans="2:2" s="221" customFormat="1" ht="12.75" x14ac:dyDescent="0.2">
      <c r="B43100" s="1168"/>
    </row>
    <row r="43101" spans="2:2" s="221" customFormat="1" ht="12.75" x14ac:dyDescent="0.2">
      <c r="B43101" s="1168"/>
    </row>
    <row r="43102" spans="2:2" s="221" customFormat="1" ht="12.75" x14ac:dyDescent="0.2">
      <c r="B43102" s="1168"/>
    </row>
    <row r="43103" spans="2:2" s="221" customFormat="1" ht="12.75" x14ac:dyDescent="0.2">
      <c r="B43103" s="1168"/>
    </row>
    <row r="43104" spans="2:2" s="221" customFormat="1" ht="12.75" x14ac:dyDescent="0.2">
      <c r="B43104" s="1168"/>
    </row>
    <row r="43105" spans="2:2" s="221" customFormat="1" ht="12.75" x14ac:dyDescent="0.2">
      <c r="B43105" s="1168"/>
    </row>
    <row r="43106" spans="2:2" s="221" customFormat="1" ht="12.75" x14ac:dyDescent="0.2">
      <c r="B43106" s="1168"/>
    </row>
    <row r="43107" spans="2:2" s="221" customFormat="1" ht="12.75" x14ac:dyDescent="0.2">
      <c r="B43107" s="1168"/>
    </row>
    <row r="43108" spans="2:2" s="221" customFormat="1" ht="12.75" x14ac:dyDescent="0.2">
      <c r="B43108" s="1168"/>
    </row>
    <row r="43109" spans="2:2" s="221" customFormat="1" ht="12.75" x14ac:dyDescent="0.2">
      <c r="B43109" s="1168"/>
    </row>
    <row r="43110" spans="2:2" s="221" customFormat="1" ht="12.75" x14ac:dyDescent="0.2">
      <c r="B43110" s="1168"/>
    </row>
    <row r="43111" spans="2:2" s="221" customFormat="1" ht="12.75" x14ac:dyDescent="0.2">
      <c r="B43111" s="1168"/>
    </row>
    <row r="43112" spans="2:2" s="221" customFormat="1" ht="12.75" x14ac:dyDescent="0.2">
      <c r="B43112" s="1168"/>
    </row>
    <row r="43113" spans="2:2" s="221" customFormat="1" ht="12.75" x14ac:dyDescent="0.2">
      <c r="B43113" s="1168"/>
    </row>
    <row r="43114" spans="2:2" s="221" customFormat="1" ht="12.75" x14ac:dyDescent="0.2">
      <c r="B43114" s="1168"/>
    </row>
    <row r="43115" spans="2:2" s="221" customFormat="1" ht="12.75" x14ac:dyDescent="0.2">
      <c r="B43115" s="1168"/>
    </row>
    <row r="43116" spans="2:2" s="221" customFormat="1" ht="12.75" x14ac:dyDescent="0.2">
      <c r="B43116" s="1168"/>
    </row>
    <row r="43117" spans="2:2" s="221" customFormat="1" ht="12.75" x14ac:dyDescent="0.2">
      <c r="B43117" s="1168"/>
    </row>
    <row r="43118" spans="2:2" s="221" customFormat="1" ht="12.75" x14ac:dyDescent="0.2">
      <c r="B43118" s="1168"/>
    </row>
    <row r="43119" spans="2:2" s="221" customFormat="1" ht="12.75" x14ac:dyDescent="0.2">
      <c r="B43119" s="1168"/>
    </row>
    <row r="43120" spans="2:2" s="221" customFormat="1" ht="12.75" x14ac:dyDescent="0.2">
      <c r="B43120" s="1168"/>
    </row>
    <row r="43121" spans="2:2" s="221" customFormat="1" ht="12.75" x14ac:dyDescent="0.2">
      <c r="B43121" s="1168"/>
    </row>
    <row r="43122" spans="2:2" s="221" customFormat="1" ht="12.75" x14ac:dyDescent="0.2">
      <c r="B43122" s="1168"/>
    </row>
    <row r="43123" spans="2:2" s="221" customFormat="1" ht="12.75" x14ac:dyDescent="0.2">
      <c r="B43123" s="1168"/>
    </row>
    <row r="43124" spans="2:2" s="221" customFormat="1" ht="12.75" x14ac:dyDescent="0.2">
      <c r="B43124" s="1168"/>
    </row>
    <row r="43125" spans="2:2" s="221" customFormat="1" ht="12.75" x14ac:dyDescent="0.2">
      <c r="B43125" s="1168"/>
    </row>
    <row r="43126" spans="2:2" s="221" customFormat="1" ht="12.75" x14ac:dyDescent="0.2">
      <c r="B43126" s="1168"/>
    </row>
    <row r="43127" spans="2:2" s="221" customFormat="1" ht="12.75" x14ac:dyDescent="0.2">
      <c r="B43127" s="1168"/>
    </row>
    <row r="43128" spans="2:2" s="221" customFormat="1" ht="12.75" x14ac:dyDescent="0.2">
      <c r="B43128" s="1168"/>
    </row>
    <row r="43129" spans="2:2" s="221" customFormat="1" ht="12.75" x14ac:dyDescent="0.2">
      <c r="B43129" s="1168"/>
    </row>
    <row r="43130" spans="2:2" s="221" customFormat="1" ht="12.75" x14ac:dyDescent="0.2">
      <c r="B43130" s="1168"/>
    </row>
    <row r="43131" spans="2:2" s="221" customFormat="1" ht="12.75" x14ac:dyDescent="0.2">
      <c r="B43131" s="1168"/>
    </row>
    <row r="43132" spans="2:2" s="221" customFormat="1" ht="12.75" x14ac:dyDescent="0.2">
      <c r="B43132" s="1168"/>
    </row>
    <row r="43133" spans="2:2" s="221" customFormat="1" ht="12.75" x14ac:dyDescent="0.2">
      <c r="B43133" s="1168"/>
    </row>
    <row r="43134" spans="2:2" s="221" customFormat="1" ht="12.75" x14ac:dyDescent="0.2">
      <c r="B43134" s="1168"/>
    </row>
    <row r="43135" spans="2:2" s="221" customFormat="1" ht="12.75" x14ac:dyDescent="0.2">
      <c r="B43135" s="1168"/>
    </row>
    <row r="43136" spans="2:2" s="221" customFormat="1" ht="12.75" x14ac:dyDescent="0.2">
      <c r="B43136" s="1168"/>
    </row>
    <row r="43137" spans="2:2" s="221" customFormat="1" ht="12.75" x14ac:dyDescent="0.2">
      <c r="B43137" s="1168"/>
    </row>
    <row r="43138" spans="2:2" s="221" customFormat="1" ht="12.75" x14ac:dyDescent="0.2">
      <c r="B43138" s="1168"/>
    </row>
    <row r="43139" spans="2:2" s="221" customFormat="1" ht="12.75" x14ac:dyDescent="0.2">
      <c r="B43139" s="1168"/>
    </row>
    <row r="43140" spans="2:2" s="221" customFormat="1" ht="12.75" x14ac:dyDescent="0.2">
      <c r="B43140" s="1168"/>
    </row>
    <row r="43141" spans="2:2" s="221" customFormat="1" ht="12.75" x14ac:dyDescent="0.2">
      <c r="B43141" s="1168"/>
    </row>
    <row r="43142" spans="2:2" s="221" customFormat="1" ht="12.75" x14ac:dyDescent="0.2">
      <c r="B43142" s="1168"/>
    </row>
    <row r="43143" spans="2:2" s="221" customFormat="1" ht="12.75" x14ac:dyDescent="0.2">
      <c r="B43143" s="1168"/>
    </row>
    <row r="43144" spans="2:2" s="221" customFormat="1" ht="12.75" x14ac:dyDescent="0.2">
      <c r="B43144" s="1168"/>
    </row>
    <row r="43145" spans="2:2" s="221" customFormat="1" ht="12.75" x14ac:dyDescent="0.2">
      <c r="B43145" s="1168"/>
    </row>
    <row r="43146" spans="2:2" s="221" customFormat="1" ht="12.75" x14ac:dyDescent="0.2">
      <c r="B43146" s="1168"/>
    </row>
    <row r="43147" spans="2:2" s="221" customFormat="1" ht="12.75" x14ac:dyDescent="0.2">
      <c r="B43147" s="1168"/>
    </row>
    <row r="43148" spans="2:2" s="221" customFormat="1" ht="12.75" x14ac:dyDescent="0.2">
      <c r="B43148" s="1168"/>
    </row>
    <row r="43149" spans="2:2" s="221" customFormat="1" ht="12.75" x14ac:dyDescent="0.2">
      <c r="B43149" s="1168"/>
    </row>
    <row r="43150" spans="2:2" s="221" customFormat="1" ht="12.75" x14ac:dyDescent="0.2">
      <c r="B43150" s="1168"/>
    </row>
    <row r="43151" spans="2:2" s="221" customFormat="1" ht="12.75" x14ac:dyDescent="0.2">
      <c r="B43151" s="1168"/>
    </row>
    <row r="43152" spans="2:2" s="221" customFormat="1" ht="12.75" x14ac:dyDescent="0.2">
      <c r="B43152" s="1168"/>
    </row>
    <row r="43153" spans="2:2" s="221" customFormat="1" ht="12.75" x14ac:dyDescent="0.2">
      <c r="B43153" s="1168"/>
    </row>
    <row r="43154" spans="2:2" s="221" customFormat="1" ht="12.75" x14ac:dyDescent="0.2">
      <c r="B43154" s="1168"/>
    </row>
    <row r="43155" spans="2:2" s="221" customFormat="1" ht="12.75" x14ac:dyDescent="0.2">
      <c r="B43155" s="1168"/>
    </row>
    <row r="43156" spans="2:2" s="221" customFormat="1" ht="12.75" x14ac:dyDescent="0.2">
      <c r="B43156" s="1168"/>
    </row>
    <row r="43157" spans="2:2" s="221" customFormat="1" ht="12.75" x14ac:dyDescent="0.2">
      <c r="B43157" s="1168"/>
    </row>
    <row r="43158" spans="2:2" s="221" customFormat="1" ht="12.75" x14ac:dyDescent="0.2">
      <c r="B43158" s="1168"/>
    </row>
    <row r="43159" spans="2:2" s="221" customFormat="1" ht="12.75" x14ac:dyDescent="0.2">
      <c r="B43159" s="1168"/>
    </row>
    <row r="43160" spans="2:2" s="221" customFormat="1" ht="12.75" x14ac:dyDescent="0.2">
      <c r="B43160" s="1168"/>
    </row>
    <row r="43161" spans="2:2" s="221" customFormat="1" ht="12.75" x14ac:dyDescent="0.2">
      <c r="B43161" s="1168"/>
    </row>
    <row r="43162" spans="2:2" s="221" customFormat="1" ht="12.75" x14ac:dyDescent="0.2">
      <c r="B43162" s="1168"/>
    </row>
    <row r="43163" spans="2:2" s="221" customFormat="1" ht="12.75" x14ac:dyDescent="0.2">
      <c r="B43163" s="1168"/>
    </row>
    <row r="43164" spans="2:2" s="221" customFormat="1" ht="12.75" x14ac:dyDescent="0.2">
      <c r="B43164" s="1168"/>
    </row>
    <row r="43165" spans="2:2" s="221" customFormat="1" ht="12.75" x14ac:dyDescent="0.2">
      <c r="B43165" s="1168"/>
    </row>
    <row r="43166" spans="2:2" s="221" customFormat="1" ht="12.75" x14ac:dyDescent="0.2">
      <c r="B43166" s="1168"/>
    </row>
    <row r="43167" spans="2:2" s="221" customFormat="1" ht="12.75" x14ac:dyDescent="0.2">
      <c r="B43167" s="1168"/>
    </row>
    <row r="43168" spans="2:2" s="221" customFormat="1" ht="12.75" x14ac:dyDescent="0.2">
      <c r="B43168" s="1168"/>
    </row>
    <row r="43169" spans="2:2" s="221" customFormat="1" ht="12.75" x14ac:dyDescent="0.2">
      <c r="B43169" s="1168"/>
    </row>
    <row r="43170" spans="2:2" s="221" customFormat="1" ht="12.75" x14ac:dyDescent="0.2">
      <c r="B43170" s="1168"/>
    </row>
    <row r="43171" spans="2:2" s="221" customFormat="1" ht="12.75" x14ac:dyDescent="0.2">
      <c r="B43171" s="1168"/>
    </row>
    <row r="43172" spans="2:2" s="221" customFormat="1" ht="12.75" x14ac:dyDescent="0.2">
      <c r="B43172" s="1168"/>
    </row>
    <row r="43173" spans="2:2" s="221" customFormat="1" ht="12.75" x14ac:dyDescent="0.2">
      <c r="B43173" s="1168"/>
    </row>
    <row r="43174" spans="2:2" s="221" customFormat="1" ht="12.75" x14ac:dyDescent="0.2">
      <c r="B43174" s="1168"/>
    </row>
    <row r="43175" spans="2:2" s="221" customFormat="1" ht="12.75" x14ac:dyDescent="0.2">
      <c r="B43175" s="1168"/>
    </row>
    <row r="43176" spans="2:2" s="221" customFormat="1" ht="12.75" x14ac:dyDescent="0.2">
      <c r="B43176" s="1168"/>
    </row>
    <row r="43177" spans="2:2" s="221" customFormat="1" ht="12.75" x14ac:dyDescent="0.2">
      <c r="B43177" s="1168"/>
    </row>
    <row r="43178" spans="2:2" s="221" customFormat="1" ht="12.75" x14ac:dyDescent="0.2">
      <c r="B43178" s="1168"/>
    </row>
    <row r="43179" spans="2:2" s="221" customFormat="1" ht="12.75" x14ac:dyDescent="0.2">
      <c r="B43179" s="1168"/>
    </row>
    <row r="43180" spans="2:2" s="221" customFormat="1" ht="12.75" x14ac:dyDescent="0.2">
      <c r="B43180" s="1168"/>
    </row>
    <row r="43181" spans="2:2" s="221" customFormat="1" ht="12.75" x14ac:dyDescent="0.2">
      <c r="B43181" s="1168"/>
    </row>
    <row r="43182" spans="2:2" s="221" customFormat="1" ht="12.75" x14ac:dyDescent="0.2">
      <c r="B43182" s="1168"/>
    </row>
    <row r="43183" spans="2:2" s="221" customFormat="1" ht="12.75" x14ac:dyDescent="0.2">
      <c r="B43183" s="1168"/>
    </row>
    <row r="43184" spans="2:2" s="221" customFormat="1" ht="12.75" x14ac:dyDescent="0.2">
      <c r="B43184" s="1168"/>
    </row>
    <row r="43185" spans="2:2" s="221" customFormat="1" ht="12.75" x14ac:dyDescent="0.2">
      <c r="B43185" s="1168"/>
    </row>
    <row r="43186" spans="2:2" s="221" customFormat="1" ht="12.75" x14ac:dyDescent="0.2">
      <c r="B43186" s="1168"/>
    </row>
    <row r="43187" spans="2:2" s="221" customFormat="1" ht="12.75" x14ac:dyDescent="0.2">
      <c r="B43187" s="1168"/>
    </row>
    <row r="43188" spans="2:2" s="221" customFormat="1" ht="12.75" x14ac:dyDescent="0.2">
      <c r="B43188" s="1168"/>
    </row>
    <row r="43189" spans="2:2" s="221" customFormat="1" ht="12.75" x14ac:dyDescent="0.2">
      <c r="B43189" s="1168"/>
    </row>
    <row r="43190" spans="2:2" s="221" customFormat="1" ht="12.75" x14ac:dyDescent="0.2">
      <c r="B43190" s="1168"/>
    </row>
    <row r="43191" spans="2:2" s="221" customFormat="1" ht="12.75" x14ac:dyDescent="0.2">
      <c r="B43191" s="1168"/>
    </row>
    <row r="43192" spans="2:2" s="221" customFormat="1" ht="12.75" x14ac:dyDescent="0.2">
      <c r="B43192" s="1168"/>
    </row>
    <row r="43193" spans="2:2" s="221" customFormat="1" ht="12.75" x14ac:dyDescent="0.2">
      <c r="B43193" s="1168"/>
    </row>
    <row r="43194" spans="2:2" s="221" customFormat="1" ht="12.75" x14ac:dyDescent="0.2">
      <c r="B43194" s="1168"/>
    </row>
    <row r="43195" spans="2:2" s="221" customFormat="1" ht="12.75" x14ac:dyDescent="0.2">
      <c r="B43195" s="1168"/>
    </row>
    <row r="43196" spans="2:2" s="221" customFormat="1" ht="12.75" x14ac:dyDescent="0.2">
      <c r="B43196" s="1168"/>
    </row>
    <row r="43197" spans="2:2" s="221" customFormat="1" ht="12.75" x14ac:dyDescent="0.2">
      <c r="B43197" s="1168"/>
    </row>
    <row r="43198" spans="2:2" s="221" customFormat="1" ht="12.75" x14ac:dyDescent="0.2">
      <c r="B43198" s="1168"/>
    </row>
    <row r="43199" spans="2:2" s="221" customFormat="1" ht="12.75" x14ac:dyDescent="0.2">
      <c r="B43199" s="1168"/>
    </row>
    <row r="43200" spans="2:2" s="221" customFormat="1" ht="12.75" x14ac:dyDescent="0.2">
      <c r="B43200" s="1168"/>
    </row>
    <row r="43201" spans="2:2" s="221" customFormat="1" ht="12.75" x14ac:dyDescent="0.2">
      <c r="B43201" s="1168"/>
    </row>
    <row r="43202" spans="2:2" s="221" customFormat="1" ht="12.75" x14ac:dyDescent="0.2">
      <c r="B43202" s="1168"/>
    </row>
    <row r="43203" spans="2:2" s="221" customFormat="1" ht="12.75" x14ac:dyDescent="0.2">
      <c r="B43203" s="1168"/>
    </row>
    <row r="43204" spans="2:2" s="221" customFormat="1" ht="12.75" x14ac:dyDescent="0.2">
      <c r="B43204" s="1168"/>
    </row>
    <row r="43205" spans="2:2" s="221" customFormat="1" ht="12.75" x14ac:dyDescent="0.2">
      <c r="B43205" s="1168"/>
    </row>
    <row r="43206" spans="2:2" s="221" customFormat="1" ht="12.75" x14ac:dyDescent="0.2">
      <c r="B43206" s="1168"/>
    </row>
    <row r="43207" spans="2:2" s="221" customFormat="1" ht="12.75" x14ac:dyDescent="0.2">
      <c r="B43207" s="1168"/>
    </row>
    <row r="43208" spans="2:2" s="221" customFormat="1" ht="12.75" x14ac:dyDescent="0.2">
      <c r="B43208" s="1168"/>
    </row>
    <row r="43209" spans="2:2" s="221" customFormat="1" ht="12.75" x14ac:dyDescent="0.2">
      <c r="B43209" s="1168"/>
    </row>
    <row r="43210" spans="2:2" s="221" customFormat="1" ht="12.75" x14ac:dyDescent="0.2">
      <c r="B43210" s="1168"/>
    </row>
    <row r="43211" spans="2:2" s="221" customFormat="1" ht="12.75" x14ac:dyDescent="0.2">
      <c r="B43211" s="1168"/>
    </row>
    <row r="43212" spans="2:2" s="221" customFormat="1" ht="12.75" x14ac:dyDescent="0.2">
      <c r="B43212" s="1168"/>
    </row>
    <row r="43213" spans="2:2" s="221" customFormat="1" ht="12.75" x14ac:dyDescent="0.2">
      <c r="B43213" s="1168"/>
    </row>
    <row r="43214" spans="2:2" s="221" customFormat="1" ht="12.75" x14ac:dyDescent="0.2">
      <c r="B43214" s="1168"/>
    </row>
    <row r="43215" spans="2:2" s="221" customFormat="1" ht="12.75" x14ac:dyDescent="0.2">
      <c r="B43215" s="1168"/>
    </row>
    <row r="43216" spans="2:2" s="221" customFormat="1" ht="12.75" x14ac:dyDescent="0.2">
      <c r="B43216" s="1168"/>
    </row>
    <row r="43217" spans="2:2" s="221" customFormat="1" ht="12.75" x14ac:dyDescent="0.2">
      <c r="B43217" s="1168"/>
    </row>
    <row r="43218" spans="2:2" s="221" customFormat="1" ht="12.75" x14ac:dyDescent="0.2">
      <c r="B43218" s="1168"/>
    </row>
    <row r="43219" spans="2:2" s="221" customFormat="1" ht="12.75" x14ac:dyDescent="0.2">
      <c r="B43219" s="1168"/>
    </row>
    <row r="43220" spans="2:2" s="221" customFormat="1" ht="12.75" x14ac:dyDescent="0.2">
      <c r="B43220" s="1168"/>
    </row>
    <row r="43221" spans="2:2" s="221" customFormat="1" ht="12.75" x14ac:dyDescent="0.2">
      <c r="B43221" s="1168"/>
    </row>
    <row r="43222" spans="2:2" s="221" customFormat="1" ht="12.75" x14ac:dyDescent="0.2">
      <c r="B43222" s="1168"/>
    </row>
    <row r="43223" spans="2:2" s="221" customFormat="1" ht="12.75" x14ac:dyDescent="0.2">
      <c r="B43223" s="1168"/>
    </row>
    <row r="43224" spans="2:2" s="221" customFormat="1" ht="12.75" x14ac:dyDescent="0.2">
      <c r="B43224" s="1168"/>
    </row>
    <row r="43225" spans="2:2" s="221" customFormat="1" ht="12.75" x14ac:dyDescent="0.2">
      <c r="B43225" s="1168"/>
    </row>
    <row r="43226" spans="2:2" s="221" customFormat="1" ht="12.75" x14ac:dyDescent="0.2">
      <c r="B43226" s="1168"/>
    </row>
    <row r="43227" spans="2:2" s="221" customFormat="1" ht="12.75" x14ac:dyDescent="0.2">
      <c r="B43227" s="1168"/>
    </row>
    <row r="43228" spans="2:2" s="221" customFormat="1" ht="12.75" x14ac:dyDescent="0.2">
      <c r="B43228" s="1168"/>
    </row>
    <row r="43229" spans="2:2" s="221" customFormat="1" ht="12.75" x14ac:dyDescent="0.2">
      <c r="B43229" s="1168"/>
    </row>
    <row r="43230" spans="2:2" s="221" customFormat="1" ht="12.75" x14ac:dyDescent="0.2">
      <c r="B43230" s="1168"/>
    </row>
    <row r="43231" spans="2:2" s="221" customFormat="1" ht="12.75" x14ac:dyDescent="0.2">
      <c r="B43231" s="1168"/>
    </row>
    <row r="43232" spans="2:2" s="221" customFormat="1" ht="12.75" x14ac:dyDescent="0.2">
      <c r="B43232" s="1168"/>
    </row>
    <row r="43233" spans="2:2" s="221" customFormat="1" ht="12.75" x14ac:dyDescent="0.2">
      <c r="B43233" s="1168"/>
    </row>
    <row r="43234" spans="2:2" s="221" customFormat="1" ht="12.75" x14ac:dyDescent="0.2">
      <c r="B43234" s="1168"/>
    </row>
    <row r="43235" spans="2:2" s="221" customFormat="1" ht="12.75" x14ac:dyDescent="0.2">
      <c r="B43235" s="1168"/>
    </row>
    <row r="43236" spans="2:2" s="221" customFormat="1" ht="12.75" x14ac:dyDescent="0.2">
      <c r="B43236" s="1168"/>
    </row>
    <row r="43237" spans="2:2" s="221" customFormat="1" ht="12.75" x14ac:dyDescent="0.2">
      <c r="B43237" s="1168"/>
    </row>
    <row r="43238" spans="2:2" s="221" customFormat="1" ht="12.75" x14ac:dyDescent="0.2">
      <c r="B43238" s="1168"/>
    </row>
    <row r="43239" spans="2:2" s="221" customFormat="1" ht="12.75" x14ac:dyDescent="0.2">
      <c r="B43239" s="1168"/>
    </row>
    <row r="43240" spans="2:2" s="221" customFormat="1" ht="12.75" x14ac:dyDescent="0.2">
      <c r="B43240" s="1168"/>
    </row>
    <row r="43241" spans="2:2" s="221" customFormat="1" ht="12.75" x14ac:dyDescent="0.2">
      <c r="B43241" s="1168"/>
    </row>
    <row r="43242" spans="2:2" s="221" customFormat="1" ht="12.75" x14ac:dyDescent="0.2">
      <c r="B43242" s="1168"/>
    </row>
    <row r="43243" spans="2:2" s="221" customFormat="1" ht="12.75" x14ac:dyDescent="0.2">
      <c r="B43243" s="1168"/>
    </row>
    <row r="43244" spans="2:2" s="221" customFormat="1" ht="12.75" x14ac:dyDescent="0.2">
      <c r="B43244" s="1168"/>
    </row>
    <row r="43245" spans="2:2" s="221" customFormat="1" ht="12.75" x14ac:dyDescent="0.2">
      <c r="B43245" s="1168"/>
    </row>
    <row r="43246" spans="2:2" s="221" customFormat="1" ht="12.75" x14ac:dyDescent="0.2">
      <c r="B43246" s="1168"/>
    </row>
    <row r="43247" spans="2:2" s="221" customFormat="1" ht="12.75" x14ac:dyDescent="0.2">
      <c r="B43247" s="1168"/>
    </row>
    <row r="43248" spans="2:2" s="221" customFormat="1" ht="12.75" x14ac:dyDescent="0.2">
      <c r="B43248" s="1168"/>
    </row>
    <row r="43249" spans="2:2" s="221" customFormat="1" ht="12.75" x14ac:dyDescent="0.2">
      <c r="B43249" s="1168"/>
    </row>
    <row r="43250" spans="2:2" s="221" customFormat="1" ht="12.75" x14ac:dyDescent="0.2">
      <c r="B43250" s="1168"/>
    </row>
    <row r="43251" spans="2:2" s="221" customFormat="1" ht="12.75" x14ac:dyDescent="0.2">
      <c r="B43251" s="1168"/>
    </row>
    <row r="43252" spans="2:2" s="221" customFormat="1" ht="12.75" x14ac:dyDescent="0.2">
      <c r="B43252" s="1168"/>
    </row>
    <row r="43253" spans="2:2" s="221" customFormat="1" ht="12.75" x14ac:dyDescent="0.2">
      <c r="B43253" s="1168"/>
    </row>
    <row r="43254" spans="2:2" s="221" customFormat="1" ht="12.75" x14ac:dyDescent="0.2">
      <c r="B43254" s="1168"/>
    </row>
    <row r="43255" spans="2:2" s="221" customFormat="1" ht="12.75" x14ac:dyDescent="0.2">
      <c r="B43255" s="1168"/>
    </row>
    <row r="43256" spans="2:2" s="221" customFormat="1" ht="12.75" x14ac:dyDescent="0.2">
      <c r="B43256" s="1168"/>
    </row>
    <row r="43257" spans="2:2" s="221" customFormat="1" ht="12.75" x14ac:dyDescent="0.2">
      <c r="B43257" s="1168"/>
    </row>
    <row r="43258" spans="2:2" s="221" customFormat="1" ht="12.75" x14ac:dyDescent="0.2">
      <c r="B43258" s="1168"/>
    </row>
    <row r="43259" spans="2:2" s="221" customFormat="1" ht="12.75" x14ac:dyDescent="0.2">
      <c r="B43259" s="1168"/>
    </row>
    <row r="43260" spans="2:2" s="221" customFormat="1" ht="12.75" x14ac:dyDescent="0.2">
      <c r="B43260" s="1168"/>
    </row>
    <row r="43261" spans="2:2" s="221" customFormat="1" ht="12.75" x14ac:dyDescent="0.2">
      <c r="B43261" s="1168"/>
    </row>
    <row r="43262" spans="2:2" s="221" customFormat="1" ht="12.75" x14ac:dyDescent="0.2">
      <c r="B43262" s="1168"/>
    </row>
    <row r="43263" spans="2:2" s="221" customFormat="1" ht="12.75" x14ac:dyDescent="0.2">
      <c r="B43263" s="1168"/>
    </row>
    <row r="43264" spans="2:2" s="221" customFormat="1" ht="12.75" x14ac:dyDescent="0.2">
      <c r="B43264" s="1168"/>
    </row>
    <row r="43265" spans="2:2" s="221" customFormat="1" ht="12.75" x14ac:dyDescent="0.2">
      <c r="B43265" s="1168"/>
    </row>
    <row r="43266" spans="2:2" s="221" customFormat="1" ht="12.75" x14ac:dyDescent="0.2">
      <c r="B43266" s="1168"/>
    </row>
    <row r="43267" spans="2:2" s="221" customFormat="1" ht="12.75" x14ac:dyDescent="0.2">
      <c r="B43267" s="1168"/>
    </row>
    <row r="43268" spans="2:2" s="221" customFormat="1" ht="12.75" x14ac:dyDescent="0.2">
      <c r="B43268" s="1168"/>
    </row>
    <row r="43269" spans="2:2" s="221" customFormat="1" ht="12.75" x14ac:dyDescent="0.2">
      <c r="B43269" s="1168"/>
    </row>
    <row r="43270" spans="2:2" s="221" customFormat="1" ht="12.75" x14ac:dyDescent="0.2">
      <c r="B43270" s="1168"/>
    </row>
    <row r="43271" spans="2:2" s="221" customFormat="1" ht="12.75" x14ac:dyDescent="0.2">
      <c r="B43271" s="1168"/>
    </row>
    <row r="43272" spans="2:2" s="221" customFormat="1" ht="12.75" x14ac:dyDescent="0.2">
      <c r="B43272" s="1168"/>
    </row>
    <row r="43273" spans="2:2" s="221" customFormat="1" ht="12.75" x14ac:dyDescent="0.2">
      <c r="B43273" s="1168"/>
    </row>
    <row r="43274" spans="2:2" s="221" customFormat="1" ht="12.75" x14ac:dyDescent="0.2">
      <c r="B43274" s="1168"/>
    </row>
    <row r="43275" spans="2:2" s="221" customFormat="1" ht="12.75" x14ac:dyDescent="0.2">
      <c r="B43275" s="1168"/>
    </row>
    <row r="43276" spans="2:2" s="221" customFormat="1" ht="12.75" x14ac:dyDescent="0.2">
      <c r="B43276" s="1168"/>
    </row>
    <row r="43277" spans="2:2" s="221" customFormat="1" ht="12.75" x14ac:dyDescent="0.2">
      <c r="B43277" s="1168"/>
    </row>
    <row r="43278" spans="2:2" s="221" customFormat="1" ht="12.75" x14ac:dyDescent="0.2">
      <c r="B43278" s="1168"/>
    </row>
    <row r="43279" spans="2:2" s="221" customFormat="1" ht="12.75" x14ac:dyDescent="0.2">
      <c r="B43279" s="1168"/>
    </row>
    <row r="43280" spans="2:2" s="221" customFormat="1" ht="12.75" x14ac:dyDescent="0.2">
      <c r="B43280" s="1168"/>
    </row>
    <row r="43281" spans="2:2" s="221" customFormat="1" ht="12.75" x14ac:dyDescent="0.2">
      <c r="B43281" s="1168"/>
    </row>
    <row r="43282" spans="2:2" s="221" customFormat="1" ht="12.75" x14ac:dyDescent="0.2">
      <c r="B43282" s="1168"/>
    </row>
    <row r="43283" spans="2:2" s="221" customFormat="1" ht="12.75" x14ac:dyDescent="0.2">
      <c r="B43283" s="1168"/>
    </row>
    <row r="43284" spans="2:2" s="221" customFormat="1" ht="12.75" x14ac:dyDescent="0.2">
      <c r="B43284" s="1168"/>
    </row>
    <row r="43285" spans="2:2" s="221" customFormat="1" ht="12.75" x14ac:dyDescent="0.2">
      <c r="B43285" s="1168"/>
    </row>
    <row r="43286" spans="2:2" s="221" customFormat="1" ht="12.75" x14ac:dyDescent="0.2">
      <c r="B43286" s="1168"/>
    </row>
    <row r="43287" spans="2:2" s="221" customFormat="1" ht="12.75" x14ac:dyDescent="0.2">
      <c r="B43287" s="1168"/>
    </row>
    <row r="43288" spans="2:2" s="221" customFormat="1" ht="12.75" x14ac:dyDescent="0.2">
      <c r="B43288" s="1168"/>
    </row>
    <row r="43289" spans="2:2" s="221" customFormat="1" ht="12.75" x14ac:dyDescent="0.2">
      <c r="B43289" s="1168"/>
    </row>
    <row r="43290" spans="2:2" s="221" customFormat="1" ht="12.75" x14ac:dyDescent="0.2">
      <c r="B43290" s="1168"/>
    </row>
    <row r="43291" spans="2:2" s="221" customFormat="1" ht="12.75" x14ac:dyDescent="0.2">
      <c r="B43291" s="1168"/>
    </row>
    <row r="43292" spans="2:2" s="221" customFormat="1" ht="12.75" x14ac:dyDescent="0.2">
      <c r="B43292" s="1168"/>
    </row>
    <row r="43293" spans="2:2" s="221" customFormat="1" ht="12.75" x14ac:dyDescent="0.2">
      <c r="B43293" s="1168"/>
    </row>
    <row r="43294" spans="2:2" s="221" customFormat="1" ht="12.75" x14ac:dyDescent="0.2">
      <c r="B43294" s="1168"/>
    </row>
    <row r="43295" spans="2:2" s="221" customFormat="1" ht="12.75" x14ac:dyDescent="0.2">
      <c r="B43295" s="1168"/>
    </row>
    <row r="43296" spans="2:2" s="221" customFormat="1" ht="12.75" x14ac:dyDescent="0.2">
      <c r="B43296" s="1168"/>
    </row>
    <row r="43297" spans="2:2" s="221" customFormat="1" ht="12.75" x14ac:dyDescent="0.2">
      <c r="B43297" s="1168"/>
    </row>
    <row r="43298" spans="2:2" s="221" customFormat="1" ht="12.75" x14ac:dyDescent="0.2">
      <c r="B43298" s="1168"/>
    </row>
    <row r="43299" spans="2:2" s="221" customFormat="1" ht="12.75" x14ac:dyDescent="0.2">
      <c r="B43299" s="1168"/>
    </row>
    <row r="43300" spans="2:2" s="221" customFormat="1" ht="12.75" x14ac:dyDescent="0.2">
      <c r="B43300" s="1168"/>
    </row>
    <row r="43301" spans="2:2" s="221" customFormat="1" ht="12.75" x14ac:dyDescent="0.2">
      <c r="B43301" s="1168"/>
    </row>
    <row r="43302" spans="2:2" s="221" customFormat="1" ht="12.75" x14ac:dyDescent="0.2">
      <c r="B43302" s="1168"/>
    </row>
    <row r="43303" spans="2:2" s="221" customFormat="1" ht="12.75" x14ac:dyDescent="0.2">
      <c r="B43303" s="1168"/>
    </row>
    <row r="43304" spans="2:2" s="221" customFormat="1" ht="12.75" x14ac:dyDescent="0.2">
      <c r="B43304" s="1168"/>
    </row>
    <row r="43305" spans="2:2" s="221" customFormat="1" ht="12.75" x14ac:dyDescent="0.2">
      <c r="B43305" s="1168"/>
    </row>
    <row r="43306" spans="2:2" s="221" customFormat="1" ht="12.75" x14ac:dyDescent="0.2">
      <c r="B43306" s="1168"/>
    </row>
    <row r="43307" spans="2:2" s="221" customFormat="1" ht="12.75" x14ac:dyDescent="0.2">
      <c r="B43307" s="1168"/>
    </row>
    <row r="43308" spans="2:2" s="221" customFormat="1" ht="12.75" x14ac:dyDescent="0.2">
      <c r="B43308" s="1168"/>
    </row>
    <row r="43309" spans="2:2" s="221" customFormat="1" ht="12.75" x14ac:dyDescent="0.2">
      <c r="B43309" s="1168"/>
    </row>
    <row r="43310" spans="2:2" s="221" customFormat="1" ht="12.75" x14ac:dyDescent="0.2">
      <c r="B43310" s="1168"/>
    </row>
    <row r="43311" spans="2:2" s="221" customFormat="1" ht="12.75" x14ac:dyDescent="0.2">
      <c r="B43311" s="1168"/>
    </row>
    <row r="43312" spans="2:2" s="221" customFormat="1" ht="12.75" x14ac:dyDescent="0.2">
      <c r="B43312" s="1168"/>
    </row>
    <row r="43313" spans="2:2" s="221" customFormat="1" ht="12.75" x14ac:dyDescent="0.2">
      <c r="B43313" s="1168"/>
    </row>
    <row r="43314" spans="2:2" s="221" customFormat="1" ht="12.75" x14ac:dyDescent="0.2">
      <c r="B43314" s="1168"/>
    </row>
    <row r="43315" spans="2:2" s="221" customFormat="1" ht="12.75" x14ac:dyDescent="0.2">
      <c r="B43315" s="1168"/>
    </row>
    <row r="43316" spans="2:2" s="221" customFormat="1" ht="12.75" x14ac:dyDescent="0.2">
      <c r="B43316" s="1168"/>
    </row>
    <row r="43317" spans="2:2" s="221" customFormat="1" ht="12.75" x14ac:dyDescent="0.2">
      <c r="B43317" s="1168"/>
    </row>
    <row r="43318" spans="2:2" s="221" customFormat="1" ht="12.75" x14ac:dyDescent="0.2">
      <c r="B43318" s="1168"/>
    </row>
    <row r="43319" spans="2:2" s="221" customFormat="1" ht="12.75" x14ac:dyDescent="0.2">
      <c r="B43319" s="1168"/>
    </row>
    <row r="43320" spans="2:2" s="221" customFormat="1" ht="12.75" x14ac:dyDescent="0.2">
      <c r="B43320" s="1168"/>
    </row>
    <row r="43321" spans="2:2" s="221" customFormat="1" ht="12.75" x14ac:dyDescent="0.2">
      <c r="B43321" s="1168"/>
    </row>
    <row r="43322" spans="2:2" s="221" customFormat="1" ht="12.75" x14ac:dyDescent="0.2">
      <c r="B43322" s="1168"/>
    </row>
    <row r="43323" spans="2:2" s="221" customFormat="1" ht="12.75" x14ac:dyDescent="0.2">
      <c r="B43323" s="1168"/>
    </row>
    <row r="43324" spans="2:2" s="221" customFormat="1" ht="12.75" x14ac:dyDescent="0.2">
      <c r="B43324" s="1168"/>
    </row>
    <row r="43325" spans="2:2" s="221" customFormat="1" ht="12.75" x14ac:dyDescent="0.2">
      <c r="B43325" s="1168"/>
    </row>
    <row r="43326" spans="2:2" s="221" customFormat="1" ht="12.75" x14ac:dyDescent="0.2">
      <c r="B43326" s="1168"/>
    </row>
    <row r="43327" spans="2:2" s="221" customFormat="1" ht="12.75" x14ac:dyDescent="0.2">
      <c r="B43327" s="1168"/>
    </row>
    <row r="43328" spans="2:2" s="221" customFormat="1" ht="12.75" x14ac:dyDescent="0.2">
      <c r="B43328" s="1168"/>
    </row>
    <row r="43329" spans="2:2" s="221" customFormat="1" ht="12.75" x14ac:dyDescent="0.2">
      <c r="B43329" s="1168"/>
    </row>
    <row r="43330" spans="2:2" s="221" customFormat="1" ht="12.75" x14ac:dyDescent="0.2">
      <c r="B43330" s="1168"/>
    </row>
    <row r="43331" spans="2:2" s="221" customFormat="1" ht="12.75" x14ac:dyDescent="0.2">
      <c r="B43331" s="1168"/>
    </row>
    <row r="43332" spans="2:2" s="221" customFormat="1" ht="12.75" x14ac:dyDescent="0.2">
      <c r="B43332" s="1168"/>
    </row>
    <row r="43333" spans="2:2" s="221" customFormat="1" ht="12.75" x14ac:dyDescent="0.2">
      <c r="B43333" s="1168"/>
    </row>
    <row r="43334" spans="2:2" s="221" customFormat="1" ht="12.75" x14ac:dyDescent="0.2">
      <c r="B43334" s="1168"/>
    </row>
    <row r="43335" spans="2:2" s="221" customFormat="1" ht="12.75" x14ac:dyDescent="0.2">
      <c r="B43335" s="1168"/>
    </row>
    <row r="43336" spans="2:2" s="221" customFormat="1" ht="12.75" x14ac:dyDescent="0.2">
      <c r="B43336" s="1168"/>
    </row>
    <row r="43337" spans="2:2" s="221" customFormat="1" ht="12.75" x14ac:dyDescent="0.2">
      <c r="B43337" s="1168"/>
    </row>
    <row r="43338" spans="2:2" s="221" customFormat="1" ht="12.75" x14ac:dyDescent="0.2">
      <c r="B43338" s="1168"/>
    </row>
    <row r="43339" spans="2:2" s="221" customFormat="1" ht="12.75" x14ac:dyDescent="0.2">
      <c r="B43339" s="1168"/>
    </row>
    <row r="43340" spans="2:2" s="221" customFormat="1" ht="12.75" x14ac:dyDescent="0.2">
      <c r="B43340" s="1168"/>
    </row>
    <row r="43341" spans="2:2" s="221" customFormat="1" ht="12.75" x14ac:dyDescent="0.2">
      <c r="B43341" s="1168"/>
    </row>
    <row r="43342" spans="2:2" s="221" customFormat="1" ht="12.75" x14ac:dyDescent="0.2">
      <c r="B43342" s="1168"/>
    </row>
    <row r="43343" spans="2:2" s="221" customFormat="1" ht="12.75" x14ac:dyDescent="0.2">
      <c r="B43343" s="1168"/>
    </row>
    <row r="43344" spans="2:2" s="221" customFormat="1" ht="12.75" x14ac:dyDescent="0.2">
      <c r="B43344" s="1168"/>
    </row>
    <row r="43345" spans="2:2" s="221" customFormat="1" ht="12.75" x14ac:dyDescent="0.2">
      <c r="B43345" s="1168"/>
    </row>
    <row r="43346" spans="2:2" s="221" customFormat="1" ht="12.75" x14ac:dyDescent="0.2">
      <c r="B43346" s="1168"/>
    </row>
    <row r="43347" spans="2:2" s="221" customFormat="1" ht="12.75" x14ac:dyDescent="0.2">
      <c r="B43347" s="1168"/>
    </row>
    <row r="43348" spans="2:2" s="221" customFormat="1" ht="12.75" x14ac:dyDescent="0.2">
      <c r="B43348" s="1168"/>
    </row>
    <row r="43349" spans="2:2" s="221" customFormat="1" ht="12.75" x14ac:dyDescent="0.2">
      <c r="B43349" s="1168"/>
    </row>
    <row r="43350" spans="2:2" s="221" customFormat="1" ht="12.75" x14ac:dyDescent="0.2">
      <c r="B43350" s="1168"/>
    </row>
    <row r="43351" spans="2:2" s="221" customFormat="1" ht="12.75" x14ac:dyDescent="0.2">
      <c r="B43351" s="1168"/>
    </row>
    <row r="43352" spans="2:2" s="221" customFormat="1" ht="12.75" x14ac:dyDescent="0.2">
      <c r="B43352" s="1168"/>
    </row>
    <row r="43353" spans="2:2" s="221" customFormat="1" ht="12.75" x14ac:dyDescent="0.2">
      <c r="B43353" s="1168"/>
    </row>
    <row r="43354" spans="2:2" s="221" customFormat="1" ht="12.75" x14ac:dyDescent="0.2">
      <c r="B43354" s="1168"/>
    </row>
    <row r="43355" spans="2:2" s="221" customFormat="1" ht="12.75" x14ac:dyDescent="0.2">
      <c r="B43355" s="1168"/>
    </row>
    <row r="43356" spans="2:2" s="221" customFormat="1" ht="12.75" x14ac:dyDescent="0.2">
      <c r="B43356" s="1168"/>
    </row>
    <row r="43357" spans="2:2" s="221" customFormat="1" ht="12.75" x14ac:dyDescent="0.2">
      <c r="B43357" s="1168"/>
    </row>
    <row r="43358" spans="2:2" s="221" customFormat="1" ht="12.75" x14ac:dyDescent="0.2">
      <c r="B43358" s="1168"/>
    </row>
    <row r="43359" spans="2:2" s="221" customFormat="1" ht="12.75" x14ac:dyDescent="0.2">
      <c r="B43359" s="1168"/>
    </row>
    <row r="43360" spans="2:2" s="221" customFormat="1" ht="12.75" x14ac:dyDescent="0.2">
      <c r="B43360" s="1168"/>
    </row>
    <row r="43361" spans="2:2" s="221" customFormat="1" ht="12.75" x14ac:dyDescent="0.2">
      <c r="B43361" s="1168"/>
    </row>
    <row r="43362" spans="2:2" s="221" customFormat="1" ht="12.75" x14ac:dyDescent="0.2">
      <c r="B43362" s="1168"/>
    </row>
    <row r="43363" spans="2:2" s="221" customFormat="1" ht="12.75" x14ac:dyDescent="0.2">
      <c r="B43363" s="1168"/>
    </row>
    <row r="43364" spans="2:2" s="221" customFormat="1" ht="12.75" x14ac:dyDescent="0.2">
      <c r="B43364" s="1168"/>
    </row>
    <row r="43365" spans="2:2" s="221" customFormat="1" ht="12.75" x14ac:dyDescent="0.2">
      <c r="B43365" s="1168"/>
    </row>
    <row r="43366" spans="2:2" s="221" customFormat="1" ht="12.75" x14ac:dyDescent="0.2">
      <c r="B43366" s="1168"/>
    </row>
    <row r="43367" spans="2:2" s="221" customFormat="1" ht="12.75" x14ac:dyDescent="0.2">
      <c r="B43367" s="1168"/>
    </row>
    <row r="43368" spans="2:2" s="221" customFormat="1" ht="12.75" x14ac:dyDescent="0.2">
      <c r="B43368" s="1168"/>
    </row>
    <row r="43369" spans="2:2" s="221" customFormat="1" ht="12.75" x14ac:dyDescent="0.2">
      <c r="B43369" s="1168"/>
    </row>
    <row r="43370" spans="2:2" s="221" customFormat="1" ht="12.75" x14ac:dyDescent="0.2">
      <c r="B43370" s="1168"/>
    </row>
    <row r="43371" spans="2:2" s="221" customFormat="1" ht="12.75" x14ac:dyDescent="0.2">
      <c r="B43371" s="1168"/>
    </row>
    <row r="43372" spans="2:2" s="221" customFormat="1" ht="12.75" x14ac:dyDescent="0.2">
      <c r="B43372" s="1168"/>
    </row>
    <row r="43373" spans="2:2" s="221" customFormat="1" ht="12.75" x14ac:dyDescent="0.2">
      <c r="B43373" s="1168"/>
    </row>
    <row r="43374" spans="2:2" s="221" customFormat="1" ht="12.75" x14ac:dyDescent="0.2">
      <c r="B43374" s="1168"/>
    </row>
    <row r="43375" spans="2:2" s="221" customFormat="1" ht="12.75" x14ac:dyDescent="0.2">
      <c r="B43375" s="1168"/>
    </row>
    <row r="43376" spans="2:2" s="221" customFormat="1" ht="12.75" x14ac:dyDescent="0.2">
      <c r="B43376" s="1168"/>
    </row>
    <row r="43377" spans="2:2" s="221" customFormat="1" ht="12.75" x14ac:dyDescent="0.2">
      <c r="B43377" s="1168"/>
    </row>
    <row r="43378" spans="2:2" s="221" customFormat="1" ht="12.75" x14ac:dyDescent="0.2">
      <c r="B43378" s="1168"/>
    </row>
    <row r="43379" spans="2:2" s="221" customFormat="1" ht="12.75" x14ac:dyDescent="0.2">
      <c r="B43379" s="1168"/>
    </row>
    <row r="43380" spans="2:2" s="221" customFormat="1" ht="12.75" x14ac:dyDescent="0.2">
      <c r="B43380" s="1168"/>
    </row>
    <row r="43381" spans="2:2" s="221" customFormat="1" ht="12.75" x14ac:dyDescent="0.2">
      <c r="B43381" s="1168"/>
    </row>
    <row r="43382" spans="2:2" s="221" customFormat="1" ht="12.75" x14ac:dyDescent="0.2">
      <c r="B43382" s="1168"/>
    </row>
    <row r="43383" spans="2:2" s="221" customFormat="1" ht="12.75" x14ac:dyDescent="0.2">
      <c r="B43383" s="1168"/>
    </row>
    <row r="43384" spans="2:2" s="221" customFormat="1" ht="12.75" x14ac:dyDescent="0.2">
      <c r="B43384" s="1168"/>
    </row>
    <row r="43385" spans="2:2" s="221" customFormat="1" ht="12.75" x14ac:dyDescent="0.2">
      <c r="B43385" s="1168"/>
    </row>
    <row r="43386" spans="2:2" s="221" customFormat="1" ht="12.75" x14ac:dyDescent="0.2">
      <c r="B43386" s="1168"/>
    </row>
    <row r="43387" spans="2:2" s="221" customFormat="1" ht="12.75" x14ac:dyDescent="0.2">
      <c r="B43387" s="1168"/>
    </row>
    <row r="43388" spans="2:2" s="221" customFormat="1" ht="12.75" x14ac:dyDescent="0.2">
      <c r="B43388" s="1168"/>
    </row>
    <row r="43389" spans="2:2" s="221" customFormat="1" ht="12.75" x14ac:dyDescent="0.2">
      <c r="B43389" s="1168"/>
    </row>
    <row r="43390" spans="2:2" s="221" customFormat="1" ht="12.75" x14ac:dyDescent="0.2">
      <c r="B43390" s="1168"/>
    </row>
    <row r="43391" spans="2:2" s="221" customFormat="1" ht="12.75" x14ac:dyDescent="0.2">
      <c r="B43391" s="1168"/>
    </row>
    <row r="43392" spans="2:2" s="221" customFormat="1" ht="12.75" x14ac:dyDescent="0.2">
      <c r="B43392" s="1168"/>
    </row>
    <row r="43393" spans="2:2" s="221" customFormat="1" ht="12.75" x14ac:dyDescent="0.2">
      <c r="B43393" s="1168"/>
    </row>
    <row r="43394" spans="2:2" s="221" customFormat="1" ht="12.75" x14ac:dyDescent="0.2">
      <c r="B43394" s="1168"/>
    </row>
    <row r="43395" spans="2:2" s="221" customFormat="1" ht="12.75" x14ac:dyDescent="0.2">
      <c r="B43395" s="1168"/>
    </row>
    <row r="43396" spans="2:2" s="221" customFormat="1" ht="12.75" x14ac:dyDescent="0.2">
      <c r="B43396" s="1168"/>
    </row>
    <row r="43397" spans="2:2" s="221" customFormat="1" ht="12.75" x14ac:dyDescent="0.2">
      <c r="B43397" s="1168"/>
    </row>
    <row r="43398" spans="2:2" s="221" customFormat="1" ht="12.75" x14ac:dyDescent="0.2">
      <c r="B43398" s="1168"/>
    </row>
    <row r="43399" spans="2:2" s="221" customFormat="1" ht="12.75" x14ac:dyDescent="0.2">
      <c r="B43399" s="1168"/>
    </row>
    <row r="43400" spans="2:2" s="221" customFormat="1" ht="12.75" x14ac:dyDescent="0.2">
      <c r="B43400" s="1168"/>
    </row>
    <row r="43401" spans="2:2" s="221" customFormat="1" ht="12.75" x14ac:dyDescent="0.2">
      <c r="B43401" s="1168"/>
    </row>
    <row r="43402" spans="2:2" s="221" customFormat="1" ht="12.75" x14ac:dyDescent="0.2">
      <c r="B43402" s="1168"/>
    </row>
    <row r="43403" spans="2:2" s="221" customFormat="1" ht="12.75" x14ac:dyDescent="0.2">
      <c r="B43403" s="1168"/>
    </row>
    <row r="43404" spans="2:2" s="221" customFormat="1" ht="12.75" x14ac:dyDescent="0.2">
      <c r="B43404" s="1168"/>
    </row>
    <row r="43405" spans="2:2" s="221" customFormat="1" ht="12.75" x14ac:dyDescent="0.2">
      <c r="B43405" s="1168"/>
    </row>
    <row r="43406" spans="2:2" s="221" customFormat="1" ht="12.75" x14ac:dyDescent="0.2">
      <c r="B43406" s="1168"/>
    </row>
    <row r="43407" spans="2:2" s="221" customFormat="1" ht="12.75" x14ac:dyDescent="0.2">
      <c r="B43407" s="1168"/>
    </row>
    <row r="43408" spans="2:2" s="221" customFormat="1" ht="12.75" x14ac:dyDescent="0.2">
      <c r="B43408" s="1168"/>
    </row>
    <row r="43409" spans="2:2" s="221" customFormat="1" ht="12.75" x14ac:dyDescent="0.2">
      <c r="B43409" s="1168"/>
    </row>
    <row r="43410" spans="2:2" s="221" customFormat="1" ht="12.75" x14ac:dyDescent="0.2">
      <c r="B43410" s="1168"/>
    </row>
    <row r="43411" spans="2:2" s="221" customFormat="1" ht="12.75" x14ac:dyDescent="0.2">
      <c r="B43411" s="1168"/>
    </row>
    <row r="43412" spans="2:2" s="221" customFormat="1" ht="12.75" x14ac:dyDescent="0.2">
      <c r="B43412" s="1168"/>
    </row>
    <row r="43413" spans="2:2" s="221" customFormat="1" ht="12.75" x14ac:dyDescent="0.2">
      <c r="B43413" s="1168"/>
    </row>
    <row r="43414" spans="2:2" s="221" customFormat="1" ht="12.75" x14ac:dyDescent="0.2">
      <c r="B43414" s="1168"/>
    </row>
    <row r="43415" spans="2:2" s="221" customFormat="1" ht="12.75" x14ac:dyDescent="0.2">
      <c r="B43415" s="1168"/>
    </row>
    <row r="43416" spans="2:2" s="221" customFormat="1" ht="12.75" x14ac:dyDescent="0.2">
      <c r="B43416" s="1168"/>
    </row>
    <row r="43417" spans="2:2" s="221" customFormat="1" ht="12.75" x14ac:dyDescent="0.2">
      <c r="B43417" s="1168"/>
    </row>
    <row r="43418" spans="2:2" s="221" customFormat="1" ht="12.75" x14ac:dyDescent="0.2">
      <c r="B43418" s="1168"/>
    </row>
    <row r="43419" spans="2:2" s="221" customFormat="1" ht="12.75" x14ac:dyDescent="0.2">
      <c r="B43419" s="1168"/>
    </row>
    <row r="43420" spans="2:2" s="221" customFormat="1" ht="12.75" x14ac:dyDescent="0.2">
      <c r="B43420" s="1168"/>
    </row>
    <row r="43421" spans="2:2" s="221" customFormat="1" ht="12.75" x14ac:dyDescent="0.2">
      <c r="B43421" s="1168"/>
    </row>
    <row r="43422" spans="2:2" s="221" customFormat="1" ht="12.75" x14ac:dyDescent="0.2">
      <c r="B43422" s="1168"/>
    </row>
    <row r="43423" spans="2:2" s="221" customFormat="1" ht="12.75" x14ac:dyDescent="0.2">
      <c r="B43423" s="1168"/>
    </row>
    <row r="43424" spans="2:2" s="221" customFormat="1" ht="12.75" x14ac:dyDescent="0.2">
      <c r="B43424" s="1168"/>
    </row>
    <row r="43425" spans="2:2" s="221" customFormat="1" ht="12.75" x14ac:dyDescent="0.2">
      <c r="B43425" s="1168"/>
    </row>
    <row r="43426" spans="2:2" s="221" customFormat="1" ht="12.75" x14ac:dyDescent="0.2">
      <c r="B43426" s="1168"/>
    </row>
    <row r="43427" spans="2:2" s="221" customFormat="1" ht="12.75" x14ac:dyDescent="0.2">
      <c r="B43427" s="1168"/>
    </row>
    <row r="43428" spans="2:2" s="221" customFormat="1" ht="12.75" x14ac:dyDescent="0.2">
      <c r="B43428" s="1168"/>
    </row>
    <row r="43429" spans="2:2" s="221" customFormat="1" ht="12.75" x14ac:dyDescent="0.2">
      <c r="B43429" s="1168"/>
    </row>
    <row r="43430" spans="2:2" s="221" customFormat="1" ht="12.75" x14ac:dyDescent="0.2">
      <c r="B43430" s="1168"/>
    </row>
    <row r="43431" spans="2:2" s="221" customFormat="1" ht="12.75" x14ac:dyDescent="0.2">
      <c r="B43431" s="1168"/>
    </row>
    <row r="43432" spans="2:2" s="221" customFormat="1" ht="12.75" x14ac:dyDescent="0.2">
      <c r="B43432" s="1168"/>
    </row>
    <row r="43433" spans="2:2" s="221" customFormat="1" ht="12.75" x14ac:dyDescent="0.2">
      <c r="B43433" s="1168"/>
    </row>
    <row r="43434" spans="2:2" s="221" customFormat="1" ht="12.75" x14ac:dyDescent="0.2">
      <c r="B43434" s="1168"/>
    </row>
    <row r="43435" spans="2:2" s="221" customFormat="1" ht="12.75" x14ac:dyDescent="0.2">
      <c r="B43435" s="1168"/>
    </row>
    <row r="43436" spans="2:2" s="221" customFormat="1" ht="12.75" x14ac:dyDescent="0.2">
      <c r="B43436" s="1168"/>
    </row>
    <row r="43437" spans="2:2" s="221" customFormat="1" ht="12.75" x14ac:dyDescent="0.2">
      <c r="B43437" s="1168"/>
    </row>
    <row r="43438" spans="2:2" s="221" customFormat="1" ht="12.75" x14ac:dyDescent="0.2">
      <c r="B43438" s="1168"/>
    </row>
    <row r="43439" spans="2:2" s="221" customFormat="1" ht="12.75" x14ac:dyDescent="0.2">
      <c r="B43439" s="1168"/>
    </row>
    <row r="43440" spans="2:2" s="221" customFormat="1" ht="12.75" x14ac:dyDescent="0.2">
      <c r="B43440" s="1168"/>
    </row>
    <row r="43441" spans="2:2" s="221" customFormat="1" ht="12.75" x14ac:dyDescent="0.2">
      <c r="B43441" s="1168"/>
    </row>
    <row r="43442" spans="2:2" s="221" customFormat="1" ht="12.75" x14ac:dyDescent="0.2">
      <c r="B43442" s="1168"/>
    </row>
    <row r="43443" spans="2:2" s="221" customFormat="1" ht="12.75" x14ac:dyDescent="0.2">
      <c r="B43443" s="1168"/>
    </row>
    <row r="43444" spans="2:2" s="221" customFormat="1" ht="12.75" x14ac:dyDescent="0.2">
      <c r="B43444" s="1168"/>
    </row>
    <row r="43445" spans="2:2" s="221" customFormat="1" ht="12.75" x14ac:dyDescent="0.2">
      <c r="B43445" s="1168"/>
    </row>
    <row r="43446" spans="2:2" s="221" customFormat="1" ht="12.75" x14ac:dyDescent="0.2">
      <c r="B43446" s="1168"/>
    </row>
    <row r="43447" spans="2:2" s="221" customFormat="1" ht="12.75" x14ac:dyDescent="0.2">
      <c r="B43447" s="1168"/>
    </row>
    <row r="43448" spans="2:2" s="221" customFormat="1" ht="12.75" x14ac:dyDescent="0.2">
      <c r="B43448" s="1168"/>
    </row>
    <row r="43449" spans="2:2" s="221" customFormat="1" ht="12.75" x14ac:dyDescent="0.2">
      <c r="B43449" s="1168"/>
    </row>
    <row r="43450" spans="2:2" s="221" customFormat="1" ht="12.75" x14ac:dyDescent="0.2">
      <c r="B43450" s="1168"/>
    </row>
    <row r="43451" spans="2:2" s="221" customFormat="1" ht="12.75" x14ac:dyDescent="0.2">
      <c r="B43451" s="1168"/>
    </row>
    <row r="43452" spans="2:2" s="221" customFormat="1" ht="12.75" x14ac:dyDescent="0.2">
      <c r="B43452" s="1168"/>
    </row>
    <row r="43453" spans="2:2" s="221" customFormat="1" ht="12.75" x14ac:dyDescent="0.2">
      <c r="B43453" s="1168"/>
    </row>
    <row r="43454" spans="2:2" s="221" customFormat="1" ht="12.75" x14ac:dyDescent="0.2">
      <c r="B43454" s="1168"/>
    </row>
    <row r="43455" spans="2:2" s="221" customFormat="1" ht="12.75" x14ac:dyDescent="0.2">
      <c r="B43455" s="1168"/>
    </row>
    <row r="43456" spans="2:2" s="221" customFormat="1" ht="12.75" x14ac:dyDescent="0.2">
      <c r="B43456" s="1168"/>
    </row>
    <row r="43457" spans="2:2" s="221" customFormat="1" ht="12.75" x14ac:dyDescent="0.2">
      <c r="B43457" s="1168"/>
    </row>
    <row r="43458" spans="2:2" s="221" customFormat="1" ht="12.75" x14ac:dyDescent="0.2">
      <c r="B43458" s="1168"/>
    </row>
    <row r="43459" spans="2:2" s="221" customFormat="1" ht="12.75" x14ac:dyDescent="0.2">
      <c r="B43459" s="1168"/>
    </row>
    <row r="43460" spans="2:2" s="221" customFormat="1" ht="12.75" x14ac:dyDescent="0.2">
      <c r="B43460" s="1168"/>
    </row>
    <row r="43461" spans="2:2" s="221" customFormat="1" ht="12.75" x14ac:dyDescent="0.2">
      <c r="B43461" s="1168"/>
    </row>
    <row r="43462" spans="2:2" s="221" customFormat="1" ht="12.75" x14ac:dyDescent="0.2">
      <c r="B43462" s="1168"/>
    </row>
    <row r="43463" spans="2:2" s="221" customFormat="1" ht="12.75" x14ac:dyDescent="0.2">
      <c r="B43463" s="1168"/>
    </row>
    <row r="43464" spans="2:2" s="221" customFormat="1" ht="12.75" x14ac:dyDescent="0.2">
      <c r="B43464" s="1168"/>
    </row>
    <row r="43465" spans="2:2" s="221" customFormat="1" ht="12.75" x14ac:dyDescent="0.2">
      <c r="B43465" s="1168"/>
    </row>
    <row r="43466" spans="2:2" s="221" customFormat="1" ht="12.75" x14ac:dyDescent="0.2">
      <c r="B43466" s="1168"/>
    </row>
    <row r="43467" spans="2:2" s="221" customFormat="1" ht="12.75" x14ac:dyDescent="0.2">
      <c r="B43467" s="1168"/>
    </row>
    <row r="43468" spans="2:2" s="221" customFormat="1" ht="12.75" x14ac:dyDescent="0.2">
      <c r="B43468" s="1168"/>
    </row>
    <row r="43469" spans="2:2" s="221" customFormat="1" ht="12.75" x14ac:dyDescent="0.2">
      <c r="B43469" s="1168"/>
    </row>
    <row r="43470" spans="2:2" s="221" customFormat="1" ht="12.75" x14ac:dyDescent="0.2">
      <c r="B43470" s="1168"/>
    </row>
    <row r="43471" spans="2:2" s="221" customFormat="1" ht="12.75" x14ac:dyDescent="0.2">
      <c r="B43471" s="1168"/>
    </row>
    <row r="43472" spans="2:2" s="221" customFormat="1" ht="12.75" x14ac:dyDescent="0.2">
      <c r="B43472" s="1168"/>
    </row>
    <row r="43473" spans="2:2" s="221" customFormat="1" ht="12.75" x14ac:dyDescent="0.2">
      <c r="B43473" s="1168"/>
    </row>
    <row r="43474" spans="2:2" s="221" customFormat="1" ht="12.75" x14ac:dyDescent="0.2">
      <c r="B43474" s="1168"/>
    </row>
    <row r="43475" spans="2:2" s="221" customFormat="1" ht="12.75" x14ac:dyDescent="0.2">
      <c r="B43475" s="1168"/>
    </row>
    <row r="43476" spans="2:2" s="221" customFormat="1" ht="12.75" x14ac:dyDescent="0.2">
      <c r="B43476" s="1168"/>
    </row>
    <row r="43477" spans="2:2" s="221" customFormat="1" ht="12.75" x14ac:dyDescent="0.2">
      <c r="B43477" s="1168"/>
    </row>
    <row r="43478" spans="2:2" s="221" customFormat="1" ht="12.75" x14ac:dyDescent="0.2">
      <c r="B43478" s="1168"/>
    </row>
    <row r="43479" spans="2:2" s="221" customFormat="1" ht="12.75" x14ac:dyDescent="0.2">
      <c r="B43479" s="1168"/>
    </row>
    <row r="43480" spans="2:2" s="221" customFormat="1" ht="12.75" x14ac:dyDescent="0.2">
      <c r="B43480" s="1168"/>
    </row>
    <row r="43481" spans="2:2" s="221" customFormat="1" ht="12.75" x14ac:dyDescent="0.2">
      <c r="B43481" s="1168"/>
    </row>
    <row r="43482" spans="2:2" s="221" customFormat="1" ht="12.75" x14ac:dyDescent="0.2">
      <c r="B43482" s="1168"/>
    </row>
    <row r="43483" spans="2:2" s="221" customFormat="1" ht="12.75" x14ac:dyDescent="0.2">
      <c r="B43483" s="1168"/>
    </row>
    <row r="43484" spans="2:2" s="221" customFormat="1" ht="12.75" x14ac:dyDescent="0.2">
      <c r="B43484" s="1168"/>
    </row>
    <row r="43485" spans="2:2" s="221" customFormat="1" ht="12.75" x14ac:dyDescent="0.2">
      <c r="B43485" s="1168"/>
    </row>
    <row r="43486" spans="2:2" s="221" customFormat="1" ht="12.75" x14ac:dyDescent="0.2">
      <c r="B43486" s="1168"/>
    </row>
    <row r="43487" spans="2:2" s="221" customFormat="1" ht="12.75" x14ac:dyDescent="0.2">
      <c r="B43487" s="1168"/>
    </row>
    <row r="43488" spans="2:2" s="221" customFormat="1" ht="12.75" x14ac:dyDescent="0.2">
      <c r="B43488" s="1168"/>
    </row>
    <row r="43489" spans="2:2" s="221" customFormat="1" ht="12.75" x14ac:dyDescent="0.2">
      <c r="B43489" s="1168"/>
    </row>
    <row r="43490" spans="2:2" s="221" customFormat="1" ht="12.75" x14ac:dyDescent="0.2">
      <c r="B43490" s="1168"/>
    </row>
    <row r="43491" spans="2:2" s="221" customFormat="1" ht="12.75" x14ac:dyDescent="0.2">
      <c r="B43491" s="1168"/>
    </row>
    <row r="43492" spans="2:2" s="221" customFormat="1" ht="12.75" x14ac:dyDescent="0.2">
      <c r="B43492" s="1168"/>
    </row>
    <row r="43493" spans="2:2" s="221" customFormat="1" ht="12.75" x14ac:dyDescent="0.2">
      <c r="B43493" s="1168"/>
    </row>
    <row r="43494" spans="2:2" s="221" customFormat="1" ht="12.75" x14ac:dyDescent="0.2">
      <c r="B43494" s="1168"/>
    </row>
    <row r="43495" spans="2:2" s="221" customFormat="1" ht="12.75" x14ac:dyDescent="0.2">
      <c r="B43495" s="1168"/>
    </row>
    <row r="43496" spans="2:2" s="221" customFormat="1" ht="12.75" x14ac:dyDescent="0.2">
      <c r="B43496" s="1168"/>
    </row>
    <row r="43497" spans="2:2" s="221" customFormat="1" ht="12.75" x14ac:dyDescent="0.2">
      <c r="B43497" s="1168"/>
    </row>
    <row r="43498" spans="2:2" s="221" customFormat="1" ht="12.75" x14ac:dyDescent="0.2">
      <c r="B43498" s="1168"/>
    </row>
    <row r="43499" spans="2:2" s="221" customFormat="1" ht="12.75" x14ac:dyDescent="0.2">
      <c r="B43499" s="1168"/>
    </row>
    <row r="43500" spans="2:2" s="221" customFormat="1" ht="12.75" x14ac:dyDescent="0.2">
      <c r="B43500" s="1168"/>
    </row>
    <row r="43501" spans="2:2" s="221" customFormat="1" ht="12.75" x14ac:dyDescent="0.2">
      <c r="B43501" s="1168"/>
    </row>
    <row r="43502" spans="2:2" s="221" customFormat="1" ht="12.75" x14ac:dyDescent="0.2">
      <c r="B43502" s="1168"/>
    </row>
    <row r="43503" spans="2:2" s="221" customFormat="1" ht="12.75" x14ac:dyDescent="0.2">
      <c r="B43503" s="1168"/>
    </row>
    <row r="43504" spans="2:2" s="221" customFormat="1" ht="12.75" x14ac:dyDescent="0.2">
      <c r="B43504" s="1168"/>
    </row>
    <row r="43505" spans="2:2" s="221" customFormat="1" ht="12.75" x14ac:dyDescent="0.2">
      <c r="B43505" s="1168"/>
    </row>
    <row r="43506" spans="2:2" s="221" customFormat="1" ht="12.75" x14ac:dyDescent="0.2">
      <c r="B43506" s="1168"/>
    </row>
    <row r="43507" spans="2:2" s="221" customFormat="1" ht="12.75" x14ac:dyDescent="0.2">
      <c r="B43507" s="1168"/>
    </row>
    <row r="43508" spans="2:2" s="221" customFormat="1" ht="12.75" x14ac:dyDescent="0.2">
      <c r="B43508" s="1168"/>
    </row>
    <row r="43509" spans="2:2" s="221" customFormat="1" ht="12.75" x14ac:dyDescent="0.2">
      <c r="B43509" s="1168"/>
    </row>
    <row r="43510" spans="2:2" s="221" customFormat="1" ht="12.75" x14ac:dyDescent="0.2">
      <c r="B43510" s="1168"/>
    </row>
    <row r="43511" spans="2:2" s="221" customFormat="1" ht="12.75" x14ac:dyDescent="0.2">
      <c r="B43511" s="1168"/>
    </row>
    <row r="43512" spans="2:2" s="221" customFormat="1" ht="12.75" x14ac:dyDescent="0.2">
      <c r="B43512" s="1168"/>
    </row>
    <row r="43513" spans="2:2" s="221" customFormat="1" ht="12.75" x14ac:dyDescent="0.2">
      <c r="B43513" s="1168"/>
    </row>
    <row r="43514" spans="2:2" s="221" customFormat="1" ht="12.75" x14ac:dyDescent="0.2">
      <c r="B43514" s="1168"/>
    </row>
    <row r="43515" spans="2:2" s="221" customFormat="1" ht="12.75" x14ac:dyDescent="0.2">
      <c r="B43515" s="1168"/>
    </row>
    <row r="43516" spans="2:2" s="221" customFormat="1" ht="12.75" x14ac:dyDescent="0.2">
      <c r="B43516" s="1168"/>
    </row>
    <row r="43517" spans="2:2" s="221" customFormat="1" ht="12.75" x14ac:dyDescent="0.2">
      <c r="B43517" s="1168"/>
    </row>
    <row r="43518" spans="2:2" s="221" customFormat="1" ht="12.75" x14ac:dyDescent="0.2">
      <c r="B43518" s="1168"/>
    </row>
    <row r="43519" spans="2:2" s="221" customFormat="1" ht="12.75" x14ac:dyDescent="0.2">
      <c r="B43519" s="1168"/>
    </row>
    <row r="43520" spans="2:2" s="221" customFormat="1" ht="12.75" x14ac:dyDescent="0.2">
      <c r="B43520" s="1168"/>
    </row>
    <row r="43521" spans="2:2" s="221" customFormat="1" ht="12.75" x14ac:dyDescent="0.2">
      <c r="B43521" s="1168"/>
    </row>
    <row r="43522" spans="2:2" s="221" customFormat="1" ht="12.75" x14ac:dyDescent="0.2">
      <c r="B43522" s="1168"/>
    </row>
    <row r="43523" spans="2:2" s="221" customFormat="1" ht="12.75" x14ac:dyDescent="0.2">
      <c r="B43523" s="1168"/>
    </row>
    <row r="43524" spans="2:2" s="221" customFormat="1" ht="12.75" x14ac:dyDescent="0.2">
      <c r="B43524" s="1168"/>
    </row>
    <row r="43525" spans="2:2" s="221" customFormat="1" ht="12.75" x14ac:dyDescent="0.2">
      <c r="B43525" s="1168"/>
    </row>
    <row r="43526" spans="2:2" s="221" customFormat="1" ht="12.75" x14ac:dyDescent="0.2">
      <c r="B43526" s="1168"/>
    </row>
    <row r="43527" spans="2:2" s="221" customFormat="1" ht="12.75" x14ac:dyDescent="0.2">
      <c r="B43527" s="1168"/>
    </row>
    <row r="43528" spans="2:2" s="221" customFormat="1" ht="12.75" x14ac:dyDescent="0.2">
      <c r="B43528" s="1168"/>
    </row>
    <row r="43529" spans="2:2" s="221" customFormat="1" ht="12.75" x14ac:dyDescent="0.2">
      <c r="B43529" s="1168"/>
    </row>
    <row r="43530" spans="2:2" s="221" customFormat="1" ht="12.75" x14ac:dyDescent="0.2">
      <c r="B43530" s="1168"/>
    </row>
    <row r="43531" spans="2:2" s="221" customFormat="1" ht="12.75" x14ac:dyDescent="0.2">
      <c r="B43531" s="1168"/>
    </row>
    <row r="43532" spans="2:2" s="221" customFormat="1" ht="12.75" x14ac:dyDescent="0.2">
      <c r="B43532" s="1168"/>
    </row>
    <row r="43533" spans="2:2" s="221" customFormat="1" ht="12.75" x14ac:dyDescent="0.2">
      <c r="B43533" s="1168"/>
    </row>
    <row r="43534" spans="2:2" s="221" customFormat="1" ht="12.75" x14ac:dyDescent="0.2">
      <c r="B43534" s="1168"/>
    </row>
    <row r="43535" spans="2:2" s="221" customFormat="1" ht="12.75" x14ac:dyDescent="0.2">
      <c r="B43535" s="1168"/>
    </row>
    <row r="43536" spans="2:2" s="221" customFormat="1" ht="12.75" x14ac:dyDescent="0.2">
      <c r="B43536" s="1168"/>
    </row>
    <row r="43537" spans="2:2" s="221" customFormat="1" ht="12.75" x14ac:dyDescent="0.2">
      <c r="B43537" s="1168"/>
    </row>
    <row r="43538" spans="2:2" s="221" customFormat="1" ht="12.75" x14ac:dyDescent="0.2">
      <c r="B43538" s="1168"/>
    </row>
    <row r="43539" spans="2:2" s="221" customFormat="1" ht="12.75" x14ac:dyDescent="0.2">
      <c r="B43539" s="1168"/>
    </row>
    <row r="43540" spans="2:2" s="221" customFormat="1" ht="12.75" x14ac:dyDescent="0.2">
      <c r="B43540" s="1168"/>
    </row>
    <row r="43541" spans="2:2" s="221" customFormat="1" ht="12.75" x14ac:dyDescent="0.2">
      <c r="B43541" s="1168"/>
    </row>
    <row r="43542" spans="2:2" s="221" customFormat="1" ht="12.75" x14ac:dyDescent="0.2">
      <c r="B43542" s="1168"/>
    </row>
    <row r="43543" spans="2:2" s="221" customFormat="1" ht="12.75" x14ac:dyDescent="0.2">
      <c r="B43543" s="1168"/>
    </row>
    <row r="43544" spans="2:2" s="221" customFormat="1" ht="12.75" x14ac:dyDescent="0.2">
      <c r="B43544" s="1168"/>
    </row>
    <row r="43545" spans="2:2" s="221" customFormat="1" ht="12.75" x14ac:dyDescent="0.2">
      <c r="B43545" s="1168"/>
    </row>
    <row r="43546" spans="2:2" s="221" customFormat="1" ht="12.75" x14ac:dyDescent="0.2">
      <c r="B43546" s="1168"/>
    </row>
    <row r="43547" spans="2:2" s="221" customFormat="1" ht="12.75" x14ac:dyDescent="0.2">
      <c r="B43547" s="1168"/>
    </row>
    <row r="43548" spans="2:2" s="221" customFormat="1" ht="12.75" x14ac:dyDescent="0.2">
      <c r="B43548" s="1168"/>
    </row>
    <row r="43549" spans="2:2" s="221" customFormat="1" ht="12.75" x14ac:dyDescent="0.2">
      <c r="B43549" s="1168"/>
    </row>
    <row r="43550" spans="2:2" s="221" customFormat="1" ht="12.75" x14ac:dyDescent="0.2">
      <c r="B43550" s="1168"/>
    </row>
    <row r="43551" spans="2:2" s="221" customFormat="1" ht="12.75" x14ac:dyDescent="0.2">
      <c r="B43551" s="1168"/>
    </row>
    <row r="43552" spans="2:2" s="221" customFormat="1" ht="12.75" x14ac:dyDescent="0.2">
      <c r="B43552" s="1168"/>
    </row>
    <row r="43553" spans="2:2" s="221" customFormat="1" ht="12.75" x14ac:dyDescent="0.2">
      <c r="B43553" s="1168"/>
    </row>
    <row r="43554" spans="2:2" s="221" customFormat="1" ht="12.75" x14ac:dyDescent="0.2">
      <c r="B43554" s="1168"/>
    </row>
    <row r="43555" spans="2:2" s="221" customFormat="1" ht="12.75" x14ac:dyDescent="0.2">
      <c r="B43555" s="1168"/>
    </row>
    <row r="43556" spans="2:2" s="221" customFormat="1" ht="12.75" x14ac:dyDescent="0.2">
      <c r="B43556" s="1168"/>
    </row>
    <row r="43557" spans="2:2" s="221" customFormat="1" ht="12.75" x14ac:dyDescent="0.2">
      <c r="B43557" s="1168"/>
    </row>
    <row r="43558" spans="2:2" s="221" customFormat="1" ht="12.75" x14ac:dyDescent="0.2">
      <c r="B43558" s="1168"/>
    </row>
    <row r="43559" spans="2:2" s="221" customFormat="1" ht="12.75" x14ac:dyDescent="0.2">
      <c r="B43559" s="1168"/>
    </row>
    <row r="43560" spans="2:2" s="221" customFormat="1" ht="12.75" x14ac:dyDescent="0.2">
      <c r="B43560" s="1168"/>
    </row>
    <row r="43561" spans="2:2" s="221" customFormat="1" ht="12.75" x14ac:dyDescent="0.2">
      <c r="B43561" s="1168"/>
    </row>
    <row r="43562" spans="2:2" s="221" customFormat="1" ht="12.75" x14ac:dyDescent="0.2">
      <c r="B43562" s="1168"/>
    </row>
    <row r="43563" spans="2:2" s="221" customFormat="1" ht="12.75" x14ac:dyDescent="0.2">
      <c r="B43563" s="1168"/>
    </row>
    <row r="43564" spans="2:2" s="221" customFormat="1" ht="12.75" x14ac:dyDescent="0.2">
      <c r="B43564" s="1168"/>
    </row>
    <row r="43565" spans="2:2" s="221" customFormat="1" ht="12.75" x14ac:dyDescent="0.2">
      <c r="B43565" s="1168"/>
    </row>
    <row r="43566" spans="2:2" s="221" customFormat="1" ht="12.75" x14ac:dyDescent="0.2">
      <c r="B43566" s="1168"/>
    </row>
    <row r="43567" spans="2:2" s="221" customFormat="1" ht="12.75" x14ac:dyDescent="0.2">
      <c r="B43567" s="1168"/>
    </row>
    <row r="43568" spans="2:2" s="221" customFormat="1" ht="12.75" x14ac:dyDescent="0.2">
      <c r="B43568" s="1168"/>
    </row>
    <row r="43569" spans="2:2" s="221" customFormat="1" ht="12.75" x14ac:dyDescent="0.2">
      <c r="B43569" s="1168"/>
    </row>
    <row r="43570" spans="2:2" s="221" customFormat="1" ht="12.75" x14ac:dyDescent="0.2">
      <c r="B43570" s="1168"/>
    </row>
    <row r="43571" spans="2:2" s="221" customFormat="1" ht="12.75" x14ac:dyDescent="0.2">
      <c r="B43571" s="1168"/>
    </row>
    <row r="43572" spans="2:2" s="221" customFormat="1" ht="12.75" x14ac:dyDescent="0.2">
      <c r="B43572" s="1168"/>
    </row>
    <row r="43573" spans="2:2" s="221" customFormat="1" ht="12.75" x14ac:dyDescent="0.2">
      <c r="B43573" s="1168"/>
    </row>
    <row r="43574" spans="2:2" s="221" customFormat="1" ht="12.75" x14ac:dyDescent="0.2">
      <c r="B43574" s="1168"/>
    </row>
    <row r="43575" spans="2:2" s="221" customFormat="1" ht="12.75" x14ac:dyDescent="0.2">
      <c r="B43575" s="1168"/>
    </row>
    <row r="43576" spans="2:2" s="221" customFormat="1" ht="12.75" x14ac:dyDescent="0.2">
      <c r="B43576" s="1168"/>
    </row>
    <row r="43577" spans="2:2" s="221" customFormat="1" ht="12.75" x14ac:dyDescent="0.2">
      <c r="B43577" s="1168"/>
    </row>
    <row r="43578" spans="2:2" s="221" customFormat="1" ht="12.75" x14ac:dyDescent="0.2">
      <c r="B43578" s="1168"/>
    </row>
    <row r="43579" spans="2:2" s="221" customFormat="1" ht="12.75" x14ac:dyDescent="0.2">
      <c r="B43579" s="1168"/>
    </row>
    <row r="43580" spans="2:2" s="221" customFormat="1" ht="12.75" x14ac:dyDescent="0.2">
      <c r="B43580" s="1168"/>
    </row>
    <row r="43581" spans="2:2" s="221" customFormat="1" ht="12.75" x14ac:dyDescent="0.2">
      <c r="B43581" s="1168"/>
    </row>
    <row r="43582" spans="2:2" s="221" customFormat="1" ht="12.75" x14ac:dyDescent="0.2">
      <c r="B43582" s="1168"/>
    </row>
    <row r="43583" spans="2:2" s="221" customFormat="1" ht="12.75" x14ac:dyDescent="0.2">
      <c r="B43583" s="1168"/>
    </row>
    <row r="43584" spans="2:2" s="221" customFormat="1" ht="12.75" x14ac:dyDescent="0.2">
      <c r="B43584" s="1168"/>
    </row>
    <row r="43585" spans="2:2" s="221" customFormat="1" ht="12.75" x14ac:dyDescent="0.2">
      <c r="B43585" s="1168"/>
    </row>
    <row r="43586" spans="2:2" s="221" customFormat="1" ht="12.75" x14ac:dyDescent="0.2">
      <c r="B43586" s="1168"/>
    </row>
    <row r="43587" spans="2:2" s="221" customFormat="1" ht="12.75" x14ac:dyDescent="0.2">
      <c r="B43587" s="1168"/>
    </row>
    <row r="43588" spans="2:2" s="221" customFormat="1" ht="12.75" x14ac:dyDescent="0.2">
      <c r="B43588" s="1168"/>
    </row>
    <row r="43589" spans="2:2" s="221" customFormat="1" ht="12.75" x14ac:dyDescent="0.2">
      <c r="B43589" s="1168"/>
    </row>
    <row r="43590" spans="2:2" s="221" customFormat="1" ht="12.75" x14ac:dyDescent="0.2">
      <c r="B43590" s="1168"/>
    </row>
    <row r="43591" spans="2:2" s="221" customFormat="1" ht="12.75" x14ac:dyDescent="0.2">
      <c r="B43591" s="1168"/>
    </row>
    <row r="43592" spans="2:2" s="221" customFormat="1" ht="12.75" x14ac:dyDescent="0.2">
      <c r="B43592" s="1168"/>
    </row>
    <row r="43593" spans="2:2" s="221" customFormat="1" ht="12.75" x14ac:dyDescent="0.2">
      <c r="B43593" s="1168"/>
    </row>
    <row r="43594" spans="2:2" s="221" customFormat="1" ht="12.75" x14ac:dyDescent="0.2">
      <c r="B43594" s="1168"/>
    </row>
    <row r="43595" spans="2:2" s="221" customFormat="1" ht="12.75" x14ac:dyDescent="0.2">
      <c r="B43595" s="1168"/>
    </row>
    <row r="43596" spans="2:2" s="221" customFormat="1" ht="12.75" x14ac:dyDescent="0.2">
      <c r="B43596" s="1168"/>
    </row>
    <row r="43597" spans="2:2" s="221" customFormat="1" ht="12.75" x14ac:dyDescent="0.2">
      <c r="B43597" s="1168"/>
    </row>
    <row r="43598" spans="2:2" s="221" customFormat="1" ht="12.75" x14ac:dyDescent="0.2">
      <c r="B43598" s="1168"/>
    </row>
    <row r="43599" spans="2:2" s="221" customFormat="1" ht="12.75" x14ac:dyDescent="0.2">
      <c r="B43599" s="1168"/>
    </row>
    <row r="43600" spans="2:2" s="221" customFormat="1" ht="12.75" x14ac:dyDescent="0.2">
      <c r="B43600" s="1168"/>
    </row>
    <row r="43601" spans="2:2" s="221" customFormat="1" ht="12.75" x14ac:dyDescent="0.2">
      <c r="B43601" s="1168"/>
    </row>
    <row r="43602" spans="2:2" s="221" customFormat="1" ht="12.75" x14ac:dyDescent="0.2">
      <c r="B43602" s="1168"/>
    </row>
    <row r="43603" spans="2:2" s="221" customFormat="1" ht="12.75" x14ac:dyDescent="0.2">
      <c r="B43603" s="1168"/>
    </row>
    <row r="43604" spans="2:2" s="221" customFormat="1" ht="12.75" x14ac:dyDescent="0.2">
      <c r="B43604" s="1168"/>
    </row>
    <row r="43605" spans="2:2" s="221" customFormat="1" ht="12.75" x14ac:dyDescent="0.2">
      <c r="B43605" s="1168"/>
    </row>
    <row r="43606" spans="2:2" s="221" customFormat="1" ht="12.75" x14ac:dyDescent="0.2">
      <c r="B43606" s="1168"/>
    </row>
    <row r="43607" spans="2:2" s="221" customFormat="1" ht="12.75" x14ac:dyDescent="0.2">
      <c r="B43607" s="1168"/>
    </row>
    <row r="43608" spans="2:2" s="221" customFormat="1" ht="12.75" x14ac:dyDescent="0.2">
      <c r="B43608" s="1168"/>
    </row>
    <row r="43609" spans="2:2" s="221" customFormat="1" ht="12.75" x14ac:dyDescent="0.2">
      <c r="B43609" s="1168"/>
    </row>
    <row r="43610" spans="2:2" s="221" customFormat="1" ht="12.75" x14ac:dyDescent="0.2">
      <c r="B43610" s="1168"/>
    </row>
    <row r="43611" spans="2:2" s="221" customFormat="1" ht="12.75" x14ac:dyDescent="0.2">
      <c r="B43611" s="1168"/>
    </row>
    <row r="43612" spans="2:2" s="221" customFormat="1" ht="12.75" x14ac:dyDescent="0.2">
      <c r="B43612" s="1168"/>
    </row>
    <row r="43613" spans="2:2" s="221" customFormat="1" ht="12.75" x14ac:dyDescent="0.2">
      <c r="B43613" s="1168"/>
    </row>
    <row r="43614" spans="2:2" s="221" customFormat="1" ht="12.75" x14ac:dyDescent="0.2">
      <c r="B43614" s="1168"/>
    </row>
    <row r="43615" spans="2:2" s="221" customFormat="1" ht="12.75" x14ac:dyDescent="0.2">
      <c r="B43615" s="1168"/>
    </row>
    <row r="43616" spans="2:2" s="221" customFormat="1" ht="12.75" x14ac:dyDescent="0.2">
      <c r="B43616" s="1168"/>
    </row>
    <row r="43617" spans="2:2" s="221" customFormat="1" ht="12.75" x14ac:dyDescent="0.2">
      <c r="B43617" s="1168"/>
    </row>
    <row r="43618" spans="2:2" s="221" customFormat="1" ht="12.75" x14ac:dyDescent="0.2">
      <c r="B43618" s="1168"/>
    </row>
    <row r="43619" spans="2:2" s="221" customFormat="1" ht="12.75" x14ac:dyDescent="0.2">
      <c r="B43619" s="1168"/>
    </row>
    <row r="43620" spans="2:2" s="221" customFormat="1" ht="12.75" x14ac:dyDescent="0.2">
      <c r="B43620" s="1168"/>
    </row>
    <row r="43621" spans="2:2" s="221" customFormat="1" ht="12.75" x14ac:dyDescent="0.2">
      <c r="B43621" s="1168"/>
    </row>
    <row r="43622" spans="2:2" s="221" customFormat="1" ht="12.75" x14ac:dyDescent="0.2">
      <c r="B43622" s="1168"/>
    </row>
    <row r="43623" spans="2:2" s="221" customFormat="1" ht="12.75" x14ac:dyDescent="0.2">
      <c r="B43623" s="1168"/>
    </row>
    <row r="43624" spans="2:2" s="221" customFormat="1" ht="12.75" x14ac:dyDescent="0.2">
      <c r="B43624" s="1168"/>
    </row>
    <row r="43625" spans="2:2" s="221" customFormat="1" ht="12.75" x14ac:dyDescent="0.2">
      <c r="B43625" s="1168"/>
    </row>
    <row r="43626" spans="2:2" s="221" customFormat="1" ht="12.75" x14ac:dyDescent="0.2">
      <c r="B43626" s="1168"/>
    </row>
    <row r="43627" spans="2:2" s="221" customFormat="1" ht="12.75" x14ac:dyDescent="0.2">
      <c r="B43627" s="1168"/>
    </row>
    <row r="43628" spans="2:2" s="221" customFormat="1" ht="12.75" x14ac:dyDescent="0.2">
      <c r="B43628" s="1168"/>
    </row>
    <row r="43629" spans="2:2" s="221" customFormat="1" ht="12.75" x14ac:dyDescent="0.2">
      <c r="B43629" s="1168"/>
    </row>
    <row r="43630" spans="2:2" s="221" customFormat="1" ht="12.75" x14ac:dyDescent="0.2">
      <c r="B43630" s="1168"/>
    </row>
    <row r="43631" spans="2:2" s="221" customFormat="1" ht="12.75" x14ac:dyDescent="0.2">
      <c r="B43631" s="1168"/>
    </row>
    <row r="43632" spans="2:2" s="221" customFormat="1" ht="12.75" x14ac:dyDescent="0.2">
      <c r="B43632" s="1168"/>
    </row>
    <row r="43633" spans="2:2" s="221" customFormat="1" ht="12.75" x14ac:dyDescent="0.2">
      <c r="B43633" s="1168"/>
    </row>
    <row r="43634" spans="2:2" s="221" customFormat="1" ht="12.75" x14ac:dyDescent="0.2">
      <c r="B43634" s="1168"/>
    </row>
    <row r="43635" spans="2:2" s="221" customFormat="1" ht="12.75" x14ac:dyDescent="0.2">
      <c r="B43635" s="1168"/>
    </row>
    <row r="43636" spans="2:2" s="221" customFormat="1" ht="12.75" x14ac:dyDescent="0.2">
      <c r="B43636" s="1168"/>
    </row>
    <row r="43637" spans="2:2" s="221" customFormat="1" ht="12.75" x14ac:dyDescent="0.2">
      <c r="B43637" s="1168"/>
    </row>
    <row r="43638" spans="2:2" s="221" customFormat="1" ht="12.75" x14ac:dyDescent="0.2">
      <c r="B43638" s="1168"/>
    </row>
    <row r="43639" spans="2:2" s="221" customFormat="1" ht="12.75" x14ac:dyDescent="0.2">
      <c r="B43639" s="1168"/>
    </row>
    <row r="43640" spans="2:2" s="221" customFormat="1" ht="12.75" x14ac:dyDescent="0.2">
      <c r="B43640" s="1168"/>
    </row>
    <row r="43641" spans="2:2" s="221" customFormat="1" ht="12.75" x14ac:dyDescent="0.2">
      <c r="B43641" s="1168"/>
    </row>
    <row r="43642" spans="2:2" s="221" customFormat="1" ht="12.75" x14ac:dyDescent="0.2">
      <c r="B43642" s="1168"/>
    </row>
    <row r="43643" spans="2:2" s="221" customFormat="1" ht="12.75" x14ac:dyDescent="0.2">
      <c r="B43643" s="1168"/>
    </row>
    <row r="43644" spans="2:2" s="221" customFormat="1" ht="12.75" x14ac:dyDescent="0.2">
      <c r="B43644" s="1168"/>
    </row>
    <row r="43645" spans="2:2" s="221" customFormat="1" ht="12.75" x14ac:dyDescent="0.2">
      <c r="B43645" s="1168"/>
    </row>
    <row r="43646" spans="2:2" s="221" customFormat="1" ht="12.75" x14ac:dyDescent="0.2">
      <c r="B43646" s="1168"/>
    </row>
    <row r="43647" spans="2:2" s="221" customFormat="1" ht="12.75" x14ac:dyDescent="0.2">
      <c r="B43647" s="1168"/>
    </row>
    <row r="43648" spans="2:2" s="221" customFormat="1" ht="12.75" x14ac:dyDescent="0.2">
      <c r="B43648" s="1168"/>
    </row>
    <row r="43649" spans="2:2" s="221" customFormat="1" ht="12.75" x14ac:dyDescent="0.2">
      <c r="B43649" s="1168"/>
    </row>
    <row r="43650" spans="2:2" s="221" customFormat="1" ht="12.75" x14ac:dyDescent="0.2">
      <c r="B43650" s="1168"/>
    </row>
    <row r="43651" spans="2:2" s="221" customFormat="1" ht="12.75" x14ac:dyDescent="0.2">
      <c r="B43651" s="1168"/>
    </row>
    <row r="43652" spans="2:2" s="221" customFormat="1" ht="12.75" x14ac:dyDescent="0.2">
      <c r="B43652" s="1168"/>
    </row>
    <row r="43653" spans="2:2" s="221" customFormat="1" ht="12.75" x14ac:dyDescent="0.2">
      <c r="B43653" s="1168"/>
    </row>
    <row r="43654" spans="2:2" s="221" customFormat="1" ht="12.75" x14ac:dyDescent="0.2">
      <c r="B43654" s="1168"/>
    </row>
    <row r="43655" spans="2:2" s="221" customFormat="1" ht="12.75" x14ac:dyDescent="0.2">
      <c r="B43655" s="1168"/>
    </row>
    <row r="43656" spans="2:2" s="221" customFormat="1" ht="12.75" x14ac:dyDescent="0.2">
      <c r="B43656" s="1168"/>
    </row>
    <row r="43657" spans="2:2" s="221" customFormat="1" ht="12.75" x14ac:dyDescent="0.2">
      <c r="B43657" s="1168"/>
    </row>
    <row r="43658" spans="2:2" s="221" customFormat="1" ht="12.75" x14ac:dyDescent="0.2">
      <c r="B43658" s="1168"/>
    </row>
    <row r="43659" spans="2:2" s="221" customFormat="1" ht="12.75" x14ac:dyDescent="0.2">
      <c r="B43659" s="1168"/>
    </row>
    <row r="43660" spans="2:2" s="221" customFormat="1" ht="12.75" x14ac:dyDescent="0.2">
      <c r="B43660" s="1168"/>
    </row>
    <row r="43661" spans="2:2" s="221" customFormat="1" ht="12.75" x14ac:dyDescent="0.2">
      <c r="B43661" s="1168"/>
    </row>
    <row r="43662" spans="2:2" s="221" customFormat="1" ht="12.75" x14ac:dyDescent="0.2">
      <c r="B43662" s="1168"/>
    </row>
    <row r="43663" spans="2:2" s="221" customFormat="1" ht="12.75" x14ac:dyDescent="0.2">
      <c r="B43663" s="1168"/>
    </row>
    <row r="43664" spans="2:2" s="221" customFormat="1" ht="12.75" x14ac:dyDescent="0.2">
      <c r="B43664" s="1168"/>
    </row>
    <row r="43665" spans="2:2" s="221" customFormat="1" ht="12.75" x14ac:dyDescent="0.2">
      <c r="B43665" s="1168"/>
    </row>
    <row r="43666" spans="2:2" s="221" customFormat="1" ht="12.75" x14ac:dyDescent="0.2">
      <c r="B43666" s="1168"/>
    </row>
    <row r="43667" spans="2:2" s="221" customFormat="1" ht="12.75" x14ac:dyDescent="0.2">
      <c r="B43667" s="1168"/>
    </row>
    <row r="43668" spans="2:2" s="221" customFormat="1" ht="12.75" x14ac:dyDescent="0.2">
      <c r="B43668" s="1168"/>
    </row>
    <row r="43669" spans="2:2" s="221" customFormat="1" ht="12.75" x14ac:dyDescent="0.2">
      <c r="B43669" s="1168"/>
    </row>
    <row r="43670" spans="2:2" s="221" customFormat="1" ht="12.75" x14ac:dyDescent="0.2">
      <c r="B43670" s="1168"/>
    </row>
    <row r="43671" spans="2:2" s="221" customFormat="1" ht="12.75" x14ac:dyDescent="0.2">
      <c r="B43671" s="1168"/>
    </row>
    <row r="43672" spans="2:2" s="221" customFormat="1" ht="12.75" x14ac:dyDescent="0.2">
      <c r="B43672" s="1168"/>
    </row>
    <row r="43673" spans="2:2" s="221" customFormat="1" ht="12.75" x14ac:dyDescent="0.2">
      <c r="B43673" s="1168"/>
    </row>
    <row r="43674" spans="2:2" s="221" customFormat="1" ht="12.75" x14ac:dyDescent="0.2">
      <c r="B43674" s="1168"/>
    </row>
    <row r="43675" spans="2:2" s="221" customFormat="1" ht="12.75" x14ac:dyDescent="0.2">
      <c r="B43675" s="1168"/>
    </row>
    <row r="43676" spans="2:2" s="221" customFormat="1" ht="12.75" x14ac:dyDescent="0.2">
      <c r="B43676" s="1168"/>
    </row>
    <row r="43677" spans="2:2" s="221" customFormat="1" ht="12.75" x14ac:dyDescent="0.2">
      <c r="B43677" s="1168"/>
    </row>
    <row r="43678" spans="2:2" s="221" customFormat="1" ht="12.75" x14ac:dyDescent="0.2">
      <c r="B43678" s="1168"/>
    </row>
    <row r="43679" spans="2:2" s="221" customFormat="1" ht="12.75" x14ac:dyDescent="0.2">
      <c r="B43679" s="1168"/>
    </row>
    <row r="43680" spans="2:2" s="221" customFormat="1" ht="12.75" x14ac:dyDescent="0.2">
      <c r="B43680" s="1168"/>
    </row>
    <row r="43681" spans="2:2" s="221" customFormat="1" ht="12.75" x14ac:dyDescent="0.2">
      <c r="B43681" s="1168"/>
    </row>
    <row r="43682" spans="2:2" s="221" customFormat="1" ht="12.75" x14ac:dyDescent="0.2">
      <c r="B43682" s="1168"/>
    </row>
    <row r="43683" spans="2:2" s="221" customFormat="1" ht="12.75" x14ac:dyDescent="0.2">
      <c r="B43683" s="1168"/>
    </row>
    <row r="43684" spans="2:2" s="221" customFormat="1" ht="12.75" x14ac:dyDescent="0.2">
      <c r="B43684" s="1168"/>
    </row>
    <row r="43685" spans="2:2" s="221" customFormat="1" ht="12.75" x14ac:dyDescent="0.2">
      <c r="B43685" s="1168"/>
    </row>
    <row r="43686" spans="2:2" s="221" customFormat="1" ht="12.75" x14ac:dyDescent="0.2">
      <c r="B43686" s="1168"/>
    </row>
    <row r="43687" spans="2:2" s="221" customFormat="1" ht="12.75" x14ac:dyDescent="0.2">
      <c r="B43687" s="1168"/>
    </row>
    <row r="43688" spans="2:2" s="221" customFormat="1" ht="12.75" x14ac:dyDescent="0.2">
      <c r="B43688" s="1168"/>
    </row>
    <row r="43689" spans="2:2" s="221" customFormat="1" ht="12.75" x14ac:dyDescent="0.2">
      <c r="B43689" s="1168"/>
    </row>
    <row r="43690" spans="2:2" s="221" customFormat="1" ht="12.75" x14ac:dyDescent="0.2">
      <c r="B43690" s="1168"/>
    </row>
    <row r="43691" spans="2:2" s="221" customFormat="1" ht="12.75" x14ac:dyDescent="0.2">
      <c r="B43691" s="1168"/>
    </row>
    <row r="43692" spans="2:2" s="221" customFormat="1" ht="12.75" x14ac:dyDescent="0.2">
      <c r="B43692" s="1168"/>
    </row>
    <row r="43693" spans="2:2" s="221" customFormat="1" ht="12.75" x14ac:dyDescent="0.2">
      <c r="B43693" s="1168"/>
    </row>
    <row r="43694" spans="2:2" s="221" customFormat="1" ht="12.75" x14ac:dyDescent="0.2">
      <c r="B43694" s="1168"/>
    </row>
    <row r="43695" spans="2:2" s="221" customFormat="1" ht="12.75" x14ac:dyDescent="0.2">
      <c r="B43695" s="1168"/>
    </row>
    <row r="43696" spans="2:2" s="221" customFormat="1" ht="12.75" x14ac:dyDescent="0.2">
      <c r="B43696" s="1168"/>
    </row>
    <row r="43697" spans="2:2" s="221" customFormat="1" ht="12.75" x14ac:dyDescent="0.2">
      <c r="B43697" s="1168"/>
    </row>
    <row r="43698" spans="2:2" s="221" customFormat="1" ht="12.75" x14ac:dyDescent="0.2">
      <c r="B43698" s="1168"/>
    </row>
    <row r="43699" spans="2:2" s="221" customFormat="1" ht="12.75" x14ac:dyDescent="0.2">
      <c r="B43699" s="1168"/>
    </row>
    <row r="43700" spans="2:2" s="221" customFormat="1" ht="12.75" x14ac:dyDescent="0.2">
      <c r="B43700" s="1168"/>
    </row>
    <row r="43701" spans="2:2" s="221" customFormat="1" ht="12.75" x14ac:dyDescent="0.2">
      <c r="B43701" s="1168"/>
    </row>
    <row r="43702" spans="2:2" s="221" customFormat="1" ht="12.75" x14ac:dyDescent="0.2">
      <c r="B43702" s="1168"/>
    </row>
    <row r="43703" spans="2:2" s="221" customFormat="1" ht="12.75" x14ac:dyDescent="0.2">
      <c r="B43703" s="1168"/>
    </row>
    <row r="43704" spans="2:2" s="221" customFormat="1" ht="12.75" x14ac:dyDescent="0.2">
      <c r="B43704" s="1168"/>
    </row>
    <row r="43705" spans="2:2" s="221" customFormat="1" ht="12.75" x14ac:dyDescent="0.2">
      <c r="B43705" s="1168"/>
    </row>
    <row r="43706" spans="2:2" s="221" customFormat="1" ht="12.75" x14ac:dyDescent="0.2">
      <c r="B43706" s="1168"/>
    </row>
    <row r="43707" spans="2:2" s="221" customFormat="1" ht="12.75" x14ac:dyDescent="0.2">
      <c r="B43707" s="1168"/>
    </row>
    <row r="43708" spans="2:2" s="221" customFormat="1" ht="12.75" x14ac:dyDescent="0.2">
      <c r="B43708" s="1168"/>
    </row>
    <row r="43709" spans="2:2" s="221" customFormat="1" ht="12.75" x14ac:dyDescent="0.2">
      <c r="B43709" s="1168"/>
    </row>
    <row r="43710" spans="2:2" s="221" customFormat="1" ht="12.75" x14ac:dyDescent="0.2">
      <c r="B43710" s="1168"/>
    </row>
    <row r="43711" spans="2:2" s="221" customFormat="1" ht="12.75" x14ac:dyDescent="0.2">
      <c r="B43711" s="1168"/>
    </row>
    <row r="43712" spans="2:2" s="221" customFormat="1" ht="12.75" x14ac:dyDescent="0.2">
      <c r="B43712" s="1168"/>
    </row>
    <row r="43713" spans="2:2" s="221" customFormat="1" ht="12.75" x14ac:dyDescent="0.2">
      <c r="B43713" s="1168"/>
    </row>
    <row r="43714" spans="2:2" s="221" customFormat="1" ht="12.75" x14ac:dyDescent="0.2">
      <c r="B43714" s="1168"/>
    </row>
    <row r="43715" spans="2:2" s="221" customFormat="1" ht="12.75" x14ac:dyDescent="0.2">
      <c r="B43715" s="1168"/>
    </row>
    <row r="43716" spans="2:2" s="221" customFormat="1" ht="12.75" x14ac:dyDescent="0.2">
      <c r="B43716" s="1168"/>
    </row>
    <row r="43717" spans="2:2" s="221" customFormat="1" ht="12.75" x14ac:dyDescent="0.2">
      <c r="B43717" s="1168"/>
    </row>
    <row r="43718" spans="2:2" s="221" customFormat="1" ht="12.75" x14ac:dyDescent="0.2">
      <c r="B43718" s="1168"/>
    </row>
    <row r="43719" spans="2:2" s="221" customFormat="1" ht="12.75" x14ac:dyDescent="0.2">
      <c r="B43719" s="1168"/>
    </row>
    <row r="43720" spans="2:2" s="221" customFormat="1" ht="12.75" x14ac:dyDescent="0.2">
      <c r="B43720" s="1168"/>
    </row>
    <row r="43721" spans="2:2" s="221" customFormat="1" ht="12.75" x14ac:dyDescent="0.2">
      <c r="B43721" s="1168"/>
    </row>
    <row r="43722" spans="2:2" s="221" customFormat="1" ht="12.75" x14ac:dyDescent="0.2">
      <c r="B43722" s="1168"/>
    </row>
    <row r="43723" spans="2:2" s="221" customFormat="1" ht="12.75" x14ac:dyDescent="0.2">
      <c r="B43723" s="1168"/>
    </row>
    <row r="43724" spans="2:2" s="221" customFormat="1" ht="12.75" x14ac:dyDescent="0.2">
      <c r="B43724" s="1168"/>
    </row>
    <row r="43725" spans="2:2" s="221" customFormat="1" ht="12.75" x14ac:dyDescent="0.2">
      <c r="B43725" s="1168"/>
    </row>
    <row r="43726" spans="2:2" s="221" customFormat="1" ht="12.75" x14ac:dyDescent="0.2">
      <c r="B43726" s="1168"/>
    </row>
    <row r="43727" spans="2:2" s="221" customFormat="1" ht="12.75" x14ac:dyDescent="0.2">
      <c r="B43727" s="1168"/>
    </row>
    <row r="43728" spans="2:2" s="221" customFormat="1" ht="12.75" x14ac:dyDescent="0.2">
      <c r="B43728" s="1168"/>
    </row>
    <row r="43729" spans="2:2" s="221" customFormat="1" ht="12.75" x14ac:dyDescent="0.2">
      <c r="B43729" s="1168"/>
    </row>
    <row r="43730" spans="2:2" s="221" customFormat="1" ht="12.75" x14ac:dyDescent="0.2">
      <c r="B43730" s="1168"/>
    </row>
    <row r="43731" spans="2:2" s="221" customFormat="1" ht="12.75" x14ac:dyDescent="0.2">
      <c r="B43731" s="1168"/>
    </row>
    <row r="43732" spans="2:2" s="221" customFormat="1" ht="12.75" x14ac:dyDescent="0.2">
      <c r="B43732" s="1168"/>
    </row>
    <row r="43733" spans="2:2" s="221" customFormat="1" ht="12.75" x14ac:dyDescent="0.2">
      <c r="B43733" s="1168"/>
    </row>
    <row r="43734" spans="2:2" s="221" customFormat="1" ht="12.75" x14ac:dyDescent="0.2">
      <c r="B43734" s="1168"/>
    </row>
    <row r="43735" spans="2:2" s="221" customFormat="1" ht="12.75" x14ac:dyDescent="0.2">
      <c r="B43735" s="1168"/>
    </row>
    <row r="43736" spans="2:2" s="221" customFormat="1" ht="12.75" x14ac:dyDescent="0.2">
      <c r="B43736" s="1168"/>
    </row>
    <row r="43737" spans="2:2" s="221" customFormat="1" ht="12.75" x14ac:dyDescent="0.2">
      <c r="B43737" s="1168"/>
    </row>
    <row r="43738" spans="2:2" s="221" customFormat="1" ht="12.75" x14ac:dyDescent="0.2">
      <c r="B43738" s="1168"/>
    </row>
    <row r="43739" spans="2:2" s="221" customFormat="1" ht="12.75" x14ac:dyDescent="0.2">
      <c r="B43739" s="1168"/>
    </row>
    <row r="43740" spans="2:2" s="221" customFormat="1" ht="12.75" x14ac:dyDescent="0.2">
      <c r="B43740" s="1168"/>
    </row>
    <row r="43741" spans="2:2" s="221" customFormat="1" ht="12.75" x14ac:dyDescent="0.2">
      <c r="B43741" s="1168"/>
    </row>
    <row r="43742" spans="2:2" s="221" customFormat="1" ht="12.75" x14ac:dyDescent="0.2">
      <c r="B43742" s="1168"/>
    </row>
    <row r="43743" spans="2:2" s="221" customFormat="1" ht="12.75" x14ac:dyDescent="0.2">
      <c r="B43743" s="1168"/>
    </row>
    <row r="43744" spans="2:2" s="221" customFormat="1" ht="12.75" x14ac:dyDescent="0.2">
      <c r="B43744" s="1168"/>
    </row>
    <row r="43745" spans="2:2" s="221" customFormat="1" ht="12.75" x14ac:dyDescent="0.2">
      <c r="B43745" s="1168"/>
    </row>
    <row r="43746" spans="2:2" s="221" customFormat="1" ht="12.75" x14ac:dyDescent="0.2">
      <c r="B43746" s="1168"/>
    </row>
    <row r="43747" spans="2:2" s="221" customFormat="1" ht="12.75" x14ac:dyDescent="0.2">
      <c r="B43747" s="1168"/>
    </row>
    <row r="43748" spans="2:2" s="221" customFormat="1" ht="12.75" x14ac:dyDescent="0.2">
      <c r="B43748" s="1168"/>
    </row>
    <row r="43749" spans="2:2" s="221" customFormat="1" ht="12.75" x14ac:dyDescent="0.2">
      <c r="B43749" s="1168"/>
    </row>
    <row r="43750" spans="2:2" s="221" customFormat="1" ht="12.75" x14ac:dyDescent="0.2">
      <c r="B43750" s="1168"/>
    </row>
    <row r="43751" spans="2:2" s="221" customFormat="1" ht="12.75" x14ac:dyDescent="0.2">
      <c r="B43751" s="1168"/>
    </row>
    <row r="43752" spans="2:2" s="221" customFormat="1" ht="12.75" x14ac:dyDescent="0.2">
      <c r="B43752" s="1168"/>
    </row>
    <row r="43753" spans="2:2" s="221" customFormat="1" ht="12.75" x14ac:dyDescent="0.2">
      <c r="B43753" s="1168"/>
    </row>
    <row r="43754" spans="2:2" s="221" customFormat="1" ht="12.75" x14ac:dyDescent="0.2">
      <c r="B43754" s="1168"/>
    </row>
    <row r="43755" spans="2:2" s="221" customFormat="1" ht="12.75" x14ac:dyDescent="0.2">
      <c r="B43755" s="1168"/>
    </row>
    <row r="43756" spans="2:2" s="221" customFormat="1" ht="12.75" x14ac:dyDescent="0.2">
      <c r="B43756" s="1168"/>
    </row>
    <row r="43757" spans="2:2" s="221" customFormat="1" ht="12.75" x14ac:dyDescent="0.2">
      <c r="B43757" s="1168"/>
    </row>
    <row r="43758" spans="2:2" s="221" customFormat="1" ht="12.75" x14ac:dyDescent="0.2">
      <c r="B43758" s="1168"/>
    </row>
    <row r="43759" spans="2:2" s="221" customFormat="1" ht="12.75" x14ac:dyDescent="0.2">
      <c r="B43759" s="1168"/>
    </row>
    <row r="43760" spans="2:2" s="221" customFormat="1" ht="12.75" x14ac:dyDescent="0.2">
      <c r="B43760" s="1168"/>
    </row>
    <row r="43761" spans="2:2" s="221" customFormat="1" ht="12.75" x14ac:dyDescent="0.2">
      <c r="B43761" s="1168"/>
    </row>
    <row r="43762" spans="2:2" s="221" customFormat="1" ht="12.75" x14ac:dyDescent="0.2">
      <c r="B43762" s="1168"/>
    </row>
    <row r="43763" spans="2:2" s="221" customFormat="1" ht="12.75" x14ac:dyDescent="0.2">
      <c r="B43763" s="1168"/>
    </row>
    <row r="43764" spans="2:2" s="221" customFormat="1" ht="12.75" x14ac:dyDescent="0.2">
      <c r="B43764" s="1168"/>
    </row>
    <row r="43765" spans="2:2" s="221" customFormat="1" ht="12.75" x14ac:dyDescent="0.2">
      <c r="B43765" s="1168"/>
    </row>
    <row r="43766" spans="2:2" s="221" customFormat="1" ht="12.75" x14ac:dyDescent="0.2">
      <c r="B43766" s="1168"/>
    </row>
    <row r="43767" spans="2:2" s="221" customFormat="1" ht="12.75" x14ac:dyDescent="0.2">
      <c r="B43767" s="1168"/>
    </row>
    <row r="43768" spans="2:2" s="221" customFormat="1" ht="12.75" x14ac:dyDescent="0.2">
      <c r="B43768" s="1168"/>
    </row>
    <row r="43769" spans="2:2" s="221" customFormat="1" ht="12.75" x14ac:dyDescent="0.2">
      <c r="B43769" s="1168"/>
    </row>
    <row r="43770" spans="2:2" s="221" customFormat="1" ht="12.75" x14ac:dyDescent="0.2">
      <c r="B43770" s="1168"/>
    </row>
    <row r="43771" spans="2:2" s="221" customFormat="1" ht="12.75" x14ac:dyDescent="0.2">
      <c r="B43771" s="1168"/>
    </row>
    <row r="43772" spans="2:2" s="221" customFormat="1" ht="12.75" x14ac:dyDescent="0.2">
      <c r="B43772" s="1168"/>
    </row>
    <row r="43773" spans="2:2" s="221" customFormat="1" ht="12.75" x14ac:dyDescent="0.2">
      <c r="B43773" s="1168"/>
    </row>
    <row r="43774" spans="2:2" s="221" customFormat="1" ht="12.75" x14ac:dyDescent="0.2">
      <c r="B43774" s="1168"/>
    </row>
    <row r="43775" spans="2:2" s="221" customFormat="1" ht="12.75" x14ac:dyDescent="0.2">
      <c r="B43775" s="1168"/>
    </row>
    <row r="43776" spans="2:2" s="221" customFormat="1" ht="12.75" x14ac:dyDescent="0.2">
      <c r="B43776" s="1168"/>
    </row>
    <row r="43777" spans="2:2" s="221" customFormat="1" ht="12.75" x14ac:dyDescent="0.2">
      <c r="B43777" s="1168"/>
    </row>
    <row r="43778" spans="2:2" s="221" customFormat="1" ht="12.75" x14ac:dyDescent="0.2">
      <c r="B43778" s="1168"/>
    </row>
    <row r="43779" spans="2:2" s="221" customFormat="1" ht="12.75" x14ac:dyDescent="0.2">
      <c r="B43779" s="1168"/>
    </row>
    <row r="43780" spans="2:2" s="221" customFormat="1" ht="12.75" x14ac:dyDescent="0.2">
      <c r="B43780" s="1168"/>
    </row>
    <row r="43781" spans="2:2" s="221" customFormat="1" ht="12.75" x14ac:dyDescent="0.2">
      <c r="B43781" s="1168"/>
    </row>
    <row r="43782" spans="2:2" s="221" customFormat="1" ht="12.75" x14ac:dyDescent="0.2">
      <c r="B43782" s="1168"/>
    </row>
    <row r="43783" spans="2:2" s="221" customFormat="1" ht="12.75" x14ac:dyDescent="0.2">
      <c r="B43783" s="1168"/>
    </row>
    <row r="43784" spans="2:2" s="221" customFormat="1" ht="12.75" x14ac:dyDescent="0.2">
      <c r="B43784" s="1168"/>
    </row>
    <row r="43785" spans="2:2" s="221" customFormat="1" ht="12.75" x14ac:dyDescent="0.2">
      <c r="B43785" s="1168"/>
    </row>
    <row r="43786" spans="2:2" s="221" customFormat="1" ht="12.75" x14ac:dyDescent="0.2">
      <c r="B43786" s="1168"/>
    </row>
    <row r="43787" spans="2:2" s="221" customFormat="1" ht="12.75" x14ac:dyDescent="0.2">
      <c r="B43787" s="1168"/>
    </row>
    <row r="43788" spans="2:2" s="221" customFormat="1" ht="12.75" x14ac:dyDescent="0.2">
      <c r="B43788" s="1168"/>
    </row>
    <row r="43789" spans="2:2" s="221" customFormat="1" ht="12.75" x14ac:dyDescent="0.2">
      <c r="B43789" s="1168"/>
    </row>
    <row r="43790" spans="2:2" s="221" customFormat="1" ht="12.75" x14ac:dyDescent="0.2">
      <c r="B43790" s="1168"/>
    </row>
    <row r="43791" spans="2:2" s="221" customFormat="1" ht="12.75" x14ac:dyDescent="0.2">
      <c r="B43791" s="1168"/>
    </row>
    <row r="43792" spans="2:2" s="221" customFormat="1" ht="12.75" x14ac:dyDescent="0.2">
      <c r="B43792" s="1168"/>
    </row>
    <row r="43793" spans="2:2" s="221" customFormat="1" ht="12.75" x14ac:dyDescent="0.2">
      <c r="B43793" s="1168"/>
    </row>
    <row r="43794" spans="2:2" s="221" customFormat="1" ht="12.75" x14ac:dyDescent="0.2">
      <c r="B43794" s="1168"/>
    </row>
    <row r="43795" spans="2:2" s="221" customFormat="1" ht="12.75" x14ac:dyDescent="0.2">
      <c r="B43795" s="1168"/>
    </row>
    <row r="43796" spans="2:2" s="221" customFormat="1" ht="12.75" x14ac:dyDescent="0.2">
      <c r="B43796" s="1168"/>
    </row>
    <row r="43797" spans="2:2" s="221" customFormat="1" ht="12.75" x14ac:dyDescent="0.2">
      <c r="B43797" s="1168"/>
    </row>
    <row r="43798" spans="2:2" s="221" customFormat="1" ht="12.75" x14ac:dyDescent="0.2">
      <c r="B43798" s="1168"/>
    </row>
    <row r="43799" spans="2:2" s="221" customFormat="1" ht="12.75" x14ac:dyDescent="0.2">
      <c r="B43799" s="1168"/>
    </row>
    <row r="43800" spans="2:2" s="221" customFormat="1" ht="12.75" x14ac:dyDescent="0.2">
      <c r="B43800" s="1168"/>
    </row>
    <row r="43801" spans="2:2" s="221" customFormat="1" ht="12.75" x14ac:dyDescent="0.2">
      <c r="B43801" s="1168"/>
    </row>
    <row r="43802" spans="2:2" s="221" customFormat="1" ht="12.75" x14ac:dyDescent="0.2">
      <c r="B43802" s="1168"/>
    </row>
    <row r="43803" spans="2:2" s="221" customFormat="1" ht="12.75" x14ac:dyDescent="0.2">
      <c r="B43803" s="1168"/>
    </row>
    <row r="43804" spans="2:2" s="221" customFormat="1" ht="12.75" x14ac:dyDescent="0.2">
      <c r="B43804" s="1168"/>
    </row>
    <row r="43805" spans="2:2" s="221" customFormat="1" ht="12.75" x14ac:dyDescent="0.2">
      <c r="B43805" s="1168"/>
    </row>
    <row r="43806" spans="2:2" s="221" customFormat="1" ht="12.75" x14ac:dyDescent="0.2">
      <c r="B43806" s="1168"/>
    </row>
    <row r="43807" spans="2:2" s="221" customFormat="1" ht="12.75" x14ac:dyDescent="0.2">
      <c r="B43807" s="1168"/>
    </row>
    <row r="43808" spans="2:2" s="221" customFormat="1" ht="12.75" x14ac:dyDescent="0.2">
      <c r="B43808" s="1168"/>
    </row>
    <row r="43809" spans="2:2" s="221" customFormat="1" ht="12.75" x14ac:dyDescent="0.2">
      <c r="B43809" s="1168"/>
    </row>
    <row r="43810" spans="2:2" s="221" customFormat="1" ht="12.75" x14ac:dyDescent="0.2">
      <c r="B43810" s="1168"/>
    </row>
    <row r="43811" spans="2:2" s="221" customFormat="1" ht="12.75" x14ac:dyDescent="0.2">
      <c r="B43811" s="1168"/>
    </row>
    <row r="43812" spans="2:2" s="221" customFormat="1" ht="12.75" x14ac:dyDescent="0.2">
      <c r="B43812" s="1168"/>
    </row>
    <row r="43813" spans="2:2" s="221" customFormat="1" ht="12.75" x14ac:dyDescent="0.2">
      <c r="B43813" s="1168"/>
    </row>
    <row r="43814" spans="2:2" s="221" customFormat="1" ht="12.75" x14ac:dyDescent="0.2">
      <c r="B43814" s="1168"/>
    </row>
    <row r="43815" spans="2:2" s="221" customFormat="1" ht="12.75" x14ac:dyDescent="0.2">
      <c r="B43815" s="1168"/>
    </row>
    <row r="43816" spans="2:2" s="221" customFormat="1" ht="12.75" x14ac:dyDescent="0.2">
      <c r="B43816" s="1168"/>
    </row>
    <row r="43817" spans="2:2" s="221" customFormat="1" ht="12.75" x14ac:dyDescent="0.2">
      <c r="B43817" s="1168"/>
    </row>
    <row r="43818" spans="2:2" s="221" customFormat="1" ht="12.75" x14ac:dyDescent="0.2">
      <c r="B43818" s="1168"/>
    </row>
    <row r="43819" spans="2:2" s="221" customFormat="1" ht="12.75" x14ac:dyDescent="0.2">
      <c r="B43819" s="1168"/>
    </row>
    <row r="43820" spans="2:2" s="221" customFormat="1" ht="12.75" x14ac:dyDescent="0.2">
      <c r="B43820" s="1168"/>
    </row>
    <row r="43821" spans="2:2" s="221" customFormat="1" ht="12.75" x14ac:dyDescent="0.2">
      <c r="B43821" s="1168"/>
    </row>
    <row r="43822" spans="2:2" s="221" customFormat="1" ht="12.75" x14ac:dyDescent="0.2">
      <c r="B43822" s="1168"/>
    </row>
    <row r="43823" spans="2:2" s="221" customFormat="1" ht="12.75" x14ac:dyDescent="0.2">
      <c r="B43823" s="1168"/>
    </row>
    <row r="43824" spans="2:2" s="221" customFormat="1" ht="12.75" x14ac:dyDescent="0.2">
      <c r="B43824" s="1168"/>
    </row>
    <row r="43825" spans="2:2" s="221" customFormat="1" ht="12.75" x14ac:dyDescent="0.2">
      <c r="B43825" s="1168"/>
    </row>
    <row r="43826" spans="2:2" s="221" customFormat="1" ht="12.75" x14ac:dyDescent="0.2">
      <c r="B43826" s="1168"/>
    </row>
    <row r="43827" spans="2:2" s="221" customFormat="1" ht="12.75" x14ac:dyDescent="0.2">
      <c r="B43827" s="1168"/>
    </row>
    <row r="43828" spans="2:2" s="221" customFormat="1" ht="12.75" x14ac:dyDescent="0.2">
      <c r="B43828" s="1168"/>
    </row>
    <row r="43829" spans="2:2" s="221" customFormat="1" ht="12.75" x14ac:dyDescent="0.2">
      <c r="B43829" s="1168"/>
    </row>
    <row r="43830" spans="2:2" s="221" customFormat="1" ht="12.75" x14ac:dyDescent="0.2">
      <c r="B43830" s="1168"/>
    </row>
    <row r="43831" spans="2:2" s="221" customFormat="1" ht="12.75" x14ac:dyDescent="0.2">
      <c r="B43831" s="1168"/>
    </row>
    <row r="43832" spans="2:2" s="221" customFormat="1" ht="12.75" x14ac:dyDescent="0.2">
      <c r="B43832" s="1168"/>
    </row>
    <row r="43833" spans="2:2" s="221" customFormat="1" ht="12.75" x14ac:dyDescent="0.2">
      <c r="B43833" s="1168"/>
    </row>
    <row r="43834" spans="2:2" s="221" customFormat="1" ht="12.75" x14ac:dyDescent="0.2">
      <c r="B43834" s="1168"/>
    </row>
    <row r="43835" spans="2:2" s="221" customFormat="1" ht="12.75" x14ac:dyDescent="0.2">
      <c r="B43835" s="1168"/>
    </row>
    <row r="43836" spans="2:2" s="221" customFormat="1" ht="12.75" x14ac:dyDescent="0.2">
      <c r="B43836" s="1168"/>
    </row>
    <row r="43837" spans="2:2" s="221" customFormat="1" ht="12.75" x14ac:dyDescent="0.2">
      <c r="B43837" s="1168"/>
    </row>
    <row r="43838" spans="2:2" s="221" customFormat="1" ht="12.75" x14ac:dyDescent="0.2">
      <c r="B43838" s="1168"/>
    </row>
    <row r="43839" spans="2:2" s="221" customFormat="1" ht="12.75" x14ac:dyDescent="0.2">
      <c r="B43839" s="1168"/>
    </row>
    <row r="43840" spans="2:2" s="221" customFormat="1" ht="12.75" x14ac:dyDescent="0.2">
      <c r="B43840" s="1168"/>
    </row>
    <row r="43841" spans="2:2" s="221" customFormat="1" ht="12.75" x14ac:dyDescent="0.2">
      <c r="B43841" s="1168"/>
    </row>
    <row r="43842" spans="2:2" s="221" customFormat="1" ht="12.75" x14ac:dyDescent="0.2">
      <c r="B43842" s="1168"/>
    </row>
    <row r="43843" spans="2:2" s="221" customFormat="1" ht="12.75" x14ac:dyDescent="0.2">
      <c r="B43843" s="1168"/>
    </row>
    <row r="43844" spans="2:2" s="221" customFormat="1" ht="12.75" x14ac:dyDescent="0.2">
      <c r="B43844" s="1168"/>
    </row>
    <row r="43845" spans="2:2" s="221" customFormat="1" ht="12.75" x14ac:dyDescent="0.2">
      <c r="B43845" s="1168"/>
    </row>
    <row r="43846" spans="2:2" s="221" customFormat="1" ht="12.75" x14ac:dyDescent="0.2">
      <c r="B43846" s="1168"/>
    </row>
    <row r="43847" spans="2:2" s="221" customFormat="1" ht="12.75" x14ac:dyDescent="0.2">
      <c r="B43847" s="1168"/>
    </row>
    <row r="43848" spans="2:2" s="221" customFormat="1" ht="12.75" x14ac:dyDescent="0.2">
      <c r="B43848" s="1168"/>
    </row>
    <row r="43849" spans="2:2" s="221" customFormat="1" ht="12.75" x14ac:dyDescent="0.2">
      <c r="B43849" s="1168"/>
    </row>
    <row r="43850" spans="2:2" s="221" customFormat="1" ht="12.75" x14ac:dyDescent="0.2">
      <c r="B43850" s="1168"/>
    </row>
    <row r="43851" spans="2:2" s="221" customFormat="1" ht="12.75" x14ac:dyDescent="0.2">
      <c r="B43851" s="1168"/>
    </row>
    <row r="43852" spans="2:2" s="221" customFormat="1" ht="12.75" x14ac:dyDescent="0.2">
      <c r="B43852" s="1168"/>
    </row>
    <row r="43853" spans="2:2" s="221" customFormat="1" ht="12.75" x14ac:dyDescent="0.2">
      <c r="B43853" s="1168"/>
    </row>
    <row r="43854" spans="2:2" s="221" customFormat="1" ht="12.75" x14ac:dyDescent="0.2">
      <c r="B43854" s="1168"/>
    </row>
    <row r="43855" spans="2:2" s="221" customFormat="1" ht="12.75" x14ac:dyDescent="0.2">
      <c r="B43855" s="1168"/>
    </row>
    <row r="43856" spans="2:2" s="221" customFormat="1" ht="12.75" x14ac:dyDescent="0.2">
      <c r="B43856" s="1168"/>
    </row>
    <row r="43857" spans="2:2" s="221" customFormat="1" ht="12.75" x14ac:dyDescent="0.2">
      <c r="B43857" s="1168"/>
    </row>
    <row r="43858" spans="2:2" s="221" customFormat="1" ht="12.75" x14ac:dyDescent="0.2">
      <c r="B43858" s="1168"/>
    </row>
    <row r="43859" spans="2:2" s="221" customFormat="1" ht="12.75" x14ac:dyDescent="0.2">
      <c r="B43859" s="1168"/>
    </row>
    <row r="43860" spans="2:2" s="221" customFormat="1" ht="12.75" x14ac:dyDescent="0.2">
      <c r="B43860" s="1168"/>
    </row>
    <row r="43861" spans="2:2" s="221" customFormat="1" ht="12.75" x14ac:dyDescent="0.2">
      <c r="B43861" s="1168"/>
    </row>
    <row r="43862" spans="2:2" s="221" customFormat="1" ht="12.75" x14ac:dyDescent="0.2">
      <c r="B43862" s="1168"/>
    </row>
    <row r="43863" spans="2:2" s="221" customFormat="1" ht="12.75" x14ac:dyDescent="0.2">
      <c r="B43863" s="1168"/>
    </row>
    <row r="43864" spans="2:2" s="221" customFormat="1" ht="12.75" x14ac:dyDescent="0.2">
      <c r="B43864" s="1168"/>
    </row>
    <row r="43865" spans="2:2" s="221" customFormat="1" ht="12.75" x14ac:dyDescent="0.2">
      <c r="B43865" s="1168"/>
    </row>
    <row r="43866" spans="2:2" s="221" customFormat="1" ht="12.75" x14ac:dyDescent="0.2">
      <c r="B43866" s="1168"/>
    </row>
    <row r="43867" spans="2:2" s="221" customFormat="1" ht="12.75" x14ac:dyDescent="0.2">
      <c r="B43867" s="1168"/>
    </row>
    <row r="43868" spans="2:2" s="221" customFormat="1" ht="12.75" x14ac:dyDescent="0.2">
      <c r="B43868" s="1168"/>
    </row>
    <row r="43869" spans="2:2" s="221" customFormat="1" ht="12.75" x14ac:dyDescent="0.2">
      <c r="B43869" s="1168"/>
    </row>
    <row r="43870" spans="2:2" s="221" customFormat="1" ht="12.75" x14ac:dyDescent="0.2">
      <c r="B43870" s="1168"/>
    </row>
    <row r="43871" spans="2:2" s="221" customFormat="1" ht="12.75" x14ac:dyDescent="0.2">
      <c r="B43871" s="1168"/>
    </row>
    <row r="43872" spans="2:2" s="221" customFormat="1" ht="12.75" x14ac:dyDescent="0.2">
      <c r="B43872" s="1168"/>
    </row>
    <row r="43873" spans="2:2" s="221" customFormat="1" ht="12.75" x14ac:dyDescent="0.2">
      <c r="B43873" s="1168"/>
    </row>
    <row r="43874" spans="2:2" s="221" customFormat="1" ht="12.75" x14ac:dyDescent="0.2">
      <c r="B43874" s="1168"/>
    </row>
    <row r="43875" spans="2:2" s="221" customFormat="1" ht="12.75" x14ac:dyDescent="0.2">
      <c r="B43875" s="1168"/>
    </row>
    <row r="43876" spans="2:2" s="221" customFormat="1" ht="12.75" x14ac:dyDescent="0.2">
      <c r="B43876" s="1168"/>
    </row>
    <row r="43877" spans="2:2" s="221" customFormat="1" ht="12.75" x14ac:dyDescent="0.2">
      <c r="B43877" s="1168"/>
    </row>
    <row r="43878" spans="2:2" s="221" customFormat="1" ht="12.75" x14ac:dyDescent="0.2">
      <c r="B43878" s="1168"/>
    </row>
    <row r="43879" spans="2:2" s="221" customFormat="1" ht="12.75" x14ac:dyDescent="0.2">
      <c r="B43879" s="1168"/>
    </row>
    <row r="43880" spans="2:2" s="221" customFormat="1" ht="12.75" x14ac:dyDescent="0.2">
      <c r="B43880" s="1168"/>
    </row>
    <row r="43881" spans="2:2" s="221" customFormat="1" ht="12.75" x14ac:dyDescent="0.2">
      <c r="B43881" s="1168"/>
    </row>
    <row r="43882" spans="2:2" s="221" customFormat="1" ht="12.75" x14ac:dyDescent="0.2">
      <c r="B43882" s="1168"/>
    </row>
    <row r="43883" spans="2:2" s="221" customFormat="1" ht="12.75" x14ac:dyDescent="0.2">
      <c r="B43883" s="1168"/>
    </row>
    <row r="43884" spans="2:2" s="221" customFormat="1" ht="12.75" x14ac:dyDescent="0.2">
      <c r="B43884" s="1168"/>
    </row>
    <row r="43885" spans="2:2" s="221" customFormat="1" ht="12.75" x14ac:dyDescent="0.2">
      <c r="B43885" s="1168"/>
    </row>
    <row r="43886" spans="2:2" s="221" customFormat="1" ht="12.75" x14ac:dyDescent="0.2">
      <c r="B43886" s="1168"/>
    </row>
    <row r="43887" spans="2:2" s="221" customFormat="1" ht="12.75" x14ac:dyDescent="0.2">
      <c r="B43887" s="1168"/>
    </row>
    <row r="43888" spans="2:2" s="221" customFormat="1" ht="12.75" x14ac:dyDescent="0.2">
      <c r="B43888" s="1168"/>
    </row>
    <row r="43889" spans="2:2" s="221" customFormat="1" ht="12.75" x14ac:dyDescent="0.2">
      <c r="B43889" s="1168"/>
    </row>
    <row r="43890" spans="2:2" s="221" customFormat="1" ht="12.75" x14ac:dyDescent="0.2">
      <c r="B43890" s="1168"/>
    </row>
    <row r="43891" spans="2:2" s="221" customFormat="1" ht="12.75" x14ac:dyDescent="0.2">
      <c r="B43891" s="1168"/>
    </row>
    <row r="43892" spans="2:2" s="221" customFormat="1" ht="12.75" x14ac:dyDescent="0.2">
      <c r="B43892" s="1168"/>
    </row>
    <row r="43893" spans="2:2" s="221" customFormat="1" ht="12.75" x14ac:dyDescent="0.2">
      <c r="B43893" s="1168"/>
    </row>
    <row r="43894" spans="2:2" s="221" customFormat="1" ht="12.75" x14ac:dyDescent="0.2">
      <c r="B43894" s="1168"/>
    </row>
    <row r="43895" spans="2:2" s="221" customFormat="1" ht="12.75" x14ac:dyDescent="0.2">
      <c r="B43895" s="1168"/>
    </row>
    <row r="43896" spans="2:2" s="221" customFormat="1" ht="12.75" x14ac:dyDescent="0.2">
      <c r="B43896" s="1168"/>
    </row>
    <row r="43897" spans="2:2" s="221" customFormat="1" ht="12.75" x14ac:dyDescent="0.2">
      <c r="B43897" s="1168"/>
    </row>
    <row r="43898" spans="2:2" s="221" customFormat="1" ht="12.75" x14ac:dyDescent="0.2">
      <c r="B43898" s="1168"/>
    </row>
    <row r="43899" spans="2:2" s="221" customFormat="1" ht="12.75" x14ac:dyDescent="0.2">
      <c r="B43899" s="1168"/>
    </row>
    <row r="43900" spans="2:2" s="221" customFormat="1" ht="12.75" x14ac:dyDescent="0.2">
      <c r="B43900" s="1168"/>
    </row>
    <row r="43901" spans="2:2" s="221" customFormat="1" ht="12.75" x14ac:dyDescent="0.2">
      <c r="B43901" s="1168"/>
    </row>
    <row r="43902" spans="2:2" s="221" customFormat="1" ht="12.75" x14ac:dyDescent="0.2">
      <c r="B43902" s="1168"/>
    </row>
    <row r="43903" spans="2:2" s="221" customFormat="1" ht="12.75" x14ac:dyDescent="0.2">
      <c r="B43903" s="1168"/>
    </row>
    <row r="43904" spans="2:2" s="221" customFormat="1" ht="12.75" x14ac:dyDescent="0.2">
      <c r="B43904" s="1168"/>
    </row>
    <row r="43905" spans="2:2" s="221" customFormat="1" ht="12.75" x14ac:dyDescent="0.2">
      <c r="B43905" s="1168"/>
    </row>
    <row r="43906" spans="2:2" s="221" customFormat="1" ht="12.75" x14ac:dyDescent="0.2">
      <c r="B43906" s="1168"/>
    </row>
    <row r="43907" spans="2:2" s="221" customFormat="1" ht="12.75" x14ac:dyDescent="0.2">
      <c r="B43907" s="1168"/>
    </row>
    <row r="43908" spans="2:2" s="221" customFormat="1" ht="12.75" x14ac:dyDescent="0.2">
      <c r="B43908" s="1168"/>
    </row>
    <row r="43909" spans="2:2" s="221" customFormat="1" ht="12.75" x14ac:dyDescent="0.2">
      <c r="B43909" s="1168"/>
    </row>
    <row r="43910" spans="2:2" s="221" customFormat="1" ht="12.75" x14ac:dyDescent="0.2">
      <c r="B43910" s="1168"/>
    </row>
    <row r="43911" spans="2:2" s="221" customFormat="1" ht="12.75" x14ac:dyDescent="0.2">
      <c r="B43911" s="1168"/>
    </row>
    <row r="43912" spans="2:2" s="221" customFormat="1" ht="12.75" x14ac:dyDescent="0.2">
      <c r="B43912" s="1168"/>
    </row>
    <row r="43913" spans="2:2" s="221" customFormat="1" ht="12.75" x14ac:dyDescent="0.2">
      <c r="B43913" s="1168"/>
    </row>
    <row r="43914" spans="2:2" s="221" customFormat="1" ht="12.75" x14ac:dyDescent="0.2">
      <c r="B43914" s="1168"/>
    </row>
    <row r="43915" spans="2:2" s="221" customFormat="1" ht="12.75" x14ac:dyDescent="0.2">
      <c r="B43915" s="1168"/>
    </row>
    <row r="43916" spans="2:2" s="221" customFormat="1" ht="12.75" x14ac:dyDescent="0.2">
      <c r="B43916" s="1168"/>
    </row>
    <row r="43917" spans="2:2" s="221" customFormat="1" ht="12.75" x14ac:dyDescent="0.2">
      <c r="B43917" s="1168"/>
    </row>
    <row r="43918" spans="2:2" s="221" customFormat="1" ht="12.75" x14ac:dyDescent="0.2">
      <c r="B43918" s="1168"/>
    </row>
    <row r="43919" spans="2:2" s="221" customFormat="1" ht="12.75" x14ac:dyDescent="0.2">
      <c r="B43919" s="1168"/>
    </row>
    <row r="43920" spans="2:2" s="221" customFormat="1" ht="12.75" x14ac:dyDescent="0.2">
      <c r="B43920" s="1168"/>
    </row>
    <row r="43921" spans="2:2" s="221" customFormat="1" ht="12.75" x14ac:dyDescent="0.2">
      <c r="B43921" s="1168"/>
    </row>
    <row r="43922" spans="2:2" s="221" customFormat="1" ht="12.75" x14ac:dyDescent="0.2">
      <c r="B43922" s="1168"/>
    </row>
    <row r="43923" spans="2:2" s="221" customFormat="1" ht="12.75" x14ac:dyDescent="0.2">
      <c r="B43923" s="1168"/>
    </row>
    <row r="43924" spans="2:2" s="221" customFormat="1" ht="12.75" x14ac:dyDescent="0.2">
      <c r="B43924" s="1168"/>
    </row>
    <row r="43925" spans="2:2" s="221" customFormat="1" ht="12.75" x14ac:dyDescent="0.2">
      <c r="B43925" s="1168"/>
    </row>
    <row r="43926" spans="2:2" s="221" customFormat="1" ht="12.75" x14ac:dyDescent="0.2">
      <c r="B43926" s="1168"/>
    </row>
    <row r="43927" spans="2:2" s="221" customFormat="1" ht="12.75" x14ac:dyDescent="0.2">
      <c r="B43927" s="1168"/>
    </row>
    <row r="43928" spans="2:2" s="221" customFormat="1" ht="12.75" x14ac:dyDescent="0.2">
      <c r="B43928" s="1168"/>
    </row>
    <row r="43929" spans="2:2" s="221" customFormat="1" ht="12.75" x14ac:dyDescent="0.2">
      <c r="B43929" s="1168"/>
    </row>
    <row r="43930" spans="2:2" s="221" customFormat="1" ht="12.75" x14ac:dyDescent="0.2">
      <c r="B43930" s="1168"/>
    </row>
    <row r="43931" spans="2:2" s="221" customFormat="1" ht="12.75" x14ac:dyDescent="0.2">
      <c r="B43931" s="1168"/>
    </row>
    <row r="43932" spans="2:2" s="221" customFormat="1" ht="12.75" x14ac:dyDescent="0.2">
      <c r="B43932" s="1168"/>
    </row>
    <row r="43933" spans="2:2" s="221" customFormat="1" ht="12.75" x14ac:dyDescent="0.2">
      <c r="B43933" s="1168"/>
    </row>
    <row r="43934" spans="2:2" s="221" customFormat="1" ht="12.75" x14ac:dyDescent="0.2">
      <c r="B43934" s="1168"/>
    </row>
    <row r="43935" spans="2:2" s="221" customFormat="1" ht="12.75" x14ac:dyDescent="0.2">
      <c r="B43935" s="1168"/>
    </row>
    <row r="43936" spans="2:2" s="221" customFormat="1" ht="12.75" x14ac:dyDescent="0.2">
      <c r="B43936" s="1168"/>
    </row>
    <row r="43937" spans="2:2" s="221" customFormat="1" ht="12.75" x14ac:dyDescent="0.2">
      <c r="B43937" s="1168"/>
    </row>
    <row r="43938" spans="2:2" s="221" customFormat="1" ht="12.75" x14ac:dyDescent="0.2">
      <c r="B43938" s="1168"/>
    </row>
    <row r="43939" spans="2:2" s="221" customFormat="1" ht="12.75" x14ac:dyDescent="0.2">
      <c r="B43939" s="1168"/>
    </row>
    <row r="43940" spans="2:2" s="221" customFormat="1" ht="12.75" x14ac:dyDescent="0.2">
      <c r="B43940" s="1168"/>
    </row>
    <row r="43941" spans="2:2" s="221" customFormat="1" ht="12.75" x14ac:dyDescent="0.2">
      <c r="B43941" s="1168"/>
    </row>
    <row r="43942" spans="2:2" s="221" customFormat="1" ht="12.75" x14ac:dyDescent="0.2">
      <c r="B43942" s="1168"/>
    </row>
    <row r="43943" spans="2:2" s="221" customFormat="1" ht="12.75" x14ac:dyDescent="0.2">
      <c r="B43943" s="1168"/>
    </row>
    <row r="43944" spans="2:2" s="221" customFormat="1" ht="12.75" x14ac:dyDescent="0.2">
      <c r="B43944" s="1168"/>
    </row>
    <row r="43945" spans="2:2" s="221" customFormat="1" ht="12.75" x14ac:dyDescent="0.2">
      <c r="B43945" s="1168"/>
    </row>
    <row r="43946" spans="2:2" s="221" customFormat="1" ht="12.75" x14ac:dyDescent="0.2">
      <c r="B43946" s="1168"/>
    </row>
    <row r="43947" spans="2:2" s="221" customFormat="1" ht="12.75" x14ac:dyDescent="0.2">
      <c r="B43947" s="1168"/>
    </row>
    <row r="43948" spans="2:2" s="221" customFormat="1" ht="12.75" x14ac:dyDescent="0.2">
      <c r="B43948" s="1168"/>
    </row>
    <row r="43949" spans="2:2" s="221" customFormat="1" ht="12.75" x14ac:dyDescent="0.2">
      <c r="B43949" s="1168"/>
    </row>
    <row r="43950" spans="2:2" s="221" customFormat="1" ht="12.75" x14ac:dyDescent="0.2">
      <c r="B43950" s="1168"/>
    </row>
    <row r="43951" spans="2:2" s="221" customFormat="1" ht="12.75" x14ac:dyDescent="0.2">
      <c r="B43951" s="1168"/>
    </row>
    <row r="43952" spans="2:2" s="221" customFormat="1" ht="12.75" x14ac:dyDescent="0.2">
      <c r="B43952" s="1168"/>
    </row>
    <row r="43953" spans="2:2" s="221" customFormat="1" ht="12.75" x14ac:dyDescent="0.2">
      <c r="B43953" s="1168"/>
    </row>
    <row r="43954" spans="2:2" s="221" customFormat="1" ht="12.75" x14ac:dyDescent="0.2">
      <c r="B43954" s="1168"/>
    </row>
    <row r="43955" spans="2:2" s="221" customFormat="1" ht="12.75" x14ac:dyDescent="0.2">
      <c r="B43955" s="1168"/>
    </row>
    <row r="43956" spans="2:2" s="221" customFormat="1" ht="12.75" x14ac:dyDescent="0.2">
      <c r="B43956" s="1168"/>
    </row>
    <row r="43957" spans="2:2" s="221" customFormat="1" ht="12.75" x14ac:dyDescent="0.2">
      <c r="B43957" s="1168"/>
    </row>
    <row r="43958" spans="2:2" s="221" customFormat="1" ht="12.75" x14ac:dyDescent="0.2">
      <c r="B43958" s="1168"/>
    </row>
    <row r="43959" spans="2:2" s="221" customFormat="1" ht="12.75" x14ac:dyDescent="0.2">
      <c r="B43959" s="1168"/>
    </row>
    <row r="43960" spans="2:2" s="221" customFormat="1" ht="12.75" x14ac:dyDescent="0.2">
      <c r="B43960" s="1168"/>
    </row>
    <row r="43961" spans="2:2" s="221" customFormat="1" ht="12.75" x14ac:dyDescent="0.2">
      <c r="B43961" s="1168"/>
    </row>
    <row r="43962" spans="2:2" s="221" customFormat="1" ht="12.75" x14ac:dyDescent="0.2">
      <c r="B43962" s="1168"/>
    </row>
    <row r="43963" spans="2:2" s="221" customFormat="1" ht="12.75" x14ac:dyDescent="0.2">
      <c r="B43963" s="1168"/>
    </row>
    <row r="43964" spans="2:2" s="221" customFormat="1" ht="12.75" x14ac:dyDescent="0.2">
      <c r="B43964" s="1168"/>
    </row>
    <row r="43965" spans="2:2" s="221" customFormat="1" ht="12.75" x14ac:dyDescent="0.2">
      <c r="B43965" s="1168"/>
    </row>
    <row r="43966" spans="2:2" s="221" customFormat="1" ht="12.75" x14ac:dyDescent="0.2">
      <c r="B43966" s="1168"/>
    </row>
    <row r="43967" spans="2:2" s="221" customFormat="1" ht="12.75" x14ac:dyDescent="0.2">
      <c r="B43967" s="1168"/>
    </row>
    <row r="43968" spans="2:2" s="221" customFormat="1" ht="12.75" x14ac:dyDescent="0.2">
      <c r="B43968" s="1168"/>
    </row>
    <row r="43969" spans="2:2" s="221" customFormat="1" ht="12.75" x14ac:dyDescent="0.2">
      <c r="B43969" s="1168"/>
    </row>
    <row r="43970" spans="2:2" s="221" customFormat="1" ht="12.75" x14ac:dyDescent="0.2">
      <c r="B43970" s="1168"/>
    </row>
    <row r="43971" spans="2:2" s="221" customFormat="1" ht="12.75" x14ac:dyDescent="0.2">
      <c r="B43971" s="1168"/>
    </row>
    <row r="43972" spans="2:2" s="221" customFormat="1" ht="12.75" x14ac:dyDescent="0.2">
      <c r="B43972" s="1168"/>
    </row>
    <row r="43973" spans="2:2" s="221" customFormat="1" ht="12.75" x14ac:dyDescent="0.2">
      <c r="B43973" s="1168"/>
    </row>
    <row r="43974" spans="2:2" s="221" customFormat="1" ht="12.75" x14ac:dyDescent="0.2">
      <c r="B43974" s="1168"/>
    </row>
    <row r="43975" spans="2:2" s="221" customFormat="1" ht="12.75" x14ac:dyDescent="0.2">
      <c r="B43975" s="1168"/>
    </row>
    <row r="43976" spans="2:2" s="221" customFormat="1" ht="12.75" x14ac:dyDescent="0.2">
      <c r="B43976" s="1168"/>
    </row>
    <row r="43977" spans="2:2" s="221" customFormat="1" ht="12.75" x14ac:dyDescent="0.2">
      <c r="B43977" s="1168"/>
    </row>
    <row r="43978" spans="2:2" s="221" customFormat="1" ht="12.75" x14ac:dyDescent="0.2">
      <c r="B43978" s="1168"/>
    </row>
    <row r="43979" spans="2:2" s="221" customFormat="1" ht="12.75" x14ac:dyDescent="0.2">
      <c r="B43979" s="1168"/>
    </row>
    <row r="43980" spans="2:2" s="221" customFormat="1" ht="12.75" x14ac:dyDescent="0.2">
      <c r="B43980" s="1168"/>
    </row>
    <row r="43981" spans="2:2" s="221" customFormat="1" ht="12.75" x14ac:dyDescent="0.2">
      <c r="B43981" s="1168"/>
    </row>
    <row r="43982" spans="2:2" s="221" customFormat="1" ht="12.75" x14ac:dyDescent="0.2">
      <c r="B43982" s="1168"/>
    </row>
    <row r="43983" spans="2:2" s="221" customFormat="1" ht="12.75" x14ac:dyDescent="0.2">
      <c r="B43983" s="1168"/>
    </row>
    <row r="43984" spans="2:2" s="221" customFormat="1" ht="12.75" x14ac:dyDescent="0.2">
      <c r="B43984" s="1168"/>
    </row>
    <row r="43985" spans="2:2" s="221" customFormat="1" ht="12.75" x14ac:dyDescent="0.2">
      <c r="B43985" s="1168"/>
    </row>
    <row r="43986" spans="2:2" s="221" customFormat="1" ht="12.75" x14ac:dyDescent="0.2">
      <c r="B43986" s="1168"/>
    </row>
    <row r="43987" spans="2:2" s="221" customFormat="1" ht="12.75" x14ac:dyDescent="0.2">
      <c r="B43987" s="1168"/>
    </row>
    <row r="43988" spans="2:2" s="221" customFormat="1" ht="12.75" x14ac:dyDescent="0.2">
      <c r="B43988" s="1168"/>
    </row>
    <row r="43989" spans="2:2" s="221" customFormat="1" ht="12.75" x14ac:dyDescent="0.2">
      <c r="B43989" s="1168"/>
    </row>
    <row r="43990" spans="2:2" s="221" customFormat="1" ht="12.75" x14ac:dyDescent="0.2">
      <c r="B43990" s="1168"/>
    </row>
    <row r="43991" spans="2:2" s="221" customFormat="1" ht="12.75" x14ac:dyDescent="0.2">
      <c r="B43991" s="1168"/>
    </row>
    <row r="43992" spans="2:2" s="221" customFormat="1" ht="12.75" x14ac:dyDescent="0.2">
      <c r="B43992" s="1168"/>
    </row>
    <row r="43993" spans="2:2" s="221" customFormat="1" ht="12.75" x14ac:dyDescent="0.2">
      <c r="B43993" s="1168"/>
    </row>
    <row r="43994" spans="2:2" s="221" customFormat="1" ht="12.75" x14ac:dyDescent="0.2">
      <c r="B43994" s="1168"/>
    </row>
    <row r="43995" spans="2:2" s="221" customFormat="1" ht="12.75" x14ac:dyDescent="0.2">
      <c r="B43995" s="1168"/>
    </row>
    <row r="43996" spans="2:2" s="221" customFormat="1" ht="12.75" x14ac:dyDescent="0.2">
      <c r="B43996" s="1168"/>
    </row>
    <row r="43997" spans="2:2" s="221" customFormat="1" ht="12.75" x14ac:dyDescent="0.2">
      <c r="B43997" s="1168"/>
    </row>
    <row r="43998" spans="2:2" s="221" customFormat="1" ht="12.75" x14ac:dyDescent="0.2">
      <c r="B43998" s="1168"/>
    </row>
    <row r="43999" spans="2:2" s="221" customFormat="1" ht="12.75" x14ac:dyDescent="0.2">
      <c r="B43999" s="1168"/>
    </row>
    <row r="44000" spans="2:2" s="221" customFormat="1" ht="12.75" x14ac:dyDescent="0.2">
      <c r="B44000" s="1168"/>
    </row>
    <row r="44001" spans="2:2" s="221" customFormat="1" ht="12.75" x14ac:dyDescent="0.2">
      <c r="B44001" s="1168"/>
    </row>
    <row r="44002" spans="2:2" s="221" customFormat="1" ht="12.75" x14ac:dyDescent="0.2">
      <c r="B44002" s="1168"/>
    </row>
    <row r="44003" spans="2:2" s="221" customFormat="1" ht="12.75" x14ac:dyDescent="0.2">
      <c r="B44003" s="1168"/>
    </row>
    <row r="44004" spans="2:2" s="221" customFormat="1" ht="12.75" x14ac:dyDescent="0.2">
      <c r="B44004" s="1168"/>
    </row>
    <row r="44005" spans="2:2" s="221" customFormat="1" ht="12.75" x14ac:dyDescent="0.2">
      <c r="B44005" s="1168"/>
    </row>
    <row r="44006" spans="2:2" s="221" customFormat="1" ht="12.75" x14ac:dyDescent="0.2">
      <c r="B44006" s="1168"/>
    </row>
    <row r="44007" spans="2:2" s="221" customFormat="1" ht="12.75" x14ac:dyDescent="0.2">
      <c r="B44007" s="1168"/>
    </row>
    <row r="44008" spans="2:2" s="221" customFormat="1" ht="12.75" x14ac:dyDescent="0.2">
      <c r="B44008" s="1168"/>
    </row>
    <row r="44009" spans="2:2" s="221" customFormat="1" ht="12.75" x14ac:dyDescent="0.2">
      <c r="B44009" s="1168"/>
    </row>
    <row r="44010" spans="2:2" s="221" customFormat="1" ht="12.75" x14ac:dyDescent="0.2">
      <c r="B44010" s="1168"/>
    </row>
    <row r="44011" spans="2:2" s="221" customFormat="1" ht="12.75" x14ac:dyDescent="0.2">
      <c r="B44011" s="1168"/>
    </row>
    <row r="44012" spans="2:2" s="221" customFormat="1" ht="12.75" x14ac:dyDescent="0.2">
      <c r="B44012" s="1168"/>
    </row>
    <row r="44013" spans="2:2" s="221" customFormat="1" ht="12.75" x14ac:dyDescent="0.2">
      <c r="B44013" s="1168"/>
    </row>
    <row r="44014" spans="2:2" s="221" customFormat="1" ht="12.75" x14ac:dyDescent="0.2">
      <c r="B44014" s="1168"/>
    </row>
    <row r="44015" spans="2:2" s="221" customFormat="1" ht="12.75" x14ac:dyDescent="0.2">
      <c r="B44015" s="1168"/>
    </row>
    <row r="44016" spans="2:2" s="221" customFormat="1" ht="12.75" x14ac:dyDescent="0.2">
      <c r="B44016" s="1168"/>
    </row>
    <row r="44017" spans="2:2" s="221" customFormat="1" ht="12.75" x14ac:dyDescent="0.2">
      <c r="B44017" s="1168"/>
    </row>
    <row r="44018" spans="2:2" s="221" customFormat="1" ht="12.75" x14ac:dyDescent="0.2">
      <c r="B44018" s="1168"/>
    </row>
    <row r="44019" spans="2:2" s="221" customFormat="1" ht="12.75" x14ac:dyDescent="0.2">
      <c r="B44019" s="1168"/>
    </row>
    <row r="44020" spans="2:2" s="221" customFormat="1" ht="12.75" x14ac:dyDescent="0.2">
      <c r="B44020" s="1168"/>
    </row>
    <row r="44021" spans="2:2" s="221" customFormat="1" ht="12.75" x14ac:dyDescent="0.2">
      <c r="B44021" s="1168"/>
    </row>
    <row r="44022" spans="2:2" s="221" customFormat="1" ht="12.75" x14ac:dyDescent="0.2">
      <c r="B44022" s="1168"/>
    </row>
    <row r="44023" spans="2:2" s="221" customFormat="1" ht="12.75" x14ac:dyDescent="0.2">
      <c r="B44023" s="1168"/>
    </row>
    <row r="44024" spans="2:2" s="221" customFormat="1" ht="12.75" x14ac:dyDescent="0.2">
      <c r="B44024" s="1168"/>
    </row>
    <row r="44025" spans="2:2" s="221" customFormat="1" ht="12.75" x14ac:dyDescent="0.2">
      <c r="B44025" s="1168"/>
    </row>
    <row r="44026" spans="2:2" s="221" customFormat="1" ht="12.75" x14ac:dyDescent="0.2">
      <c r="B44026" s="1168"/>
    </row>
    <row r="44027" spans="2:2" s="221" customFormat="1" ht="12.75" x14ac:dyDescent="0.2">
      <c r="B44027" s="1168"/>
    </row>
    <row r="44028" spans="2:2" s="221" customFormat="1" ht="12.75" x14ac:dyDescent="0.2">
      <c r="B44028" s="1168"/>
    </row>
    <row r="44029" spans="2:2" s="221" customFormat="1" ht="12.75" x14ac:dyDescent="0.2">
      <c r="B44029" s="1168"/>
    </row>
    <row r="44030" spans="2:2" s="221" customFormat="1" ht="12.75" x14ac:dyDescent="0.2">
      <c r="B44030" s="1168"/>
    </row>
    <row r="44031" spans="2:2" s="221" customFormat="1" ht="12.75" x14ac:dyDescent="0.2">
      <c r="B44031" s="1168"/>
    </row>
    <row r="44032" spans="2:2" s="221" customFormat="1" ht="12.75" x14ac:dyDescent="0.2">
      <c r="B44032" s="1168"/>
    </row>
    <row r="44033" spans="2:2" s="221" customFormat="1" ht="12.75" x14ac:dyDescent="0.2">
      <c r="B44033" s="1168"/>
    </row>
    <row r="44034" spans="2:2" s="221" customFormat="1" ht="12.75" x14ac:dyDescent="0.2">
      <c r="B44034" s="1168"/>
    </row>
    <row r="44035" spans="2:2" s="221" customFormat="1" ht="12.75" x14ac:dyDescent="0.2">
      <c r="B44035" s="1168"/>
    </row>
    <row r="44036" spans="2:2" s="221" customFormat="1" ht="12.75" x14ac:dyDescent="0.2">
      <c r="B44036" s="1168"/>
    </row>
    <row r="44037" spans="2:2" s="221" customFormat="1" ht="12.75" x14ac:dyDescent="0.2">
      <c r="B44037" s="1168"/>
    </row>
    <row r="44038" spans="2:2" s="221" customFormat="1" ht="12.75" x14ac:dyDescent="0.2">
      <c r="B44038" s="1168"/>
    </row>
    <row r="44039" spans="2:2" s="221" customFormat="1" ht="12.75" x14ac:dyDescent="0.2">
      <c r="B44039" s="1168"/>
    </row>
    <row r="44040" spans="2:2" s="221" customFormat="1" ht="12.75" x14ac:dyDescent="0.2">
      <c r="B44040" s="1168"/>
    </row>
    <row r="44041" spans="2:2" s="221" customFormat="1" ht="12.75" x14ac:dyDescent="0.2">
      <c r="B44041" s="1168"/>
    </row>
    <row r="44042" spans="2:2" s="221" customFormat="1" ht="12.75" x14ac:dyDescent="0.2">
      <c r="B44042" s="1168"/>
    </row>
    <row r="44043" spans="2:2" s="221" customFormat="1" ht="12.75" x14ac:dyDescent="0.2">
      <c r="B44043" s="1168"/>
    </row>
    <row r="44044" spans="2:2" s="221" customFormat="1" ht="12.75" x14ac:dyDescent="0.2">
      <c r="B44044" s="1168"/>
    </row>
    <row r="44045" spans="2:2" s="221" customFormat="1" ht="12.75" x14ac:dyDescent="0.2">
      <c r="B44045" s="1168"/>
    </row>
    <row r="44046" spans="2:2" s="221" customFormat="1" ht="12.75" x14ac:dyDescent="0.2">
      <c r="B44046" s="1168"/>
    </row>
    <row r="44047" spans="2:2" s="221" customFormat="1" ht="12.75" x14ac:dyDescent="0.2">
      <c r="B44047" s="1168"/>
    </row>
    <row r="44048" spans="2:2" s="221" customFormat="1" ht="12.75" x14ac:dyDescent="0.2">
      <c r="B44048" s="1168"/>
    </row>
    <row r="44049" spans="2:2" s="221" customFormat="1" ht="12.75" x14ac:dyDescent="0.2">
      <c r="B44049" s="1168"/>
    </row>
    <row r="44050" spans="2:2" s="221" customFormat="1" ht="12.75" x14ac:dyDescent="0.2">
      <c r="B44050" s="1168"/>
    </row>
    <row r="44051" spans="2:2" s="221" customFormat="1" ht="12.75" x14ac:dyDescent="0.2">
      <c r="B44051" s="1168"/>
    </row>
    <row r="44052" spans="2:2" s="221" customFormat="1" ht="12.75" x14ac:dyDescent="0.2">
      <c r="B44052" s="1168"/>
    </row>
    <row r="44053" spans="2:2" s="221" customFormat="1" ht="12.75" x14ac:dyDescent="0.2">
      <c r="B44053" s="1168"/>
    </row>
    <row r="44054" spans="2:2" s="221" customFormat="1" ht="12.75" x14ac:dyDescent="0.2">
      <c r="B44054" s="1168"/>
    </row>
    <row r="44055" spans="2:2" s="221" customFormat="1" ht="12.75" x14ac:dyDescent="0.2">
      <c r="B44055" s="1168"/>
    </row>
    <row r="44056" spans="2:2" s="221" customFormat="1" ht="12.75" x14ac:dyDescent="0.2">
      <c r="B44056" s="1168"/>
    </row>
    <row r="44057" spans="2:2" s="221" customFormat="1" ht="12.75" x14ac:dyDescent="0.2">
      <c r="B44057" s="1168"/>
    </row>
    <row r="44058" spans="2:2" s="221" customFormat="1" ht="12.75" x14ac:dyDescent="0.2">
      <c r="B44058" s="1168"/>
    </row>
    <row r="44059" spans="2:2" s="221" customFormat="1" ht="12.75" x14ac:dyDescent="0.2">
      <c r="B44059" s="1168"/>
    </row>
    <row r="44060" spans="2:2" s="221" customFormat="1" ht="12.75" x14ac:dyDescent="0.2">
      <c r="B44060" s="1168"/>
    </row>
    <row r="44061" spans="2:2" s="221" customFormat="1" ht="12.75" x14ac:dyDescent="0.2">
      <c r="B44061" s="1168"/>
    </row>
    <row r="44062" spans="2:2" s="221" customFormat="1" ht="12.75" x14ac:dyDescent="0.2">
      <c r="B44062" s="1168"/>
    </row>
    <row r="44063" spans="2:2" s="221" customFormat="1" ht="12.75" x14ac:dyDescent="0.2">
      <c r="B44063" s="1168"/>
    </row>
    <row r="44064" spans="2:2" s="221" customFormat="1" ht="12.75" x14ac:dyDescent="0.2">
      <c r="B44064" s="1168"/>
    </row>
    <row r="44065" spans="2:2" s="221" customFormat="1" ht="12.75" x14ac:dyDescent="0.2">
      <c r="B44065" s="1168"/>
    </row>
    <row r="44066" spans="2:2" s="221" customFormat="1" ht="12.75" x14ac:dyDescent="0.2">
      <c r="B44066" s="1168"/>
    </row>
    <row r="44067" spans="2:2" s="221" customFormat="1" ht="12.75" x14ac:dyDescent="0.2">
      <c r="B44067" s="1168"/>
    </row>
    <row r="44068" spans="2:2" s="221" customFormat="1" ht="12.75" x14ac:dyDescent="0.2">
      <c r="B44068" s="1168"/>
    </row>
    <row r="44069" spans="2:2" s="221" customFormat="1" ht="12.75" x14ac:dyDescent="0.2">
      <c r="B44069" s="1168"/>
    </row>
    <row r="44070" spans="2:2" s="221" customFormat="1" ht="12.75" x14ac:dyDescent="0.2">
      <c r="B44070" s="1168"/>
    </row>
    <row r="44071" spans="2:2" s="221" customFormat="1" ht="12.75" x14ac:dyDescent="0.2">
      <c r="B44071" s="1168"/>
    </row>
    <row r="44072" spans="2:2" s="221" customFormat="1" ht="12.75" x14ac:dyDescent="0.2">
      <c r="B44072" s="1168"/>
    </row>
    <row r="44073" spans="2:2" s="221" customFormat="1" ht="12.75" x14ac:dyDescent="0.2">
      <c r="B44073" s="1168"/>
    </row>
    <row r="44074" spans="2:2" s="221" customFormat="1" ht="12.75" x14ac:dyDescent="0.2">
      <c r="B44074" s="1168"/>
    </row>
    <row r="44075" spans="2:2" s="221" customFormat="1" ht="12.75" x14ac:dyDescent="0.2">
      <c r="B44075" s="1168"/>
    </row>
    <row r="44076" spans="2:2" s="221" customFormat="1" ht="12.75" x14ac:dyDescent="0.2">
      <c r="B44076" s="1168"/>
    </row>
    <row r="44077" spans="2:2" s="221" customFormat="1" ht="12.75" x14ac:dyDescent="0.2">
      <c r="B44077" s="1168"/>
    </row>
    <row r="44078" spans="2:2" s="221" customFormat="1" ht="12.75" x14ac:dyDescent="0.2">
      <c r="B44078" s="1168"/>
    </row>
    <row r="44079" spans="2:2" s="221" customFormat="1" ht="12.75" x14ac:dyDescent="0.2">
      <c r="B44079" s="1168"/>
    </row>
    <row r="44080" spans="2:2" s="221" customFormat="1" ht="12.75" x14ac:dyDescent="0.2">
      <c r="B44080" s="1168"/>
    </row>
    <row r="44081" spans="2:2" s="221" customFormat="1" ht="12.75" x14ac:dyDescent="0.2">
      <c r="B44081" s="1168"/>
    </row>
    <row r="44082" spans="2:2" s="221" customFormat="1" ht="12.75" x14ac:dyDescent="0.2">
      <c r="B44082" s="1168"/>
    </row>
    <row r="44083" spans="2:2" s="221" customFormat="1" ht="12.75" x14ac:dyDescent="0.2">
      <c r="B44083" s="1168"/>
    </row>
    <row r="44084" spans="2:2" s="221" customFormat="1" ht="12.75" x14ac:dyDescent="0.2">
      <c r="B44084" s="1168"/>
    </row>
    <row r="44085" spans="2:2" s="221" customFormat="1" ht="12.75" x14ac:dyDescent="0.2">
      <c r="B44085" s="1168"/>
    </row>
    <row r="44086" spans="2:2" s="221" customFormat="1" ht="12.75" x14ac:dyDescent="0.2">
      <c r="B44086" s="1168"/>
    </row>
    <row r="44087" spans="2:2" s="221" customFormat="1" ht="12.75" x14ac:dyDescent="0.2">
      <c r="B44087" s="1168"/>
    </row>
    <row r="44088" spans="2:2" s="221" customFormat="1" ht="12.75" x14ac:dyDescent="0.2">
      <c r="B44088" s="1168"/>
    </row>
    <row r="44089" spans="2:2" s="221" customFormat="1" ht="12.75" x14ac:dyDescent="0.2">
      <c r="B44089" s="1168"/>
    </row>
    <row r="44090" spans="2:2" s="221" customFormat="1" ht="12.75" x14ac:dyDescent="0.2">
      <c r="B44090" s="1168"/>
    </row>
    <row r="44091" spans="2:2" s="221" customFormat="1" ht="12.75" x14ac:dyDescent="0.2">
      <c r="B44091" s="1168"/>
    </row>
    <row r="44092" spans="2:2" s="221" customFormat="1" ht="12.75" x14ac:dyDescent="0.2">
      <c r="B44092" s="1168"/>
    </row>
    <row r="44093" spans="2:2" s="221" customFormat="1" ht="12.75" x14ac:dyDescent="0.2">
      <c r="B44093" s="1168"/>
    </row>
    <row r="44094" spans="2:2" s="221" customFormat="1" ht="12.75" x14ac:dyDescent="0.2">
      <c r="B44094" s="1168"/>
    </row>
    <row r="44095" spans="2:2" s="221" customFormat="1" ht="12.75" x14ac:dyDescent="0.2">
      <c r="B44095" s="1168"/>
    </row>
    <row r="44096" spans="2:2" s="221" customFormat="1" ht="12.75" x14ac:dyDescent="0.2">
      <c r="B44096" s="1168"/>
    </row>
    <row r="44097" spans="2:2" s="221" customFormat="1" ht="12.75" x14ac:dyDescent="0.2">
      <c r="B44097" s="1168"/>
    </row>
    <row r="44098" spans="2:2" s="221" customFormat="1" ht="12.75" x14ac:dyDescent="0.2">
      <c r="B44098" s="1168"/>
    </row>
    <row r="44099" spans="2:2" s="221" customFormat="1" ht="12.75" x14ac:dyDescent="0.2">
      <c r="B44099" s="1168"/>
    </row>
    <row r="44100" spans="2:2" s="221" customFormat="1" ht="12.75" x14ac:dyDescent="0.2">
      <c r="B44100" s="1168"/>
    </row>
    <row r="44101" spans="2:2" s="221" customFormat="1" ht="12.75" x14ac:dyDescent="0.2">
      <c r="B44101" s="1168"/>
    </row>
    <row r="44102" spans="2:2" s="221" customFormat="1" ht="12.75" x14ac:dyDescent="0.2">
      <c r="B44102" s="1168"/>
    </row>
    <row r="44103" spans="2:2" s="221" customFormat="1" ht="12.75" x14ac:dyDescent="0.2">
      <c r="B44103" s="1168"/>
    </row>
    <row r="44104" spans="2:2" s="221" customFormat="1" ht="12.75" x14ac:dyDescent="0.2">
      <c r="B44104" s="1168"/>
    </row>
    <row r="44105" spans="2:2" s="221" customFormat="1" ht="12.75" x14ac:dyDescent="0.2">
      <c r="B44105" s="1168"/>
    </row>
    <row r="44106" spans="2:2" s="221" customFormat="1" ht="12.75" x14ac:dyDescent="0.2">
      <c r="B44106" s="1168"/>
    </row>
    <row r="44107" spans="2:2" s="221" customFormat="1" ht="12.75" x14ac:dyDescent="0.2">
      <c r="B44107" s="1168"/>
    </row>
    <row r="44108" spans="2:2" s="221" customFormat="1" ht="12.75" x14ac:dyDescent="0.2">
      <c r="B44108" s="1168"/>
    </row>
    <row r="44109" spans="2:2" s="221" customFormat="1" ht="12.75" x14ac:dyDescent="0.2">
      <c r="B44109" s="1168"/>
    </row>
    <row r="44110" spans="2:2" s="221" customFormat="1" ht="12.75" x14ac:dyDescent="0.2">
      <c r="B44110" s="1168"/>
    </row>
    <row r="44111" spans="2:2" s="221" customFormat="1" ht="12.75" x14ac:dyDescent="0.2">
      <c r="B44111" s="1168"/>
    </row>
    <row r="44112" spans="2:2" s="221" customFormat="1" ht="12.75" x14ac:dyDescent="0.2">
      <c r="B44112" s="1168"/>
    </row>
    <row r="44113" spans="2:2" s="221" customFormat="1" ht="12.75" x14ac:dyDescent="0.2">
      <c r="B44113" s="1168"/>
    </row>
    <row r="44114" spans="2:2" s="221" customFormat="1" ht="12.75" x14ac:dyDescent="0.2">
      <c r="B44114" s="1168"/>
    </row>
    <row r="44115" spans="2:2" s="221" customFormat="1" ht="12.75" x14ac:dyDescent="0.2">
      <c r="B44115" s="1168"/>
    </row>
    <row r="44116" spans="2:2" s="221" customFormat="1" ht="12.75" x14ac:dyDescent="0.2">
      <c r="B44116" s="1168"/>
    </row>
    <row r="44117" spans="2:2" s="221" customFormat="1" ht="12.75" x14ac:dyDescent="0.2">
      <c r="B44117" s="1168"/>
    </row>
    <row r="44118" spans="2:2" s="221" customFormat="1" ht="12.75" x14ac:dyDescent="0.2">
      <c r="B44118" s="1168"/>
    </row>
    <row r="44119" spans="2:2" s="221" customFormat="1" ht="12.75" x14ac:dyDescent="0.2">
      <c r="B44119" s="1168"/>
    </row>
    <row r="44120" spans="2:2" s="221" customFormat="1" ht="12.75" x14ac:dyDescent="0.2">
      <c r="B44120" s="1168"/>
    </row>
    <row r="44121" spans="2:2" s="221" customFormat="1" ht="12.75" x14ac:dyDescent="0.2">
      <c r="B44121" s="1168"/>
    </row>
    <row r="44122" spans="2:2" s="221" customFormat="1" ht="12.75" x14ac:dyDescent="0.2">
      <c r="B44122" s="1168"/>
    </row>
    <row r="44123" spans="2:2" s="221" customFormat="1" ht="12.75" x14ac:dyDescent="0.2">
      <c r="B44123" s="1168"/>
    </row>
    <row r="44124" spans="2:2" s="221" customFormat="1" ht="12.75" x14ac:dyDescent="0.2">
      <c r="B44124" s="1168"/>
    </row>
    <row r="44125" spans="2:2" s="221" customFormat="1" ht="12.75" x14ac:dyDescent="0.2">
      <c r="B44125" s="1168"/>
    </row>
    <row r="44126" spans="2:2" s="221" customFormat="1" ht="12.75" x14ac:dyDescent="0.2">
      <c r="B44126" s="1168"/>
    </row>
    <row r="44127" spans="2:2" s="221" customFormat="1" ht="12.75" x14ac:dyDescent="0.2">
      <c r="B44127" s="1168"/>
    </row>
    <row r="44128" spans="2:2" s="221" customFormat="1" ht="12.75" x14ac:dyDescent="0.2">
      <c r="B44128" s="1168"/>
    </row>
    <row r="44129" spans="2:2" s="221" customFormat="1" ht="12.75" x14ac:dyDescent="0.2">
      <c r="B44129" s="1168"/>
    </row>
    <row r="44130" spans="2:2" s="221" customFormat="1" ht="12.75" x14ac:dyDescent="0.2">
      <c r="B44130" s="1168"/>
    </row>
    <row r="44131" spans="2:2" s="221" customFormat="1" ht="12.75" x14ac:dyDescent="0.2">
      <c r="B44131" s="1168"/>
    </row>
    <row r="44132" spans="2:2" s="221" customFormat="1" ht="12.75" x14ac:dyDescent="0.2">
      <c r="B44132" s="1168"/>
    </row>
    <row r="44133" spans="2:2" s="221" customFormat="1" ht="12.75" x14ac:dyDescent="0.2">
      <c r="B44133" s="1168"/>
    </row>
    <row r="44134" spans="2:2" s="221" customFormat="1" ht="12.75" x14ac:dyDescent="0.2">
      <c r="B44134" s="1168"/>
    </row>
    <row r="44135" spans="2:2" s="221" customFormat="1" ht="12.75" x14ac:dyDescent="0.2">
      <c r="B44135" s="1168"/>
    </row>
    <row r="44136" spans="2:2" s="221" customFormat="1" ht="12.75" x14ac:dyDescent="0.2">
      <c r="B44136" s="1168"/>
    </row>
    <row r="44137" spans="2:2" s="221" customFormat="1" ht="12.75" x14ac:dyDescent="0.2">
      <c r="B44137" s="1168"/>
    </row>
    <row r="44138" spans="2:2" s="221" customFormat="1" ht="12.75" x14ac:dyDescent="0.2">
      <c r="B44138" s="1168"/>
    </row>
    <row r="44139" spans="2:2" s="221" customFormat="1" ht="12.75" x14ac:dyDescent="0.2">
      <c r="B44139" s="1168"/>
    </row>
    <row r="44140" spans="2:2" s="221" customFormat="1" ht="12.75" x14ac:dyDescent="0.2">
      <c r="B44140" s="1168"/>
    </row>
    <row r="44141" spans="2:2" s="221" customFormat="1" ht="12.75" x14ac:dyDescent="0.2">
      <c r="B44141" s="1168"/>
    </row>
    <row r="44142" spans="2:2" s="221" customFormat="1" ht="12.75" x14ac:dyDescent="0.2">
      <c r="B44142" s="1168"/>
    </row>
    <row r="44143" spans="2:2" s="221" customFormat="1" ht="12.75" x14ac:dyDescent="0.2">
      <c r="B44143" s="1168"/>
    </row>
    <row r="44144" spans="2:2" s="221" customFormat="1" ht="12.75" x14ac:dyDescent="0.2">
      <c r="B44144" s="1168"/>
    </row>
    <row r="44145" spans="2:2" s="221" customFormat="1" ht="12.75" x14ac:dyDescent="0.2">
      <c r="B44145" s="1168"/>
    </row>
    <row r="44146" spans="2:2" s="221" customFormat="1" ht="12.75" x14ac:dyDescent="0.2">
      <c r="B44146" s="1168"/>
    </row>
    <row r="44147" spans="2:2" s="221" customFormat="1" ht="12.75" x14ac:dyDescent="0.2">
      <c r="B44147" s="1168"/>
    </row>
    <row r="44148" spans="2:2" s="221" customFormat="1" ht="12.75" x14ac:dyDescent="0.2">
      <c r="B44148" s="1168"/>
    </row>
    <row r="44149" spans="2:2" s="221" customFormat="1" ht="12.75" x14ac:dyDescent="0.2">
      <c r="B44149" s="1168"/>
    </row>
    <row r="44150" spans="2:2" s="221" customFormat="1" ht="12.75" x14ac:dyDescent="0.2">
      <c r="B44150" s="1168"/>
    </row>
    <row r="44151" spans="2:2" s="221" customFormat="1" ht="12.75" x14ac:dyDescent="0.2">
      <c r="B44151" s="1168"/>
    </row>
    <row r="44152" spans="2:2" s="221" customFormat="1" ht="12.75" x14ac:dyDescent="0.2">
      <c r="B44152" s="1168"/>
    </row>
    <row r="44153" spans="2:2" s="221" customFormat="1" ht="12.75" x14ac:dyDescent="0.2">
      <c r="B44153" s="1168"/>
    </row>
    <row r="44154" spans="2:2" s="221" customFormat="1" ht="12.75" x14ac:dyDescent="0.2">
      <c r="B44154" s="1168"/>
    </row>
    <row r="44155" spans="2:2" s="221" customFormat="1" ht="12.75" x14ac:dyDescent="0.2">
      <c r="B44155" s="1168"/>
    </row>
    <row r="44156" spans="2:2" s="221" customFormat="1" ht="12.75" x14ac:dyDescent="0.2">
      <c r="B44156" s="1168"/>
    </row>
    <row r="44157" spans="2:2" s="221" customFormat="1" ht="12.75" x14ac:dyDescent="0.2">
      <c r="B44157" s="1168"/>
    </row>
    <row r="44158" spans="2:2" s="221" customFormat="1" ht="12.75" x14ac:dyDescent="0.2">
      <c r="B44158" s="1168"/>
    </row>
    <row r="44159" spans="2:2" s="221" customFormat="1" ht="12.75" x14ac:dyDescent="0.2">
      <c r="B44159" s="1168"/>
    </row>
    <row r="44160" spans="2:2" s="221" customFormat="1" ht="12.75" x14ac:dyDescent="0.2">
      <c r="B44160" s="1168"/>
    </row>
    <row r="44161" spans="2:2" s="221" customFormat="1" ht="12.75" x14ac:dyDescent="0.2">
      <c r="B44161" s="1168"/>
    </row>
    <row r="44162" spans="2:2" s="221" customFormat="1" ht="12.75" x14ac:dyDescent="0.2">
      <c r="B44162" s="1168"/>
    </row>
    <row r="44163" spans="2:2" s="221" customFormat="1" ht="12.75" x14ac:dyDescent="0.2">
      <c r="B44163" s="1168"/>
    </row>
    <row r="44164" spans="2:2" s="221" customFormat="1" ht="12.75" x14ac:dyDescent="0.2">
      <c r="B44164" s="1168"/>
    </row>
    <row r="44165" spans="2:2" s="221" customFormat="1" ht="12.75" x14ac:dyDescent="0.2">
      <c r="B44165" s="1168"/>
    </row>
    <row r="44166" spans="2:2" s="221" customFormat="1" ht="12.75" x14ac:dyDescent="0.2">
      <c r="B44166" s="1168"/>
    </row>
    <row r="44167" spans="2:2" s="221" customFormat="1" ht="12.75" x14ac:dyDescent="0.2">
      <c r="B44167" s="1168"/>
    </row>
    <row r="44168" spans="2:2" s="221" customFormat="1" ht="12.75" x14ac:dyDescent="0.2">
      <c r="B44168" s="1168"/>
    </row>
    <row r="44169" spans="2:2" s="221" customFormat="1" ht="12.75" x14ac:dyDescent="0.2">
      <c r="B44169" s="1168"/>
    </row>
    <row r="44170" spans="2:2" s="221" customFormat="1" ht="12.75" x14ac:dyDescent="0.2">
      <c r="B44170" s="1168"/>
    </row>
    <row r="44171" spans="2:2" s="221" customFormat="1" ht="12.75" x14ac:dyDescent="0.2">
      <c r="B44171" s="1168"/>
    </row>
    <row r="44172" spans="2:2" s="221" customFormat="1" ht="12.75" x14ac:dyDescent="0.2">
      <c r="B44172" s="1168"/>
    </row>
    <row r="44173" spans="2:2" s="221" customFormat="1" ht="12.75" x14ac:dyDescent="0.2">
      <c r="B44173" s="1168"/>
    </row>
    <row r="44174" spans="2:2" s="221" customFormat="1" ht="12.75" x14ac:dyDescent="0.2">
      <c r="B44174" s="1168"/>
    </row>
    <row r="44175" spans="2:2" s="221" customFormat="1" ht="12.75" x14ac:dyDescent="0.2">
      <c r="B44175" s="1168"/>
    </row>
    <row r="44176" spans="2:2" s="221" customFormat="1" ht="12.75" x14ac:dyDescent="0.2">
      <c r="B44176" s="1168"/>
    </row>
    <row r="44177" spans="2:2" s="221" customFormat="1" ht="12.75" x14ac:dyDescent="0.2">
      <c r="B44177" s="1168"/>
    </row>
    <row r="44178" spans="2:2" s="221" customFormat="1" ht="12.75" x14ac:dyDescent="0.2">
      <c r="B44178" s="1168"/>
    </row>
    <row r="44179" spans="2:2" s="221" customFormat="1" ht="12.75" x14ac:dyDescent="0.2">
      <c r="B44179" s="1168"/>
    </row>
    <row r="44180" spans="2:2" s="221" customFormat="1" ht="12.75" x14ac:dyDescent="0.2">
      <c r="B44180" s="1168"/>
    </row>
    <row r="44181" spans="2:2" s="221" customFormat="1" ht="12.75" x14ac:dyDescent="0.2">
      <c r="B44181" s="1168"/>
    </row>
    <row r="44182" spans="2:2" s="221" customFormat="1" ht="12.75" x14ac:dyDescent="0.2">
      <c r="B44182" s="1168"/>
    </row>
    <row r="44183" spans="2:2" s="221" customFormat="1" ht="12.75" x14ac:dyDescent="0.2">
      <c r="B44183" s="1168"/>
    </row>
    <row r="44184" spans="2:2" s="221" customFormat="1" ht="12.75" x14ac:dyDescent="0.2">
      <c r="B44184" s="1168"/>
    </row>
    <row r="44185" spans="2:2" s="221" customFormat="1" ht="12.75" x14ac:dyDescent="0.2">
      <c r="B44185" s="1168"/>
    </row>
    <row r="44186" spans="2:2" s="221" customFormat="1" ht="12.75" x14ac:dyDescent="0.2">
      <c r="B44186" s="1168"/>
    </row>
    <row r="44187" spans="2:2" s="221" customFormat="1" ht="12.75" x14ac:dyDescent="0.2">
      <c r="B44187" s="1168"/>
    </row>
    <row r="44188" spans="2:2" s="221" customFormat="1" ht="12.75" x14ac:dyDescent="0.2">
      <c r="B44188" s="1168"/>
    </row>
    <row r="44189" spans="2:2" s="221" customFormat="1" ht="12.75" x14ac:dyDescent="0.2">
      <c r="B44189" s="1168"/>
    </row>
    <row r="44190" spans="2:2" s="221" customFormat="1" ht="12.75" x14ac:dyDescent="0.2">
      <c r="B44190" s="1168"/>
    </row>
    <row r="44191" spans="2:2" s="221" customFormat="1" ht="12.75" x14ac:dyDescent="0.2">
      <c r="B44191" s="1168"/>
    </row>
    <row r="44192" spans="2:2" s="221" customFormat="1" ht="12.75" x14ac:dyDescent="0.2">
      <c r="B44192" s="1168"/>
    </row>
    <row r="44193" spans="2:2" s="221" customFormat="1" ht="12.75" x14ac:dyDescent="0.2">
      <c r="B44193" s="1168"/>
    </row>
    <row r="44194" spans="2:2" s="221" customFormat="1" ht="12.75" x14ac:dyDescent="0.2">
      <c r="B44194" s="1168"/>
    </row>
    <row r="44195" spans="2:2" s="221" customFormat="1" ht="12.75" x14ac:dyDescent="0.2">
      <c r="B44195" s="1168"/>
    </row>
    <row r="44196" spans="2:2" s="221" customFormat="1" ht="12.75" x14ac:dyDescent="0.2">
      <c r="B44196" s="1168"/>
    </row>
    <row r="44197" spans="2:2" s="221" customFormat="1" ht="12.75" x14ac:dyDescent="0.2">
      <c r="B44197" s="1168"/>
    </row>
    <row r="44198" spans="2:2" s="221" customFormat="1" ht="12.75" x14ac:dyDescent="0.2">
      <c r="B44198" s="1168"/>
    </row>
    <row r="44199" spans="2:2" s="221" customFormat="1" ht="12.75" x14ac:dyDescent="0.2">
      <c r="B44199" s="1168"/>
    </row>
    <row r="44200" spans="2:2" s="221" customFormat="1" ht="12.75" x14ac:dyDescent="0.2">
      <c r="B44200" s="1168"/>
    </row>
    <row r="44201" spans="2:2" s="221" customFormat="1" ht="12.75" x14ac:dyDescent="0.2">
      <c r="B44201" s="1168"/>
    </row>
    <row r="44202" spans="2:2" s="221" customFormat="1" ht="12.75" x14ac:dyDescent="0.2">
      <c r="B44202" s="1168"/>
    </row>
    <row r="44203" spans="2:2" s="221" customFormat="1" ht="12.75" x14ac:dyDescent="0.2">
      <c r="B44203" s="1168"/>
    </row>
    <row r="44204" spans="2:2" s="221" customFormat="1" ht="12.75" x14ac:dyDescent="0.2">
      <c r="B44204" s="1168"/>
    </row>
    <row r="44205" spans="2:2" s="221" customFormat="1" ht="12.75" x14ac:dyDescent="0.2">
      <c r="B44205" s="1168"/>
    </row>
    <row r="44206" spans="2:2" s="221" customFormat="1" ht="12.75" x14ac:dyDescent="0.2">
      <c r="B44206" s="1168"/>
    </row>
    <row r="44207" spans="2:2" s="221" customFormat="1" ht="12.75" x14ac:dyDescent="0.2">
      <c r="B44207" s="1168"/>
    </row>
    <row r="44208" spans="2:2" s="221" customFormat="1" ht="12.75" x14ac:dyDescent="0.2">
      <c r="B44208" s="1168"/>
    </row>
    <row r="44209" spans="2:2" s="221" customFormat="1" ht="12.75" x14ac:dyDescent="0.2">
      <c r="B44209" s="1168"/>
    </row>
    <row r="44210" spans="2:2" s="221" customFormat="1" ht="12.75" x14ac:dyDescent="0.2">
      <c r="B44210" s="1168"/>
    </row>
    <row r="44211" spans="2:2" s="221" customFormat="1" ht="12.75" x14ac:dyDescent="0.2">
      <c r="B44211" s="1168"/>
    </row>
    <row r="44212" spans="2:2" s="221" customFormat="1" ht="12.75" x14ac:dyDescent="0.2">
      <c r="B44212" s="1168"/>
    </row>
    <row r="44213" spans="2:2" s="221" customFormat="1" ht="12.75" x14ac:dyDescent="0.2">
      <c r="B44213" s="1168"/>
    </row>
    <row r="44214" spans="2:2" s="221" customFormat="1" ht="12.75" x14ac:dyDescent="0.2">
      <c r="B44214" s="1168"/>
    </row>
    <row r="44215" spans="2:2" s="221" customFormat="1" ht="12.75" x14ac:dyDescent="0.2">
      <c r="B44215" s="1168"/>
    </row>
    <row r="44216" spans="2:2" s="221" customFormat="1" ht="12.75" x14ac:dyDescent="0.2">
      <c r="B44216" s="1168"/>
    </row>
    <row r="44217" spans="2:2" s="221" customFormat="1" ht="12.75" x14ac:dyDescent="0.2">
      <c r="B44217" s="1168"/>
    </row>
    <row r="44218" spans="2:2" s="221" customFormat="1" ht="12.75" x14ac:dyDescent="0.2">
      <c r="B44218" s="1168"/>
    </row>
    <row r="44219" spans="2:2" s="221" customFormat="1" ht="12.75" x14ac:dyDescent="0.2">
      <c r="B44219" s="1168"/>
    </row>
    <row r="44220" spans="2:2" s="221" customFormat="1" ht="12.75" x14ac:dyDescent="0.2">
      <c r="B44220" s="1168"/>
    </row>
    <row r="44221" spans="2:2" s="221" customFormat="1" ht="12.75" x14ac:dyDescent="0.2">
      <c r="B44221" s="1168"/>
    </row>
    <row r="44222" spans="2:2" s="221" customFormat="1" ht="12.75" x14ac:dyDescent="0.2">
      <c r="B44222" s="1168"/>
    </row>
    <row r="44223" spans="2:2" s="221" customFormat="1" ht="12.75" x14ac:dyDescent="0.2">
      <c r="B44223" s="1168"/>
    </row>
    <row r="44224" spans="2:2" s="221" customFormat="1" ht="12.75" x14ac:dyDescent="0.2">
      <c r="B44224" s="1168"/>
    </row>
    <row r="44225" spans="2:2" s="221" customFormat="1" ht="12.75" x14ac:dyDescent="0.2">
      <c r="B44225" s="1168"/>
    </row>
    <row r="44226" spans="2:2" s="221" customFormat="1" ht="12.75" x14ac:dyDescent="0.2">
      <c r="B44226" s="1168"/>
    </row>
    <row r="44227" spans="2:2" s="221" customFormat="1" ht="12.75" x14ac:dyDescent="0.2">
      <c r="B44227" s="1168"/>
    </row>
    <row r="44228" spans="2:2" s="221" customFormat="1" ht="12.75" x14ac:dyDescent="0.2">
      <c r="B44228" s="1168"/>
    </row>
    <row r="44229" spans="2:2" s="221" customFormat="1" ht="12.75" x14ac:dyDescent="0.2">
      <c r="B44229" s="1168"/>
    </row>
    <row r="44230" spans="2:2" s="221" customFormat="1" ht="12.75" x14ac:dyDescent="0.2">
      <c r="B44230" s="1168"/>
    </row>
    <row r="44231" spans="2:2" s="221" customFormat="1" ht="12.75" x14ac:dyDescent="0.2">
      <c r="B44231" s="1168"/>
    </row>
    <row r="44232" spans="2:2" s="221" customFormat="1" ht="12.75" x14ac:dyDescent="0.2">
      <c r="B44232" s="1168"/>
    </row>
    <row r="44233" spans="2:2" s="221" customFormat="1" ht="12.75" x14ac:dyDescent="0.2">
      <c r="B44233" s="1168"/>
    </row>
    <row r="44234" spans="2:2" s="221" customFormat="1" ht="12.75" x14ac:dyDescent="0.2">
      <c r="B44234" s="1168"/>
    </row>
    <row r="44235" spans="2:2" s="221" customFormat="1" ht="12.75" x14ac:dyDescent="0.2">
      <c r="B44235" s="1168"/>
    </row>
    <row r="44236" spans="2:2" s="221" customFormat="1" ht="12.75" x14ac:dyDescent="0.2">
      <c r="B44236" s="1168"/>
    </row>
    <row r="44237" spans="2:2" s="221" customFormat="1" ht="12.75" x14ac:dyDescent="0.2">
      <c r="B44237" s="1168"/>
    </row>
    <row r="44238" spans="2:2" s="221" customFormat="1" ht="12.75" x14ac:dyDescent="0.2">
      <c r="B44238" s="1168"/>
    </row>
    <row r="44239" spans="2:2" s="221" customFormat="1" ht="12.75" x14ac:dyDescent="0.2">
      <c r="B44239" s="1168"/>
    </row>
    <row r="44240" spans="2:2" s="221" customFormat="1" ht="12.75" x14ac:dyDescent="0.2">
      <c r="B44240" s="1168"/>
    </row>
    <row r="44241" spans="2:2" s="221" customFormat="1" ht="12.75" x14ac:dyDescent="0.2">
      <c r="B44241" s="1168"/>
    </row>
    <row r="44242" spans="2:2" s="221" customFormat="1" ht="12.75" x14ac:dyDescent="0.2">
      <c r="B44242" s="1168"/>
    </row>
    <row r="44243" spans="2:2" s="221" customFormat="1" ht="12.75" x14ac:dyDescent="0.2">
      <c r="B44243" s="1168"/>
    </row>
    <row r="44244" spans="2:2" s="221" customFormat="1" ht="12.75" x14ac:dyDescent="0.2">
      <c r="B44244" s="1168"/>
    </row>
    <row r="44245" spans="2:2" s="221" customFormat="1" ht="12.75" x14ac:dyDescent="0.2">
      <c r="B44245" s="1168"/>
    </row>
    <row r="44246" spans="2:2" s="221" customFormat="1" ht="12.75" x14ac:dyDescent="0.2">
      <c r="B44246" s="1168"/>
    </row>
    <row r="44247" spans="2:2" s="221" customFormat="1" ht="12.75" x14ac:dyDescent="0.2">
      <c r="B44247" s="1168"/>
    </row>
    <row r="44248" spans="2:2" s="221" customFormat="1" ht="12.75" x14ac:dyDescent="0.2">
      <c r="B44248" s="1168"/>
    </row>
    <row r="44249" spans="2:2" s="221" customFormat="1" ht="12.75" x14ac:dyDescent="0.2">
      <c r="B44249" s="1168"/>
    </row>
    <row r="44250" spans="2:2" s="221" customFormat="1" ht="12.75" x14ac:dyDescent="0.2">
      <c r="B44250" s="1168"/>
    </row>
    <row r="44251" spans="2:2" s="221" customFormat="1" ht="12.75" x14ac:dyDescent="0.2">
      <c r="B44251" s="1168"/>
    </row>
    <row r="44252" spans="2:2" s="221" customFormat="1" ht="12.75" x14ac:dyDescent="0.2">
      <c r="B44252" s="1168"/>
    </row>
    <row r="44253" spans="2:2" s="221" customFormat="1" ht="12.75" x14ac:dyDescent="0.2">
      <c r="B44253" s="1168"/>
    </row>
    <row r="44254" spans="2:2" s="221" customFormat="1" ht="12.75" x14ac:dyDescent="0.2">
      <c r="B44254" s="1168"/>
    </row>
    <row r="44255" spans="2:2" s="221" customFormat="1" ht="12.75" x14ac:dyDescent="0.2">
      <c r="B44255" s="1168"/>
    </row>
    <row r="44256" spans="2:2" s="221" customFormat="1" ht="12.75" x14ac:dyDescent="0.2">
      <c r="B44256" s="1168"/>
    </row>
    <row r="44257" spans="2:2" s="221" customFormat="1" ht="12.75" x14ac:dyDescent="0.2">
      <c r="B44257" s="1168"/>
    </row>
    <row r="44258" spans="2:2" s="221" customFormat="1" ht="12.75" x14ac:dyDescent="0.2">
      <c r="B44258" s="1168"/>
    </row>
    <row r="44259" spans="2:2" s="221" customFormat="1" ht="12.75" x14ac:dyDescent="0.2">
      <c r="B44259" s="1168"/>
    </row>
    <row r="44260" spans="2:2" s="221" customFormat="1" ht="12.75" x14ac:dyDescent="0.2">
      <c r="B44260" s="1168"/>
    </row>
    <row r="44261" spans="2:2" s="221" customFormat="1" ht="12.75" x14ac:dyDescent="0.2">
      <c r="B44261" s="1168"/>
    </row>
    <row r="44262" spans="2:2" s="221" customFormat="1" ht="12.75" x14ac:dyDescent="0.2">
      <c r="B44262" s="1168"/>
    </row>
    <row r="44263" spans="2:2" s="221" customFormat="1" ht="12.75" x14ac:dyDescent="0.2">
      <c r="B44263" s="1168"/>
    </row>
    <row r="44264" spans="2:2" s="221" customFormat="1" ht="12.75" x14ac:dyDescent="0.2">
      <c r="B44264" s="1168"/>
    </row>
    <row r="44265" spans="2:2" s="221" customFormat="1" ht="12.75" x14ac:dyDescent="0.2">
      <c r="B44265" s="1168"/>
    </row>
    <row r="44266" spans="2:2" s="221" customFormat="1" ht="12.75" x14ac:dyDescent="0.2">
      <c r="B44266" s="1168"/>
    </row>
    <row r="44267" spans="2:2" s="221" customFormat="1" ht="12.75" x14ac:dyDescent="0.2">
      <c r="B44267" s="1168"/>
    </row>
    <row r="44268" spans="2:2" s="221" customFormat="1" ht="12.75" x14ac:dyDescent="0.2">
      <c r="B44268" s="1168"/>
    </row>
    <row r="44269" spans="2:2" s="221" customFormat="1" ht="12.75" x14ac:dyDescent="0.2">
      <c r="B44269" s="1168"/>
    </row>
    <row r="44270" spans="2:2" s="221" customFormat="1" ht="12.75" x14ac:dyDescent="0.2">
      <c r="B44270" s="1168"/>
    </row>
    <row r="44271" spans="2:2" s="221" customFormat="1" ht="12.75" x14ac:dyDescent="0.2">
      <c r="B44271" s="1168"/>
    </row>
    <row r="44272" spans="2:2" s="221" customFormat="1" ht="12.75" x14ac:dyDescent="0.2">
      <c r="B44272" s="1168"/>
    </row>
    <row r="44273" spans="2:2" s="221" customFormat="1" ht="12.75" x14ac:dyDescent="0.2">
      <c r="B44273" s="1168"/>
    </row>
    <row r="44274" spans="2:2" s="221" customFormat="1" ht="12.75" x14ac:dyDescent="0.2">
      <c r="B44274" s="1168"/>
    </row>
    <row r="44275" spans="2:2" s="221" customFormat="1" ht="12.75" x14ac:dyDescent="0.2">
      <c r="B44275" s="1168"/>
    </row>
    <row r="44276" spans="2:2" s="221" customFormat="1" ht="12.75" x14ac:dyDescent="0.2">
      <c r="B44276" s="1168"/>
    </row>
    <row r="44277" spans="2:2" s="221" customFormat="1" ht="12.75" x14ac:dyDescent="0.2">
      <c r="B44277" s="1168"/>
    </row>
    <row r="44278" spans="2:2" s="221" customFormat="1" ht="12.75" x14ac:dyDescent="0.2">
      <c r="B44278" s="1168"/>
    </row>
    <row r="44279" spans="2:2" s="221" customFormat="1" ht="12.75" x14ac:dyDescent="0.2">
      <c r="B44279" s="1168"/>
    </row>
    <row r="44280" spans="2:2" s="221" customFormat="1" ht="12.75" x14ac:dyDescent="0.2">
      <c r="B44280" s="1168"/>
    </row>
    <row r="44281" spans="2:2" s="221" customFormat="1" ht="12.75" x14ac:dyDescent="0.2">
      <c r="B44281" s="1168"/>
    </row>
    <row r="44282" spans="2:2" s="221" customFormat="1" ht="12.75" x14ac:dyDescent="0.2">
      <c r="B44282" s="1168"/>
    </row>
    <row r="44283" spans="2:2" s="221" customFormat="1" ht="12.75" x14ac:dyDescent="0.2">
      <c r="B44283" s="1168"/>
    </row>
    <row r="44284" spans="2:2" s="221" customFormat="1" ht="12.75" x14ac:dyDescent="0.2">
      <c r="B44284" s="1168"/>
    </row>
    <row r="44285" spans="2:2" s="221" customFormat="1" ht="12.75" x14ac:dyDescent="0.2">
      <c r="B44285" s="1168"/>
    </row>
    <row r="44286" spans="2:2" s="221" customFormat="1" ht="12.75" x14ac:dyDescent="0.2">
      <c r="B44286" s="1168"/>
    </row>
    <row r="44287" spans="2:2" s="221" customFormat="1" ht="12.75" x14ac:dyDescent="0.2">
      <c r="B44287" s="1168"/>
    </row>
    <row r="44288" spans="2:2" s="221" customFormat="1" ht="12.75" x14ac:dyDescent="0.2">
      <c r="B44288" s="1168"/>
    </row>
    <row r="44289" spans="2:2" s="221" customFormat="1" ht="12.75" x14ac:dyDescent="0.2">
      <c r="B44289" s="1168"/>
    </row>
    <row r="44290" spans="2:2" s="221" customFormat="1" ht="12.75" x14ac:dyDescent="0.2">
      <c r="B44290" s="1168"/>
    </row>
    <row r="44291" spans="2:2" s="221" customFormat="1" ht="12.75" x14ac:dyDescent="0.2">
      <c r="B44291" s="1168"/>
    </row>
    <row r="44292" spans="2:2" s="221" customFormat="1" ht="12.75" x14ac:dyDescent="0.2">
      <c r="B44292" s="1168"/>
    </row>
    <row r="44293" spans="2:2" s="221" customFormat="1" ht="12.75" x14ac:dyDescent="0.2">
      <c r="B44293" s="1168"/>
    </row>
    <row r="44294" spans="2:2" s="221" customFormat="1" ht="12.75" x14ac:dyDescent="0.2">
      <c r="B44294" s="1168"/>
    </row>
    <row r="44295" spans="2:2" s="221" customFormat="1" ht="12.75" x14ac:dyDescent="0.2">
      <c r="B44295" s="1168"/>
    </row>
    <row r="44296" spans="2:2" s="221" customFormat="1" ht="12.75" x14ac:dyDescent="0.2">
      <c r="B44296" s="1168"/>
    </row>
    <row r="44297" spans="2:2" s="221" customFormat="1" ht="12.75" x14ac:dyDescent="0.2">
      <c r="B44297" s="1168"/>
    </row>
    <row r="44298" spans="2:2" s="221" customFormat="1" ht="12.75" x14ac:dyDescent="0.2">
      <c r="B44298" s="1168"/>
    </row>
    <row r="44299" spans="2:2" s="221" customFormat="1" ht="12.75" x14ac:dyDescent="0.2">
      <c r="B44299" s="1168"/>
    </row>
    <row r="44300" spans="2:2" s="221" customFormat="1" ht="12.75" x14ac:dyDescent="0.2">
      <c r="B44300" s="1168"/>
    </row>
    <row r="44301" spans="2:2" s="221" customFormat="1" ht="12.75" x14ac:dyDescent="0.2">
      <c r="B44301" s="1168"/>
    </row>
    <row r="44302" spans="2:2" s="221" customFormat="1" ht="12.75" x14ac:dyDescent="0.2">
      <c r="B44302" s="1168"/>
    </row>
    <row r="44303" spans="2:2" s="221" customFormat="1" ht="12.75" x14ac:dyDescent="0.2">
      <c r="B44303" s="1168"/>
    </row>
    <row r="44304" spans="2:2" s="221" customFormat="1" ht="12.75" x14ac:dyDescent="0.2">
      <c r="B44304" s="1168"/>
    </row>
    <row r="44305" spans="2:2" s="221" customFormat="1" ht="12.75" x14ac:dyDescent="0.2">
      <c r="B44305" s="1168"/>
    </row>
    <row r="44306" spans="2:2" s="221" customFormat="1" ht="12.75" x14ac:dyDescent="0.2">
      <c r="B44306" s="1168"/>
    </row>
    <row r="44307" spans="2:2" s="221" customFormat="1" ht="12.75" x14ac:dyDescent="0.2">
      <c r="B44307" s="1168"/>
    </row>
    <row r="44308" spans="2:2" s="221" customFormat="1" ht="12.75" x14ac:dyDescent="0.2">
      <c r="B44308" s="1168"/>
    </row>
    <row r="44309" spans="2:2" s="221" customFormat="1" ht="12.75" x14ac:dyDescent="0.2">
      <c r="B44309" s="1168"/>
    </row>
    <row r="44310" spans="2:2" s="221" customFormat="1" ht="12.75" x14ac:dyDescent="0.2">
      <c r="B44310" s="1168"/>
    </row>
    <row r="44311" spans="2:2" s="221" customFormat="1" ht="12.75" x14ac:dyDescent="0.2">
      <c r="B44311" s="1168"/>
    </row>
    <row r="44312" spans="2:2" s="221" customFormat="1" ht="12.75" x14ac:dyDescent="0.2">
      <c r="B44312" s="1168"/>
    </row>
    <row r="44313" spans="2:2" s="221" customFormat="1" ht="12.75" x14ac:dyDescent="0.2">
      <c r="B44313" s="1168"/>
    </row>
    <row r="44314" spans="2:2" s="221" customFormat="1" ht="12.75" x14ac:dyDescent="0.2">
      <c r="B44314" s="1168"/>
    </row>
    <row r="44315" spans="2:2" s="221" customFormat="1" ht="12.75" x14ac:dyDescent="0.2">
      <c r="B44315" s="1168"/>
    </row>
    <row r="44316" spans="2:2" s="221" customFormat="1" ht="12.75" x14ac:dyDescent="0.2">
      <c r="B44316" s="1168"/>
    </row>
    <row r="44317" spans="2:2" s="221" customFormat="1" ht="12.75" x14ac:dyDescent="0.2">
      <c r="B44317" s="1168"/>
    </row>
    <row r="44318" spans="2:2" s="221" customFormat="1" ht="12.75" x14ac:dyDescent="0.2">
      <c r="B44318" s="1168"/>
    </row>
    <row r="44319" spans="2:2" s="221" customFormat="1" ht="12.75" x14ac:dyDescent="0.2">
      <c r="B44319" s="1168"/>
    </row>
    <row r="44320" spans="2:2" s="221" customFormat="1" ht="12.75" x14ac:dyDescent="0.2">
      <c r="B44320" s="1168"/>
    </row>
    <row r="44321" spans="2:2" s="221" customFormat="1" ht="12.75" x14ac:dyDescent="0.2">
      <c r="B44321" s="1168"/>
    </row>
    <row r="44322" spans="2:2" s="221" customFormat="1" ht="12.75" x14ac:dyDescent="0.2">
      <c r="B44322" s="1168"/>
    </row>
    <row r="44323" spans="2:2" s="221" customFormat="1" ht="12.75" x14ac:dyDescent="0.2">
      <c r="B44323" s="1168"/>
    </row>
    <row r="44324" spans="2:2" s="221" customFormat="1" ht="12.75" x14ac:dyDescent="0.2">
      <c r="B44324" s="1168"/>
    </row>
    <row r="44325" spans="2:2" s="221" customFormat="1" ht="12.75" x14ac:dyDescent="0.2">
      <c r="B44325" s="1168"/>
    </row>
    <row r="44326" spans="2:2" s="221" customFormat="1" ht="12.75" x14ac:dyDescent="0.2">
      <c r="B44326" s="1168"/>
    </row>
    <row r="44327" spans="2:2" s="221" customFormat="1" ht="12.75" x14ac:dyDescent="0.2">
      <c r="B44327" s="1168"/>
    </row>
    <row r="44328" spans="2:2" s="221" customFormat="1" ht="12.75" x14ac:dyDescent="0.2">
      <c r="B44328" s="1168"/>
    </row>
    <row r="44329" spans="2:2" s="221" customFormat="1" ht="12.75" x14ac:dyDescent="0.2">
      <c r="B44329" s="1168"/>
    </row>
    <row r="44330" spans="2:2" s="221" customFormat="1" ht="12.75" x14ac:dyDescent="0.2">
      <c r="B44330" s="1168"/>
    </row>
    <row r="44331" spans="2:2" s="221" customFormat="1" ht="12.75" x14ac:dyDescent="0.2">
      <c r="B44331" s="1168"/>
    </row>
    <row r="44332" spans="2:2" s="221" customFormat="1" ht="12.75" x14ac:dyDescent="0.2">
      <c r="B44332" s="1168"/>
    </row>
    <row r="44333" spans="2:2" s="221" customFormat="1" ht="12.75" x14ac:dyDescent="0.2">
      <c r="B44333" s="1168"/>
    </row>
    <row r="44334" spans="2:2" s="221" customFormat="1" ht="12.75" x14ac:dyDescent="0.2">
      <c r="B44334" s="1168"/>
    </row>
    <row r="44335" spans="2:2" s="221" customFormat="1" ht="12.75" x14ac:dyDescent="0.2">
      <c r="B44335" s="1168"/>
    </row>
    <row r="44336" spans="2:2" s="221" customFormat="1" ht="12.75" x14ac:dyDescent="0.2">
      <c r="B44336" s="1168"/>
    </row>
    <row r="44337" spans="2:2" s="221" customFormat="1" ht="12.75" x14ac:dyDescent="0.2">
      <c r="B44337" s="1168"/>
    </row>
    <row r="44338" spans="2:2" s="221" customFormat="1" ht="12.75" x14ac:dyDescent="0.2">
      <c r="B44338" s="1168"/>
    </row>
    <row r="44339" spans="2:2" s="221" customFormat="1" ht="12.75" x14ac:dyDescent="0.2">
      <c r="B44339" s="1168"/>
    </row>
    <row r="44340" spans="2:2" s="221" customFormat="1" ht="12.75" x14ac:dyDescent="0.2">
      <c r="B44340" s="1168"/>
    </row>
    <row r="44341" spans="2:2" s="221" customFormat="1" ht="12.75" x14ac:dyDescent="0.2">
      <c r="B44341" s="1168"/>
    </row>
    <row r="44342" spans="2:2" s="221" customFormat="1" ht="12.75" x14ac:dyDescent="0.2">
      <c r="B44342" s="1168"/>
    </row>
    <row r="44343" spans="2:2" s="221" customFormat="1" ht="12.75" x14ac:dyDescent="0.2">
      <c r="B44343" s="1168"/>
    </row>
    <row r="44344" spans="2:2" s="221" customFormat="1" ht="12.75" x14ac:dyDescent="0.2">
      <c r="B44344" s="1168"/>
    </row>
    <row r="44345" spans="2:2" s="221" customFormat="1" ht="12.75" x14ac:dyDescent="0.2">
      <c r="B44345" s="1168"/>
    </row>
    <row r="44346" spans="2:2" s="221" customFormat="1" ht="12.75" x14ac:dyDescent="0.2">
      <c r="B44346" s="1168"/>
    </row>
    <row r="44347" spans="2:2" s="221" customFormat="1" ht="12.75" x14ac:dyDescent="0.2">
      <c r="B44347" s="1168"/>
    </row>
    <row r="44348" spans="2:2" s="221" customFormat="1" ht="12.75" x14ac:dyDescent="0.2">
      <c r="B44348" s="1168"/>
    </row>
    <row r="44349" spans="2:2" s="221" customFormat="1" ht="12.75" x14ac:dyDescent="0.2">
      <c r="B44349" s="1168"/>
    </row>
    <row r="44350" spans="2:2" s="221" customFormat="1" ht="12.75" x14ac:dyDescent="0.2">
      <c r="B44350" s="1168"/>
    </row>
    <row r="44351" spans="2:2" s="221" customFormat="1" ht="12.75" x14ac:dyDescent="0.2">
      <c r="B44351" s="1168"/>
    </row>
    <row r="44352" spans="2:2" s="221" customFormat="1" ht="12.75" x14ac:dyDescent="0.2">
      <c r="B44352" s="1168"/>
    </row>
    <row r="44353" spans="2:2" s="221" customFormat="1" ht="12.75" x14ac:dyDescent="0.2">
      <c r="B44353" s="1168"/>
    </row>
    <row r="44354" spans="2:2" s="221" customFormat="1" ht="12.75" x14ac:dyDescent="0.2">
      <c r="B44354" s="1168"/>
    </row>
    <row r="44355" spans="2:2" s="221" customFormat="1" ht="12.75" x14ac:dyDescent="0.2">
      <c r="B44355" s="1168"/>
    </row>
    <row r="44356" spans="2:2" s="221" customFormat="1" ht="12.75" x14ac:dyDescent="0.2">
      <c r="B44356" s="1168"/>
    </row>
    <row r="44357" spans="2:2" s="221" customFormat="1" ht="12.75" x14ac:dyDescent="0.2">
      <c r="B44357" s="1168"/>
    </row>
    <row r="44358" spans="2:2" s="221" customFormat="1" ht="12.75" x14ac:dyDescent="0.2">
      <c r="B44358" s="1168"/>
    </row>
    <row r="44359" spans="2:2" s="221" customFormat="1" ht="12.75" x14ac:dyDescent="0.2">
      <c r="B44359" s="1168"/>
    </row>
    <row r="44360" spans="2:2" s="221" customFormat="1" ht="12.75" x14ac:dyDescent="0.2">
      <c r="B44360" s="1168"/>
    </row>
    <row r="44361" spans="2:2" s="221" customFormat="1" ht="12.75" x14ac:dyDescent="0.2">
      <c r="B44361" s="1168"/>
    </row>
    <row r="44362" spans="2:2" s="221" customFormat="1" ht="12.75" x14ac:dyDescent="0.2">
      <c r="B44362" s="1168"/>
    </row>
    <row r="44363" spans="2:2" s="221" customFormat="1" ht="12.75" x14ac:dyDescent="0.2">
      <c r="B44363" s="1168"/>
    </row>
    <row r="44364" spans="2:2" s="221" customFormat="1" ht="12.75" x14ac:dyDescent="0.2">
      <c r="B44364" s="1168"/>
    </row>
    <row r="44365" spans="2:2" s="221" customFormat="1" ht="12.75" x14ac:dyDescent="0.2">
      <c r="B44365" s="1168"/>
    </row>
    <row r="44366" spans="2:2" s="221" customFormat="1" ht="12.75" x14ac:dyDescent="0.2">
      <c r="B44366" s="1168"/>
    </row>
    <row r="44367" spans="2:2" s="221" customFormat="1" ht="12.75" x14ac:dyDescent="0.2">
      <c r="B44367" s="1168"/>
    </row>
    <row r="44368" spans="2:2" s="221" customFormat="1" ht="12.75" x14ac:dyDescent="0.2">
      <c r="B44368" s="1168"/>
    </row>
    <row r="44369" spans="2:2" s="221" customFormat="1" ht="12.75" x14ac:dyDescent="0.2">
      <c r="B44369" s="1168"/>
    </row>
    <row r="44370" spans="2:2" s="221" customFormat="1" ht="12.75" x14ac:dyDescent="0.2">
      <c r="B44370" s="1168"/>
    </row>
    <row r="44371" spans="2:2" s="221" customFormat="1" ht="12.75" x14ac:dyDescent="0.2">
      <c r="B44371" s="1168"/>
    </row>
    <row r="44372" spans="2:2" s="221" customFormat="1" ht="12.75" x14ac:dyDescent="0.2">
      <c r="B44372" s="1168"/>
    </row>
    <row r="44373" spans="2:2" s="221" customFormat="1" ht="12.75" x14ac:dyDescent="0.2">
      <c r="B44373" s="1168"/>
    </row>
    <row r="44374" spans="2:2" s="221" customFormat="1" ht="12.75" x14ac:dyDescent="0.2">
      <c r="B44374" s="1168"/>
    </row>
    <row r="44375" spans="2:2" s="221" customFormat="1" ht="12.75" x14ac:dyDescent="0.2">
      <c r="B44375" s="1168"/>
    </row>
    <row r="44376" spans="2:2" s="221" customFormat="1" ht="12.75" x14ac:dyDescent="0.2">
      <c r="B44376" s="1168"/>
    </row>
    <row r="44377" spans="2:2" s="221" customFormat="1" ht="12.75" x14ac:dyDescent="0.2">
      <c r="B44377" s="1168"/>
    </row>
    <row r="44378" spans="2:2" s="221" customFormat="1" ht="12.75" x14ac:dyDescent="0.2">
      <c r="B44378" s="1168"/>
    </row>
    <row r="44379" spans="2:2" s="221" customFormat="1" ht="12.75" x14ac:dyDescent="0.2">
      <c r="B44379" s="1168"/>
    </row>
    <row r="44380" spans="2:2" s="221" customFormat="1" ht="12.75" x14ac:dyDescent="0.2">
      <c r="B44380" s="1168"/>
    </row>
    <row r="44381" spans="2:2" s="221" customFormat="1" ht="12.75" x14ac:dyDescent="0.2">
      <c r="B44381" s="1168"/>
    </row>
    <row r="44382" spans="2:2" s="221" customFormat="1" ht="12.75" x14ac:dyDescent="0.2">
      <c r="B44382" s="1168"/>
    </row>
    <row r="44383" spans="2:2" s="221" customFormat="1" ht="12.75" x14ac:dyDescent="0.2">
      <c r="B44383" s="1168"/>
    </row>
    <row r="44384" spans="2:2" s="221" customFormat="1" ht="12.75" x14ac:dyDescent="0.2">
      <c r="B44384" s="1168"/>
    </row>
    <row r="44385" spans="2:2" s="221" customFormat="1" ht="12.75" x14ac:dyDescent="0.2">
      <c r="B44385" s="1168"/>
    </row>
    <row r="44386" spans="2:2" s="221" customFormat="1" ht="12.75" x14ac:dyDescent="0.2">
      <c r="B44386" s="1168"/>
    </row>
    <row r="44387" spans="2:2" s="221" customFormat="1" ht="12.75" x14ac:dyDescent="0.2">
      <c r="B44387" s="1168"/>
    </row>
    <row r="44388" spans="2:2" s="221" customFormat="1" ht="12.75" x14ac:dyDescent="0.2">
      <c r="B44388" s="1168"/>
    </row>
    <row r="44389" spans="2:2" s="221" customFormat="1" ht="12.75" x14ac:dyDescent="0.2">
      <c r="B44389" s="1168"/>
    </row>
    <row r="44390" spans="2:2" s="221" customFormat="1" ht="12.75" x14ac:dyDescent="0.2">
      <c r="B44390" s="1168"/>
    </row>
    <row r="44391" spans="2:2" s="221" customFormat="1" ht="12.75" x14ac:dyDescent="0.2">
      <c r="B44391" s="1168"/>
    </row>
    <row r="44392" spans="2:2" s="221" customFormat="1" ht="12.75" x14ac:dyDescent="0.2">
      <c r="B44392" s="1168"/>
    </row>
    <row r="44393" spans="2:2" s="221" customFormat="1" ht="12.75" x14ac:dyDescent="0.2">
      <c r="B44393" s="1168"/>
    </row>
    <row r="44394" spans="2:2" s="221" customFormat="1" ht="12.75" x14ac:dyDescent="0.2">
      <c r="B44394" s="1168"/>
    </row>
    <row r="44395" spans="2:2" s="221" customFormat="1" ht="12.75" x14ac:dyDescent="0.2">
      <c r="B44395" s="1168"/>
    </row>
    <row r="44396" spans="2:2" s="221" customFormat="1" ht="12.75" x14ac:dyDescent="0.2">
      <c r="B44396" s="1168"/>
    </row>
    <row r="44397" spans="2:2" s="221" customFormat="1" ht="12.75" x14ac:dyDescent="0.2">
      <c r="B44397" s="1168"/>
    </row>
    <row r="44398" spans="2:2" s="221" customFormat="1" ht="12.75" x14ac:dyDescent="0.2">
      <c r="B44398" s="1168"/>
    </row>
    <row r="44399" spans="2:2" s="221" customFormat="1" ht="12.75" x14ac:dyDescent="0.2">
      <c r="B44399" s="1168"/>
    </row>
    <row r="44400" spans="2:2" s="221" customFormat="1" ht="12.75" x14ac:dyDescent="0.2">
      <c r="B44400" s="1168"/>
    </row>
    <row r="44401" spans="2:2" s="221" customFormat="1" ht="12.75" x14ac:dyDescent="0.2">
      <c r="B44401" s="1168"/>
    </row>
    <row r="44402" spans="2:2" s="221" customFormat="1" ht="12.75" x14ac:dyDescent="0.2">
      <c r="B44402" s="1168"/>
    </row>
    <row r="44403" spans="2:2" s="221" customFormat="1" ht="12.75" x14ac:dyDescent="0.2">
      <c r="B44403" s="1168"/>
    </row>
    <row r="44404" spans="2:2" s="221" customFormat="1" ht="12.75" x14ac:dyDescent="0.2">
      <c r="B44404" s="1168"/>
    </row>
    <row r="44405" spans="2:2" s="221" customFormat="1" ht="12.75" x14ac:dyDescent="0.2">
      <c r="B44405" s="1168"/>
    </row>
    <row r="44406" spans="2:2" s="221" customFormat="1" ht="12.75" x14ac:dyDescent="0.2">
      <c r="B44406" s="1168"/>
    </row>
    <row r="44407" spans="2:2" s="221" customFormat="1" ht="12.75" x14ac:dyDescent="0.2">
      <c r="B44407" s="1168"/>
    </row>
    <row r="44408" spans="2:2" s="221" customFormat="1" ht="12.75" x14ac:dyDescent="0.2">
      <c r="B44408" s="1168"/>
    </row>
    <row r="44409" spans="2:2" s="221" customFormat="1" ht="12.75" x14ac:dyDescent="0.2">
      <c r="B44409" s="1168"/>
    </row>
    <row r="44410" spans="2:2" s="221" customFormat="1" ht="12.75" x14ac:dyDescent="0.2">
      <c r="B44410" s="1168"/>
    </row>
    <row r="44411" spans="2:2" s="221" customFormat="1" ht="12.75" x14ac:dyDescent="0.2">
      <c r="B44411" s="1168"/>
    </row>
    <row r="44412" spans="2:2" s="221" customFormat="1" ht="12.75" x14ac:dyDescent="0.2">
      <c r="B44412" s="1168"/>
    </row>
    <row r="44413" spans="2:2" s="221" customFormat="1" ht="12.75" x14ac:dyDescent="0.2">
      <c r="B44413" s="1168"/>
    </row>
    <row r="44414" spans="2:2" s="221" customFormat="1" ht="12.75" x14ac:dyDescent="0.2">
      <c r="B44414" s="1168"/>
    </row>
    <row r="44415" spans="2:2" s="221" customFormat="1" ht="12.75" x14ac:dyDescent="0.2">
      <c r="B44415" s="1168"/>
    </row>
    <row r="44416" spans="2:2" s="221" customFormat="1" ht="12.75" x14ac:dyDescent="0.2">
      <c r="B44416" s="1168"/>
    </row>
    <row r="44417" spans="2:2" s="221" customFormat="1" ht="12.75" x14ac:dyDescent="0.2">
      <c r="B44417" s="1168"/>
    </row>
    <row r="44418" spans="2:2" s="221" customFormat="1" ht="12.75" x14ac:dyDescent="0.2">
      <c r="B44418" s="1168"/>
    </row>
    <row r="44419" spans="2:2" s="221" customFormat="1" ht="12.75" x14ac:dyDescent="0.2">
      <c r="B44419" s="1168"/>
    </row>
    <row r="44420" spans="2:2" s="221" customFormat="1" ht="12.75" x14ac:dyDescent="0.2">
      <c r="B44420" s="1168"/>
    </row>
    <row r="44421" spans="2:2" s="221" customFormat="1" ht="12.75" x14ac:dyDescent="0.2">
      <c r="B44421" s="1168"/>
    </row>
    <row r="44422" spans="2:2" s="221" customFormat="1" ht="12.75" x14ac:dyDescent="0.2">
      <c r="B44422" s="1168"/>
    </row>
    <row r="44423" spans="2:2" s="221" customFormat="1" ht="12.75" x14ac:dyDescent="0.2">
      <c r="B44423" s="1168"/>
    </row>
    <row r="44424" spans="2:2" s="221" customFormat="1" ht="12.75" x14ac:dyDescent="0.2">
      <c r="B44424" s="1168"/>
    </row>
    <row r="44425" spans="2:2" s="221" customFormat="1" ht="12.75" x14ac:dyDescent="0.2">
      <c r="B44425" s="1168"/>
    </row>
    <row r="44426" spans="2:2" s="221" customFormat="1" ht="12.75" x14ac:dyDescent="0.2">
      <c r="B44426" s="1168"/>
    </row>
    <row r="44427" spans="2:2" s="221" customFormat="1" ht="12.75" x14ac:dyDescent="0.2">
      <c r="B44427" s="1168"/>
    </row>
    <row r="44428" spans="2:2" s="221" customFormat="1" ht="12.75" x14ac:dyDescent="0.2">
      <c r="B44428" s="1168"/>
    </row>
    <row r="44429" spans="2:2" s="221" customFormat="1" ht="12.75" x14ac:dyDescent="0.2">
      <c r="B44429" s="1168"/>
    </row>
    <row r="44430" spans="2:2" s="221" customFormat="1" ht="12.75" x14ac:dyDescent="0.2">
      <c r="B44430" s="1168"/>
    </row>
    <row r="44431" spans="2:2" s="221" customFormat="1" ht="12.75" x14ac:dyDescent="0.2">
      <c r="B44431" s="1168"/>
    </row>
    <row r="44432" spans="2:2" s="221" customFormat="1" ht="12.75" x14ac:dyDescent="0.2">
      <c r="B44432" s="1168"/>
    </row>
    <row r="44433" spans="2:2" s="221" customFormat="1" ht="12.75" x14ac:dyDescent="0.2">
      <c r="B44433" s="1168"/>
    </row>
    <row r="44434" spans="2:2" s="221" customFormat="1" ht="12.75" x14ac:dyDescent="0.2">
      <c r="B44434" s="1168"/>
    </row>
    <row r="44435" spans="2:2" s="221" customFormat="1" ht="12.75" x14ac:dyDescent="0.2">
      <c r="B44435" s="1168"/>
    </row>
    <row r="44436" spans="2:2" s="221" customFormat="1" ht="12.75" x14ac:dyDescent="0.2">
      <c r="B44436" s="1168"/>
    </row>
    <row r="44437" spans="2:2" s="221" customFormat="1" ht="12.75" x14ac:dyDescent="0.2">
      <c r="B44437" s="1168"/>
    </row>
    <row r="44438" spans="2:2" s="221" customFormat="1" ht="12.75" x14ac:dyDescent="0.2">
      <c r="B44438" s="1168"/>
    </row>
    <row r="44439" spans="2:2" s="221" customFormat="1" ht="12.75" x14ac:dyDescent="0.2">
      <c r="B44439" s="1168"/>
    </row>
    <row r="44440" spans="2:2" s="221" customFormat="1" ht="12.75" x14ac:dyDescent="0.2">
      <c r="B44440" s="1168"/>
    </row>
    <row r="44441" spans="2:2" s="221" customFormat="1" ht="12.75" x14ac:dyDescent="0.2">
      <c r="B44441" s="1168"/>
    </row>
    <row r="44442" spans="2:2" s="221" customFormat="1" ht="12.75" x14ac:dyDescent="0.2">
      <c r="B44442" s="1168"/>
    </row>
    <row r="44443" spans="2:2" s="221" customFormat="1" ht="12.75" x14ac:dyDescent="0.2">
      <c r="B44443" s="1168"/>
    </row>
    <row r="44444" spans="2:2" s="221" customFormat="1" ht="12.75" x14ac:dyDescent="0.2">
      <c r="B44444" s="1168"/>
    </row>
    <row r="44445" spans="2:2" s="221" customFormat="1" ht="12.75" x14ac:dyDescent="0.2">
      <c r="B44445" s="1168"/>
    </row>
    <row r="44446" spans="2:2" s="221" customFormat="1" ht="12.75" x14ac:dyDescent="0.2">
      <c r="B44446" s="1168"/>
    </row>
    <row r="44447" spans="2:2" s="221" customFormat="1" ht="12.75" x14ac:dyDescent="0.2">
      <c r="B44447" s="1168"/>
    </row>
    <row r="44448" spans="2:2" s="221" customFormat="1" ht="12.75" x14ac:dyDescent="0.2">
      <c r="B44448" s="1168"/>
    </row>
    <row r="44449" spans="2:2" s="221" customFormat="1" ht="12.75" x14ac:dyDescent="0.2">
      <c r="B44449" s="1168"/>
    </row>
    <row r="44450" spans="2:2" s="221" customFormat="1" ht="12.75" x14ac:dyDescent="0.2">
      <c r="B44450" s="1168"/>
    </row>
    <row r="44451" spans="2:2" s="221" customFormat="1" ht="12.75" x14ac:dyDescent="0.2">
      <c r="B44451" s="1168"/>
    </row>
    <row r="44452" spans="2:2" s="221" customFormat="1" ht="12.75" x14ac:dyDescent="0.2">
      <c r="B44452" s="1168"/>
    </row>
    <row r="44453" spans="2:2" s="221" customFormat="1" ht="12.75" x14ac:dyDescent="0.2">
      <c r="B44453" s="1168"/>
    </row>
    <row r="44454" spans="2:2" s="221" customFormat="1" ht="12.75" x14ac:dyDescent="0.2">
      <c r="B44454" s="1168"/>
    </row>
    <row r="44455" spans="2:2" s="221" customFormat="1" ht="12.75" x14ac:dyDescent="0.2">
      <c r="B44455" s="1168"/>
    </row>
    <row r="44456" spans="2:2" s="221" customFormat="1" ht="12.75" x14ac:dyDescent="0.2">
      <c r="B44456" s="1168"/>
    </row>
    <row r="44457" spans="2:2" s="221" customFormat="1" ht="12.75" x14ac:dyDescent="0.2">
      <c r="B44457" s="1168"/>
    </row>
    <row r="44458" spans="2:2" s="221" customFormat="1" ht="12.75" x14ac:dyDescent="0.2">
      <c r="B44458" s="1168"/>
    </row>
    <row r="44459" spans="2:2" s="221" customFormat="1" ht="12.75" x14ac:dyDescent="0.2">
      <c r="B44459" s="1168"/>
    </row>
    <row r="44460" spans="2:2" s="221" customFormat="1" ht="12.75" x14ac:dyDescent="0.2">
      <c r="B44460" s="1168"/>
    </row>
    <row r="44461" spans="2:2" s="221" customFormat="1" ht="12.75" x14ac:dyDescent="0.2">
      <c r="B44461" s="1168"/>
    </row>
    <row r="44462" spans="2:2" s="221" customFormat="1" ht="12.75" x14ac:dyDescent="0.2">
      <c r="B44462" s="1168"/>
    </row>
    <row r="44463" spans="2:2" s="221" customFormat="1" ht="12.75" x14ac:dyDescent="0.2">
      <c r="B44463" s="1168"/>
    </row>
    <row r="44464" spans="2:2" s="221" customFormat="1" ht="12.75" x14ac:dyDescent="0.2">
      <c r="B44464" s="1168"/>
    </row>
    <row r="44465" spans="2:2" s="221" customFormat="1" ht="12.75" x14ac:dyDescent="0.2">
      <c r="B44465" s="1168"/>
    </row>
    <row r="44466" spans="2:2" s="221" customFormat="1" ht="12.75" x14ac:dyDescent="0.2">
      <c r="B44466" s="1168"/>
    </row>
    <row r="44467" spans="2:2" s="221" customFormat="1" ht="12.75" x14ac:dyDescent="0.2">
      <c r="B44467" s="1168"/>
    </row>
    <row r="44468" spans="2:2" s="221" customFormat="1" ht="12.75" x14ac:dyDescent="0.2">
      <c r="B44468" s="1168"/>
    </row>
    <row r="44469" spans="2:2" s="221" customFormat="1" ht="12.75" x14ac:dyDescent="0.2">
      <c r="B44469" s="1168"/>
    </row>
    <row r="44470" spans="2:2" s="221" customFormat="1" ht="12.75" x14ac:dyDescent="0.2">
      <c r="B44470" s="1168"/>
    </row>
    <row r="44471" spans="2:2" s="221" customFormat="1" ht="12.75" x14ac:dyDescent="0.2">
      <c r="B44471" s="1168"/>
    </row>
    <row r="44472" spans="2:2" s="221" customFormat="1" ht="12.75" x14ac:dyDescent="0.2">
      <c r="B44472" s="1168"/>
    </row>
    <row r="44473" spans="2:2" s="221" customFormat="1" ht="12.75" x14ac:dyDescent="0.2">
      <c r="B44473" s="1168"/>
    </row>
    <row r="44474" spans="2:2" s="221" customFormat="1" ht="12.75" x14ac:dyDescent="0.2">
      <c r="B44474" s="1168"/>
    </row>
    <row r="44475" spans="2:2" s="221" customFormat="1" ht="12.75" x14ac:dyDescent="0.2">
      <c r="B44475" s="1168"/>
    </row>
    <row r="44476" spans="2:2" s="221" customFormat="1" ht="12.75" x14ac:dyDescent="0.2">
      <c r="B44476" s="1168"/>
    </row>
    <row r="44477" spans="2:2" s="221" customFormat="1" ht="12.75" x14ac:dyDescent="0.2">
      <c r="B44477" s="1168"/>
    </row>
    <row r="44478" spans="2:2" s="221" customFormat="1" ht="12.75" x14ac:dyDescent="0.2">
      <c r="B44478" s="1168"/>
    </row>
    <row r="44479" spans="2:2" s="221" customFormat="1" ht="12.75" x14ac:dyDescent="0.2">
      <c r="B44479" s="1168"/>
    </row>
    <row r="44480" spans="2:2" s="221" customFormat="1" ht="12.75" x14ac:dyDescent="0.2">
      <c r="B44480" s="1168"/>
    </row>
    <row r="44481" spans="2:2" s="221" customFormat="1" ht="12.75" x14ac:dyDescent="0.2">
      <c r="B44481" s="1168"/>
    </row>
    <row r="44482" spans="2:2" s="221" customFormat="1" ht="12.75" x14ac:dyDescent="0.2">
      <c r="B44482" s="1168"/>
    </row>
    <row r="44483" spans="2:2" s="221" customFormat="1" ht="12.75" x14ac:dyDescent="0.2">
      <c r="B44483" s="1168"/>
    </row>
    <row r="44484" spans="2:2" s="221" customFormat="1" ht="12.75" x14ac:dyDescent="0.2">
      <c r="B44484" s="1168"/>
    </row>
    <row r="44485" spans="2:2" s="221" customFormat="1" ht="12.75" x14ac:dyDescent="0.2">
      <c r="B44485" s="1168"/>
    </row>
    <row r="44486" spans="2:2" s="221" customFormat="1" ht="12.75" x14ac:dyDescent="0.2">
      <c r="B44486" s="1168"/>
    </row>
    <row r="44487" spans="2:2" s="221" customFormat="1" ht="12.75" x14ac:dyDescent="0.2">
      <c r="B44487" s="1168"/>
    </row>
    <row r="44488" spans="2:2" s="221" customFormat="1" ht="12.75" x14ac:dyDescent="0.2">
      <c r="B44488" s="1168"/>
    </row>
    <row r="44489" spans="2:2" s="221" customFormat="1" ht="12.75" x14ac:dyDescent="0.2">
      <c r="B44489" s="1168"/>
    </row>
    <row r="44490" spans="2:2" s="221" customFormat="1" ht="12.75" x14ac:dyDescent="0.2">
      <c r="B44490" s="1168"/>
    </row>
    <row r="44491" spans="2:2" s="221" customFormat="1" ht="12.75" x14ac:dyDescent="0.2">
      <c r="B44491" s="1168"/>
    </row>
    <row r="44492" spans="2:2" s="221" customFormat="1" ht="12.75" x14ac:dyDescent="0.2">
      <c r="B44492" s="1168"/>
    </row>
    <row r="44493" spans="2:2" s="221" customFormat="1" ht="12.75" x14ac:dyDescent="0.2">
      <c r="B44493" s="1168"/>
    </row>
    <row r="44494" spans="2:2" s="221" customFormat="1" ht="12.75" x14ac:dyDescent="0.2">
      <c r="B44494" s="1168"/>
    </row>
    <row r="44495" spans="2:2" s="221" customFormat="1" ht="12.75" x14ac:dyDescent="0.2">
      <c r="B44495" s="1168"/>
    </row>
    <row r="44496" spans="2:2" s="221" customFormat="1" ht="12.75" x14ac:dyDescent="0.2">
      <c r="B44496" s="1168"/>
    </row>
    <row r="44497" spans="2:2" s="221" customFormat="1" ht="12.75" x14ac:dyDescent="0.2">
      <c r="B44497" s="1168"/>
    </row>
    <row r="44498" spans="2:2" s="221" customFormat="1" ht="12.75" x14ac:dyDescent="0.2">
      <c r="B44498" s="1168"/>
    </row>
    <row r="44499" spans="2:2" s="221" customFormat="1" ht="12.75" x14ac:dyDescent="0.2">
      <c r="B44499" s="1168"/>
    </row>
    <row r="44500" spans="2:2" s="221" customFormat="1" ht="12.75" x14ac:dyDescent="0.2">
      <c r="B44500" s="1168"/>
    </row>
    <row r="44501" spans="2:2" s="221" customFormat="1" ht="12.75" x14ac:dyDescent="0.2">
      <c r="B44501" s="1168"/>
    </row>
    <row r="44502" spans="2:2" s="221" customFormat="1" ht="12.75" x14ac:dyDescent="0.2">
      <c r="B44502" s="1168"/>
    </row>
    <row r="44503" spans="2:2" s="221" customFormat="1" ht="12.75" x14ac:dyDescent="0.2">
      <c r="B44503" s="1168"/>
    </row>
    <row r="44504" spans="2:2" s="221" customFormat="1" ht="12.75" x14ac:dyDescent="0.2">
      <c r="B44504" s="1168"/>
    </row>
    <row r="44505" spans="2:2" s="221" customFormat="1" ht="12.75" x14ac:dyDescent="0.2">
      <c r="B44505" s="1168"/>
    </row>
    <row r="44506" spans="2:2" s="221" customFormat="1" ht="12.75" x14ac:dyDescent="0.2">
      <c r="B44506" s="1168"/>
    </row>
    <row r="44507" spans="2:2" s="221" customFormat="1" ht="12.75" x14ac:dyDescent="0.2">
      <c r="B44507" s="1168"/>
    </row>
    <row r="44508" spans="2:2" s="221" customFormat="1" ht="12.75" x14ac:dyDescent="0.2">
      <c r="B44508" s="1168"/>
    </row>
    <row r="44509" spans="2:2" s="221" customFormat="1" ht="12.75" x14ac:dyDescent="0.2">
      <c r="B44509" s="1168"/>
    </row>
    <row r="44510" spans="2:2" s="221" customFormat="1" ht="12.75" x14ac:dyDescent="0.2">
      <c r="B44510" s="1168"/>
    </row>
    <row r="44511" spans="2:2" s="221" customFormat="1" ht="12.75" x14ac:dyDescent="0.2">
      <c r="B44511" s="1168"/>
    </row>
    <row r="44512" spans="2:2" s="221" customFormat="1" ht="12.75" x14ac:dyDescent="0.2">
      <c r="B44512" s="1168"/>
    </row>
    <row r="44513" spans="2:2" s="221" customFormat="1" ht="12.75" x14ac:dyDescent="0.2">
      <c r="B44513" s="1168"/>
    </row>
    <row r="44514" spans="2:2" s="221" customFormat="1" ht="12.75" x14ac:dyDescent="0.2">
      <c r="B44514" s="1168"/>
    </row>
    <row r="44515" spans="2:2" s="221" customFormat="1" ht="12.75" x14ac:dyDescent="0.2">
      <c r="B44515" s="1168"/>
    </row>
    <row r="44516" spans="2:2" s="221" customFormat="1" ht="12.75" x14ac:dyDescent="0.2">
      <c r="B44516" s="1168"/>
    </row>
    <row r="44517" spans="2:2" s="221" customFormat="1" ht="12.75" x14ac:dyDescent="0.2">
      <c r="B44517" s="1168"/>
    </row>
    <row r="44518" spans="2:2" s="221" customFormat="1" ht="12.75" x14ac:dyDescent="0.2">
      <c r="B44518" s="1168"/>
    </row>
    <row r="44519" spans="2:2" s="221" customFormat="1" ht="12.75" x14ac:dyDescent="0.2">
      <c r="B44519" s="1168"/>
    </row>
    <row r="44520" spans="2:2" s="221" customFormat="1" ht="12.75" x14ac:dyDescent="0.2">
      <c r="B44520" s="1168"/>
    </row>
    <row r="44521" spans="2:2" s="221" customFormat="1" ht="12.75" x14ac:dyDescent="0.2">
      <c r="B44521" s="1168"/>
    </row>
    <row r="44522" spans="2:2" s="221" customFormat="1" ht="12.75" x14ac:dyDescent="0.2">
      <c r="B44522" s="1168"/>
    </row>
    <row r="44523" spans="2:2" s="221" customFormat="1" ht="12.75" x14ac:dyDescent="0.2">
      <c r="B44523" s="1168"/>
    </row>
    <row r="44524" spans="2:2" s="221" customFormat="1" ht="12.75" x14ac:dyDescent="0.2">
      <c r="B44524" s="1168"/>
    </row>
    <row r="44525" spans="2:2" s="221" customFormat="1" ht="12.75" x14ac:dyDescent="0.2">
      <c r="B44525" s="1168"/>
    </row>
    <row r="44526" spans="2:2" s="221" customFormat="1" ht="12.75" x14ac:dyDescent="0.2">
      <c r="B44526" s="1168"/>
    </row>
    <row r="44527" spans="2:2" s="221" customFormat="1" ht="12.75" x14ac:dyDescent="0.2">
      <c r="B44527" s="1168"/>
    </row>
    <row r="44528" spans="2:2" s="221" customFormat="1" ht="12.75" x14ac:dyDescent="0.2">
      <c r="B44528" s="1168"/>
    </row>
    <row r="44529" spans="2:2" s="221" customFormat="1" ht="12.75" x14ac:dyDescent="0.2">
      <c r="B44529" s="1168"/>
    </row>
    <row r="44530" spans="2:2" s="221" customFormat="1" ht="12.75" x14ac:dyDescent="0.2">
      <c r="B44530" s="1168"/>
    </row>
    <row r="44531" spans="2:2" s="221" customFormat="1" ht="12.75" x14ac:dyDescent="0.2">
      <c r="B44531" s="1168"/>
    </row>
    <row r="44532" spans="2:2" s="221" customFormat="1" ht="12.75" x14ac:dyDescent="0.2">
      <c r="B44532" s="1168"/>
    </row>
    <row r="44533" spans="2:2" s="221" customFormat="1" ht="12.75" x14ac:dyDescent="0.2">
      <c r="B44533" s="1168"/>
    </row>
    <row r="44534" spans="2:2" s="221" customFormat="1" ht="12.75" x14ac:dyDescent="0.2">
      <c r="B44534" s="1168"/>
    </row>
    <row r="44535" spans="2:2" s="221" customFormat="1" ht="12.75" x14ac:dyDescent="0.2">
      <c r="B44535" s="1168"/>
    </row>
    <row r="44536" spans="2:2" s="221" customFormat="1" ht="12.75" x14ac:dyDescent="0.2">
      <c r="B44536" s="1168"/>
    </row>
    <row r="44537" spans="2:2" s="221" customFormat="1" ht="12.75" x14ac:dyDescent="0.2">
      <c r="B44537" s="1168"/>
    </row>
    <row r="44538" spans="2:2" s="221" customFormat="1" ht="12.75" x14ac:dyDescent="0.2">
      <c r="B44538" s="1168"/>
    </row>
    <row r="44539" spans="2:2" s="221" customFormat="1" ht="12.75" x14ac:dyDescent="0.2">
      <c r="B44539" s="1168"/>
    </row>
    <row r="44540" spans="2:2" s="221" customFormat="1" ht="12.75" x14ac:dyDescent="0.2">
      <c r="B44540" s="1168"/>
    </row>
    <row r="44541" spans="2:2" s="221" customFormat="1" ht="12.75" x14ac:dyDescent="0.2">
      <c r="B44541" s="1168"/>
    </row>
    <row r="44542" spans="2:2" s="221" customFormat="1" ht="12.75" x14ac:dyDescent="0.2">
      <c r="B44542" s="1168"/>
    </row>
    <row r="44543" spans="2:2" s="221" customFormat="1" ht="12.75" x14ac:dyDescent="0.2">
      <c r="B44543" s="1168"/>
    </row>
    <row r="44544" spans="2:2" s="221" customFormat="1" ht="12.75" x14ac:dyDescent="0.2">
      <c r="B44544" s="1168"/>
    </row>
    <row r="44545" spans="2:2" s="221" customFormat="1" ht="12.75" x14ac:dyDescent="0.2">
      <c r="B44545" s="1168"/>
    </row>
    <row r="44546" spans="2:2" s="221" customFormat="1" ht="12.75" x14ac:dyDescent="0.2">
      <c r="B44546" s="1168"/>
    </row>
    <row r="44547" spans="2:2" s="221" customFormat="1" ht="12.75" x14ac:dyDescent="0.2">
      <c r="B44547" s="1168"/>
    </row>
    <row r="44548" spans="2:2" s="221" customFormat="1" ht="12.75" x14ac:dyDescent="0.2">
      <c r="B44548" s="1168"/>
    </row>
    <row r="44549" spans="2:2" s="221" customFormat="1" ht="12.75" x14ac:dyDescent="0.2">
      <c r="B44549" s="1168"/>
    </row>
    <row r="44550" spans="2:2" s="221" customFormat="1" ht="12.75" x14ac:dyDescent="0.2">
      <c r="B44550" s="1168"/>
    </row>
    <row r="44551" spans="2:2" s="221" customFormat="1" ht="12.75" x14ac:dyDescent="0.2">
      <c r="B44551" s="1168"/>
    </row>
    <row r="44552" spans="2:2" s="221" customFormat="1" ht="12.75" x14ac:dyDescent="0.2">
      <c r="B44552" s="1168"/>
    </row>
    <row r="44553" spans="2:2" s="221" customFormat="1" ht="12.75" x14ac:dyDescent="0.2">
      <c r="B44553" s="1168"/>
    </row>
    <row r="44554" spans="2:2" s="221" customFormat="1" ht="12.75" x14ac:dyDescent="0.2">
      <c r="B44554" s="1168"/>
    </row>
    <row r="44555" spans="2:2" s="221" customFormat="1" ht="12.75" x14ac:dyDescent="0.2">
      <c r="B44555" s="1168"/>
    </row>
    <row r="44556" spans="2:2" s="221" customFormat="1" ht="12.75" x14ac:dyDescent="0.2">
      <c r="B44556" s="1168"/>
    </row>
    <row r="44557" spans="2:2" s="221" customFormat="1" ht="12.75" x14ac:dyDescent="0.2">
      <c r="B44557" s="1168"/>
    </row>
    <row r="44558" spans="2:2" s="221" customFormat="1" ht="12.75" x14ac:dyDescent="0.2">
      <c r="B44558" s="1168"/>
    </row>
    <row r="44559" spans="2:2" s="221" customFormat="1" ht="12.75" x14ac:dyDescent="0.2">
      <c r="B44559" s="1168"/>
    </row>
    <row r="44560" spans="2:2" s="221" customFormat="1" ht="12.75" x14ac:dyDescent="0.2">
      <c r="B44560" s="1168"/>
    </row>
    <row r="44561" spans="2:2" s="221" customFormat="1" ht="12.75" x14ac:dyDescent="0.2">
      <c r="B44561" s="1168"/>
    </row>
    <row r="44562" spans="2:2" s="221" customFormat="1" ht="12.75" x14ac:dyDescent="0.2">
      <c r="B44562" s="1168"/>
    </row>
    <row r="44563" spans="2:2" s="221" customFormat="1" ht="12.75" x14ac:dyDescent="0.2">
      <c r="B44563" s="1168"/>
    </row>
    <row r="44564" spans="2:2" s="221" customFormat="1" ht="12.75" x14ac:dyDescent="0.2">
      <c r="B44564" s="1168"/>
    </row>
    <row r="44565" spans="2:2" s="221" customFormat="1" ht="12.75" x14ac:dyDescent="0.2">
      <c r="B44565" s="1168"/>
    </row>
    <row r="44566" spans="2:2" s="221" customFormat="1" ht="12.75" x14ac:dyDescent="0.2">
      <c r="B44566" s="1168"/>
    </row>
    <row r="44567" spans="2:2" s="221" customFormat="1" ht="12.75" x14ac:dyDescent="0.2">
      <c r="B44567" s="1168"/>
    </row>
    <row r="44568" spans="2:2" s="221" customFormat="1" ht="12.75" x14ac:dyDescent="0.2">
      <c r="B44568" s="1168"/>
    </row>
    <row r="44569" spans="2:2" s="221" customFormat="1" ht="12.75" x14ac:dyDescent="0.2">
      <c r="B44569" s="1168"/>
    </row>
    <row r="44570" spans="2:2" s="221" customFormat="1" ht="12.75" x14ac:dyDescent="0.2">
      <c r="B44570" s="1168"/>
    </row>
    <row r="44571" spans="2:2" s="221" customFormat="1" ht="12.75" x14ac:dyDescent="0.2">
      <c r="B44571" s="1168"/>
    </row>
    <row r="44572" spans="2:2" s="221" customFormat="1" ht="12.75" x14ac:dyDescent="0.2">
      <c r="B44572" s="1168"/>
    </row>
    <row r="44573" spans="2:2" s="221" customFormat="1" ht="12.75" x14ac:dyDescent="0.2">
      <c r="B44573" s="1168"/>
    </row>
    <row r="44574" spans="2:2" s="221" customFormat="1" ht="12.75" x14ac:dyDescent="0.2">
      <c r="B44574" s="1168"/>
    </row>
    <row r="44575" spans="2:2" s="221" customFormat="1" ht="12.75" x14ac:dyDescent="0.2">
      <c r="B44575" s="1168"/>
    </row>
    <row r="44576" spans="2:2" s="221" customFormat="1" ht="12.75" x14ac:dyDescent="0.2">
      <c r="B44576" s="1168"/>
    </row>
    <row r="44577" spans="2:2" s="221" customFormat="1" ht="12.75" x14ac:dyDescent="0.2">
      <c r="B44577" s="1168"/>
    </row>
    <row r="44578" spans="2:2" s="221" customFormat="1" ht="12.75" x14ac:dyDescent="0.2">
      <c r="B44578" s="1168"/>
    </row>
    <row r="44579" spans="2:2" s="221" customFormat="1" ht="12.75" x14ac:dyDescent="0.2">
      <c r="B44579" s="1168"/>
    </row>
    <row r="44580" spans="2:2" s="221" customFormat="1" ht="12.75" x14ac:dyDescent="0.2">
      <c r="B44580" s="1168"/>
    </row>
    <row r="44581" spans="2:2" s="221" customFormat="1" ht="12.75" x14ac:dyDescent="0.2">
      <c r="B44581" s="1168"/>
    </row>
    <row r="44582" spans="2:2" s="221" customFormat="1" ht="12.75" x14ac:dyDescent="0.2">
      <c r="B44582" s="1168"/>
    </row>
    <row r="44583" spans="2:2" s="221" customFormat="1" ht="12.75" x14ac:dyDescent="0.2">
      <c r="B44583" s="1168"/>
    </row>
    <row r="44584" spans="2:2" s="221" customFormat="1" ht="12.75" x14ac:dyDescent="0.2">
      <c r="B44584" s="1168"/>
    </row>
    <row r="44585" spans="2:2" s="221" customFormat="1" ht="12.75" x14ac:dyDescent="0.2">
      <c r="B44585" s="1168"/>
    </row>
    <row r="44586" spans="2:2" s="221" customFormat="1" ht="12.75" x14ac:dyDescent="0.2">
      <c r="B44586" s="1168"/>
    </row>
    <row r="44587" spans="2:2" s="221" customFormat="1" ht="12.75" x14ac:dyDescent="0.2">
      <c r="B44587" s="1168"/>
    </row>
    <row r="44588" spans="2:2" s="221" customFormat="1" ht="12.75" x14ac:dyDescent="0.2">
      <c r="B44588" s="1168"/>
    </row>
    <row r="44589" spans="2:2" s="221" customFormat="1" ht="12.75" x14ac:dyDescent="0.2">
      <c r="B44589" s="1168"/>
    </row>
    <row r="44590" spans="2:2" s="221" customFormat="1" ht="12.75" x14ac:dyDescent="0.2">
      <c r="B44590" s="1168"/>
    </row>
    <row r="44591" spans="2:2" s="221" customFormat="1" ht="12.75" x14ac:dyDescent="0.2">
      <c r="B44591" s="1168"/>
    </row>
    <row r="44592" spans="2:2" s="221" customFormat="1" ht="12.75" x14ac:dyDescent="0.2">
      <c r="B44592" s="1168"/>
    </row>
    <row r="44593" spans="2:2" s="221" customFormat="1" ht="12.75" x14ac:dyDescent="0.2">
      <c r="B44593" s="1168"/>
    </row>
    <row r="44594" spans="2:2" s="221" customFormat="1" ht="12.75" x14ac:dyDescent="0.2">
      <c r="B44594" s="1168"/>
    </row>
    <row r="44595" spans="2:2" s="221" customFormat="1" ht="12.75" x14ac:dyDescent="0.2">
      <c r="B44595" s="1168"/>
    </row>
    <row r="44596" spans="2:2" s="221" customFormat="1" ht="12.75" x14ac:dyDescent="0.2">
      <c r="B44596" s="1168"/>
    </row>
    <row r="44597" spans="2:2" s="221" customFormat="1" ht="12.75" x14ac:dyDescent="0.2">
      <c r="B44597" s="1168"/>
    </row>
    <row r="44598" spans="2:2" s="221" customFormat="1" ht="12.75" x14ac:dyDescent="0.2">
      <c r="B44598" s="1168"/>
    </row>
    <row r="44599" spans="2:2" s="221" customFormat="1" ht="12.75" x14ac:dyDescent="0.2">
      <c r="B44599" s="1168"/>
    </row>
    <row r="44600" spans="2:2" s="221" customFormat="1" ht="12.75" x14ac:dyDescent="0.2">
      <c r="B44600" s="1168"/>
    </row>
    <row r="44601" spans="2:2" s="221" customFormat="1" ht="12.75" x14ac:dyDescent="0.2">
      <c r="B44601" s="1168"/>
    </row>
    <row r="44602" spans="2:2" s="221" customFormat="1" ht="12.75" x14ac:dyDescent="0.2">
      <c r="B44602" s="1168"/>
    </row>
    <row r="44603" spans="2:2" s="221" customFormat="1" ht="12.75" x14ac:dyDescent="0.2">
      <c r="B44603" s="1168"/>
    </row>
    <row r="44604" spans="2:2" s="221" customFormat="1" ht="12.75" x14ac:dyDescent="0.2">
      <c r="B44604" s="1168"/>
    </row>
    <row r="44605" spans="2:2" s="221" customFormat="1" ht="12.75" x14ac:dyDescent="0.2">
      <c r="B44605" s="1168"/>
    </row>
    <row r="44606" spans="2:2" s="221" customFormat="1" ht="12.75" x14ac:dyDescent="0.2">
      <c r="B44606" s="1168"/>
    </row>
    <row r="44607" spans="2:2" s="221" customFormat="1" ht="12.75" x14ac:dyDescent="0.2">
      <c r="B44607" s="1168"/>
    </row>
    <row r="44608" spans="2:2" s="221" customFormat="1" ht="12.75" x14ac:dyDescent="0.2">
      <c r="B44608" s="1168"/>
    </row>
    <row r="44609" spans="2:2" s="221" customFormat="1" ht="12.75" x14ac:dyDescent="0.2">
      <c r="B44609" s="1168"/>
    </row>
    <row r="44610" spans="2:2" s="221" customFormat="1" ht="12.75" x14ac:dyDescent="0.2">
      <c r="B44610" s="1168"/>
    </row>
    <row r="44611" spans="2:2" s="221" customFormat="1" ht="12.75" x14ac:dyDescent="0.2">
      <c r="B44611" s="1168"/>
    </row>
    <row r="44612" spans="2:2" s="221" customFormat="1" ht="12.75" x14ac:dyDescent="0.2">
      <c r="B44612" s="1168"/>
    </row>
    <row r="44613" spans="2:2" s="221" customFormat="1" ht="12.75" x14ac:dyDescent="0.2">
      <c r="B44613" s="1168"/>
    </row>
    <row r="44614" spans="2:2" s="221" customFormat="1" ht="12.75" x14ac:dyDescent="0.2">
      <c r="B44614" s="1168"/>
    </row>
    <row r="44615" spans="2:2" s="221" customFormat="1" ht="12.75" x14ac:dyDescent="0.2">
      <c r="B44615" s="1168"/>
    </row>
    <row r="44616" spans="2:2" s="221" customFormat="1" ht="12.75" x14ac:dyDescent="0.2">
      <c r="B44616" s="1168"/>
    </row>
    <row r="44617" spans="2:2" s="221" customFormat="1" ht="12.75" x14ac:dyDescent="0.2">
      <c r="B44617" s="1168"/>
    </row>
    <row r="44618" spans="2:2" s="221" customFormat="1" ht="12.75" x14ac:dyDescent="0.2">
      <c r="B44618" s="1168"/>
    </row>
    <row r="44619" spans="2:2" s="221" customFormat="1" ht="12.75" x14ac:dyDescent="0.2">
      <c r="B44619" s="1168"/>
    </row>
    <row r="44620" spans="2:2" s="221" customFormat="1" ht="12.75" x14ac:dyDescent="0.2">
      <c r="B44620" s="1168"/>
    </row>
    <row r="44621" spans="2:2" s="221" customFormat="1" ht="12.75" x14ac:dyDescent="0.2">
      <c r="B44621" s="1168"/>
    </row>
    <row r="44622" spans="2:2" s="221" customFormat="1" ht="12.75" x14ac:dyDescent="0.2">
      <c r="B44622" s="1168"/>
    </row>
    <row r="44623" spans="2:2" s="221" customFormat="1" ht="12.75" x14ac:dyDescent="0.2">
      <c r="B44623" s="1168"/>
    </row>
    <row r="44624" spans="2:2" s="221" customFormat="1" ht="12.75" x14ac:dyDescent="0.2">
      <c r="B44624" s="1168"/>
    </row>
    <row r="44625" spans="2:2" s="221" customFormat="1" ht="12.75" x14ac:dyDescent="0.2">
      <c r="B44625" s="1168"/>
    </row>
    <row r="44626" spans="2:2" s="221" customFormat="1" ht="12.75" x14ac:dyDescent="0.2">
      <c r="B44626" s="1168"/>
    </row>
    <row r="44627" spans="2:2" s="221" customFormat="1" ht="12.75" x14ac:dyDescent="0.2">
      <c r="B44627" s="1168"/>
    </row>
    <row r="44628" spans="2:2" s="221" customFormat="1" ht="12.75" x14ac:dyDescent="0.2">
      <c r="B44628" s="1168"/>
    </row>
    <row r="44629" spans="2:2" s="221" customFormat="1" ht="12.75" x14ac:dyDescent="0.2">
      <c r="B44629" s="1168"/>
    </row>
    <row r="44630" spans="2:2" s="221" customFormat="1" ht="12.75" x14ac:dyDescent="0.2">
      <c r="B44630" s="1168"/>
    </row>
    <row r="44631" spans="2:2" s="221" customFormat="1" ht="12.75" x14ac:dyDescent="0.2">
      <c r="B44631" s="1168"/>
    </row>
    <row r="44632" spans="2:2" s="221" customFormat="1" ht="12.75" x14ac:dyDescent="0.2">
      <c r="B44632" s="1168"/>
    </row>
    <row r="44633" spans="2:2" s="221" customFormat="1" ht="12.75" x14ac:dyDescent="0.2">
      <c r="B44633" s="1168"/>
    </row>
    <row r="44634" spans="2:2" s="221" customFormat="1" ht="12.75" x14ac:dyDescent="0.2">
      <c r="B44634" s="1168"/>
    </row>
    <row r="44635" spans="2:2" s="221" customFormat="1" ht="12.75" x14ac:dyDescent="0.2">
      <c r="B44635" s="1168"/>
    </row>
    <row r="44636" spans="2:2" s="221" customFormat="1" ht="12.75" x14ac:dyDescent="0.2">
      <c r="B44636" s="1168"/>
    </row>
    <row r="44637" spans="2:2" s="221" customFormat="1" ht="12.75" x14ac:dyDescent="0.2">
      <c r="B44637" s="1168"/>
    </row>
    <row r="44638" spans="2:2" s="221" customFormat="1" ht="12.75" x14ac:dyDescent="0.2">
      <c r="B44638" s="1168"/>
    </row>
    <row r="44639" spans="2:2" s="221" customFormat="1" ht="12.75" x14ac:dyDescent="0.2">
      <c r="B44639" s="1168"/>
    </row>
    <row r="44640" spans="2:2" s="221" customFormat="1" ht="12.75" x14ac:dyDescent="0.2">
      <c r="B44640" s="1168"/>
    </row>
    <row r="44641" spans="2:2" s="221" customFormat="1" ht="12.75" x14ac:dyDescent="0.2">
      <c r="B44641" s="1168"/>
    </row>
    <row r="44642" spans="2:2" s="221" customFormat="1" ht="12.75" x14ac:dyDescent="0.2">
      <c r="B44642" s="1168"/>
    </row>
    <row r="44643" spans="2:2" s="221" customFormat="1" ht="12.75" x14ac:dyDescent="0.2">
      <c r="B44643" s="1168"/>
    </row>
    <row r="44644" spans="2:2" s="221" customFormat="1" ht="12.75" x14ac:dyDescent="0.2">
      <c r="B44644" s="1168"/>
    </row>
    <row r="44645" spans="2:2" s="221" customFormat="1" ht="12.75" x14ac:dyDescent="0.2">
      <c r="B44645" s="1168"/>
    </row>
    <row r="44646" spans="2:2" s="221" customFormat="1" ht="12.75" x14ac:dyDescent="0.2">
      <c r="B44646" s="1168"/>
    </row>
    <row r="44647" spans="2:2" s="221" customFormat="1" ht="12.75" x14ac:dyDescent="0.2">
      <c r="B44647" s="1168"/>
    </row>
    <row r="44648" spans="2:2" s="221" customFormat="1" ht="12.75" x14ac:dyDescent="0.2">
      <c r="B44648" s="1168"/>
    </row>
    <row r="44649" spans="2:2" s="221" customFormat="1" ht="12.75" x14ac:dyDescent="0.2">
      <c r="B44649" s="1168"/>
    </row>
    <row r="44650" spans="2:2" s="221" customFormat="1" ht="12.75" x14ac:dyDescent="0.2">
      <c r="B44650" s="1168"/>
    </row>
    <row r="44651" spans="2:2" s="221" customFormat="1" ht="12.75" x14ac:dyDescent="0.2">
      <c r="B44651" s="1168"/>
    </row>
    <row r="44652" spans="2:2" s="221" customFormat="1" ht="12.75" x14ac:dyDescent="0.2">
      <c r="B44652" s="1168"/>
    </row>
    <row r="44653" spans="2:2" s="221" customFormat="1" ht="12.75" x14ac:dyDescent="0.2">
      <c r="B44653" s="1168"/>
    </row>
    <row r="44654" spans="2:2" s="221" customFormat="1" ht="12.75" x14ac:dyDescent="0.2">
      <c r="B44654" s="1168"/>
    </row>
    <row r="44655" spans="2:2" s="221" customFormat="1" ht="12.75" x14ac:dyDescent="0.2">
      <c r="B44655" s="1168"/>
    </row>
    <row r="44656" spans="2:2" s="221" customFormat="1" ht="12.75" x14ac:dyDescent="0.2">
      <c r="B44656" s="1168"/>
    </row>
    <row r="44657" spans="2:2" s="221" customFormat="1" ht="12.75" x14ac:dyDescent="0.2">
      <c r="B44657" s="1168"/>
    </row>
    <row r="44658" spans="2:2" s="221" customFormat="1" ht="12.75" x14ac:dyDescent="0.2">
      <c r="B44658" s="1168"/>
    </row>
    <row r="44659" spans="2:2" s="221" customFormat="1" ht="12.75" x14ac:dyDescent="0.2">
      <c r="B44659" s="1168"/>
    </row>
    <row r="44660" spans="2:2" s="221" customFormat="1" ht="12.75" x14ac:dyDescent="0.2">
      <c r="B44660" s="1168"/>
    </row>
    <row r="44661" spans="2:2" s="221" customFormat="1" ht="12.75" x14ac:dyDescent="0.2">
      <c r="B44661" s="1168"/>
    </row>
    <row r="44662" spans="2:2" s="221" customFormat="1" ht="12.75" x14ac:dyDescent="0.2">
      <c r="B44662" s="1168"/>
    </row>
    <row r="44663" spans="2:2" s="221" customFormat="1" ht="12.75" x14ac:dyDescent="0.2">
      <c r="B44663" s="1168"/>
    </row>
    <row r="44664" spans="2:2" s="221" customFormat="1" ht="12.75" x14ac:dyDescent="0.2">
      <c r="B44664" s="1168"/>
    </row>
    <row r="44665" spans="2:2" s="221" customFormat="1" ht="12.75" x14ac:dyDescent="0.2">
      <c r="B44665" s="1168"/>
    </row>
    <row r="44666" spans="2:2" s="221" customFormat="1" ht="12.75" x14ac:dyDescent="0.2">
      <c r="B44666" s="1168"/>
    </row>
    <row r="44667" spans="2:2" s="221" customFormat="1" ht="12.75" x14ac:dyDescent="0.2">
      <c r="B44667" s="1168"/>
    </row>
    <row r="44668" spans="2:2" s="221" customFormat="1" ht="12.75" x14ac:dyDescent="0.2">
      <c r="B44668" s="1168"/>
    </row>
    <row r="44669" spans="2:2" s="221" customFormat="1" ht="12.75" x14ac:dyDescent="0.2">
      <c r="B44669" s="1168"/>
    </row>
    <row r="44670" spans="2:2" s="221" customFormat="1" ht="12.75" x14ac:dyDescent="0.2">
      <c r="B44670" s="1168"/>
    </row>
    <row r="44671" spans="2:2" s="221" customFormat="1" ht="12.75" x14ac:dyDescent="0.2">
      <c r="B44671" s="1168"/>
    </row>
    <row r="44672" spans="2:2" s="221" customFormat="1" ht="12.75" x14ac:dyDescent="0.2">
      <c r="B44672" s="1168"/>
    </row>
    <row r="44673" spans="2:2" s="221" customFormat="1" ht="12.75" x14ac:dyDescent="0.2">
      <c r="B44673" s="1168"/>
    </row>
    <row r="44674" spans="2:2" s="221" customFormat="1" ht="12.75" x14ac:dyDescent="0.2">
      <c r="B44674" s="1168"/>
    </row>
    <row r="44675" spans="2:2" s="221" customFormat="1" ht="12.75" x14ac:dyDescent="0.2">
      <c r="B44675" s="1168"/>
    </row>
    <row r="44676" spans="2:2" s="221" customFormat="1" ht="12.75" x14ac:dyDescent="0.2">
      <c r="B44676" s="1168"/>
    </row>
    <row r="44677" spans="2:2" s="221" customFormat="1" ht="12.75" x14ac:dyDescent="0.2">
      <c r="B44677" s="1168"/>
    </row>
    <row r="44678" spans="2:2" s="221" customFormat="1" ht="12.75" x14ac:dyDescent="0.2">
      <c r="B44678" s="1168"/>
    </row>
    <row r="44679" spans="2:2" s="221" customFormat="1" ht="12.75" x14ac:dyDescent="0.2">
      <c r="B44679" s="1168"/>
    </row>
    <row r="44680" spans="2:2" s="221" customFormat="1" ht="12.75" x14ac:dyDescent="0.2">
      <c r="B44680" s="1168"/>
    </row>
    <row r="44681" spans="2:2" s="221" customFormat="1" ht="12.75" x14ac:dyDescent="0.2">
      <c r="B44681" s="1168"/>
    </row>
    <row r="44682" spans="2:2" s="221" customFormat="1" ht="12.75" x14ac:dyDescent="0.2">
      <c r="B44682" s="1168"/>
    </row>
    <row r="44683" spans="2:2" s="221" customFormat="1" ht="12.75" x14ac:dyDescent="0.2">
      <c r="B44683" s="1168"/>
    </row>
    <row r="44684" spans="2:2" s="221" customFormat="1" ht="12.75" x14ac:dyDescent="0.2">
      <c r="B44684" s="1168"/>
    </row>
    <row r="44685" spans="2:2" s="221" customFormat="1" ht="12.75" x14ac:dyDescent="0.2">
      <c r="B44685" s="1168"/>
    </row>
    <row r="44686" spans="2:2" s="221" customFormat="1" ht="12.75" x14ac:dyDescent="0.2">
      <c r="B44686" s="1168"/>
    </row>
    <row r="44687" spans="2:2" s="221" customFormat="1" ht="12.75" x14ac:dyDescent="0.2">
      <c r="B44687" s="1168"/>
    </row>
    <row r="44688" spans="2:2" s="221" customFormat="1" ht="12.75" x14ac:dyDescent="0.2">
      <c r="B44688" s="1168"/>
    </row>
    <row r="44689" spans="2:2" s="221" customFormat="1" ht="12.75" x14ac:dyDescent="0.2">
      <c r="B44689" s="1168"/>
    </row>
    <row r="44690" spans="2:2" s="221" customFormat="1" ht="12.75" x14ac:dyDescent="0.2">
      <c r="B44690" s="1168"/>
    </row>
    <row r="44691" spans="2:2" s="221" customFormat="1" ht="12.75" x14ac:dyDescent="0.2">
      <c r="B44691" s="1168"/>
    </row>
    <row r="44692" spans="2:2" s="221" customFormat="1" ht="12.75" x14ac:dyDescent="0.2">
      <c r="B44692" s="1168"/>
    </row>
    <row r="44693" spans="2:2" s="221" customFormat="1" ht="12.75" x14ac:dyDescent="0.2">
      <c r="B44693" s="1168"/>
    </row>
    <row r="44694" spans="2:2" s="221" customFormat="1" ht="12.75" x14ac:dyDescent="0.2">
      <c r="B44694" s="1168"/>
    </row>
    <row r="44695" spans="2:2" s="221" customFormat="1" ht="12.75" x14ac:dyDescent="0.2">
      <c r="B44695" s="1168"/>
    </row>
    <row r="44696" spans="2:2" s="221" customFormat="1" ht="12.75" x14ac:dyDescent="0.2">
      <c r="B44696" s="1168"/>
    </row>
    <row r="44697" spans="2:2" s="221" customFormat="1" ht="12.75" x14ac:dyDescent="0.2">
      <c r="B44697" s="1168"/>
    </row>
    <row r="44698" spans="2:2" s="221" customFormat="1" ht="12.75" x14ac:dyDescent="0.2">
      <c r="B44698" s="1168"/>
    </row>
    <row r="44699" spans="2:2" s="221" customFormat="1" ht="12.75" x14ac:dyDescent="0.2">
      <c r="B44699" s="1168"/>
    </row>
    <row r="44700" spans="2:2" s="221" customFormat="1" ht="12.75" x14ac:dyDescent="0.2">
      <c r="B44700" s="1168"/>
    </row>
    <row r="44701" spans="2:2" s="221" customFormat="1" ht="12.75" x14ac:dyDescent="0.2">
      <c r="B44701" s="1168"/>
    </row>
    <row r="44702" spans="2:2" s="221" customFormat="1" ht="12.75" x14ac:dyDescent="0.2">
      <c r="B44702" s="1168"/>
    </row>
    <row r="44703" spans="2:2" s="221" customFormat="1" ht="12.75" x14ac:dyDescent="0.2">
      <c r="B44703" s="1168"/>
    </row>
    <row r="44704" spans="2:2" s="221" customFormat="1" ht="12.75" x14ac:dyDescent="0.2">
      <c r="B44704" s="1168"/>
    </row>
    <row r="44705" spans="2:2" s="221" customFormat="1" ht="12.75" x14ac:dyDescent="0.2">
      <c r="B44705" s="1168"/>
    </row>
    <row r="44706" spans="2:2" s="221" customFormat="1" ht="12.75" x14ac:dyDescent="0.2">
      <c r="B44706" s="1168"/>
    </row>
    <row r="44707" spans="2:2" s="221" customFormat="1" ht="12.75" x14ac:dyDescent="0.2">
      <c r="B44707" s="1168"/>
    </row>
    <row r="44708" spans="2:2" s="221" customFormat="1" ht="12.75" x14ac:dyDescent="0.2">
      <c r="B44708" s="1168"/>
    </row>
    <row r="44709" spans="2:2" s="221" customFormat="1" ht="12.75" x14ac:dyDescent="0.2">
      <c r="B44709" s="1168"/>
    </row>
    <row r="44710" spans="2:2" s="221" customFormat="1" ht="12.75" x14ac:dyDescent="0.2">
      <c r="B44710" s="1168"/>
    </row>
    <row r="44711" spans="2:2" s="221" customFormat="1" ht="12.75" x14ac:dyDescent="0.2">
      <c r="B44711" s="1168"/>
    </row>
    <row r="44712" spans="2:2" s="221" customFormat="1" ht="12.75" x14ac:dyDescent="0.2">
      <c r="B44712" s="1168"/>
    </row>
    <row r="44713" spans="2:2" s="221" customFormat="1" ht="12.75" x14ac:dyDescent="0.2">
      <c r="B44713" s="1168"/>
    </row>
    <row r="44714" spans="2:2" s="221" customFormat="1" ht="12.75" x14ac:dyDescent="0.2">
      <c r="B44714" s="1168"/>
    </row>
    <row r="44715" spans="2:2" s="221" customFormat="1" ht="12.75" x14ac:dyDescent="0.2">
      <c r="B44715" s="1168"/>
    </row>
    <row r="44716" spans="2:2" s="221" customFormat="1" ht="12.75" x14ac:dyDescent="0.2">
      <c r="B44716" s="1168"/>
    </row>
    <row r="44717" spans="2:2" s="221" customFormat="1" ht="12.75" x14ac:dyDescent="0.2">
      <c r="B44717" s="1168"/>
    </row>
    <row r="44718" spans="2:2" s="221" customFormat="1" ht="12.75" x14ac:dyDescent="0.2">
      <c r="B44718" s="1168"/>
    </row>
    <row r="44719" spans="2:2" s="221" customFormat="1" ht="12.75" x14ac:dyDescent="0.2">
      <c r="B44719" s="1168"/>
    </row>
    <row r="44720" spans="2:2" s="221" customFormat="1" ht="12.75" x14ac:dyDescent="0.2">
      <c r="B44720" s="1168"/>
    </row>
    <row r="44721" spans="2:2" s="221" customFormat="1" ht="12.75" x14ac:dyDescent="0.2">
      <c r="B44721" s="1168"/>
    </row>
    <row r="44722" spans="2:2" s="221" customFormat="1" ht="12.75" x14ac:dyDescent="0.2">
      <c r="B44722" s="1168"/>
    </row>
    <row r="44723" spans="2:2" s="221" customFormat="1" ht="12.75" x14ac:dyDescent="0.2">
      <c r="B44723" s="1168"/>
    </row>
    <row r="44724" spans="2:2" s="221" customFormat="1" ht="12.75" x14ac:dyDescent="0.2">
      <c r="B44724" s="1168"/>
    </row>
    <row r="44725" spans="2:2" s="221" customFormat="1" ht="12.75" x14ac:dyDescent="0.2">
      <c r="B44725" s="1168"/>
    </row>
    <row r="44726" spans="2:2" s="221" customFormat="1" ht="12.75" x14ac:dyDescent="0.2">
      <c r="B44726" s="1168"/>
    </row>
    <row r="44727" spans="2:2" s="221" customFormat="1" ht="12.75" x14ac:dyDescent="0.2">
      <c r="B44727" s="1168"/>
    </row>
    <row r="44728" spans="2:2" s="221" customFormat="1" ht="12.75" x14ac:dyDescent="0.2">
      <c r="B44728" s="1168"/>
    </row>
    <row r="44729" spans="2:2" s="221" customFormat="1" ht="12.75" x14ac:dyDescent="0.2">
      <c r="B44729" s="1168"/>
    </row>
    <row r="44730" spans="2:2" s="221" customFormat="1" ht="12.75" x14ac:dyDescent="0.2">
      <c r="B44730" s="1168"/>
    </row>
    <row r="44731" spans="2:2" s="221" customFormat="1" ht="12.75" x14ac:dyDescent="0.2">
      <c r="B44731" s="1168"/>
    </row>
    <row r="44732" spans="2:2" s="221" customFormat="1" ht="12.75" x14ac:dyDescent="0.2">
      <c r="B44732" s="1168"/>
    </row>
    <row r="44733" spans="2:2" s="221" customFormat="1" ht="12.75" x14ac:dyDescent="0.2">
      <c r="B44733" s="1168"/>
    </row>
    <row r="44734" spans="2:2" s="221" customFormat="1" ht="12.75" x14ac:dyDescent="0.2">
      <c r="B44734" s="1168"/>
    </row>
    <row r="44735" spans="2:2" s="221" customFormat="1" ht="12.75" x14ac:dyDescent="0.2">
      <c r="B44735" s="1168"/>
    </row>
    <row r="44736" spans="2:2" s="221" customFormat="1" ht="12.75" x14ac:dyDescent="0.2">
      <c r="B44736" s="1168"/>
    </row>
    <row r="44737" spans="2:2" s="221" customFormat="1" ht="12.75" x14ac:dyDescent="0.2">
      <c r="B44737" s="1168"/>
    </row>
    <row r="44738" spans="2:2" s="221" customFormat="1" ht="12.75" x14ac:dyDescent="0.2">
      <c r="B44738" s="1168"/>
    </row>
    <row r="44739" spans="2:2" s="221" customFormat="1" ht="12.75" x14ac:dyDescent="0.2">
      <c r="B44739" s="1168"/>
    </row>
    <row r="44740" spans="2:2" s="221" customFormat="1" ht="12.75" x14ac:dyDescent="0.2">
      <c r="B44740" s="1168"/>
    </row>
    <row r="44741" spans="2:2" s="221" customFormat="1" ht="12.75" x14ac:dyDescent="0.2">
      <c r="B44741" s="1168"/>
    </row>
    <row r="44742" spans="2:2" s="221" customFormat="1" ht="12.75" x14ac:dyDescent="0.2">
      <c r="B44742" s="1168"/>
    </row>
    <row r="44743" spans="2:2" s="221" customFormat="1" ht="12.75" x14ac:dyDescent="0.2">
      <c r="B44743" s="1168"/>
    </row>
    <row r="44744" spans="2:2" s="221" customFormat="1" ht="12.75" x14ac:dyDescent="0.2">
      <c r="B44744" s="1168"/>
    </row>
    <row r="44745" spans="2:2" s="221" customFormat="1" ht="12.75" x14ac:dyDescent="0.2">
      <c r="B44745" s="1168"/>
    </row>
    <row r="44746" spans="2:2" s="221" customFormat="1" ht="12.75" x14ac:dyDescent="0.2">
      <c r="B44746" s="1168"/>
    </row>
    <row r="44747" spans="2:2" s="221" customFormat="1" ht="12.75" x14ac:dyDescent="0.2">
      <c r="B44747" s="1168"/>
    </row>
    <row r="44748" spans="2:2" s="221" customFormat="1" ht="12.75" x14ac:dyDescent="0.2">
      <c r="B44748" s="1168"/>
    </row>
    <row r="44749" spans="2:2" s="221" customFormat="1" ht="12.75" x14ac:dyDescent="0.2">
      <c r="B44749" s="1168"/>
    </row>
    <row r="44750" spans="2:2" s="221" customFormat="1" ht="12.75" x14ac:dyDescent="0.2">
      <c r="B44750" s="1168"/>
    </row>
    <row r="44751" spans="2:2" s="221" customFormat="1" ht="12.75" x14ac:dyDescent="0.2">
      <c r="B44751" s="1168"/>
    </row>
    <row r="44752" spans="2:2" s="221" customFormat="1" ht="12.75" x14ac:dyDescent="0.2">
      <c r="B44752" s="1168"/>
    </row>
    <row r="44753" spans="2:2" s="221" customFormat="1" ht="12.75" x14ac:dyDescent="0.2">
      <c r="B44753" s="1168"/>
    </row>
    <row r="44754" spans="2:2" s="221" customFormat="1" ht="12.75" x14ac:dyDescent="0.2">
      <c r="B44754" s="1168"/>
    </row>
    <row r="44755" spans="2:2" s="221" customFormat="1" ht="12.75" x14ac:dyDescent="0.2">
      <c r="B44755" s="1168"/>
    </row>
    <row r="44756" spans="2:2" s="221" customFormat="1" ht="12.75" x14ac:dyDescent="0.2">
      <c r="B44756" s="1168"/>
    </row>
    <row r="44757" spans="2:2" s="221" customFormat="1" ht="12.75" x14ac:dyDescent="0.2">
      <c r="B44757" s="1168"/>
    </row>
    <row r="44758" spans="2:2" s="221" customFormat="1" ht="12.75" x14ac:dyDescent="0.2">
      <c r="B44758" s="1168"/>
    </row>
    <row r="44759" spans="2:2" s="221" customFormat="1" ht="12.75" x14ac:dyDescent="0.2">
      <c r="B44759" s="1168"/>
    </row>
    <row r="44760" spans="2:2" s="221" customFormat="1" ht="12.75" x14ac:dyDescent="0.2">
      <c r="B44760" s="1168"/>
    </row>
    <row r="44761" spans="2:2" s="221" customFormat="1" ht="12.75" x14ac:dyDescent="0.2">
      <c r="B44761" s="1168"/>
    </row>
    <row r="44762" spans="2:2" s="221" customFormat="1" ht="12.75" x14ac:dyDescent="0.2">
      <c r="B44762" s="1168"/>
    </row>
    <row r="44763" spans="2:2" s="221" customFormat="1" ht="12.75" x14ac:dyDescent="0.2">
      <c r="B44763" s="1168"/>
    </row>
    <row r="44764" spans="2:2" s="221" customFormat="1" ht="12.75" x14ac:dyDescent="0.2">
      <c r="B44764" s="1168"/>
    </row>
    <row r="44765" spans="2:2" s="221" customFormat="1" ht="12.75" x14ac:dyDescent="0.2">
      <c r="B44765" s="1168"/>
    </row>
    <row r="44766" spans="2:2" s="221" customFormat="1" ht="12.75" x14ac:dyDescent="0.2">
      <c r="B44766" s="1168"/>
    </row>
    <row r="44767" spans="2:2" s="221" customFormat="1" ht="12.75" x14ac:dyDescent="0.2">
      <c r="B44767" s="1168"/>
    </row>
    <row r="44768" spans="2:2" s="221" customFormat="1" ht="12.75" x14ac:dyDescent="0.2">
      <c r="B44768" s="1168"/>
    </row>
    <row r="44769" spans="2:2" s="221" customFormat="1" ht="12.75" x14ac:dyDescent="0.2">
      <c r="B44769" s="1168"/>
    </row>
    <row r="44770" spans="2:2" s="221" customFormat="1" ht="12.75" x14ac:dyDescent="0.2">
      <c r="B44770" s="1168"/>
    </row>
    <row r="44771" spans="2:2" s="221" customFormat="1" ht="12.75" x14ac:dyDescent="0.2">
      <c r="B44771" s="1168"/>
    </row>
    <row r="44772" spans="2:2" s="221" customFormat="1" ht="12.75" x14ac:dyDescent="0.2">
      <c r="B44772" s="1168"/>
    </row>
    <row r="44773" spans="2:2" s="221" customFormat="1" ht="12.75" x14ac:dyDescent="0.2">
      <c r="B44773" s="1168"/>
    </row>
    <row r="44774" spans="2:2" s="221" customFormat="1" ht="12.75" x14ac:dyDescent="0.2">
      <c r="B44774" s="1168"/>
    </row>
    <row r="44775" spans="2:2" s="221" customFormat="1" ht="12.75" x14ac:dyDescent="0.2">
      <c r="B44775" s="1168"/>
    </row>
    <row r="44776" spans="2:2" s="221" customFormat="1" ht="12.75" x14ac:dyDescent="0.2">
      <c r="B44776" s="1168"/>
    </row>
    <row r="44777" spans="2:2" s="221" customFormat="1" ht="12.75" x14ac:dyDescent="0.2">
      <c r="B44777" s="1168"/>
    </row>
    <row r="44778" spans="2:2" s="221" customFormat="1" ht="12.75" x14ac:dyDescent="0.2">
      <c r="B44778" s="1168"/>
    </row>
    <row r="44779" spans="2:2" s="221" customFormat="1" ht="12.75" x14ac:dyDescent="0.2">
      <c r="B44779" s="1168"/>
    </row>
    <row r="44780" spans="2:2" s="221" customFormat="1" ht="12.75" x14ac:dyDescent="0.2">
      <c r="B44780" s="1168"/>
    </row>
    <row r="44781" spans="2:2" s="221" customFormat="1" ht="12.75" x14ac:dyDescent="0.2">
      <c r="B44781" s="1168"/>
    </row>
    <row r="44782" spans="2:2" s="221" customFormat="1" ht="12.75" x14ac:dyDescent="0.2">
      <c r="B44782" s="1168"/>
    </row>
    <row r="44783" spans="2:2" s="221" customFormat="1" ht="12.75" x14ac:dyDescent="0.2">
      <c r="B44783" s="1168"/>
    </row>
    <row r="44784" spans="2:2" s="221" customFormat="1" ht="12.75" x14ac:dyDescent="0.2">
      <c r="B44784" s="1168"/>
    </row>
    <row r="44785" spans="2:2" s="221" customFormat="1" ht="12.75" x14ac:dyDescent="0.2">
      <c r="B44785" s="1168"/>
    </row>
    <row r="44786" spans="2:2" s="221" customFormat="1" ht="12.75" x14ac:dyDescent="0.2">
      <c r="B44786" s="1168"/>
    </row>
    <row r="44787" spans="2:2" s="221" customFormat="1" ht="12.75" x14ac:dyDescent="0.2">
      <c r="B44787" s="1168"/>
    </row>
    <row r="44788" spans="2:2" s="221" customFormat="1" ht="12.75" x14ac:dyDescent="0.2">
      <c r="B44788" s="1168"/>
    </row>
    <row r="44789" spans="2:2" s="221" customFormat="1" ht="12.75" x14ac:dyDescent="0.2">
      <c r="B44789" s="1168"/>
    </row>
    <row r="44790" spans="2:2" s="221" customFormat="1" ht="12.75" x14ac:dyDescent="0.2">
      <c r="B44790" s="1168"/>
    </row>
    <row r="44791" spans="2:2" s="221" customFormat="1" ht="12.75" x14ac:dyDescent="0.2">
      <c r="B44791" s="1168"/>
    </row>
    <row r="44792" spans="2:2" s="221" customFormat="1" ht="12.75" x14ac:dyDescent="0.2">
      <c r="B44792" s="1168"/>
    </row>
    <row r="44793" spans="2:2" s="221" customFormat="1" ht="12.75" x14ac:dyDescent="0.2">
      <c r="B44793" s="1168"/>
    </row>
    <row r="44794" spans="2:2" s="221" customFormat="1" ht="12.75" x14ac:dyDescent="0.2">
      <c r="B44794" s="1168"/>
    </row>
    <row r="44795" spans="2:2" s="221" customFormat="1" ht="12.75" x14ac:dyDescent="0.2">
      <c r="B44795" s="1168"/>
    </row>
    <row r="44796" spans="2:2" s="221" customFormat="1" ht="12.75" x14ac:dyDescent="0.2">
      <c r="B44796" s="1168"/>
    </row>
    <row r="44797" spans="2:2" s="221" customFormat="1" ht="12.75" x14ac:dyDescent="0.2">
      <c r="B44797" s="1168"/>
    </row>
    <row r="44798" spans="2:2" s="221" customFormat="1" ht="12.75" x14ac:dyDescent="0.2">
      <c r="B44798" s="1168"/>
    </row>
    <row r="44799" spans="2:2" s="221" customFormat="1" ht="12.75" x14ac:dyDescent="0.2">
      <c r="B44799" s="1168"/>
    </row>
    <row r="44800" spans="2:2" s="221" customFormat="1" ht="12.75" x14ac:dyDescent="0.2">
      <c r="B44800" s="1168"/>
    </row>
    <row r="44801" spans="2:2" s="221" customFormat="1" ht="12.75" x14ac:dyDescent="0.2">
      <c r="B44801" s="1168"/>
    </row>
    <row r="44802" spans="2:2" s="221" customFormat="1" ht="12.75" x14ac:dyDescent="0.2">
      <c r="B44802" s="1168"/>
    </row>
    <row r="44803" spans="2:2" s="221" customFormat="1" ht="12.75" x14ac:dyDescent="0.2">
      <c r="B44803" s="1168"/>
    </row>
    <row r="44804" spans="2:2" s="221" customFormat="1" ht="12.75" x14ac:dyDescent="0.2">
      <c r="B44804" s="1168"/>
    </row>
    <row r="44805" spans="2:2" s="221" customFormat="1" ht="12.75" x14ac:dyDescent="0.2">
      <c r="B44805" s="1168"/>
    </row>
    <row r="44806" spans="2:2" s="221" customFormat="1" ht="12.75" x14ac:dyDescent="0.2">
      <c r="B44806" s="1168"/>
    </row>
    <row r="44807" spans="2:2" s="221" customFormat="1" ht="12.75" x14ac:dyDescent="0.2">
      <c r="B44807" s="1168"/>
    </row>
    <row r="44808" spans="2:2" s="221" customFormat="1" ht="12.75" x14ac:dyDescent="0.2">
      <c r="B44808" s="1168"/>
    </row>
    <row r="44809" spans="2:2" s="221" customFormat="1" ht="12.75" x14ac:dyDescent="0.2">
      <c r="B44809" s="1168"/>
    </row>
    <row r="44810" spans="2:2" s="221" customFormat="1" ht="12.75" x14ac:dyDescent="0.2">
      <c r="B44810" s="1168"/>
    </row>
    <row r="44811" spans="2:2" s="221" customFormat="1" ht="12.75" x14ac:dyDescent="0.2">
      <c r="B44811" s="1168"/>
    </row>
    <row r="44812" spans="2:2" s="221" customFormat="1" ht="12.75" x14ac:dyDescent="0.2">
      <c r="B44812" s="1168"/>
    </row>
    <row r="44813" spans="2:2" s="221" customFormat="1" ht="12.75" x14ac:dyDescent="0.2">
      <c r="B44813" s="1168"/>
    </row>
    <row r="44814" spans="2:2" s="221" customFormat="1" ht="12.75" x14ac:dyDescent="0.2">
      <c r="B44814" s="1168"/>
    </row>
    <row r="44815" spans="2:2" s="221" customFormat="1" ht="12.75" x14ac:dyDescent="0.2">
      <c r="B44815" s="1168"/>
    </row>
    <row r="44816" spans="2:2" s="221" customFormat="1" ht="12.75" x14ac:dyDescent="0.2">
      <c r="B44816" s="1168"/>
    </row>
    <row r="44817" spans="2:2" s="221" customFormat="1" ht="12.75" x14ac:dyDescent="0.2">
      <c r="B44817" s="1168"/>
    </row>
    <row r="44818" spans="2:2" s="221" customFormat="1" ht="12.75" x14ac:dyDescent="0.2">
      <c r="B44818" s="1168"/>
    </row>
    <row r="44819" spans="2:2" s="221" customFormat="1" ht="12.75" x14ac:dyDescent="0.2">
      <c r="B44819" s="1168"/>
    </row>
    <row r="44820" spans="2:2" s="221" customFormat="1" ht="12.75" x14ac:dyDescent="0.2">
      <c r="B44820" s="1168"/>
    </row>
    <row r="44821" spans="2:2" s="221" customFormat="1" ht="12.75" x14ac:dyDescent="0.2">
      <c r="B44821" s="1168"/>
    </row>
    <row r="44822" spans="2:2" s="221" customFormat="1" ht="12.75" x14ac:dyDescent="0.2">
      <c r="B44822" s="1168"/>
    </row>
    <row r="44823" spans="2:2" s="221" customFormat="1" ht="12.75" x14ac:dyDescent="0.2">
      <c r="B44823" s="1168"/>
    </row>
    <row r="44824" spans="2:2" s="221" customFormat="1" ht="12.75" x14ac:dyDescent="0.2">
      <c r="B44824" s="1168"/>
    </row>
    <row r="44825" spans="2:2" s="221" customFormat="1" ht="12.75" x14ac:dyDescent="0.2">
      <c r="B44825" s="1168"/>
    </row>
    <row r="44826" spans="2:2" s="221" customFormat="1" ht="12.75" x14ac:dyDescent="0.2">
      <c r="B44826" s="1168"/>
    </row>
    <row r="44827" spans="2:2" s="221" customFormat="1" ht="12.75" x14ac:dyDescent="0.2">
      <c r="B44827" s="1168"/>
    </row>
    <row r="44828" spans="2:2" s="221" customFormat="1" ht="12.75" x14ac:dyDescent="0.2">
      <c r="B44828" s="1168"/>
    </row>
    <row r="44829" spans="2:2" s="221" customFormat="1" ht="12.75" x14ac:dyDescent="0.2">
      <c r="B44829" s="1168"/>
    </row>
    <row r="44830" spans="2:2" s="221" customFormat="1" ht="12.75" x14ac:dyDescent="0.2">
      <c r="B44830" s="1168"/>
    </row>
    <row r="44831" spans="2:2" s="221" customFormat="1" ht="12.75" x14ac:dyDescent="0.2">
      <c r="B44831" s="1168"/>
    </row>
    <row r="44832" spans="2:2" s="221" customFormat="1" ht="12.75" x14ac:dyDescent="0.2">
      <c r="B44832" s="1168"/>
    </row>
    <row r="44833" spans="2:2" s="221" customFormat="1" ht="12.75" x14ac:dyDescent="0.2">
      <c r="B44833" s="1168"/>
    </row>
    <row r="44834" spans="2:2" s="221" customFormat="1" ht="12.75" x14ac:dyDescent="0.2">
      <c r="B44834" s="1168"/>
    </row>
    <row r="44835" spans="2:2" s="221" customFormat="1" ht="12.75" x14ac:dyDescent="0.2">
      <c r="B44835" s="1168"/>
    </row>
    <row r="44836" spans="2:2" s="221" customFormat="1" ht="12.75" x14ac:dyDescent="0.2">
      <c r="B44836" s="1168"/>
    </row>
    <row r="44837" spans="2:2" s="221" customFormat="1" ht="12.75" x14ac:dyDescent="0.2">
      <c r="B44837" s="1168"/>
    </row>
    <row r="44838" spans="2:2" s="221" customFormat="1" ht="12.75" x14ac:dyDescent="0.2">
      <c r="B44838" s="1168"/>
    </row>
    <row r="44839" spans="2:2" s="221" customFormat="1" ht="12.75" x14ac:dyDescent="0.2">
      <c r="B44839" s="1168"/>
    </row>
    <row r="44840" spans="2:2" s="221" customFormat="1" ht="12.75" x14ac:dyDescent="0.2">
      <c r="B44840" s="1168"/>
    </row>
    <row r="44841" spans="2:2" s="221" customFormat="1" ht="12.75" x14ac:dyDescent="0.2">
      <c r="B44841" s="1168"/>
    </row>
    <row r="44842" spans="2:2" s="221" customFormat="1" ht="12.75" x14ac:dyDescent="0.2">
      <c r="B44842" s="1168"/>
    </row>
    <row r="44843" spans="2:2" s="221" customFormat="1" ht="12.75" x14ac:dyDescent="0.2">
      <c r="B44843" s="1168"/>
    </row>
    <row r="44844" spans="2:2" s="221" customFormat="1" ht="12.75" x14ac:dyDescent="0.2">
      <c r="B44844" s="1168"/>
    </row>
    <row r="44845" spans="2:2" s="221" customFormat="1" ht="12.75" x14ac:dyDescent="0.2">
      <c r="B44845" s="1168"/>
    </row>
    <row r="44846" spans="2:2" s="221" customFormat="1" ht="12.75" x14ac:dyDescent="0.2">
      <c r="B44846" s="1168"/>
    </row>
    <row r="44847" spans="2:2" s="221" customFormat="1" ht="12.75" x14ac:dyDescent="0.2">
      <c r="B44847" s="1168"/>
    </row>
    <row r="44848" spans="2:2" s="221" customFormat="1" ht="12.75" x14ac:dyDescent="0.2">
      <c r="B44848" s="1168"/>
    </row>
    <row r="44849" spans="2:2" s="221" customFormat="1" ht="12.75" x14ac:dyDescent="0.2">
      <c r="B44849" s="1168"/>
    </row>
    <row r="44850" spans="2:2" s="221" customFormat="1" ht="12.75" x14ac:dyDescent="0.2">
      <c r="B44850" s="1168"/>
    </row>
    <row r="44851" spans="2:2" s="221" customFormat="1" ht="12.75" x14ac:dyDescent="0.2">
      <c r="B44851" s="1168"/>
    </row>
    <row r="44852" spans="2:2" s="221" customFormat="1" ht="12.75" x14ac:dyDescent="0.2">
      <c r="B44852" s="1168"/>
    </row>
    <row r="44853" spans="2:2" s="221" customFormat="1" ht="12.75" x14ac:dyDescent="0.2">
      <c r="B44853" s="1168"/>
    </row>
    <row r="44854" spans="2:2" s="221" customFormat="1" ht="12.75" x14ac:dyDescent="0.2">
      <c r="B44854" s="1168"/>
    </row>
    <row r="44855" spans="2:2" s="221" customFormat="1" ht="12.75" x14ac:dyDescent="0.2">
      <c r="B44855" s="1168"/>
    </row>
    <row r="44856" spans="2:2" s="221" customFormat="1" ht="12.75" x14ac:dyDescent="0.2">
      <c r="B44856" s="1168"/>
    </row>
    <row r="44857" spans="2:2" s="221" customFormat="1" ht="12.75" x14ac:dyDescent="0.2">
      <c r="B44857" s="1168"/>
    </row>
    <row r="44858" spans="2:2" s="221" customFormat="1" ht="12.75" x14ac:dyDescent="0.2">
      <c r="B44858" s="1168"/>
    </row>
    <row r="44859" spans="2:2" s="221" customFormat="1" ht="12.75" x14ac:dyDescent="0.2">
      <c r="B44859" s="1168"/>
    </row>
    <row r="44860" spans="2:2" s="221" customFormat="1" ht="12.75" x14ac:dyDescent="0.2">
      <c r="B44860" s="1168"/>
    </row>
    <row r="44861" spans="2:2" s="221" customFormat="1" ht="12.75" x14ac:dyDescent="0.2">
      <c r="B44861" s="1168"/>
    </row>
    <row r="44862" spans="2:2" s="221" customFormat="1" ht="12.75" x14ac:dyDescent="0.2">
      <c r="B44862" s="1168"/>
    </row>
    <row r="44863" spans="2:2" s="221" customFormat="1" ht="12.75" x14ac:dyDescent="0.2">
      <c r="B44863" s="1168"/>
    </row>
    <row r="44864" spans="2:2" s="221" customFormat="1" ht="12.75" x14ac:dyDescent="0.2">
      <c r="B44864" s="1168"/>
    </row>
    <row r="44865" spans="2:2" s="221" customFormat="1" ht="12.75" x14ac:dyDescent="0.2">
      <c r="B44865" s="1168"/>
    </row>
    <row r="44866" spans="2:2" s="221" customFormat="1" ht="12.75" x14ac:dyDescent="0.2">
      <c r="B44866" s="1168"/>
    </row>
    <row r="44867" spans="2:2" s="221" customFormat="1" ht="12.75" x14ac:dyDescent="0.2">
      <c r="B44867" s="1168"/>
    </row>
    <row r="44868" spans="2:2" s="221" customFormat="1" ht="12.75" x14ac:dyDescent="0.2">
      <c r="B44868" s="1168"/>
    </row>
    <row r="44869" spans="2:2" s="221" customFormat="1" ht="12.75" x14ac:dyDescent="0.2">
      <c r="B44869" s="1168"/>
    </row>
    <row r="44870" spans="2:2" s="221" customFormat="1" ht="12.75" x14ac:dyDescent="0.2">
      <c r="B44870" s="1168"/>
    </row>
    <row r="44871" spans="2:2" s="221" customFormat="1" ht="12.75" x14ac:dyDescent="0.2">
      <c r="B44871" s="1168"/>
    </row>
    <row r="44872" spans="2:2" s="221" customFormat="1" ht="12.75" x14ac:dyDescent="0.2">
      <c r="B44872" s="1168"/>
    </row>
    <row r="44873" spans="2:2" s="221" customFormat="1" ht="12.75" x14ac:dyDescent="0.2">
      <c r="B44873" s="1168"/>
    </row>
    <row r="44874" spans="2:2" s="221" customFormat="1" ht="12.75" x14ac:dyDescent="0.2">
      <c r="B44874" s="1168"/>
    </row>
    <row r="44875" spans="2:2" s="221" customFormat="1" ht="12.75" x14ac:dyDescent="0.2">
      <c r="B44875" s="1168"/>
    </row>
    <row r="44876" spans="2:2" s="221" customFormat="1" ht="12.75" x14ac:dyDescent="0.2">
      <c r="B44876" s="1168"/>
    </row>
    <row r="44877" spans="2:2" s="221" customFormat="1" ht="12.75" x14ac:dyDescent="0.2">
      <c r="B44877" s="1168"/>
    </row>
    <row r="44878" spans="2:2" s="221" customFormat="1" ht="12.75" x14ac:dyDescent="0.2">
      <c r="B44878" s="1168"/>
    </row>
    <row r="44879" spans="2:2" s="221" customFormat="1" ht="12.75" x14ac:dyDescent="0.2">
      <c r="B44879" s="1168"/>
    </row>
    <row r="44880" spans="2:2" s="221" customFormat="1" ht="12.75" x14ac:dyDescent="0.2">
      <c r="B44880" s="1168"/>
    </row>
    <row r="44881" spans="2:2" s="221" customFormat="1" ht="12.75" x14ac:dyDescent="0.2">
      <c r="B44881" s="1168"/>
    </row>
    <row r="44882" spans="2:2" s="221" customFormat="1" ht="12.75" x14ac:dyDescent="0.2">
      <c r="B44882" s="1168"/>
    </row>
    <row r="44883" spans="2:2" s="221" customFormat="1" ht="12.75" x14ac:dyDescent="0.2">
      <c r="B44883" s="1168"/>
    </row>
    <row r="44884" spans="2:2" s="221" customFormat="1" ht="12.75" x14ac:dyDescent="0.2">
      <c r="B44884" s="1168"/>
    </row>
    <row r="44885" spans="2:2" s="221" customFormat="1" ht="12.75" x14ac:dyDescent="0.2">
      <c r="B44885" s="1168"/>
    </row>
    <row r="44886" spans="2:2" s="221" customFormat="1" ht="12.75" x14ac:dyDescent="0.2">
      <c r="B44886" s="1168"/>
    </row>
    <row r="44887" spans="2:2" s="221" customFormat="1" ht="12.75" x14ac:dyDescent="0.2">
      <c r="B44887" s="1168"/>
    </row>
    <row r="44888" spans="2:2" s="221" customFormat="1" ht="12.75" x14ac:dyDescent="0.2">
      <c r="B44888" s="1168"/>
    </row>
    <row r="44889" spans="2:2" s="221" customFormat="1" ht="12.75" x14ac:dyDescent="0.2">
      <c r="B44889" s="1168"/>
    </row>
    <row r="44890" spans="2:2" s="221" customFormat="1" ht="12.75" x14ac:dyDescent="0.2">
      <c r="B44890" s="1168"/>
    </row>
    <row r="44891" spans="2:2" s="221" customFormat="1" ht="12.75" x14ac:dyDescent="0.2">
      <c r="B44891" s="1168"/>
    </row>
    <row r="44892" spans="2:2" s="221" customFormat="1" ht="12.75" x14ac:dyDescent="0.2">
      <c r="B44892" s="1168"/>
    </row>
    <row r="44893" spans="2:2" s="221" customFormat="1" ht="12.75" x14ac:dyDescent="0.2">
      <c r="B44893" s="1168"/>
    </row>
    <row r="44894" spans="2:2" s="221" customFormat="1" ht="12.75" x14ac:dyDescent="0.2">
      <c r="B44894" s="1168"/>
    </row>
    <row r="44895" spans="2:2" s="221" customFormat="1" ht="12.75" x14ac:dyDescent="0.2">
      <c r="B44895" s="1168"/>
    </row>
    <row r="44896" spans="2:2" s="221" customFormat="1" ht="12.75" x14ac:dyDescent="0.2">
      <c r="B44896" s="1168"/>
    </row>
    <row r="44897" spans="2:2" s="221" customFormat="1" ht="12.75" x14ac:dyDescent="0.2">
      <c r="B44897" s="1168"/>
    </row>
    <row r="44898" spans="2:2" s="221" customFormat="1" ht="12.75" x14ac:dyDescent="0.2">
      <c r="B44898" s="1168"/>
    </row>
    <row r="44899" spans="2:2" s="221" customFormat="1" ht="12.75" x14ac:dyDescent="0.2">
      <c r="B44899" s="1168"/>
    </row>
    <row r="44900" spans="2:2" s="221" customFormat="1" ht="12.75" x14ac:dyDescent="0.2">
      <c r="B44900" s="1168"/>
    </row>
    <row r="44901" spans="2:2" s="221" customFormat="1" ht="12.75" x14ac:dyDescent="0.2">
      <c r="B44901" s="1168"/>
    </row>
    <row r="44902" spans="2:2" s="221" customFormat="1" ht="12.75" x14ac:dyDescent="0.2">
      <c r="B44902" s="1168"/>
    </row>
    <row r="44903" spans="2:2" s="221" customFormat="1" ht="12.75" x14ac:dyDescent="0.2">
      <c r="B44903" s="1168"/>
    </row>
    <row r="44904" spans="2:2" s="221" customFormat="1" ht="12.75" x14ac:dyDescent="0.2">
      <c r="B44904" s="1168"/>
    </row>
    <row r="44905" spans="2:2" s="221" customFormat="1" ht="12.75" x14ac:dyDescent="0.2">
      <c r="B44905" s="1168"/>
    </row>
    <row r="44906" spans="2:2" s="221" customFormat="1" ht="12.75" x14ac:dyDescent="0.2">
      <c r="B44906" s="1168"/>
    </row>
    <row r="44907" spans="2:2" s="221" customFormat="1" ht="12.75" x14ac:dyDescent="0.2">
      <c r="B44907" s="1168"/>
    </row>
    <row r="44908" spans="2:2" s="221" customFormat="1" ht="12.75" x14ac:dyDescent="0.2">
      <c r="B44908" s="1168"/>
    </row>
    <row r="44909" spans="2:2" s="221" customFormat="1" ht="12.75" x14ac:dyDescent="0.2">
      <c r="B44909" s="1168"/>
    </row>
    <row r="44910" spans="2:2" s="221" customFormat="1" ht="12.75" x14ac:dyDescent="0.2">
      <c r="B44910" s="1168"/>
    </row>
    <row r="44911" spans="2:2" s="221" customFormat="1" ht="12.75" x14ac:dyDescent="0.2">
      <c r="B44911" s="1168"/>
    </row>
    <row r="44912" spans="2:2" s="221" customFormat="1" ht="12.75" x14ac:dyDescent="0.2">
      <c r="B44912" s="1168"/>
    </row>
    <row r="44913" spans="2:2" s="221" customFormat="1" ht="12.75" x14ac:dyDescent="0.2">
      <c r="B44913" s="1168"/>
    </row>
    <row r="44914" spans="2:2" s="221" customFormat="1" ht="12.75" x14ac:dyDescent="0.2">
      <c r="B44914" s="1168"/>
    </row>
    <row r="44915" spans="2:2" s="221" customFormat="1" ht="12.75" x14ac:dyDescent="0.2">
      <c r="B44915" s="1168"/>
    </row>
    <row r="44916" spans="2:2" s="221" customFormat="1" ht="12.75" x14ac:dyDescent="0.2">
      <c r="B44916" s="1168"/>
    </row>
    <row r="44917" spans="2:2" s="221" customFormat="1" ht="12.75" x14ac:dyDescent="0.2">
      <c r="B44917" s="1168"/>
    </row>
    <row r="44918" spans="2:2" s="221" customFormat="1" ht="12.75" x14ac:dyDescent="0.2">
      <c r="B44918" s="1168"/>
    </row>
    <row r="44919" spans="2:2" s="221" customFormat="1" ht="12.75" x14ac:dyDescent="0.2">
      <c r="B44919" s="1168"/>
    </row>
    <row r="44920" spans="2:2" s="221" customFormat="1" ht="12.75" x14ac:dyDescent="0.2">
      <c r="B44920" s="1168"/>
    </row>
    <row r="44921" spans="2:2" s="221" customFormat="1" ht="12.75" x14ac:dyDescent="0.2">
      <c r="B44921" s="1168"/>
    </row>
    <row r="44922" spans="2:2" s="221" customFormat="1" ht="12.75" x14ac:dyDescent="0.2">
      <c r="B44922" s="1168"/>
    </row>
    <row r="44923" spans="2:2" s="221" customFormat="1" ht="12.75" x14ac:dyDescent="0.2">
      <c r="B44923" s="1168"/>
    </row>
    <row r="44924" spans="2:2" s="221" customFormat="1" ht="12.75" x14ac:dyDescent="0.2">
      <c r="B44924" s="1168"/>
    </row>
    <row r="44925" spans="2:2" s="221" customFormat="1" ht="12.75" x14ac:dyDescent="0.2">
      <c r="B44925" s="1168"/>
    </row>
    <row r="44926" spans="2:2" s="221" customFormat="1" ht="12.75" x14ac:dyDescent="0.2">
      <c r="B44926" s="1168"/>
    </row>
    <row r="44927" spans="2:2" s="221" customFormat="1" ht="12.75" x14ac:dyDescent="0.2">
      <c r="B44927" s="1168"/>
    </row>
    <row r="44928" spans="2:2" s="221" customFormat="1" ht="12.75" x14ac:dyDescent="0.2">
      <c r="B44928" s="1168"/>
    </row>
    <row r="44929" spans="2:2" s="221" customFormat="1" ht="12.75" x14ac:dyDescent="0.2">
      <c r="B44929" s="1168"/>
    </row>
    <row r="44930" spans="2:2" s="221" customFormat="1" ht="12.75" x14ac:dyDescent="0.2">
      <c r="B44930" s="1168"/>
    </row>
    <row r="44931" spans="2:2" s="221" customFormat="1" ht="12.75" x14ac:dyDescent="0.2">
      <c r="B44931" s="1168"/>
    </row>
    <row r="44932" spans="2:2" s="221" customFormat="1" ht="12.75" x14ac:dyDescent="0.2">
      <c r="B44932" s="1168"/>
    </row>
    <row r="44933" spans="2:2" s="221" customFormat="1" ht="12.75" x14ac:dyDescent="0.2">
      <c r="B44933" s="1168"/>
    </row>
    <row r="44934" spans="2:2" s="221" customFormat="1" ht="12.75" x14ac:dyDescent="0.2">
      <c r="B44934" s="1168"/>
    </row>
    <row r="44935" spans="2:2" s="221" customFormat="1" ht="12.75" x14ac:dyDescent="0.2">
      <c r="B44935" s="1168"/>
    </row>
    <row r="44936" spans="2:2" s="221" customFormat="1" ht="12.75" x14ac:dyDescent="0.2">
      <c r="B44936" s="1168"/>
    </row>
    <row r="44937" spans="2:2" s="221" customFormat="1" ht="12.75" x14ac:dyDescent="0.2">
      <c r="B44937" s="1168"/>
    </row>
    <row r="44938" spans="2:2" s="221" customFormat="1" ht="12.75" x14ac:dyDescent="0.2">
      <c r="B44938" s="1168"/>
    </row>
    <row r="44939" spans="2:2" s="221" customFormat="1" ht="12.75" x14ac:dyDescent="0.2">
      <c r="B44939" s="1168"/>
    </row>
    <row r="44940" spans="2:2" s="221" customFormat="1" ht="12.75" x14ac:dyDescent="0.2">
      <c r="B44940" s="1168"/>
    </row>
    <row r="44941" spans="2:2" s="221" customFormat="1" ht="12.75" x14ac:dyDescent="0.2">
      <c r="B44941" s="1168"/>
    </row>
    <row r="44942" spans="2:2" s="221" customFormat="1" ht="12.75" x14ac:dyDescent="0.2">
      <c r="B44942" s="1168"/>
    </row>
    <row r="44943" spans="2:2" s="221" customFormat="1" ht="12.75" x14ac:dyDescent="0.2">
      <c r="B44943" s="1168"/>
    </row>
    <row r="44944" spans="2:2" s="221" customFormat="1" ht="12.75" x14ac:dyDescent="0.2">
      <c r="B44944" s="1168"/>
    </row>
    <row r="44945" spans="2:2" s="221" customFormat="1" ht="12.75" x14ac:dyDescent="0.2">
      <c r="B44945" s="1168"/>
    </row>
    <row r="44946" spans="2:2" s="221" customFormat="1" ht="12.75" x14ac:dyDescent="0.2">
      <c r="B44946" s="1168"/>
    </row>
    <row r="44947" spans="2:2" s="221" customFormat="1" ht="12.75" x14ac:dyDescent="0.2">
      <c r="B44947" s="1168"/>
    </row>
    <row r="44948" spans="2:2" s="221" customFormat="1" ht="12.75" x14ac:dyDescent="0.2">
      <c r="B44948" s="1168"/>
    </row>
    <row r="44949" spans="2:2" s="221" customFormat="1" ht="12.75" x14ac:dyDescent="0.2">
      <c r="B44949" s="1168"/>
    </row>
    <row r="44950" spans="2:2" s="221" customFormat="1" ht="12.75" x14ac:dyDescent="0.2">
      <c r="B44950" s="1168"/>
    </row>
    <row r="44951" spans="2:2" s="221" customFormat="1" ht="12.75" x14ac:dyDescent="0.2">
      <c r="B44951" s="1168"/>
    </row>
    <row r="44952" spans="2:2" s="221" customFormat="1" ht="12.75" x14ac:dyDescent="0.2">
      <c r="B44952" s="1168"/>
    </row>
    <row r="44953" spans="2:2" s="221" customFormat="1" ht="12.75" x14ac:dyDescent="0.2">
      <c r="B44953" s="1168"/>
    </row>
    <row r="44954" spans="2:2" s="221" customFormat="1" ht="12.75" x14ac:dyDescent="0.2">
      <c r="B44954" s="1168"/>
    </row>
    <row r="44955" spans="2:2" s="221" customFormat="1" ht="12.75" x14ac:dyDescent="0.2">
      <c r="B44955" s="1168"/>
    </row>
    <row r="44956" spans="2:2" s="221" customFormat="1" ht="12.75" x14ac:dyDescent="0.2">
      <c r="B44956" s="1168"/>
    </row>
    <row r="44957" spans="2:2" s="221" customFormat="1" ht="12.75" x14ac:dyDescent="0.2">
      <c r="B44957" s="1168"/>
    </row>
    <row r="44958" spans="2:2" s="221" customFormat="1" ht="12.75" x14ac:dyDescent="0.2">
      <c r="B44958" s="1168"/>
    </row>
    <row r="44959" spans="2:2" s="221" customFormat="1" ht="12.75" x14ac:dyDescent="0.2">
      <c r="B44959" s="1168"/>
    </row>
    <row r="44960" spans="2:2" s="221" customFormat="1" ht="12.75" x14ac:dyDescent="0.2">
      <c r="B44960" s="1168"/>
    </row>
    <row r="44961" spans="2:2" s="221" customFormat="1" ht="12.75" x14ac:dyDescent="0.2">
      <c r="B44961" s="1168"/>
    </row>
    <row r="44962" spans="2:2" s="221" customFormat="1" ht="12.75" x14ac:dyDescent="0.2">
      <c r="B44962" s="1168"/>
    </row>
    <row r="44963" spans="2:2" s="221" customFormat="1" ht="12.75" x14ac:dyDescent="0.2">
      <c r="B44963" s="1168"/>
    </row>
    <row r="44964" spans="2:2" s="221" customFormat="1" ht="12.75" x14ac:dyDescent="0.2">
      <c r="B44964" s="1168"/>
    </row>
    <row r="44965" spans="2:2" s="221" customFormat="1" ht="12.75" x14ac:dyDescent="0.2">
      <c r="B44965" s="1168"/>
    </row>
    <row r="44966" spans="2:2" s="221" customFormat="1" ht="12.75" x14ac:dyDescent="0.2">
      <c r="B44966" s="1168"/>
    </row>
    <row r="44967" spans="2:2" s="221" customFormat="1" ht="12.75" x14ac:dyDescent="0.2">
      <c r="B44967" s="1168"/>
    </row>
    <row r="44968" spans="2:2" s="221" customFormat="1" ht="12.75" x14ac:dyDescent="0.2">
      <c r="B44968" s="1168"/>
    </row>
    <row r="44969" spans="2:2" s="221" customFormat="1" ht="12.75" x14ac:dyDescent="0.2">
      <c r="B44969" s="1168"/>
    </row>
    <row r="44970" spans="2:2" s="221" customFormat="1" ht="12.75" x14ac:dyDescent="0.2">
      <c r="B44970" s="1168"/>
    </row>
    <row r="44971" spans="2:2" s="221" customFormat="1" ht="12.75" x14ac:dyDescent="0.2">
      <c r="B44971" s="1168"/>
    </row>
    <row r="44972" spans="2:2" s="221" customFormat="1" ht="12.75" x14ac:dyDescent="0.2">
      <c r="B44972" s="1168"/>
    </row>
    <row r="44973" spans="2:2" s="221" customFormat="1" ht="12.75" x14ac:dyDescent="0.2">
      <c r="B44973" s="1168"/>
    </row>
    <row r="44974" spans="2:2" s="221" customFormat="1" ht="12.75" x14ac:dyDescent="0.2">
      <c r="B44974" s="1168"/>
    </row>
    <row r="44975" spans="2:2" s="221" customFormat="1" ht="12.75" x14ac:dyDescent="0.2">
      <c r="B44975" s="1168"/>
    </row>
    <row r="44976" spans="2:2" s="221" customFormat="1" ht="12.75" x14ac:dyDescent="0.2">
      <c r="B44976" s="1168"/>
    </row>
    <row r="44977" spans="2:2" s="221" customFormat="1" ht="12.75" x14ac:dyDescent="0.2">
      <c r="B44977" s="1168"/>
    </row>
    <row r="44978" spans="2:2" s="221" customFormat="1" ht="12.75" x14ac:dyDescent="0.2">
      <c r="B44978" s="1168"/>
    </row>
    <row r="44979" spans="2:2" s="221" customFormat="1" ht="12.75" x14ac:dyDescent="0.2">
      <c r="B44979" s="1168"/>
    </row>
    <row r="44980" spans="2:2" s="221" customFormat="1" ht="12.75" x14ac:dyDescent="0.2">
      <c r="B44980" s="1168"/>
    </row>
    <row r="44981" spans="2:2" s="221" customFormat="1" ht="12.75" x14ac:dyDescent="0.2">
      <c r="B44981" s="1168"/>
    </row>
    <row r="44982" spans="2:2" s="221" customFormat="1" ht="12.75" x14ac:dyDescent="0.2">
      <c r="B44982" s="1168"/>
    </row>
    <row r="44983" spans="2:2" s="221" customFormat="1" ht="12.75" x14ac:dyDescent="0.2">
      <c r="B44983" s="1168"/>
    </row>
    <row r="44984" spans="2:2" s="221" customFormat="1" ht="12.75" x14ac:dyDescent="0.2">
      <c r="B44984" s="1168"/>
    </row>
    <row r="44985" spans="2:2" s="221" customFormat="1" ht="12.75" x14ac:dyDescent="0.2">
      <c r="B44985" s="1168"/>
    </row>
    <row r="44986" spans="2:2" s="221" customFormat="1" ht="12.75" x14ac:dyDescent="0.2">
      <c r="B44986" s="1168"/>
    </row>
    <row r="44987" spans="2:2" s="221" customFormat="1" ht="12.75" x14ac:dyDescent="0.2">
      <c r="B44987" s="1168"/>
    </row>
    <row r="44988" spans="2:2" s="221" customFormat="1" ht="12.75" x14ac:dyDescent="0.2">
      <c r="B44988" s="1168"/>
    </row>
    <row r="44989" spans="2:2" s="221" customFormat="1" ht="12.75" x14ac:dyDescent="0.2">
      <c r="B44989" s="1168"/>
    </row>
    <row r="44990" spans="2:2" s="221" customFormat="1" ht="12.75" x14ac:dyDescent="0.2">
      <c r="B44990" s="1168"/>
    </row>
    <row r="44991" spans="2:2" s="221" customFormat="1" ht="12.75" x14ac:dyDescent="0.2">
      <c r="B44991" s="1168"/>
    </row>
    <row r="44992" spans="2:2" s="221" customFormat="1" ht="12.75" x14ac:dyDescent="0.2">
      <c r="B44992" s="1168"/>
    </row>
    <row r="44993" spans="2:2" s="221" customFormat="1" ht="12.75" x14ac:dyDescent="0.2">
      <c r="B44993" s="1168"/>
    </row>
    <row r="44994" spans="2:2" s="221" customFormat="1" ht="12.75" x14ac:dyDescent="0.2">
      <c r="B44994" s="1168"/>
    </row>
    <row r="44995" spans="2:2" s="221" customFormat="1" ht="12.75" x14ac:dyDescent="0.2">
      <c r="B44995" s="1168"/>
    </row>
    <row r="44996" spans="2:2" s="221" customFormat="1" ht="12.75" x14ac:dyDescent="0.2">
      <c r="B44996" s="1168"/>
    </row>
    <row r="44997" spans="2:2" s="221" customFormat="1" ht="12.75" x14ac:dyDescent="0.2">
      <c r="B44997" s="1168"/>
    </row>
    <row r="44998" spans="2:2" s="221" customFormat="1" ht="12.75" x14ac:dyDescent="0.2">
      <c r="B44998" s="1168"/>
    </row>
    <row r="44999" spans="2:2" s="221" customFormat="1" ht="12.75" x14ac:dyDescent="0.2">
      <c r="B44999" s="1168"/>
    </row>
    <row r="45000" spans="2:2" s="221" customFormat="1" ht="12.75" x14ac:dyDescent="0.2">
      <c r="B45000" s="1168"/>
    </row>
    <row r="45001" spans="2:2" s="221" customFormat="1" ht="12.75" x14ac:dyDescent="0.2">
      <c r="B45001" s="1168"/>
    </row>
    <row r="45002" spans="2:2" s="221" customFormat="1" ht="12.75" x14ac:dyDescent="0.2">
      <c r="B45002" s="1168"/>
    </row>
    <row r="45003" spans="2:2" s="221" customFormat="1" ht="12.75" x14ac:dyDescent="0.2">
      <c r="B45003" s="1168"/>
    </row>
    <row r="45004" spans="2:2" s="221" customFormat="1" ht="12.75" x14ac:dyDescent="0.2">
      <c r="B45004" s="1168"/>
    </row>
    <row r="45005" spans="2:2" s="221" customFormat="1" ht="12.75" x14ac:dyDescent="0.2">
      <c r="B45005" s="1168"/>
    </row>
    <row r="45006" spans="2:2" s="221" customFormat="1" ht="12.75" x14ac:dyDescent="0.2">
      <c r="B45006" s="1168"/>
    </row>
    <row r="45007" spans="2:2" s="221" customFormat="1" ht="12.75" x14ac:dyDescent="0.2">
      <c r="B45007" s="1168"/>
    </row>
    <row r="45008" spans="2:2" s="221" customFormat="1" ht="12.75" x14ac:dyDescent="0.2">
      <c r="B45008" s="1168"/>
    </row>
    <row r="45009" spans="2:2" s="221" customFormat="1" ht="12.75" x14ac:dyDescent="0.2">
      <c r="B45009" s="1168"/>
    </row>
    <row r="45010" spans="2:2" s="221" customFormat="1" ht="12.75" x14ac:dyDescent="0.2">
      <c r="B45010" s="1168"/>
    </row>
    <row r="45011" spans="2:2" s="221" customFormat="1" ht="12.75" x14ac:dyDescent="0.2">
      <c r="B45011" s="1168"/>
    </row>
    <row r="45012" spans="2:2" s="221" customFormat="1" ht="12.75" x14ac:dyDescent="0.2">
      <c r="B45012" s="1168"/>
    </row>
    <row r="45013" spans="2:2" s="221" customFormat="1" ht="12.75" x14ac:dyDescent="0.2">
      <c r="B45013" s="1168"/>
    </row>
    <row r="45014" spans="2:2" s="221" customFormat="1" ht="12.75" x14ac:dyDescent="0.2">
      <c r="B45014" s="1168"/>
    </row>
    <row r="45015" spans="2:2" s="221" customFormat="1" ht="12.75" x14ac:dyDescent="0.2">
      <c r="B45015" s="1168"/>
    </row>
    <row r="45016" spans="2:2" s="221" customFormat="1" ht="12.75" x14ac:dyDescent="0.2">
      <c r="B45016" s="1168"/>
    </row>
    <row r="45017" spans="2:2" s="221" customFormat="1" ht="12.75" x14ac:dyDescent="0.2">
      <c r="B45017" s="1168"/>
    </row>
    <row r="45018" spans="2:2" s="221" customFormat="1" ht="12.75" x14ac:dyDescent="0.2">
      <c r="B45018" s="1168"/>
    </row>
    <row r="45019" spans="2:2" s="221" customFormat="1" ht="12.75" x14ac:dyDescent="0.2">
      <c r="B45019" s="1168"/>
    </row>
    <row r="45020" spans="2:2" s="221" customFormat="1" ht="12.75" x14ac:dyDescent="0.2">
      <c r="B45020" s="1168"/>
    </row>
    <row r="45021" spans="2:2" s="221" customFormat="1" ht="12.75" x14ac:dyDescent="0.2">
      <c r="B45021" s="1168"/>
    </row>
    <row r="45022" spans="2:2" s="221" customFormat="1" ht="12.75" x14ac:dyDescent="0.2">
      <c r="B45022" s="1168"/>
    </row>
    <row r="45023" spans="2:2" s="221" customFormat="1" ht="12.75" x14ac:dyDescent="0.2">
      <c r="B45023" s="1168"/>
    </row>
    <row r="45024" spans="2:2" s="221" customFormat="1" ht="12.75" x14ac:dyDescent="0.2">
      <c r="B45024" s="1168"/>
    </row>
    <row r="45025" spans="2:2" s="221" customFormat="1" ht="12.75" x14ac:dyDescent="0.2">
      <c r="B45025" s="1168"/>
    </row>
    <row r="45026" spans="2:2" s="221" customFormat="1" ht="12.75" x14ac:dyDescent="0.2">
      <c r="B45026" s="1168"/>
    </row>
    <row r="45027" spans="2:2" s="221" customFormat="1" ht="12.75" x14ac:dyDescent="0.2">
      <c r="B45027" s="1168"/>
    </row>
    <row r="45028" spans="2:2" s="221" customFormat="1" ht="12.75" x14ac:dyDescent="0.2">
      <c r="B45028" s="1168"/>
    </row>
    <row r="45029" spans="2:2" s="221" customFormat="1" ht="12.75" x14ac:dyDescent="0.2">
      <c r="B45029" s="1168"/>
    </row>
    <row r="45030" spans="2:2" s="221" customFormat="1" ht="12.75" x14ac:dyDescent="0.2">
      <c r="B45030" s="1168"/>
    </row>
    <row r="45031" spans="2:2" s="221" customFormat="1" ht="12.75" x14ac:dyDescent="0.2">
      <c r="B45031" s="1168"/>
    </row>
    <row r="45032" spans="2:2" s="221" customFormat="1" ht="12.75" x14ac:dyDescent="0.2">
      <c r="B45032" s="1168"/>
    </row>
    <row r="45033" spans="2:2" s="221" customFormat="1" ht="12.75" x14ac:dyDescent="0.2">
      <c r="B45033" s="1168"/>
    </row>
    <row r="45034" spans="2:2" s="221" customFormat="1" ht="12.75" x14ac:dyDescent="0.2">
      <c r="B45034" s="1168"/>
    </row>
    <row r="45035" spans="2:2" s="221" customFormat="1" ht="12.75" x14ac:dyDescent="0.2">
      <c r="B45035" s="1168"/>
    </row>
    <row r="45036" spans="2:2" s="221" customFormat="1" ht="12.75" x14ac:dyDescent="0.2">
      <c r="B45036" s="1168"/>
    </row>
    <row r="45037" spans="2:2" s="221" customFormat="1" ht="12.75" x14ac:dyDescent="0.2">
      <c r="B45037" s="1168"/>
    </row>
    <row r="45038" spans="2:2" s="221" customFormat="1" ht="12.75" x14ac:dyDescent="0.2">
      <c r="B45038" s="1168"/>
    </row>
    <row r="45039" spans="2:2" s="221" customFormat="1" ht="12.75" x14ac:dyDescent="0.2">
      <c r="B45039" s="1168"/>
    </row>
    <row r="45040" spans="2:2" s="221" customFormat="1" ht="12.75" x14ac:dyDescent="0.2">
      <c r="B45040" s="1168"/>
    </row>
    <row r="45041" spans="2:2" s="221" customFormat="1" ht="12.75" x14ac:dyDescent="0.2">
      <c r="B45041" s="1168"/>
    </row>
    <row r="45042" spans="2:2" s="221" customFormat="1" ht="12.75" x14ac:dyDescent="0.2">
      <c r="B45042" s="1168"/>
    </row>
    <row r="45043" spans="2:2" s="221" customFormat="1" ht="12.75" x14ac:dyDescent="0.2">
      <c r="B45043" s="1168"/>
    </row>
    <row r="45044" spans="2:2" s="221" customFormat="1" ht="12.75" x14ac:dyDescent="0.2">
      <c r="B45044" s="1168"/>
    </row>
    <row r="45045" spans="2:2" s="221" customFormat="1" ht="12.75" x14ac:dyDescent="0.2">
      <c r="B45045" s="1168"/>
    </row>
    <row r="45046" spans="2:2" s="221" customFormat="1" ht="12.75" x14ac:dyDescent="0.2">
      <c r="B45046" s="1168"/>
    </row>
    <row r="45047" spans="2:2" s="221" customFormat="1" ht="12.75" x14ac:dyDescent="0.2">
      <c r="B45047" s="1168"/>
    </row>
    <row r="45048" spans="2:2" s="221" customFormat="1" ht="12.75" x14ac:dyDescent="0.2">
      <c r="B45048" s="1168"/>
    </row>
    <row r="45049" spans="2:2" s="221" customFormat="1" ht="12.75" x14ac:dyDescent="0.2">
      <c r="B45049" s="1168"/>
    </row>
    <row r="45050" spans="2:2" s="221" customFormat="1" ht="12.75" x14ac:dyDescent="0.2">
      <c r="B45050" s="1168"/>
    </row>
    <row r="45051" spans="2:2" s="221" customFormat="1" ht="12.75" x14ac:dyDescent="0.2">
      <c r="B45051" s="1168"/>
    </row>
    <row r="45052" spans="2:2" s="221" customFormat="1" ht="12.75" x14ac:dyDescent="0.2">
      <c r="B45052" s="1168"/>
    </row>
    <row r="45053" spans="2:2" s="221" customFormat="1" ht="12.75" x14ac:dyDescent="0.2">
      <c r="B45053" s="1168"/>
    </row>
    <row r="45054" spans="2:2" s="221" customFormat="1" ht="12.75" x14ac:dyDescent="0.2">
      <c r="B45054" s="1168"/>
    </row>
    <row r="45055" spans="2:2" s="221" customFormat="1" ht="12.75" x14ac:dyDescent="0.2">
      <c r="B45055" s="1168"/>
    </row>
    <row r="45056" spans="2:2" s="221" customFormat="1" ht="12.75" x14ac:dyDescent="0.2">
      <c r="B45056" s="1168"/>
    </row>
    <row r="45057" spans="2:2" s="221" customFormat="1" ht="12.75" x14ac:dyDescent="0.2">
      <c r="B45057" s="1168"/>
    </row>
    <row r="45058" spans="2:2" s="221" customFormat="1" ht="12.75" x14ac:dyDescent="0.2">
      <c r="B45058" s="1168"/>
    </row>
    <row r="45059" spans="2:2" s="221" customFormat="1" ht="12.75" x14ac:dyDescent="0.2">
      <c r="B45059" s="1168"/>
    </row>
    <row r="45060" spans="2:2" s="221" customFormat="1" ht="12.75" x14ac:dyDescent="0.2">
      <c r="B45060" s="1168"/>
    </row>
    <row r="45061" spans="2:2" s="221" customFormat="1" ht="12.75" x14ac:dyDescent="0.2">
      <c r="B45061" s="1168"/>
    </row>
    <row r="45062" spans="2:2" s="221" customFormat="1" ht="12.75" x14ac:dyDescent="0.2">
      <c r="B45062" s="1168"/>
    </row>
    <row r="45063" spans="2:2" s="221" customFormat="1" ht="12.75" x14ac:dyDescent="0.2">
      <c r="B45063" s="1168"/>
    </row>
    <row r="45064" spans="2:2" s="221" customFormat="1" ht="12.75" x14ac:dyDescent="0.2">
      <c r="B45064" s="1168"/>
    </row>
    <row r="45065" spans="2:2" s="221" customFormat="1" ht="12.75" x14ac:dyDescent="0.2">
      <c r="B45065" s="1168"/>
    </row>
    <row r="45066" spans="2:2" s="221" customFormat="1" ht="12.75" x14ac:dyDescent="0.2">
      <c r="B45066" s="1168"/>
    </row>
    <row r="45067" spans="2:2" s="221" customFormat="1" ht="12.75" x14ac:dyDescent="0.2">
      <c r="B45067" s="1168"/>
    </row>
    <row r="45068" spans="2:2" s="221" customFormat="1" ht="12.75" x14ac:dyDescent="0.2">
      <c r="B45068" s="1168"/>
    </row>
    <row r="45069" spans="2:2" s="221" customFormat="1" ht="12.75" x14ac:dyDescent="0.2">
      <c r="B45069" s="1168"/>
    </row>
    <row r="45070" spans="2:2" s="221" customFormat="1" ht="12.75" x14ac:dyDescent="0.2">
      <c r="B45070" s="1168"/>
    </row>
    <row r="45071" spans="2:2" s="221" customFormat="1" ht="12.75" x14ac:dyDescent="0.2">
      <c r="B45071" s="1168"/>
    </row>
    <row r="45072" spans="2:2" s="221" customFormat="1" ht="12.75" x14ac:dyDescent="0.2">
      <c r="B45072" s="1168"/>
    </row>
    <row r="45073" spans="2:2" s="221" customFormat="1" ht="12.75" x14ac:dyDescent="0.2">
      <c r="B45073" s="1168"/>
    </row>
    <row r="45074" spans="2:2" s="221" customFormat="1" ht="12.75" x14ac:dyDescent="0.2">
      <c r="B45074" s="1168"/>
    </row>
    <row r="45075" spans="2:2" s="221" customFormat="1" ht="12.75" x14ac:dyDescent="0.2">
      <c r="B45075" s="1168"/>
    </row>
    <row r="45076" spans="2:2" s="221" customFormat="1" ht="12.75" x14ac:dyDescent="0.2">
      <c r="B45076" s="1168"/>
    </row>
    <row r="45077" spans="2:2" s="221" customFormat="1" ht="12.75" x14ac:dyDescent="0.2">
      <c r="B45077" s="1168"/>
    </row>
    <row r="45078" spans="2:2" s="221" customFormat="1" ht="12.75" x14ac:dyDescent="0.2">
      <c r="B45078" s="1168"/>
    </row>
    <row r="45079" spans="2:2" s="221" customFormat="1" ht="12.75" x14ac:dyDescent="0.2">
      <c r="B45079" s="1168"/>
    </row>
    <row r="45080" spans="2:2" s="221" customFormat="1" ht="12.75" x14ac:dyDescent="0.2">
      <c r="B45080" s="1168"/>
    </row>
    <row r="45081" spans="2:2" s="221" customFormat="1" ht="12.75" x14ac:dyDescent="0.2">
      <c r="B45081" s="1168"/>
    </row>
    <row r="45082" spans="2:2" s="221" customFormat="1" ht="12.75" x14ac:dyDescent="0.2">
      <c r="B45082" s="1168"/>
    </row>
    <row r="45083" spans="2:2" s="221" customFormat="1" ht="12.75" x14ac:dyDescent="0.2">
      <c r="B45083" s="1168"/>
    </row>
    <row r="45084" spans="2:2" s="221" customFormat="1" ht="12.75" x14ac:dyDescent="0.2">
      <c r="B45084" s="1168"/>
    </row>
    <row r="45085" spans="2:2" s="221" customFormat="1" ht="12.75" x14ac:dyDescent="0.2">
      <c r="B45085" s="1168"/>
    </row>
    <row r="45086" spans="2:2" s="221" customFormat="1" ht="12.75" x14ac:dyDescent="0.2">
      <c r="B45086" s="1168"/>
    </row>
    <row r="45087" spans="2:2" s="221" customFormat="1" ht="12.75" x14ac:dyDescent="0.2">
      <c r="B45087" s="1168"/>
    </row>
    <row r="45088" spans="2:2" s="221" customFormat="1" ht="12.75" x14ac:dyDescent="0.2">
      <c r="B45088" s="1168"/>
    </row>
    <row r="45089" spans="2:2" s="221" customFormat="1" ht="12.75" x14ac:dyDescent="0.2">
      <c r="B45089" s="1168"/>
    </row>
    <row r="45090" spans="2:2" s="221" customFormat="1" ht="12.75" x14ac:dyDescent="0.2">
      <c r="B45090" s="1168"/>
    </row>
    <row r="45091" spans="2:2" s="221" customFormat="1" ht="12.75" x14ac:dyDescent="0.2">
      <c r="B45091" s="1168"/>
    </row>
    <row r="45092" spans="2:2" s="221" customFormat="1" ht="12.75" x14ac:dyDescent="0.2">
      <c r="B45092" s="1168"/>
    </row>
    <row r="45093" spans="2:2" s="221" customFormat="1" ht="12.75" x14ac:dyDescent="0.2">
      <c r="B45093" s="1168"/>
    </row>
    <row r="45094" spans="2:2" s="221" customFormat="1" ht="12.75" x14ac:dyDescent="0.2">
      <c r="B45094" s="1168"/>
    </row>
    <row r="45095" spans="2:2" s="221" customFormat="1" ht="12.75" x14ac:dyDescent="0.2">
      <c r="B45095" s="1168"/>
    </row>
    <row r="45096" spans="2:2" s="221" customFormat="1" ht="12.75" x14ac:dyDescent="0.2">
      <c r="B45096" s="1168"/>
    </row>
    <row r="45097" spans="2:2" s="221" customFormat="1" ht="12.75" x14ac:dyDescent="0.2">
      <c r="B45097" s="1168"/>
    </row>
    <row r="45098" spans="2:2" s="221" customFormat="1" ht="12.75" x14ac:dyDescent="0.2">
      <c r="B45098" s="1168"/>
    </row>
    <row r="45099" spans="2:2" s="221" customFormat="1" ht="12.75" x14ac:dyDescent="0.2">
      <c r="B45099" s="1168"/>
    </row>
    <row r="45100" spans="2:2" s="221" customFormat="1" ht="12.75" x14ac:dyDescent="0.2">
      <c r="B45100" s="1168"/>
    </row>
    <row r="45101" spans="2:2" s="221" customFormat="1" ht="12.75" x14ac:dyDescent="0.2">
      <c r="B45101" s="1168"/>
    </row>
    <row r="45102" spans="2:2" s="221" customFormat="1" ht="12.75" x14ac:dyDescent="0.2">
      <c r="B45102" s="1168"/>
    </row>
    <row r="45103" spans="2:2" s="221" customFormat="1" ht="12.75" x14ac:dyDescent="0.2">
      <c r="B45103" s="1168"/>
    </row>
    <row r="45104" spans="2:2" s="221" customFormat="1" ht="12.75" x14ac:dyDescent="0.2">
      <c r="B45104" s="1168"/>
    </row>
    <row r="45105" spans="2:2" s="221" customFormat="1" ht="12.75" x14ac:dyDescent="0.2">
      <c r="B45105" s="1168"/>
    </row>
    <row r="45106" spans="2:2" s="221" customFormat="1" ht="12.75" x14ac:dyDescent="0.2">
      <c r="B45106" s="1168"/>
    </row>
    <row r="45107" spans="2:2" s="221" customFormat="1" ht="12.75" x14ac:dyDescent="0.2">
      <c r="B45107" s="1168"/>
    </row>
    <row r="45108" spans="2:2" s="221" customFormat="1" ht="12.75" x14ac:dyDescent="0.2">
      <c r="B45108" s="1168"/>
    </row>
    <row r="45109" spans="2:2" s="221" customFormat="1" ht="12.75" x14ac:dyDescent="0.2">
      <c r="B45109" s="1168"/>
    </row>
    <row r="45110" spans="2:2" s="221" customFormat="1" ht="12.75" x14ac:dyDescent="0.2">
      <c r="B45110" s="1168"/>
    </row>
    <row r="45111" spans="2:2" s="221" customFormat="1" ht="12.75" x14ac:dyDescent="0.2">
      <c r="B45111" s="1168"/>
    </row>
    <row r="45112" spans="2:2" s="221" customFormat="1" ht="12.75" x14ac:dyDescent="0.2">
      <c r="B45112" s="1168"/>
    </row>
    <row r="45113" spans="2:2" s="221" customFormat="1" ht="12.75" x14ac:dyDescent="0.2">
      <c r="B45113" s="1168"/>
    </row>
    <row r="45114" spans="2:2" s="221" customFormat="1" ht="12.75" x14ac:dyDescent="0.2">
      <c r="B45114" s="1168"/>
    </row>
    <row r="45115" spans="2:2" s="221" customFormat="1" ht="12.75" x14ac:dyDescent="0.2">
      <c r="B45115" s="1168"/>
    </row>
    <row r="45116" spans="2:2" s="221" customFormat="1" ht="12.75" x14ac:dyDescent="0.2">
      <c r="B45116" s="1168"/>
    </row>
    <row r="45117" spans="2:2" s="221" customFormat="1" ht="12.75" x14ac:dyDescent="0.2">
      <c r="B45117" s="1168"/>
    </row>
    <row r="45118" spans="2:2" s="221" customFormat="1" ht="12.75" x14ac:dyDescent="0.2">
      <c r="B45118" s="1168"/>
    </row>
    <row r="45119" spans="2:2" s="221" customFormat="1" ht="12.75" x14ac:dyDescent="0.2">
      <c r="B45119" s="1168"/>
    </row>
    <row r="45120" spans="2:2" s="221" customFormat="1" ht="12.75" x14ac:dyDescent="0.2">
      <c r="B45120" s="1168"/>
    </row>
    <row r="45121" spans="2:2" s="221" customFormat="1" ht="12.75" x14ac:dyDescent="0.2">
      <c r="B45121" s="1168"/>
    </row>
    <row r="45122" spans="2:2" s="221" customFormat="1" ht="12.75" x14ac:dyDescent="0.2">
      <c r="B45122" s="1168"/>
    </row>
    <row r="45123" spans="2:2" s="221" customFormat="1" ht="12.75" x14ac:dyDescent="0.2">
      <c r="B45123" s="1168"/>
    </row>
    <row r="45124" spans="2:2" s="221" customFormat="1" ht="12.75" x14ac:dyDescent="0.2">
      <c r="B45124" s="1168"/>
    </row>
    <row r="45125" spans="2:2" s="221" customFormat="1" ht="12.75" x14ac:dyDescent="0.2">
      <c r="B45125" s="1168"/>
    </row>
    <row r="45126" spans="2:2" s="221" customFormat="1" ht="12.75" x14ac:dyDescent="0.2">
      <c r="B45126" s="1168"/>
    </row>
    <row r="45127" spans="2:2" s="221" customFormat="1" ht="12.75" x14ac:dyDescent="0.2">
      <c r="B45127" s="1168"/>
    </row>
    <row r="45128" spans="2:2" s="221" customFormat="1" ht="12.75" x14ac:dyDescent="0.2">
      <c r="B45128" s="1168"/>
    </row>
    <row r="45129" spans="2:2" s="221" customFormat="1" ht="12.75" x14ac:dyDescent="0.2">
      <c r="B45129" s="1168"/>
    </row>
    <row r="45130" spans="2:2" s="221" customFormat="1" ht="12.75" x14ac:dyDescent="0.2">
      <c r="B45130" s="1168"/>
    </row>
    <row r="45131" spans="2:2" s="221" customFormat="1" ht="12.75" x14ac:dyDescent="0.2">
      <c r="B45131" s="1168"/>
    </row>
    <row r="45132" spans="2:2" s="221" customFormat="1" ht="12.75" x14ac:dyDescent="0.2">
      <c r="B45132" s="1168"/>
    </row>
    <row r="45133" spans="2:2" s="221" customFormat="1" ht="12.75" x14ac:dyDescent="0.2">
      <c r="B45133" s="1168"/>
    </row>
    <row r="45134" spans="2:2" s="221" customFormat="1" ht="12.75" x14ac:dyDescent="0.2">
      <c r="B45134" s="1168"/>
    </row>
    <row r="45135" spans="2:2" s="221" customFormat="1" ht="12.75" x14ac:dyDescent="0.2">
      <c r="B45135" s="1168"/>
    </row>
    <row r="45136" spans="2:2" s="221" customFormat="1" ht="12.75" x14ac:dyDescent="0.2">
      <c r="B45136" s="1168"/>
    </row>
    <row r="45137" spans="2:2" s="221" customFormat="1" ht="12.75" x14ac:dyDescent="0.2">
      <c r="B45137" s="1168"/>
    </row>
    <row r="45138" spans="2:2" s="221" customFormat="1" ht="12.75" x14ac:dyDescent="0.2">
      <c r="B45138" s="1168"/>
    </row>
    <row r="45139" spans="2:2" s="221" customFormat="1" ht="12.75" x14ac:dyDescent="0.2">
      <c r="B45139" s="1168"/>
    </row>
    <row r="45140" spans="2:2" s="221" customFormat="1" ht="12.75" x14ac:dyDescent="0.2">
      <c r="B45140" s="1168"/>
    </row>
    <row r="45141" spans="2:2" s="221" customFormat="1" ht="12.75" x14ac:dyDescent="0.2">
      <c r="B45141" s="1168"/>
    </row>
    <row r="45142" spans="2:2" s="221" customFormat="1" ht="12.75" x14ac:dyDescent="0.2">
      <c r="B45142" s="1168"/>
    </row>
    <row r="45143" spans="2:2" s="221" customFormat="1" ht="12.75" x14ac:dyDescent="0.2">
      <c r="B45143" s="1168"/>
    </row>
    <row r="45144" spans="2:2" s="221" customFormat="1" ht="12.75" x14ac:dyDescent="0.2">
      <c r="B45144" s="1168"/>
    </row>
    <row r="45145" spans="2:2" s="221" customFormat="1" ht="12.75" x14ac:dyDescent="0.2">
      <c r="B45145" s="1168"/>
    </row>
    <row r="45146" spans="2:2" s="221" customFormat="1" ht="12.75" x14ac:dyDescent="0.2">
      <c r="B45146" s="1168"/>
    </row>
    <row r="45147" spans="2:2" s="221" customFormat="1" ht="12.75" x14ac:dyDescent="0.2">
      <c r="B45147" s="1168"/>
    </row>
    <row r="45148" spans="2:2" s="221" customFormat="1" ht="12.75" x14ac:dyDescent="0.2">
      <c r="B45148" s="1168"/>
    </row>
    <row r="45149" spans="2:2" s="221" customFormat="1" ht="12.75" x14ac:dyDescent="0.2">
      <c r="B45149" s="1168"/>
    </row>
    <row r="45150" spans="2:2" s="221" customFormat="1" ht="12.75" x14ac:dyDescent="0.2">
      <c r="B45150" s="1168"/>
    </row>
    <row r="45151" spans="2:2" s="221" customFormat="1" ht="12.75" x14ac:dyDescent="0.2">
      <c r="B45151" s="1168"/>
    </row>
    <row r="45152" spans="2:2" s="221" customFormat="1" ht="12.75" x14ac:dyDescent="0.2">
      <c r="B45152" s="1168"/>
    </row>
    <row r="45153" spans="2:2" s="221" customFormat="1" ht="12.75" x14ac:dyDescent="0.2">
      <c r="B45153" s="1168"/>
    </row>
    <row r="45154" spans="2:2" s="221" customFormat="1" ht="12.75" x14ac:dyDescent="0.2">
      <c r="B45154" s="1168"/>
    </row>
    <row r="45155" spans="2:2" s="221" customFormat="1" ht="12.75" x14ac:dyDescent="0.2">
      <c r="B45155" s="1168"/>
    </row>
    <row r="45156" spans="2:2" s="221" customFormat="1" ht="12.75" x14ac:dyDescent="0.2">
      <c r="B45156" s="1168"/>
    </row>
    <row r="45157" spans="2:2" s="221" customFormat="1" ht="12.75" x14ac:dyDescent="0.2">
      <c r="B45157" s="1168"/>
    </row>
    <row r="45158" spans="2:2" s="221" customFormat="1" ht="12.75" x14ac:dyDescent="0.2">
      <c r="B45158" s="1168"/>
    </row>
    <row r="45159" spans="2:2" s="221" customFormat="1" ht="12.75" x14ac:dyDescent="0.2">
      <c r="B45159" s="1168"/>
    </row>
    <row r="45160" spans="2:2" s="221" customFormat="1" ht="12.75" x14ac:dyDescent="0.2">
      <c r="B45160" s="1168"/>
    </row>
    <row r="45161" spans="2:2" s="221" customFormat="1" ht="12.75" x14ac:dyDescent="0.2">
      <c r="B45161" s="1168"/>
    </row>
    <row r="45162" spans="2:2" s="221" customFormat="1" ht="12.75" x14ac:dyDescent="0.2">
      <c r="B45162" s="1168"/>
    </row>
    <row r="45163" spans="2:2" s="221" customFormat="1" ht="12.75" x14ac:dyDescent="0.2">
      <c r="B45163" s="1168"/>
    </row>
    <row r="45164" spans="2:2" s="221" customFormat="1" ht="12.75" x14ac:dyDescent="0.2">
      <c r="B45164" s="1168"/>
    </row>
    <row r="45165" spans="2:2" s="221" customFormat="1" ht="12.75" x14ac:dyDescent="0.2">
      <c r="B45165" s="1168"/>
    </row>
    <row r="45166" spans="2:2" s="221" customFormat="1" ht="12.75" x14ac:dyDescent="0.2">
      <c r="B45166" s="1168"/>
    </row>
    <row r="45167" spans="2:2" s="221" customFormat="1" ht="12.75" x14ac:dyDescent="0.2">
      <c r="B45167" s="1168"/>
    </row>
    <row r="45168" spans="2:2" s="221" customFormat="1" ht="12.75" x14ac:dyDescent="0.2">
      <c r="B45168" s="1168"/>
    </row>
    <row r="45169" spans="2:2" s="221" customFormat="1" ht="12.75" x14ac:dyDescent="0.2">
      <c r="B45169" s="1168"/>
    </row>
    <row r="45170" spans="2:2" s="221" customFormat="1" ht="12.75" x14ac:dyDescent="0.2">
      <c r="B45170" s="1168"/>
    </row>
    <row r="45171" spans="2:2" s="221" customFormat="1" ht="12.75" x14ac:dyDescent="0.2">
      <c r="B45171" s="1168"/>
    </row>
    <row r="45172" spans="2:2" s="221" customFormat="1" ht="12.75" x14ac:dyDescent="0.2">
      <c r="B45172" s="1168"/>
    </row>
    <row r="45173" spans="2:2" s="221" customFormat="1" ht="12.75" x14ac:dyDescent="0.2">
      <c r="B45173" s="1168"/>
    </row>
    <row r="45174" spans="2:2" s="221" customFormat="1" ht="12.75" x14ac:dyDescent="0.2">
      <c r="B45174" s="1168"/>
    </row>
    <row r="45175" spans="2:2" s="221" customFormat="1" ht="12.75" x14ac:dyDescent="0.2">
      <c r="B45175" s="1168"/>
    </row>
    <row r="45176" spans="2:2" s="221" customFormat="1" ht="12.75" x14ac:dyDescent="0.2">
      <c r="B45176" s="1168"/>
    </row>
    <row r="45177" spans="2:2" s="221" customFormat="1" ht="12.75" x14ac:dyDescent="0.2">
      <c r="B45177" s="1168"/>
    </row>
    <row r="45178" spans="2:2" s="221" customFormat="1" ht="12.75" x14ac:dyDescent="0.2">
      <c r="B45178" s="1168"/>
    </row>
    <row r="45179" spans="2:2" s="221" customFormat="1" ht="12.75" x14ac:dyDescent="0.2">
      <c r="B45179" s="1168"/>
    </row>
    <row r="45180" spans="2:2" s="221" customFormat="1" ht="12.75" x14ac:dyDescent="0.2">
      <c r="B45180" s="1168"/>
    </row>
    <row r="45181" spans="2:2" s="221" customFormat="1" ht="12.75" x14ac:dyDescent="0.2">
      <c r="B45181" s="1168"/>
    </row>
    <row r="45182" spans="2:2" s="221" customFormat="1" ht="12.75" x14ac:dyDescent="0.2">
      <c r="B45182" s="1168"/>
    </row>
    <row r="45183" spans="2:2" s="221" customFormat="1" ht="12.75" x14ac:dyDescent="0.2">
      <c r="B45183" s="1168"/>
    </row>
    <row r="45184" spans="2:2" s="221" customFormat="1" ht="12.75" x14ac:dyDescent="0.2">
      <c r="B45184" s="1168"/>
    </row>
    <row r="45185" spans="2:2" s="221" customFormat="1" ht="12.75" x14ac:dyDescent="0.2">
      <c r="B45185" s="1168"/>
    </row>
    <row r="45186" spans="2:2" s="221" customFormat="1" ht="12.75" x14ac:dyDescent="0.2">
      <c r="B45186" s="1168"/>
    </row>
    <row r="45187" spans="2:2" s="221" customFormat="1" ht="12.75" x14ac:dyDescent="0.2">
      <c r="B45187" s="1168"/>
    </row>
    <row r="45188" spans="2:2" s="221" customFormat="1" ht="12.75" x14ac:dyDescent="0.2">
      <c r="B45188" s="1168"/>
    </row>
    <row r="45189" spans="2:2" s="221" customFormat="1" ht="12.75" x14ac:dyDescent="0.2">
      <c r="B45189" s="1168"/>
    </row>
    <row r="45190" spans="2:2" s="221" customFormat="1" ht="12.75" x14ac:dyDescent="0.2">
      <c r="B45190" s="1168"/>
    </row>
    <row r="45191" spans="2:2" s="221" customFormat="1" ht="12.75" x14ac:dyDescent="0.2">
      <c r="B45191" s="1168"/>
    </row>
    <row r="45192" spans="2:2" s="221" customFormat="1" ht="12.75" x14ac:dyDescent="0.2">
      <c r="B45192" s="1168"/>
    </row>
    <row r="45193" spans="2:2" s="221" customFormat="1" ht="12.75" x14ac:dyDescent="0.2">
      <c r="B45193" s="1168"/>
    </row>
    <row r="45194" spans="2:2" s="221" customFormat="1" ht="12.75" x14ac:dyDescent="0.2">
      <c r="B45194" s="1168"/>
    </row>
    <row r="45195" spans="2:2" s="221" customFormat="1" ht="12.75" x14ac:dyDescent="0.2">
      <c r="B45195" s="1168"/>
    </row>
    <row r="45196" spans="2:2" s="221" customFormat="1" ht="12.75" x14ac:dyDescent="0.2">
      <c r="B45196" s="1168"/>
    </row>
    <row r="45197" spans="2:2" s="221" customFormat="1" ht="12.75" x14ac:dyDescent="0.2">
      <c r="B45197" s="1168"/>
    </row>
    <row r="45198" spans="2:2" s="221" customFormat="1" ht="12.75" x14ac:dyDescent="0.2">
      <c r="B45198" s="1168"/>
    </row>
    <row r="45199" spans="2:2" s="221" customFormat="1" ht="12.75" x14ac:dyDescent="0.2">
      <c r="B45199" s="1168"/>
    </row>
    <row r="45200" spans="2:2" s="221" customFormat="1" ht="12.75" x14ac:dyDescent="0.2">
      <c r="B45200" s="1168"/>
    </row>
    <row r="45201" spans="2:2" s="221" customFormat="1" ht="12.75" x14ac:dyDescent="0.2">
      <c r="B45201" s="1168"/>
    </row>
    <row r="45202" spans="2:2" s="221" customFormat="1" ht="12.75" x14ac:dyDescent="0.2">
      <c r="B45202" s="1168"/>
    </row>
    <row r="45203" spans="2:2" s="221" customFormat="1" ht="12.75" x14ac:dyDescent="0.2">
      <c r="B45203" s="1168"/>
    </row>
    <row r="45204" spans="2:2" s="221" customFormat="1" ht="12.75" x14ac:dyDescent="0.2">
      <c r="B45204" s="1168"/>
    </row>
    <row r="45205" spans="2:2" s="221" customFormat="1" ht="12.75" x14ac:dyDescent="0.2">
      <c r="B45205" s="1168"/>
    </row>
    <row r="45206" spans="2:2" s="221" customFormat="1" ht="12.75" x14ac:dyDescent="0.2">
      <c r="B45206" s="1168"/>
    </row>
    <row r="45207" spans="2:2" s="221" customFormat="1" ht="12.75" x14ac:dyDescent="0.2">
      <c r="B45207" s="1168"/>
    </row>
    <row r="45208" spans="2:2" s="221" customFormat="1" ht="12.75" x14ac:dyDescent="0.2">
      <c r="B45208" s="1168"/>
    </row>
    <row r="45209" spans="2:2" s="221" customFormat="1" ht="12.75" x14ac:dyDescent="0.2">
      <c r="B45209" s="1168"/>
    </row>
    <row r="45210" spans="2:2" s="221" customFormat="1" ht="12.75" x14ac:dyDescent="0.2">
      <c r="B45210" s="1168"/>
    </row>
    <row r="45211" spans="2:2" s="221" customFormat="1" ht="12.75" x14ac:dyDescent="0.2">
      <c r="B45211" s="1168"/>
    </row>
    <row r="45212" spans="2:2" s="221" customFormat="1" ht="12.75" x14ac:dyDescent="0.2">
      <c r="B45212" s="1168"/>
    </row>
    <row r="45213" spans="2:2" s="221" customFormat="1" ht="12.75" x14ac:dyDescent="0.2">
      <c r="B45213" s="1168"/>
    </row>
    <row r="45214" spans="2:2" s="221" customFormat="1" ht="12.75" x14ac:dyDescent="0.2">
      <c r="B45214" s="1168"/>
    </row>
    <row r="45215" spans="2:2" s="221" customFormat="1" ht="12.75" x14ac:dyDescent="0.2">
      <c r="B45215" s="1168"/>
    </row>
    <row r="45216" spans="2:2" s="221" customFormat="1" ht="12.75" x14ac:dyDescent="0.2">
      <c r="B45216" s="1168"/>
    </row>
    <row r="45217" spans="2:2" s="221" customFormat="1" ht="12.75" x14ac:dyDescent="0.2">
      <c r="B45217" s="1168"/>
    </row>
    <row r="45218" spans="2:2" s="221" customFormat="1" ht="12.75" x14ac:dyDescent="0.2">
      <c r="B45218" s="1168"/>
    </row>
    <row r="45219" spans="2:2" s="221" customFormat="1" ht="12.75" x14ac:dyDescent="0.2">
      <c r="B45219" s="1168"/>
    </row>
    <row r="45220" spans="2:2" s="221" customFormat="1" ht="12.75" x14ac:dyDescent="0.2">
      <c r="B45220" s="1168"/>
    </row>
    <row r="45221" spans="2:2" s="221" customFormat="1" ht="12.75" x14ac:dyDescent="0.2">
      <c r="B45221" s="1168"/>
    </row>
    <row r="45222" spans="2:2" s="221" customFormat="1" ht="12.75" x14ac:dyDescent="0.2">
      <c r="B45222" s="1168"/>
    </row>
    <row r="45223" spans="2:2" s="221" customFormat="1" ht="12.75" x14ac:dyDescent="0.2">
      <c r="B45223" s="1168"/>
    </row>
    <row r="45224" spans="2:2" s="221" customFormat="1" ht="12.75" x14ac:dyDescent="0.2">
      <c r="B45224" s="1168"/>
    </row>
    <row r="45225" spans="2:2" s="221" customFormat="1" ht="12.75" x14ac:dyDescent="0.2">
      <c r="B45225" s="1168"/>
    </row>
    <row r="45226" spans="2:2" s="221" customFormat="1" ht="12.75" x14ac:dyDescent="0.2">
      <c r="B45226" s="1168"/>
    </row>
    <row r="45227" spans="2:2" s="221" customFormat="1" ht="12.75" x14ac:dyDescent="0.2">
      <c r="B45227" s="1168"/>
    </row>
    <row r="45228" spans="2:2" s="221" customFormat="1" ht="12.75" x14ac:dyDescent="0.2">
      <c r="B45228" s="1168"/>
    </row>
    <row r="45229" spans="2:2" s="221" customFormat="1" ht="12.75" x14ac:dyDescent="0.2">
      <c r="B45229" s="1168"/>
    </row>
    <row r="45230" spans="2:2" s="221" customFormat="1" ht="12.75" x14ac:dyDescent="0.2">
      <c r="B45230" s="1168"/>
    </row>
    <row r="45231" spans="2:2" s="221" customFormat="1" ht="12.75" x14ac:dyDescent="0.2">
      <c r="B45231" s="1168"/>
    </row>
    <row r="45232" spans="2:2" s="221" customFormat="1" ht="12.75" x14ac:dyDescent="0.2">
      <c r="B45232" s="1168"/>
    </row>
    <row r="45233" spans="2:2" s="221" customFormat="1" ht="12.75" x14ac:dyDescent="0.2">
      <c r="B45233" s="1168"/>
    </row>
    <row r="45234" spans="2:2" s="221" customFormat="1" ht="12.75" x14ac:dyDescent="0.2">
      <c r="B45234" s="1168"/>
    </row>
    <row r="45235" spans="2:2" s="221" customFormat="1" ht="12.75" x14ac:dyDescent="0.2">
      <c r="B45235" s="1168"/>
    </row>
    <row r="45236" spans="2:2" s="221" customFormat="1" ht="12.75" x14ac:dyDescent="0.2">
      <c r="B45236" s="1168"/>
    </row>
    <row r="45237" spans="2:2" s="221" customFormat="1" ht="12.75" x14ac:dyDescent="0.2">
      <c r="B45237" s="1168"/>
    </row>
    <row r="45238" spans="2:2" s="221" customFormat="1" ht="12.75" x14ac:dyDescent="0.2">
      <c r="B45238" s="1168"/>
    </row>
    <row r="45239" spans="2:2" s="221" customFormat="1" ht="12.75" x14ac:dyDescent="0.2">
      <c r="B45239" s="1168"/>
    </row>
    <row r="45240" spans="2:2" s="221" customFormat="1" ht="12.75" x14ac:dyDescent="0.2">
      <c r="B45240" s="1168"/>
    </row>
    <row r="45241" spans="2:2" s="221" customFormat="1" ht="12.75" x14ac:dyDescent="0.2">
      <c r="B45241" s="1168"/>
    </row>
    <row r="45242" spans="2:2" s="221" customFormat="1" ht="12.75" x14ac:dyDescent="0.2">
      <c r="B45242" s="1168"/>
    </row>
    <row r="45243" spans="2:2" s="221" customFormat="1" ht="12.75" x14ac:dyDescent="0.2">
      <c r="B45243" s="1168"/>
    </row>
    <row r="45244" spans="2:2" s="221" customFormat="1" ht="12.75" x14ac:dyDescent="0.2">
      <c r="B45244" s="1168"/>
    </row>
    <row r="45245" spans="2:2" s="221" customFormat="1" ht="12.75" x14ac:dyDescent="0.2">
      <c r="B45245" s="1168"/>
    </row>
    <row r="45246" spans="2:2" s="221" customFormat="1" ht="12.75" x14ac:dyDescent="0.2">
      <c r="B45246" s="1168"/>
    </row>
    <row r="45247" spans="2:2" s="221" customFormat="1" ht="12.75" x14ac:dyDescent="0.2">
      <c r="B45247" s="1168"/>
    </row>
    <row r="45248" spans="2:2" s="221" customFormat="1" ht="12.75" x14ac:dyDescent="0.2">
      <c r="B45248" s="1168"/>
    </row>
    <row r="45249" spans="2:2" s="221" customFormat="1" ht="12.75" x14ac:dyDescent="0.2">
      <c r="B45249" s="1168"/>
    </row>
    <row r="45250" spans="2:2" s="221" customFormat="1" ht="12.75" x14ac:dyDescent="0.2">
      <c r="B45250" s="1168"/>
    </row>
    <row r="45251" spans="2:2" s="221" customFormat="1" ht="12.75" x14ac:dyDescent="0.2">
      <c r="B45251" s="1168"/>
    </row>
    <row r="45252" spans="2:2" s="221" customFormat="1" ht="12.75" x14ac:dyDescent="0.2">
      <c r="B45252" s="1168"/>
    </row>
    <row r="45253" spans="2:2" s="221" customFormat="1" ht="12.75" x14ac:dyDescent="0.2">
      <c r="B45253" s="1168"/>
    </row>
    <row r="45254" spans="2:2" s="221" customFormat="1" ht="12.75" x14ac:dyDescent="0.2">
      <c r="B45254" s="1168"/>
    </row>
    <row r="45255" spans="2:2" s="221" customFormat="1" ht="12.75" x14ac:dyDescent="0.2">
      <c r="B45255" s="1168"/>
    </row>
    <row r="45256" spans="2:2" s="221" customFormat="1" ht="12.75" x14ac:dyDescent="0.2">
      <c r="B45256" s="1168"/>
    </row>
    <row r="45257" spans="2:2" s="221" customFormat="1" ht="12.75" x14ac:dyDescent="0.2">
      <c r="B45257" s="1168"/>
    </row>
    <row r="45258" spans="2:2" s="221" customFormat="1" ht="12.75" x14ac:dyDescent="0.2">
      <c r="B45258" s="1168"/>
    </row>
    <row r="45259" spans="2:2" s="221" customFormat="1" ht="12.75" x14ac:dyDescent="0.2">
      <c r="B45259" s="1168"/>
    </row>
    <row r="45260" spans="2:2" s="221" customFormat="1" ht="12.75" x14ac:dyDescent="0.2">
      <c r="B45260" s="1168"/>
    </row>
    <row r="45261" spans="2:2" s="221" customFormat="1" ht="12.75" x14ac:dyDescent="0.2">
      <c r="B45261" s="1168"/>
    </row>
    <row r="45262" spans="2:2" s="221" customFormat="1" ht="12.75" x14ac:dyDescent="0.2">
      <c r="B45262" s="1168"/>
    </row>
    <row r="45263" spans="2:2" s="221" customFormat="1" ht="12.75" x14ac:dyDescent="0.2">
      <c r="B45263" s="1168"/>
    </row>
    <row r="45264" spans="2:2" s="221" customFormat="1" ht="12.75" x14ac:dyDescent="0.2">
      <c r="B45264" s="1168"/>
    </row>
    <row r="45265" spans="2:2" s="221" customFormat="1" ht="12.75" x14ac:dyDescent="0.2">
      <c r="B45265" s="1168"/>
    </row>
    <row r="45266" spans="2:2" s="221" customFormat="1" ht="12.75" x14ac:dyDescent="0.2">
      <c r="B45266" s="1168"/>
    </row>
    <row r="45267" spans="2:2" s="221" customFormat="1" ht="12.75" x14ac:dyDescent="0.2">
      <c r="B45267" s="1168"/>
    </row>
    <row r="45268" spans="2:2" s="221" customFormat="1" ht="12.75" x14ac:dyDescent="0.2">
      <c r="B45268" s="1168"/>
    </row>
    <row r="45269" spans="2:2" s="221" customFormat="1" ht="12.75" x14ac:dyDescent="0.2">
      <c r="B45269" s="1168"/>
    </row>
    <row r="45270" spans="2:2" s="221" customFormat="1" ht="12.75" x14ac:dyDescent="0.2">
      <c r="B45270" s="1168"/>
    </row>
    <row r="45271" spans="2:2" s="221" customFormat="1" ht="12.75" x14ac:dyDescent="0.2">
      <c r="B45271" s="1168"/>
    </row>
    <row r="45272" spans="2:2" s="221" customFormat="1" ht="12.75" x14ac:dyDescent="0.2">
      <c r="B45272" s="1168"/>
    </row>
    <row r="45273" spans="2:2" s="221" customFormat="1" ht="12.75" x14ac:dyDescent="0.2">
      <c r="B45273" s="1168"/>
    </row>
    <row r="45274" spans="2:2" s="221" customFormat="1" ht="12.75" x14ac:dyDescent="0.2">
      <c r="B45274" s="1168"/>
    </row>
    <row r="45275" spans="2:2" s="221" customFormat="1" ht="12.75" x14ac:dyDescent="0.2">
      <c r="B45275" s="1168"/>
    </row>
    <row r="45276" spans="2:2" s="221" customFormat="1" ht="12.75" x14ac:dyDescent="0.2">
      <c r="B45276" s="1168"/>
    </row>
    <row r="45277" spans="2:2" s="221" customFormat="1" ht="12.75" x14ac:dyDescent="0.2">
      <c r="B45277" s="1168"/>
    </row>
    <row r="45278" spans="2:2" s="221" customFormat="1" ht="12.75" x14ac:dyDescent="0.2">
      <c r="B45278" s="1168"/>
    </row>
    <row r="45279" spans="2:2" s="221" customFormat="1" ht="12.75" x14ac:dyDescent="0.2">
      <c r="B45279" s="1168"/>
    </row>
    <row r="45280" spans="2:2" s="221" customFormat="1" ht="12.75" x14ac:dyDescent="0.2">
      <c r="B45280" s="1168"/>
    </row>
    <row r="45281" spans="2:2" s="221" customFormat="1" ht="12.75" x14ac:dyDescent="0.2">
      <c r="B45281" s="1168"/>
    </row>
    <row r="45282" spans="2:2" s="221" customFormat="1" ht="12.75" x14ac:dyDescent="0.2">
      <c r="B45282" s="1168"/>
    </row>
    <row r="45283" spans="2:2" s="221" customFormat="1" ht="12.75" x14ac:dyDescent="0.2">
      <c r="B45283" s="1168"/>
    </row>
    <row r="45284" spans="2:2" s="221" customFormat="1" ht="12.75" x14ac:dyDescent="0.2">
      <c r="B45284" s="1168"/>
    </row>
    <row r="45285" spans="2:2" s="221" customFormat="1" ht="12.75" x14ac:dyDescent="0.2">
      <c r="B45285" s="1168"/>
    </row>
    <row r="45286" spans="2:2" s="221" customFormat="1" ht="12.75" x14ac:dyDescent="0.2">
      <c r="B45286" s="1168"/>
    </row>
    <row r="45287" spans="2:2" s="221" customFormat="1" ht="12.75" x14ac:dyDescent="0.2">
      <c r="B45287" s="1168"/>
    </row>
    <row r="45288" spans="2:2" s="221" customFormat="1" ht="12.75" x14ac:dyDescent="0.2">
      <c r="B45288" s="1168"/>
    </row>
    <row r="45289" spans="2:2" s="221" customFormat="1" ht="12.75" x14ac:dyDescent="0.2">
      <c r="B45289" s="1168"/>
    </row>
    <row r="45290" spans="2:2" s="221" customFormat="1" ht="12.75" x14ac:dyDescent="0.2">
      <c r="B45290" s="1168"/>
    </row>
    <row r="45291" spans="2:2" s="221" customFormat="1" ht="12.75" x14ac:dyDescent="0.2">
      <c r="B45291" s="1168"/>
    </row>
    <row r="45292" spans="2:2" s="221" customFormat="1" ht="12.75" x14ac:dyDescent="0.2">
      <c r="B45292" s="1168"/>
    </row>
    <row r="45293" spans="2:2" s="221" customFormat="1" ht="12.75" x14ac:dyDescent="0.2">
      <c r="B45293" s="1168"/>
    </row>
    <row r="45294" spans="2:2" s="221" customFormat="1" ht="12.75" x14ac:dyDescent="0.2">
      <c r="B45294" s="1168"/>
    </row>
    <row r="45295" spans="2:2" s="221" customFormat="1" ht="12.75" x14ac:dyDescent="0.2">
      <c r="B45295" s="1168"/>
    </row>
    <row r="45296" spans="2:2" s="221" customFormat="1" ht="12.75" x14ac:dyDescent="0.2">
      <c r="B45296" s="1168"/>
    </row>
    <row r="45297" spans="2:2" s="221" customFormat="1" ht="12.75" x14ac:dyDescent="0.2">
      <c r="B45297" s="1168"/>
    </row>
    <row r="45298" spans="2:2" s="221" customFormat="1" ht="12.75" x14ac:dyDescent="0.2">
      <c r="B45298" s="1168"/>
    </row>
    <row r="45299" spans="2:2" s="221" customFormat="1" ht="12.75" x14ac:dyDescent="0.2">
      <c r="B45299" s="1168"/>
    </row>
    <row r="45300" spans="2:2" s="221" customFormat="1" ht="12.75" x14ac:dyDescent="0.2">
      <c r="B45300" s="1168"/>
    </row>
    <row r="45301" spans="2:2" s="221" customFormat="1" ht="12.75" x14ac:dyDescent="0.2">
      <c r="B45301" s="1168"/>
    </row>
    <row r="45302" spans="2:2" s="221" customFormat="1" ht="12.75" x14ac:dyDescent="0.2">
      <c r="B45302" s="1168"/>
    </row>
    <row r="45303" spans="2:2" s="221" customFormat="1" ht="12.75" x14ac:dyDescent="0.2">
      <c r="B45303" s="1168"/>
    </row>
    <row r="45304" spans="2:2" s="221" customFormat="1" ht="12.75" x14ac:dyDescent="0.2">
      <c r="B45304" s="1168"/>
    </row>
    <row r="45305" spans="2:2" s="221" customFormat="1" ht="12.75" x14ac:dyDescent="0.2">
      <c r="B45305" s="1168"/>
    </row>
    <row r="45306" spans="2:2" s="221" customFormat="1" ht="12.75" x14ac:dyDescent="0.2">
      <c r="B45306" s="1168"/>
    </row>
    <row r="45307" spans="2:2" s="221" customFormat="1" ht="12.75" x14ac:dyDescent="0.2">
      <c r="B45307" s="1168"/>
    </row>
    <row r="45308" spans="2:2" s="221" customFormat="1" ht="12.75" x14ac:dyDescent="0.2">
      <c r="B45308" s="1168"/>
    </row>
    <row r="45309" spans="2:2" s="221" customFormat="1" ht="12.75" x14ac:dyDescent="0.2">
      <c r="B45309" s="1168"/>
    </row>
    <row r="45310" spans="2:2" s="221" customFormat="1" ht="12.75" x14ac:dyDescent="0.2">
      <c r="B45310" s="1168"/>
    </row>
    <row r="45311" spans="2:2" s="221" customFormat="1" ht="12.75" x14ac:dyDescent="0.2">
      <c r="B45311" s="1168"/>
    </row>
    <row r="45312" spans="2:2" s="221" customFormat="1" ht="12.75" x14ac:dyDescent="0.2">
      <c r="B45312" s="1168"/>
    </row>
    <row r="45313" spans="2:2" s="221" customFormat="1" ht="12.75" x14ac:dyDescent="0.2">
      <c r="B45313" s="1168"/>
    </row>
    <row r="45314" spans="2:2" s="221" customFormat="1" ht="12.75" x14ac:dyDescent="0.2">
      <c r="B45314" s="1168"/>
    </row>
    <row r="45315" spans="2:2" s="221" customFormat="1" ht="12.75" x14ac:dyDescent="0.2">
      <c r="B45315" s="1168"/>
    </row>
    <row r="45316" spans="2:2" s="221" customFormat="1" ht="12.75" x14ac:dyDescent="0.2">
      <c r="B45316" s="1168"/>
    </row>
    <row r="45317" spans="2:2" s="221" customFormat="1" ht="12.75" x14ac:dyDescent="0.2">
      <c r="B45317" s="1168"/>
    </row>
    <row r="45318" spans="2:2" s="221" customFormat="1" ht="12.75" x14ac:dyDescent="0.2">
      <c r="B45318" s="1168"/>
    </row>
    <row r="45319" spans="2:2" s="221" customFormat="1" ht="12.75" x14ac:dyDescent="0.2">
      <c r="B45319" s="1168"/>
    </row>
    <row r="45320" spans="2:2" s="221" customFormat="1" ht="12.75" x14ac:dyDescent="0.2">
      <c r="B45320" s="1168"/>
    </row>
    <row r="45321" spans="2:2" s="221" customFormat="1" ht="12.75" x14ac:dyDescent="0.2">
      <c r="B45321" s="1168"/>
    </row>
    <row r="45322" spans="2:2" s="221" customFormat="1" ht="12.75" x14ac:dyDescent="0.2">
      <c r="B45322" s="1168"/>
    </row>
    <row r="45323" spans="2:2" s="221" customFormat="1" ht="12.75" x14ac:dyDescent="0.2">
      <c r="B45323" s="1168"/>
    </row>
    <row r="45324" spans="2:2" s="221" customFormat="1" ht="12.75" x14ac:dyDescent="0.2">
      <c r="B45324" s="1168"/>
    </row>
    <row r="45325" spans="2:2" s="221" customFormat="1" ht="12.75" x14ac:dyDescent="0.2">
      <c r="B45325" s="1168"/>
    </row>
    <row r="45326" spans="2:2" s="221" customFormat="1" ht="12.75" x14ac:dyDescent="0.2">
      <c r="B45326" s="1168"/>
    </row>
    <row r="45327" spans="2:2" s="221" customFormat="1" ht="12.75" x14ac:dyDescent="0.2">
      <c r="B45327" s="1168"/>
    </row>
    <row r="45328" spans="2:2" s="221" customFormat="1" ht="12.75" x14ac:dyDescent="0.2">
      <c r="B45328" s="1168"/>
    </row>
    <row r="45329" spans="2:2" s="221" customFormat="1" ht="12.75" x14ac:dyDescent="0.2">
      <c r="B45329" s="1168"/>
    </row>
    <row r="45330" spans="2:2" s="221" customFormat="1" ht="12.75" x14ac:dyDescent="0.2">
      <c r="B45330" s="1168"/>
    </row>
    <row r="45331" spans="2:2" s="221" customFormat="1" ht="12.75" x14ac:dyDescent="0.2">
      <c r="B45331" s="1168"/>
    </row>
    <row r="45332" spans="2:2" s="221" customFormat="1" ht="12.75" x14ac:dyDescent="0.2">
      <c r="B45332" s="1168"/>
    </row>
    <row r="45333" spans="2:2" s="221" customFormat="1" ht="12.75" x14ac:dyDescent="0.2">
      <c r="B45333" s="1168"/>
    </row>
    <row r="45334" spans="2:2" s="221" customFormat="1" ht="12.75" x14ac:dyDescent="0.2">
      <c r="B45334" s="1168"/>
    </row>
    <row r="45335" spans="2:2" s="221" customFormat="1" ht="12.75" x14ac:dyDescent="0.2">
      <c r="B45335" s="1168"/>
    </row>
    <row r="45336" spans="2:2" s="221" customFormat="1" ht="12.75" x14ac:dyDescent="0.2">
      <c r="B45336" s="1168"/>
    </row>
    <row r="45337" spans="2:2" s="221" customFormat="1" ht="12.75" x14ac:dyDescent="0.2">
      <c r="B45337" s="1168"/>
    </row>
    <row r="45338" spans="2:2" s="221" customFormat="1" ht="12.75" x14ac:dyDescent="0.2">
      <c r="B45338" s="1168"/>
    </row>
    <row r="45339" spans="2:2" s="221" customFormat="1" ht="12.75" x14ac:dyDescent="0.2">
      <c r="B45339" s="1168"/>
    </row>
    <row r="45340" spans="2:2" s="221" customFormat="1" ht="12.75" x14ac:dyDescent="0.2">
      <c r="B45340" s="1168"/>
    </row>
    <row r="45341" spans="2:2" s="221" customFormat="1" ht="12.75" x14ac:dyDescent="0.2">
      <c r="B45341" s="1168"/>
    </row>
    <row r="45342" spans="2:2" s="221" customFormat="1" ht="12.75" x14ac:dyDescent="0.2">
      <c r="B45342" s="1168"/>
    </row>
    <row r="45343" spans="2:2" s="221" customFormat="1" ht="12.75" x14ac:dyDescent="0.2">
      <c r="B45343" s="1168"/>
    </row>
    <row r="45344" spans="2:2" s="221" customFormat="1" ht="12.75" x14ac:dyDescent="0.2">
      <c r="B45344" s="1168"/>
    </row>
    <row r="45345" spans="2:2" s="221" customFormat="1" ht="12.75" x14ac:dyDescent="0.2">
      <c r="B45345" s="1168"/>
    </row>
    <row r="45346" spans="2:2" s="221" customFormat="1" ht="12.75" x14ac:dyDescent="0.2">
      <c r="B45346" s="1168"/>
    </row>
    <row r="45347" spans="2:2" s="221" customFormat="1" ht="12.75" x14ac:dyDescent="0.2">
      <c r="B45347" s="1168"/>
    </row>
    <row r="45348" spans="2:2" s="221" customFormat="1" ht="12.75" x14ac:dyDescent="0.2">
      <c r="B45348" s="1168"/>
    </row>
    <row r="45349" spans="2:2" s="221" customFormat="1" ht="12.75" x14ac:dyDescent="0.2">
      <c r="B45349" s="1168"/>
    </row>
    <row r="45350" spans="2:2" s="221" customFormat="1" ht="12.75" x14ac:dyDescent="0.2">
      <c r="B45350" s="1168"/>
    </row>
    <row r="45351" spans="2:2" s="221" customFormat="1" ht="12.75" x14ac:dyDescent="0.2">
      <c r="B45351" s="1168"/>
    </row>
    <row r="45352" spans="2:2" s="221" customFormat="1" ht="12.75" x14ac:dyDescent="0.2">
      <c r="B45352" s="1168"/>
    </row>
    <row r="45353" spans="2:2" s="221" customFormat="1" ht="12.75" x14ac:dyDescent="0.2">
      <c r="B45353" s="1168"/>
    </row>
    <row r="45354" spans="2:2" s="221" customFormat="1" ht="12.75" x14ac:dyDescent="0.2">
      <c r="B45354" s="1168"/>
    </row>
    <row r="45355" spans="2:2" s="221" customFormat="1" ht="12.75" x14ac:dyDescent="0.2">
      <c r="B45355" s="1168"/>
    </row>
    <row r="45356" spans="2:2" s="221" customFormat="1" ht="12.75" x14ac:dyDescent="0.2">
      <c r="B45356" s="1168"/>
    </row>
    <row r="45357" spans="2:2" s="221" customFormat="1" ht="12.75" x14ac:dyDescent="0.2">
      <c r="B45357" s="1168"/>
    </row>
    <row r="45358" spans="2:2" s="221" customFormat="1" ht="12.75" x14ac:dyDescent="0.2">
      <c r="B45358" s="1168"/>
    </row>
    <row r="45359" spans="2:2" s="221" customFormat="1" ht="12.75" x14ac:dyDescent="0.2">
      <c r="B45359" s="1168"/>
    </row>
    <row r="45360" spans="2:2" s="221" customFormat="1" ht="12.75" x14ac:dyDescent="0.2">
      <c r="B45360" s="1168"/>
    </row>
    <row r="45361" spans="2:2" s="221" customFormat="1" ht="12.75" x14ac:dyDescent="0.2">
      <c r="B45361" s="1168"/>
    </row>
    <row r="45362" spans="2:2" s="221" customFormat="1" ht="12.75" x14ac:dyDescent="0.2">
      <c r="B45362" s="1168"/>
    </row>
    <row r="45363" spans="2:2" s="221" customFormat="1" ht="12.75" x14ac:dyDescent="0.2">
      <c r="B45363" s="1168"/>
    </row>
    <row r="45364" spans="2:2" s="221" customFormat="1" ht="12.75" x14ac:dyDescent="0.2">
      <c r="B45364" s="1168"/>
    </row>
    <row r="45365" spans="2:2" s="221" customFormat="1" ht="12.75" x14ac:dyDescent="0.2">
      <c r="B45365" s="1168"/>
    </row>
    <row r="45366" spans="2:2" s="221" customFormat="1" ht="12.75" x14ac:dyDescent="0.2">
      <c r="B45366" s="1168"/>
    </row>
    <row r="45367" spans="2:2" s="221" customFormat="1" ht="12.75" x14ac:dyDescent="0.2">
      <c r="B45367" s="1168"/>
    </row>
    <row r="45368" spans="2:2" s="221" customFormat="1" ht="12.75" x14ac:dyDescent="0.2">
      <c r="B45368" s="1168"/>
    </row>
    <row r="45369" spans="2:2" s="221" customFormat="1" ht="12.75" x14ac:dyDescent="0.2">
      <c r="B45369" s="1168"/>
    </row>
    <row r="45370" spans="2:2" s="221" customFormat="1" ht="12.75" x14ac:dyDescent="0.2">
      <c r="B45370" s="1168"/>
    </row>
    <row r="45371" spans="2:2" s="221" customFormat="1" ht="12.75" x14ac:dyDescent="0.2">
      <c r="B45371" s="1168"/>
    </row>
    <row r="45372" spans="2:2" s="221" customFormat="1" ht="12.75" x14ac:dyDescent="0.2">
      <c r="B45372" s="1168"/>
    </row>
    <row r="45373" spans="2:2" s="221" customFormat="1" ht="12.75" x14ac:dyDescent="0.2">
      <c r="B45373" s="1168"/>
    </row>
    <row r="45374" spans="2:2" s="221" customFormat="1" ht="12.75" x14ac:dyDescent="0.2">
      <c r="B45374" s="1168"/>
    </row>
    <row r="45375" spans="2:2" s="221" customFormat="1" ht="12.75" x14ac:dyDescent="0.2">
      <c r="B45375" s="1168"/>
    </row>
    <row r="45376" spans="2:2" s="221" customFormat="1" ht="12.75" x14ac:dyDescent="0.2">
      <c r="B45376" s="1168"/>
    </row>
    <row r="45377" spans="2:2" s="221" customFormat="1" ht="12.75" x14ac:dyDescent="0.2">
      <c r="B45377" s="1168"/>
    </row>
    <row r="45378" spans="2:2" s="221" customFormat="1" ht="12.75" x14ac:dyDescent="0.2">
      <c r="B45378" s="1168"/>
    </row>
    <row r="45379" spans="2:2" s="221" customFormat="1" ht="12.75" x14ac:dyDescent="0.2">
      <c r="B45379" s="1168"/>
    </row>
    <row r="45380" spans="2:2" s="221" customFormat="1" ht="12.75" x14ac:dyDescent="0.2">
      <c r="B45380" s="1168"/>
    </row>
    <row r="45381" spans="2:2" s="221" customFormat="1" ht="12.75" x14ac:dyDescent="0.2">
      <c r="B45381" s="1168"/>
    </row>
    <row r="45382" spans="2:2" s="221" customFormat="1" ht="12.75" x14ac:dyDescent="0.2">
      <c r="B45382" s="1168"/>
    </row>
    <row r="45383" spans="2:2" s="221" customFormat="1" ht="12.75" x14ac:dyDescent="0.2">
      <c r="B45383" s="1168"/>
    </row>
    <row r="45384" spans="2:2" s="221" customFormat="1" ht="12.75" x14ac:dyDescent="0.2">
      <c r="B45384" s="1168"/>
    </row>
    <row r="45385" spans="2:2" s="221" customFormat="1" ht="12.75" x14ac:dyDescent="0.2">
      <c r="B45385" s="1168"/>
    </row>
    <row r="45386" spans="2:2" s="221" customFormat="1" ht="12.75" x14ac:dyDescent="0.2">
      <c r="B45386" s="1168"/>
    </row>
    <row r="45387" spans="2:2" s="221" customFormat="1" ht="12.75" x14ac:dyDescent="0.2">
      <c r="B45387" s="1168"/>
    </row>
    <row r="45388" spans="2:2" s="221" customFormat="1" ht="12.75" x14ac:dyDescent="0.2">
      <c r="B45388" s="1168"/>
    </row>
    <row r="45389" spans="2:2" s="221" customFormat="1" ht="12.75" x14ac:dyDescent="0.2">
      <c r="B45389" s="1168"/>
    </row>
    <row r="45390" spans="2:2" s="221" customFormat="1" ht="12.75" x14ac:dyDescent="0.2">
      <c r="B45390" s="1168"/>
    </row>
    <row r="45391" spans="2:2" s="221" customFormat="1" ht="12.75" x14ac:dyDescent="0.2">
      <c r="B45391" s="1168"/>
    </row>
    <row r="45392" spans="2:2" s="221" customFormat="1" ht="12.75" x14ac:dyDescent="0.2">
      <c r="B45392" s="1168"/>
    </row>
    <row r="45393" spans="2:2" s="221" customFormat="1" ht="12.75" x14ac:dyDescent="0.2">
      <c r="B45393" s="1168"/>
    </row>
    <row r="45394" spans="2:2" s="221" customFormat="1" ht="12.75" x14ac:dyDescent="0.2">
      <c r="B45394" s="1168"/>
    </row>
    <row r="45395" spans="2:2" s="221" customFormat="1" ht="12.75" x14ac:dyDescent="0.2">
      <c r="B45395" s="1168"/>
    </row>
    <row r="45396" spans="2:2" s="221" customFormat="1" ht="12.75" x14ac:dyDescent="0.2">
      <c r="B45396" s="1168"/>
    </row>
    <row r="45397" spans="2:2" s="221" customFormat="1" ht="12.75" x14ac:dyDescent="0.2">
      <c r="B45397" s="1168"/>
    </row>
    <row r="45398" spans="2:2" s="221" customFormat="1" ht="12.75" x14ac:dyDescent="0.2">
      <c r="B45398" s="1168"/>
    </row>
    <row r="45399" spans="2:2" s="221" customFormat="1" ht="12.75" x14ac:dyDescent="0.2">
      <c r="B45399" s="1168"/>
    </row>
    <row r="45400" spans="2:2" s="221" customFormat="1" ht="12.75" x14ac:dyDescent="0.2">
      <c r="B45400" s="1168"/>
    </row>
    <row r="45401" spans="2:2" s="221" customFormat="1" ht="12.75" x14ac:dyDescent="0.2">
      <c r="B45401" s="1168"/>
    </row>
    <row r="45402" spans="2:2" s="221" customFormat="1" ht="12.75" x14ac:dyDescent="0.2">
      <c r="B45402" s="1168"/>
    </row>
    <row r="45403" spans="2:2" s="221" customFormat="1" ht="12.75" x14ac:dyDescent="0.2">
      <c r="B45403" s="1168"/>
    </row>
    <row r="45404" spans="2:2" s="221" customFormat="1" ht="12.75" x14ac:dyDescent="0.2">
      <c r="B45404" s="1168"/>
    </row>
    <row r="45405" spans="2:2" s="221" customFormat="1" ht="12.75" x14ac:dyDescent="0.2">
      <c r="B45405" s="1168"/>
    </row>
    <row r="45406" spans="2:2" s="221" customFormat="1" ht="12.75" x14ac:dyDescent="0.2">
      <c r="B45406" s="1168"/>
    </row>
    <row r="45407" spans="2:2" s="221" customFormat="1" ht="12.75" x14ac:dyDescent="0.2">
      <c r="B45407" s="1168"/>
    </row>
    <row r="45408" spans="2:2" s="221" customFormat="1" ht="12.75" x14ac:dyDescent="0.2">
      <c r="B45408" s="1168"/>
    </row>
    <row r="45409" spans="2:2" s="221" customFormat="1" ht="12.75" x14ac:dyDescent="0.2">
      <c r="B45409" s="1168"/>
    </row>
    <row r="45410" spans="2:2" s="221" customFormat="1" ht="12.75" x14ac:dyDescent="0.2">
      <c r="B45410" s="1168"/>
    </row>
    <row r="45411" spans="2:2" s="221" customFormat="1" ht="12.75" x14ac:dyDescent="0.2">
      <c r="B45411" s="1168"/>
    </row>
    <row r="45412" spans="2:2" s="221" customFormat="1" ht="12.75" x14ac:dyDescent="0.2">
      <c r="B45412" s="1168"/>
    </row>
    <row r="45413" spans="2:2" s="221" customFormat="1" ht="12.75" x14ac:dyDescent="0.2">
      <c r="B45413" s="1168"/>
    </row>
    <row r="45414" spans="2:2" s="221" customFormat="1" ht="12.75" x14ac:dyDescent="0.2">
      <c r="B45414" s="1168"/>
    </row>
    <row r="45415" spans="2:2" s="221" customFormat="1" ht="12.75" x14ac:dyDescent="0.2">
      <c r="B45415" s="1168"/>
    </row>
    <row r="45416" spans="2:2" s="221" customFormat="1" ht="12.75" x14ac:dyDescent="0.2">
      <c r="B45416" s="1168"/>
    </row>
    <row r="45417" spans="2:2" s="221" customFormat="1" ht="12.75" x14ac:dyDescent="0.2">
      <c r="B45417" s="1168"/>
    </row>
    <row r="45418" spans="2:2" s="221" customFormat="1" ht="12.75" x14ac:dyDescent="0.2">
      <c r="B45418" s="1168"/>
    </row>
    <row r="45419" spans="2:2" s="221" customFormat="1" ht="12.75" x14ac:dyDescent="0.2">
      <c r="B45419" s="1168"/>
    </row>
    <row r="45420" spans="2:2" s="221" customFormat="1" ht="12.75" x14ac:dyDescent="0.2">
      <c r="B45420" s="1168"/>
    </row>
    <row r="45421" spans="2:2" s="221" customFormat="1" ht="12.75" x14ac:dyDescent="0.2">
      <c r="B45421" s="1168"/>
    </row>
    <row r="45422" spans="2:2" s="221" customFormat="1" ht="12.75" x14ac:dyDescent="0.2">
      <c r="B45422" s="1168"/>
    </row>
    <row r="45423" spans="2:2" s="221" customFormat="1" ht="12.75" x14ac:dyDescent="0.2">
      <c r="B45423" s="1168"/>
    </row>
    <row r="45424" spans="2:2" s="221" customFormat="1" ht="12.75" x14ac:dyDescent="0.2">
      <c r="B45424" s="1168"/>
    </row>
    <row r="45425" spans="2:2" s="221" customFormat="1" ht="12.75" x14ac:dyDescent="0.2">
      <c r="B45425" s="1168"/>
    </row>
    <row r="45426" spans="2:2" s="221" customFormat="1" ht="12.75" x14ac:dyDescent="0.2">
      <c r="B45426" s="1168"/>
    </row>
    <row r="45427" spans="2:2" s="221" customFormat="1" ht="12.75" x14ac:dyDescent="0.2">
      <c r="B45427" s="1168"/>
    </row>
    <row r="45428" spans="2:2" s="221" customFormat="1" ht="12.75" x14ac:dyDescent="0.2">
      <c r="B45428" s="1168"/>
    </row>
    <row r="45429" spans="2:2" s="221" customFormat="1" ht="12.75" x14ac:dyDescent="0.2">
      <c r="B45429" s="1168"/>
    </row>
    <row r="45430" spans="2:2" s="221" customFormat="1" ht="12.75" x14ac:dyDescent="0.2">
      <c r="B45430" s="1168"/>
    </row>
    <row r="45431" spans="2:2" s="221" customFormat="1" ht="12.75" x14ac:dyDescent="0.2">
      <c r="B45431" s="1168"/>
    </row>
    <row r="45432" spans="2:2" s="221" customFormat="1" ht="12.75" x14ac:dyDescent="0.2">
      <c r="B45432" s="1168"/>
    </row>
    <row r="45433" spans="2:2" s="221" customFormat="1" ht="12.75" x14ac:dyDescent="0.2">
      <c r="B45433" s="1168"/>
    </row>
    <row r="45434" spans="2:2" s="221" customFormat="1" ht="12.75" x14ac:dyDescent="0.2">
      <c r="B45434" s="1168"/>
    </row>
    <row r="45435" spans="2:2" s="221" customFormat="1" ht="12.75" x14ac:dyDescent="0.2">
      <c r="B45435" s="1168"/>
    </row>
    <row r="45436" spans="2:2" s="221" customFormat="1" ht="12.75" x14ac:dyDescent="0.2">
      <c r="B45436" s="1168"/>
    </row>
    <row r="45437" spans="2:2" s="221" customFormat="1" ht="12.75" x14ac:dyDescent="0.2">
      <c r="B45437" s="1168"/>
    </row>
    <row r="45438" spans="2:2" s="221" customFormat="1" ht="12.75" x14ac:dyDescent="0.2">
      <c r="B45438" s="1168"/>
    </row>
    <row r="45439" spans="2:2" s="221" customFormat="1" ht="12.75" x14ac:dyDescent="0.2">
      <c r="B45439" s="1168"/>
    </row>
    <row r="45440" spans="2:2" s="221" customFormat="1" ht="12.75" x14ac:dyDescent="0.2">
      <c r="B45440" s="1168"/>
    </row>
    <row r="45441" spans="2:2" s="221" customFormat="1" ht="12.75" x14ac:dyDescent="0.2">
      <c r="B45441" s="1168"/>
    </row>
    <row r="45442" spans="2:2" s="221" customFormat="1" ht="12.75" x14ac:dyDescent="0.2">
      <c r="B45442" s="1168"/>
    </row>
    <row r="45443" spans="2:2" s="221" customFormat="1" ht="12.75" x14ac:dyDescent="0.2">
      <c r="B45443" s="1168"/>
    </row>
    <row r="45444" spans="2:2" s="221" customFormat="1" ht="12.75" x14ac:dyDescent="0.2">
      <c r="B45444" s="1168"/>
    </row>
    <row r="45445" spans="2:2" s="221" customFormat="1" ht="12.75" x14ac:dyDescent="0.2">
      <c r="B45445" s="1168"/>
    </row>
    <row r="45446" spans="2:2" s="221" customFormat="1" ht="12.75" x14ac:dyDescent="0.2">
      <c r="B45446" s="1168"/>
    </row>
    <row r="45447" spans="2:2" s="221" customFormat="1" ht="12.75" x14ac:dyDescent="0.2">
      <c r="B45447" s="1168"/>
    </row>
    <row r="45448" spans="2:2" s="221" customFormat="1" ht="12.75" x14ac:dyDescent="0.2">
      <c r="B45448" s="1168"/>
    </row>
    <row r="45449" spans="2:2" s="221" customFormat="1" ht="12.75" x14ac:dyDescent="0.2">
      <c r="B45449" s="1168"/>
    </row>
    <row r="45450" spans="2:2" s="221" customFormat="1" ht="12.75" x14ac:dyDescent="0.2">
      <c r="B45450" s="1168"/>
    </row>
    <row r="45451" spans="2:2" s="221" customFormat="1" ht="12.75" x14ac:dyDescent="0.2">
      <c r="B45451" s="1168"/>
    </row>
    <row r="45452" spans="2:2" s="221" customFormat="1" ht="12.75" x14ac:dyDescent="0.2">
      <c r="B45452" s="1168"/>
    </row>
    <row r="45453" spans="2:2" s="221" customFormat="1" ht="12.75" x14ac:dyDescent="0.2">
      <c r="B45453" s="1168"/>
    </row>
    <row r="45454" spans="2:2" s="221" customFormat="1" ht="12.75" x14ac:dyDescent="0.2">
      <c r="B45454" s="1168"/>
    </row>
    <row r="45455" spans="2:2" s="221" customFormat="1" ht="12.75" x14ac:dyDescent="0.2">
      <c r="B45455" s="1168"/>
    </row>
    <row r="45456" spans="2:2" s="221" customFormat="1" ht="12.75" x14ac:dyDescent="0.2">
      <c r="B45456" s="1168"/>
    </row>
    <row r="45457" spans="2:2" s="221" customFormat="1" ht="12.75" x14ac:dyDescent="0.2">
      <c r="B45457" s="1168"/>
    </row>
    <row r="45458" spans="2:2" s="221" customFormat="1" ht="12.75" x14ac:dyDescent="0.2">
      <c r="B45458" s="1168"/>
    </row>
    <row r="45459" spans="2:2" s="221" customFormat="1" ht="12.75" x14ac:dyDescent="0.2">
      <c r="B45459" s="1168"/>
    </row>
    <row r="45460" spans="2:2" s="221" customFormat="1" ht="12.75" x14ac:dyDescent="0.2">
      <c r="B45460" s="1168"/>
    </row>
    <row r="45461" spans="2:2" s="221" customFormat="1" ht="12.75" x14ac:dyDescent="0.2">
      <c r="B45461" s="1168"/>
    </row>
    <row r="45462" spans="2:2" s="221" customFormat="1" ht="12.75" x14ac:dyDescent="0.2">
      <c r="B45462" s="1168"/>
    </row>
    <row r="45463" spans="2:2" s="221" customFormat="1" ht="12.75" x14ac:dyDescent="0.2">
      <c r="B45463" s="1168"/>
    </row>
    <row r="45464" spans="2:2" s="221" customFormat="1" ht="12.75" x14ac:dyDescent="0.2">
      <c r="B45464" s="1168"/>
    </row>
    <row r="45465" spans="2:2" s="221" customFormat="1" ht="12.75" x14ac:dyDescent="0.2">
      <c r="B45465" s="1168"/>
    </row>
    <row r="45466" spans="2:2" s="221" customFormat="1" ht="12.75" x14ac:dyDescent="0.2">
      <c r="B45466" s="1168"/>
    </row>
    <row r="45467" spans="2:2" s="221" customFormat="1" ht="12.75" x14ac:dyDescent="0.2">
      <c r="B45467" s="1168"/>
    </row>
    <row r="45468" spans="2:2" s="221" customFormat="1" ht="12.75" x14ac:dyDescent="0.2">
      <c r="B45468" s="1168"/>
    </row>
    <row r="45469" spans="2:2" s="221" customFormat="1" ht="12.75" x14ac:dyDescent="0.2">
      <c r="B45469" s="1168"/>
    </row>
    <row r="45470" spans="2:2" s="221" customFormat="1" ht="12.75" x14ac:dyDescent="0.2">
      <c r="B45470" s="1168"/>
    </row>
    <row r="45471" spans="2:2" s="221" customFormat="1" ht="12.75" x14ac:dyDescent="0.2">
      <c r="B45471" s="1168"/>
    </row>
    <row r="45472" spans="2:2" s="221" customFormat="1" ht="12.75" x14ac:dyDescent="0.2">
      <c r="B45472" s="1168"/>
    </row>
    <row r="45473" spans="2:2" s="221" customFormat="1" ht="12.75" x14ac:dyDescent="0.2">
      <c r="B45473" s="1168"/>
    </row>
    <row r="45474" spans="2:2" s="221" customFormat="1" ht="12.75" x14ac:dyDescent="0.2">
      <c r="B45474" s="1168"/>
    </row>
    <row r="45475" spans="2:2" s="221" customFormat="1" ht="12.75" x14ac:dyDescent="0.2">
      <c r="B45475" s="1168"/>
    </row>
    <row r="45476" spans="2:2" s="221" customFormat="1" ht="12.75" x14ac:dyDescent="0.2">
      <c r="B45476" s="1168"/>
    </row>
    <row r="45477" spans="2:2" s="221" customFormat="1" ht="12.75" x14ac:dyDescent="0.2">
      <c r="B45477" s="1168"/>
    </row>
    <row r="45478" spans="2:2" s="221" customFormat="1" ht="12.75" x14ac:dyDescent="0.2">
      <c r="B45478" s="1168"/>
    </row>
    <row r="45479" spans="2:2" s="221" customFormat="1" ht="12.75" x14ac:dyDescent="0.2">
      <c r="B45479" s="1168"/>
    </row>
    <row r="45480" spans="2:2" s="221" customFormat="1" ht="12.75" x14ac:dyDescent="0.2">
      <c r="B45480" s="1168"/>
    </row>
    <row r="45481" spans="2:2" s="221" customFormat="1" ht="12.75" x14ac:dyDescent="0.2">
      <c r="B45481" s="1168"/>
    </row>
    <row r="45482" spans="2:2" s="221" customFormat="1" ht="12.75" x14ac:dyDescent="0.2">
      <c r="B45482" s="1168"/>
    </row>
    <row r="45483" spans="2:2" s="221" customFormat="1" ht="12.75" x14ac:dyDescent="0.2">
      <c r="B45483" s="1168"/>
    </row>
    <row r="45484" spans="2:2" s="221" customFormat="1" ht="12.75" x14ac:dyDescent="0.2">
      <c r="B45484" s="1168"/>
    </row>
    <row r="45485" spans="2:2" s="221" customFormat="1" ht="12.75" x14ac:dyDescent="0.2">
      <c r="B45485" s="1168"/>
    </row>
    <row r="45486" spans="2:2" s="221" customFormat="1" ht="12.75" x14ac:dyDescent="0.2">
      <c r="B45486" s="1168"/>
    </row>
    <row r="45487" spans="2:2" s="221" customFormat="1" ht="12.75" x14ac:dyDescent="0.2">
      <c r="B45487" s="1168"/>
    </row>
    <row r="45488" spans="2:2" s="221" customFormat="1" ht="12.75" x14ac:dyDescent="0.2">
      <c r="B45488" s="1168"/>
    </row>
    <row r="45489" spans="2:2" s="221" customFormat="1" ht="12.75" x14ac:dyDescent="0.2">
      <c r="B45489" s="1168"/>
    </row>
    <row r="45490" spans="2:2" s="221" customFormat="1" ht="12.75" x14ac:dyDescent="0.2">
      <c r="B45490" s="1168"/>
    </row>
    <row r="45491" spans="2:2" s="221" customFormat="1" ht="12.75" x14ac:dyDescent="0.2">
      <c r="B45491" s="1168"/>
    </row>
    <row r="45492" spans="2:2" s="221" customFormat="1" ht="12.75" x14ac:dyDescent="0.2">
      <c r="B45492" s="1168"/>
    </row>
    <row r="45493" spans="2:2" s="221" customFormat="1" ht="12.75" x14ac:dyDescent="0.2">
      <c r="B45493" s="1168"/>
    </row>
    <row r="45494" spans="2:2" s="221" customFormat="1" ht="12.75" x14ac:dyDescent="0.2">
      <c r="B45494" s="1168"/>
    </row>
    <row r="45495" spans="2:2" s="221" customFormat="1" ht="12.75" x14ac:dyDescent="0.2">
      <c r="B45495" s="1168"/>
    </row>
    <row r="45496" spans="2:2" s="221" customFormat="1" ht="12.75" x14ac:dyDescent="0.2">
      <c r="B45496" s="1168"/>
    </row>
    <row r="45497" spans="2:2" s="221" customFormat="1" ht="12.75" x14ac:dyDescent="0.2">
      <c r="B45497" s="1168"/>
    </row>
    <row r="45498" spans="2:2" s="221" customFormat="1" ht="12.75" x14ac:dyDescent="0.2">
      <c r="B45498" s="1168"/>
    </row>
    <row r="45499" spans="2:2" s="221" customFormat="1" ht="12.75" x14ac:dyDescent="0.2">
      <c r="B45499" s="1168"/>
    </row>
    <row r="45500" spans="2:2" s="221" customFormat="1" ht="12.75" x14ac:dyDescent="0.2">
      <c r="B45500" s="1168"/>
    </row>
    <row r="45501" spans="2:2" s="221" customFormat="1" ht="12.75" x14ac:dyDescent="0.2">
      <c r="B45501" s="1168"/>
    </row>
    <row r="45502" spans="2:2" s="221" customFormat="1" ht="12.75" x14ac:dyDescent="0.2">
      <c r="B45502" s="1168"/>
    </row>
    <row r="45503" spans="2:2" s="221" customFormat="1" ht="12.75" x14ac:dyDescent="0.2">
      <c r="B45503" s="1168"/>
    </row>
    <row r="45504" spans="2:2" s="221" customFormat="1" ht="12.75" x14ac:dyDescent="0.2">
      <c r="B45504" s="1168"/>
    </row>
    <row r="45505" spans="2:2" s="221" customFormat="1" ht="12.75" x14ac:dyDescent="0.2">
      <c r="B45505" s="1168"/>
    </row>
    <row r="45506" spans="2:2" s="221" customFormat="1" ht="12.75" x14ac:dyDescent="0.2">
      <c r="B45506" s="1168"/>
    </row>
    <row r="45507" spans="2:2" s="221" customFormat="1" ht="12.75" x14ac:dyDescent="0.2">
      <c r="B45507" s="1168"/>
    </row>
    <row r="45508" spans="2:2" s="221" customFormat="1" ht="12.75" x14ac:dyDescent="0.2">
      <c r="B45508" s="1168"/>
    </row>
    <row r="45509" spans="2:2" s="221" customFormat="1" ht="12.75" x14ac:dyDescent="0.2">
      <c r="B45509" s="1168"/>
    </row>
    <row r="45510" spans="2:2" s="221" customFormat="1" ht="12.75" x14ac:dyDescent="0.2">
      <c r="B45510" s="1168"/>
    </row>
    <row r="45511" spans="2:2" s="221" customFormat="1" ht="12.75" x14ac:dyDescent="0.2">
      <c r="B45511" s="1168"/>
    </row>
    <row r="45512" spans="2:2" s="221" customFormat="1" ht="12.75" x14ac:dyDescent="0.2">
      <c r="B45512" s="1168"/>
    </row>
    <row r="45513" spans="2:2" s="221" customFormat="1" ht="12.75" x14ac:dyDescent="0.2">
      <c r="B45513" s="1168"/>
    </row>
    <row r="45514" spans="2:2" s="221" customFormat="1" ht="12.75" x14ac:dyDescent="0.2">
      <c r="B45514" s="1168"/>
    </row>
    <row r="45515" spans="2:2" s="221" customFormat="1" ht="12.75" x14ac:dyDescent="0.2">
      <c r="B45515" s="1168"/>
    </row>
    <row r="45516" spans="2:2" s="221" customFormat="1" ht="12.75" x14ac:dyDescent="0.2">
      <c r="B45516" s="1168"/>
    </row>
    <row r="45517" spans="2:2" s="221" customFormat="1" ht="12.75" x14ac:dyDescent="0.2">
      <c r="B45517" s="1168"/>
    </row>
    <row r="45518" spans="2:2" s="221" customFormat="1" ht="12.75" x14ac:dyDescent="0.2">
      <c r="B45518" s="1168"/>
    </row>
    <row r="45519" spans="2:2" s="221" customFormat="1" ht="12.75" x14ac:dyDescent="0.2">
      <c r="B45519" s="1168"/>
    </row>
    <row r="45520" spans="2:2" s="221" customFormat="1" ht="12.75" x14ac:dyDescent="0.2">
      <c r="B45520" s="1168"/>
    </row>
    <row r="45521" spans="2:2" s="221" customFormat="1" ht="12.75" x14ac:dyDescent="0.2">
      <c r="B45521" s="1168"/>
    </row>
    <row r="45522" spans="2:2" s="221" customFormat="1" ht="12.75" x14ac:dyDescent="0.2">
      <c r="B45522" s="1168"/>
    </row>
    <row r="45523" spans="2:2" s="221" customFormat="1" ht="12.75" x14ac:dyDescent="0.2">
      <c r="B45523" s="1168"/>
    </row>
    <row r="45524" spans="2:2" s="221" customFormat="1" ht="12.75" x14ac:dyDescent="0.2">
      <c r="B45524" s="1168"/>
    </row>
    <row r="45525" spans="2:2" s="221" customFormat="1" ht="12.75" x14ac:dyDescent="0.2">
      <c r="B45525" s="1168"/>
    </row>
    <row r="45526" spans="2:2" s="221" customFormat="1" ht="12.75" x14ac:dyDescent="0.2">
      <c r="B45526" s="1168"/>
    </row>
    <row r="45527" spans="2:2" s="221" customFormat="1" ht="12.75" x14ac:dyDescent="0.2">
      <c r="B45527" s="1168"/>
    </row>
    <row r="45528" spans="2:2" s="221" customFormat="1" ht="12.75" x14ac:dyDescent="0.2">
      <c r="B45528" s="1168"/>
    </row>
    <row r="45529" spans="2:2" s="221" customFormat="1" ht="12.75" x14ac:dyDescent="0.2">
      <c r="B45529" s="1168"/>
    </row>
    <row r="45530" spans="2:2" s="221" customFormat="1" ht="12.75" x14ac:dyDescent="0.2">
      <c r="B45530" s="1168"/>
    </row>
    <row r="45531" spans="2:2" s="221" customFormat="1" ht="12.75" x14ac:dyDescent="0.2">
      <c r="B45531" s="1168"/>
    </row>
    <row r="45532" spans="2:2" s="221" customFormat="1" ht="12.75" x14ac:dyDescent="0.2">
      <c r="B45532" s="1168"/>
    </row>
    <row r="45533" spans="2:2" s="221" customFormat="1" ht="12.75" x14ac:dyDescent="0.2">
      <c r="B45533" s="1168"/>
    </row>
    <row r="45534" spans="2:2" s="221" customFormat="1" ht="12.75" x14ac:dyDescent="0.2">
      <c r="B45534" s="1168"/>
    </row>
    <row r="45535" spans="2:2" s="221" customFormat="1" ht="12.75" x14ac:dyDescent="0.2">
      <c r="B45535" s="1168"/>
    </row>
    <row r="45536" spans="2:2" s="221" customFormat="1" ht="12.75" x14ac:dyDescent="0.2">
      <c r="B45536" s="1168"/>
    </row>
    <row r="45537" spans="2:2" s="221" customFormat="1" ht="12.75" x14ac:dyDescent="0.2">
      <c r="B45537" s="1168"/>
    </row>
    <row r="45538" spans="2:2" s="221" customFormat="1" ht="12.75" x14ac:dyDescent="0.2">
      <c r="B45538" s="1168"/>
    </row>
    <row r="45539" spans="2:2" s="221" customFormat="1" ht="12.75" x14ac:dyDescent="0.2">
      <c r="B45539" s="1168"/>
    </row>
    <row r="45540" spans="2:2" s="221" customFormat="1" ht="12.75" x14ac:dyDescent="0.2">
      <c r="B45540" s="1168"/>
    </row>
    <row r="45541" spans="2:2" s="221" customFormat="1" ht="12.75" x14ac:dyDescent="0.2">
      <c r="B45541" s="1168"/>
    </row>
    <row r="45542" spans="2:2" s="221" customFormat="1" ht="12.75" x14ac:dyDescent="0.2">
      <c r="B45542" s="1168"/>
    </row>
    <row r="45543" spans="2:2" s="221" customFormat="1" ht="12.75" x14ac:dyDescent="0.2">
      <c r="B45543" s="1168"/>
    </row>
    <row r="45544" spans="2:2" s="221" customFormat="1" ht="12.75" x14ac:dyDescent="0.2">
      <c r="B45544" s="1168"/>
    </row>
    <row r="45545" spans="2:2" s="221" customFormat="1" ht="12.75" x14ac:dyDescent="0.2">
      <c r="B45545" s="1168"/>
    </row>
    <row r="45546" spans="2:2" s="221" customFormat="1" ht="12.75" x14ac:dyDescent="0.2">
      <c r="B45546" s="1168"/>
    </row>
    <row r="45547" spans="2:2" s="221" customFormat="1" ht="12.75" x14ac:dyDescent="0.2">
      <c r="B45547" s="1168"/>
    </row>
    <row r="45548" spans="2:2" s="221" customFormat="1" ht="12.75" x14ac:dyDescent="0.2">
      <c r="B45548" s="1168"/>
    </row>
    <row r="45549" spans="2:2" s="221" customFormat="1" ht="12.75" x14ac:dyDescent="0.2">
      <c r="B45549" s="1168"/>
    </row>
    <row r="45550" spans="2:2" s="221" customFormat="1" ht="12.75" x14ac:dyDescent="0.2">
      <c r="B45550" s="1168"/>
    </row>
    <row r="45551" spans="2:2" s="221" customFormat="1" ht="12.75" x14ac:dyDescent="0.2">
      <c r="B45551" s="1168"/>
    </row>
    <row r="45552" spans="2:2" s="221" customFormat="1" ht="12.75" x14ac:dyDescent="0.2">
      <c r="B45552" s="1168"/>
    </row>
    <row r="45553" spans="2:2" s="221" customFormat="1" ht="12.75" x14ac:dyDescent="0.2">
      <c r="B45553" s="1168"/>
    </row>
    <row r="45554" spans="2:2" s="221" customFormat="1" ht="12.75" x14ac:dyDescent="0.2">
      <c r="B45554" s="1168"/>
    </row>
    <row r="45555" spans="2:2" s="221" customFormat="1" ht="12.75" x14ac:dyDescent="0.2">
      <c r="B45555" s="1168"/>
    </row>
    <row r="45556" spans="2:2" s="221" customFormat="1" ht="12.75" x14ac:dyDescent="0.2">
      <c r="B45556" s="1168"/>
    </row>
    <row r="45557" spans="2:2" s="221" customFormat="1" ht="12.75" x14ac:dyDescent="0.2">
      <c r="B45557" s="1168"/>
    </row>
    <row r="45558" spans="2:2" s="221" customFormat="1" ht="12.75" x14ac:dyDescent="0.2">
      <c r="B45558" s="1168"/>
    </row>
    <row r="45559" spans="2:2" s="221" customFormat="1" ht="12.75" x14ac:dyDescent="0.2">
      <c r="B45559" s="1168"/>
    </row>
    <row r="45560" spans="2:2" s="221" customFormat="1" ht="12.75" x14ac:dyDescent="0.2">
      <c r="B45560" s="1168"/>
    </row>
    <row r="45561" spans="2:2" s="221" customFormat="1" ht="12.75" x14ac:dyDescent="0.2">
      <c r="B45561" s="1168"/>
    </row>
    <row r="45562" spans="2:2" s="221" customFormat="1" ht="12.75" x14ac:dyDescent="0.2">
      <c r="B45562" s="1168"/>
    </row>
    <row r="45563" spans="2:2" s="221" customFormat="1" ht="12.75" x14ac:dyDescent="0.2">
      <c r="B45563" s="1168"/>
    </row>
    <row r="45564" spans="2:2" s="221" customFormat="1" ht="12.75" x14ac:dyDescent="0.2">
      <c r="B45564" s="1168"/>
    </row>
    <row r="45565" spans="2:2" s="221" customFormat="1" ht="12.75" x14ac:dyDescent="0.2">
      <c r="B45565" s="1168"/>
    </row>
    <row r="45566" spans="2:2" s="221" customFormat="1" ht="12.75" x14ac:dyDescent="0.2">
      <c r="B45566" s="1168"/>
    </row>
    <row r="45567" spans="2:2" s="221" customFormat="1" ht="12.75" x14ac:dyDescent="0.2">
      <c r="B45567" s="1168"/>
    </row>
    <row r="45568" spans="2:2" s="221" customFormat="1" ht="12.75" x14ac:dyDescent="0.2">
      <c r="B45568" s="1168"/>
    </row>
    <row r="45569" spans="2:2" s="221" customFormat="1" ht="12.75" x14ac:dyDescent="0.2">
      <c r="B45569" s="1168"/>
    </row>
    <row r="45570" spans="2:2" s="221" customFormat="1" ht="12.75" x14ac:dyDescent="0.2">
      <c r="B45570" s="1168"/>
    </row>
    <row r="45571" spans="2:2" s="221" customFormat="1" ht="12.75" x14ac:dyDescent="0.2">
      <c r="B45571" s="1168"/>
    </row>
    <row r="45572" spans="2:2" s="221" customFormat="1" ht="12.75" x14ac:dyDescent="0.2">
      <c r="B45572" s="1168"/>
    </row>
    <row r="45573" spans="2:2" s="221" customFormat="1" ht="12.75" x14ac:dyDescent="0.2">
      <c r="B45573" s="1168"/>
    </row>
    <row r="45574" spans="2:2" s="221" customFormat="1" ht="12.75" x14ac:dyDescent="0.2">
      <c r="B45574" s="1168"/>
    </row>
    <row r="45575" spans="2:2" s="221" customFormat="1" ht="12.75" x14ac:dyDescent="0.2">
      <c r="B45575" s="1168"/>
    </row>
    <row r="45576" spans="2:2" s="221" customFormat="1" ht="12.75" x14ac:dyDescent="0.2">
      <c r="B45576" s="1168"/>
    </row>
    <row r="45577" spans="2:2" s="221" customFormat="1" ht="12.75" x14ac:dyDescent="0.2">
      <c r="B45577" s="1168"/>
    </row>
    <row r="45578" spans="2:2" s="221" customFormat="1" ht="12.75" x14ac:dyDescent="0.2">
      <c r="B45578" s="1168"/>
    </row>
    <row r="45579" spans="2:2" s="221" customFormat="1" ht="12.75" x14ac:dyDescent="0.2">
      <c r="B45579" s="1168"/>
    </row>
    <row r="45580" spans="2:2" s="221" customFormat="1" ht="12.75" x14ac:dyDescent="0.2">
      <c r="B45580" s="1168"/>
    </row>
    <row r="45581" spans="2:2" s="221" customFormat="1" ht="12.75" x14ac:dyDescent="0.2">
      <c r="B45581" s="1168"/>
    </row>
    <row r="45582" spans="2:2" s="221" customFormat="1" ht="12.75" x14ac:dyDescent="0.2">
      <c r="B45582" s="1168"/>
    </row>
    <row r="45583" spans="2:2" s="221" customFormat="1" ht="12.75" x14ac:dyDescent="0.2">
      <c r="B45583" s="1168"/>
    </row>
    <row r="45584" spans="2:2" s="221" customFormat="1" ht="12.75" x14ac:dyDescent="0.2">
      <c r="B45584" s="1168"/>
    </row>
    <row r="45585" spans="2:2" s="221" customFormat="1" ht="12.75" x14ac:dyDescent="0.2">
      <c r="B45585" s="1168"/>
    </row>
    <row r="45586" spans="2:2" s="221" customFormat="1" ht="12.75" x14ac:dyDescent="0.2">
      <c r="B45586" s="1168"/>
    </row>
    <row r="45587" spans="2:2" s="221" customFormat="1" ht="12.75" x14ac:dyDescent="0.2">
      <c r="B45587" s="1168"/>
    </row>
    <row r="45588" spans="2:2" s="221" customFormat="1" ht="12.75" x14ac:dyDescent="0.2">
      <c r="B45588" s="1168"/>
    </row>
    <row r="45589" spans="2:2" s="221" customFormat="1" ht="12.75" x14ac:dyDescent="0.2">
      <c r="B45589" s="1168"/>
    </row>
    <row r="45590" spans="2:2" s="221" customFormat="1" ht="12.75" x14ac:dyDescent="0.2">
      <c r="B45590" s="1168"/>
    </row>
    <row r="45591" spans="2:2" s="221" customFormat="1" ht="12.75" x14ac:dyDescent="0.2">
      <c r="B45591" s="1168"/>
    </row>
    <row r="45592" spans="2:2" s="221" customFormat="1" ht="12.75" x14ac:dyDescent="0.2">
      <c r="B45592" s="1168"/>
    </row>
    <row r="45593" spans="2:2" s="221" customFormat="1" ht="12.75" x14ac:dyDescent="0.2">
      <c r="B45593" s="1168"/>
    </row>
    <row r="45594" spans="2:2" s="221" customFormat="1" ht="12.75" x14ac:dyDescent="0.2">
      <c r="B45594" s="1168"/>
    </row>
    <row r="45595" spans="2:2" s="221" customFormat="1" ht="12.75" x14ac:dyDescent="0.2">
      <c r="B45595" s="1168"/>
    </row>
    <row r="45596" spans="2:2" s="221" customFormat="1" ht="12.75" x14ac:dyDescent="0.2">
      <c r="B45596" s="1168"/>
    </row>
    <row r="45597" spans="2:2" s="221" customFormat="1" ht="12.75" x14ac:dyDescent="0.2">
      <c r="B45597" s="1168"/>
    </row>
    <row r="45598" spans="2:2" s="221" customFormat="1" ht="12.75" x14ac:dyDescent="0.2">
      <c r="B45598" s="1168"/>
    </row>
    <row r="45599" spans="2:2" s="221" customFormat="1" ht="12.75" x14ac:dyDescent="0.2">
      <c r="B45599" s="1168"/>
    </row>
    <row r="45600" spans="2:2" s="221" customFormat="1" ht="12.75" x14ac:dyDescent="0.2">
      <c r="B45600" s="1168"/>
    </row>
    <row r="45601" spans="2:2" s="221" customFormat="1" ht="12.75" x14ac:dyDescent="0.2">
      <c r="B45601" s="1168"/>
    </row>
    <row r="45602" spans="2:2" s="221" customFormat="1" ht="12.75" x14ac:dyDescent="0.2">
      <c r="B45602" s="1168"/>
    </row>
    <row r="45603" spans="2:2" s="221" customFormat="1" ht="12.75" x14ac:dyDescent="0.2">
      <c r="B45603" s="1168"/>
    </row>
    <row r="45604" spans="2:2" s="221" customFormat="1" ht="12.75" x14ac:dyDescent="0.2">
      <c r="B45604" s="1168"/>
    </row>
    <row r="45605" spans="2:2" s="221" customFormat="1" ht="12.75" x14ac:dyDescent="0.2">
      <c r="B45605" s="1168"/>
    </row>
    <row r="45606" spans="2:2" s="221" customFormat="1" ht="12.75" x14ac:dyDescent="0.2">
      <c r="B45606" s="1168"/>
    </row>
    <row r="45607" spans="2:2" s="221" customFormat="1" ht="12.75" x14ac:dyDescent="0.2">
      <c r="B45607" s="1168"/>
    </row>
    <row r="45608" spans="2:2" s="221" customFormat="1" ht="12.75" x14ac:dyDescent="0.2">
      <c r="B45608" s="1168"/>
    </row>
    <row r="45609" spans="2:2" s="221" customFormat="1" ht="12.75" x14ac:dyDescent="0.2">
      <c r="B45609" s="1168"/>
    </row>
    <row r="45610" spans="2:2" s="221" customFormat="1" ht="12.75" x14ac:dyDescent="0.2">
      <c r="B45610" s="1168"/>
    </row>
    <row r="45611" spans="2:2" s="221" customFormat="1" ht="12.75" x14ac:dyDescent="0.2">
      <c r="B45611" s="1168"/>
    </row>
    <row r="45612" spans="2:2" s="221" customFormat="1" ht="12.75" x14ac:dyDescent="0.2">
      <c r="B45612" s="1168"/>
    </row>
    <row r="45613" spans="2:2" s="221" customFormat="1" ht="12.75" x14ac:dyDescent="0.2">
      <c r="B45613" s="1168"/>
    </row>
    <row r="45614" spans="2:2" s="221" customFormat="1" ht="12.75" x14ac:dyDescent="0.2">
      <c r="B45614" s="1168"/>
    </row>
    <row r="45615" spans="2:2" s="221" customFormat="1" ht="12.75" x14ac:dyDescent="0.2">
      <c r="B45615" s="1168"/>
    </row>
    <row r="45616" spans="2:2" s="221" customFormat="1" ht="12.75" x14ac:dyDescent="0.2">
      <c r="B45616" s="1168"/>
    </row>
    <row r="45617" spans="2:2" s="221" customFormat="1" ht="12.75" x14ac:dyDescent="0.2">
      <c r="B45617" s="1168"/>
    </row>
    <row r="45618" spans="2:2" s="221" customFormat="1" ht="12.75" x14ac:dyDescent="0.2">
      <c r="B45618" s="1168"/>
    </row>
    <row r="45619" spans="2:2" s="221" customFormat="1" ht="12.75" x14ac:dyDescent="0.2">
      <c r="B45619" s="1168"/>
    </row>
    <row r="45620" spans="2:2" s="221" customFormat="1" ht="12.75" x14ac:dyDescent="0.2">
      <c r="B45620" s="1168"/>
    </row>
    <row r="45621" spans="2:2" s="221" customFormat="1" ht="12.75" x14ac:dyDescent="0.2">
      <c r="B45621" s="1168"/>
    </row>
    <row r="45622" spans="2:2" s="221" customFormat="1" ht="12.75" x14ac:dyDescent="0.2">
      <c r="B45622" s="1168"/>
    </row>
    <row r="45623" spans="2:2" s="221" customFormat="1" ht="12.75" x14ac:dyDescent="0.2">
      <c r="B45623" s="1168"/>
    </row>
    <row r="45624" spans="2:2" s="221" customFormat="1" ht="12.75" x14ac:dyDescent="0.2">
      <c r="B45624" s="1168"/>
    </row>
    <row r="45625" spans="2:2" s="221" customFormat="1" ht="12.75" x14ac:dyDescent="0.2">
      <c r="B45625" s="1168"/>
    </row>
    <row r="45626" spans="2:2" s="221" customFormat="1" ht="12.75" x14ac:dyDescent="0.2">
      <c r="B45626" s="1168"/>
    </row>
    <row r="45627" spans="2:2" s="221" customFormat="1" ht="12.75" x14ac:dyDescent="0.2">
      <c r="B45627" s="1168"/>
    </row>
    <row r="45628" spans="2:2" s="221" customFormat="1" ht="12.75" x14ac:dyDescent="0.2">
      <c r="B45628" s="1168"/>
    </row>
    <row r="45629" spans="2:2" s="221" customFormat="1" ht="12.75" x14ac:dyDescent="0.2">
      <c r="B45629" s="1168"/>
    </row>
    <row r="45630" spans="2:2" s="221" customFormat="1" ht="12.75" x14ac:dyDescent="0.2">
      <c r="B45630" s="1168"/>
    </row>
    <row r="45631" spans="2:2" s="221" customFormat="1" ht="12.75" x14ac:dyDescent="0.2">
      <c r="B45631" s="1168"/>
    </row>
    <row r="45632" spans="2:2" s="221" customFormat="1" ht="12.75" x14ac:dyDescent="0.2">
      <c r="B45632" s="1168"/>
    </row>
    <row r="45633" spans="2:2" s="221" customFormat="1" ht="12.75" x14ac:dyDescent="0.2">
      <c r="B45633" s="1168"/>
    </row>
    <row r="45634" spans="2:2" s="221" customFormat="1" ht="12.75" x14ac:dyDescent="0.2">
      <c r="B45634" s="1168"/>
    </row>
    <row r="45635" spans="2:2" s="221" customFormat="1" ht="12.75" x14ac:dyDescent="0.2">
      <c r="B45635" s="1168"/>
    </row>
    <row r="45636" spans="2:2" s="221" customFormat="1" ht="12.75" x14ac:dyDescent="0.2">
      <c r="B45636" s="1168"/>
    </row>
    <row r="45637" spans="2:2" s="221" customFormat="1" ht="12.75" x14ac:dyDescent="0.2">
      <c r="B45637" s="1168"/>
    </row>
    <row r="45638" spans="2:2" s="221" customFormat="1" ht="12.75" x14ac:dyDescent="0.2">
      <c r="B45638" s="1168"/>
    </row>
    <row r="45639" spans="2:2" s="221" customFormat="1" ht="12.75" x14ac:dyDescent="0.2">
      <c r="B45639" s="1168"/>
    </row>
    <row r="45640" spans="2:2" s="221" customFormat="1" ht="12.75" x14ac:dyDescent="0.2">
      <c r="B45640" s="1168"/>
    </row>
    <row r="45641" spans="2:2" s="221" customFormat="1" ht="12.75" x14ac:dyDescent="0.2">
      <c r="B45641" s="1168"/>
    </row>
    <row r="45642" spans="2:2" s="221" customFormat="1" ht="12.75" x14ac:dyDescent="0.2">
      <c r="B45642" s="1168"/>
    </row>
    <row r="45643" spans="2:2" s="221" customFormat="1" ht="12.75" x14ac:dyDescent="0.2">
      <c r="B45643" s="1168"/>
    </row>
    <row r="45644" spans="2:2" s="221" customFormat="1" ht="12.75" x14ac:dyDescent="0.2">
      <c r="B45644" s="1168"/>
    </row>
    <row r="45645" spans="2:2" s="221" customFormat="1" ht="12.75" x14ac:dyDescent="0.2">
      <c r="B45645" s="1168"/>
    </row>
    <row r="45646" spans="2:2" s="221" customFormat="1" ht="12.75" x14ac:dyDescent="0.2">
      <c r="B45646" s="1168"/>
    </row>
    <row r="45647" spans="2:2" s="221" customFormat="1" ht="12.75" x14ac:dyDescent="0.2">
      <c r="B45647" s="1168"/>
    </row>
    <row r="45648" spans="2:2" s="221" customFormat="1" ht="12.75" x14ac:dyDescent="0.2">
      <c r="B45648" s="1168"/>
    </row>
    <row r="45649" spans="2:2" s="221" customFormat="1" ht="12.75" x14ac:dyDescent="0.2">
      <c r="B45649" s="1168"/>
    </row>
    <row r="45650" spans="2:2" s="221" customFormat="1" ht="12.75" x14ac:dyDescent="0.2">
      <c r="B45650" s="1168"/>
    </row>
    <row r="45651" spans="2:2" s="221" customFormat="1" ht="12.75" x14ac:dyDescent="0.2">
      <c r="B45651" s="1168"/>
    </row>
    <row r="45652" spans="2:2" s="221" customFormat="1" ht="12.75" x14ac:dyDescent="0.2">
      <c r="B45652" s="1168"/>
    </row>
    <row r="45653" spans="2:2" s="221" customFormat="1" ht="12.75" x14ac:dyDescent="0.2">
      <c r="B45653" s="1168"/>
    </row>
    <row r="45654" spans="2:2" s="221" customFormat="1" ht="12.75" x14ac:dyDescent="0.2">
      <c r="B45654" s="1168"/>
    </row>
    <row r="45655" spans="2:2" s="221" customFormat="1" ht="12.75" x14ac:dyDescent="0.2">
      <c r="B45655" s="1168"/>
    </row>
    <row r="45656" spans="2:2" s="221" customFormat="1" ht="12.75" x14ac:dyDescent="0.2">
      <c r="B45656" s="1168"/>
    </row>
    <row r="45657" spans="2:2" s="221" customFormat="1" ht="12.75" x14ac:dyDescent="0.2">
      <c r="B45657" s="1168"/>
    </row>
    <row r="45658" spans="2:2" s="221" customFormat="1" ht="12.75" x14ac:dyDescent="0.2">
      <c r="B45658" s="1168"/>
    </row>
    <row r="45659" spans="2:2" s="221" customFormat="1" ht="12.75" x14ac:dyDescent="0.2">
      <c r="B45659" s="1168"/>
    </row>
    <row r="45660" spans="2:2" s="221" customFormat="1" ht="12.75" x14ac:dyDescent="0.2">
      <c r="B45660" s="1168"/>
    </row>
    <row r="45661" spans="2:2" s="221" customFormat="1" ht="12.75" x14ac:dyDescent="0.2">
      <c r="B45661" s="1168"/>
    </row>
    <row r="45662" spans="2:2" s="221" customFormat="1" ht="12.75" x14ac:dyDescent="0.2">
      <c r="B45662" s="1168"/>
    </row>
    <row r="45663" spans="2:2" s="221" customFormat="1" ht="12.75" x14ac:dyDescent="0.2">
      <c r="B45663" s="1168"/>
    </row>
    <row r="45664" spans="2:2" s="221" customFormat="1" ht="12.75" x14ac:dyDescent="0.2">
      <c r="B45664" s="1168"/>
    </row>
    <row r="45665" spans="2:2" s="221" customFormat="1" ht="12.75" x14ac:dyDescent="0.2">
      <c r="B45665" s="1168"/>
    </row>
    <row r="45666" spans="2:2" s="221" customFormat="1" ht="12.75" x14ac:dyDescent="0.2">
      <c r="B45666" s="1168"/>
    </row>
    <row r="45667" spans="2:2" s="221" customFormat="1" ht="12.75" x14ac:dyDescent="0.2">
      <c r="B45667" s="1168"/>
    </row>
    <row r="45668" spans="2:2" s="221" customFormat="1" ht="12.75" x14ac:dyDescent="0.2">
      <c r="B45668" s="1168"/>
    </row>
    <row r="45669" spans="2:2" s="221" customFormat="1" ht="12.75" x14ac:dyDescent="0.2">
      <c r="B45669" s="1168"/>
    </row>
    <row r="45670" spans="2:2" s="221" customFormat="1" ht="12.75" x14ac:dyDescent="0.2">
      <c r="B45670" s="1168"/>
    </row>
    <row r="45671" spans="2:2" s="221" customFormat="1" ht="12.75" x14ac:dyDescent="0.2">
      <c r="B45671" s="1168"/>
    </row>
    <row r="45672" spans="2:2" s="221" customFormat="1" ht="12.75" x14ac:dyDescent="0.2">
      <c r="B45672" s="1168"/>
    </row>
    <row r="45673" spans="2:2" s="221" customFormat="1" ht="12.75" x14ac:dyDescent="0.2">
      <c r="B45673" s="1168"/>
    </row>
    <row r="45674" spans="2:2" s="221" customFormat="1" ht="12.75" x14ac:dyDescent="0.2">
      <c r="B45674" s="1168"/>
    </row>
    <row r="45675" spans="2:2" s="221" customFormat="1" ht="12.75" x14ac:dyDescent="0.2">
      <c r="B45675" s="1168"/>
    </row>
    <row r="45676" spans="2:2" s="221" customFormat="1" ht="12.75" x14ac:dyDescent="0.2">
      <c r="B45676" s="1168"/>
    </row>
    <row r="45677" spans="2:2" s="221" customFormat="1" ht="12.75" x14ac:dyDescent="0.2">
      <c r="B45677" s="1168"/>
    </row>
    <row r="45678" spans="2:2" s="221" customFormat="1" ht="12.75" x14ac:dyDescent="0.2">
      <c r="B45678" s="1168"/>
    </row>
    <row r="45679" spans="2:2" s="221" customFormat="1" ht="12.75" x14ac:dyDescent="0.2">
      <c r="B45679" s="1168"/>
    </row>
    <row r="45680" spans="2:2" s="221" customFormat="1" ht="12.75" x14ac:dyDescent="0.2">
      <c r="B45680" s="1168"/>
    </row>
    <row r="45681" spans="2:2" s="221" customFormat="1" ht="12.75" x14ac:dyDescent="0.2">
      <c r="B45681" s="1168"/>
    </row>
    <row r="45682" spans="2:2" s="221" customFormat="1" ht="12.75" x14ac:dyDescent="0.2">
      <c r="B45682" s="1168"/>
    </row>
    <row r="45683" spans="2:2" s="221" customFormat="1" ht="12.75" x14ac:dyDescent="0.2">
      <c r="B45683" s="1168"/>
    </row>
    <row r="45684" spans="2:2" s="221" customFormat="1" ht="12.75" x14ac:dyDescent="0.2">
      <c r="B45684" s="1168"/>
    </row>
    <row r="45685" spans="2:2" s="221" customFormat="1" ht="12.75" x14ac:dyDescent="0.2">
      <c r="B45685" s="1168"/>
    </row>
    <row r="45686" spans="2:2" s="221" customFormat="1" ht="12.75" x14ac:dyDescent="0.2">
      <c r="B45686" s="1168"/>
    </row>
    <row r="45687" spans="2:2" s="221" customFormat="1" ht="12.75" x14ac:dyDescent="0.2">
      <c r="B45687" s="1168"/>
    </row>
    <row r="45688" spans="2:2" s="221" customFormat="1" ht="12.75" x14ac:dyDescent="0.2">
      <c r="B45688" s="1168"/>
    </row>
    <row r="45689" spans="2:2" s="221" customFormat="1" ht="12.75" x14ac:dyDescent="0.2">
      <c r="B45689" s="1168"/>
    </row>
    <row r="45690" spans="2:2" s="221" customFormat="1" ht="12.75" x14ac:dyDescent="0.2">
      <c r="B45690" s="1168"/>
    </row>
    <row r="45691" spans="2:2" s="221" customFormat="1" ht="12.75" x14ac:dyDescent="0.2">
      <c r="B45691" s="1168"/>
    </row>
    <row r="45692" spans="2:2" s="221" customFormat="1" ht="12.75" x14ac:dyDescent="0.2">
      <c r="B45692" s="1168"/>
    </row>
    <row r="45693" spans="2:2" s="221" customFormat="1" ht="12.75" x14ac:dyDescent="0.2">
      <c r="B45693" s="1168"/>
    </row>
    <row r="45694" spans="2:2" s="221" customFormat="1" ht="12.75" x14ac:dyDescent="0.2">
      <c r="B45694" s="1168"/>
    </row>
    <row r="45695" spans="2:2" s="221" customFormat="1" ht="12.75" x14ac:dyDescent="0.2">
      <c r="B45695" s="1168"/>
    </row>
    <row r="45696" spans="2:2" s="221" customFormat="1" ht="12.75" x14ac:dyDescent="0.2">
      <c r="B45696" s="1168"/>
    </row>
    <row r="45697" spans="2:2" s="221" customFormat="1" ht="12.75" x14ac:dyDescent="0.2">
      <c r="B45697" s="1168"/>
    </row>
    <row r="45698" spans="2:2" s="221" customFormat="1" ht="12.75" x14ac:dyDescent="0.2">
      <c r="B45698" s="1168"/>
    </row>
    <row r="45699" spans="2:2" s="221" customFormat="1" ht="12.75" x14ac:dyDescent="0.2">
      <c r="B45699" s="1168"/>
    </row>
    <row r="45700" spans="2:2" s="221" customFormat="1" ht="12.75" x14ac:dyDescent="0.2">
      <c r="B45700" s="1168"/>
    </row>
    <row r="45701" spans="2:2" s="221" customFormat="1" ht="12.75" x14ac:dyDescent="0.2">
      <c r="B45701" s="1168"/>
    </row>
    <row r="45702" spans="2:2" s="221" customFormat="1" ht="12.75" x14ac:dyDescent="0.2">
      <c r="B45702" s="1168"/>
    </row>
    <row r="45703" spans="2:2" s="221" customFormat="1" ht="12.75" x14ac:dyDescent="0.2">
      <c r="B45703" s="1168"/>
    </row>
    <row r="45704" spans="2:2" s="221" customFormat="1" ht="12.75" x14ac:dyDescent="0.2">
      <c r="B45704" s="1168"/>
    </row>
    <row r="45705" spans="2:2" s="221" customFormat="1" ht="12.75" x14ac:dyDescent="0.2">
      <c r="B45705" s="1168"/>
    </row>
    <row r="45706" spans="2:2" s="221" customFormat="1" ht="12.75" x14ac:dyDescent="0.2">
      <c r="B45706" s="1168"/>
    </row>
    <row r="45707" spans="2:2" s="221" customFormat="1" ht="12.75" x14ac:dyDescent="0.2">
      <c r="B45707" s="1168"/>
    </row>
    <row r="45708" spans="2:2" s="221" customFormat="1" ht="12.75" x14ac:dyDescent="0.2">
      <c r="B45708" s="1168"/>
    </row>
    <row r="45709" spans="2:2" s="221" customFormat="1" ht="12.75" x14ac:dyDescent="0.2">
      <c r="B45709" s="1168"/>
    </row>
    <row r="45710" spans="2:2" s="221" customFormat="1" ht="12.75" x14ac:dyDescent="0.2">
      <c r="B45710" s="1168"/>
    </row>
    <row r="45711" spans="2:2" s="221" customFormat="1" ht="12.75" x14ac:dyDescent="0.2">
      <c r="B45711" s="1168"/>
    </row>
    <row r="45712" spans="2:2" s="221" customFormat="1" ht="12.75" x14ac:dyDescent="0.2">
      <c r="B45712" s="1168"/>
    </row>
    <row r="45713" spans="2:2" s="221" customFormat="1" ht="12.75" x14ac:dyDescent="0.2">
      <c r="B45713" s="1168"/>
    </row>
    <row r="45714" spans="2:2" s="221" customFormat="1" ht="12.75" x14ac:dyDescent="0.2">
      <c r="B45714" s="1168"/>
    </row>
    <row r="45715" spans="2:2" s="221" customFormat="1" ht="12.75" x14ac:dyDescent="0.2">
      <c r="B45715" s="1168"/>
    </row>
    <row r="45716" spans="2:2" s="221" customFormat="1" ht="12.75" x14ac:dyDescent="0.2">
      <c r="B45716" s="1168"/>
    </row>
    <row r="45717" spans="2:2" s="221" customFormat="1" ht="12.75" x14ac:dyDescent="0.2">
      <c r="B45717" s="1168"/>
    </row>
    <row r="45718" spans="2:2" s="221" customFormat="1" ht="12.75" x14ac:dyDescent="0.2">
      <c r="B45718" s="1168"/>
    </row>
    <row r="45719" spans="2:2" s="221" customFormat="1" ht="12.75" x14ac:dyDescent="0.2">
      <c r="B45719" s="1168"/>
    </row>
    <row r="45720" spans="2:2" s="221" customFormat="1" ht="12.75" x14ac:dyDescent="0.2">
      <c r="B45720" s="1168"/>
    </row>
    <row r="45721" spans="2:2" s="221" customFormat="1" ht="12.75" x14ac:dyDescent="0.2">
      <c r="B45721" s="1168"/>
    </row>
    <row r="45722" spans="2:2" s="221" customFormat="1" ht="12.75" x14ac:dyDescent="0.2">
      <c r="B45722" s="1168"/>
    </row>
    <row r="45723" spans="2:2" s="221" customFormat="1" ht="12.75" x14ac:dyDescent="0.2">
      <c r="B45723" s="1168"/>
    </row>
    <row r="45724" spans="2:2" s="221" customFormat="1" ht="12.75" x14ac:dyDescent="0.2">
      <c r="B45724" s="1168"/>
    </row>
    <row r="45725" spans="2:2" s="221" customFormat="1" ht="12.75" x14ac:dyDescent="0.2">
      <c r="B45725" s="1168"/>
    </row>
    <row r="45726" spans="2:2" s="221" customFormat="1" ht="12.75" x14ac:dyDescent="0.2">
      <c r="B45726" s="1168"/>
    </row>
    <row r="45727" spans="2:2" s="221" customFormat="1" ht="12.75" x14ac:dyDescent="0.2">
      <c r="B45727" s="1168"/>
    </row>
    <row r="45728" spans="2:2" s="221" customFormat="1" ht="12.75" x14ac:dyDescent="0.2">
      <c r="B45728" s="1168"/>
    </row>
    <row r="45729" spans="2:2" s="221" customFormat="1" ht="12.75" x14ac:dyDescent="0.2">
      <c r="B45729" s="1168"/>
    </row>
    <row r="45730" spans="2:2" s="221" customFormat="1" ht="12.75" x14ac:dyDescent="0.2">
      <c r="B45730" s="1168"/>
    </row>
    <row r="45731" spans="2:2" s="221" customFormat="1" ht="12.75" x14ac:dyDescent="0.2">
      <c r="B45731" s="1168"/>
    </row>
    <row r="45732" spans="2:2" s="221" customFormat="1" ht="12.75" x14ac:dyDescent="0.2">
      <c r="B45732" s="1168"/>
    </row>
    <row r="45733" spans="2:2" s="221" customFormat="1" ht="12.75" x14ac:dyDescent="0.2">
      <c r="B45733" s="1168"/>
    </row>
    <row r="45734" spans="2:2" s="221" customFormat="1" ht="12.75" x14ac:dyDescent="0.2">
      <c r="B45734" s="1168"/>
    </row>
    <row r="45735" spans="2:2" s="221" customFormat="1" ht="12.75" x14ac:dyDescent="0.2">
      <c r="B45735" s="1168"/>
    </row>
    <row r="45736" spans="2:2" s="221" customFormat="1" ht="12.75" x14ac:dyDescent="0.2">
      <c r="B45736" s="1168"/>
    </row>
    <row r="45737" spans="2:2" s="221" customFormat="1" ht="12.75" x14ac:dyDescent="0.2">
      <c r="B45737" s="1168"/>
    </row>
    <row r="45738" spans="2:2" s="221" customFormat="1" ht="12.75" x14ac:dyDescent="0.2">
      <c r="B45738" s="1168"/>
    </row>
    <row r="45739" spans="2:2" s="221" customFormat="1" ht="12.75" x14ac:dyDescent="0.2">
      <c r="B45739" s="1168"/>
    </row>
    <row r="45740" spans="2:2" s="221" customFormat="1" ht="12.75" x14ac:dyDescent="0.2">
      <c r="B45740" s="1168"/>
    </row>
    <row r="45741" spans="2:2" s="221" customFormat="1" ht="12.75" x14ac:dyDescent="0.2">
      <c r="B45741" s="1168"/>
    </row>
    <row r="45742" spans="2:2" s="221" customFormat="1" ht="12.75" x14ac:dyDescent="0.2">
      <c r="B45742" s="1168"/>
    </row>
    <row r="45743" spans="2:2" s="221" customFormat="1" ht="12.75" x14ac:dyDescent="0.2">
      <c r="B45743" s="1168"/>
    </row>
    <row r="45744" spans="2:2" s="221" customFormat="1" ht="12.75" x14ac:dyDescent="0.2">
      <c r="B45744" s="1168"/>
    </row>
    <row r="45745" spans="2:2" s="221" customFormat="1" ht="12.75" x14ac:dyDescent="0.2">
      <c r="B45745" s="1168"/>
    </row>
    <row r="45746" spans="2:2" s="221" customFormat="1" ht="12.75" x14ac:dyDescent="0.2">
      <c r="B45746" s="1168"/>
    </row>
    <row r="45747" spans="2:2" s="221" customFormat="1" ht="12.75" x14ac:dyDescent="0.2">
      <c r="B45747" s="1168"/>
    </row>
    <row r="45748" spans="2:2" s="221" customFormat="1" ht="12.75" x14ac:dyDescent="0.2">
      <c r="B45748" s="1168"/>
    </row>
    <row r="45749" spans="2:2" s="221" customFormat="1" ht="12.75" x14ac:dyDescent="0.2">
      <c r="B45749" s="1168"/>
    </row>
    <row r="45750" spans="2:2" s="221" customFormat="1" ht="12.75" x14ac:dyDescent="0.2">
      <c r="B45750" s="1168"/>
    </row>
    <row r="45751" spans="2:2" s="221" customFormat="1" ht="12.75" x14ac:dyDescent="0.2">
      <c r="B45751" s="1168"/>
    </row>
    <row r="45752" spans="2:2" s="221" customFormat="1" ht="12.75" x14ac:dyDescent="0.2">
      <c r="B45752" s="1168"/>
    </row>
    <row r="45753" spans="2:2" s="221" customFormat="1" ht="12.75" x14ac:dyDescent="0.2">
      <c r="B45753" s="1168"/>
    </row>
    <row r="45754" spans="2:2" s="221" customFormat="1" ht="12.75" x14ac:dyDescent="0.2">
      <c r="B45754" s="1168"/>
    </row>
    <row r="45755" spans="2:2" s="221" customFormat="1" ht="12.75" x14ac:dyDescent="0.2">
      <c r="B45755" s="1168"/>
    </row>
    <row r="45756" spans="2:2" s="221" customFormat="1" ht="12.75" x14ac:dyDescent="0.2">
      <c r="B45756" s="1168"/>
    </row>
    <row r="45757" spans="2:2" s="221" customFormat="1" ht="12.75" x14ac:dyDescent="0.2">
      <c r="B45757" s="1168"/>
    </row>
    <row r="45758" spans="2:2" s="221" customFormat="1" ht="12.75" x14ac:dyDescent="0.2">
      <c r="B45758" s="1168"/>
    </row>
    <row r="45759" spans="2:2" s="221" customFormat="1" ht="12.75" x14ac:dyDescent="0.2">
      <c r="B45759" s="1168"/>
    </row>
    <row r="45760" spans="2:2" s="221" customFormat="1" ht="12.75" x14ac:dyDescent="0.2">
      <c r="B45760" s="1168"/>
    </row>
    <row r="45761" spans="2:2" s="221" customFormat="1" ht="12.75" x14ac:dyDescent="0.2">
      <c r="B45761" s="1168"/>
    </row>
    <row r="45762" spans="2:2" s="221" customFormat="1" ht="12.75" x14ac:dyDescent="0.2">
      <c r="B45762" s="1168"/>
    </row>
    <row r="45763" spans="2:2" s="221" customFormat="1" ht="12.75" x14ac:dyDescent="0.2">
      <c r="B45763" s="1168"/>
    </row>
    <row r="45764" spans="2:2" s="221" customFormat="1" ht="12.75" x14ac:dyDescent="0.2">
      <c r="B45764" s="1168"/>
    </row>
    <row r="45765" spans="2:2" s="221" customFormat="1" ht="12.75" x14ac:dyDescent="0.2">
      <c r="B45765" s="1168"/>
    </row>
    <row r="45766" spans="2:2" s="221" customFormat="1" ht="12.75" x14ac:dyDescent="0.2">
      <c r="B45766" s="1168"/>
    </row>
    <row r="45767" spans="2:2" s="221" customFormat="1" ht="12.75" x14ac:dyDescent="0.2">
      <c r="B45767" s="1168"/>
    </row>
    <row r="45768" spans="2:2" s="221" customFormat="1" ht="12.75" x14ac:dyDescent="0.2">
      <c r="B45768" s="1168"/>
    </row>
    <row r="45769" spans="2:2" s="221" customFormat="1" ht="12.75" x14ac:dyDescent="0.2">
      <c r="B45769" s="1168"/>
    </row>
    <row r="45770" spans="2:2" s="221" customFormat="1" ht="12.75" x14ac:dyDescent="0.2">
      <c r="B45770" s="1168"/>
    </row>
    <row r="45771" spans="2:2" s="221" customFormat="1" ht="12.75" x14ac:dyDescent="0.2">
      <c r="B45771" s="1168"/>
    </row>
    <row r="45772" spans="2:2" s="221" customFormat="1" ht="12.75" x14ac:dyDescent="0.2">
      <c r="B45772" s="1168"/>
    </row>
    <row r="45773" spans="2:2" s="221" customFormat="1" ht="12.75" x14ac:dyDescent="0.2">
      <c r="B45773" s="1168"/>
    </row>
    <row r="45774" spans="2:2" s="221" customFormat="1" ht="12.75" x14ac:dyDescent="0.2">
      <c r="B45774" s="1168"/>
    </row>
    <row r="45775" spans="2:2" s="221" customFormat="1" ht="12.75" x14ac:dyDescent="0.2">
      <c r="B45775" s="1168"/>
    </row>
    <row r="45776" spans="2:2" s="221" customFormat="1" ht="12.75" x14ac:dyDescent="0.2">
      <c r="B45776" s="1168"/>
    </row>
    <row r="45777" spans="2:2" s="221" customFormat="1" ht="12.75" x14ac:dyDescent="0.2">
      <c r="B45777" s="1168"/>
    </row>
    <row r="45778" spans="2:2" s="221" customFormat="1" ht="12.75" x14ac:dyDescent="0.2">
      <c r="B45778" s="1168"/>
    </row>
    <row r="45779" spans="2:2" s="221" customFormat="1" ht="12.75" x14ac:dyDescent="0.2">
      <c r="B45779" s="1168"/>
    </row>
    <row r="45780" spans="2:2" s="221" customFormat="1" ht="12.75" x14ac:dyDescent="0.2">
      <c r="B45780" s="1168"/>
    </row>
    <row r="45781" spans="2:2" s="221" customFormat="1" ht="12.75" x14ac:dyDescent="0.2">
      <c r="B45781" s="1168"/>
    </row>
    <row r="45782" spans="2:2" s="221" customFormat="1" ht="12.75" x14ac:dyDescent="0.2">
      <c r="B45782" s="1168"/>
    </row>
    <row r="45783" spans="2:2" s="221" customFormat="1" ht="12.75" x14ac:dyDescent="0.2">
      <c r="B45783" s="1168"/>
    </row>
    <row r="45784" spans="2:2" s="221" customFormat="1" ht="12.75" x14ac:dyDescent="0.2">
      <c r="B45784" s="1168"/>
    </row>
    <row r="45785" spans="2:2" s="221" customFormat="1" ht="12.75" x14ac:dyDescent="0.2">
      <c r="B45785" s="1168"/>
    </row>
    <row r="45786" spans="2:2" s="221" customFormat="1" ht="12.75" x14ac:dyDescent="0.2">
      <c r="B45786" s="1168"/>
    </row>
    <row r="45787" spans="2:2" s="221" customFormat="1" ht="12.75" x14ac:dyDescent="0.2">
      <c r="B45787" s="1168"/>
    </row>
    <row r="45788" spans="2:2" s="221" customFormat="1" ht="12.75" x14ac:dyDescent="0.2">
      <c r="B45788" s="1168"/>
    </row>
    <row r="45789" spans="2:2" s="221" customFormat="1" ht="12.75" x14ac:dyDescent="0.2">
      <c r="B45789" s="1168"/>
    </row>
    <row r="45790" spans="2:2" s="221" customFormat="1" ht="12.75" x14ac:dyDescent="0.2">
      <c r="B45790" s="1168"/>
    </row>
    <row r="45791" spans="2:2" s="221" customFormat="1" ht="12.75" x14ac:dyDescent="0.2">
      <c r="B45791" s="1168"/>
    </row>
    <row r="45792" spans="2:2" s="221" customFormat="1" ht="12.75" x14ac:dyDescent="0.2">
      <c r="B45792" s="1168"/>
    </row>
    <row r="45793" spans="2:2" s="221" customFormat="1" ht="12.75" x14ac:dyDescent="0.2">
      <c r="B45793" s="1168"/>
    </row>
    <row r="45794" spans="2:2" s="221" customFormat="1" ht="12.75" x14ac:dyDescent="0.2">
      <c r="B45794" s="1168"/>
    </row>
    <row r="45795" spans="2:2" s="221" customFormat="1" ht="12.75" x14ac:dyDescent="0.2">
      <c r="B45795" s="1168"/>
    </row>
    <row r="45796" spans="2:2" s="221" customFormat="1" ht="12.75" x14ac:dyDescent="0.2">
      <c r="B45796" s="1168"/>
    </row>
    <row r="45797" spans="2:2" s="221" customFormat="1" ht="12.75" x14ac:dyDescent="0.2">
      <c r="B45797" s="1168"/>
    </row>
    <row r="45798" spans="2:2" s="221" customFormat="1" ht="12.75" x14ac:dyDescent="0.2">
      <c r="B45798" s="1168"/>
    </row>
    <row r="45799" spans="2:2" s="221" customFormat="1" ht="12.75" x14ac:dyDescent="0.2">
      <c r="B45799" s="1168"/>
    </row>
    <row r="45800" spans="2:2" s="221" customFormat="1" ht="12.75" x14ac:dyDescent="0.2">
      <c r="B45800" s="1168"/>
    </row>
    <row r="45801" spans="2:2" s="221" customFormat="1" ht="12.75" x14ac:dyDescent="0.2">
      <c r="B45801" s="1168"/>
    </row>
    <row r="45802" spans="2:2" s="221" customFormat="1" ht="12.75" x14ac:dyDescent="0.2">
      <c r="B45802" s="1168"/>
    </row>
    <row r="45803" spans="2:2" s="221" customFormat="1" ht="12.75" x14ac:dyDescent="0.2">
      <c r="B45803" s="1168"/>
    </row>
    <row r="45804" spans="2:2" s="221" customFormat="1" ht="12.75" x14ac:dyDescent="0.2">
      <c r="B45804" s="1168"/>
    </row>
    <row r="45805" spans="2:2" s="221" customFormat="1" ht="12.75" x14ac:dyDescent="0.2">
      <c r="B45805" s="1168"/>
    </row>
    <row r="45806" spans="2:2" s="221" customFormat="1" ht="12.75" x14ac:dyDescent="0.2">
      <c r="B45806" s="1168"/>
    </row>
    <row r="45807" spans="2:2" s="221" customFormat="1" ht="12.75" x14ac:dyDescent="0.2">
      <c r="B45807" s="1168"/>
    </row>
    <row r="45808" spans="2:2" s="221" customFormat="1" ht="12.75" x14ac:dyDescent="0.2">
      <c r="B45808" s="1168"/>
    </row>
    <row r="45809" spans="2:2" s="221" customFormat="1" ht="12.75" x14ac:dyDescent="0.2">
      <c r="B45809" s="1168"/>
    </row>
    <row r="45810" spans="2:2" s="221" customFormat="1" ht="12.75" x14ac:dyDescent="0.2">
      <c r="B45810" s="1168"/>
    </row>
    <row r="45811" spans="2:2" s="221" customFormat="1" ht="12.75" x14ac:dyDescent="0.2">
      <c r="B45811" s="1168"/>
    </row>
    <row r="45812" spans="2:2" s="221" customFormat="1" ht="12.75" x14ac:dyDescent="0.2">
      <c r="B45812" s="1168"/>
    </row>
    <row r="45813" spans="2:2" s="221" customFormat="1" ht="12.75" x14ac:dyDescent="0.2">
      <c r="B45813" s="1168"/>
    </row>
    <row r="45814" spans="2:2" s="221" customFormat="1" ht="12.75" x14ac:dyDescent="0.2">
      <c r="B45814" s="1168"/>
    </row>
    <row r="45815" spans="2:2" s="221" customFormat="1" ht="12.75" x14ac:dyDescent="0.2">
      <c r="B45815" s="1168"/>
    </row>
    <row r="45816" spans="2:2" s="221" customFormat="1" ht="12.75" x14ac:dyDescent="0.2">
      <c r="B45816" s="1168"/>
    </row>
    <row r="45817" spans="2:2" s="221" customFormat="1" ht="12.75" x14ac:dyDescent="0.2">
      <c r="B45817" s="1168"/>
    </row>
    <row r="45818" spans="2:2" s="221" customFormat="1" ht="12.75" x14ac:dyDescent="0.2">
      <c r="B45818" s="1168"/>
    </row>
    <row r="45819" spans="2:2" s="221" customFormat="1" ht="12.75" x14ac:dyDescent="0.2">
      <c r="B45819" s="1168"/>
    </row>
    <row r="45820" spans="2:2" s="221" customFormat="1" ht="12.75" x14ac:dyDescent="0.2">
      <c r="B45820" s="1168"/>
    </row>
    <row r="45821" spans="2:2" s="221" customFormat="1" ht="12.75" x14ac:dyDescent="0.2">
      <c r="B45821" s="1168"/>
    </row>
    <row r="45822" spans="2:2" s="221" customFormat="1" ht="12.75" x14ac:dyDescent="0.2">
      <c r="B45822" s="1168"/>
    </row>
    <row r="45823" spans="2:2" s="221" customFormat="1" ht="12.75" x14ac:dyDescent="0.2">
      <c r="B45823" s="1168"/>
    </row>
    <row r="45824" spans="2:2" s="221" customFormat="1" ht="12.75" x14ac:dyDescent="0.2">
      <c r="B45824" s="1168"/>
    </row>
    <row r="45825" spans="2:2" s="221" customFormat="1" ht="12.75" x14ac:dyDescent="0.2">
      <c r="B45825" s="1168"/>
    </row>
    <row r="45826" spans="2:2" s="221" customFormat="1" ht="12.75" x14ac:dyDescent="0.2">
      <c r="B45826" s="1168"/>
    </row>
    <row r="45827" spans="2:2" s="221" customFormat="1" ht="12.75" x14ac:dyDescent="0.2">
      <c r="B45827" s="1168"/>
    </row>
    <row r="45828" spans="2:2" s="221" customFormat="1" ht="12.75" x14ac:dyDescent="0.2">
      <c r="B45828" s="1168"/>
    </row>
    <row r="45829" spans="2:2" s="221" customFormat="1" ht="12.75" x14ac:dyDescent="0.2">
      <c r="B45829" s="1168"/>
    </row>
    <row r="45830" spans="2:2" s="221" customFormat="1" ht="12.75" x14ac:dyDescent="0.2">
      <c r="B45830" s="1168"/>
    </row>
    <row r="45831" spans="2:2" s="221" customFormat="1" ht="12.75" x14ac:dyDescent="0.2">
      <c r="B45831" s="1168"/>
    </row>
    <row r="45832" spans="2:2" s="221" customFormat="1" ht="12.75" x14ac:dyDescent="0.2">
      <c r="B45832" s="1168"/>
    </row>
    <row r="45833" spans="2:2" s="221" customFormat="1" ht="12.75" x14ac:dyDescent="0.2">
      <c r="B45833" s="1168"/>
    </row>
    <row r="45834" spans="2:2" s="221" customFormat="1" ht="12.75" x14ac:dyDescent="0.2">
      <c r="B45834" s="1168"/>
    </row>
    <row r="45835" spans="2:2" s="221" customFormat="1" ht="12.75" x14ac:dyDescent="0.2">
      <c r="B45835" s="1168"/>
    </row>
    <row r="45836" spans="2:2" s="221" customFormat="1" ht="12.75" x14ac:dyDescent="0.2">
      <c r="B45836" s="1168"/>
    </row>
    <row r="45837" spans="2:2" s="221" customFormat="1" ht="12.75" x14ac:dyDescent="0.2">
      <c r="B45837" s="1168"/>
    </row>
    <row r="45838" spans="2:2" s="221" customFormat="1" ht="12.75" x14ac:dyDescent="0.2">
      <c r="B45838" s="1168"/>
    </row>
    <row r="45839" spans="2:2" s="221" customFormat="1" ht="12.75" x14ac:dyDescent="0.2">
      <c r="B45839" s="1168"/>
    </row>
    <row r="45840" spans="2:2" s="221" customFormat="1" ht="12.75" x14ac:dyDescent="0.2">
      <c r="B45840" s="1168"/>
    </row>
    <row r="45841" spans="2:2" s="221" customFormat="1" ht="12.75" x14ac:dyDescent="0.2">
      <c r="B45841" s="1168"/>
    </row>
    <row r="45842" spans="2:2" s="221" customFormat="1" ht="12.75" x14ac:dyDescent="0.2">
      <c r="B45842" s="1168"/>
    </row>
    <row r="45843" spans="2:2" s="221" customFormat="1" ht="12.75" x14ac:dyDescent="0.2">
      <c r="B45843" s="1168"/>
    </row>
    <row r="45844" spans="2:2" s="221" customFormat="1" ht="12.75" x14ac:dyDescent="0.2">
      <c r="B45844" s="1168"/>
    </row>
    <row r="45845" spans="2:2" s="221" customFormat="1" ht="12.75" x14ac:dyDescent="0.2">
      <c r="B45845" s="1168"/>
    </row>
    <row r="45846" spans="2:2" s="221" customFormat="1" ht="12.75" x14ac:dyDescent="0.2">
      <c r="B45846" s="1168"/>
    </row>
    <row r="45847" spans="2:2" s="221" customFormat="1" ht="12.75" x14ac:dyDescent="0.2">
      <c r="B45847" s="1168"/>
    </row>
    <row r="45848" spans="2:2" s="221" customFormat="1" ht="12.75" x14ac:dyDescent="0.2">
      <c r="B45848" s="1168"/>
    </row>
    <row r="45849" spans="2:2" s="221" customFormat="1" ht="12.75" x14ac:dyDescent="0.2">
      <c r="B45849" s="1168"/>
    </row>
    <row r="45850" spans="2:2" s="221" customFormat="1" ht="12.75" x14ac:dyDescent="0.2">
      <c r="B45850" s="1168"/>
    </row>
    <row r="45851" spans="2:2" s="221" customFormat="1" ht="12.75" x14ac:dyDescent="0.2">
      <c r="B45851" s="1168"/>
    </row>
    <row r="45852" spans="2:2" s="221" customFormat="1" ht="12.75" x14ac:dyDescent="0.2">
      <c r="B45852" s="1168"/>
    </row>
    <row r="45853" spans="2:2" s="221" customFormat="1" ht="12.75" x14ac:dyDescent="0.2">
      <c r="B45853" s="1168"/>
    </row>
    <row r="45854" spans="2:2" s="221" customFormat="1" ht="12.75" x14ac:dyDescent="0.2">
      <c r="B45854" s="1168"/>
    </row>
    <row r="45855" spans="2:2" s="221" customFormat="1" ht="12.75" x14ac:dyDescent="0.2">
      <c r="B45855" s="1168"/>
    </row>
    <row r="45856" spans="2:2" s="221" customFormat="1" ht="12.75" x14ac:dyDescent="0.2">
      <c r="B45856" s="1168"/>
    </row>
    <row r="45857" spans="2:2" s="221" customFormat="1" ht="12.75" x14ac:dyDescent="0.2">
      <c r="B45857" s="1168"/>
    </row>
    <row r="45858" spans="2:2" s="221" customFormat="1" ht="12.75" x14ac:dyDescent="0.2">
      <c r="B45858" s="1168"/>
    </row>
    <row r="45859" spans="2:2" s="221" customFormat="1" ht="12.75" x14ac:dyDescent="0.2">
      <c r="B45859" s="1168"/>
    </row>
    <row r="45860" spans="2:2" s="221" customFormat="1" ht="12.75" x14ac:dyDescent="0.2">
      <c r="B45860" s="1168"/>
    </row>
    <row r="45861" spans="2:2" s="221" customFormat="1" ht="12.75" x14ac:dyDescent="0.2">
      <c r="B45861" s="1168"/>
    </row>
    <row r="45862" spans="2:2" s="221" customFormat="1" ht="12.75" x14ac:dyDescent="0.2">
      <c r="B45862" s="1168"/>
    </row>
    <row r="45863" spans="2:2" s="221" customFormat="1" ht="12.75" x14ac:dyDescent="0.2">
      <c r="B45863" s="1168"/>
    </row>
    <row r="45864" spans="2:2" s="221" customFormat="1" ht="12.75" x14ac:dyDescent="0.2">
      <c r="B45864" s="1168"/>
    </row>
    <row r="45865" spans="2:2" s="221" customFormat="1" ht="12.75" x14ac:dyDescent="0.2">
      <c r="B45865" s="1168"/>
    </row>
    <row r="45866" spans="2:2" s="221" customFormat="1" ht="12.75" x14ac:dyDescent="0.2">
      <c r="B45866" s="1168"/>
    </row>
    <row r="45867" spans="2:2" s="221" customFormat="1" ht="12.75" x14ac:dyDescent="0.2">
      <c r="B45867" s="1168"/>
    </row>
    <row r="45868" spans="2:2" s="221" customFormat="1" ht="12.75" x14ac:dyDescent="0.2">
      <c r="B45868" s="1168"/>
    </row>
    <row r="45869" spans="2:2" s="221" customFormat="1" ht="12.75" x14ac:dyDescent="0.2">
      <c r="B45869" s="1168"/>
    </row>
    <row r="45870" spans="2:2" s="221" customFormat="1" ht="12.75" x14ac:dyDescent="0.2">
      <c r="B45870" s="1168"/>
    </row>
    <row r="45871" spans="2:2" s="221" customFormat="1" ht="12.75" x14ac:dyDescent="0.2">
      <c r="B45871" s="1168"/>
    </row>
    <row r="45872" spans="2:2" s="221" customFormat="1" ht="12.75" x14ac:dyDescent="0.2">
      <c r="B45872" s="1168"/>
    </row>
    <row r="45873" spans="2:2" s="221" customFormat="1" ht="12.75" x14ac:dyDescent="0.2">
      <c r="B45873" s="1168"/>
    </row>
    <row r="45874" spans="2:2" s="221" customFormat="1" ht="12.75" x14ac:dyDescent="0.2">
      <c r="B45874" s="1168"/>
    </row>
    <row r="45875" spans="2:2" s="221" customFormat="1" ht="12.75" x14ac:dyDescent="0.2">
      <c r="B45875" s="1168"/>
    </row>
    <row r="45876" spans="2:2" s="221" customFormat="1" ht="12.75" x14ac:dyDescent="0.2">
      <c r="B45876" s="1168"/>
    </row>
    <row r="45877" spans="2:2" s="221" customFormat="1" ht="12.75" x14ac:dyDescent="0.2">
      <c r="B45877" s="1168"/>
    </row>
    <row r="45878" spans="2:2" s="221" customFormat="1" ht="12.75" x14ac:dyDescent="0.2">
      <c r="B45878" s="1168"/>
    </row>
    <row r="45879" spans="2:2" s="221" customFormat="1" ht="12.75" x14ac:dyDescent="0.2">
      <c r="B45879" s="1168"/>
    </row>
    <row r="45880" spans="2:2" s="221" customFormat="1" ht="12.75" x14ac:dyDescent="0.2">
      <c r="B45880" s="1168"/>
    </row>
    <row r="45881" spans="2:2" s="221" customFormat="1" ht="12.75" x14ac:dyDescent="0.2">
      <c r="B45881" s="1168"/>
    </row>
    <row r="45882" spans="2:2" s="221" customFormat="1" ht="12.75" x14ac:dyDescent="0.2">
      <c r="B45882" s="1168"/>
    </row>
    <row r="45883" spans="2:2" s="221" customFormat="1" ht="12.75" x14ac:dyDescent="0.2">
      <c r="B45883" s="1168"/>
    </row>
    <row r="45884" spans="2:2" s="221" customFormat="1" ht="12.75" x14ac:dyDescent="0.2">
      <c r="B45884" s="1168"/>
    </row>
    <row r="45885" spans="2:2" s="221" customFormat="1" ht="12.75" x14ac:dyDescent="0.2">
      <c r="B45885" s="1168"/>
    </row>
    <row r="45886" spans="2:2" s="221" customFormat="1" ht="12.75" x14ac:dyDescent="0.2">
      <c r="B45886" s="1168"/>
    </row>
    <row r="45887" spans="2:2" s="221" customFormat="1" ht="12.75" x14ac:dyDescent="0.2">
      <c r="B45887" s="1168"/>
    </row>
    <row r="45888" spans="2:2" s="221" customFormat="1" ht="12.75" x14ac:dyDescent="0.2">
      <c r="B45888" s="1168"/>
    </row>
    <row r="45889" spans="2:2" s="221" customFormat="1" ht="12.75" x14ac:dyDescent="0.2">
      <c r="B45889" s="1168"/>
    </row>
    <row r="45890" spans="2:2" s="221" customFormat="1" ht="12.75" x14ac:dyDescent="0.2">
      <c r="B45890" s="1168"/>
    </row>
    <row r="45891" spans="2:2" s="221" customFormat="1" ht="12.75" x14ac:dyDescent="0.2">
      <c r="B45891" s="1168"/>
    </row>
    <row r="45892" spans="2:2" s="221" customFormat="1" ht="12.75" x14ac:dyDescent="0.2">
      <c r="B45892" s="1168"/>
    </row>
    <row r="45893" spans="2:2" s="221" customFormat="1" ht="12.75" x14ac:dyDescent="0.2">
      <c r="B45893" s="1168"/>
    </row>
    <row r="45894" spans="2:2" s="221" customFormat="1" ht="12.75" x14ac:dyDescent="0.2">
      <c r="B45894" s="1168"/>
    </row>
    <row r="45895" spans="2:2" s="221" customFormat="1" ht="12.75" x14ac:dyDescent="0.2">
      <c r="B45895" s="1168"/>
    </row>
    <row r="45896" spans="2:2" s="221" customFormat="1" ht="12.75" x14ac:dyDescent="0.2">
      <c r="B45896" s="1168"/>
    </row>
    <row r="45897" spans="2:2" s="221" customFormat="1" ht="12.75" x14ac:dyDescent="0.2">
      <c r="B45897" s="1168"/>
    </row>
    <row r="45898" spans="2:2" s="221" customFormat="1" ht="12.75" x14ac:dyDescent="0.2">
      <c r="B45898" s="1168"/>
    </row>
    <row r="45899" spans="2:2" s="221" customFormat="1" ht="12.75" x14ac:dyDescent="0.2">
      <c r="B45899" s="1168"/>
    </row>
    <row r="45900" spans="2:2" s="221" customFormat="1" ht="12.75" x14ac:dyDescent="0.2">
      <c r="B45900" s="1168"/>
    </row>
    <row r="45901" spans="2:2" s="221" customFormat="1" ht="12.75" x14ac:dyDescent="0.2">
      <c r="B45901" s="1168"/>
    </row>
    <row r="45902" spans="2:2" s="221" customFormat="1" ht="12.75" x14ac:dyDescent="0.2">
      <c r="B45902" s="1168"/>
    </row>
    <row r="45903" spans="2:2" s="221" customFormat="1" ht="12.75" x14ac:dyDescent="0.2">
      <c r="B45903" s="1168"/>
    </row>
    <row r="45904" spans="2:2" s="221" customFormat="1" ht="12.75" x14ac:dyDescent="0.2">
      <c r="B45904" s="1168"/>
    </row>
    <row r="45905" spans="2:2" s="221" customFormat="1" ht="12.75" x14ac:dyDescent="0.2">
      <c r="B45905" s="1168"/>
    </row>
    <row r="45906" spans="2:2" s="221" customFormat="1" ht="12.75" x14ac:dyDescent="0.2">
      <c r="B45906" s="1168"/>
    </row>
    <row r="45907" spans="2:2" s="221" customFormat="1" ht="12.75" x14ac:dyDescent="0.2">
      <c r="B45907" s="1168"/>
    </row>
    <row r="45908" spans="2:2" s="221" customFormat="1" ht="12.75" x14ac:dyDescent="0.2">
      <c r="B45908" s="1168"/>
    </row>
    <row r="45909" spans="2:2" s="221" customFormat="1" ht="12.75" x14ac:dyDescent="0.2">
      <c r="B45909" s="1168"/>
    </row>
    <row r="45910" spans="2:2" s="221" customFormat="1" ht="12.75" x14ac:dyDescent="0.2">
      <c r="B45910" s="1168"/>
    </row>
    <row r="45911" spans="2:2" s="221" customFormat="1" ht="12.75" x14ac:dyDescent="0.2">
      <c r="B45911" s="1168"/>
    </row>
    <row r="45912" spans="2:2" s="221" customFormat="1" ht="12.75" x14ac:dyDescent="0.2">
      <c r="B45912" s="1168"/>
    </row>
    <row r="45913" spans="2:2" s="221" customFormat="1" ht="12.75" x14ac:dyDescent="0.2">
      <c r="B45913" s="1168"/>
    </row>
    <row r="45914" spans="2:2" s="221" customFormat="1" ht="12.75" x14ac:dyDescent="0.2">
      <c r="B45914" s="1168"/>
    </row>
    <row r="45915" spans="2:2" s="221" customFormat="1" ht="12.75" x14ac:dyDescent="0.2">
      <c r="B45915" s="1168"/>
    </row>
    <row r="45916" spans="2:2" s="221" customFormat="1" ht="12.75" x14ac:dyDescent="0.2">
      <c r="B45916" s="1168"/>
    </row>
    <row r="45917" spans="2:2" s="221" customFormat="1" ht="12.75" x14ac:dyDescent="0.2">
      <c r="B45917" s="1168"/>
    </row>
    <row r="45918" spans="2:2" s="221" customFormat="1" ht="12.75" x14ac:dyDescent="0.2">
      <c r="B45918" s="1168"/>
    </row>
    <row r="45919" spans="2:2" s="221" customFormat="1" ht="12.75" x14ac:dyDescent="0.2">
      <c r="B45919" s="1168"/>
    </row>
    <row r="45920" spans="2:2" s="221" customFormat="1" ht="12.75" x14ac:dyDescent="0.2">
      <c r="B45920" s="1168"/>
    </row>
    <row r="45921" spans="2:2" s="221" customFormat="1" ht="12.75" x14ac:dyDescent="0.2">
      <c r="B45921" s="1168"/>
    </row>
    <row r="45922" spans="2:2" s="221" customFormat="1" ht="12.75" x14ac:dyDescent="0.2">
      <c r="B45922" s="1168"/>
    </row>
    <row r="45923" spans="2:2" s="221" customFormat="1" ht="12.75" x14ac:dyDescent="0.2">
      <c r="B45923" s="1168"/>
    </row>
    <row r="45924" spans="2:2" s="221" customFormat="1" ht="12.75" x14ac:dyDescent="0.2">
      <c r="B45924" s="1168"/>
    </row>
    <row r="45925" spans="2:2" s="221" customFormat="1" ht="12.75" x14ac:dyDescent="0.2">
      <c r="B45925" s="1168"/>
    </row>
    <row r="45926" spans="2:2" s="221" customFormat="1" ht="12.75" x14ac:dyDescent="0.2">
      <c r="B45926" s="1168"/>
    </row>
    <row r="45927" spans="2:2" s="221" customFormat="1" ht="12.75" x14ac:dyDescent="0.2">
      <c r="B45927" s="1168"/>
    </row>
    <row r="45928" spans="2:2" s="221" customFormat="1" ht="12.75" x14ac:dyDescent="0.2">
      <c r="B45928" s="1168"/>
    </row>
    <row r="45929" spans="2:2" s="221" customFormat="1" ht="12.75" x14ac:dyDescent="0.2">
      <c r="B45929" s="1168"/>
    </row>
    <row r="45930" spans="2:2" s="221" customFormat="1" ht="12.75" x14ac:dyDescent="0.2">
      <c r="B45930" s="1168"/>
    </row>
    <row r="45931" spans="2:2" s="221" customFormat="1" ht="12.75" x14ac:dyDescent="0.2">
      <c r="B45931" s="1168"/>
    </row>
    <row r="45932" spans="2:2" s="221" customFormat="1" ht="12.75" x14ac:dyDescent="0.2">
      <c r="B45932" s="1168"/>
    </row>
    <row r="45933" spans="2:2" s="221" customFormat="1" ht="12.75" x14ac:dyDescent="0.2">
      <c r="B45933" s="1168"/>
    </row>
    <row r="45934" spans="2:2" s="221" customFormat="1" ht="12.75" x14ac:dyDescent="0.2">
      <c r="B45934" s="1168"/>
    </row>
    <row r="45935" spans="2:2" s="221" customFormat="1" ht="12.75" x14ac:dyDescent="0.2">
      <c r="B45935" s="1168"/>
    </row>
    <row r="45936" spans="2:2" s="221" customFormat="1" ht="12.75" x14ac:dyDescent="0.2">
      <c r="B45936" s="1168"/>
    </row>
    <row r="45937" spans="2:2" s="221" customFormat="1" ht="12.75" x14ac:dyDescent="0.2">
      <c r="B45937" s="1168"/>
    </row>
    <row r="45938" spans="2:2" s="221" customFormat="1" ht="12.75" x14ac:dyDescent="0.2">
      <c r="B45938" s="1168"/>
    </row>
    <row r="45939" spans="2:2" s="221" customFormat="1" ht="12.75" x14ac:dyDescent="0.2">
      <c r="B45939" s="1168"/>
    </row>
    <row r="45940" spans="2:2" s="221" customFormat="1" ht="12.75" x14ac:dyDescent="0.2">
      <c r="B45940" s="1168"/>
    </row>
    <row r="45941" spans="2:2" s="221" customFormat="1" ht="12.75" x14ac:dyDescent="0.2">
      <c r="B45941" s="1168"/>
    </row>
    <row r="45942" spans="2:2" s="221" customFormat="1" ht="12.75" x14ac:dyDescent="0.2">
      <c r="B45942" s="1168"/>
    </row>
    <row r="45943" spans="2:2" s="221" customFormat="1" ht="12.75" x14ac:dyDescent="0.2">
      <c r="B45943" s="1168"/>
    </row>
    <row r="45944" spans="2:2" s="221" customFormat="1" ht="12.75" x14ac:dyDescent="0.2">
      <c r="B45944" s="1168"/>
    </row>
    <row r="45945" spans="2:2" s="221" customFormat="1" ht="12.75" x14ac:dyDescent="0.2">
      <c r="B45945" s="1168"/>
    </row>
    <row r="45946" spans="2:2" s="221" customFormat="1" ht="12.75" x14ac:dyDescent="0.2">
      <c r="B45946" s="1168"/>
    </row>
    <row r="45947" spans="2:2" s="221" customFormat="1" ht="12.75" x14ac:dyDescent="0.2">
      <c r="B45947" s="1168"/>
    </row>
    <row r="45948" spans="2:2" s="221" customFormat="1" ht="12.75" x14ac:dyDescent="0.2">
      <c r="B45948" s="1168"/>
    </row>
    <row r="45949" spans="2:2" s="221" customFormat="1" ht="12.75" x14ac:dyDescent="0.2">
      <c r="B45949" s="1168"/>
    </row>
    <row r="45950" spans="2:2" s="221" customFormat="1" ht="12.75" x14ac:dyDescent="0.2">
      <c r="B45950" s="1168"/>
    </row>
    <row r="45951" spans="2:2" s="221" customFormat="1" ht="12.75" x14ac:dyDescent="0.2">
      <c r="B45951" s="1168"/>
    </row>
    <row r="45952" spans="2:2" s="221" customFormat="1" ht="12.75" x14ac:dyDescent="0.2">
      <c r="B45952" s="1168"/>
    </row>
    <row r="45953" spans="2:2" s="221" customFormat="1" ht="12.75" x14ac:dyDescent="0.2">
      <c r="B45953" s="1168"/>
    </row>
    <row r="45954" spans="2:2" s="221" customFormat="1" ht="12.75" x14ac:dyDescent="0.2">
      <c r="B45954" s="1168"/>
    </row>
    <row r="45955" spans="2:2" s="221" customFormat="1" ht="12.75" x14ac:dyDescent="0.2">
      <c r="B45955" s="1168"/>
    </row>
    <row r="45956" spans="2:2" s="221" customFormat="1" ht="12.75" x14ac:dyDescent="0.2">
      <c r="B45956" s="1168"/>
    </row>
    <row r="45957" spans="2:2" s="221" customFormat="1" ht="12.75" x14ac:dyDescent="0.2">
      <c r="B45957" s="1168"/>
    </row>
    <row r="45958" spans="2:2" s="221" customFormat="1" ht="12.75" x14ac:dyDescent="0.2">
      <c r="B45958" s="1168"/>
    </row>
    <row r="45959" spans="2:2" s="221" customFormat="1" ht="12.75" x14ac:dyDescent="0.2">
      <c r="B45959" s="1168"/>
    </row>
    <row r="45960" spans="2:2" s="221" customFormat="1" ht="12.75" x14ac:dyDescent="0.2">
      <c r="B45960" s="1168"/>
    </row>
    <row r="45961" spans="2:2" s="221" customFormat="1" ht="12.75" x14ac:dyDescent="0.2">
      <c r="B45961" s="1168"/>
    </row>
    <row r="45962" spans="2:2" s="221" customFormat="1" ht="12.75" x14ac:dyDescent="0.2">
      <c r="B45962" s="1168"/>
    </row>
    <row r="45963" spans="2:2" s="221" customFormat="1" ht="12.75" x14ac:dyDescent="0.2">
      <c r="B45963" s="1168"/>
    </row>
    <row r="45964" spans="2:2" s="221" customFormat="1" ht="12.75" x14ac:dyDescent="0.2">
      <c r="B45964" s="1168"/>
    </row>
    <row r="45965" spans="2:2" s="221" customFormat="1" ht="12.75" x14ac:dyDescent="0.2">
      <c r="B45965" s="1168"/>
    </row>
    <row r="45966" spans="2:2" s="221" customFormat="1" ht="12.75" x14ac:dyDescent="0.2">
      <c r="B45966" s="1168"/>
    </row>
    <row r="45967" spans="2:2" s="221" customFormat="1" ht="12.75" x14ac:dyDescent="0.2">
      <c r="B45967" s="1168"/>
    </row>
    <row r="45968" spans="2:2" s="221" customFormat="1" ht="12.75" x14ac:dyDescent="0.2">
      <c r="B45968" s="1168"/>
    </row>
    <row r="45969" spans="2:2" s="221" customFormat="1" ht="12.75" x14ac:dyDescent="0.2">
      <c r="B45969" s="1168"/>
    </row>
    <row r="45970" spans="2:2" s="221" customFormat="1" ht="12.75" x14ac:dyDescent="0.2">
      <c r="B45970" s="1168"/>
    </row>
    <row r="45971" spans="2:2" s="221" customFormat="1" ht="12.75" x14ac:dyDescent="0.2">
      <c r="B45971" s="1168"/>
    </row>
    <row r="45972" spans="2:2" s="221" customFormat="1" ht="12.75" x14ac:dyDescent="0.2">
      <c r="B45972" s="1168"/>
    </row>
    <row r="45973" spans="2:2" s="221" customFormat="1" ht="12.75" x14ac:dyDescent="0.2">
      <c r="B45973" s="1168"/>
    </row>
    <row r="45974" spans="2:2" s="221" customFormat="1" ht="12.75" x14ac:dyDescent="0.2">
      <c r="B45974" s="1168"/>
    </row>
    <row r="45975" spans="2:2" s="221" customFormat="1" ht="12.75" x14ac:dyDescent="0.2">
      <c r="B45975" s="1168"/>
    </row>
    <row r="45976" spans="2:2" s="221" customFormat="1" ht="12.75" x14ac:dyDescent="0.2">
      <c r="B45976" s="1168"/>
    </row>
    <row r="45977" spans="2:2" s="221" customFormat="1" ht="12.75" x14ac:dyDescent="0.2">
      <c r="B45977" s="1168"/>
    </row>
    <row r="45978" spans="2:2" s="221" customFormat="1" ht="12.75" x14ac:dyDescent="0.2">
      <c r="B45978" s="1168"/>
    </row>
    <row r="45979" spans="2:2" s="221" customFormat="1" ht="12.75" x14ac:dyDescent="0.2">
      <c r="B45979" s="1168"/>
    </row>
    <row r="45980" spans="2:2" s="221" customFormat="1" ht="12.75" x14ac:dyDescent="0.2">
      <c r="B45980" s="1168"/>
    </row>
    <row r="45981" spans="2:2" s="221" customFormat="1" ht="12.75" x14ac:dyDescent="0.2">
      <c r="B45981" s="1168"/>
    </row>
    <row r="45982" spans="2:2" s="221" customFormat="1" ht="12.75" x14ac:dyDescent="0.2">
      <c r="B45982" s="1168"/>
    </row>
    <row r="45983" spans="2:2" s="221" customFormat="1" ht="12.75" x14ac:dyDescent="0.2">
      <c r="B45983" s="1168"/>
    </row>
    <row r="45984" spans="2:2" s="221" customFormat="1" ht="12.75" x14ac:dyDescent="0.2">
      <c r="B45984" s="1168"/>
    </row>
    <row r="45985" spans="2:2" s="221" customFormat="1" ht="12.75" x14ac:dyDescent="0.2">
      <c r="B45985" s="1168"/>
    </row>
    <row r="45986" spans="2:2" s="221" customFormat="1" ht="12.75" x14ac:dyDescent="0.2">
      <c r="B45986" s="1168"/>
    </row>
    <row r="45987" spans="2:2" s="221" customFormat="1" ht="12.75" x14ac:dyDescent="0.2">
      <c r="B45987" s="1168"/>
    </row>
    <row r="45988" spans="2:2" s="221" customFormat="1" ht="12.75" x14ac:dyDescent="0.2">
      <c r="B45988" s="1168"/>
    </row>
    <row r="45989" spans="2:2" s="221" customFormat="1" ht="12.75" x14ac:dyDescent="0.2">
      <c r="B45989" s="1168"/>
    </row>
    <row r="45990" spans="2:2" s="221" customFormat="1" ht="12.75" x14ac:dyDescent="0.2">
      <c r="B45990" s="1168"/>
    </row>
    <row r="45991" spans="2:2" s="221" customFormat="1" ht="12.75" x14ac:dyDescent="0.2">
      <c r="B45991" s="1168"/>
    </row>
    <row r="45992" spans="2:2" s="221" customFormat="1" ht="12.75" x14ac:dyDescent="0.2">
      <c r="B45992" s="1168"/>
    </row>
    <row r="45993" spans="2:2" s="221" customFormat="1" ht="12.75" x14ac:dyDescent="0.2">
      <c r="B45993" s="1168"/>
    </row>
    <row r="45994" spans="2:2" s="221" customFormat="1" ht="12.75" x14ac:dyDescent="0.2">
      <c r="B45994" s="1168"/>
    </row>
    <row r="45995" spans="2:2" s="221" customFormat="1" ht="12.75" x14ac:dyDescent="0.2">
      <c r="B45995" s="1168"/>
    </row>
    <row r="45996" spans="2:2" s="221" customFormat="1" ht="12.75" x14ac:dyDescent="0.2">
      <c r="B45996" s="1168"/>
    </row>
    <row r="45997" spans="2:2" s="221" customFormat="1" ht="12.75" x14ac:dyDescent="0.2">
      <c r="B45997" s="1168"/>
    </row>
    <row r="45998" spans="2:2" s="221" customFormat="1" ht="12.75" x14ac:dyDescent="0.2">
      <c r="B45998" s="1168"/>
    </row>
    <row r="45999" spans="2:2" s="221" customFormat="1" ht="12.75" x14ac:dyDescent="0.2">
      <c r="B45999" s="1168"/>
    </row>
    <row r="46000" spans="2:2" s="221" customFormat="1" ht="12.75" x14ac:dyDescent="0.2">
      <c r="B46000" s="1168"/>
    </row>
    <row r="46001" spans="2:2" s="221" customFormat="1" ht="12.75" x14ac:dyDescent="0.2">
      <c r="B46001" s="1168"/>
    </row>
    <row r="46002" spans="2:2" s="221" customFormat="1" ht="12.75" x14ac:dyDescent="0.2">
      <c r="B46002" s="1168"/>
    </row>
    <row r="46003" spans="2:2" s="221" customFormat="1" ht="12.75" x14ac:dyDescent="0.2">
      <c r="B46003" s="1168"/>
    </row>
    <row r="46004" spans="2:2" s="221" customFormat="1" ht="12.75" x14ac:dyDescent="0.2">
      <c r="B46004" s="1168"/>
    </row>
    <row r="46005" spans="2:2" s="221" customFormat="1" ht="12.75" x14ac:dyDescent="0.2">
      <c r="B46005" s="1168"/>
    </row>
    <row r="46006" spans="2:2" s="221" customFormat="1" ht="12.75" x14ac:dyDescent="0.2">
      <c r="B46006" s="1168"/>
    </row>
    <row r="46007" spans="2:2" s="221" customFormat="1" ht="12.75" x14ac:dyDescent="0.2">
      <c r="B46007" s="1168"/>
    </row>
    <row r="46008" spans="2:2" s="221" customFormat="1" ht="12.75" x14ac:dyDescent="0.2">
      <c r="B46008" s="1168"/>
    </row>
    <row r="46009" spans="2:2" s="221" customFormat="1" ht="12.75" x14ac:dyDescent="0.2">
      <c r="B46009" s="1168"/>
    </row>
    <row r="46010" spans="2:2" s="221" customFormat="1" ht="12.75" x14ac:dyDescent="0.2">
      <c r="B46010" s="1168"/>
    </row>
    <row r="46011" spans="2:2" s="221" customFormat="1" ht="12.75" x14ac:dyDescent="0.2">
      <c r="B46011" s="1168"/>
    </row>
    <row r="46012" spans="2:2" s="221" customFormat="1" ht="12.75" x14ac:dyDescent="0.2">
      <c r="B46012" s="1168"/>
    </row>
    <row r="46013" spans="2:2" s="221" customFormat="1" ht="12.75" x14ac:dyDescent="0.2">
      <c r="B46013" s="1168"/>
    </row>
    <row r="46014" spans="2:2" s="221" customFormat="1" ht="12.75" x14ac:dyDescent="0.2">
      <c r="B46014" s="1168"/>
    </row>
    <row r="46015" spans="2:2" s="221" customFormat="1" ht="12.75" x14ac:dyDescent="0.2">
      <c r="B46015" s="1168"/>
    </row>
    <row r="46016" spans="2:2" s="221" customFormat="1" ht="12.75" x14ac:dyDescent="0.2">
      <c r="B46016" s="1168"/>
    </row>
    <row r="46017" spans="2:2" s="221" customFormat="1" ht="12.75" x14ac:dyDescent="0.2">
      <c r="B46017" s="1168"/>
    </row>
    <row r="46018" spans="2:2" s="221" customFormat="1" ht="12.75" x14ac:dyDescent="0.2">
      <c r="B46018" s="1168"/>
    </row>
    <row r="46019" spans="2:2" s="221" customFormat="1" ht="12.75" x14ac:dyDescent="0.2">
      <c r="B46019" s="1168"/>
    </row>
    <row r="46020" spans="2:2" s="221" customFormat="1" ht="12.75" x14ac:dyDescent="0.2">
      <c r="B46020" s="1168"/>
    </row>
    <row r="46021" spans="2:2" s="221" customFormat="1" ht="12.75" x14ac:dyDescent="0.2">
      <c r="B46021" s="1168"/>
    </row>
    <row r="46022" spans="2:2" s="221" customFormat="1" ht="12.75" x14ac:dyDescent="0.2">
      <c r="B46022" s="1168"/>
    </row>
    <row r="46023" spans="2:2" s="221" customFormat="1" ht="12.75" x14ac:dyDescent="0.2">
      <c r="B46023" s="1168"/>
    </row>
    <row r="46024" spans="2:2" s="221" customFormat="1" ht="12.75" x14ac:dyDescent="0.2">
      <c r="B46024" s="1168"/>
    </row>
    <row r="46025" spans="2:2" s="221" customFormat="1" ht="12.75" x14ac:dyDescent="0.2">
      <c r="B46025" s="1168"/>
    </row>
    <row r="46026" spans="2:2" s="221" customFormat="1" ht="12.75" x14ac:dyDescent="0.2">
      <c r="B46026" s="1168"/>
    </row>
    <row r="46027" spans="2:2" s="221" customFormat="1" ht="12.75" x14ac:dyDescent="0.2">
      <c r="B46027" s="1168"/>
    </row>
    <row r="46028" spans="2:2" s="221" customFormat="1" ht="12.75" x14ac:dyDescent="0.2">
      <c r="B46028" s="1168"/>
    </row>
    <row r="46029" spans="2:2" s="221" customFormat="1" ht="12.75" x14ac:dyDescent="0.2">
      <c r="B46029" s="1168"/>
    </row>
    <row r="46030" spans="2:2" s="221" customFormat="1" ht="12.75" x14ac:dyDescent="0.2">
      <c r="B46030" s="1168"/>
    </row>
    <row r="46031" spans="2:2" s="221" customFormat="1" ht="12.75" x14ac:dyDescent="0.2">
      <c r="B46031" s="1168"/>
    </row>
    <row r="46032" spans="2:2" s="221" customFormat="1" ht="12.75" x14ac:dyDescent="0.2">
      <c r="B46032" s="1168"/>
    </row>
    <row r="46033" spans="2:2" s="221" customFormat="1" ht="12.75" x14ac:dyDescent="0.2">
      <c r="B46033" s="1168"/>
    </row>
    <row r="46034" spans="2:2" s="221" customFormat="1" ht="12.75" x14ac:dyDescent="0.2">
      <c r="B46034" s="1168"/>
    </row>
    <row r="46035" spans="2:2" s="221" customFormat="1" ht="12.75" x14ac:dyDescent="0.2">
      <c r="B46035" s="1168"/>
    </row>
    <row r="46036" spans="2:2" s="221" customFormat="1" ht="12.75" x14ac:dyDescent="0.2">
      <c r="B46036" s="1168"/>
    </row>
    <row r="46037" spans="2:2" s="221" customFormat="1" ht="12.75" x14ac:dyDescent="0.2">
      <c r="B46037" s="1168"/>
    </row>
    <row r="46038" spans="2:2" s="221" customFormat="1" ht="12.75" x14ac:dyDescent="0.2">
      <c r="B46038" s="1168"/>
    </row>
    <row r="46039" spans="2:2" s="221" customFormat="1" ht="12.75" x14ac:dyDescent="0.2">
      <c r="B46039" s="1168"/>
    </row>
    <row r="46040" spans="2:2" s="221" customFormat="1" ht="12.75" x14ac:dyDescent="0.2">
      <c r="B46040" s="1168"/>
    </row>
    <row r="46041" spans="2:2" s="221" customFormat="1" ht="12.75" x14ac:dyDescent="0.2">
      <c r="B46041" s="1168"/>
    </row>
    <row r="46042" spans="2:2" s="221" customFormat="1" ht="12.75" x14ac:dyDescent="0.2">
      <c r="B46042" s="1168"/>
    </row>
    <row r="46043" spans="2:2" s="221" customFormat="1" ht="12.75" x14ac:dyDescent="0.2">
      <c r="B46043" s="1168"/>
    </row>
    <row r="46044" spans="2:2" s="221" customFormat="1" ht="12.75" x14ac:dyDescent="0.2">
      <c r="B46044" s="1168"/>
    </row>
    <row r="46045" spans="2:2" s="221" customFormat="1" ht="12.75" x14ac:dyDescent="0.2">
      <c r="B46045" s="1168"/>
    </row>
    <row r="46046" spans="2:2" s="221" customFormat="1" ht="12.75" x14ac:dyDescent="0.2">
      <c r="B46046" s="1168"/>
    </row>
    <row r="46047" spans="2:2" s="221" customFormat="1" ht="12.75" x14ac:dyDescent="0.2">
      <c r="B46047" s="1168"/>
    </row>
    <row r="46048" spans="2:2" s="221" customFormat="1" ht="12.75" x14ac:dyDescent="0.2">
      <c r="B46048" s="1168"/>
    </row>
    <row r="46049" spans="2:2" s="221" customFormat="1" ht="12.75" x14ac:dyDescent="0.2">
      <c r="B46049" s="1168"/>
    </row>
    <row r="46050" spans="2:2" s="221" customFormat="1" ht="12.75" x14ac:dyDescent="0.2">
      <c r="B46050" s="1168"/>
    </row>
    <row r="46051" spans="2:2" s="221" customFormat="1" ht="12.75" x14ac:dyDescent="0.2">
      <c r="B46051" s="1168"/>
    </row>
    <row r="46052" spans="2:2" s="221" customFormat="1" ht="12.75" x14ac:dyDescent="0.2">
      <c r="B46052" s="1168"/>
    </row>
    <row r="46053" spans="2:2" s="221" customFormat="1" ht="12.75" x14ac:dyDescent="0.2">
      <c r="B46053" s="1168"/>
    </row>
    <row r="46054" spans="2:2" s="221" customFormat="1" ht="12.75" x14ac:dyDescent="0.2">
      <c r="B46054" s="1168"/>
    </row>
    <row r="46055" spans="2:2" s="221" customFormat="1" ht="12.75" x14ac:dyDescent="0.2">
      <c r="B46055" s="1168"/>
    </row>
    <row r="46056" spans="2:2" s="221" customFormat="1" ht="12.75" x14ac:dyDescent="0.2">
      <c r="B46056" s="1168"/>
    </row>
    <row r="46057" spans="2:2" s="221" customFormat="1" ht="12.75" x14ac:dyDescent="0.2">
      <c r="B46057" s="1168"/>
    </row>
    <row r="46058" spans="2:2" s="221" customFormat="1" ht="12.75" x14ac:dyDescent="0.2">
      <c r="B46058" s="1168"/>
    </row>
    <row r="46059" spans="2:2" s="221" customFormat="1" ht="12.75" x14ac:dyDescent="0.2">
      <c r="B46059" s="1168"/>
    </row>
    <row r="46060" spans="2:2" s="221" customFormat="1" ht="12.75" x14ac:dyDescent="0.2">
      <c r="B46060" s="1168"/>
    </row>
    <row r="46061" spans="2:2" s="221" customFormat="1" ht="12.75" x14ac:dyDescent="0.2">
      <c r="B46061" s="1168"/>
    </row>
    <row r="46062" spans="2:2" s="221" customFormat="1" ht="12.75" x14ac:dyDescent="0.2">
      <c r="B46062" s="1168"/>
    </row>
    <row r="46063" spans="2:2" s="221" customFormat="1" ht="12.75" x14ac:dyDescent="0.2">
      <c r="B46063" s="1168"/>
    </row>
    <row r="46064" spans="2:2" s="221" customFormat="1" ht="12.75" x14ac:dyDescent="0.2">
      <c r="B46064" s="1168"/>
    </row>
    <row r="46065" spans="2:2" s="221" customFormat="1" ht="12.75" x14ac:dyDescent="0.2">
      <c r="B46065" s="1168"/>
    </row>
    <row r="46066" spans="2:2" s="221" customFormat="1" ht="12.75" x14ac:dyDescent="0.2">
      <c r="B46066" s="1168"/>
    </row>
    <row r="46067" spans="2:2" s="221" customFormat="1" ht="12.75" x14ac:dyDescent="0.2">
      <c r="B46067" s="1168"/>
    </row>
    <row r="46068" spans="2:2" s="221" customFormat="1" ht="12.75" x14ac:dyDescent="0.2">
      <c r="B46068" s="1168"/>
    </row>
    <row r="46069" spans="2:2" s="221" customFormat="1" ht="12.75" x14ac:dyDescent="0.2">
      <c r="B46069" s="1168"/>
    </row>
    <row r="46070" spans="2:2" s="221" customFormat="1" ht="12.75" x14ac:dyDescent="0.2">
      <c r="B46070" s="1168"/>
    </row>
    <row r="46071" spans="2:2" s="221" customFormat="1" ht="12.75" x14ac:dyDescent="0.2">
      <c r="B46071" s="1168"/>
    </row>
    <row r="46072" spans="2:2" s="221" customFormat="1" ht="12.75" x14ac:dyDescent="0.2">
      <c r="B46072" s="1168"/>
    </row>
    <row r="46073" spans="2:2" s="221" customFormat="1" ht="12.75" x14ac:dyDescent="0.2">
      <c r="B46073" s="1168"/>
    </row>
    <row r="46074" spans="2:2" s="221" customFormat="1" ht="12.75" x14ac:dyDescent="0.2">
      <c r="B46074" s="1168"/>
    </row>
    <row r="46075" spans="2:2" s="221" customFormat="1" ht="12.75" x14ac:dyDescent="0.2">
      <c r="B46075" s="1168"/>
    </row>
    <row r="46076" spans="2:2" s="221" customFormat="1" ht="12.75" x14ac:dyDescent="0.2">
      <c r="B46076" s="1168"/>
    </row>
    <row r="46077" spans="2:2" s="221" customFormat="1" ht="12.75" x14ac:dyDescent="0.2">
      <c r="B46077" s="1168"/>
    </row>
    <row r="46078" spans="2:2" s="221" customFormat="1" ht="12.75" x14ac:dyDescent="0.2">
      <c r="B46078" s="1168"/>
    </row>
    <row r="46079" spans="2:2" s="221" customFormat="1" ht="12.75" x14ac:dyDescent="0.2">
      <c r="B46079" s="1168"/>
    </row>
    <row r="46080" spans="2:2" s="221" customFormat="1" ht="12.75" x14ac:dyDescent="0.2">
      <c r="B46080" s="1168"/>
    </row>
    <row r="46081" spans="2:2" s="221" customFormat="1" ht="12.75" x14ac:dyDescent="0.2">
      <c r="B46081" s="1168"/>
    </row>
    <row r="46082" spans="2:2" s="221" customFormat="1" ht="12.75" x14ac:dyDescent="0.2">
      <c r="B46082" s="1168"/>
    </row>
    <row r="46083" spans="2:2" s="221" customFormat="1" ht="12.75" x14ac:dyDescent="0.2">
      <c r="B46083" s="1168"/>
    </row>
    <row r="46084" spans="2:2" s="221" customFormat="1" ht="12.75" x14ac:dyDescent="0.2">
      <c r="B46084" s="1168"/>
    </row>
    <row r="46085" spans="2:2" s="221" customFormat="1" ht="12.75" x14ac:dyDescent="0.2">
      <c r="B46085" s="1168"/>
    </row>
    <row r="46086" spans="2:2" s="221" customFormat="1" ht="12.75" x14ac:dyDescent="0.2">
      <c r="B46086" s="1168"/>
    </row>
    <row r="46087" spans="2:2" s="221" customFormat="1" ht="12.75" x14ac:dyDescent="0.2">
      <c r="B46087" s="1168"/>
    </row>
    <row r="46088" spans="2:2" s="221" customFormat="1" ht="12.75" x14ac:dyDescent="0.2">
      <c r="B46088" s="1168"/>
    </row>
    <row r="46089" spans="2:2" s="221" customFormat="1" ht="12.75" x14ac:dyDescent="0.2">
      <c r="B46089" s="1168"/>
    </row>
    <row r="46090" spans="2:2" s="221" customFormat="1" ht="12.75" x14ac:dyDescent="0.2">
      <c r="B46090" s="1168"/>
    </row>
    <row r="46091" spans="2:2" s="221" customFormat="1" ht="12.75" x14ac:dyDescent="0.2">
      <c r="B46091" s="1168"/>
    </row>
    <row r="46092" spans="2:2" s="221" customFormat="1" ht="12.75" x14ac:dyDescent="0.2">
      <c r="B46092" s="1168"/>
    </row>
    <row r="46093" spans="2:2" s="221" customFormat="1" ht="12.75" x14ac:dyDescent="0.2">
      <c r="B46093" s="1168"/>
    </row>
    <row r="46094" spans="2:2" s="221" customFormat="1" ht="12.75" x14ac:dyDescent="0.2">
      <c r="B46094" s="1168"/>
    </row>
    <row r="46095" spans="2:2" s="221" customFormat="1" ht="12.75" x14ac:dyDescent="0.2">
      <c r="B46095" s="1168"/>
    </row>
    <row r="46096" spans="2:2" s="221" customFormat="1" ht="12.75" x14ac:dyDescent="0.2">
      <c r="B46096" s="1168"/>
    </row>
    <row r="46097" spans="2:2" s="221" customFormat="1" ht="12.75" x14ac:dyDescent="0.2">
      <c r="B46097" s="1168"/>
    </row>
    <row r="46098" spans="2:2" s="221" customFormat="1" ht="12.75" x14ac:dyDescent="0.2">
      <c r="B46098" s="1168"/>
    </row>
    <row r="46099" spans="2:2" s="221" customFormat="1" ht="12.75" x14ac:dyDescent="0.2">
      <c r="B46099" s="1168"/>
    </row>
    <row r="46100" spans="2:2" s="221" customFormat="1" ht="12.75" x14ac:dyDescent="0.2">
      <c r="B46100" s="1168"/>
    </row>
    <row r="46101" spans="2:2" s="221" customFormat="1" ht="12.75" x14ac:dyDescent="0.2">
      <c r="B46101" s="1168"/>
    </row>
    <row r="46102" spans="2:2" s="221" customFormat="1" ht="12.75" x14ac:dyDescent="0.2">
      <c r="B46102" s="1168"/>
    </row>
    <row r="46103" spans="2:2" s="221" customFormat="1" ht="12.75" x14ac:dyDescent="0.2">
      <c r="B46103" s="1168"/>
    </row>
    <row r="46104" spans="2:2" s="221" customFormat="1" ht="12.75" x14ac:dyDescent="0.2">
      <c r="B46104" s="1168"/>
    </row>
    <row r="46105" spans="2:2" s="221" customFormat="1" ht="12.75" x14ac:dyDescent="0.2">
      <c r="B46105" s="1168"/>
    </row>
    <row r="46106" spans="2:2" s="221" customFormat="1" ht="12.75" x14ac:dyDescent="0.2">
      <c r="B46106" s="1168"/>
    </row>
    <row r="46107" spans="2:2" s="221" customFormat="1" ht="12.75" x14ac:dyDescent="0.2">
      <c r="B46107" s="1168"/>
    </row>
    <row r="46108" spans="2:2" s="221" customFormat="1" ht="12.75" x14ac:dyDescent="0.2">
      <c r="B46108" s="1168"/>
    </row>
    <row r="46109" spans="2:2" s="221" customFormat="1" ht="12.75" x14ac:dyDescent="0.2">
      <c r="B46109" s="1168"/>
    </row>
    <row r="46110" spans="2:2" s="221" customFormat="1" ht="12.75" x14ac:dyDescent="0.2">
      <c r="B46110" s="1168"/>
    </row>
    <row r="46111" spans="2:2" s="221" customFormat="1" ht="12.75" x14ac:dyDescent="0.2">
      <c r="B46111" s="1168"/>
    </row>
    <row r="46112" spans="2:2" s="221" customFormat="1" ht="12.75" x14ac:dyDescent="0.2">
      <c r="B46112" s="1168"/>
    </row>
    <row r="46113" spans="2:2" s="221" customFormat="1" ht="12.75" x14ac:dyDescent="0.2">
      <c r="B46113" s="1168"/>
    </row>
    <row r="46114" spans="2:2" s="221" customFormat="1" ht="12.75" x14ac:dyDescent="0.2">
      <c r="B46114" s="1168"/>
    </row>
    <row r="46115" spans="2:2" s="221" customFormat="1" ht="12.75" x14ac:dyDescent="0.2">
      <c r="B46115" s="1168"/>
    </row>
    <row r="46116" spans="2:2" s="221" customFormat="1" ht="12.75" x14ac:dyDescent="0.2">
      <c r="B46116" s="1168"/>
    </row>
    <row r="46117" spans="2:2" s="221" customFormat="1" ht="12.75" x14ac:dyDescent="0.2">
      <c r="B46117" s="1168"/>
    </row>
    <row r="46118" spans="2:2" s="221" customFormat="1" ht="12.75" x14ac:dyDescent="0.2">
      <c r="B46118" s="1168"/>
    </row>
    <row r="46119" spans="2:2" s="221" customFormat="1" ht="12.75" x14ac:dyDescent="0.2">
      <c r="B46119" s="1168"/>
    </row>
    <row r="46120" spans="2:2" s="221" customFormat="1" ht="12.75" x14ac:dyDescent="0.2">
      <c r="B46120" s="1168"/>
    </row>
    <row r="46121" spans="2:2" s="221" customFormat="1" ht="12.75" x14ac:dyDescent="0.2">
      <c r="B46121" s="1168"/>
    </row>
    <row r="46122" spans="2:2" s="221" customFormat="1" ht="12.75" x14ac:dyDescent="0.2">
      <c r="B46122" s="1168"/>
    </row>
    <row r="46123" spans="2:2" s="221" customFormat="1" ht="12.75" x14ac:dyDescent="0.2">
      <c r="B46123" s="1168"/>
    </row>
    <row r="46124" spans="2:2" s="221" customFormat="1" ht="12.75" x14ac:dyDescent="0.2">
      <c r="B46124" s="1168"/>
    </row>
    <row r="46125" spans="2:2" s="221" customFormat="1" ht="12.75" x14ac:dyDescent="0.2">
      <c r="B46125" s="1168"/>
    </row>
    <row r="46126" spans="2:2" s="221" customFormat="1" ht="12.75" x14ac:dyDescent="0.2">
      <c r="B46126" s="1168"/>
    </row>
    <row r="46127" spans="2:2" s="221" customFormat="1" ht="12.75" x14ac:dyDescent="0.2">
      <c r="B46127" s="1168"/>
    </row>
    <row r="46128" spans="2:2" s="221" customFormat="1" ht="12.75" x14ac:dyDescent="0.2">
      <c r="B46128" s="1168"/>
    </row>
    <row r="46129" spans="2:2" s="221" customFormat="1" ht="12.75" x14ac:dyDescent="0.2">
      <c r="B46129" s="1168"/>
    </row>
    <row r="46130" spans="2:2" s="221" customFormat="1" ht="12.75" x14ac:dyDescent="0.2">
      <c r="B46130" s="1168"/>
    </row>
    <row r="46131" spans="2:2" s="221" customFormat="1" ht="12.75" x14ac:dyDescent="0.2">
      <c r="B46131" s="1168"/>
    </row>
    <row r="46132" spans="2:2" s="221" customFormat="1" ht="12.75" x14ac:dyDescent="0.2">
      <c r="B46132" s="1168"/>
    </row>
    <row r="46133" spans="2:2" s="221" customFormat="1" ht="12.75" x14ac:dyDescent="0.2">
      <c r="B46133" s="1168"/>
    </row>
    <row r="46134" spans="2:2" s="221" customFormat="1" ht="12.75" x14ac:dyDescent="0.2">
      <c r="B46134" s="1168"/>
    </row>
    <row r="46135" spans="2:2" s="221" customFormat="1" ht="12.75" x14ac:dyDescent="0.2">
      <c r="B46135" s="1168"/>
    </row>
    <row r="46136" spans="2:2" s="221" customFormat="1" ht="12.75" x14ac:dyDescent="0.2">
      <c r="B46136" s="1168"/>
    </row>
    <row r="46137" spans="2:2" s="221" customFormat="1" ht="12.75" x14ac:dyDescent="0.2">
      <c r="B46137" s="1168"/>
    </row>
    <row r="46138" spans="2:2" s="221" customFormat="1" ht="12.75" x14ac:dyDescent="0.2">
      <c r="B46138" s="1168"/>
    </row>
    <row r="46139" spans="2:2" s="221" customFormat="1" ht="12.75" x14ac:dyDescent="0.2">
      <c r="B46139" s="1168"/>
    </row>
    <row r="46140" spans="2:2" s="221" customFormat="1" ht="12.75" x14ac:dyDescent="0.2">
      <c r="B46140" s="1168"/>
    </row>
    <row r="46141" spans="2:2" s="221" customFormat="1" ht="12.75" x14ac:dyDescent="0.2">
      <c r="B46141" s="1168"/>
    </row>
    <row r="46142" spans="2:2" s="221" customFormat="1" ht="12.75" x14ac:dyDescent="0.2">
      <c r="B46142" s="1168"/>
    </row>
    <row r="46143" spans="2:2" s="221" customFormat="1" ht="12.75" x14ac:dyDescent="0.2">
      <c r="B46143" s="1168"/>
    </row>
    <row r="46144" spans="2:2" s="221" customFormat="1" ht="12.75" x14ac:dyDescent="0.2">
      <c r="B46144" s="1168"/>
    </row>
    <row r="46145" spans="2:2" s="221" customFormat="1" ht="12.75" x14ac:dyDescent="0.2">
      <c r="B46145" s="1168"/>
    </row>
    <row r="46146" spans="2:2" s="221" customFormat="1" ht="12.75" x14ac:dyDescent="0.2">
      <c r="B46146" s="1168"/>
    </row>
    <row r="46147" spans="2:2" s="221" customFormat="1" ht="12.75" x14ac:dyDescent="0.2">
      <c r="B46147" s="1168"/>
    </row>
    <row r="46148" spans="2:2" s="221" customFormat="1" ht="12.75" x14ac:dyDescent="0.2">
      <c r="B46148" s="1168"/>
    </row>
    <row r="46149" spans="2:2" s="221" customFormat="1" ht="12.75" x14ac:dyDescent="0.2">
      <c r="B46149" s="1168"/>
    </row>
    <row r="46150" spans="2:2" s="221" customFormat="1" ht="12.75" x14ac:dyDescent="0.2">
      <c r="B46150" s="1168"/>
    </row>
    <row r="46151" spans="2:2" s="221" customFormat="1" ht="12.75" x14ac:dyDescent="0.2">
      <c r="B46151" s="1168"/>
    </row>
    <row r="46152" spans="2:2" s="221" customFormat="1" ht="12.75" x14ac:dyDescent="0.2">
      <c r="B46152" s="1168"/>
    </row>
    <row r="46153" spans="2:2" s="221" customFormat="1" ht="12.75" x14ac:dyDescent="0.2">
      <c r="B46153" s="1168"/>
    </row>
    <row r="46154" spans="2:2" s="221" customFormat="1" ht="12.75" x14ac:dyDescent="0.2">
      <c r="B46154" s="1168"/>
    </row>
    <row r="46155" spans="2:2" s="221" customFormat="1" ht="12.75" x14ac:dyDescent="0.2">
      <c r="B46155" s="1168"/>
    </row>
    <row r="46156" spans="2:2" s="221" customFormat="1" ht="12.75" x14ac:dyDescent="0.2">
      <c r="B46156" s="1168"/>
    </row>
    <row r="46157" spans="2:2" s="221" customFormat="1" ht="12.75" x14ac:dyDescent="0.2">
      <c r="B46157" s="1168"/>
    </row>
    <row r="46158" spans="2:2" s="221" customFormat="1" ht="12.75" x14ac:dyDescent="0.2">
      <c r="B46158" s="1168"/>
    </row>
    <row r="46159" spans="2:2" s="221" customFormat="1" ht="12.75" x14ac:dyDescent="0.2">
      <c r="B46159" s="1168"/>
    </row>
    <row r="46160" spans="2:2" s="221" customFormat="1" ht="12.75" x14ac:dyDescent="0.2">
      <c r="B46160" s="1168"/>
    </row>
    <row r="46161" spans="2:2" s="221" customFormat="1" ht="12.75" x14ac:dyDescent="0.2">
      <c r="B46161" s="1168"/>
    </row>
    <row r="46162" spans="2:2" s="221" customFormat="1" ht="12.75" x14ac:dyDescent="0.2">
      <c r="B46162" s="1168"/>
    </row>
    <row r="46163" spans="2:2" s="221" customFormat="1" ht="12.75" x14ac:dyDescent="0.2">
      <c r="B46163" s="1168"/>
    </row>
    <row r="46164" spans="2:2" s="221" customFormat="1" ht="12.75" x14ac:dyDescent="0.2">
      <c r="B46164" s="1168"/>
    </row>
    <row r="46165" spans="2:2" s="221" customFormat="1" ht="12.75" x14ac:dyDescent="0.2">
      <c r="B46165" s="1168"/>
    </row>
    <row r="46166" spans="2:2" s="221" customFormat="1" ht="12.75" x14ac:dyDescent="0.2">
      <c r="B46166" s="1168"/>
    </row>
    <row r="46167" spans="2:2" s="221" customFormat="1" ht="12.75" x14ac:dyDescent="0.2">
      <c r="B46167" s="1168"/>
    </row>
    <row r="46168" spans="2:2" s="221" customFormat="1" ht="12.75" x14ac:dyDescent="0.2">
      <c r="B46168" s="1168"/>
    </row>
    <row r="46169" spans="2:2" s="221" customFormat="1" ht="12.75" x14ac:dyDescent="0.2">
      <c r="B46169" s="1168"/>
    </row>
    <row r="46170" spans="2:2" s="221" customFormat="1" ht="12.75" x14ac:dyDescent="0.2">
      <c r="B46170" s="1168"/>
    </row>
    <row r="46171" spans="2:2" s="221" customFormat="1" ht="12.75" x14ac:dyDescent="0.2">
      <c r="B46171" s="1168"/>
    </row>
    <row r="46172" spans="2:2" s="221" customFormat="1" ht="12.75" x14ac:dyDescent="0.2">
      <c r="B46172" s="1168"/>
    </row>
    <row r="46173" spans="2:2" s="221" customFormat="1" ht="12.75" x14ac:dyDescent="0.2">
      <c r="B46173" s="1168"/>
    </row>
    <row r="46174" spans="2:2" s="221" customFormat="1" ht="12.75" x14ac:dyDescent="0.2">
      <c r="B46174" s="1168"/>
    </row>
    <row r="46175" spans="2:2" s="221" customFormat="1" ht="12.75" x14ac:dyDescent="0.2">
      <c r="B46175" s="1168"/>
    </row>
    <row r="46176" spans="2:2" s="221" customFormat="1" ht="12.75" x14ac:dyDescent="0.2">
      <c r="B46176" s="1168"/>
    </row>
    <row r="46177" spans="2:2" s="221" customFormat="1" ht="12.75" x14ac:dyDescent="0.2">
      <c r="B46177" s="1168"/>
    </row>
    <row r="46178" spans="2:2" s="221" customFormat="1" ht="12.75" x14ac:dyDescent="0.2">
      <c r="B46178" s="1168"/>
    </row>
    <row r="46179" spans="2:2" s="221" customFormat="1" ht="12.75" x14ac:dyDescent="0.2">
      <c r="B46179" s="1168"/>
    </row>
    <row r="46180" spans="2:2" s="221" customFormat="1" ht="12.75" x14ac:dyDescent="0.2">
      <c r="B46180" s="1168"/>
    </row>
    <row r="46181" spans="2:2" s="221" customFormat="1" ht="12.75" x14ac:dyDescent="0.2">
      <c r="B46181" s="1168"/>
    </row>
    <row r="46182" spans="2:2" s="221" customFormat="1" ht="12.75" x14ac:dyDescent="0.2">
      <c r="B46182" s="1168"/>
    </row>
    <row r="46183" spans="2:2" s="221" customFormat="1" ht="12.75" x14ac:dyDescent="0.2">
      <c r="B46183" s="1168"/>
    </row>
    <row r="46184" spans="2:2" s="221" customFormat="1" ht="12.75" x14ac:dyDescent="0.2">
      <c r="B46184" s="1168"/>
    </row>
    <row r="46185" spans="2:2" s="221" customFormat="1" ht="12.75" x14ac:dyDescent="0.2">
      <c r="B46185" s="1168"/>
    </row>
    <row r="46186" spans="2:2" s="221" customFormat="1" ht="12.75" x14ac:dyDescent="0.2">
      <c r="B46186" s="1168"/>
    </row>
    <row r="46187" spans="2:2" s="221" customFormat="1" ht="12.75" x14ac:dyDescent="0.2">
      <c r="B46187" s="1168"/>
    </row>
    <row r="46188" spans="2:2" s="221" customFormat="1" ht="12.75" x14ac:dyDescent="0.2">
      <c r="B46188" s="1168"/>
    </row>
    <row r="46189" spans="2:2" s="221" customFormat="1" ht="12.75" x14ac:dyDescent="0.2">
      <c r="B46189" s="1168"/>
    </row>
    <row r="46190" spans="2:2" s="221" customFormat="1" ht="12.75" x14ac:dyDescent="0.2">
      <c r="B46190" s="1168"/>
    </row>
    <row r="46191" spans="2:2" s="221" customFormat="1" ht="12.75" x14ac:dyDescent="0.2">
      <c r="B46191" s="1168"/>
    </row>
    <row r="46192" spans="2:2" s="221" customFormat="1" ht="12.75" x14ac:dyDescent="0.2">
      <c r="B46192" s="1168"/>
    </row>
    <row r="46193" spans="2:2" s="221" customFormat="1" ht="12.75" x14ac:dyDescent="0.2">
      <c r="B46193" s="1168"/>
    </row>
    <row r="46194" spans="2:2" s="221" customFormat="1" ht="12.75" x14ac:dyDescent="0.2">
      <c r="B46194" s="1168"/>
    </row>
    <row r="46195" spans="2:2" s="221" customFormat="1" ht="12.75" x14ac:dyDescent="0.2">
      <c r="B46195" s="1168"/>
    </row>
    <row r="46196" spans="2:2" s="221" customFormat="1" ht="12.75" x14ac:dyDescent="0.2">
      <c r="B46196" s="1168"/>
    </row>
    <row r="46197" spans="2:2" s="221" customFormat="1" ht="12.75" x14ac:dyDescent="0.2">
      <c r="B46197" s="1168"/>
    </row>
    <row r="46198" spans="2:2" s="221" customFormat="1" ht="12.75" x14ac:dyDescent="0.2">
      <c r="B46198" s="1168"/>
    </row>
    <row r="46199" spans="2:2" s="221" customFormat="1" ht="12.75" x14ac:dyDescent="0.2">
      <c r="B46199" s="1168"/>
    </row>
    <row r="46200" spans="2:2" s="221" customFormat="1" ht="12.75" x14ac:dyDescent="0.2">
      <c r="B46200" s="1168"/>
    </row>
    <row r="46201" spans="2:2" s="221" customFormat="1" ht="12.75" x14ac:dyDescent="0.2">
      <c r="B46201" s="1168"/>
    </row>
    <row r="46202" spans="2:2" s="221" customFormat="1" ht="12.75" x14ac:dyDescent="0.2">
      <c r="B46202" s="1168"/>
    </row>
    <row r="46203" spans="2:2" s="221" customFormat="1" ht="12.75" x14ac:dyDescent="0.2">
      <c r="B46203" s="1168"/>
    </row>
    <row r="46204" spans="2:2" s="221" customFormat="1" ht="12.75" x14ac:dyDescent="0.2">
      <c r="B46204" s="1168"/>
    </row>
    <row r="46205" spans="2:2" s="221" customFormat="1" ht="12.75" x14ac:dyDescent="0.2">
      <c r="B46205" s="1168"/>
    </row>
    <row r="46206" spans="2:2" s="221" customFormat="1" ht="12.75" x14ac:dyDescent="0.2">
      <c r="B46206" s="1168"/>
    </row>
    <row r="46207" spans="2:2" s="221" customFormat="1" ht="12.75" x14ac:dyDescent="0.2">
      <c r="B46207" s="1168"/>
    </row>
    <row r="46208" spans="2:2" s="221" customFormat="1" ht="12.75" x14ac:dyDescent="0.2">
      <c r="B46208" s="1168"/>
    </row>
    <row r="46209" spans="2:2" s="221" customFormat="1" ht="12.75" x14ac:dyDescent="0.2">
      <c r="B46209" s="1168"/>
    </row>
    <row r="46210" spans="2:2" s="221" customFormat="1" ht="12.75" x14ac:dyDescent="0.2">
      <c r="B46210" s="1168"/>
    </row>
    <row r="46211" spans="2:2" s="221" customFormat="1" ht="12.75" x14ac:dyDescent="0.2">
      <c r="B46211" s="1168"/>
    </row>
    <row r="46212" spans="2:2" s="221" customFormat="1" ht="12.75" x14ac:dyDescent="0.2">
      <c r="B46212" s="1168"/>
    </row>
    <row r="46213" spans="2:2" s="221" customFormat="1" ht="12.75" x14ac:dyDescent="0.2">
      <c r="B46213" s="1168"/>
    </row>
    <row r="46214" spans="2:2" s="221" customFormat="1" ht="12.75" x14ac:dyDescent="0.2">
      <c r="B46214" s="1168"/>
    </row>
    <row r="46215" spans="2:2" s="221" customFormat="1" ht="12.75" x14ac:dyDescent="0.2">
      <c r="B46215" s="1168"/>
    </row>
    <row r="46216" spans="2:2" s="221" customFormat="1" ht="12.75" x14ac:dyDescent="0.2">
      <c r="B46216" s="1168"/>
    </row>
    <row r="46217" spans="2:2" s="221" customFormat="1" ht="12.75" x14ac:dyDescent="0.2">
      <c r="B46217" s="1168"/>
    </row>
    <row r="46218" spans="2:2" s="221" customFormat="1" ht="12.75" x14ac:dyDescent="0.2">
      <c r="B46218" s="1168"/>
    </row>
    <row r="46219" spans="2:2" s="221" customFormat="1" ht="12.75" x14ac:dyDescent="0.2">
      <c r="B46219" s="1168"/>
    </row>
    <row r="46220" spans="2:2" s="221" customFormat="1" ht="12.75" x14ac:dyDescent="0.2">
      <c r="B46220" s="1168"/>
    </row>
    <row r="46221" spans="2:2" s="221" customFormat="1" ht="12.75" x14ac:dyDescent="0.2">
      <c r="B46221" s="1168"/>
    </row>
    <row r="46222" spans="2:2" s="221" customFormat="1" ht="12.75" x14ac:dyDescent="0.2">
      <c r="B46222" s="1168"/>
    </row>
    <row r="46223" spans="2:2" s="221" customFormat="1" ht="12.75" x14ac:dyDescent="0.2">
      <c r="B46223" s="1168"/>
    </row>
    <row r="46224" spans="2:2" s="221" customFormat="1" ht="12.75" x14ac:dyDescent="0.2">
      <c r="B46224" s="1168"/>
    </row>
    <row r="46225" spans="2:2" s="221" customFormat="1" ht="12.75" x14ac:dyDescent="0.2">
      <c r="B46225" s="1168"/>
    </row>
    <row r="46226" spans="2:2" s="221" customFormat="1" ht="12.75" x14ac:dyDescent="0.2">
      <c r="B46226" s="1168"/>
    </row>
    <row r="46227" spans="2:2" s="221" customFormat="1" ht="12.75" x14ac:dyDescent="0.2">
      <c r="B46227" s="1168"/>
    </row>
    <row r="46228" spans="2:2" s="221" customFormat="1" ht="12.75" x14ac:dyDescent="0.2">
      <c r="B46228" s="1168"/>
    </row>
    <row r="46229" spans="2:2" s="221" customFormat="1" ht="12.75" x14ac:dyDescent="0.2">
      <c r="B46229" s="1168"/>
    </row>
    <row r="46230" spans="2:2" s="221" customFormat="1" ht="12.75" x14ac:dyDescent="0.2">
      <c r="B46230" s="1168"/>
    </row>
    <row r="46231" spans="2:2" s="221" customFormat="1" ht="12.75" x14ac:dyDescent="0.2">
      <c r="B46231" s="1168"/>
    </row>
    <row r="46232" spans="2:2" s="221" customFormat="1" ht="12.75" x14ac:dyDescent="0.2">
      <c r="B46232" s="1168"/>
    </row>
    <row r="46233" spans="2:2" s="221" customFormat="1" ht="12.75" x14ac:dyDescent="0.2">
      <c r="B46233" s="1168"/>
    </row>
    <row r="46234" spans="2:2" s="221" customFormat="1" ht="12.75" x14ac:dyDescent="0.2">
      <c r="B46234" s="1168"/>
    </row>
    <row r="46235" spans="2:2" s="221" customFormat="1" ht="12.75" x14ac:dyDescent="0.2">
      <c r="B46235" s="1168"/>
    </row>
    <row r="46236" spans="2:2" s="221" customFormat="1" ht="12.75" x14ac:dyDescent="0.2">
      <c r="B46236" s="1168"/>
    </row>
    <row r="46237" spans="2:2" s="221" customFormat="1" ht="12.75" x14ac:dyDescent="0.2">
      <c r="B46237" s="1168"/>
    </row>
    <row r="46238" spans="2:2" s="221" customFormat="1" ht="12.75" x14ac:dyDescent="0.2">
      <c r="B46238" s="1168"/>
    </row>
    <row r="46239" spans="2:2" s="221" customFormat="1" ht="12.75" x14ac:dyDescent="0.2">
      <c r="B46239" s="1168"/>
    </row>
    <row r="46240" spans="2:2" s="221" customFormat="1" ht="12.75" x14ac:dyDescent="0.2">
      <c r="B46240" s="1168"/>
    </row>
    <row r="46241" spans="2:2" s="221" customFormat="1" ht="12.75" x14ac:dyDescent="0.2">
      <c r="B46241" s="1168"/>
    </row>
    <row r="46242" spans="2:2" s="221" customFormat="1" ht="12.75" x14ac:dyDescent="0.2">
      <c r="B46242" s="1168"/>
    </row>
    <row r="46243" spans="2:2" s="221" customFormat="1" ht="12.75" x14ac:dyDescent="0.2">
      <c r="B46243" s="1168"/>
    </row>
    <row r="46244" spans="2:2" s="221" customFormat="1" ht="12.75" x14ac:dyDescent="0.2">
      <c r="B46244" s="1168"/>
    </row>
    <row r="46245" spans="2:2" s="221" customFormat="1" ht="12.75" x14ac:dyDescent="0.2">
      <c r="B46245" s="1168"/>
    </row>
    <row r="46246" spans="2:2" s="221" customFormat="1" ht="12.75" x14ac:dyDescent="0.2">
      <c r="B46246" s="1168"/>
    </row>
    <row r="46247" spans="2:2" s="221" customFormat="1" ht="12.75" x14ac:dyDescent="0.2">
      <c r="B46247" s="1168"/>
    </row>
    <row r="46248" spans="2:2" s="221" customFormat="1" ht="12.75" x14ac:dyDescent="0.2">
      <c r="B46248" s="1168"/>
    </row>
    <row r="46249" spans="2:2" s="221" customFormat="1" ht="12.75" x14ac:dyDescent="0.2">
      <c r="B46249" s="1168"/>
    </row>
    <row r="46250" spans="2:2" s="221" customFormat="1" ht="12.75" x14ac:dyDescent="0.2">
      <c r="B46250" s="1168"/>
    </row>
    <row r="46251" spans="2:2" s="221" customFormat="1" ht="12.75" x14ac:dyDescent="0.2">
      <c r="B46251" s="1168"/>
    </row>
    <row r="46252" spans="2:2" s="221" customFormat="1" ht="12.75" x14ac:dyDescent="0.2">
      <c r="B46252" s="1168"/>
    </row>
    <row r="46253" spans="2:2" s="221" customFormat="1" ht="12.75" x14ac:dyDescent="0.2">
      <c r="B46253" s="1168"/>
    </row>
    <row r="46254" spans="2:2" s="221" customFormat="1" ht="12.75" x14ac:dyDescent="0.2">
      <c r="B46254" s="1168"/>
    </row>
    <row r="46255" spans="2:2" s="221" customFormat="1" ht="12.75" x14ac:dyDescent="0.2">
      <c r="B46255" s="1168"/>
    </row>
    <row r="46256" spans="2:2" s="221" customFormat="1" ht="12.75" x14ac:dyDescent="0.2">
      <c r="B46256" s="1168"/>
    </row>
    <row r="46257" spans="2:2" s="221" customFormat="1" ht="12.75" x14ac:dyDescent="0.2">
      <c r="B46257" s="1168"/>
    </row>
    <row r="46258" spans="2:2" s="221" customFormat="1" ht="12.75" x14ac:dyDescent="0.2">
      <c r="B46258" s="1168"/>
    </row>
    <row r="46259" spans="2:2" s="221" customFormat="1" ht="12.75" x14ac:dyDescent="0.2">
      <c r="B46259" s="1168"/>
    </row>
    <row r="46260" spans="2:2" s="221" customFormat="1" ht="12.75" x14ac:dyDescent="0.2">
      <c r="B46260" s="1168"/>
    </row>
    <row r="46261" spans="2:2" s="221" customFormat="1" ht="12.75" x14ac:dyDescent="0.2">
      <c r="B46261" s="1168"/>
    </row>
    <row r="46262" spans="2:2" s="221" customFormat="1" ht="12.75" x14ac:dyDescent="0.2">
      <c r="B46262" s="1168"/>
    </row>
    <row r="46263" spans="2:2" s="221" customFormat="1" ht="12.75" x14ac:dyDescent="0.2">
      <c r="B46263" s="1168"/>
    </row>
    <row r="46264" spans="2:2" s="221" customFormat="1" ht="12.75" x14ac:dyDescent="0.2">
      <c r="B46264" s="1168"/>
    </row>
    <row r="46265" spans="2:2" s="221" customFormat="1" ht="12.75" x14ac:dyDescent="0.2">
      <c r="B46265" s="1168"/>
    </row>
    <row r="46266" spans="2:2" s="221" customFormat="1" ht="12.75" x14ac:dyDescent="0.2">
      <c r="B46266" s="1168"/>
    </row>
    <row r="46267" spans="2:2" s="221" customFormat="1" ht="12.75" x14ac:dyDescent="0.2">
      <c r="B46267" s="1168"/>
    </row>
    <row r="46268" spans="2:2" s="221" customFormat="1" ht="12.75" x14ac:dyDescent="0.2">
      <c r="B46268" s="1168"/>
    </row>
    <row r="46269" spans="2:2" s="221" customFormat="1" ht="12.75" x14ac:dyDescent="0.2">
      <c r="B46269" s="1168"/>
    </row>
    <row r="46270" spans="2:2" s="221" customFormat="1" ht="12.75" x14ac:dyDescent="0.2">
      <c r="B46270" s="1168"/>
    </row>
    <row r="46271" spans="2:2" s="221" customFormat="1" ht="12.75" x14ac:dyDescent="0.2">
      <c r="B46271" s="1168"/>
    </row>
    <row r="46272" spans="2:2" s="221" customFormat="1" ht="12.75" x14ac:dyDescent="0.2">
      <c r="B46272" s="1168"/>
    </row>
    <row r="46273" spans="2:2" s="221" customFormat="1" ht="12.75" x14ac:dyDescent="0.2">
      <c r="B46273" s="1168"/>
    </row>
    <row r="46274" spans="2:2" s="221" customFormat="1" ht="12.75" x14ac:dyDescent="0.2">
      <c r="B46274" s="1168"/>
    </row>
    <row r="46275" spans="2:2" s="221" customFormat="1" ht="12.75" x14ac:dyDescent="0.2">
      <c r="B46275" s="1168"/>
    </row>
    <row r="46276" spans="2:2" s="221" customFormat="1" ht="12.75" x14ac:dyDescent="0.2">
      <c r="B46276" s="1168"/>
    </row>
    <row r="46277" spans="2:2" s="221" customFormat="1" ht="12.75" x14ac:dyDescent="0.2">
      <c r="B46277" s="1168"/>
    </row>
    <row r="46278" spans="2:2" s="221" customFormat="1" ht="12.75" x14ac:dyDescent="0.2">
      <c r="B46278" s="1168"/>
    </row>
    <row r="46279" spans="2:2" s="221" customFormat="1" ht="12.75" x14ac:dyDescent="0.2">
      <c r="B46279" s="1168"/>
    </row>
    <row r="46280" spans="2:2" s="221" customFormat="1" ht="12.75" x14ac:dyDescent="0.2">
      <c r="B46280" s="1168"/>
    </row>
    <row r="46281" spans="2:2" s="221" customFormat="1" ht="12.75" x14ac:dyDescent="0.2">
      <c r="B46281" s="1168"/>
    </row>
    <row r="46282" spans="2:2" s="221" customFormat="1" ht="12.75" x14ac:dyDescent="0.2">
      <c r="B46282" s="1168"/>
    </row>
    <row r="46283" spans="2:2" s="221" customFormat="1" ht="12.75" x14ac:dyDescent="0.2">
      <c r="B46283" s="1168"/>
    </row>
    <row r="46284" spans="2:2" s="221" customFormat="1" ht="12.75" x14ac:dyDescent="0.2">
      <c r="B46284" s="1168"/>
    </row>
    <row r="46285" spans="2:2" s="221" customFormat="1" ht="12.75" x14ac:dyDescent="0.2">
      <c r="B46285" s="1168"/>
    </row>
    <row r="46286" spans="2:2" s="221" customFormat="1" ht="12.75" x14ac:dyDescent="0.2">
      <c r="B46286" s="1168"/>
    </row>
    <row r="46287" spans="2:2" s="221" customFormat="1" ht="12.75" x14ac:dyDescent="0.2">
      <c r="B46287" s="1168"/>
    </row>
    <row r="46288" spans="2:2" s="221" customFormat="1" ht="12.75" x14ac:dyDescent="0.2">
      <c r="B46288" s="1168"/>
    </row>
    <row r="46289" spans="2:2" s="221" customFormat="1" ht="12.75" x14ac:dyDescent="0.2">
      <c r="B46289" s="1168"/>
    </row>
    <row r="46290" spans="2:2" s="221" customFormat="1" ht="12.75" x14ac:dyDescent="0.2">
      <c r="B46290" s="1168"/>
    </row>
    <row r="46291" spans="2:2" s="221" customFormat="1" ht="12.75" x14ac:dyDescent="0.2">
      <c r="B46291" s="1168"/>
    </row>
    <row r="46292" spans="2:2" s="221" customFormat="1" ht="12.75" x14ac:dyDescent="0.2">
      <c r="B46292" s="1168"/>
    </row>
    <row r="46293" spans="2:2" s="221" customFormat="1" ht="12.75" x14ac:dyDescent="0.2">
      <c r="B46293" s="1168"/>
    </row>
    <row r="46294" spans="2:2" s="221" customFormat="1" ht="12.75" x14ac:dyDescent="0.2">
      <c r="B46294" s="1168"/>
    </row>
    <row r="46295" spans="2:2" s="221" customFormat="1" ht="12.75" x14ac:dyDescent="0.2">
      <c r="B46295" s="1168"/>
    </row>
    <row r="46296" spans="2:2" s="221" customFormat="1" ht="12.75" x14ac:dyDescent="0.2">
      <c r="B46296" s="1168"/>
    </row>
    <row r="46297" spans="2:2" s="221" customFormat="1" ht="12.75" x14ac:dyDescent="0.2">
      <c r="B46297" s="1168"/>
    </row>
    <row r="46298" spans="2:2" s="221" customFormat="1" ht="12.75" x14ac:dyDescent="0.2">
      <c r="B46298" s="1168"/>
    </row>
    <row r="46299" spans="2:2" s="221" customFormat="1" ht="12.75" x14ac:dyDescent="0.2">
      <c r="B46299" s="1168"/>
    </row>
    <row r="46300" spans="2:2" s="221" customFormat="1" ht="12.75" x14ac:dyDescent="0.2">
      <c r="B46300" s="1168"/>
    </row>
    <row r="46301" spans="2:2" s="221" customFormat="1" ht="12.75" x14ac:dyDescent="0.2">
      <c r="B46301" s="1168"/>
    </row>
    <row r="46302" spans="2:2" s="221" customFormat="1" ht="12.75" x14ac:dyDescent="0.2">
      <c r="B46302" s="1168"/>
    </row>
    <row r="46303" spans="2:2" s="221" customFormat="1" ht="12.75" x14ac:dyDescent="0.2">
      <c r="B46303" s="1168"/>
    </row>
    <row r="46304" spans="2:2" s="221" customFormat="1" ht="12.75" x14ac:dyDescent="0.2">
      <c r="B46304" s="1168"/>
    </row>
    <row r="46305" spans="2:2" s="221" customFormat="1" ht="12.75" x14ac:dyDescent="0.2">
      <c r="B46305" s="1168"/>
    </row>
    <row r="46306" spans="2:2" s="221" customFormat="1" ht="12.75" x14ac:dyDescent="0.2">
      <c r="B46306" s="1168"/>
    </row>
    <row r="46307" spans="2:2" s="221" customFormat="1" ht="12.75" x14ac:dyDescent="0.2">
      <c r="B46307" s="1168"/>
    </row>
    <row r="46308" spans="2:2" s="221" customFormat="1" ht="12.75" x14ac:dyDescent="0.2">
      <c r="B46308" s="1168"/>
    </row>
    <row r="46309" spans="2:2" s="221" customFormat="1" ht="12.75" x14ac:dyDescent="0.2">
      <c r="B46309" s="1168"/>
    </row>
    <row r="46310" spans="2:2" s="221" customFormat="1" ht="12.75" x14ac:dyDescent="0.2">
      <c r="B46310" s="1168"/>
    </row>
    <row r="46311" spans="2:2" s="221" customFormat="1" ht="12.75" x14ac:dyDescent="0.2">
      <c r="B46311" s="1168"/>
    </row>
    <row r="46312" spans="2:2" s="221" customFormat="1" ht="12.75" x14ac:dyDescent="0.2">
      <c r="B46312" s="1168"/>
    </row>
    <row r="46313" spans="2:2" s="221" customFormat="1" ht="12.75" x14ac:dyDescent="0.2">
      <c r="B46313" s="1168"/>
    </row>
    <row r="46314" spans="2:2" s="221" customFormat="1" ht="12.75" x14ac:dyDescent="0.2">
      <c r="B46314" s="1168"/>
    </row>
    <row r="46315" spans="2:2" s="221" customFormat="1" ht="12.75" x14ac:dyDescent="0.2">
      <c r="B46315" s="1168"/>
    </row>
    <row r="46316" spans="2:2" s="221" customFormat="1" ht="12.75" x14ac:dyDescent="0.2">
      <c r="B46316" s="1168"/>
    </row>
    <row r="46317" spans="2:2" s="221" customFormat="1" ht="12.75" x14ac:dyDescent="0.2">
      <c r="B46317" s="1168"/>
    </row>
    <row r="46318" spans="2:2" s="221" customFormat="1" ht="12.75" x14ac:dyDescent="0.2">
      <c r="B46318" s="1168"/>
    </row>
    <row r="46319" spans="2:2" s="221" customFormat="1" ht="12.75" x14ac:dyDescent="0.2">
      <c r="B46319" s="1168"/>
    </row>
    <row r="46320" spans="2:2" s="221" customFormat="1" ht="12.75" x14ac:dyDescent="0.2">
      <c r="B46320" s="1168"/>
    </row>
    <row r="46321" spans="2:2" s="221" customFormat="1" ht="12.75" x14ac:dyDescent="0.2">
      <c r="B46321" s="1168"/>
    </row>
    <row r="46322" spans="2:2" s="221" customFormat="1" ht="12.75" x14ac:dyDescent="0.2">
      <c r="B46322" s="1168"/>
    </row>
    <row r="46323" spans="2:2" s="221" customFormat="1" ht="12.75" x14ac:dyDescent="0.2">
      <c r="B46323" s="1168"/>
    </row>
    <row r="46324" spans="2:2" s="221" customFormat="1" ht="12.75" x14ac:dyDescent="0.2">
      <c r="B46324" s="1168"/>
    </row>
    <row r="46325" spans="2:2" s="221" customFormat="1" ht="12.75" x14ac:dyDescent="0.2">
      <c r="B46325" s="1168"/>
    </row>
    <row r="46326" spans="2:2" s="221" customFormat="1" ht="12.75" x14ac:dyDescent="0.2">
      <c r="B46326" s="1168"/>
    </row>
    <row r="46327" spans="2:2" s="221" customFormat="1" ht="12.75" x14ac:dyDescent="0.2">
      <c r="B46327" s="1168"/>
    </row>
    <row r="46328" spans="2:2" s="221" customFormat="1" ht="12.75" x14ac:dyDescent="0.2">
      <c r="B46328" s="1168"/>
    </row>
    <row r="46329" spans="2:2" s="221" customFormat="1" ht="12.75" x14ac:dyDescent="0.2">
      <c r="B46329" s="1168"/>
    </row>
    <row r="46330" spans="2:2" s="221" customFormat="1" ht="12.75" x14ac:dyDescent="0.2">
      <c r="B46330" s="1168"/>
    </row>
    <row r="46331" spans="2:2" s="221" customFormat="1" ht="12.75" x14ac:dyDescent="0.2">
      <c r="B46331" s="1168"/>
    </row>
    <row r="46332" spans="2:2" s="221" customFormat="1" ht="12.75" x14ac:dyDescent="0.2">
      <c r="B46332" s="1168"/>
    </row>
    <row r="46333" spans="2:2" s="221" customFormat="1" ht="12.75" x14ac:dyDescent="0.2">
      <c r="B46333" s="1168"/>
    </row>
    <row r="46334" spans="2:2" s="221" customFormat="1" ht="12.75" x14ac:dyDescent="0.2">
      <c r="B46334" s="1168"/>
    </row>
    <row r="46335" spans="2:2" s="221" customFormat="1" ht="12.75" x14ac:dyDescent="0.2">
      <c r="B46335" s="1168"/>
    </row>
    <row r="46336" spans="2:2" s="221" customFormat="1" ht="12.75" x14ac:dyDescent="0.2">
      <c r="B46336" s="1168"/>
    </row>
    <row r="46337" spans="2:2" s="221" customFormat="1" ht="12.75" x14ac:dyDescent="0.2">
      <c r="B46337" s="1168"/>
    </row>
    <row r="46338" spans="2:2" s="221" customFormat="1" ht="12.75" x14ac:dyDescent="0.2">
      <c r="B46338" s="1168"/>
    </row>
    <row r="46339" spans="2:2" s="221" customFormat="1" ht="12.75" x14ac:dyDescent="0.2">
      <c r="B46339" s="1168"/>
    </row>
    <row r="46340" spans="2:2" s="221" customFormat="1" ht="12.75" x14ac:dyDescent="0.2">
      <c r="B46340" s="1168"/>
    </row>
    <row r="46341" spans="2:2" s="221" customFormat="1" ht="12.75" x14ac:dyDescent="0.2">
      <c r="B46341" s="1168"/>
    </row>
    <row r="46342" spans="2:2" s="221" customFormat="1" ht="12.75" x14ac:dyDescent="0.2">
      <c r="B46342" s="1168"/>
    </row>
    <row r="46343" spans="2:2" s="221" customFormat="1" ht="12.75" x14ac:dyDescent="0.2">
      <c r="B46343" s="1168"/>
    </row>
    <row r="46344" spans="2:2" s="221" customFormat="1" ht="12.75" x14ac:dyDescent="0.2">
      <c r="B46344" s="1168"/>
    </row>
    <row r="46345" spans="2:2" s="221" customFormat="1" ht="12.75" x14ac:dyDescent="0.2">
      <c r="B46345" s="1168"/>
    </row>
    <row r="46346" spans="2:2" s="221" customFormat="1" ht="12.75" x14ac:dyDescent="0.2">
      <c r="B46346" s="1168"/>
    </row>
    <row r="46347" spans="2:2" s="221" customFormat="1" ht="12.75" x14ac:dyDescent="0.2">
      <c r="B46347" s="1168"/>
    </row>
    <row r="46348" spans="2:2" s="221" customFormat="1" ht="12.75" x14ac:dyDescent="0.2">
      <c r="B46348" s="1168"/>
    </row>
    <row r="46349" spans="2:2" s="221" customFormat="1" ht="12.75" x14ac:dyDescent="0.2">
      <c r="B46349" s="1168"/>
    </row>
    <row r="46350" spans="2:2" s="221" customFormat="1" ht="12.75" x14ac:dyDescent="0.2">
      <c r="B46350" s="1168"/>
    </row>
    <row r="46351" spans="2:2" s="221" customFormat="1" ht="12.75" x14ac:dyDescent="0.2">
      <c r="B46351" s="1168"/>
    </row>
    <row r="46352" spans="2:2" s="221" customFormat="1" ht="12.75" x14ac:dyDescent="0.2">
      <c r="B46352" s="1168"/>
    </row>
    <row r="46353" spans="2:2" s="221" customFormat="1" ht="12.75" x14ac:dyDescent="0.2">
      <c r="B46353" s="1168"/>
    </row>
    <row r="46354" spans="2:2" s="221" customFormat="1" ht="12.75" x14ac:dyDescent="0.2">
      <c r="B46354" s="1168"/>
    </row>
    <row r="46355" spans="2:2" s="221" customFormat="1" ht="12.75" x14ac:dyDescent="0.2">
      <c r="B46355" s="1168"/>
    </row>
    <row r="46356" spans="2:2" s="221" customFormat="1" ht="12.75" x14ac:dyDescent="0.2">
      <c r="B46356" s="1168"/>
    </row>
    <row r="46357" spans="2:2" s="221" customFormat="1" ht="12.75" x14ac:dyDescent="0.2">
      <c r="B46357" s="1168"/>
    </row>
    <row r="46358" spans="2:2" s="221" customFormat="1" ht="12.75" x14ac:dyDescent="0.2">
      <c r="B46358" s="1168"/>
    </row>
    <row r="46359" spans="2:2" s="221" customFormat="1" ht="12.75" x14ac:dyDescent="0.2">
      <c r="B46359" s="1168"/>
    </row>
    <row r="46360" spans="2:2" s="221" customFormat="1" ht="12.75" x14ac:dyDescent="0.2">
      <c r="B46360" s="1168"/>
    </row>
    <row r="46361" spans="2:2" s="221" customFormat="1" ht="12.75" x14ac:dyDescent="0.2">
      <c r="B46361" s="1168"/>
    </row>
    <row r="46362" spans="2:2" s="221" customFormat="1" ht="12.75" x14ac:dyDescent="0.2">
      <c r="B46362" s="1168"/>
    </row>
    <row r="46363" spans="2:2" s="221" customFormat="1" ht="12.75" x14ac:dyDescent="0.2">
      <c r="B46363" s="1168"/>
    </row>
    <row r="46364" spans="2:2" s="221" customFormat="1" ht="12.75" x14ac:dyDescent="0.2">
      <c r="B46364" s="1168"/>
    </row>
    <row r="46365" spans="2:2" s="221" customFormat="1" ht="12.75" x14ac:dyDescent="0.2">
      <c r="B46365" s="1168"/>
    </row>
    <row r="46366" spans="2:2" s="221" customFormat="1" ht="12.75" x14ac:dyDescent="0.2">
      <c r="B46366" s="1168"/>
    </row>
    <row r="46367" spans="2:2" s="221" customFormat="1" ht="12.75" x14ac:dyDescent="0.2">
      <c r="B46367" s="1168"/>
    </row>
    <row r="46368" spans="2:2" s="221" customFormat="1" ht="12.75" x14ac:dyDescent="0.2">
      <c r="B46368" s="1168"/>
    </row>
    <row r="46369" spans="2:2" s="221" customFormat="1" ht="12.75" x14ac:dyDescent="0.2">
      <c r="B46369" s="1168"/>
    </row>
    <row r="46370" spans="2:2" s="221" customFormat="1" ht="12.75" x14ac:dyDescent="0.2">
      <c r="B46370" s="1168"/>
    </row>
    <row r="46371" spans="2:2" s="221" customFormat="1" ht="12.75" x14ac:dyDescent="0.2">
      <c r="B46371" s="1168"/>
    </row>
    <row r="46372" spans="2:2" s="221" customFormat="1" ht="12.75" x14ac:dyDescent="0.2">
      <c r="B46372" s="1168"/>
    </row>
    <row r="46373" spans="2:2" s="221" customFormat="1" ht="12.75" x14ac:dyDescent="0.2">
      <c r="B46373" s="1168"/>
    </row>
    <row r="46374" spans="2:2" s="221" customFormat="1" ht="12.75" x14ac:dyDescent="0.2">
      <c r="B46374" s="1168"/>
    </row>
    <row r="46375" spans="2:2" s="221" customFormat="1" ht="12.75" x14ac:dyDescent="0.2">
      <c r="B46375" s="1168"/>
    </row>
    <row r="46376" spans="2:2" s="221" customFormat="1" ht="12.75" x14ac:dyDescent="0.2">
      <c r="B46376" s="1168"/>
    </row>
    <row r="46377" spans="2:2" s="221" customFormat="1" ht="12.75" x14ac:dyDescent="0.2">
      <c r="B46377" s="1168"/>
    </row>
    <row r="46378" spans="2:2" s="221" customFormat="1" ht="12.75" x14ac:dyDescent="0.2">
      <c r="B46378" s="1168"/>
    </row>
    <row r="46379" spans="2:2" s="221" customFormat="1" ht="12.75" x14ac:dyDescent="0.2">
      <c r="B46379" s="1168"/>
    </row>
    <row r="46380" spans="2:2" s="221" customFormat="1" ht="12.75" x14ac:dyDescent="0.2">
      <c r="B46380" s="1168"/>
    </row>
    <row r="46381" spans="2:2" s="221" customFormat="1" ht="12.75" x14ac:dyDescent="0.2">
      <c r="B46381" s="1168"/>
    </row>
    <row r="46382" spans="2:2" s="221" customFormat="1" ht="12.75" x14ac:dyDescent="0.2">
      <c r="B46382" s="1168"/>
    </row>
    <row r="46383" spans="2:2" s="221" customFormat="1" ht="12.75" x14ac:dyDescent="0.2">
      <c r="B46383" s="1168"/>
    </row>
    <row r="46384" spans="2:2" s="221" customFormat="1" ht="12.75" x14ac:dyDescent="0.2">
      <c r="B46384" s="1168"/>
    </row>
    <row r="46385" spans="2:2" s="221" customFormat="1" ht="12.75" x14ac:dyDescent="0.2">
      <c r="B46385" s="1168"/>
    </row>
    <row r="46386" spans="2:2" s="221" customFormat="1" ht="12.75" x14ac:dyDescent="0.2">
      <c r="B46386" s="1168"/>
    </row>
    <row r="46387" spans="2:2" s="221" customFormat="1" ht="12.75" x14ac:dyDescent="0.2">
      <c r="B46387" s="1168"/>
    </row>
    <row r="46388" spans="2:2" s="221" customFormat="1" ht="12.75" x14ac:dyDescent="0.2">
      <c r="B46388" s="1168"/>
    </row>
    <row r="46389" spans="2:2" s="221" customFormat="1" ht="12.75" x14ac:dyDescent="0.2">
      <c r="B46389" s="1168"/>
    </row>
    <row r="46390" spans="2:2" s="221" customFormat="1" ht="12.75" x14ac:dyDescent="0.2">
      <c r="B46390" s="1168"/>
    </row>
    <row r="46391" spans="2:2" s="221" customFormat="1" ht="12.75" x14ac:dyDescent="0.2">
      <c r="B46391" s="1168"/>
    </row>
    <row r="46392" spans="2:2" s="221" customFormat="1" ht="12.75" x14ac:dyDescent="0.2">
      <c r="B46392" s="1168"/>
    </row>
    <row r="46393" spans="2:2" s="221" customFormat="1" ht="12.75" x14ac:dyDescent="0.2">
      <c r="B46393" s="1168"/>
    </row>
    <row r="46394" spans="2:2" s="221" customFormat="1" ht="12.75" x14ac:dyDescent="0.2">
      <c r="B46394" s="1168"/>
    </row>
    <row r="46395" spans="2:2" s="221" customFormat="1" ht="12.75" x14ac:dyDescent="0.2">
      <c r="B46395" s="1168"/>
    </row>
    <row r="46396" spans="2:2" s="221" customFormat="1" ht="12.75" x14ac:dyDescent="0.2">
      <c r="B46396" s="1168"/>
    </row>
    <row r="46397" spans="2:2" s="221" customFormat="1" ht="12.75" x14ac:dyDescent="0.2">
      <c r="B46397" s="1168"/>
    </row>
    <row r="46398" spans="2:2" s="221" customFormat="1" ht="12.75" x14ac:dyDescent="0.2">
      <c r="B46398" s="1168"/>
    </row>
    <row r="46399" spans="2:2" s="221" customFormat="1" ht="12.75" x14ac:dyDescent="0.2">
      <c r="B46399" s="1168"/>
    </row>
    <row r="46400" spans="2:2" s="221" customFormat="1" ht="12.75" x14ac:dyDescent="0.2">
      <c r="B46400" s="1168"/>
    </row>
    <row r="46401" spans="2:2" s="221" customFormat="1" ht="12.75" x14ac:dyDescent="0.2">
      <c r="B46401" s="1168"/>
    </row>
    <row r="46402" spans="2:2" s="221" customFormat="1" ht="12.75" x14ac:dyDescent="0.2">
      <c r="B46402" s="1168"/>
    </row>
    <row r="46403" spans="2:2" s="221" customFormat="1" ht="12.75" x14ac:dyDescent="0.2">
      <c r="B46403" s="1168"/>
    </row>
    <row r="46404" spans="2:2" s="221" customFormat="1" ht="12.75" x14ac:dyDescent="0.2">
      <c r="B46404" s="1168"/>
    </row>
    <row r="46405" spans="2:2" s="221" customFormat="1" ht="12.75" x14ac:dyDescent="0.2">
      <c r="B46405" s="1168"/>
    </row>
    <row r="46406" spans="2:2" s="221" customFormat="1" ht="12.75" x14ac:dyDescent="0.2">
      <c r="B46406" s="1168"/>
    </row>
    <row r="46407" spans="2:2" s="221" customFormat="1" ht="12.75" x14ac:dyDescent="0.2">
      <c r="B46407" s="1168"/>
    </row>
    <row r="46408" spans="2:2" s="221" customFormat="1" ht="12.75" x14ac:dyDescent="0.2">
      <c r="B46408" s="1168"/>
    </row>
    <row r="46409" spans="2:2" s="221" customFormat="1" ht="12.75" x14ac:dyDescent="0.2">
      <c r="B46409" s="1168"/>
    </row>
    <row r="46410" spans="2:2" s="221" customFormat="1" ht="12.75" x14ac:dyDescent="0.2">
      <c r="B46410" s="1168"/>
    </row>
    <row r="46411" spans="2:2" s="221" customFormat="1" ht="12.75" x14ac:dyDescent="0.2">
      <c r="B46411" s="1168"/>
    </row>
    <row r="46412" spans="2:2" s="221" customFormat="1" ht="12.75" x14ac:dyDescent="0.2">
      <c r="B46412" s="1168"/>
    </row>
    <row r="46413" spans="2:2" s="221" customFormat="1" ht="12.75" x14ac:dyDescent="0.2">
      <c r="B46413" s="1168"/>
    </row>
    <row r="46414" spans="2:2" s="221" customFormat="1" ht="12.75" x14ac:dyDescent="0.2">
      <c r="B46414" s="1168"/>
    </row>
    <row r="46415" spans="2:2" s="221" customFormat="1" ht="12.75" x14ac:dyDescent="0.2">
      <c r="B46415" s="1168"/>
    </row>
    <row r="46416" spans="2:2" s="221" customFormat="1" ht="12.75" x14ac:dyDescent="0.2">
      <c r="B46416" s="1168"/>
    </row>
    <row r="46417" spans="2:2" s="221" customFormat="1" ht="12.75" x14ac:dyDescent="0.2">
      <c r="B46417" s="1168"/>
    </row>
    <row r="46418" spans="2:2" s="221" customFormat="1" ht="12.75" x14ac:dyDescent="0.2">
      <c r="B46418" s="1168"/>
    </row>
    <row r="46419" spans="2:2" s="221" customFormat="1" ht="12.75" x14ac:dyDescent="0.2">
      <c r="B46419" s="1168"/>
    </row>
    <row r="46420" spans="2:2" s="221" customFormat="1" ht="12.75" x14ac:dyDescent="0.2">
      <c r="B46420" s="1168"/>
    </row>
    <row r="46421" spans="2:2" s="221" customFormat="1" ht="12.75" x14ac:dyDescent="0.2">
      <c r="B46421" s="1168"/>
    </row>
    <row r="46422" spans="2:2" s="221" customFormat="1" ht="12.75" x14ac:dyDescent="0.2">
      <c r="B46422" s="1168"/>
    </row>
    <row r="46423" spans="2:2" s="221" customFormat="1" ht="12.75" x14ac:dyDescent="0.2">
      <c r="B46423" s="1168"/>
    </row>
    <row r="46424" spans="2:2" s="221" customFormat="1" ht="12.75" x14ac:dyDescent="0.2">
      <c r="B46424" s="1168"/>
    </row>
    <row r="46425" spans="2:2" s="221" customFormat="1" ht="12.75" x14ac:dyDescent="0.2">
      <c r="B46425" s="1168"/>
    </row>
    <row r="46426" spans="2:2" s="221" customFormat="1" ht="12.75" x14ac:dyDescent="0.2">
      <c r="B46426" s="1168"/>
    </row>
    <row r="46427" spans="2:2" s="221" customFormat="1" ht="12.75" x14ac:dyDescent="0.2">
      <c r="B46427" s="1168"/>
    </row>
    <row r="46428" spans="2:2" s="221" customFormat="1" ht="12.75" x14ac:dyDescent="0.2">
      <c r="B46428" s="1168"/>
    </row>
    <row r="46429" spans="2:2" s="221" customFormat="1" ht="12.75" x14ac:dyDescent="0.2">
      <c r="B46429" s="1168"/>
    </row>
    <row r="46430" spans="2:2" s="221" customFormat="1" ht="12.75" x14ac:dyDescent="0.2">
      <c r="B46430" s="1168"/>
    </row>
    <row r="46431" spans="2:2" s="221" customFormat="1" ht="12.75" x14ac:dyDescent="0.2">
      <c r="B46431" s="1168"/>
    </row>
    <row r="46432" spans="2:2" s="221" customFormat="1" ht="12.75" x14ac:dyDescent="0.2">
      <c r="B46432" s="1168"/>
    </row>
    <row r="46433" spans="2:2" s="221" customFormat="1" ht="12.75" x14ac:dyDescent="0.2">
      <c r="B46433" s="1168"/>
    </row>
    <row r="46434" spans="2:2" s="221" customFormat="1" ht="12.75" x14ac:dyDescent="0.2">
      <c r="B46434" s="1168"/>
    </row>
    <row r="46435" spans="2:2" s="221" customFormat="1" ht="12.75" x14ac:dyDescent="0.2">
      <c r="B46435" s="1168"/>
    </row>
    <row r="46436" spans="2:2" s="221" customFormat="1" ht="12.75" x14ac:dyDescent="0.2">
      <c r="B46436" s="1168"/>
    </row>
    <row r="46437" spans="2:2" s="221" customFormat="1" ht="12.75" x14ac:dyDescent="0.2">
      <c r="B46437" s="1168"/>
    </row>
    <row r="46438" spans="2:2" s="221" customFormat="1" ht="12.75" x14ac:dyDescent="0.2">
      <c r="B46438" s="1168"/>
    </row>
    <row r="46439" spans="2:2" s="221" customFormat="1" ht="12.75" x14ac:dyDescent="0.2">
      <c r="B46439" s="1168"/>
    </row>
    <row r="46440" spans="2:2" s="221" customFormat="1" ht="12.75" x14ac:dyDescent="0.2">
      <c r="B46440" s="1168"/>
    </row>
    <row r="46441" spans="2:2" s="221" customFormat="1" ht="12.75" x14ac:dyDescent="0.2">
      <c r="B46441" s="1168"/>
    </row>
    <row r="46442" spans="2:2" s="221" customFormat="1" ht="12.75" x14ac:dyDescent="0.2">
      <c r="B46442" s="1168"/>
    </row>
    <row r="46443" spans="2:2" s="221" customFormat="1" ht="12.75" x14ac:dyDescent="0.2">
      <c r="B46443" s="1168"/>
    </row>
    <row r="46444" spans="2:2" s="221" customFormat="1" ht="12.75" x14ac:dyDescent="0.2">
      <c r="B46444" s="1168"/>
    </row>
    <row r="46445" spans="2:2" s="221" customFormat="1" ht="12.75" x14ac:dyDescent="0.2">
      <c r="B46445" s="1168"/>
    </row>
    <row r="46446" spans="2:2" s="221" customFormat="1" ht="12.75" x14ac:dyDescent="0.2">
      <c r="B46446" s="1168"/>
    </row>
    <row r="46447" spans="2:2" s="221" customFormat="1" ht="12.75" x14ac:dyDescent="0.2">
      <c r="B46447" s="1168"/>
    </row>
    <row r="46448" spans="2:2" s="221" customFormat="1" ht="12.75" x14ac:dyDescent="0.2">
      <c r="B46448" s="1168"/>
    </row>
    <row r="46449" spans="2:2" s="221" customFormat="1" ht="12.75" x14ac:dyDescent="0.2">
      <c r="B46449" s="1168"/>
    </row>
    <row r="46450" spans="2:2" s="221" customFormat="1" ht="12.75" x14ac:dyDescent="0.2">
      <c r="B46450" s="1168"/>
    </row>
    <row r="46451" spans="2:2" s="221" customFormat="1" ht="12.75" x14ac:dyDescent="0.2">
      <c r="B46451" s="1168"/>
    </row>
    <row r="46452" spans="2:2" s="221" customFormat="1" ht="12.75" x14ac:dyDescent="0.2">
      <c r="B46452" s="1168"/>
    </row>
    <row r="46453" spans="2:2" s="221" customFormat="1" ht="12.75" x14ac:dyDescent="0.2">
      <c r="B46453" s="1168"/>
    </row>
    <row r="46454" spans="2:2" s="221" customFormat="1" ht="12.75" x14ac:dyDescent="0.2">
      <c r="B46454" s="1168"/>
    </row>
    <row r="46455" spans="2:2" s="221" customFormat="1" ht="12.75" x14ac:dyDescent="0.2">
      <c r="B46455" s="1168"/>
    </row>
    <row r="46456" spans="2:2" s="221" customFormat="1" ht="12.75" x14ac:dyDescent="0.2">
      <c r="B46456" s="1168"/>
    </row>
    <row r="46457" spans="2:2" s="221" customFormat="1" ht="12.75" x14ac:dyDescent="0.2">
      <c r="B46457" s="1168"/>
    </row>
    <row r="46458" spans="2:2" s="221" customFormat="1" ht="12.75" x14ac:dyDescent="0.2">
      <c r="B46458" s="1168"/>
    </row>
    <row r="46459" spans="2:2" s="221" customFormat="1" ht="12.75" x14ac:dyDescent="0.2">
      <c r="B46459" s="1168"/>
    </row>
    <row r="46460" spans="2:2" s="221" customFormat="1" ht="12.75" x14ac:dyDescent="0.2">
      <c r="B46460" s="1168"/>
    </row>
    <row r="46461" spans="2:2" s="221" customFormat="1" ht="12.75" x14ac:dyDescent="0.2">
      <c r="B46461" s="1168"/>
    </row>
    <row r="46462" spans="2:2" s="221" customFormat="1" ht="12.75" x14ac:dyDescent="0.2">
      <c r="B46462" s="1168"/>
    </row>
    <row r="46463" spans="2:2" s="221" customFormat="1" ht="12.75" x14ac:dyDescent="0.2">
      <c r="B46463" s="1168"/>
    </row>
    <row r="46464" spans="2:2" s="221" customFormat="1" ht="12.75" x14ac:dyDescent="0.2">
      <c r="B46464" s="1168"/>
    </row>
    <row r="46465" spans="2:2" s="221" customFormat="1" ht="12.75" x14ac:dyDescent="0.2">
      <c r="B46465" s="1168"/>
    </row>
    <row r="46466" spans="2:2" s="221" customFormat="1" ht="12.75" x14ac:dyDescent="0.2">
      <c r="B46466" s="1168"/>
    </row>
    <row r="46467" spans="2:2" s="221" customFormat="1" ht="12.75" x14ac:dyDescent="0.2">
      <c r="B46467" s="1168"/>
    </row>
    <row r="46468" spans="2:2" s="221" customFormat="1" ht="12.75" x14ac:dyDescent="0.2">
      <c r="B46468" s="1168"/>
    </row>
    <row r="46469" spans="2:2" s="221" customFormat="1" ht="12.75" x14ac:dyDescent="0.2">
      <c r="B46469" s="1168"/>
    </row>
    <row r="46470" spans="2:2" s="221" customFormat="1" ht="12.75" x14ac:dyDescent="0.2">
      <c r="B46470" s="1168"/>
    </row>
    <row r="46471" spans="2:2" s="221" customFormat="1" ht="12.75" x14ac:dyDescent="0.2">
      <c r="B46471" s="1168"/>
    </row>
    <row r="46472" spans="2:2" s="221" customFormat="1" ht="12.75" x14ac:dyDescent="0.2">
      <c r="B46472" s="1168"/>
    </row>
    <row r="46473" spans="2:2" s="221" customFormat="1" ht="12.75" x14ac:dyDescent="0.2">
      <c r="B46473" s="1168"/>
    </row>
    <row r="46474" spans="2:2" s="221" customFormat="1" ht="12.75" x14ac:dyDescent="0.2">
      <c r="B46474" s="1168"/>
    </row>
    <row r="46475" spans="2:2" s="221" customFormat="1" ht="12.75" x14ac:dyDescent="0.2">
      <c r="B46475" s="1168"/>
    </row>
    <row r="46476" spans="2:2" s="221" customFormat="1" ht="12.75" x14ac:dyDescent="0.2">
      <c r="B46476" s="1168"/>
    </row>
    <row r="46477" spans="2:2" s="221" customFormat="1" ht="12.75" x14ac:dyDescent="0.2">
      <c r="B46477" s="1168"/>
    </row>
    <row r="46478" spans="2:2" s="221" customFormat="1" ht="12.75" x14ac:dyDescent="0.2">
      <c r="B46478" s="1168"/>
    </row>
    <row r="46479" spans="2:2" s="221" customFormat="1" ht="12.75" x14ac:dyDescent="0.2">
      <c r="B46479" s="1168"/>
    </row>
    <row r="46480" spans="2:2" s="221" customFormat="1" ht="12.75" x14ac:dyDescent="0.2">
      <c r="B46480" s="1168"/>
    </row>
    <row r="46481" spans="2:2" s="221" customFormat="1" ht="12.75" x14ac:dyDescent="0.2">
      <c r="B46481" s="1168"/>
    </row>
    <row r="46482" spans="2:2" s="221" customFormat="1" ht="12.75" x14ac:dyDescent="0.2">
      <c r="B46482" s="1168"/>
    </row>
    <row r="46483" spans="2:2" s="221" customFormat="1" ht="12.75" x14ac:dyDescent="0.2">
      <c r="B46483" s="1168"/>
    </row>
    <row r="46484" spans="2:2" s="221" customFormat="1" ht="12.75" x14ac:dyDescent="0.2">
      <c r="B46484" s="1168"/>
    </row>
    <row r="46485" spans="2:2" s="221" customFormat="1" ht="12.75" x14ac:dyDescent="0.2">
      <c r="B46485" s="1168"/>
    </row>
    <row r="46486" spans="2:2" s="221" customFormat="1" ht="12.75" x14ac:dyDescent="0.2">
      <c r="B46486" s="1168"/>
    </row>
    <row r="46487" spans="2:2" s="221" customFormat="1" ht="12.75" x14ac:dyDescent="0.2">
      <c r="B46487" s="1168"/>
    </row>
    <row r="46488" spans="2:2" s="221" customFormat="1" ht="12.75" x14ac:dyDescent="0.2">
      <c r="B46488" s="1168"/>
    </row>
    <row r="46489" spans="2:2" s="221" customFormat="1" ht="12.75" x14ac:dyDescent="0.2">
      <c r="B46489" s="1168"/>
    </row>
    <row r="46490" spans="2:2" s="221" customFormat="1" ht="12.75" x14ac:dyDescent="0.2">
      <c r="B46490" s="1168"/>
    </row>
    <row r="46491" spans="2:2" s="221" customFormat="1" ht="12.75" x14ac:dyDescent="0.2">
      <c r="B46491" s="1168"/>
    </row>
    <row r="46492" spans="2:2" s="221" customFormat="1" ht="12.75" x14ac:dyDescent="0.2">
      <c r="B46492" s="1168"/>
    </row>
    <row r="46493" spans="2:2" s="221" customFormat="1" ht="12.75" x14ac:dyDescent="0.2">
      <c r="B46493" s="1168"/>
    </row>
    <row r="46494" spans="2:2" s="221" customFormat="1" ht="12.75" x14ac:dyDescent="0.2">
      <c r="B46494" s="1168"/>
    </row>
    <row r="46495" spans="2:2" s="221" customFormat="1" ht="12.75" x14ac:dyDescent="0.2">
      <c r="B46495" s="1168"/>
    </row>
    <row r="46496" spans="2:2" s="221" customFormat="1" ht="12.75" x14ac:dyDescent="0.2">
      <c r="B46496" s="1168"/>
    </row>
    <row r="46497" spans="2:2" s="221" customFormat="1" ht="12.75" x14ac:dyDescent="0.2">
      <c r="B46497" s="1168"/>
    </row>
    <row r="46498" spans="2:2" s="221" customFormat="1" ht="12.75" x14ac:dyDescent="0.2">
      <c r="B46498" s="1168"/>
    </row>
    <row r="46499" spans="2:2" s="221" customFormat="1" ht="12.75" x14ac:dyDescent="0.2">
      <c r="B46499" s="1168"/>
    </row>
    <row r="46500" spans="2:2" s="221" customFormat="1" ht="12.75" x14ac:dyDescent="0.2">
      <c r="B46500" s="1168"/>
    </row>
    <row r="46501" spans="2:2" s="221" customFormat="1" ht="12.75" x14ac:dyDescent="0.2">
      <c r="B46501" s="1168"/>
    </row>
    <row r="46502" spans="2:2" s="221" customFormat="1" ht="12.75" x14ac:dyDescent="0.2">
      <c r="B46502" s="1168"/>
    </row>
    <row r="46503" spans="2:2" s="221" customFormat="1" ht="12.75" x14ac:dyDescent="0.2">
      <c r="B46503" s="1168"/>
    </row>
    <row r="46504" spans="2:2" s="221" customFormat="1" ht="12.75" x14ac:dyDescent="0.2">
      <c r="B46504" s="1168"/>
    </row>
    <row r="46505" spans="2:2" s="221" customFormat="1" ht="12.75" x14ac:dyDescent="0.2">
      <c r="B46505" s="1168"/>
    </row>
    <row r="46506" spans="2:2" s="221" customFormat="1" ht="12.75" x14ac:dyDescent="0.2">
      <c r="B46506" s="1168"/>
    </row>
    <row r="46507" spans="2:2" s="221" customFormat="1" ht="12.75" x14ac:dyDescent="0.2">
      <c r="B46507" s="1168"/>
    </row>
    <row r="46508" spans="2:2" s="221" customFormat="1" ht="12.75" x14ac:dyDescent="0.2">
      <c r="B46508" s="1168"/>
    </row>
    <row r="46509" spans="2:2" s="221" customFormat="1" ht="12.75" x14ac:dyDescent="0.2">
      <c r="B46509" s="1168"/>
    </row>
    <row r="46510" spans="2:2" s="221" customFormat="1" ht="12.75" x14ac:dyDescent="0.2">
      <c r="B46510" s="1168"/>
    </row>
    <row r="46511" spans="2:2" s="221" customFormat="1" ht="12.75" x14ac:dyDescent="0.2">
      <c r="B46511" s="1168"/>
    </row>
    <row r="46512" spans="2:2" s="221" customFormat="1" ht="12.75" x14ac:dyDescent="0.2">
      <c r="B46512" s="1168"/>
    </row>
    <row r="46513" spans="2:2" s="221" customFormat="1" ht="12.75" x14ac:dyDescent="0.2">
      <c r="B46513" s="1168"/>
    </row>
    <row r="46514" spans="2:2" s="221" customFormat="1" ht="12.75" x14ac:dyDescent="0.2">
      <c r="B46514" s="1168"/>
    </row>
    <row r="46515" spans="2:2" s="221" customFormat="1" ht="12.75" x14ac:dyDescent="0.2">
      <c r="B46515" s="1168"/>
    </row>
    <row r="46516" spans="2:2" s="221" customFormat="1" ht="12.75" x14ac:dyDescent="0.2">
      <c r="B46516" s="1168"/>
    </row>
    <row r="46517" spans="2:2" s="221" customFormat="1" ht="12.75" x14ac:dyDescent="0.2">
      <c r="B46517" s="1168"/>
    </row>
    <row r="46518" spans="2:2" s="221" customFormat="1" ht="12.75" x14ac:dyDescent="0.2">
      <c r="B46518" s="1168"/>
    </row>
    <row r="46519" spans="2:2" s="221" customFormat="1" ht="12.75" x14ac:dyDescent="0.2">
      <c r="B46519" s="1168"/>
    </row>
    <row r="46520" spans="2:2" s="221" customFormat="1" ht="12.75" x14ac:dyDescent="0.2">
      <c r="B46520" s="1168"/>
    </row>
    <row r="46521" spans="2:2" s="221" customFormat="1" ht="12.75" x14ac:dyDescent="0.2">
      <c r="B46521" s="1168"/>
    </row>
    <row r="46522" spans="2:2" s="221" customFormat="1" ht="12.75" x14ac:dyDescent="0.2">
      <c r="B46522" s="1168"/>
    </row>
    <row r="46523" spans="2:2" s="221" customFormat="1" ht="12.75" x14ac:dyDescent="0.2">
      <c r="B46523" s="1168"/>
    </row>
    <row r="46524" spans="2:2" s="221" customFormat="1" ht="12.75" x14ac:dyDescent="0.2">
      <c r="B46524" s="1168"/>
    </row>
    <row r="46525" spans="2:2" s="221" customFormat="1" ht="12.75" x14ac:dyDescent="0.2">
      <c r="B46525" s="1168"/>
    </row>
    <row r="46526" spans="2:2" s="221" customFormat="1" ht="12.75" x14ac:dyDescent="0.2">
      <c r="B46526" s="1168"/>
    </row>
    <row r="46527" spans="2:2" s="221" customFormat="1" ht="12.75" x14ac:dyDescent="0.2">
      <c r="B46527" s="1168"/>
    </row>
    <row r="46528" spans="2:2" s="221" customFormat="1" ht="12.75" x14ac:dyDescent="0.2">
      <c r="B46528" s="1168"/>
    </row>
    <row r="46529" spans="2:2" s="221" customFormat="1" ht="12.75" x14ac:dyDescent="0.2">
      <c r="B46529" s="1168"/>
    </row>
    <row r="46530" spans="2:2" s="221" customFormat="1" ht="12.75" x14ac:dyDescent="0.2">
      <c r="B46530" s="1168"/>
    </row>
    <row r="46531" spans="2:2" s="221" customFormat="1" ht="12.75" x14ac:dyDescent="0.2">
      <c r="B46531" s="1168"/>
    </row>
    <row r="46532" spans="2:2" s="221" customFormat="1" ht="12.75" x14ac:dyDescent="0.2">
      <c r="B46532" s="1168"/>
    </row>
    <row r="46533" spans="2:2" s="221" customFormat="1" ht="12.75" x14ac:dyDescent="0.2">
      <c r="B46533" s="1168"/>
    </row>
    <row r="46534" spans="2:2" s="221" customFormat="1" ht="12.75" x14ac:dyDescent="0.2">
      <c r="B46534" s="1168"/>
    </row>
    <row r="46535" spans="2:2" s="221" customFormat="1" ht="12.75" x14ac:dyDescent="0.2">
      <c r="B46535" s="1168"/>
    </row>
    <row r="46536" spans="2:2" s="221" customFormat="1" ht="12.75" x14ac:dyDescent="0.2">
      <c r="B46536" s="1168"/>
    </row>
    <row r="46537" spans="2:2" s="221" customFormat="1" ht="12.75" x14ac:dyDescent="0.2">
      <c r="B46537" s="1168"/>
    </row>
    <row r="46538" spans="2:2" s="221" customFormat="1" ht="12.75" x14ac:dyDescent="0.2">
      <c r="B46538" s="1168"/>
    </row>
    <row r="46539" spans="2:2" s="221" customFormat="1" ht="12.75" x14ac:dyDescent="0.2">
      <c r="B46539" s="1168"/>
    </row>
    <row r="46540" spans="2:2" s="221" customFormat="1" ht="12.75" x14ac:dyDescent="0.2">
      <c r="B46540" s="1168"/>
    </row>
    <row r="46541" spans="2:2" s="221" customFormat="1" ht="12.75" x14ac:dyDescent="0.2">
      <c r="B46541" s="1168"/>
    </row>
    <row r="46542" spans="2:2" s="221" customFormat="1" ht="12.75" x14ac:dyDescent="0.2">
      <c r="B46542" s="1168"/>
    </row>
    <row r="46543" spans="2:2" s="221" customFormat="1" ht="12.75" x14ac:dyDescent="0.2">
      <c r="B46543" s="1168"/>
    </row>
    <row r="46544" spans="2:2" s="221" customFormat="1" ht="12.75" x14ac:dyDescent="0.2">
      <c r="B46544" s="1168"/>
    </row>
    <row r="46545" spans="2:2" s="221" customFormat="1" ht="12.75" x14ac:dyDescent="0.2">
      <c r="B46545" s="1168"/>
    </row>
    <row r="46546" spans="2:2" s="221" customFormat="1" ht="12.75" x14ac:dyDescent="0.2">
      <c r="B46546" s="1168"/>
    </row>
    <row r="46547" spans="2:2" s="221" customFormat="1" ht="12.75" x14ac:dyDescent="0.2">
      <c r="B46547" s="1168"/>
    </row>
    <row r="46548" spans="2:2" s="221" customFormat="1" ht="12.75" x14ac:dyDescent="0.2">
      <c r="B46548" s="1168"/>
    </row>
    <row r="46549" spans="2:2" s="221" customFormat="1" ht="12.75" x14ac:dyDescent="0.2">
      <c r="B46549" s="1168"/>
    </row>
    <row r="46550" spans="2:2" s="221" customFormat="1" ht="12.75" x14ac:dyDescent="0.2">
      <c r="B46550" s="1168"/>
    </row>
    <row r="46551" spans="2:2" s="221" customFormat="1" ht="12.75" x14ac:dyDescent="0.2">
      <c r="B46551" s="1168"/>
    </row>
    <row r="46552" spans="2:2" s="221" customFormat="1" ht="12.75" x14ac:dyDescent="0.2">
      <c r="B46552" s="1168"/>
    </row>
    <row r="46553" spans="2:2" s="221" customFormat="1" ht="12.75" x14ac:dyDescent="0.2">
      <c r="B46553" s="1168"/>
    </row>
    <row r="46554" spans="2:2" s="221" customFormat="1" ht="12.75" x14ac:dyDescent="0.2">
      <c r="B46554" s="1168"/>
    </row>
    <row r="46555" spans="2:2" s="221" customFormat="1" ht="12.75" x14ac:dyDescent="0.2">
      <c r="B46555" s="1168"/>
    </row>
    <row r="46556" spans="2:2" s="221" customFormat="1" ht="12.75" x14ac:dyDescent="0.2">
      <c r="B46556" s="1168"/>
    </row>
    <row r="46557" spans="2:2" s="221" customFormat="1" ht="12.75" x14ac:dyDescent="0.2">
      <c r="B46557" s="1168"/>
    </row>
    <row r="46558" spans="2:2" s="221" customFormat="1" ht="12.75" x14ac:dyDescent="0.2">
      <c r="B46558" s="1168"/>
    </row>
    <row r="46559" spans="2:2" s="221" customFormat="1" ht="12.75" x14ac:dyDescent="0.2">
      <c r="B46559" s="1168"/>
    </row>
    <row r="46560" spans="2:2" s="221" customFormat="1" ht="12.75" x14ac:dyDescent="0.2">
      <c r="B46560" s="1168"/>
    </row>
    <row r="46561" spans="2:2" s="221" customFormat="1" ht="12.75" x14ac:dyDescent="0.2">
      <c r="B46561" s="1168"/>
    </row>
    <row r="46562" spans="2:2" s="221" customFormat="1" ht="12.75" x14ac:dyDescent="0.2">
      <c r="B46562" s="1168"/>
    </row>
    <row r="46563" spans="2:2" s="221" customFormat="1" ht="12.75" x14ac:dyDescent="0.2">
      <c r="B46563" s="1168"/>
    </row>
    <row r="46564" spans="2:2" s="221" customFormat="1" ht="12.75" x14ac:dyDescent="0.2">
      <c r="B46564" s="1168"/>
    </row>
    <row r="46565" spans="2:2" s="221" customFormat="1" ht="12.75" x14ac:dyDescent="0.2">
      <c r="B46565" s="1168"/>
    </row>
    <row r="46566" spans="2:2" s="221" customFormat="1" ht="12.75" x14ac:dyDescent="0.2">
      <c r="B46566" s="1168"/>
    </row>
    <row r="46567" spans="2:2" s="221" customFormat="1" ht="12.75" x14ac:dyDescent="0.2">
      <c r="B46567" s="1168"/>
    </row>
    <row r="46568" spans="2:2" s="221" customFormat="1" ht="12.75" x14ac:dyDescent="0.2">
      <c r="B46568" s="1168"/>
    </row>
    <row r="46569" spans="2:2" s="221" customFormat="1" ht="12.75" x14ac:dyDescent="0.2">
      <c r="B46569" s="1168"/>
    </row>
    <row r="46570" spans="2:2" s="221" customFormat="1" ht="12.75" x14ac:dyDescent="0.2">
      <c r="B46570" s="1168"/>
    </row>
    <row r="46571" spans="2:2" s="221" customFormat="1" ht="12.75" x14ac:dyDescent="0.2">
      <c r="B46571" s="1168"/>
    </row>
    <row r="46572" spans="2:2" s="221" customFormat="1" ht="12.75" x14ac:dyDescent="0.2">
      <c r="B46572" s="1168"/>
    </row>
    <row r="46573" spans="2:2" s="221" customFormat="1" ht="12.75" x14ac:dyDescent="0.2">
      <c r="B46573" s="1168"/>
    </row>
    <row r="46574" spans="2:2" s="221" customFormat="1" ht="12.75" x14ac:dyDescent="0.2">
      <c r="B46574" s="1168"/>
    </row>
    <row r="46575" spans="2:2" s="221" customFormat="1" ht="12.75" x14ac:dyDescent="0.2">
      <c r="B46575" s="1168"/>
    </row>
    <row r="46576" spans="2:2" s="221" customFormat="1" ht="12.75" x14ac:dyDescent="0.2">
      <c r="B46576" s="1168"/>
    </row>
    <row r="46577" spans="2:2" s="221" customFormat="1" ht="12.75" x14ac:dyDescent="0.2">
      <c r="B46577" s="1168"/>
    </row>
    <row r="46578" spans="2:2" s="221" customFormat="1" ht="12.75" x14ac:dyDescent="0.2">
      <c r="B46578" s="1168"/>
    </row>
    <row r="46579" spans="2:2" s="221" customFormat="1" ht="12.75" x14ac:dyDescent="0.2">
      <c r="B46579" s="1168"/>
    </row>
    <row r="46580" spans="2:2" s="221" customFormat="1" ht="12.75" x14ac:dyDescent="0.2">
      <c r="B46580" s="1168"/>
    </row>
    <row r="46581" spans="2:2" s="221" customFormat="1" ht="12.75" x14ac:dyDescent="0.2">
      <c r="B46581" s="1168"/>
    </row>
    <row r="46582" spans="2:2" s="221" customFormat="1" ht="12.75" x14ac:dyDescent="0.2">
      <c r="B46582" s="1168"/>
    </row>
    <row r="46583" spans="2:2" s="221" customFormat="1" ht="12.75" x14ac:dyDescent="0.2">
      <c r="B46583" s="1168"/>
    </row>
    <row r="46584" spans="2:2" s="221" customFormat="1" ht="12.75" x14ac:dyDescent="0.2">
      <c r="B46584" s="1168"/>
    </row>
    <row r="46585" spans="2:2" s="221" customFormat="1" ht="12.75" x14ac:dyDescent="0.2">
      <c r="B46585" s="1168"/>
    </row>
    <row r="46586" spans="2:2" s="221" customFormat="1" ht="12.75" x14ac:dyDescent="0.2">
      <c r="B46586" s="1168"/>
    </row>
    <row r="46587" spans="2:2" s="221" customFormat="1" ht="12.75" x14ac:dyDescent="0.2">
      <c r="B46587" s="1168"/>
    </row>
    <row r="46588" spans="2:2" s="221" customFormat="1" ht="12.75" x14ac:dyDescent="0.2">
      <c r="B46588" s="1168"/>
    </row>
    <row r="46589" spans="2:2" s="221" customFormat="1" ht="12.75" x14ac:dyDescent="0.2">
      <c r="B46589" s="1168"/>
    </row>
    <row r="46590" spans="2:2" s="221" customFormat="1" ht="12.75" x14ac:dyDescent="0.2">
      <c r="B46590" s="1168"/>
    </row>
    <row r="46591" spans="2:2" s="221" customFormat="1" ht="12.75" x14ac:dyDescent="0.2">
      <c r="B46591" s="1168"/>
    </row>
    <row r="46592" spans="2:2" s="221" customFormat="1" ht="12.75" x14ac:dyDescent="0.2">
      <c r="B46592" s="1168"/>
    </row>
    <row r="46593" spans="2:2" s="221" customFormat="1" ht="12.75" x14ac:dyDescent="0.2">
      <c r="B46593" s="1168"/>
    </row>
    <row r="46594" spans="2:2" s="221" customFormat="1" ht="12.75" x14ac:dyDescent="0.2">
      <c r="B46594" s="1168"/>
    </row>
    <row r="46595" spans="2:2" s="221" customFormat="1" ht="12.75" x14ac:dyDescent="0.2">
      <c r="B46595" s="1168"/>
    </row>
    <row r="46596" spans="2:2" s="221" customFormat="1" ht="12.75" x14ac:dyDescent="0.2">
      <c r="B46596" s="1168"/>
    </row>
    <row r="46597" spans="2:2" s="221" customFormat="1" ht="12.75" x14ac:dyDescent="0.2">
      <c r="B46597" s="1168"/>
    </row>
    <row r="46598" spans="2:2" s="221" customFormat="1" ht="12.75" x14ac:dyDescent="0.2">
      <c r="B46598" s="1168"/>
    </row>
    <row r="46599" spans="2:2" s="221" customFormat="1" ht="12.75" x14ac:dyDescent="0.2">
      <c r="B46599" s="1168"/>
    </row>
    <row r="46600" spans="2:2" s="221" customFormat="1" ht="12.75" x14ac:dyDescent="0.2">
      <c r="B46600" s="1168"/>
    </row>
    <row r="46601" spans="2:2" s="221" customFormat="1" ht="12.75" x14ac:dyDescent="0.2">
      <c r="B46601" s="1168"/>
    </row>
    <row r="46602" spans="2:2" s="221" customFormat="1" ht="12.75" x14ac:dyDescent="0.2">
      <c r="B46602" s="1168"/>
    </row>
    <row r="46603" spans="2:2" s="221" customFormat="1" ht="12.75" x14ac:dyDescent="0.2">
      <c r="B46603" s="1168"/>
    </row>
    <row r="46604" spans="2:2" s="221" customFormat="1" ht="12.75" x14ac:dyDescent="0.2">
      <c r="B46604" s="1168"/>
    </row>
    <row r="46605" spans="2:2" s="221" customFormat="1" ht="12.75" x14ac:dyDescent="0.2">
      <c r="B46605" s="1168"/>
    </row>
    <row r="46606" spans="2:2" s="221" customFormat="1" ht="12.75" x14ac:dyDescent="0.2">
      <c r="B46606" s="1168"/>
    </row>
    <row r="46607" spans="2:2" s="221" customFormat="1" ht="12.75" x14ac:dyDescent="0.2">
      <c r="B46607" s="1168"/>
    </row>
    <row r="46608" spans="2:2" s="221" customFormat="1" ht="12.75" x14ac:dyDescent="0.2">
      <c r="B46608" s="1168"/>
    </row>
    <row r="46609" spans="2:2" s="221" customFormat="1" ht="12.75" x14ac:dyDescent="0.2">
      <c r="B46609" s="1168"/>
    </row>
    <row r="46610" spans="2:2" s="221" customFormat="1" ht="12.75" x14ac:dyDescent="0.2">
      <c r="B46610" s="1168"/>
    </row>
    <row r="46611" spans="2:2" s="221" customFormat="1" ht="12.75" x14ac:dyDescent="0.2">
      <c r="B46611" s="1168"/>
    </row>
    <row r="46612" spans="2:2" s="221" customFormat="1" ht="12.75" x14ac:dyDescent="0.2">
      <c r="B46612" s="1168"/>
    </row>
    <row r="46613" spans="2:2" s="221" customFormat="1" ht="12.75" x14ac:dyDescent="0.2">
      <c r="B46613" s="1168"/>
    </row>
    <row r="46614" spans="2:2" s="221" customFormat="1" ht="12.75" x14ac:dyDescent="0.2">
      <c r="B46614" s="1168"/>
    </row>
    <row r="46615" spans="2:2" s="221" customFormat="1" ht="12.75" x14ac:dyDescent="0.2">
      <c r="B46615" s="1168"/>
    </row>
    <row r="46616" spans="2:2" s="221" customFormat="1" ht="12.75" x14ac:dyDescent="0.2">
      <c r="B46616" s="1168"/>
    </row>
    <row r="46617" spans="2:2" s="221" customFormat="1" ht="12.75" x14ac:dyDescent="0.2">
      <c r="B46617" s="1168"/>
    </row>
    <row r="46618" spans="2:2" s="221" customFormat="1" ht="12.75" x14ac:dyDescent="0.2">
      <c r="B46618" s="1168"/>
    </row>
    <row r="46619" spans="2:2" s="221" customFormat="1" ht="12.75" x14ac:dyDescent="0.2">
      <c r="B46619" s="1168"/>
    </row>
    <row r="46620" spans="2:2" s="221" customFormat="1" ht="12.75" x14ac:dyDescent="0.2">
      <c r="B46620" s="1168"/>
    </row>
    <row r="46621" spans="2:2" s="221" customFormat="1" ht="12.75" x14ac:dyDescent="0.2">
      <c r="B46621" s="1168"/>
    </row>
    <row r="46622" spans="2:2" s="221" customFormat="1" ht="12.75" x14ac:dyDescent="0.2">
      <c r="B46622" s="1168"/>
    </row>
    <row r="46623" spans="2:2" s="221" customFormat="1" ht="12.75" x14ac:dyDescent="0.2">
      <c r="B46623" s="1168"/>
    </row>
    <row r="46624" spans="2:2" s="221" customFormat="1" ht="12.75" x14ac:dyDescent="0.2">
      <c r="B46624" s="1168"/>
    </row>
    <row r="46625" spans="2:2" s="221" customFormat="1" ht="12.75" x14ac:dyDescent="0.2">
      <c r="B46625" s="1168"/>
    </row>
    <row r="46626" spans="2:2" s="221" customFormat="1" ht="12.75" x14ac:dyDescent="0.2">
      <c r="B46626" s="1168"/>
    </row>
    <row r="46627" spans="2:2" s="221" customFormat="1" ht="12.75" x14ac:dyDescent="0.2">
      <c r="B46627" s="1168"/>
    </row>
    <row r="46628" spans="2:2" s="221" customFormat="1" ht="12.75" x14ac:dyDescent="0.2">
      <c r="B46628" s="1168"/>
    </row>
    <row r="46629" spans="2:2" s="221" customFormat="1" ht="12.75" x14ac:dyDescent="0.2">
      <c r="B46629" s="1168"/>
    </row>
    <row r="46630" spans="2:2" s="221" customFormat="1" ht="12.75" x14ac:dyDescent="0.2">
      <c r="B46630" s="1168"/>
    </row>
    <row r="46631" spans="2:2" s="221" customFormat="1" ht="12.75" x14ac:dyDescent="0.2">
      <c r="B46631" s="1168"/>
    </row>
    <row r="46632" spans="2:2" s="221" customFormat="1" ht="12.75" x14ac:dyDescent="0.2">
      <c r="B46632" s="1168"/>
    </row>
    <row r="46633" spans="2:2" s="221" customFormat="1" ht="12.75" x14ac:dyDescent="0.2">
      <c r="B46633" s="1168"/>
    </row>
    <row r="46634" spans="2:2" s="221" customFormat="1" ht="12.75" x14ac:dyDescent="0.2">
      <c r="B46634" s="1168"/>
    </row>
    <row r="46635" spans="2:2" s="221" customFormat="1" ht="12.75" x14ac:dyDescent="0.2">
      <c r="B46635" s="1168"/>
    </row>
    <row r="46636" spans="2:2" s="221" customFormat="1" ht="12.75" x14ac:dyDescent="0.2">
      <c r="B46636" s="1168"/>
    </row>
    <row r="46637" spans="2:2" s="221" customFormat="1" ht="12.75" x14ac:dyDescent="0.2">
      <c r="B46637" s="1168"/>
    </row>
    <row r="46638" spans="2:2" s="221" customFormat="1" ht="12.75" x14ac:dyDescent="0.2">
      <c r="B46638" s="1168"/>
    </row>
    <row r="46639" spans="2:2" s="221" customFormat="1" ht="12.75" x14ac:dyDescent="0.2">
      <c r="B46639" s="1168"/>
    </row>
    <row r="46640" spans="2:2" s="221" customFormat="1" ht="12.75" x14ac:dyDescent="0.2">
      <c r="B46640" s="1168"/>
    </row>
    <row r="46641" spans="2:2" s="221" customFormat="1" ht="12.75" x14ac:dyDescent="0.2">
      <c r="B46641" s="1168"/>
    </row>
    <row r="46642" spans="2:2" s="221" customFormat="1" ht="12.75" x14ac:dyDescent="0.2">
      <c r="B46642" s="1168"/>
    </row>
    <row r="46643" spans="2:2" s="221" customFormat="1" ht="12.75" x14ac:dyDescent="0.2">
      <c r="B46643" s="1168"/>
    </row>
    <row r="46644" spans="2:2" s="221" customFormat="1" ht="12.75" x14ac:dyDescent="0.2">
      <c r="B46644" s="1168"/>
    </row>
    <row r="46645" spans="2:2" s="221" customFormat="1" ht="12.75" x14ac:dyDescent="0.2">
      <c r="B46645" s="1168"/>
    </row>
    <row r="46646" spans="2:2" s="221" customFormat="1" ht="12.75" x14ac:dyDescent="0.2">
      <c r="B46646" s="1168"/>
    </row>
    <row r="46647" spans="2:2" s="221" customFormat="1" ht="12.75" x14ac:dyDescent="0.2">
      <c r="B46647" s="1168"/>
    </row>
    <row r="46648" spans="2:2" s="221" customFormat="1" ht="12.75" x14ac:dyDescent="0.2">
      <c r="B46648" s="1168"/>
    </row>
    <row r="46649" spans="2:2" s="221" customFormat="1" ht="12.75" x14ac:dyDescent="0.2">
      <c r="B46649" s="1168"/>
    </row>
    <row r="46650" spans="2:2" s="221" customFormat="1" ht="12.75" x14ac:dyDescent="0.2">
      <c r="B46650" s="1168"/>
    </row>
    <row r="46651" spans="2:2" s="221" customFormat="1" ht="12.75" x14ac:dyDescent="0.2">
      <c r="B46651" s="1168"/>
    </row>
    <row r="46652" spans="2:2" s="221" customFormat="1" ht="12.75" x14ac:dyDescent="0.2">
      <c r="B46652" s="1168"/>
    </row>
    <row r="46653" spans="2:2" s="221" customFormat="1" ht="12.75" x14ac:dyDescent="0.2">
      <c r="B46653" s="1168"/>
    </row>
    <row r="46654" spans="2:2" s="221" customFormat="1" ht="12.75" x14ac:dyDescent="0.2">
      <c r="B46654" s="1168"/>
    </row>
    <row r="46655" spans="2:2" s="221" customFormat="1" ht="12.75" x14ac:dyDescent="0.2">
      <c r="B46655" s="1168"/>
    </row>
    <row r="46656" spans="2:2" s="221" customFormat="1" ht="12.75" x14ac:dyDescent="0.2">
      <c r="B46656" s="1168"/>
    </row>
    <row r="46657" spans="2:2" s="221" customFormat="1" ht="12.75" x14ac:dyDescent="0.2">
      <c r="B46657" s="1168"/>
    </row>
    <row r="46658" spans="2:2" s="221" customFormat="1" ht="12.75" x14ac:dyDescent="0.2">
      <c r="B46658" s="1168"/>
    </row>
    <row r="46659" spans="2:2" s="221" customFormat="1" ht="12.75" x14ac:dyDescent="0.2">
      <c r="B46659" s="1168"/>
    </row>
    <row r="46660" spans="2:2" s="221" customFormat="1" ht="12.75" x14ac:dyDescent="0.2">
      <c r="B46660" s="1168"/>
    </row>
    <row r="46661" spans="2:2" s="221" customFormat="1" ht="12.75" x14ac:dyDescent="0.2">
      <c r="B46661" s="1168"/>
    </row>
    <row r="46662" spans="2:2" s="221" customFormat="1" ht="12.75" x14ac:dyDescent="0.2">
      <c r="B46662" s="1168"/>
    </row>
    <row r="46663" spans="2:2" s="221" customFormat="1" ht="12.75" x14ac:dyDescent="0.2">
      <c r="B46663" s="1168"/>
    </row>
    <row r="46664" spans="2:2" s="221" customFormat="1" ht="12.75" x14ac:dyDescent="0.2">
      <c r="B46664" s="1168"/>
    </row>
    <row r="46665" spans="2:2" s="221" customFormat="1" ht="12.75" x14ac:dyDescent="0.2">
      <c r="B46665" s="1168"/>
    </row>
    <row r="46666" spans="2:2" s="221" customFormat="1" ht="12.75" x14ac:dyDescent="0.2">
      <c r="B46666" s="1168"/>
    </row>
    <row r="46667" spans="2:2" s="221" customFormat="1" ht="12.75" x14ac:dyDescent="0.2">
      <c r="B46667" s="1168"/>
    </row>
    <row r="46668" spans="2:2" s="221" customFormat="1" ht="12.75" x14ac:dyDescent="0.2">
      <c r="B46668" s="1168"/>
    </row>
    <row r="46669" spans="2:2" s="221" customFormat="1" ht="12.75" x14ac:dyDescent="0.2">
      <c r="B46669" s="1168"/>
    </row>
    <row r="46670" spans="2:2" s="221" customFormat="1" ht="12.75" x14ac:dyDescent="0.2">
      <c r="B46670" s="1168"/>
    </row>
    <row r="46671" spans="2:2" s="221" customFormat="1" ht="12.75" x14ac:dyDescent="0.2">
      <c r="B46671" s="1168"/>
    </row>
    <row r="46672" spans="2:2" s="221" customFormat="1" ht="12.75" x14ac:dyDescent="0.2">
      <c r="B46672" s="1168"/>
    </row>
    <row r="46673" spans="2:2" s="221" customFormat="1" ht="12.75" x14ac:dyDescent="0.2">
      <c r="B46673" s="1168"/>
    </row>
    <row r="46674" spans="2:2" s="221" customFormat="1" ht="12.75" x14ac:dyDescent="0.2">
      <c r="B46674" s="1168"/>
    </row>
    <row r="46675" spans="2:2" s="221" customFormat="1" ht="12.75" x14ac:dyDescent="0.2">
      <c r="B46675" s="1168"/>
    </row>
    <row r="46676" spans="2:2" s="221" customFormat="1" ht="12.75" x14ac:dyDescent="0.2">
      <c r="B46676" s="1168"/>
    </row>
    <row r="46677" spans="2:2" s="221" customFormat="1" ht="12.75" x14ac:dyDescent="0.2">
      <c r="B46677" s="1168"/>
    </row>
    <row r="46678" spans="2:2" s="221" customFormat="1" ht="12.75" x14ac:dyDescent="0.2">
      <c r="B46678" s="1168"/>
    </row>
    <row r="46679" spans="2:2" s="221" customFormat="1" ht="12.75" x14ac:dyDescent="0.2">
      <c r="B46679" s="1168"/>
    </row>
    <row r="46680" spans="2:2" s="221" customFormat="1" ht="12.75" x14ac:dyDescent="0.2">
      <c r="B46680" s="1168"/>
    </row>
    <row r="46681" spans="2:2" s="221" customFormat="1" ht="12.75" x14ac:dyDescent="0.2">
      <c r="B46681" s="1168"/>
    </row>
    <row r="46682" spans="2:2" s="221" customFormat="1" ht="12.75" x14ac:dyDescent="0.2">
      <c r="B46682" s="1168"/>
    </row>
    <row r="46683" spans="2:2" s="221" customFormat="1" ht="12.75" x14ac:dyDescent="0.2">
      <c r="B46683" s="1168"/>
    </row>
    <row r="46684" spans="2:2" s="221" customFormat="1" ht="12.75" x14ac:dyDescent="0.2">
      <c r="B46684" s="1168"/>
    </row>
    <row r="46685" spans="2:2" s="221" customFormat="1" ht="12.75" x14ac:dyDescent="0.2">
      <c r="B46685" s="1168"/>
    </row>
    <row r="46686" spans="2:2" s="221" customFormat="1" ht="12.75" x14ac:dyDescent="0.2">
      <c r="B46686" s="1168"/>
    </row>
    <row r="46687" spans="2:2" s="221" customFormat="1" ht="12.75" x14ac:dyDescent="0.2">
      <c r="B46687" s="1168"/>
    </row>
    <row r="46688" spans="2:2" s="221" customFormat="1" ht="12.75" x14ac:dyDescent="0.2">
      <c r="B46688" s="1168"/>
    </row>
    <row r="46689" spans="2:2" s="221" customFormat="1" ht="12.75" x14ac:dyDescent="0.2">
      <c r="B46689" s="1168"/>
    </row>
    <row r="46690" spans="2:2" s="221" customFormat="1" ht="12.75" x14ac:dyDescent="0.2">
      <c r="B46690" s="1168"/>
    </row>
    <row r="46691" spans="2:2" s="221" customFormat="1" ht="12.75" x14ac:dyDescent="0.2">
      <c r="B46691" s="1168"/>
    </row>
    <row r="46692" spans="2:2" s="221" customFormat="1" ht="12.75" x14ac:dyDescent="0.2">
      <c r="B46692" s="1168"/>
    </row>
    <row r="46693" spans="2:2" s="221" customFormat="1" ht="12.75" x14ac:dyDescent="0.2">
      <c r="B46693" s="1168"/>
    </row>
    <row r="46694" spans="2:2" s="221" customFormat="1" ht="12.75" x14ac:dyDescent="0.2">
      <c r="B46694" s="1168"/>
    </row>
    <row r="46695" spans="2:2" s="221" customFormat="1" ht="12.75" x14ac:dyDescent="0.2">
      <c r="B46695" s="1168"/>
    </row>
    <row r="46696" spans="2:2" s="221" customFormat="1" ht="12.75" x14ac:dyDescent="0.2">
      <c r="B46696" s="1168"/>
    </row>
    <row r="46697" spans="2:2" s="221" customFormat="1" ht="12.75" x14ac:dyDescent="0.2">
      <c r="B46697" s="1168"/>
    </row>
    <row r="46698" spans="2:2" s="221" customFormat="1" ht="12.75" x14ac:dyDescent="0.2">
      <c r="B46698" s="1168"/>
    </row>
    <row r="46699" spans="2:2" s="221" customFormat="1" ht="12.75" x14ac:dyDescent="0.2">
      <c r="B46699" s="1168"/>
    </row>
    <row r="46700" spans="2:2" s="221" customFormat="1" ht="12.75" x14ac:dyDescent="0.2">
      <c r="B46700" s="1168"/>
    </row>
    <row r="46701" spans="2:2" s="221" customFormat="1" ht="12.75" x14ac:dyDescent="0.2">
      <c r="B46701" s="1168"/>
    </row>
    <row r="46702" spans="2:2" s="221" customFormat="1" ht="12.75" x14ac:dyDescent="0.2">
      <c r="B46702" s="1168"/>
    </row>
    <row r="46703" spans="2:2" s="221" customFormat="1" ht="12.75" x14ac:dyDescent="0.2">
      <c r="B46703" s="1168"/>
    </row>
    <row r="46704" spans="2:2" s="221" customFormat="1" ht="12.75" x14ac:dyDescent="0.2">
      <c r="B46704" s="1168"/>
    </row>
    <row r="46705" spans="2:2" s="221" customFormat="1" ht="12.75" x14ac:dyDescent="0.2">
      <c r="B46705" s="1168"/>
    </row>
    <row r="46706" spans="2:2" s="221" customFormat="1" ht="12.75" x14ac:dyDescent="0.2">
      <c r="B46706" s="1168"/>
    </row>
    <row r="46707" spans="2:2" s="221" customFormat="1" ht="12.75" x14ac:dyDescent="0.2">
      <c r="B46707" s="1168"/>
    </row>
    <row r="46708" spans="2:2" s="221" customFormat="1" ht="12.75" x14ac:dyDescent="0.2">
      <c r="B46708" s="1168"/>
    </row>
    <row r="46709" spans="2:2" s="221" customFormat="1" ht="12.75" x14ac:dyDescent="0.2">
      <c r="B46709" s="1168"/>
    </row>
    <row r="46710" spans="2:2" s="221" customFormat="1" ht="12.75" x14ac:dyDescent="0.2">
      <c r="B46710" s="1168"/>
    </row>
    <row r="46711" spans="2:2" s="221" customFormat="1" ht="12.75" x14ac:dyDescent="0.2">
      <c r="B46711" s="1168"/>
    </row>
    <row r="46712" spans="2:2" s="221" customFormat="1" ht="12.75" x14ac:dyDescent="0.2">
      <c r="B46712" s="1168"/>
    </row>
    <row r="46713" spans="2:2" s="221" customFormat="1" ht="12.75" x14ac:dyDescent="0.2">
      <c r="B46713" s="1168"/>
    </row>
    <row r="46714" spans="2:2" s="221" customFormat="1" ht="12.75" x14ac:dyDescent="0.2">
      <c r="B46714" s="1168"/>
    </row>
    <row r="46715" spans="2:2" s="221" customFormat="1" ht="12.75" x14ac:dyDescent="0.2">
      <c r="B46715" s="1168"/>
    </row>
    <row r="46716" spans="2:2" s="221" customFormat="1" ht="12.75" x14ac:dyDescent="0.2">
      <c r="B46716" s="1168"/>
    </row>
    <row r="46717" spans="2:2" s="221" customFormat="1" ht="12.75" x14ac:dyDescent="0.2">
      <c r="B46717" s="1168"/>
    </row>
    <row r="46718" spans="2:2" s="221" customFormat="1" ht="12.75" x14ac:dyDescent="0.2">
      <c r="B46718" s="1168"/>
    </row>
    <row r="46719" spans="2:2" s="221" customFormat="1" ht="12.75" x14ac:dyDescent="0.2">
      <c r="B46719" s="1168"/>
    </row>
    <row r="46720" spans="2:2" s="221" customFormat="1" ht="12.75" x14ac:dyDescent="0.2">
      <c r="B46720" s="1168"/>
    </row>
    <row r="46721" spans="2:2" s="221" customFormat="1" ht="12.75" x14ac:dyDescent="0.2">
      <c r="B46721" s="1168"/>
    </row>
    <row r="46722" spans="2:2" s="221" customFormat="1" ht="12.75" x14ac:dyDescent="0.2">
      <c r="B46722" s="1168"/>
    </row>
    <row r="46723" spans="2:2" s="221" customFormat="1" ht="12.75" x14ac:dyDescent="0.2">
      <c r="B46723" s="1168"/>
    </row>
    <row r="46724" spans="2:2" s="221" customFormat="1" ht="12.75" x14ac:dyDescent="0.2">
      <c r="B46724" s="1168"/>
    </row>
    <row r="46725" spans="2:2" s="221" customFormat="1" ht="12.75" x14ac:dyDescent="0.2">
      <c r="B46725" s="1168"/>
    </row>
    <row r="46726" spans="2:2" s="221" customFormat="1" ht="12.75" x14ac:dyDescent="0.2">
      <c r="B46726" s="1168"/>
    </row>
    <row r="46727" spans="2:2" s="221" customFormat="1" ht="12.75" x14ac:dyDescent="0.2">
      <c r="B46727" s="1168"/>
    </row>
    <row r="46728" spans="2:2" s="221" customFormat="1" ht="12.75" x14ac:dyDescent="0.2">
      <c r="B46728" s="1168"/>
    </row>
    <row r="46729" spans="2:2" s="221" customFormat="1" ht="12.75" x14ac:dyDescent="0.2">
      <c r="B46729" s="1168"/>
    </row>
    <row r="46730" spans="2:2" s="221" customFormat="1" ht="12.75" x14ac:dyDescent="0.2">
      <c r="B46730" s="1168"/>
    </row>
    <row r="46731" spans="2:2" s="221" customFormat="1" ht="12.75" x14ac:dyDescent="0.2">
      <c r="B46731" s="1168"/>
    </row>
    <row r="46732" spans="2:2" s="221" customFormat="1" ht="12.75" x14ac:dyDescent="0.2">
      <c r="B46732" s="1168"/>
    </row>
    <row r="46733" spans="2:2" s="221" customFormat="1" ht="12.75" x14ac:dyDescent="0.2">
      <c r="B46733" s="1168"/>
    </row>
    <row r="46734" spans="2:2" s="221" customFormat="1" ht="12.75" x14ac:dyDescent="0.2">
      <c r="B46734" s="1168"/>
    </row>
    <row r="46735" spans="2:2" s="221" customFormat="1" ht="12.75" x14ac:dyDescent="0.2">
      <c r="B46735" s="1168"/>
    </row>
    <row r="46736" spans="2:2" s="221" customFormat="1" ht="12.75" x14ac:dyDescent="0.2">
      <c r="B46736" s="1168"/>
    </row>
    <row r="46737" spans="2:2" s="221" customFormat="1" ht="12.75" x14ac:dyDescent="0.2">
      <c r="B46737" s="1168"/>
    </row>
    <row r="46738" spans="2:2" s="221" customFormat="1" ht="12.75" x14ac:dyDescent="0.2">
      <c r="B46738" s="1168"/>
    </row>
    <row r="46739" spans="2:2" s="221" customFormat="1" ht="12.75" x14ac:dyDescent="0.2">
      <c r="B46739" s="1168"/>
    </row>
    <row r="46740" spans="2:2" s="221" customFormat="1" ht="12.75" x14ac:dyDescent="0.2">
      <c r="B46740" s="1168"/>
    </row>
    <row r="46741" spans="2:2" s="221" customFormat="1" ht="12.75" x14ac:dyDescent="0.2">
      <c r="B46741" s="1168"/>
    </row>
    <row r="46742" spans="2:2" s="221" customFormat="1" ht="12.75" x14ac:dyDescent="0.2">
      <c r="B46742" s="1168"/>
    </row>
    <row r="46743" spans="2:2" s="221" customFormat="1" ht="12.75" x14ac:dyDescent="0.2">
      <c r="B46743" s="1168"/>
    </row>
    <row r="46744" spans="2:2" s="221" customFormat="1" ht="12.75" x14ac:dyDescent="0.2">
      <c r="B46744" s="1168"/>
    </row>
    <row r="46745" spans="2:2" s="221" customFormat="1" ht="12.75" x14ac:dyDescent="0.2">
      <c r="B46745" s="1168"/>
    </row>
    <row r="46746" spans="2:2" s="221" customFormat="1" ht="12.75" x14ac:dyDescent="0.2">
      <c r="B46746" s="1168"/>
    </row>
    <row r="46747" spans="2:2" s="221" customFormat="1" ht="12.75" x14ac:dyDescent="0.2">
      <c r="B46747" s="1168"/>
    </row>
    <row r="46748" spans="2:2" s="221" customFormat="1" ht="12.75" x14ac:dyDescent="0.2">
      <c r="B46748" s="1168"/>
    </row>
    <row r="46749" spans="2:2" s="221" customFormat="1" ht="12.75" x14ac:dyDescent="0.2">
      <c r="B46749" s="1168"/>
    </row>
    <row r="46750" spans="2:2" s="221" customFormat="1" ht="12.75" x14ac:dyDescent="0.2">
      <c r="B46750" s="1168"/>
    </row>
    <row r="46751" spans="2:2" s="221" customFormat="1" ht="12.75" x14ac:dyDescent="0.2">
      <c r="B46751" s="1168"/>
    </row>
    <row r="46752" spans="2:2" s="221" customFormat="1" ht="12.75" x14ac:dyDescent="0.2">
      <c r="B46752" s="1168"/>
    </row>
    <row r="46753" spans="2:2" s="221" customFormat="1" ht="12.75" x14ac:dyDescent="0.2">
      <c r="B46753" s="1168"/>
    </row>
    <row r="46754" spans="2:2" s="221" customFormat="1" ht="12.75" x14ac:dyDescent="0.2">
      <c r="B46754" s="1168"/>
    </row>
    <row r="46755" spans="2:2" s="221" customFormat="1" ht="12.75" x14ac:dyDescent="0.2">
      <c r="B46755" s="1168"/>
    </row>
    <row r="46756" spans="2:2" s="221" customFormat="1" ht="12.75" x14ac:dyDescent="0.2">
      <c r="B46756" s="1168"/>
    </row>
    <row r="46757" spans="2:2" s="221" customFormat="1" ht="12.75" x14ac:dyDescent="0.2">
      <c r="B46757" s="1168"/>
    </row>
    <row r="46758" spans="2:2" s="221" customFormat="1" ht="12.75" x14ac:dyDescent="0.2">
      <c r="B46758" s="1168"/>
    </row>
    <row r="46759" spans="2:2" s="221" customFormat="1" ht="12.75" x14ac:dyDescent="0.2">
      <c r="B46759" s="1168"/>
    </row>
    <row r="46760" spans="2:2" s="221" customFormat="1" ht="12.75" x14ac:dyDescent="0.2">
      <c r="B46760" s="1168"/>
    </row>
    <row r="46761" spans="2:2" s="221" customFormat="1" ht="12.75" x14ac:dyDescent="0.2">
      <c r="B46761" s="1168"/>
    </row>
    <row r="46762" spans="2:2" s="221" customFormat="1" ht="12.75" x14ac:dyDescent="0.2">
      <c r="B46762" s="1168"/>
    </row>
    <row r="46763" spans="2:2" s="221" customFormat="1" ht="12.75" x14ac:dyDescent="0.2">
      <c r="B46763" s="1168"/>
    </row>
    <row r="46764" spans="2:2" s="221" customFormat="1" ht="12.75" x14ac:dyDescent="0.2">
      <c r="B46764" s="1168"/>
    </row>
    <row r="46765" spans="2:2" s="221" customFormat="1" ht="12.75" x14ac:dyDescent="0.2">
      <c r="B46765" s="1168"/>
    </row>
    <row r="46766" spans="2:2" s="221" customFormat="1" ht="12.75" x14ac:dyDescent="0.2">
      <c r="B46766" s="1168"/>
    </row>
    <row r="46767" spans="2:2" s="221" customFormat="1" ht="12.75" x14ac:dyDescent="0.2">
      <c r="B46767" s="1168"/>
    </row>
    <row r="46768" spans="2:2" s="221" customFormat="1" ht="12.75" x14ac:dyDescent="0.2">
      <c r="B46768" s="1168"/>
    </row>
    <row r="46769" spans="2:2" s="221" customFormat="1" ht="12.75" x14ac:dyDescent="0.2">
      <c r="B46769" s="1168"/>
    </row>
    <row r="46770" spans="2:2" s="221" customFormat="1" ht="12.75" x14ac:dyDescent="0.2">
      <c r="B46770" s="1168"/>
    </row>
    <row r="46771" spans="2:2" s="221" customFormat="1" ht="12.75" x14ac:dyDescent="0.2">
      <c r="B46771" s="1168"/>
    </row>
    <row r="46772" spans="2:2" s="221" customFormat="1" ht="12.75" x14ac:dyDescent="0.2">
      <c r="B46772" s="1168"/>
    </row>
    <row r="46773" spans="2:2" s="221" customFormat="1" ht="12.75" x14ac:dyDescent="0.2">
      <c r="B46773" s="1168"/>
    </row>
    <row r="46774" spans="2:2" s="221" customFormat="1" ht="12.75" x14ac:dyDescent="0.2">
      <c r="B46774" s="1168"/>
    </row>
    <row r="46775" spans="2:2" s="221" customFormat="1" ht="12.75" x14ac:dyDescent="0.2">
      <c r="B46775" s="1168"/>
    </row>
    <row r="46776" spans="2:2" s="221" customFormat="1" ht="12.75" x14ac:dyDescent="0.2">
      <c r="B46776" s="1168"/>
    </row>
    <row r="46777" spans="2:2" s="221" customFormat="1" ht="12.75" x14ac:dyDescent="0.2">
      <c r="B46777" s="1168"/>
    </row>
    <row r="46778" spans="2:2" s="221" customFormat="1" ht="12.75" x14ac:dyDescent="0.2">
      <c r="B46778" s="1168"/>
    </row>
    <row r="46779" spans="2:2" s="221" customFormat="1" ht="12.75" x14ac:dyDescent="0.2">
      <c r="B46779" s="1168"/>
    </row>
    <row r="46780" spans="2:2" s="221" customFormat="1" ht="12.75" x14ac:dyDescent="0.2">
      <c r="B46780" s="1168"/>
    </row>
    <row r="46781" spans="2:2" s="221" customFormat="1" ht="12.75" x14ac:dyDescent="0.2">
      <c r="B46781" s="1168"/>
    </row>
    <row r="46782" spans="2:2" s="221" customFormat="1" ht="12.75" x14ac:dyDescent="0.2">
      <c r="B46782" s="1168"/>
    </row>
    <row r="46783" spans="2:2" s="221" customFormat="1" ht="12.75" x14ac:dyDescent="0.2">
      <c r="B46783" s="1168"/>
    </row>
    <row r="46784" spans="2:2" s="221" customFormat="1" ht="12.75" x14ac:dyDescent="0.2">
      <c r="B46784" s="1168"/>
    </row>
    <row r="46785" spans="2:2" s="221" customFormat="1" ht="12.75" x14ac:dyDescent="0.2">
      <c r="B46785" s="1168"/>
    </row>
    <row r="46786" spans="2:2" s="221" customFormat="1" ht="12.75" x14ac:dyDescent="0.2">
      <c r="B46786" s="1168"/>
    </row>
    <row r="46787" spans="2:2" s="221" customFormat="1" ht="12.75" x14ac:dyDescent="0.2">
      <c r="B46787" s="1168"/>
    </row>
    <row r="46788" spans="2:2" s="221" customFormat="1" ht="12.75" x14ac:dyDescent="0.2">
      <c r="B46788" s="1168"/>
    </row>
    <row r="46789" spans="2:2" s="221" customFormat="1" ht="12.75" x14ac:dyDescent="0.2">
      <c r="B46789" s="1168"/>
    </row>
    <row r="46790" spans="2:2" s="221" customFormat="1" ht="12.75" x14ac:dyDescent="0.2">
      <c r="B46790" s="1168"/>
    </row>
    <row r="46791" spans="2:2" s="221" customFormat="1" ht="12.75" x14ac:dyDescent="0.2">
      <c r="B46791" s="1168"/>
    </row>
    <row r="46792" spans="2:2" s="221" customFormat="1" ht="12.75" x14ac:dyDescent="0.2">
      <c r="B46792" s="1168"/>
    </row>
    <row r="46793" spans="2:2" s="221" customFormat="1" ht="12.75" x14ac:dyDescent="0.2">
      <c r="B46793" s="1168"/>
    </row>
    <row r="46794" spans="2:2" s="221" customFormat="1" ht="12.75" x14ac:dyDescent="0.2">
      <c r="B46794" s="1168"/>
    </row>
    <row r="46795" spans="2:2" s="221" customFormat="1" ht="12.75" x14ac:dyDescent="0.2">
      <c r="B46795" s="1168"/>
    </row>
    <row r="46796" spans="2:2" s="221" customFormat="1" ht="12.75" x14ac:dyDescent="0.2">
      <c r="B46796" s="1168"/>
    </row>
    <row r="46797" spans="2:2" s="221" customFormat="1" ht="12.75" x14ac:dyDescent="0.2">
      <c r="B46797" s="1168"/>
    </row>
    <row r="46798" spans="2:2" s="221" customFormat="1" ht="12.75" x14ac:dyDescent="0.2">
      <c r="B46798" s="1168"/>
    </row>
    <row r="46799" spans="2:2" s="221" customFormat="1" ht="12.75" x14ac:dyDescent="0.2">
      <c r="B46799" s="1168"/>
    </row>
    <row r="46800" spans="2:2" s="221" customFormat="1" ht="12.75" x14ac:dyDescent="0.2">
      <c r="B46800" s="1168"/>
    </row>
    <row r="46801" spans="2:2" s="221" customFormat="1" ht="12.75" x14ac:dyDescent="0.2">
      <c r="B46801" s="1168"/>
    </row>
    <row r="46802" spans="2:2" s="221" customFormat="1" ht="12.75" x14ac:dyDescent="0.2">
      <c r="B46802" s="1168"/>
    </row>
    <row r="46803" spans="2:2" s="221" customFormat="1" ht="12.75" x14ac:dyDescent="0.2">
      <c r="B46803" s="1168"/>
    </row>
    <row r="46804" spans="2:2" s="221" customFormat="1" ht="12.75" x14ac:dyDescent="0.2">
      <c r="B46804" s="1168"/>
    </row>
    <row r="46805" spans="2:2" s="221" customFormat="1" ht="12.75" x14ac:dyDescent="0.2">
      <c r="B46805" s="1168"/>
    </row>
    <row r="46806" spans="2:2" s="221" customFormat="1" ht="12.75" x14ac:dyDescent="0.2">
      <c r="B46806" s="1168"/>
    </row>
    <row r="46807" spans="2:2" s="221" customFormat="1" ht="12.75" x14ac:dyDescent="0.2">
      <c r="B46807" s="1168"/>
    </row>
    <row r="46808" spans="2:2" s="221" customFormat="1" ht="12.75" x14ac:dyDescent="0.2">
      <c r="B46808" s="1168"/>
    </row>
    <row r="46809" spans="2:2" s="221" customFormat="1" ht="12.75" x14ac:dyDescent="0.2">
      <c r="B46809" s="1168"/>
    </row>
    <row r="46810" spans="2:2" s="221" customFormat="1" ht="12.75" x14ac:dyDescent="0.2">
      <c r="B46810" s="1168"/>
    </row>
    <row r="46811" spans="2:2" s="221" customFormat="1" ht="12.75" x14ac:dyDescent="0.2">
      <c r="B46811" s="1168"/>
    </row>
    <row r="46812" spans="2:2" s="221" customFormat="1" ht="12.75" x14ac:dyDescent="0.2">
      <c r="B46812" s="1168"/>
    </row>
    <row r="46813" spans="2:2" s="221" customFormat="1" ht="12.75" x14ac:dyDescent="0.2">
      <c r="B46813" s="1168"/>
    </row>
    <row r="46814" spans="2:2" s="221" customFormat="1" ht="12.75" x14ac:dyDescent="0.2">
      <c r="B46814" s="1168"/>
    </row>
    <row r="46815" spans="2:2" s="221" customFormat="1" ht="12.75" x14ac:dyDescent="0.2">
      <c r="B46815" s="1168"/>
    </row>
    <row r="46816" spans="2:2" s="221" customFormat="1" ht="12.75" x14ac:dyDescent="0.2">
      <c r="B46816" s="1168"/>
    </row>
    <row r="46817" spans="2:2" s="221" customFormat="1" ht="12.75" x14ac:dyDescent="0.2">
      <c r="B46817" s="1168"/>
    </row>
    <row r="46818" spans="2:2" s="221" customFormat="1" ht="12.75" x14ac:dyDescent="0.2">
      <c r="B46818" s="1168"/>
    </row>
    <row r="46819" spans="2:2" s="221" customFormat="1" ht="12.75" x14ac:dyDescent="0.2">
      <c r="B46819" s="1168"/>
    </row>
    <row r="46820" spans="2:2" s="221" customFormat="1" ht="12.75" x14ac:dyDescent="0.2">
      <c r="B46820" s="1168"/>
    </row>
    <row r="46821" spans="2:2" s="221" customFormat="1" ht="12.75" x14ac:dyDescent="0.2">
      <c r="B46821" s="1168"/>
    </row>
    <row r="46822" spans="2:2" s="221" customFormat="1" ht="12.75" x14ac:dyDescent="0.2">
      <c r="B46822" s="1168"/>
    </row>
    <row r="46823" spans="2:2" s="221" customFormat="1" ht="12.75" x14ac:dyDescent="0.2">
      <c r="B46823" s="1168"/>
    </row>
    <row r="46824" spans="2:2" s="221" customFormat="1" ht="12.75" x14ac:dyDescent="0.2">
      <c r="B46824" s="1168"/>
    </row>
    <row r="46825" spans="2:2" s="221" customFormat="1" ht="12.75" x14ac:dyDescent="0.2">
      <c r="B46825" s="1168"/>
    </row>
    <row r="46826" spans="2:2" s="221" customFormat="1" ht="12.75" x14ac:dyDescent="0.2">
      <c r="B46826" s="1168"/>
    </row>
    <row r="46827" spans="2:2" s="221" customFormat="1" ht="12.75" x14ac:dyDescent="0.2">
      <c r="B46827" s="1168"/>
    </row>
    <row r="46828" spans="2:2" s="221" customFormat="1" ht="12.75" x14ac:dyDescent="0.2">
      <c r="B46828" s="1168"/>
    </row>
    <row r="46829" spans="2:2" s="221" customFormat="1" ht="12.75" x14ac:dyDescent="0.2">
      <c r="B46829" s="1168"/>
    </row>
    <row r="46830" spans="2:2" s="221" customFormat="1" ht="12.75" x14ac:dyDescent="0.2">
      <c r="B46830" s="1168"/>
    </row>
    <row r="46831" spans="2:2" s="221" customFormat="1" ht="12.75" x14ac:dyDescent="0.2">
      <c r="B46831" s="1168"/>
    </row>
    <row r="46832" spans="2:2" s="221" customFormat="1" ht="12.75" x14ac:dyDescent="0.2">
      <c r="B46832" s="1168"/>
    </row>
    <row r="46833" spans="2:2" s="221" customFormat="1" ht="12.75" x14ac:dyDescent="0.2">
      <c r="B46833" s="1168"/>
    </row>
    <row r="46834" spans="2:2" s="221" customFormat="1" ht="12.75" x14ac:dyDescent="0.2">
      <c r="B46834" s="1168"/>
    </row>
    <row r="46835" spans="2:2" s="221" customFormat="1" ht="12.75" x14ac:dyDescent="0.2">
      <c r="B46835" s="1168"/>
    </row>
    <row r="46836" spans="2:2" s="221" customFormat="1" ht="12.75" x14ac:dyDescent="0.2">
      <c r="B46836" s="1168"/>
    </row>
    <row r="46837" spans="2:2" s="221" customFormat="1" ht="12.75" x14ac:dyDescent="0.2">
      <c r="B46837" s="1168"/>
    </row>
    <row r="46838" spans="2:2" s="221" customFormat="1" ht="12.75" x14ac:dyDescent="0.2">
      <c r="B46838" s="1168"/>
    </row>
    <row r="46839" spans="2:2" s="221" customFormat="1" ht="12.75" x14ac:dyDescent="0.2">
      <c r="B46839" s="1168"/>
    </row>
    <row r="46840" spans="2:2" s="221" customFormat="1" ht="12.75" x14ac:dyDescent="0.2">
      <c r="B46840" s="1168"/>
    </row>
    <row r="46841" spans="2:2" s="221" customFormat="1" ht="12.75" x14ac:dyDescent="0.2">
      <c r="B46841" s="1168"/>
    </row>
    <row r="46842" spans="2:2" s="221" customFormat="1" ht="12.75" x14ac:dyDescent="0.2">
      <c r="B46842" s="1168"/>
    </row>
    <row r="46843" spans="2:2" s="221" customFormat="1" ht="12.75" x14ac:dyDescent="0.2">
      <c r="B46843" s="1168"/>
    </row>
    <row r="46844" spans="2:2" s="221" customFormat="1" ht="12.75" x14ac:dyDescent="0.2">
      <c r="B46844" s="1168"/>
    </row>
    <row r="46845" spans="2:2" s="221" customFormat="1" ht="12.75" x14ac:dyDescent="0.2">
      <c r="B46845" s="1168"/>
    </row>
    <row r="46846" spans="2:2" s="221" customFormat="1" ht="12.75" x14ac:dyDescent="0.2">
      <c r="B46846" s="1168"/>
    </row>
    <row r="46847" spans="2:2" s="221" customFormat="1" ht="12.75" x14ac:dyDescent="0.2">
      <c r="B46847" s="1168"/>
    </row>
    <row r="46848" spans="2:2" s="221" customFormat="1" ht="12.75" x14ac:dyDescent="0.2">
      <c r="B46848" s="1168"/>
    </row>
    <row r="46849" spans="2:2" s="221" customFormat="1" ht="12.75" x14ac:dyDescent="0.2">
      <c r="B46849" s="1168"/>
    </row>
    <row r="46850" spans="2:2" s="221" customFormat="1" ht="12.75" x14ac:dyDescent="0.2">
      <c r="B46850" s="1168"/>
    </row>
    <row r="46851" spans="2:2" s="221" customFormat="1" ht="12.75" x14ac:dyDescent="0.2">
      <c r="B46851" s="1168"/>
    </row>
    <row r="46852" spans="2:2" s="221" customFormat="1" ht="12.75" x14ac:dyDescent="0.2">
      <c r="B46852" s="1168"/>
    </row>
    <row r="46853" spans="2:2" s="221" customFormat="1" ht="12.75" x14ac:dyDescent="0.2">
      <c r="B46853" s="1168"/>
    </row>
    <row r="46854" spans="2:2" s="221" customFormat="1" ht="12.75" x14ac:dyDescent="0.2">
      <c r="B46854" s="1168"/>
    </row>
    <row r="46855" spans="2:2" s="221" customFormat="1" ht="12.75" x14ac:dyDescent="0.2">
      <c r="B46855" s="1168"/>
    </row>
    <row r="46856" spans="2:2" s="221" customFormat="1" ht="12.75" x14ac:dyDescent="0.2">
      <c r="B46856" s="1168"/>
    </row>
    <row r="46857" spans="2:2" s="221" customFormat="1" ht="12.75" x14ac:dyDescent="0.2">
      <c r="B46857" s="1168"/>
    </row>
    <row r="46858" spans="2:2" s="221" customFormat="1" ht="12.75" x14ac:dyDescent="0.2">
      <c r="B46858" s="1168"/>
    </row>
    <row r="46859" spans="2:2" s="221" customFormat="1" ht="12.75" x14ac:dyDescent="0.2">
      <c r="B46859" s="1168"/>
    </row>
    <row r="46860" spans="2:2" s="221" customFormat="1" ht="12.75" x14ac:dyDescent="0.2">
      <c r="B46860" s="1168"/>
    </row>
    <row r="46861" spans="2:2" s="221" customFormat="1" ht="12.75" x14ac:dyDescent="0.2">
      <c r="B46861" s="1168"/>
    </row>
    <row r="46862" spans="2:2" s="221" customFormat="1" ht="12.75" x14ac:dyDescent="0.2">
      <c r="B46862" s="1168"/>
    </row>
    <row r="46863" spans="2:2" s="221" customFormat="1" ht="12.75" x14ac:dyDescent="0.2">
      <c r="B46863" s="1168"/>
    </row>
    <row r="46864" spans="2:2" s="221" customFormat="1" ht="12.75" x14ac:dyDescent="0.2">
      <c r="B46864" s="1168"/>
    </row>
    <row r="46865" spans="2:2" s="221" customFormat="1" ht="12.75" x14ac:dyDescent="0.2">
      <c r="B46865" s="1168"/>
    </row>
    <row r="46866" spans="2:2" s="221" customFormat="1" ht="12.75" x14ac:dyDescent="0.2">
      <c r="B46866" s="1168"/>
    </row>
    <row r="46867" spans="2:2" s="221" customFormat="1" ht="12.75" x14ac:dyDescent="0.2">
      <c r="B46867" s="1168"/>
    </row>
    <row r="46868" spans="2:2" s="221" customFormat="1" ht="12.75" x14ac:dyDescent="0.2">
      <c r="B46868" s="1168"/>
    </row>
    <row r="46869" spans="2:2" s="221" customFormat="1" ht="12.75" x14ac:dyDescent="0.2">
      <c r="B46869" s="1168"/>
    </row>
    <row r="46870" spans="2:2" s="221" customFormat="1" ht="12.75" x14ac:dyDescent="0.2">
      <c r="B46870" s="1168"/>
    </row>
    <row r="46871" spans="2:2" s="221" customFormat="1" ht="12.75" x14ac:dyDescent="0.2">
      <c r="B46871" s="1168"/>
    </row>
    <row r="46872" spans="2:2" s="221" customFormat="1" ht="12.75" x14ac:dyDescent="0.2">
      <c r="B46872" s="1168"/>
    </row>
    <row r="46873" spans="2:2" s="221" customFormat="1" ht="12.75" x14ac:dyDescent="0.2">
      <c r="B46873" s="1168"/>
    </row>
    <row r="46874" spans="2:2" s="221" customFormat="1" ht="12.75" x14ac:dyDescent="0.2">
      <c r="B46874" s="1168"/>
    </row>
    <row r="46875" spans="2:2" s="221" customFormat="1" ht="12.75" x14ac:dyDescent="0.2">
      <c r="B46875" s="1168"/>
    </row>
    <row r="46876" spans="2:2" s="221" customFormat="1" ht="12.75" x14ac:dyDescent="0.2">
      <c r="B46876" s="1168"/>
    </row>
    <row r="46877" spans="2:2" s="221" customFormat="1" ht="12.75" x14ac:dyDescent="0.2">
      <c r="B46877" s="1168"/>
    </row>
    <row r="46878" spans="2:2" s="221" customFormat="1" ht="12.75" x14ac:dyDescent="0.2">
      <c r="B46878" s="1168"/>
    </row>
    <row r="46879" spans="2:2" s="221" customFormat="1" ht="12.75" x14ac:dyDescent="0.2">
      <c r="B46879" s="1168"/>
    </row>
    <row r="46880" spans="2:2" s="221" customFormat="1" ht="12.75" x14ac:dyDescent="0.2">
      <c r="B46880" s="1168"/>
    </row>
    <row r="46881" spans="2:2" s="221" customFormat="1" ht="12.75" x14ac:dyDescent="0.2">
      <c r="B46881" s="1168"/>
    </row>
    <row r="46882" spans="2:2" s="221" customFormat="1" ht="12.75" x14ac:dyDescent="0.2">
      <c r="B46882" s="1168"/>
    </row>
    <row r="46883" spans="2:2" s="221" customFormat="1" ht="12.75" x14ac:dyDescent="0.2">
      <c r="B46883" s="1168"/>
    </row>
    <row r="46884" spans="2:2" s="221" customFormat="1" ht="12.75" x14ac:dyDescent="0.2">
      <c r="B46884" s="1168"/>
    </row>
    <row r="46885" spans="2:2" s="221" customFormat="1" ht="12.75" x14ac:dyDescent="0.2">
      <c r="B46885" s="1168"/>
    </row>
    <row r="46886" spans="2:2" s="221" customFormat="1" ht="12.75" x14ac:dyDescent="0.2">
      <c r="B46886" s="1168"/>
    </row>
    <row r="46887" spans="2:2" s="221" customFormat="1" ht="12.75" x14ac:dyDescent="0.2">
      <c r="B46887" s="1168"/>
    </row>
    <row r="46888" spans="2:2" s="221" customFormat="1" ht="12.75" x14ac:dyDescent="0.2">
      <c r="B46888" s="1168"/>
    </row>
    <row r="46889" spans="2:2" s="221" customFormat="1" ht="12.75" x14ac:dyDescent="0.2">
      <c r="B46889" s="1168"/>
    </row>
    <row r="46890" spans="2:2" s="221" customFormat="1" ht="12.75" x14ac:dyDescent="0.2">
      <c r="B46890" s="1168"/>
    </row>
    <row r="46891" spans="2:2" s="221" customFormat="1" ht="12.75" x14ac:dyDescent="0.2">
      <c r="B46891" s="1168"/>
    </row>
    <row r="46892" spans="2:2" s="221" customFormat="1" ht="12.75" x14ac:dyDescent="0.2">
      <c r="B46892" s="1168"/>
    </row>
    <row r="46893" spans="2:2" s="221" customFormat="1" ht="12.75" x14ac:dyDescent="0.2">
      <c r="B46893" s="1168"/>
    </row>
    <row r="46894" spans="2:2" s="221" customFormat="1" ht="12.75" x14ac:dyDescent="0.2">
      <c r="B46894" s="1168"/>
    </row>
    <row r="46895" spans="2:2" s="221" customFormat="1" ht="12.75" x14ac:dyDescent="0.2">
      <c r="B46895" s="1168"/>
    </row>
    <row r="46896" spans="2:2" s="221" customFormat="1" ht="12.75" x14ac:dyDescent="0.2">
      <c r="B46896" s="1168"/>
    </row>
    <row r="46897" spans="2:2" s="221" customFormat="1" ht="12.75" x14ac:dyDescent="0.2">
      <c r="B46897" s="1168"/>
    </row>
    <row r="46898" spans="2:2" s="221" customFormat="1" ht="12.75" x14ac:dyDescent="0.2">
      <c r="B46898" s="1168"/>
    </row>
    <row r="46899" spans="2:2" s="221" customFormat="1" ht="12.75" x14ac:dyDescent="0.2">
      <c r="B46899" s="1168"/>
    </row>
    <row r="46900" spans="2:2" s="221" customFormat="1" ht="12.75" x14ac:dyDescent="0.2">
      <c r="B46900" s="1168"/>
    </row>
    <row r="46901" spans="2:2" s="221" customFormat="1" ht="12.75" x14ac:dyDescent="0.2">
      <c r="B46901" s="1168"/>
    </row>
    <row r="46902" spans="2:2" s="221" customFormat="1" ht="12.75" x14ac:dyDescent="0.2">
      <c r="B46902" s="1168"/>
    </row>
    <row r="46903" spans="2:2" s="221" customFormat="1" ht="12.75" x14ac:dyDescent="0.2">
      <c r="B46903" s="1168"/>
    </row>
    <row r="46904" spans="2:2" s="221" customFormat="1" ht="12.75" x14ac:dyDescent="0.2">
      <c r="B46904" s="1168"/>
    </row>
    <row r="46905" spans="2:2" s="221" customFormat="1" ht="12.75" x14ac:dyDescent="0.2">
      <c r="B46905" s="1168"/>
    </row>
    <row r="46906" spans="2:2" s="221" customFormat="1" ht="12.75" x14ac:dyDescent="0.2">
      <c r="B46906" s="1168"/>
    </row>
    <row r="46907" spans="2:2" s="221" customFormat="1" ht="12.75" x14ac:dyDescent="0.2">
      <c r="B46907" s="1168"/>
    </row>
    <row r="46908" spans="2:2" s="221" customFormat="1" ht="12.75" x14ac:dyDescent="0.2">
      <c r="B46908" s="1168"/>
    </row>
    <row r="46909" spans="2:2" s="221" customFormat="1" ht="12.75" x14ac:dyDescent="0.2">
      <c r="B46909" s="1168"/>
    </row>
    <row r="46910" spans="2:2" s="221" customFormat="1" ht="12.75" x14ac:dyDescent="0.2">
      <c r="B46910" s="1168"/>
    </row>
    <row r="46911" spans="2:2" s="221" customFormat="1" ht="12.75" x14ac:dyDescent="0.2">
      <c r="B46911" s="1168"/>
    </row>
    <row r="46912" spans="2:2" s="221" customFormat="1" ht="12.75" x14ac:dyDescent="0.2">
      <c r="B46912" s="1168"/>
    </row>
    <row r="46913" spans="2:2" s="221" customFormat="1" ht="12.75" x14ac:dyDescent="0.2">
      <c r="B46913" s="1168"/>
    </row>
    <row r="46914" spans="2:2" s="221" customFormat="1" ht="12.75" x14ac:dyDescent="0.2">
      <c r="B46914" s="1168"/>
    </row>
    <row r="46915" spans="2:2" s="221" customFormat="1" ht="12.75" x14ac:dyDescent="0.2">
      <c r="B46915" s="1168"/>
    </row>
    <row r="46916" spans="2:2" s="221" customFormat="1" ht="12.75" x14ac:dyDescent="0.2">
      <c r="B46916" s="1168"/>
    </row>
    <row r="46917" spans="2:2" s="221" customFormat="1" ht="12.75" x14ac:dyDescent="0.2">
      <c r="B46917" s="1168"/>
    </row>
    <row r="46918" spans="2:2" s="221" customFormat="1" ht="12.75" x14ac:dyDescent="0.2">
      <c r="B46918" s="1168"/>
    </row>
    <row r="46919" spans="2:2" s="221" customFormat="1" ht="12.75" x14ac:dyDescent="0.2">
      <c r="B46919" s="1168"/>
    </row>
    <row r="46920" spans="2:2" s="221" customFormat="1" ht="12.75" x14ac:dyDescent="0.2">
      <c r="B46920" s="1168"/>
    </row>
    <row r="46921" spans="2:2" s="221" customFormat="1" ht="12.75" x14ac:dyDescent="0.2">
      <c r="B46921" s="1168"/>
    </row>
    <row r="46922" spans="2:2" s="221" customFormat="1" ht="12.75" x14ac:dyDescent="0.2">
      <c r="B46922" s="1168"/>
    </row>
    <row r="46923" spans="2:2" s="221" customFormat="1" ht="12.75" x14ac:dyDescent="0.2">
      <c r="B46923" s="1168"/>
    </row>
    <row r="46924" spans="2:2" s="221" customFormat="1" ht="12.75" x14ac:dyDescent="0.2">
      <c r="B46924" s="1168"/>
    </row>
    <row r="46925" spans="2:2" s="221" customFormat="1" ht="12.75" x14ac:dyDescent="0.2">
      <c r="B46925" s="1168"/>
    </row>
    <row r="46926" spans="2:2" s="221" customFormat="1" ht="12.75" x14ac:dyDescent="0.2">
      <c r="B46926" s="1168"/>
    </row>
    <row r="46927" spans="2:2" s="221" customFormat="1" ht="12.75" x14ac:dyDescent="0.2">
      <c r="B46927" s="1168"/>
    </row>
    <row r="46928" spans="2:2" s="221" customFormat="1" ht="12.75" x14ac:dyDescent="0.2">
      <c r="B46928" s="1168"/>
    </row>
    <row r="46929" spans="2:2" s="221" customFormat="1" ht="12.75" x14ac:dyDescent="0.2">
      <c r="B46929" s="1168"/>
    </row>
    <row r="46930" spans="2:2" s="221" customFormat="1" ht="12.75" x14ac:dyDescent="0.2">
      <c r="B46930" s="1168"/>
    </row>
    <row r="46931" spans="2:2" s="221" customFormat="1" ht="12.75" x14ac:dyDescent="0.2">
      <c r="B46931" s="1168"/>
    </row>
    <row r="46932" spans="2:2" s="221" customFormat="1" ht="12.75" x14ac:dyDescent="0.2">
      <c r="B46932" s="1168"/>
    </row>
    <row r="46933" spans="2:2" s="221" customFormat="1" ht="12.75" x14ac:dyDescent="0.2">
      <c r="B46933" s="1168"/>
    </row>
    <row r="46934" spans="2:2" s="221" customFormat="1" ht="12.75" x14ac:dyDescent="0.2">
      <c r="B46934" s="1168"/>
    </row>
    <row r="46935" spans="2:2" s="221" customFormat="1" ht="12.75" x14ac:dyDescent="0.2">
      <c r="B46935" s="1168"/>
    </row>
    <row r="46936" spans="2:2" s="221" customFormat="1" ht="12.75" x14ac:dyDescent="0.2">
      <c r="B46936" s="1168"/>
    </row>
    <row r="46937" spans="2:2" s="221" customFormat="1" ht="12.75" x14ac:dyDescent="0.2">
      <c r="B46937" s="1168"/>
    </row>
    <row r="46938" spans="2:2" s="221" customFormat="1" ht="12.75" x14ac:dyDescent="0.2">
      <c r="B46938" s="1168"/>
    </row>
    <row r="46939" spans="2:2" s="221" customFormat="1" ht="12.75" x14ac:dyDescent="0.2">
      <c r="B46939" s="1168"/>
    </row>
    <row r="46940" spans="2:2" s="221" customFormat="1" ht="12.75" x14ac:dyDescent="0.2">
      <c r="B46940" s="1168"/>
    </row>
    <row r="46941" spans="2:2" s="221" customFormat="1" ht="12.75" x14ac:dyDescent="0.2">
      <c r="B46941" s="1168"/>
    </row>
    <row r="46942" spans="2:2" s="221" customFormat="1" ht="12.75" x14ac:dyDescent="0.2">
      <c r="B46942" s="1168"/>
    </row>
    <row r="46943" spans="2:2" s="221" customFormat="1" ht="12.75" x14ac:dyDescent="0.2">
      <c r="B46943" s="1168"/>
    </row>
    <row r="46944" spans="2:2" s="221" customFormat="1" ht="12.75" x14ac:dyDescent="0.2">
      <c r="B46944" s="1168"/>
    </row>
    <row r="46945" spans="2:2" s="221" customFormat="1" ht="12.75" x14ac:dyDescent="0.2">
      <c r="B46945" s="1168"/>
    </row>
    <row r="46946" spans="2:2" s="221" customFormat="1" ht="12.75" x14ac:dyDescent="0.2">
      <c r="B46946" s="1168"/>
    </row>
    <row r="46947" spans="2:2" s="221" customFormat="1" ht="12.75" x14ac:dyDescent="0.2">
      <c r="B46947" s="1168"/>
    </row>
    <row r="46948" spans="2:2" s="221" customFormat="1" ht="12.75" x14ac:dyDescent="0.2">
      <c r="B46948" s="1168"/>
    </row>
    <row r="46949" spans="2:2" s="221" customFormat="1" ht="12.75" x14ac:dyDescent="0.2">
      <c r="B46949" s="1168"/>
    </row>
    <row r="46950" spans="2:2" s="221" customFormat="1" ht="12.75" x14ac:dyDescent="0.2">
      <c r="B46950" s="1168"/>
    </row>
    <row r="46951" spans="2:2" s="221" customFormat="1" ht="12.75" x14ac:dyDescent="0.2">
      <c r="B46951" s="1168"/>
    </row>
    <row r="46952" spans="2:2" s="221" customFormat="1" ht="12.75" x14ac:dyDescent="0.2">
      <c r="B46952" s="1168"/>
    </row>
    <row r="46953" spans="2:2" s="221" customFormat="1" ht="12.75" x14ac:dyDescent="0.2">
      <c r="B46953" s="1168"/>
    </row>
    <row r="46954" spans="2:2" s="221" customFormat="1" ht="12.75" x14ac:dyDescent="0.2">
      <c r="B46954" s="1168"/>
    </row>
    <row r="46955" spans="2:2" s="221" customFormat="1" ht="12.75" x14ac:dyDescent="0.2">
      <c r="B46955" s="1168"/>
    </row>
    <row r="46956" spans="2:2" s="221" customFormat="1" ht="12.75" x14ac:dyDescent="0.2">
      <c r="B46956" s="1168"/>
    </row>
    <row r="46957" spans="2:2" s="221" customFormat="1" ht="12.75" x14ac:dyDescent="0.2">
      <c r="B46957" s="1168"/>
    </row>
    <row r="46958" spans="2:2" s="221" customFormat="1" ht="12.75" x14ac:dyDescent="0.2">
      <c r="B46958" s="1168"/>
    </row>
    <row r="46959" spans="2:2" s="221" customFormat="1" ht="12.75" x14ac:dyDescent="0.2">
      <c r="B46959" s="1168"/>
    </row>
    <row r="46960" spans="2:2" s="221" customFormat="1" ht="12.75" x14ac:dyDescent="0.2">
      <c r="B46960" s="1168"/>
    </row>
    <row r="46961" spans="2:2" s="221" customFormat="1" ht="12.75" x14ac:dyDescent="0.2">
      <c r="B46961" s="1168"/>
    </row>
    <row r="46962" spans="2:2" s="221" customFormat="1" ht="12.75" x14ac:dyDescent="0.2">
      <c r="B46962" s="1168"/>
    </row>
    <row r="46963" spans="2:2" s="221" customFormat="1" ht="12.75" x14ac:dyDescent="0.2">
      <c r="B46963" s="1168"/>
    </row>
    <row r="46964" spans="2:2" s="221" customFormat="1" ht="12.75" x14ac:dyDescent="0.2">
      <c r="B46964" s="1168"/>
    </row>
    <row r="46965" spans="2:2" s="221" customFormat="1" ht="12.75" x14ac:dyDescent="0.2">
      <c r="B46965" s="1168"/>
    </row>
    <row r="46966" spans="2:2" s="221" customFormat="1" ht="12.75" x14ac:dyDescent="0.2">
      <c r="B46966" s="1168"/>
    </row>
    <row r="46967" spans="2:2" s="221" customFormat="1" ht="12.75" x14ac:dyDescent="0.2">
      <c r="B46967" s="1168"/>
    </row>
    <row r="46968" spans="2:2" s="221" customFormat="1" ht="12.75" x14ac:dyDescent="0.2">
      <c r="B46968" s="1168"/>
    </row>
    <row r="46969" spans="2:2" s="221" customFormat="1" ht="12.75" x14ac:dyDescent="0.2">
      <c r="B46969" s="1168"/>
    </row>
    <row r="46970" spans="2:2" s="221" customFormat="1" ht="12.75" x14ac:dyDescent="0.2">
      <c r="B46970" s="1168"/>
    </row>
    <row r="46971" spans="2:2" s="221" customFormat="1" ht="12.75" x14ac:dyDescent="0.2">
      <c r="B46971" s="1168"/>
    </row>
    <row r="46972" spans="2:2" s="221" customFormat="1" ht="12.75" x14ac:dyDescent="0.2">
      <c r="B46972" s="1168"/>
    </row>
    <row r="46973" spans="2:2" s="221" customFormat="1" ht="12.75" x14ac:dyDescent="0.2">
      <c r="B46973" s="1168"/>
    </row>
    <row r="46974" spans="2:2" s="221" customFormat="1" ht="12.75" x14ac:dyDescent="0.2">
      <c r="B46974" s="1168"/>
    </row>
    <row r="46975" spans="2:2" s="221" customFormat="1" ht="12.75" x14ac:dyDescent="0.2">
      <c r="B46975" s="1168"/>
    </row>
    <row r="46976" spans="2:2" s="221" customFormat="1" ht="12.75" x14ac:dyDescent="0.2">
      <c r="B46976" s="1168"/>
    </row>
    <row r="46977" spans="2:2" s="221" customFormat="1" ht="12.75" x14ac:dyDescent="0.2">
      <c r="B46977" s="1168"/>
    </row>
    <row r="46978" spans="2:2" s="221" customFormat="1" ht="12.75" x14ac:dyDescent="0.2">
      <c r="B46978" s="1168"/>
    </row>
    <row r="46979" spans="2:2" s="221" customFormat="1" ht="12.75" x14ac:dyDescent="0.2">
      <c r="B46979" s="1168"/>
    </row>
    <row r="46980" spans="2:2" s="221" customFormat="1" ht="12.75" x14ac:dyDescent="0.2">
      <c r="B46980" s="1168"/>
    </row>
    <row r="46981" spans="2:2" s="221" customFormat="1" ht="12.75" x14ac:dyDescent="0.2">
      <c r="B46981" s="1168"/>
    </row>
    <row r="46982" spans="2:2" s="221" customFormat="1" ht="12.75" x14ac:dyDescent="0.2">
      <c r="B46982" s="1168"/>
    </row>
    <row r="46983" spans="2:2" s="221" customFormat="1" ht="12.75" x14ac:dyDescent="0.2">
      <c r="B46983" s="1168"/>
    </row>
    <row r="46984" spans="2:2" s="221" customFormat="1" ht="12.75" x14ac:dyDescent="0.2">
      <c r="B46984" s="1168"/>
    </row>
    <row r="46985" spans="2:2" s="221" customFormat="1" ht="12.75" x14ac:dyDescent="0.2">
      <c r="B46985" s="1168"/>
    </row>
    <row r="46986" spans="2:2" s="221" customFormat="1" ht="12.75" x14ac:dyDescent="0.2">
      <c r="B46986" s="1168"/>
    </row>
    <row r="46987" spans="2:2" s="221" customFormat="1" ht="12.75" x14ac:dyDescent="0.2">
      <c r="B46987" s="1168"/>
    </row>
    <row r="46988" spans="2:2" s="221" customFormat="1" ht="12.75" x14ac:dyDescent="0.2">
      <c r="B46988" s="1168"/>
    </row>
    <row r="46989" spans="2:2" s="221" customFormat="1" ht="12.75" x14ac:dyDescent="0.2">
      <c r="B46989" s="1168"/>
    </row>
    <row r="46990" spans="2:2" s="221" customFormat="1" ht="12.75" x14ac:dyDescent="0.2">
      <c r="B46990" s="1168"/>
    </row>
    <row r="46991" spans="2:2" s="221" customFormat="1" ht="12.75" x14ac:dyDescent="0.2">
      <c r="B46991" s="1168"/>
    </row>
    <row r="46992" spans="2:2" s="221" customFormat="1" ht="12.75" x14ac:dyDescent="0.2">
      <c r="B46992" s="1168"/>
    </row>
    <row r="46993" spans="2:2" s="221" customFormat="1" ht="12.75" x14ac:dyDescent="0.2">
      <c r="B46993" s="1168"/>
    </row>
    <row r="46994" spans="2:2" s="221" customFormat="1" ht="12.75" x14ac:dyDescent="0.2">
      <c r="B46994" s="1168"/>
    </row>
    <row r="46995" spans="2:2" s="221" customFormat="1" ht="12.75" x14ac:dyDescent="0.2">
      <c r="B46995" s="1168"/>
    </row>
    <row r="46996" spans="2:2" s="221" customFormat="1" ht="12.75" x14ac:dyDescent="0.2">
      <c r="B46996" s="1168"/>
    </row>
    <row r="46997" spans="2:2" s="221" customFormat="1" ht="12.75" x14ac:dyDescent="0.2">
      <c r="B46997" s="1168"/>
    </row>
    <row r="46998" spans="2:2" s="221" customFormat="1" ht="12.75" x14ac:dyDescent="0.2">
      <c r="B46998" s="1168"/>
    </row>
    <row r="46999" spans="2:2" s="221" customFormat="1" ht="12.75" x14ac:dyDescent="0.2">
      <c r="B46999" s="1168"/>
    </row>
    <row r="47000" spans="2:2" s="221" customFormat="1" ht="12.75" x14ac:dyDescent="0.2">
      <c r="B47000" s="1168"/>
    </row>
    <row r="47001" spans="2:2" s="221" customFormat="1" ht="12.75" x14ac:dyDescent="0.2">
      <c r="B47001" s="1168"/>
    </row>
    <row r="47002" spans="2:2" s="221" customFormat="1" ht="12.75" x14ac:dyDescent="0.2">
      <c r="B47002" s="1168"/>
    </row>
    <row r="47003" spans="2:2" s="221" customFormat="1" ht="12.75" x14ac:dyDescent="0.2">
      <c r="B47003" s="1168"/>
    </row>
    <row r="47004" spans="2:2" s="221" customFormat="1" ht="12.75" x14ac:dyDescent="0.2">
      <c r="B47004" s="1168"/>
    </row>
    <row r="47005" spans="2:2" s="221" customFormat="1" ht="12.75" x14ac:dyDescent="0.2">
      <c r="B47005" s="1168"/>
    </row>
    <row r="47006" spans="2:2" s="221" customFormat="1" ht="12.75" x14ac:dyDescent="0.2">
      <c r="B47006" s="1168"/>
    </row>
    <row r="47007" spans="2:2" s="221" customFormat="1" ht="12.75" x14ac:dyDescent="0.2">
      <c r="B47007" s="1168"/>
    </row>
    <row r="47008" spans="2:2" s="221" customFormat="1" ht="12.75" x14ac:dyDescent="0.2">
      <c r="B47008" s="1168"/>
    </row>
    <row r="47009" spans="2:2" s="221" customFormat="1" ht="12.75" x14ac:dyDescent="0.2">
      <c r="B47009" s="1168"/>
    </row>
    <row r="47010" spans="2:2" s="221" customFormat="1" ht="12.75" x14ac:dyDescent="0.2">
      <c r="B47010" s="1168"/>
    </row>
    <row r="47011" spans="2:2" s="221" customFormat="1" ht="12.75" x14ac:dyDescent="0.2">
      <c r="B47011" s="1168"/>
    </row>
    <row r="47012" spans="2:2" s="221" customFormat="1" ht="12.75" x14ac:dyDescent="0.2">
      <c r="B47012" s="1168"/>
    </row>
    <row r="47013" spans="2:2" s="221" customFormat="1" ht="12.75" x14ac:dyDescent="0.2">
      <c r="B47013" s="1168"/>
    </row>
    <row r="47014" spans="2:2" s="221" customFormat="1" ht="12.75" x14ac:dyDescent="0.2">
      <c r="B47014" s="1168"/>
    </row>
    <row r="47015" spans="2:2" s="221" customFormat="1" ht="12.75" x14ac:dyDescent="0.2">
      <c r="B47015" s="1168"/>
    </row>
    <row r="47016" spans="2:2" s="221" customFormat="1" ht="12.75" x14ac:dyDescent="0.2">
      <c r="B47016" s="1168"/>
    </row>
    <row r="47017" spans="2:2" s="221" customFormat="1" ht="12.75" x14ac:dyDescent="0.2">
      <c r="B47017" s="1168"/>
    </row>
    <row r="47018" spans="2:2" s="221" customFormat="1" ht="12.75" x14ac:dyDescent="0.2">
      <c r="B47018" s="1168"/>
    </row>
    <row r="47019" spans="2:2" s="221" customFormat="1" ht="12.75" x14ac:dyDescent="0.2">
      <c r="B47019" s="1168"/>
    </row>
    <row r="47020" spans="2:2" s="221" customFormat="1" ht="12.75" x14ac:dyDescent="0.2">
      <c r="B47020" s="1168"/>
    </row>
    <row r="47021" spans="2:2" s="221" customFormat="1" ht="12.75" x14ac:dyDescent="0.2">
      <c r="B47021" s="1168"/>
    </row>
    <row r="47022" spans="2:2" s="221" customFormat="1" ht="12.75" x14ac:dyDescent="0.2">
      <c r="B47022" s="1168"/>
    </row>
    <row r="47023" spans="2:2" s="221" customFormat="1" ht="12.75" x14ac:dyDescent="0.2">
      <c r="B47023" s="1168"/>
    </row>
    <row r="47024" spans="2:2" s="221" customFormat="1" ht="12.75" x14ac:dyDescent="0.2">
      <c r="B47024" s="1168"/>
    </row>
    <row r="47025" spans="2:2" s="221" customFormat="1" ht="12.75" x14ac:dyDescent="0.2">
      <c r="B47025" s="1168"/>
    </row>
    <row r="47026" spans="2:2" s="221" customFormat="1" ht="12.75" x14ac:dyDescent="0.2">
      <c r="B47026" s="1168"/>
    </row>
    <row r="47027" spans="2:2" s="221" customFormat="1" ht="12.75" x14ac:dyDescent="0.2">
      <c r="B47027" s="1168"/>
    </row>
    <row r="47028" spans="2:2" s="221" customFormat="1" ht="12.75" x14ac:dyDescent="0.2">
      <c r="B47028" s="1168"/>
    </row>
    <row r="47029" spans="2:2" s="221" customFormat="1" ht="12.75" x14ac:dyDescent="0.2">
      <c r="B47029" s="1168"/>
    </row>
    <row r="47030" spans="2:2" s="221" customFormat="1" ht="12.75" x14ac:dyDescent="0.2">
      <c r="B47030" s="1168"/>
    </row>
    <row r="47031" spans="2:2" s="221" customFormat="1" ht="12.75" x14ac:dyDescent="0.2">
      <c r="B47031" s="1168"/>
    </row>
    <row r="47032" spans="2:2" s="221" customFormat="1" ht="12.75" x14ac:dyDescent="0.2">
      <c r="B47032" s="1168"/>
    </row>
    <row r="47033" spans="2:2" s="221" customFormat="1" ht="12.75" x14ac:dyDescent="0.2">
      <c r="B47033" s="1168"/>
    </row>
    <row r="47034" spans="2:2" s="221" customFormat="1" ht="12.75" x14ac:dyDescent="0.2">
      <c r="B47034" s="1168"/>
    </row>
    <row r="47035" spans="2:2" s="221" customFormat="1" ht="12.75" x14ac:dyDescent="0.2">
      <c r="B47035" s="1168"/>
    </row>
    <row r="47036" spans="2:2" s="221" customFormat="1" ht="12.75" x14ac:dyDescent="0.2">
      <c r="B47036" s="1168"/>
    </row>
    <row r="47037" spans="2:2" s="221" customFormat="1" ht="12.75" x14ac:dyDescent="0.2">
      <c r="B47037" s="1168"/>
    </row>
    <row r="47038" spans="2:2" s="221" customFormat="1" ht="12.75" x14ac:dyDescent="0.2">
      <c r="B47038" s="1168"/>
    </row>
    <row r="47039" spans="2:2" s="221" customFormat="1" ht="12.75" x14ac:dyDescent="0.2">
      <c r="B47039" s="1168"/>
    </row>
    <row r="47040" spans="2:2" s="221" customFormat="1" ht="12.75" x14ac:dyDescent="0.2">
      <c r="B47040" s="1168"/>
    </row>
    <row r="47041" spans="2:2" s="221" customFormat="1" ht="12.75" x14ac:dyDescent="0.2">
      <c r="B47041" s="1168"/>
    </row>
    <row r="47042" spans="2:2" s="221" customFormat="1" ht="12.75" x14ac:dyDescent="0.2">
      <c r="B47042" s="1168"/>
    </row>
    <row r="47043" spans="2:2" s="221" customFormat="1" ht="12.75" x14ac:dyDescent="0.2">
      <c r="B47043" s="1168"/>
    </row>
    <row r="47044" spans="2:2" s="221" customFormat="1" ht="12.75" x14ac:dyDescent="0.2">
      <c r="B47044" s="1168"/>
    </row>
    <row r="47045" spans="2:2" s="221" customFormat="1" ht="12.75" x14ac:dyDescent="0.2">
      <c r="B47045" s="1168"/>
    </row>
    <row r="47046" spans="2:2" s="221" customFormat="1" ht="12.75" x14ac:dyDescent="0.2">
      <c r="B47046" s="1168"/>
    </row>
    <row r="47047" spans="2:2" s="221" customFormat="1" ht="12.75" x14ac:dyDescent="0.2">
      <c r="B47047" s="1168"/>
    </row>
    <row r="47048" spans="2:2" s="221" customFormat="1" ht="12.75" x14ac:dyDescent="0.2">
      <c r="B47048" s="1168"/>
    </row>
    <row r="47049" spans="2:2" s="221" customFormat="1" ht="12.75" x14ac:dyDescent="0.2">
      <c r="B47049" s="1168"/>
    </row>
    <row r="47050" spans="2:2" s="221" customFormat="1" ht="12.75" x14ac:dyDescent="0.2">
      <c r="B47050" s="1168"/>
    </row>
    <row r="47051" spans="2:2" s="221" customFormat="1" ht="12.75" x14ac:dyDescent="0.2">
      <c r="B47051" s="1168"/>
    </row>
    <row r="47052" spans="2:2" s="221" customFormat="1" ht="12.75" x14ac:dyDescent="0.2">
      <c r="B47052" s="1168"/>
    </row>
    <row r="47053" spans="2:2" s="221" customFormat="1" ht="12.75" x14ac:dyDescent="0.2">
      <c r="B47053" s="1168"/>
    </row>
    <row r="47054" spans="2:2" s="221" customFormat="1" ht="12.75" x14ac:dyDescent="0.2">
      <c r="B47054" s="1168"/>
    </row>
    <row r="47055" spans="2:2" s="221" customFormat="1" ht="12.75" x14ac:dyDescent="0.2">
      <c r="B47055" s="1168"/>
    </row>
    <row r="47056" spans="2:2" s="221" customFormat="1" ht="12.75" x14ac:dyDescent="0.2">
      <c r="B47056" s="1168"/>
    </row>
    <row r="47057" spans="2:2" s="221" customFormat="1" ht="12.75" x14ac:dyDescent="0.2">
      <c r="B47057" s="1168"/>
    </row>
    <row r="47058" spans="2:2" s="221" customFormat="1" ht="12.75" x14ac:dyDescent="0.2">
      <c r="B47058" s="1168"/>
    </row>
    <row r="47059" spans="2:2" s="221" customFormat="1" ht="12.75" x14ac:dyDescent="0.2">
      <c r="B47059" s="1168"/>
    </row>
    <row r="47060" spans="2:2" s="221" customFormat="1" ht="12.75" x14ac:dyDescent="0.2">
      <c r="B47060" s="1168"/>
    </row>
    <row r="47061" spans="2:2" s="221" customFormat="1" ht="12.75" x14ac:dyDescent="0.2">
      <c r="B47061" s="1168"/>
    </row>
    <row r="47062" spans="2:2" s="221" customFormat="1" ht="12.75" x14ac:dyDescent="0.2">
      <c r="B47062" s="1168"/>
    </row>
    <row r="47063" spans="2:2" s="221" customFormat="1" ht="12.75" x14ac:dyDescent="0.2">
      <c r="B47063" s="1168"/>
    </row>
    <row r="47064" spans="2:2" s="221" customFormat="1" ht="12.75" x14ac:dyDescent="0.2">
      <c r="B47064" s="1168"/>
    </row>
    <row r="47065" spans="2:2" s="221" customFormat="1" ht="12.75" x14ac:dyDescent="0.2">
      <c r="B47065" s="1168"/>
    </row>
    <row r="47066" spans="2:2" s="221" customFormat="1" ht="12.75" x14ac:dyDescent="0.2">
      <c r="B47066" s="1168"/>
    </row>
    <row r="47067" spans="2:2" s="221" customFormat="1" ht="12.75" x14ac:dyDescent="0.2">
      <c r="B47067" s="1168"/>
    </row>
    <row r="47068" spans="2:2" s="221" customFormat="1" ht="12.75" x14ac:dyDescent="0.2">
      <c r="B47068" s="1168"/>
    </row>
    <row r="47069" spans="2:2" s="221" customFormat="1" ht="12.75" x14ac:dyDescent="0.2">
      <c r="B47069" s="1168"/>
    </row>
    <row r="47070" spans="2:2" s="221" customFormat="1" ht="12.75" x14ac:dyDescent="0.2">
      <c r="B47070" s="1168"/>
    </row>
    <row r="47071" spans="2:2" s="221" customFormat="1" ht="12.75" x14ac:dyDescent="0.2">
      <c r="B47071" s="1168"/>
    </row>
    <row r="47072" spans="2:2" s="221" customFormat="1" ht="12.75" x14ac:dyDescent="0.2">
      <c r="B47072" s="1168"/>
    </row>
    <row r="47073" spans="2:2" s="221" customFormat="1" ht="12.75" x14ac:dyDescent="0.2">
      <c r="B47073" s="1168"/>
    </row>
    <row r="47074" spans="2:2" s="221" customFormat="1" ht="12.75" x14ac:dyDescent="0.2">
      <c r="B47074" s="1168"/>
    </row>
    <row r="47075" spans="2:2" s="221" customFormat="1" ht="12.75" x14ac:dyDescent="0.2">
      <c r="B47075" s="1168"/>
    </row>
    <row r="47076" spans="2:2" s="221" customFormat="1" ht="12.75" x14ac:dyDescent="0.2">
      <c r="B47076" s="1168"/>
    </row>
    <row r="47077" spans="2:2" s="221" customFormat="1" ht="12.75" x14ac:dyDescent="0.2">
      <c r="B47077" s="1168"/>
    </row>
    <row r="47078" spans="2:2" s="221" customFormat="1" ht="12.75" x14ac:dyDescent="0.2">
      <c r="B47078" s="1168"/>
    </row>
    <row r="47079" spans="2:2" s="221" customFormat="1" ht="12.75" x14ac:dyDescent="0.2">
      <c r="B47079" s="1168"/>
    </row>
    <row r="47080" spans="2:2" s="221" customFormat="1" ht="12.75" x14ac:dyDescent="0.2">
      <c r="B47080" s="1168"/>
    </row>
    <row r="47081" spans="2:2" s="221" customFormat="1" ht="12.75" x14ac:dyDescent="0.2">
      <c r="B47081" s="1168"/>
    </row>
    <row r="47082" spans="2:2" s="221" customFormat="1" ht="12.75" x14ac:dyDescent="0.2">
      <c r="B47082" s="1168"/>
    </row>
    <row r="47083" spans="2:2" s="221" customFormat="1" ht="12.75" x14ac:dyDescent="0.2">
      <c r="B47083" s="1168"/>
    </row>
    <row r="47084" spans="2:2" s="221" customFormat="1" ht="12.75" x14ac:dyDescent="0.2">
      <c r="B47084" s="1168"/>
    </row>
    <row r="47085" spans="2:2" s="221" customFormat="1" ht="12.75" x14ac:dyDescent="0.2">
      <c r="B47085" s="1168"/>
    </row>
    <row r="47086" spans="2:2" s="221" customFormat="1" ht="12.75" x14ac:dyDescent="0.2">
      <c r="B47086" s="1168"/>
    </row>
    <row r="47087" spans="2:2" s="221" customFormat="1" ht="12.75" x14ac:dyDescent="0.2">
      <c r="B47087" s="1168"/>
    </row>
    <row r="47088" spans="2:2" s="221" customFormat="1" ht="12.75" x14ac:dyDescent="0.2">
      <c r="B47088" s="1168"/>
    </row>
    <row r="47089" spans="2:2" s="221" customFormat="1" ht="12.75" x14ac:dyDescent="0.2">
      <c r="B47089" s="1168"/>
    </row>
    <row r="47090" spans="2:2" s="221" customFormat="1" ht="12.75" x14ac:dyDescent="0.2">
      <c r="B47090" s="1168"/>
    </row>
    <row r="47091" spans="2:2" s="221" customFormat="1" ht="12.75" x14ac:dyDescent="0.2">
      <c r="B47091" s="1168"/>
    </row>
    <row r="47092" spans="2:2" s="221" customFormat="1" ht="12.75" x14ac:dyDescent="0.2">
      <c r="B47092" s="1168"/>
    </row>
    <row r="47093" spans="2:2" s="221" customFormat="1" ht="12.75" x14ac:dyDescent="0.2">
      <c r="B47093" s="1168"/>
    </row>
    <row r="47094" spans="2:2" s="221" customFormat="1" ht="12.75" x14ac:dyDescent="0.2">
      <c r="B47094" s="1168"/>
    </row>
    <row r="47095" spans="2:2" s="221" customFormat="1" ht="12.75" x14ac:dyDescent="0.2">
      <c r="B47095" s="1168"/>
    </row>
    <row r="47096" spans="2:2" s="221" customFormat="1" ht="12.75" x14ac:dyDescent="0.2">
      <c r="B47096" s="1168"/>
    </row>
    <row r="47097" spans="2:2" s="221" customFormat="1" ht="12.75" x14ac:dyDescent="0.2">
      <c r="B47097" s="1168"/>
    </row>
    <row r="47098" spans="2:2" s="221" customFormat="1" ht="12.75" x14ac:dyDescent="0.2">
      <c r="B47098" s="1168"/>
    </row>
    <row r="47099" spans="2:2" s="221" customFormat="1" ht="12.75" x14ac:dyDescent="0.2">
      <c r="B47099" s="1168"/>
    </row>
    <row r="47100" spans="2:2" s="221" customFormat="1" ht="12.75" x14ac:dyDescent="0.2">
      <c r="B47100" s="1168"/>
    </row>
    <row r="47101" spans="2:2" s="221" customFormat="1" ht="12.75" x14ac:dyDescent="0.2">
      <c r="B47101" s="1168"/>
    </row>
    <row r="47102" spans="2:2" s="221" customFormat="1" ht="12.75" x14ac:dyDescent="0.2">
      <c r="B47102" s="1168"/>
    </row>
    <row r="47103" spans="2:2" s="221" customFormat="1" ht="12.75" x14ac:dyDescent="0.2">
      <c r="B47103" s="1168"/>
    </row>
    <row r="47104" spans="2:2" s="221" customFormat="1" ht="12.75" x14ac:dyDescent="0.2">
      <c r="B47104" s="1168"/>
    </row>
    <row r="47105" spans="2:2" s="221" customFormat="1" ht="12.75" x14ac:dyDescent="0.2">
      <c r="B47105" s="1168"/>
    </row>
    <row r="47106" spans="2:2" s="221" customFormat="1" ht="12.75" x14ac:dyDescent="0.2">
      <c r="B47106" s="1168"/>
    </row>
    <row r="47107" spans="2:2" s="221" customFormat="1" ht="12.75" x14ac:dyDescent="0.2">
      <c r="B47107" s="1168"/>
    </row>
    <row r="47108" spans="2:2" s="221" customFormat="1" ht="12.75" x14ac:dyDescent="0.2">
      <c r="B47108" s="1168"/>
    </row>
    <row r="47109" spans="2:2" s="221" customFormat="1" ht="12.75" x14ac:dyDescent="0.2">
      <c r="B47109" s="1168"/>
    </row>
    <row r="47110" spans="2:2" s="221" customFormat="1" ht="12.75" x14ac:dyDescent="0.2">
      <c r="B47110" s="1168"/>
    </row>
    <row r="47111" spans="2:2" s="221" customFormat="1" ht="12.75" x14ac:dyDescent="0.2">
      <c r="B47111" s="1168"/>
    </row>
    <row r="47112" spans="2:2" s="221" customFormat="1" ht="12.75" x14ac:dyDescent="0.2">
      <c r="B47112" s="1168"/>
    </row>
    <row r="47113" spans="2:2" s="221" customFormat="1" ht="12.75" x14ac:dyDescent="0.2">
      <c r="B47113" s="1168"/>
    </row>
    <row r="47114" spans="2:2" s="221" customFormat="1" ht="12.75" x14ac:dyDescent="0.2">
      <c r="B47114" s="1168"/>
    </row>
    <row r="47115" spans="2:2" s="221" customFormat="1" ht="12.75" x14ac:dyDescent="0.2">
      <c r="B47115" s="1168"/>
    </row>
    <row r="47116" spans="2:2" s="221" customFormat="1" ht="12.75" x14ac:dyDescent="0.2">
      <c r="B47116" s="1168"/>
    </row>
    <row r="47117" spans="2:2" s="221" customFormat="1" ht="12.75" x14ac:dyDescent="0.2">
      <c r="B47117" s="1168"/>
    </row>
    <row r="47118" spans="2:2" s="221" customFormat="1" ht="12.75" x14ac:dyDescent="0.2">
      <c r="B47118" s="1168"/>
    </row>
    <row r="47119" spans="2:2" s="221" customFormat="1" ht="12.75" x14ac:dyDescent="0.2">
      <c r="B47119" s="1168"/>
    </row>
    <row r="47120" spans="2:2" s="221" customFormat="1" ht="12.75" x14ac:dyDescent="0.2">
      <c r="B47120" s="1168"/>
    </row>
    <row r="47121" spans="2:2" s="221" customFormat="1" ht="12.75" x14ac:dyDescent="0.2">
      <c r="B47121" s="1168"/>
    </row>
    <row r="47122" spans="2:2" s="221" customFormat="1" ht="12.75" x14ac:dyDescent="0.2">
      <c r="B47122" s="1168"/>
    </row>
    <row r="47123" spans="2:2" s="221" customFormat="1" ht="12.75" x14ac:dyDescent="0.2">
      <c r="B47123" s="1168"/>
    </row>
    <row r="47124" spans="2:2" s="221" customFormat="1" ht="12.75" x14ac:dyDescent="0.2">
      <c r="B47124" s="1168"/>
    </row>
    <row r="47125" spans="2:2" s="221" customFormat="1" ht="12.75" x14ac:dyDescent="0.2">
      <c r="B47125" s="1168"/>
    </row>
    <row r="47126" spans="2:2" s="221" customFormat="1" ht="12.75" x14ac:dyDescent="0.2">
      <c r="B47126" s="1168"/>
    </row>
    <row r="47127" spans="2:2" s="221" customFormat="1" ht="12.75" x14ac:dyDescent="0.2">
      <c r="B47127" s="1168"/>
    </row>
    <row r="47128" spans="2:2" s="221" customFormat="1" ht="12.75" x14ac:dyDescent="0.2">
      <c r="B47128" s="1168"/>
    </row>
    <row r="47129" spans="2:2" s="221" customFormat="1" ht="12.75" x14ac:dyDescent="0.2">
      <c r="B47129" s="1168"/>
    </row>
    <row r="47130" spans="2:2" s="221" customFormat="1" ht="12.75" x14ac:dyDescent="0.2">
      <c r="B47130" s="1168"/>
    </row>
    <row r="47131" spans="2:2" s="221" customFormat="1" ht="12.75" x14ac:dyDescent="0.2">
      <c r="B47131" s="1168"/>
    </row>
    <row r="47132" spans="2:2" s="221" customFormat="1" ht="12.75" x14ac:dyDescent="0.2">
      <c r="B47132" s="1168"/>
    </row>
    <row r="47133" spans="2:2" s="221" customFormat="1" ht="12.75" x14ac:dyDescent="0.2">
      <c r="B47133" s="1168"/>
    </row>
    <row r="47134" spans="2:2" s="221" customFormat="1" ht="12.75" x14ac:dyDescent="0.2">
      <c r="B47134" s="1168"/>
    </row>
    <row r="47135" spans="2:2" s="221" customFormat="1" ht="12.75" x14ac:dyDescent="0.2">
      <c r="B47135" s="1168"/>
    </row>
    <row r="47136" spans="2:2" s="221" customFormat="1" ht="12.75" x14ac:dyDescent="0.2">
      <c r="B47136" s="1168"/>
    </row>
    <row r="47137" spans="2:2" s="221" customFormat="1" ht="12.75" x14ac:dyDescent="0.2">
      <c r="B47137" s="1168"/>
    </row>
    <row r="47138" spans="2:2" s="221" customFormat="1" ht="12.75" x14ac:dyDescent="0.2">
      <c r="B47138" s="1168"/>
    </row>
    <row r="47139" spans="2:2" s="221" customFormat="1" ht="12.75" x14ac:dyDescent="0.2">
      <c r="B47139" s="1168"/>
    </row>
    <row r="47140" spans="2:2" s="221" customFormat="1" ht="12.75" x14ac:dyDescent="0.2">
      <c r="B47140" s="1168"/>
    </row>
    <row r="47141" spans="2:2" s="221" customFormat="1" ht="12.75" x14ac:dyDescent="0.2">
      <c r="B47141" s="1168"/>
    </row>
    <row r="47142" spans="2:2" s="221" customFormat="1" ht="12.75" x14ac:dyDescent="0.2">
      <c r="B47142" s="1168"/>
    </row>
    <row r="47143" spans="2:2" s="221" customFormat="1" ht="12.75" x14ac:dyDescent="0.2">
      <c r="B47143" s="1168"/>
    </row>
    <row r="47144" spans="2:2" s="221" customFormat="1" ht="12.75" x14ac:dyDescent="0.2">
      <c r="B47144" s="1168"/>
    </row>
    <row r="47145" spans="2:2" s="221" customFormat="1" ht="12.75" x14ac:dyDescent="0.2">
      <c r="B47145" s="1168"/>
    </row>
    <row r="47146" spans="2:2" s="221" customFormat="1" ht="12.75" x14ac:dyDescent="0.2">
      <c r="B47146" s="1168"/>
    </row>
    <row r="47147" spans="2:2" s="221" customFormat="1" ht="12.75" x14ac:dyDescent="0.2">
      <c r="B47147" s="1168"/>
    </row>
    <row r="47148" spans="2:2" s="221" customFormat="1" ht="12.75" x14ac:dyDescent="0.2">
      <c r="B47148" s="1168"/>
    </row>
    <row r="47149" spans="2:2" s="221" customFormat="1" ht="12.75" x14ac:dyDescent="0.2">
      <c r="B47149" s="1168"/>
    </row>
    <row r="47150" spans="2:2" s="221" customFormat="1" ht="12.75" x14ac:dyDescent="0.2">
      <c r="B47150" s="1168"/>
    </row>
    <row r="47151" spans="2:2" s="221" customFormat="1" ht="12.75" x14ac:dyDescent="0.2">
      <c r="B47151" s="1168"/>
    </row>
    <row r="47152" spans="2:2" s="221" customFormat="1" ht="12.75" x14ac:dyDescent="0.2">
      <c r="B47152" s="1168"/>
    </row>
    <row r="47153" spans="2:2" s="221" customFormat="1" ht="12.75" x14ac:dyDescent="0.2">
      <c r="B47153" s="1168"/>
    </row>
    <row r="47154" spans="2:2" s="221" customFormat="1" ht="12.75" x14ac:dyDescent="0.2">
      <c r="B47154" s="1168"/>
    </row>
    <row r="47155" spans="2:2" s="221" customFormat="1" ht="12.75" x14ac:dyDescent="0.2">
      <c r="B47155" s="1168"/>
    </row>
    <row r="47156" spans="2:2" s="221" customFormat="1" ht="12.75" x14ac:dyDescent="0.2">
      <c r="B47156" s="1168"/>
    </row>
    <row r="47157" spans="2:2" s="221" customFormat="1" ht="12.75" x14ac:dyDescent="0.2">
      <c r="B47157" s="1168"/>
    </row>
    <row r="47158" spans="2:2" s="221" customFormat="1" ht="12.75" x14ac:dyDescent="0.2">
      <c r="B47158" s="1168"/>
    </row>
    <row r="47159" spans="2:2" s="221" customFormat="1" ht="12.75" x14ac:dyDescent="0.2">
      <c r="B47159" s="1168"/>
    </row>
    <row r="47160" spans="2:2" s="221" customFormat="1" ht="12.75" x14ac:dyDescent="0.2">
      <c r="B47160" s="1168"/>
    </row>
    <row r="47161" spans="2:2" s="221" customFormat="1" ht="12.75" x14ac:dyDescent="0.2">
      <c r="B47161" s="1168"/>
    </row>
    <row r="47162" spans="2:2" s="221" customFormat="1" ht="12.75" x14ac:dyDescent="0.2">
      <c r="B47162" s="1168"/>
    </row>
    <row r="47163" spans="2:2" s="221" customFormat="1" ht="12.75" x14ac:dyDescent="0.2">
      <c r="B47163" s="1168"/>
    </row>
    <row r="47164" spans="2:2" s="221" customFormat="1" ht="12.75" x14ac:dyDescent="0.2">
      <c r="B47164" s="1168"/>
    </row>
    <row r="47165" spans="2:2" s="221" customFormat="1" ht="12.75" x14ac:dyDescent="0.2">
      <c r="B47165" s="1168"/>
    </row>
    <row r="47166" spans="2:2" s="221" customFormat="1" ht="12.75" x14ac:dyDescent="0.2">
      <c r="B47166" s="1168"/>
    </row>
    <row r="47167" spans="2:2" s="221" customFormat="1" ht="12.75" x14ac:dyDescent="0.2">
      <c r="B47167" s="1168"/>
    </row>
    <row r="47168" spans="2:2" s="221" customFormat="1" ht="12.75" x14ac:dyDescent="0.2">
      <c r="B47168" s="1168"/>
    </row>
    <row r="47169" spans="2:2" s="221" customFormat="1" ht="12.75" x14ac:dyDescent="0.2">
      <c r="B47169" s="1168"/>
    </row>
    <row r="47170" spans="2:2" s="221" customFormat="1" ht="12.75" x14ac:dyDescent="0.2">
      <c r="B47170" s="1168"/>
    </row>
    <row r="47171" spans="2:2" s="221" customFormat="1" ht="12.75" x14ac:dyDescent="0.2">
      <c r="B47171" s="1168"/>
    </row>
    <row r="47172" spans="2:2" s="221" customFormat="1" ht="12.75" x14ac:dyDescent="0.2">
      <c r="B47172" s="1168"/>
    </row>
    <row r="47173" spans="2:2" s="221" customFormat="1" ht="12.75" x14ac:dyDescent="0.2">
      <c r="B47173" s="1168"/>
    </row>
    <row r="47174" spans="2:2" s="221" customFormat="1" ht="12.75" x14ac:dyDescent="0.2">
      <c r="B47174" s="1168"/>
    </row>
    <row r="47175" spans="2:2" s="221" customFormat="1" ht="12.75" x14ac:dyDescent="0.2">
      <c r="B47175" s="1168"/>
    </row>
    <row r="47176" spans="2:2" s="221" customFormat="1" ht="12.75" x14ac:dyDescent="0.2">
      <c r="B47176" s="1168"/>
    </row>
    <row r="47177" spans="2:2" s="221" customFormat="1" ht="12.75" x14ac:dyDescent="0.2">
      <c r="B47177" s="1168"/>
    </row>
    <row r="47178" spans="2:2" s="221" customFormat="1" ht="12.75" x14ac:dyDescent="0.2">
      <c r="B47178" s="1168"/>
    </row>
    <row r="47179" spans="2:2" s="221" customFormat="1" ht="12.75" x14ac:dyDescent="0.2">
      <c r="B47179" s="1168"/>
    </row>
    <row r="47180" spans="2:2" s="221" customFormat="1" ht="12.75" x14ac:dyDescent="0.2">
      <c r="B47180" s="1168"/>
    </row>
    <row r="47181" spans="2:2" s="221" customFormat="1" ht="12.75" x14ac:dyDescent="0.2">
      <c r="B47181" s="1168"/>
    </row>
    <row r="47182" spans="2:2" s="221" customFormat="1" ht="12.75" x14ac:dyDescent="0.2">
      <c r="B47182" s="1168"/>
    </row>
    <row r="47183" spans="2:2" s="221" customFormat="1" ht="12.75" x14ac:dyDescent="0.2">
      <c r="B47183" s="1168"/>
    </row>
    <row r="47184" spans="2:2" s="221" customFormat="1" ht="12.75" x14ac:dyDescent="0.2">
      <c r="B47184" s="1168"/>
    </row>
    <row r="47185" spans="2:2" s="221" customFormat="1" ht="12.75" x14ac:dyDescent="0.2">
      <c r="B47185" s="1168"/>
    </row>
    <row r="47186" spans="2:2" s="221" customFormat="1" ht="12.75" x14ac:dyDescent="0.2">
      <c r="B47186" s="1168"/>
    </row>
    <row r="47187" spans="2:2" s="221" customFormat="1" ht="12.75" x14ac:dyDescent="0.2">
      <c r="B47187" s="1168"/>
    </row>
    <row r="47188" spans="2:2" s="221" customFormat="1" ht="12.75" x14ac:dyDescent="0.2">
      <c r="B47188" s="1168"/>
    </row>
    <row r="47189" spans="2:2" s="221" customFormat="1" ht="12.75" x14ac:dyDescent="0.2">
      <c r="B47189" s="1168"/>
    </row>
    <row r="47190" spans="2:2" s="221" customFormat="1" ht="12.75" x14ac:dyDescent="0.2">
      <c r="B47190" s="1168"/>
    </row>
    <row r="47191" spans="2:2" s="221" customFormat="1" ht="12.75" x14ac:dyDescent="0.2">
      <c r="B47191" s="1168"/>
    </row>
    <row r="47192" spans="2:2" s="221" customFormat="1" ht="12.75" x14ac:dyDescent="0.2">
      <c r="B47192" s="1168"/>
    </row>
    <row r="47193" spans="2:2" s="221" customFormat="1" ht="12.75" x14ac:dyDescent="0.2">
      <c r="B47193" s="1168"/>
    </row>
    <row r="47194" spans="2:2" s="221" customFormat="1" ht="12.75" x14ac:dyDescent="0.2">
      <c r="B47194" s="1168"/>
    </row>
    <row r="47195" spans="2:2" s="221" customFormat="1" ht="12.75" x14ac:dyDescent="0.2">
      <c r="B47195" s="1168"/>
    </row>
    <row r="47196" spans="2:2" s="221" customFormat="1" ht="12.75" x14ac:dyDescent="0.2">
      <c r="B47196" s="1168"/>
    </row>
    <row r="47197" spans="2:2" s="221" customFormat="1" ht="12.75" x14ac:dyDescent="0.2">
      <c r="B47197" s="1168"/>
    </row>
    <row r="47198" spans="2:2" s="221" customFormat="1" ht="12.75" x14ac:dyDescent="0.2">
      <c r="B47198" s="1168"/>
    </row>
    <row r="47199" spans="2:2" s="221" customFormat="1" ht="12.75" x14ac:dyDescent="0.2">
      <c r="B47199" s="1168"/>
    </row>
    <row r="47200" spans="2:2" s="221" customFormat="1" ht="12.75" x14ac:dyDescent="0.2">
      <c r="B47200" s="1168"/>
    </row>
    <row r="47201" spans="2:2" s="221" customFormat="1" ht="12.75" x14ac:dyDescent="0.2">
      <c r="B47201" s="1168"/>
    </row>
    <row r="47202" spans="2:2" s="221" customFormat="1" ht="12.75" x14ac:dyDescent="0.2">
      <c r="B47202" s="1168"/>
    </row>
    <row r="47203" spans="2:2" s="221" customFormat="1" ht="12.75" x14ac:dyDescent="0.2">
      <c r="B47203" s="1168"/>
    </row>
    <row r="47204" spans="2:2" s="221" customFormat="1" ht="12.75" x14ac:dyDescent="0.2">
      <c r="B47204" s="1168"/>
    </row>
    <row r="47205" spans="2:2" s="221" customFormat="1" ht="12.75" x14ac:dyDescent="0.2">
      <c r="B47205" s="1168"/>
    </row>
    <row r="47206" spans="2:2" s="221" customFormat="1" ht="12.75" x14ac:dyDescent="0.2">
      <c r="B47206" s="1168"/>
    </row>
    <row r="47207" spans="2:2" s="221" customFormat="1" ht="12.75" x14ac:dyDescent="0.2">
      <c r="B47207" s="1168"/>
    </row>
    <row r="47208" spans="2:2" s="221" customFormat="1" ht="12.75" x14ac:dyDescent="0.2">
      <c r="B47208" s="1168"/>
    </row>
    <row r="47209" spans="2:2" s="221" customFormat="1" ht="12.75" x14ac:dyDescent="0.2">
      <c r="B47209" s="1168"/>
    </row>
    <row r="47210" spans="2:2" s="221" customFormat="1" ht="12.75" x14ac:dyDescent="0.2">
      <c r="B47210" s="1168"/>
    </row>
    <row r="47211" spans="2:2" s="221" customFormat="1" ht="12.75" x14ac:dyDescent="0.2">
      <c r="B47211" s="1168"/>
    </row>
    <row r="47212" spans="2:2" s="221" customFormat="1" ht="12.75" x14ac:dyDescent="0.2">
      <c r="B47212" s="1168"/>
    </row>
    <row r="47213" spans="2:2" s="221" customFormat="1" ht="12.75" x14ac:dyDescent="0.2">
      <c r="B47213" s="1168"/>
    </row>
    <row r="47214" spans="2:2" s="221" customFormat="1" ht="12.75" x14ac:dyDescent="0.2">
      <c r="B47214" s="1168"/>
    </row>
    <row r="47215" spans="2:2" s="221" customFormat="1" ht="12.75" x14ac:dyDescent="0.2">
      <c r="B47215" s="1168"/>
    </row>
    <row r="47216" spans="2:2" s="221" customFormat="1" ht="12.75" x14ac:dyDescent="0.2">
      <c r="B47216" s="1168"/>
    </row>
    <row r="47217" spans="2:2" s="221" customFormat="1" ht="12.75" x14ac:dyDescent="0.2">
      <c r="B47217" s="1168"/>
    </row>
    <row r="47218" spans="2:2" s="221" customFormat="1" ht="12.75" x14ac:dyDescent="0.2">
      <c r="B47218" s="1168"/>
    </row>
    <row r="47219" spans="2:2" s="221" customFormat="1" ht="12.75" x14ac:dyDescent="0.2">
      <c r="B47219" s="1168"/>
    </row>
    <row r="47220" spans="2:2" s="221" customFormat="1" ht="12.75" x14ac:dyDescent="0.2">
      <c r="B47220" s="1168"/>
    </row>
    <row r="47221" spans="2:2" s="221" customFormat="1" ht="12.75" x14ac:dyDescent="0.2">
      <c r="B47221" s="1168"/>
    </row>
    <row r="47222" spans="2:2" s="221" customFormat="1" ht="12.75" x14ac:dyDescent="0.2">
      <c r="B47222" s="1168"/>
    </row>
    <row r="47223" spans="2:2" s="221" customFormat="1" ht="12.75" x14ac:dyDescent="0.2">
      <c r="B47223" s="1168"/>
    </row>
    <row r="47224" spans="2:2" s="221" customFormat="1" ht="12.75" x14ac:dyDescent="0.2">
      <c r="B47224" s="1168"/>
    </row>
    <row r="47225" spans="2:2" s="221" customFormat="1" ht="12.75" x14ac:dyDescent="0.2">
      <c r="B47225" s="1168"/>
    </row>
    <row r="47226" spans="2:2" s="221" customFormat="1" ht="12.75" x14ac:dyDescent="0.2">
      <c r="B47226" s="1168"/>
    </row>
    <row r="47227" spans="2:2" s="221" customFormat="1" ht="12.75" x14ac:dyDescent="0.2">
      <c r="B47227" s="1168"/>
    </row>
    <row r="47228" spans="2:2" s="221" customFormat="1" ht="12.75" x14ac:dyDescent="0.2">
      <c r="B47228" s="1168"/>
    </row>
    <row r="47229" spans="2:2" s="221" customFormat="1" ht="12.75" x14ac:dyDescent="0.2">
      <c r="B47229" s="1168"/>
    </row>
    <row r="47230" spans="2:2" s="221" customFormat="1" ht="12.75" x14ac:dyDescent="0.2">
      <c r="B47230" s="1168"/>
    </row>
    <row r="47231" spans="2:2" s="221" customFormat="1" ht="12.75" x14ac:dyDescent="0.2">
      <c r="B47231" s="1168"/>
    </row>
    <row r="47232" spans="2:2" s="221" customFormat="1" ht="12.75" x14ac:dyDescent="0.2">
      <c r="B47232" s="1168"/>
    </row>
    <row r="47233" spans="2:2" s="221" customFormat="1" ht="12.75" x14ac:dyDescent="0.2">
      <c r="B47233" s="1168"/>
    </row>
    <row r="47234" spans="2:2" s="221" customFormat="1" ht="12.75" x14ac:dyDescent="0.2">
      <c r="B47234" s="1168"/>
    </row>
    <row r="47235" spans="2:2" s="221" customFormat="1" ht="12.75" x14ac:dyDescent="0.2">
      <c r="B47235" s="1168"/>
    </row>
    <row r="47236" spans="2:2" s="221" customFormat="1" ht="12.75" x14ac:dyDescent="0.2">
      <c r="B47236" s="1168"/>
    </row>
    <row r="47237" spans="2:2" s="221" customFormat="1" ht="12.75" x14ac:dyDescent="0.2">
      <c r="B47237" s="1168"/>
    </row>
    <row r="47238" spans="2:2" s="221" customFormat="1" ht="12.75" x14ac:dyDescent="0.2">
      <c r="B47238" s="1168"/>
    </row>
    <row r="47239" spans="2:2" s="221" customFormat="1" ht="12.75" x14ac:dyDescent="0.2">
      <c r="B47239" s="1168"/>
    </row>
    <row r="47240" spans="2:2" s="221" customFormat="1" ht="12.75" x14ac:dyDescent="0.2">
      <c r="B47240" s="1168"/>
    </row>
    <row r="47241" spans="2:2" s="221" customFormat="1" ht="12.75" x14ac:dyDescent="0.2">
      <c r="B47241" s="1168"/>
    </row>
    <row r="47242" spans="2:2" s="221" customFormat="1" ht="12.75" x14ac:dyDescent="0.2">
      <c r="B47242" s="1168"/>
    </row>
    <row r="47243" spans="2:2" s="221" customFormat="1" ht="12.75" x14ac:dyDescent="0.2">
      <c r="B47243" s="1168"/>
    </row>
    <row r="47244" spans="2:2" s="221" customFormat="1" ht="12.75" x14ac:dyDescent="0.2">
      <c r="B47244" s="1168"/>
    </row>
    <row r="47245" spans="2:2" s="221" customFormat="1" ht="12.75" x14ac:dyDescent="0.2">
      <c r="B47245" s="1168"/>
    </row>
    <row r="47246" spans="2:2" s="221" customFormat="1" ht="12.75" x14ac:dyDescent="0.2">
      <c r="B47246" s="1168"/>
    </row>
    <row r="47247" spans="2:2" s="221" customFormat="1" ht="12.75" x14ac:dyDescent="0.2">
      <c r="B47247" s="1168"/>
    </row>
    <row r="47248" spans="2:2" s="221" customFormat="1" ht="12.75" x14ac:dyDescent="0.2">
      <c r="B47248" s="1168"/>
    </row>
    <row r="47249" spans="2:2" s="221" customFormat="1" ht="12.75" x14ac:dyDescent="0.2">
      <c r="B47249" s="1168"/>
    </row>
    <row r="47250" spans="2:2" s="221" customFormat="1" ht="12.75" x14ac:dyDescent="0.2">
      <c r="B47250" s="1168"/>
    </row>
    <row r="47251" spans="2:2" s="221" customFormat="1" ht="12.75" x14ac:dyDescent="0.2">
      <c r="B47251" s="1168"/>
    </row>
    <row r="47252" spans="2:2" s="221" customFormat="1" ht="12.75" x14ac:dyDescent="0.2">
      <c r="B47252" s="1168"/>
    </row>
    <row r="47253" spans="2:2" s="221" customFormat="1" ht="12.75" x14ac:dyDescent="0.2">
      <c r="B47253" s="1168"/>
    </row>
    <row r="47254" spans="2:2" s="221" customFormat="1" ht="12.75" x14ac:dyDescent="0.2">
      <c r="B47254" s="1168"/>
    </row>
    <row r="47255" spans="2:2" s="221" customFormat="1" ht="12.75" x14ac:dyDescent="0.2">
      <c r="B47255" s="1168"/>
    </row>
    <row r="47256" spans="2:2" s="221" customFormat="1" ht="12.75" x14ac:dyDescent="0.2">
      <c r="B47256" s="1168"/>
    </row>
    <row r="47257" spans="2:2" s="221" customFormat="1" ht="12.75" x14ac:dyDescent="0.2">
      <c r="B47257" s="1168"/>
    </row>
    <row r="47258" spans="2:2" s="221" customFormat="1" ht="12.75" x14ac:dyDescent="0.2">
      <c r="B47258" s="1168"/>
    </row>
    <row r="47259" spans="2:2" s="221" customFormat="1" ht="12.75" x14ac:dyDescent="0.2">
      <c r="B47259" s="1168"/>
    </row>
    <row r="47260" spans="2:2" s="221" customFormat="1" ht="12.75" x14ac:dyDescent="0.2">
      <c r="B47260" s="1168"/>
    </row>
    <row r="47261" spans="2:2" s="221" customFormat="1" ht="12.75" x14ac:dyDescent="0.2">
      <c r="B47261" s="1168"/>
    </row>
    <row r="47262" spans="2:2" s="221" customFormat="1" ht="12.75" x14ac:dyDescent="0.2">
      <c r="B47262" s="1168"/>
    </row>
    <row r="47263" spans="2:2" s="221" customFormat="1" ht="12.75" x14ac:dyDescent="0.2">
      <c r="B47263" s="1168"/>
    </row>
    <row r="47264" spans="2:2" s="221" customFormat="1" ht="12.75" x14ac:dyDescent="0.2">
      <c r="B47264" s="1168"/>
    </row>
    <row r="47265" spans="2:2" s="221" customFormat="1" ht="12.75" x14ac:dyDescent="0.2">
      <c r="B47265" s="1168"/>
    </row>
    <row r="47266" spans="2:2" s="221" customFormat="1" ht="12.75" x14ac:dyDescent="0.2">
      <c r="B47266" s="1168"/>
    </row>
    <row r="47267" spans="2:2" s="221" customFormat="1" ht="12.75" x14ac:dyDescent="0.2">
      <c r="B47267" s="1168"/>
    </row>
    <row r="47268" spans="2:2" s="221" customFormat="1" ht="12.75" x14ac:dyDescent="0.2">
      <c r="B47268" s="1168"/>
    </row>
    <row r="47269" spans="2:2" s="221" customFormat="1" ht="12.75" x14ac:dyDescent="0.2">
      <c r="B47269" s="1168"/>
    </row>
    <row r="47270" spans="2:2" s="221" customFormat="1" ht="12.75" x14ac:dyDescent="0.2">
      <c r="B47270" s="1168"/>
    </row>
    <row r="47271" spans="2:2" s="221" customFormat="1" ht="12.75" x14ac:dyDescent="0.2">
      <c r="B47271" s="1168"/>
    </row>
    <row r="47272" spans="2:2" s="221" customFormat="1" ht="12.75" x14ac:dyDescent="0.2">
      <c r="B47272" s="1168"/>
    </row>
    <row r="47273" spans="2:2" s="221" customFormat="1" ht="12.75" x14ac:dyDescent="0.2">
      <c r="B47273" s="1168"/>
    </row>
    <row r="47274" spans="2:2" s="221" customFormat="1" ht="12.75" x14ac:dyDescent="0.2">
      <c r="B47274" s="1168"/>
    </row>
    <row r="47275" spans="2:2" s="221" customFormat="1" ht="12.75" x14ac:dyDescent="0.2">
      <c r="B47275" s="1168"/>
    </row>
    <row r="47276" spans="2:2" s="221" customFormat="1" ht="12.75" x14ac:dyDescent="0.2">
      <c r="B47276" s="1168"/>
    </row>
    <row r="47277" spans="2:2" s="221" customFormat="1" ht="12.75" x14ac:dyDescent="0.2">
      <c r="B47277" s="1168"/>
    </row>
    <row r="47278" spans="2:2" s="221" customFormat="1" ht="12.75" x14ac:dyDescent="0.2">
      <c r="B47278" s="1168"/>
    </row>
    <row r="47279" spans="2:2" s="221" customFormat="1" ht="12.75" x14ac:dyDescent="0.2">
      <c r="B47279" s="1168"/>
    </row>
    <row r="47280" spans="2:2" s="221" customFormat="1" ht="12.75" x14ac:dyDescent="0.2">
      <c r="B47280" s="1168"/>
    </row>
    <row r="47281" spans="2:2" s="221" customFormat="1" ht="12.75" x14ac:dyDescent="0.2">
      <c r="B47281" s="1168"/>
    </row>
    <row r="47282" spans="2:2" s="221" customFormat="1" ht="12.75" x14ac:dyDescent="0.2">
      <c r="B47282" s="1168"/>
    </row>
    <row r="47283" spans="2:2" s="221" customFormat="1" ht="12.75" x14ac:dyDescent="0.2">
      <c r="B47283" s="1168"/>
    </row>
    <row r="47284" spans="2:2" s="221" customFormat="1" ht="12.75" x14ac:dyDescent="0.2">
      <c r="B47284" s="1168"/>
    </row>
    <row r="47285" spans="2:2" s="221" customFormat="1" ht="12.75" x14ac:dyDescent="0.2">
      <c r="B47285" s="1168"/>
    </row>
    <row r="47286" spans="2:2" s="221" customFormat="1" ht="12.75" x14ac:dyDescent="0.2">
      <c r="B47286" s="1168"/>
    </row>
    <row r="47287" spans="2:2" s="221" customFormat="1" ht="12.75" x14ac:dyDescent="0.2">
      <c r="B47287" s="1168"/>
    </row>
    <row r="47288" spans="2:2" s="221" customFormat="1" ht="12.75" x14ac:dyDescent="0.2">
      <c r="B47288" s="1168"/>
    </row>
    <row r="47289" spans="2:2" s="221" customFormat="1" ht="12.75" x14ac:dyDescent="0.2">
      <c r="B47289" s="1168"/>
    </row>
    <row r="47290" spans="2:2" s="221" customFormat="1" ht="12.75" x14ac:dyDescent="0.2">
      <c r="B47290" s="1168"/>
    </row>
    <row r="47291" spans="2:2" s="221" customFormat="1" ht="12.75" x14ac:dyDescent="0.2">
      <c r="B47291" s="1168"/>
    </row>
    <row r="47292" spans="2:2" s="221" customFormat="1" ht="12.75" x14ac:dyDescent="0.2">
      <c r="B47292" s="1168"/>
    </row>
    <row r="47293" spans="2:2" s="221" customFormat="1" ht="12.75" x14ac:dyDescent="0.2">
      <c r="B47293" s="1168"/>
    </row>
    <row r="47294" spans="2:2" s="221" customFormat="1" ht="12.75" x14ac:dyDescent="0.2">
      <c r="B47294" s="1168"/>
    </row>
    <row r="47295" spans="2:2" s="221" customFormat="1" ht="12.75" x14ac:dyDescent="0.2">
      <c r="B47295" s="1168"/>
    </row>
    <row r="47296" spans="2:2" s="221" customFormat="1" ht="12.75" x14ac:dyDescent="0.2">
      <c r="B47296" s="1168"/>
    </row>
    <row r="47297" spans="2:2" s="221" customFormat="1" ht="12.75" x14ac:dyDescent="0.2">
      <c r="B47297" s="1168"/>
    </row>
    <row r="47298" spans="2:2" s="221" customFormat="1" ht="12.75" x14ac:dyDescent="0.2">
      <c r="B47298" s="1168"/>
    </row>
    <row r="47299" spans="2:2" s="221" customFormat="1" ht="12.75" x14ac:dyDescent="0.2">
      <c r="B47299" s="1168"/>
    </row>
    <row r="47300" spans="2:2" s="221" customFormat="1" ht="12.75" x14ac:dyDescent="0.2">
      <c r="B47300" s="1168"/>
    </row>
    <row r="47301" spans="2:2" s="221" customFormat="1" ht="12.75" x14ac:dyDescent="0.2">
      <c r="B47301" s="1168"/>
    </row>
    <row r="47302" spans="2:2" s="221" customFormat="1" ht="12.75" x14ac:dyDescent="0.2">
      <c r="B47302" s="1168"/>
    </row>
    <row r="47303" spans="2:2" s="221" customFormat="1" ht="12.75" x14ac:dyDescent="0.2">
      <c r="B47303" s="1168"/>
    </row>
    <row r="47304" spans="2:2" s="221" customFormat="1" ht="12.75" x14ac:dyDescent="0.2">
      <c r="B47304" s="1168"/>
    </row>
    <row r="47305" spans="2:2" s="221" customFormat="1" ht="12.75" x14ac:dyDescent="0.2">
      <c r="B47305" s="1168"/>
    </row>
    <row r="47306" spans="2:2" s="221" customFormat="1" ht="12.75" x14ac:dyDescent="0.2">
      <c r="B47306" s="1168"/>
    </row>
    <row r="47307" spans="2:2" s="221" customFormat="1" ht="12.75" x14ac:dyDescent="0.2">
      <c r="B47307" s="1168"/>
    </row>
    <row r="47308" spans="2:2" s="221" customFormat="1" ht="12.75" x14ac:dyDescent="0.2">
      <c r="B47308" s="1168"/>
    </row>
    <row r="47309" spans="2:2" s="221" customFormat="1" ht="12.75" x14ac:dyDescent="0.2">
      <c r="B47309" s="1168"/>
    </row>
    <row r="47310" spans="2:2" s="221" customFormat="1" ht="12.75" x14ac:dyDescent="0.2">
      <c r="B47310" s="1168"/>
    </row>
    <row r="47311" spans="2:2" s="221" customFormat="1" ht="12.75" x14ac:dyDescent="0.2">
      <c r="B47311" s="1168"/>
    </row>
    <row r="47312" spans="2:2" s="221" customFormat="1" ht="12.75" x14ac:dyDescent="0.2">
      <c r="B47312" s="1168"/>
    </row>
    <row r="47313" spans="2:2" s="221" customFormat="1" ht="12.75" x14ac:dyDescent="0.2">
      <c r="B47313" s="1168"/>
    </row>
    <row r="47314" spans="2:2" s="221" customFormat="1" ht="12.75" x14ac:dyDescent="0.2">
      <c r="B47314" s="1168"/>
    </row>
    <row r="47315" spans="2:2" s="221" customFormat="1" ht="12.75" x14ac:dyDescent="0.2">
      <c r="B47315" s="1168"/>
    </row>
    <row r="47316" spans="2:2" s="221" customFormat="1" ht="12.75" x14ac:dyDescent="0.2">
      <c r="B47316" s="1168"/>
    </row>
    <row r="47317" spans="2:2" s="221" customFormat="1" ht="12.75" x14ac:dyDescent="0.2">
      <c r="B47317" s="1168"/>
    </row>
    <row r="47318" spans="2:2" s="221" customFormat="1" ht="12.75" x14ac:dyDescent="0.2">
      <c r="B47318" s="1168"/>
    </row>
    <row r="47319" spans="2:2" s="221" customFormat="1" ht="12.75" x14ac:dyDescent="0.2">
      <c r="B47319" s="1168"/>
    </row>
    <row r="47320" spans="2:2" s="221" customFormat="1" ht="12.75" x14ac:dyDescent="0.2">
      <c r="B47320" s="1168"/>
    </row>
    <row r="47321" spans="2:2" s="221" customFormat="1" ht="12.75" x14ac:dyDescent="0.2">
      <c r="B47321" s="1168"/>
    </row>
    <row r="47322" spans="2:2" s="221" customFormat="1" ht="12.75" x14ac:dyDescent="0.2">
      <c r="B47322" s="1168"/>
    </row>
    <row r="47323" spans="2:2" s="221" customFormat="1" ht="12.75" x14ac:dyDescent="0.2">
      <c r="B47323" s="1168"/>
    </row>
    <row r="47324" spans="2:2" s="221" customFormat="1" ht="12.75" x14ac:dyDescent="0.2">
      <c r="B47324" s="1168"/>
    </row>
    <row r="47325" spans="2:2" s="221" customFormat="1" ht="12.75" x14ac:dyDescent="0.2">
      <c r="B47325" s="1168"/>
    </row>
    <row r="47326" spans="2:2" s="221" customFormat="1" ht="12.75" x14ac:dyDescent="0.2">
      <c r="B47326" s="1168"/>
    </row>
    <row r="47327" spans="2:2" s="221" customFormat="1" ht="12.75" x14ac:dyDescent="0.2">
      <c r="B47327" s="1168"/>
    </row>
    <row r="47328" spans="2:2" s="221" customFormat="1" ht="12.75" x14ac:dyDescent="0.2">
      <c r="B47328" s="1168"/>
    </row>
    <row r="47329" spans="2:2" s="221" customFormat="1" ht="12.75" x14ac:dyDescent="0.2">
      <c r="B47329" s="1168"/>
    </row>
    <row r="47330" spans="2:2" s="221" customFormat="1" ht="12.75" x14ac:dyDescent="0.2">
      <c r="B47330" s="1168"/>
    </row>
    <row r="47331" spans="2:2" s="221" customFormat="1" ht="12.75" x14ac:dyDescent="0.2">
      <c r="B47331" s="1168"/>
    </row>
    <row r="47332" spans="2:2" s="221" customFormat="1" ht="12.75" x14ac:dyDescent="0.2">
      <c r="B47332" s="1168"/>
    </row>
    <row r="47333" spans="2:2" s="221" customFormat="1" ht="12.75" x14ac:dyDescent="0.2">
      <c r="B47333" s="1168"/>
    </row>
    <row r="47334" spans="2:2" s="221" customFormat="1" ht="12.75" x14ac:dyDescent="0.2">
      <c r="B47334" s="1168"/>
    </row>
    <row r="47335" spans="2:2" s="221" customFormat="1" ht="12.75" x14ac:dyDescent="0.2">
      <c r="B47335" s="1168"/>
    </row>
    <row r="47336" spans="2:2" s="221" customFormat="1" ht="12.75" x14ac:dyDescent="0.2">
      <c r="B47336" s="1168"/>
    </row>
    <row r="47337" spans="2:2" s="221" customFormat="1" ht="12.75" x14ac:dyDescent="0.2">
      <c r="B47337" s="1168"/>
    </row>
    <row r="47338" spans="2:2" s="221" customFormat="1" ht="12.75" x14ac:dyDescent="0.2">
      <c r="B47338" s="1168"/>
    </row>
    <row r="47339" spans="2:2" s="221" customFormat="1" ht="12.75" x14ac:dyDescent="0.2">
      <c r="B47339" s="1168"/>
    </row>
    <row r="47340" spans="2:2" s="221" customFormat="1" ht="12.75" x14ac:dyDescent="0.2">
      <c r="B47340" s="1168"/>
    </row>
    <row r="47341" spans="2:2" s="221" customFormat="1" ht="12.75" x14ac:dyDescent="0.2">
      <c r="B47341" s="1168"/>
    </row>
    <row r="47342" spans="2:2" s="221" customFormat="1" ht="12.75" x14ac:dyDescent="0.2">
      <c r="B47342" s="1168"/>
    </row>
    <row r="47343" spans="2:2" s="221" customFormat="1" ht="12.75" x14ac:dyDescent="0.2">
      <c r="B47343" s="1168"/>
    </row>
    <row r="47344" spans="2:2" s="221" customFormat="1" ht="12.75" x14ac:dyDescent="0.2">
      <c r="B47344" s="1168"/>
    </row>
    <row r="47345" spans="2:2" s="221" customFormat="1" ht="12.75" x14ac:dyDescent="0.2">
      <c r="B47345" s="1168"/>
    </row>
    <row r="47346" spans="2:2" s="221" customFormat="1" ht="12.75" x14ac:dyDescent="0.2">
      <c r="B47346" s="1168"/>
    </row>
    <row r="47347" spans="2:2" s="221" customFormat="1" ht="12.75" x14ac:dyDescent="0.2">
      <c r="B47347" s="1168"/>
    </row>
    <row r="47348" spans="2:2" s="221" customFormat="1" ht="12.75" x14ac:dyDescent="0.2">
      <c r="B47348" s="1168"/>
    </row>
    <row r="47349" spans="2:2" s="221" customFormat="1" ht="12.75" x14ac:dyDescent="0.2">
      <c r="B47349" s="1168"/>
    </row>
    <row r="47350" spans="2:2" s="221" customFormat="1" ht="12.75" x14ac:dyDescent="0.2">
      <c r="B47350" s="1168"/>
    </row>
    <row r="47351" spans="2:2" s="221" customFormat="1" ht="12.75" x14ac:dyDescent="0.2">
      <c r="B47351" s="1168"/>
    </row>
    <row r="47352" spans="2:2" s="221" customFormat="1" ht="12.75" x14ac:dyDescent="0.2">
      <c r="B47352" s="1168"/>
    </row>
    <row r="47353" spans="2:2" s="221" customFormat="1" ht="12.75" x14ac:dyDescent="0.2">
      <c r="B47353" s="1168"/>
    </row>
    <row r="47354" spans="2:2" s="221" customFormat="1" ht="12.75" x14ac:dyDescent="0.2">
      <c r="B47354" s="1168"/>
    </row>
    <row r="47355" spans="2:2" s="221" customFormat="1" ht="12.75" x14ac:dyDescent="0.2">
      <c r="B47355" s="1168"/>
    </row>
    <row r="47356" spans="2:2" s="221" customFormat="1" ht="12.75" x14ac:dyDescent="0.2">
      <c r="B47356" s="1168"/>
    </row>
    <row r="47357" spans="2:2" s="221" customFormat="1" ht="12.75" x14ac:dyDescent="0.2">
      <c r="B47357" s="1168"/>
    </row>
    <row r="47358" spans="2:2" s="221" customFormat="1" ht="12.75" x14ac:dyDescent="0.2">
      <c r="B47358" s="1168"/>
    </row>
    <row r="47359" spans="2:2" s="221" customFormat="1" ht="12.75" x14ac:dyDescent="0.2">
      <c r="B47359" s="1168"/>
    </row>
    <row r="47360" spans="2:2" s="221" customFormat="1" ht="12.75" x14ac:dyDescent="0.2">
      <c r="B47360" s="1168"/>
    </row>
    <row r="47361" spans="2:2" s="221" customFormat="1" ht="12.75" x14ac:dyDescent="0.2">
      <c r="B47361" s="1168"/>
    </row>
    <row r="47362" spans="2:2" s="221" customFormat="1" ht="12.75" x14ac:dyDescent="0.2">
      <c r="B47362" s="1168"/>
    </row>
    <row r="47363" spans="2:2" s="221" customFormat="1" ht="12.75" x14ac:dyDescent="0.2">
      <c r="B47363" s="1168"/>
    </row>
    <row r="47364" spans="2:2" s="221" customFormat="1" ht="12.75" x14ac:dyDescent="0.2">
      <c r="B47364" s="1168"/>
    </row>
    <row r="47365" spans="2:2" s="221" customFormat="1" ht="12.75" x14ac:dyDescent="0.2">
      <c r="B47365" s="1168"/>
    </row>
    <row r="47366" spans="2:2" s="221" customFormat="1" ht="12.75" x14ac:dyDescent="0.2">
      <c r="B47366" s="1168"/>
    </row>
    <row r="47367" spans="2:2" s="221" customFormat="1" ht="12.75" x14ac:dyDescent="0.2">
      <c r="B47367" s="1168"/>
    </row>
    <row r="47368" spans="2:2" s="221" customFormat="1" ht="12.75" x14ac:dyDescent="0.2">
      <c r="B47368" s="1168"/>
    </row>
    <row r="47369" spans="2:2" s="221" customFormat="1" ht="12.75" x14ac:dyDescent="0.2">
      <c r="B47369" s="1168"/>
    </row>
    <row r="47370" spans="2:2" s="221" customFormat="1" ht="12.75" x14ac:dyDescent="0.2">
      <c r="B47370" s="1168"/>
    </row>
    <row r="47371" spans="2:2" s="221" customFormat="1" ht="12.75" x14ac:dyDescent="0.2">
      <c r="B47371" s="1168"/>
    </row>
    <row r="47372" spans="2:2" s="221" customFormat="1" ht="12.75" x14ac:dyDescent="0.2">
      <c r="B47372" s="1168"/>
    </row>
    <row r="47373" spans="2:2" s="221" customFormat="1" ht="12.75" x14ac:dyDescent="0.2">
      <c r="B47373" s="1168"/>
    </row>
    <row r="47374" spans="2:2" s="221" customFormat="1" ht="12.75" x14ac:dyDescent="0.2">
      <c r="B47374" s="1168"/>
    </row>
    <row r="47375" spans="2:2" s="221" customFormat="1" ht="12.75" x14ac:dyDescent="0.2">
      <c r="B47375" s="1168"/>
    </row>
    <row r="47376" spans="2:2" s="221" customFormat="1" ht="12.75" x14ac:dyDescent="0.2">
      <c r="B47376" s="1168"/>
    </row>
    <row r="47377" spans="2:2" s="221" customFormat="1" ht="12.75" x14ac:dyDescent="0.2">
      <c r="B47377" s="1168"/>
    </row>
    <row r="47378" spans="2:2" s="221" customFormat="1" ht="12.75" x14ac:dyDescent="0.2">
      <c r="B47378" s="1168"/>
    </row>
    <row r="47379" spans="2:2" s="221" customFormat="1" ht="12.75" x14ac:dyDescent="0.2">
      <c r="B47379" s="1168"/>
    </row>
    <row r="47380" spans="2:2" s="221" customFormat="1" ht="12.75" x14ac:dyDescent="0.2">
      <c r="B47380" s="1168"/>
    </row>
    <row r="47381" spans="2:2" s="221" customFormat="1" ht="12.75" x14ac:dyDescent="0.2">
      <c r="B47381" s="1168"/>
    </row>
    <row r="47382" spans="2:2" s="221" customFormat="1" ht="12.75" x14ac:dyDescent="0.2">
      <c r="B47382" s="1168"/>
    </row>
    <row r="47383" spans="2:2" s="221" customFormat="1" ht="12.75" x14ac:dyDescent="0.2">
      <c r="B47383" s="1168"/>
    </row>
    <row r="47384" spans="2:2" s="221" customFormat="1" ht="12.75" x14ac:dyDescent="0.2">
      <c r="B47384" s="1168"/>
    </row>
    <row r="47385" spans="2:2" s="221" customFormat="1" ht="12.75" x14ac:dyDescent="0.2">
      <c r="B47385" s="1168"/>
    </row>
    <row r="47386" spans="2:2" s="221" customFormat="1" ht="12.75" x14ac:dyDescent="0.2">
      <c r="B47386" s="1168"/>
    </row>
    <row r="47387" spans="2:2" s="221" customFormat="1" ht="12.75" x14ac:dyDescent="0.2">
      <c r="B47387" s="1168"/>
    </row>
    <row r="47388" spans="2:2" s="221" customFormat="1" ht="12.75" x14ac:dyDescent="0.2">
      <c r="B47388" s="1168"/>
    </row>
    <row r="47389" spans="2:2" s="221" customFormat="1" ht="12.75" x14ac:dyDescent="0.2">
      <c r="B47389" s="1168"/>
    </row>
    <row r="47390" spans="2:2" s="221" customFormat="1" ht="12.75" x14ac:dyDescent="0.2">
      <c r="B47390" s="1168"/>
    </row>
    <row r="47391" spans="2:2" s="221" customFormat="1" ht="12.75" x14ac:dyDescent="0.2">
      <c r="B47391" s="1168"/>
    </row>
    <row r="47392" spans="2:2" s="221" customFormat="1" ht="12.75" x14ac:dyDescent="0.2">
      <c r="B47392" s="1168"/>
    </row>
    <row r="47393" spans="2:2" s="221" customFormat="1" ht="12.75" x14ac:dyDescent="0.2">
      <c r="B47393" s="1168"/>
    </row>
    <row r="47394" spans="2:2" s="221" customFormat="1" ht="12.75" x14ac:dyDescent="0.2">
      <c r="B47394" s="1168"/>
    </row>
    <row r="47395" spans="2:2" s="221" customFormat="1" ht="12.75" x14ac:dyDescent="0.2">
      <c r="B47395" s="1168"/>
    </row>
    <row r="47396" spans="2:2" s="221" customFormat="1" ht="12.75" x14ac:dyDescent="0.2">
      <c r="B47396" s="1168"/>
    </row>
    <row r="47397" spans="2:2" s="221" customFormat="1" ht="12.75" x14ac:dyDescent="0.2">
      <c r="B47397" s="1168"/>
    </row>
    <row r="47398" spans="2:2" s="221" customFormat="1" ht="12.75" x14ac:dyDescent="0.2">
      <c r="B47398" s="1168"/>
    </row>
    <row r="47399" spans="2:2" s="221" customFormat="1" ht="12.75" x14ac:dyDescent="0.2">
      <c r="B47399" s="1168"/>
    </row>
    <row r="47400" spans="2:2" s="221" customFormat="1" ht="12.75" x14ac:dyDescent="0.2">
      <c r="B47400" s="1168"/>
    </row>
    <row r="47401" spans="2:2" s="221" customFormat="1" ht="12.75" x14ac:dyDescent="0.2">
      <c r="B47401" s="1168"/>
    </row>
    <row r="47402" spans="2:2" s="221" customFormat="1" ht="12.75" x14ac:dyDescent="0.2">
      <c r="B47402" s="1168"/>
    </row>
    <row r="47403" spans="2:2" s="221" customFormat="1" ht="12.75" x14ac:dyDescent="0.2">
      <c r="B47403" s="1168"/>
    </row>
    <row r="47404" spans="2:2" s="221" customFormat="1" ht="12.75" x14ac:dyDescent="0.2">
      <c r="B47404" s="1168"/>
    </row>
    <row r="47405" spans="2:2" s="221" customFormat="1" ht="12.75" x14ac:dyDescent="0.2">
      <c r="B47405" s="1168"/>
    </row>
    <row r="47406" spans="2:2" s="221" customFormat="1" ht="12.75" x14ac:dyDescent="0.2">
      <c r="B47406" s="1168"/>
    </row>
    <row r="47407" spans="2:2" s="221" customFormat="1" ht="12.75" x14ac:dyDescent="0.2">
      <c r="B47407" s="1168"/>
    </row>
    <row r="47408" spans="2:2" s="221" customFormat="1" ht="12.75" x14ac:dyDescent="0.2">
      <c r="B47408" s="1168"/>
    </row>
    <row r="47409" spans="2:2" s="221" customFormat="1" ht="12.75" x14ac:dyDescent="0.2">
      <c r="B47409" s="1168"/>
    </row>
    <row r="47410" spans="2:2" s="221" customFormat="1" ht="12.75" x14ac:dyDescent="0.2">
      <c r="B47410" s="1168"/>
    </row>
    <row r="47411" spans="2:2" s="221" customFormat="1" ht="12.75" x14ac:dyDescent="0.2">
      <c r="B47411" s="1168"/>
    </row>
    <row r="47412" spans="2:2" s="221" customFormat="1" ht="12.75" x14ac:dyDescent="0.2">
      <c r="B47412" s="1168"/>
    </row>
    <row r="47413" spans="2:2" s="221" customFormat="1" ht="12.75" x14ac:dyDescent="0.2">
      <c r="B47413" s="1168"/>
    </row>
    <row r="47414" spans="2:2" s="221" customFormat="1" ht="12.75" x14ac:dyDescent="0.2">
      <c r="B47414" s="1168"/>
    </row>
    <row r="47415" spans="2:2" s="221" customFormat="1" ht="12.75" x14ac:dyDescent="0.2">
      <c r="B47415" s="1168"/>
    </row>
    <row r="47416" spans="2:2" s="221" customFormat="1" ht="12.75" x14ac:dyDescent="0.2">
      <c r="B47416" s="1168"/>
    </row>
    <row r="47417" spans="2:2" s="221" customFormat="1" ht="12.75" x14ac:dyDescent="0.2">
      <c r="B47417" s="1168"/>
    </row>
    <row r="47418" spans="2:2" s="221" customFormat="1" ht="12.75" x14ac:dyDescent="0.2">
      <c r="B47418" s="1168"/>
    </row>
    <row r="47419" spans="2:2" s="221" customFormat="1" ht="12.75" x14ac:dyDescent="0.2">
      <c r="B47419" s="1168"/>
    </row>
    <row r="47420" spans="2:2" s="221" customFormat="1" ht="12.75" x14ac:dyDescent="0.2">
      <c r="B47420" s="1168"/>
    </row>
    <row r="47421" spans="2:2" s="221" customFormat="1" ht="12.75" x14ac:dyDescent="0.2">
      <c r="B47421" s="1168"/>
    </row>
    <row r="47422" spans="2:2" s="221" customFormat="1" ht="12.75" x14ac:dyDescent="0.2">
      <c r="B47422" s="1168"/>
    </row>
    <row r="47423" spans="2:2" s="221" customFormat="1" ht="12.75" x14ac:dyDescent="0.2">
      <c r="B47423" s="1168"/>
    </row>
    <row r="47424" spans="2:2" s="221" customFormat="1" ht="12.75" x14ac:dyDescent="0.2">
      <c r="B47424" s="1168"/>
    </row>
    <row r="47425" spans="2:2" s="221" customFormat="1" ht="12.75" x14ac:dyDescent="0.2">
      <c r="B47425" s="1168"/>
    </row>
    <row r="47426" spans="2:2" s="221" customFormat="1" ht="12.75" x14ac:dyDescent="0.2">
      <c r="B47426" s="1168"/>
    </row>
    <row r="47427" spans="2:2" s="221" customFormat="1" ht="12.75" x14ac:dyDescent="0.2">
      <c r="B47427" s="1168"/>
    </row>
    <row r="47428" spans="2:2" s="221" customFormat="1" ht="12.75" x14ac:dyDescent="0.2">
      <c r="B47428" s="1168"/>
    </row>
    <row r="47429" spans="2:2" s="221" customFormat="1" ht="12.75" x14ac:dyDescent="0.2">
      <c r="B47429" s="1168"/>
    </row>
    <row r="47430" spans="2:2" s="221" customFormat="1" ht="12.75" x14ac:dyDescent="0.2">
      <c r="B47430" s="1168"/>
    </row>
    <row r="47431" spans="2:2" s="221" customFormat="1" ht="12.75" x14ac:dyDescent="0.2">
      <c r="B47431" s="1168"/>
    </row>
    <row r="47432" spans="2:2" s="221" customFormat="1" ht="12.75" x14ac:dyDescent="0.2">
      <c r="B47432" s="1168"/>
    </row>
    <row r="47433" spans="2:2" s="221" customFormat="1" ht="12.75" x14ac:dyDescent="0.2">
      <c r="B47433" s="1168"/>
    </row>
    <row r="47434" spans="2:2" s="221" customFormat="1" ht="12.75" x14ac:dyDescent="0.2">
      <c r="B47434" s="1168"/>
    </row>
    <row r="47435" spans="2:2" s="221" customFormat="1" ht="12.75" x14ac:dyDescent="0.2">
      <c r="B47435" s="1168"/>
    </row>
    <row r="47436" spans="2:2" s="221" customFormat="1" ht="12.75" x14ac:dyDescent="0.2">
      <c r="B47436" s="1168"/>
    </row>
    <row r="47437" spans="2:2" s="221" customFormat="1" ht="12.75" x14ac:dyDescent="0.2">
      <c r="B47437" s="1168"/>
    </row>
    <row r="47438" spans="2:2" s="221" customFormat="1" ht="12.75" x14ac:dyDescent="0.2">
      <c r="B47438" s="1168"/>
    </row>
    <row r="47439" spans="2:2" s="221" customFormat="1" ht="12.75" x14ac:dyDescent="0.2">
      <c r="B47439" s="1168"/>
    </row>
    <row r="47440" spans="2:2" s="221" customFormat="1" ht="12.75" x14ac:dyDescent="0.2">
      <c r="B47440" s="1168"/>
    </row>
    <row r="47441" spans="2:2" s="221" customFormat="1" ht="12.75" x14ac:dyDescent="0.2">
      <c r="B47441" s="1168"/>
    </row>
    <row r="47442" spans="2:2" s="221" customFormat="1" ht="12.75" x14ac:dyDescent="0.2">
      <c r="B47442" s="1168"/>
    </row>
    <row r="47443" spans="2:2" s="221" customFormat="1" ht="12.75" x14ac:dyDescent="0.2">
      <c r="B47443" s="1168"/>
    </row>
    <row r="47444" spans="2:2" s="221" customFormat="1" ht="12.75" x14ac:dyDescent="0.2">
      <c r="B47444" s="1168"/>
    </row>
    <row r="47445" spans="2:2" s="221" customFormat="1" ht="12.75" x14ac:dyDescent="0.2">
      <c r="B47445" s="1168"/>
    </row>
    <row r="47446" spans="2:2" s="221" customFormat="1" ht="12.75" x14ac:dyDescent="0.2">
      <c r="B47446" s="1168"/>
    </row>
    <row r="47447" spans="2:2" s="221" customFormat="1" ht="12.75" x14ac:dyDescent="0.2">
      <c r="B47447" s="1168"/>
    </row>
    <row r="47448" spans="2:2" s="221" customFormat="1" ht="12.75" x14ac:dyDescent="0.2">
      <c r="B47448" s="1168"/>
    </row>
    <row r="47449" spans="2:2" s="221" customFormat="1" ht="12.75" x14ac:dyDescent="0.2">
      <c r="B47449" s="1168"/>
    </row>
    <row r="47450" spans="2:2" s="221" customFormat="1" ht="12.75" x14ac:dyDescent="0.2">
      <c r="B47450" s="1168"/>
    </row>
    <row r="47451" spans="2:2" s="221" customFormat="1" ht="12.75" x14ac:dyDescent="0.2">
      <c r="B47451" s="1168"/>
    </row>
    <row r="47452" spans="2:2" s="221" customFormat="1" ht="12.75" x14ac:dyDescent="0.2">
      <c r="B47452" s="1168"/>
    </row>
    <row r="47453" spans="2:2" s="221" customFormat="1" ht="12.75" x14ac:dyDescent="0.2">
      <c r="B47453" s="1168"/>
    </row>
    <row r="47454" spans="2:2" s="221" customFormat="1" ht="12.75" x14ac:dyDescent="0.2">
      <c r="B47454" s="1168"/>
    </row>
    <row r="47455" spans="2:2" s="221" customFormat="1" ht="12.75" x14ac:dyDescent="0.2">
      <c r="B47455" s="1168"/>
    </row>
    <row r="47456" spans="2:2" s="221" customFormat="1" ht="12.75" x14ac:dyDescent="0.2">
      <c r="B47456" s="1168"/>
    </row>
    <row r="47457" spans="2:2" s="221" customFormat="1" ht="12.75" x14ac:dyDescent="0.2">
      <c r="B47457" s="1168"/>
    </row>
    <row r="47458" spans="2:2" s="221" customFormat="1" ht="12.75" x14ac:dyDescent="0.2">
      <c r="B47458" s="1168"/>
    </row>
    <row r="47459" spans="2:2" s="221" customFormat="1" ht="12.75" x14ac:dyDescent="0.2">
      <c r="B47459" s="1168"/>
    </row>
    <row r="47460" spans="2:2" s="221" customFormat="1" ht="12.75" x14ac:dyDescent="0.2">
      <c r="B47460" s="1168"/>
    </row>
    <row r="47461" spans="2:2" s="221" customFormat="1" ht="12.75" x14ac:dyDescent="0.2">
      <c r="B47461" s="1168"/>
    </row>
    <row r="47462" spans="2:2" s="221" customFormat="1" ht="12.75" x14ac:dyDescent="0.2">
      <c r="B47462" s="1168"/>
    </row>
    <row r="47463" spans="2:2" s="221" customFormat="1" ht="12.75" x14ac:dyDescent="0.2">
      <c r="B47463" s="1168"/>
    </row>
    <row r="47464" spans="2:2" s="221" customFormat="1" ht="12.75" x14ac:dyDescent="0.2">
      <c r="B47464" s="1168"/>
    </row>
    <row r="47465" spans="2:2" s="221" customFormat="1" ht="12.75" x14ac:dyDescent="0.2">
      <c r="B47465" s="1168"/>
    </row>
    <row r="47466" spans="2:2" s="221" customFormat="1" ht="12.75" x14ac:dyDescent="0.2">
      <c r="B47466" s="1168"/>
    </row>
    <row r="47467" spans="2:2" s="221" customFormat="1" ht="12.75" x14ac:dyDescent="0.2">
      <c r="B47467" s="1168"/>
    </row>
    <row r="47468" spans="2:2" s="221" customFormat="1" ht="12.75" x14ac:dyDescent="0.2">
      <c r="B47468" s="1168"/>
    </row>
    <row r="47469" spans="2:2" s="221" customFormat="1" ht="12.75" x14ac:dyDescent="0.2">
      <c r="B47469" s="1168"/>
    </row>
    <row r="47470" spans="2:2" s="221" customFormat="1" ht="12.75" x14ac:dyDescent="0.2">
      <c r="B47470" s="1168"/>
    </row>
    <row r="47471" spans="2:2" s="221" customFormat="1" ht="12.75" x14ac:dyDescent="0.2">
      <c r="B47471" s="1168"/>
    </row>
    <row r="47472" spans="2:2" s="221" customFormat="1" ht="12.75" x14ac:dyDescent="0.2">
      <c r="B47472" s="1168"/>
    </row>
    <row r="47473" spans="2:2" s="221" customFormat="1" ht="12.75" x14ac:dyDescent="0.2">
      <c r="B47473" s="1168"/>
    </row>
    <row r="47474" spans="2:2" s="221" customFormat="1" ht="12.75" x14ac:dyDescent="0.2">
      <c r="B47474" s="1168"/>
    </row>
    <row r="47475" spans="2:2" s="221" customFormat="1" ht="12.75" x14ac:dyDescent="0.2">
      <c r="B47475" s="1168"/>
    </row>
    <row r="47476" spans="2:2" s="221" customFormat="1" ht="12.75" x14ac:dyDescent="0.2">
      <c r="B47476" s="1168"/>
    </row>
    <row r="47477" spans="2:2" s="221" customFormat="1" ht="12.75" x14ac:dyDescent="0.2">
      <c r="B47477" s="1168"/>
    </row>
    <row r="47478" spans="2:2" s="221" customFormat="1" ht="12.75" x14ac:dyDescent="0.2">
      <c r="B47478" s="1168"/>
    </row>
    <row r="47479" spans="2:2" s="221" customFormat="1" ht="12.75" x14ac:dyDescent="0.2">
      <c r="B47479" s="1168"/>
    </row>
    <row r="47480" spans="2:2" s="221" customFormat="1" ht="12.75" x14ac:dyDescent="0.2">
      <c r="B47480" s="1168"/>
    </row>
    <row r="47481" spans="2:2" s="221" customFormat="1" ht="12.75" x14ac:dyDescent="0.2">
      <c r="B47481" s="1168"/>
    </row>
    <row r="47482" spans="2:2" s="221" customFormat="1" ht="12.75" x14ac:dyDescent="0.2">
      <c r="B47482" s="1168"/>
    </row>
    <row r="47483" spans="2:2" s="221" customFormat="1" ht="12.75" x14ac:dyDescent="0.2">
      <c r="B47483" s="1168"/>
    </row>
    <row r="47484" spans="2:2" s="221" customFormat="1" ht="12.75" x14ac:dyDescent="0.2">
      <c r="B47484" s="1168"/>
    </row>
    <row r="47485" spans="2:2" s="221" customFormat="1" ht="12.75" x14ac:dyDescent="0.2">
      <c r="B47485" s="1168"/>
    </row>
    <row r="47486" spans="2:2" s="221" customFormat="1" ht="12.75" x14ac:dyDescent="0.2">
      <c r="B47486" s="1168"/>
    </row>
    <row r="47487" spans="2:2" s="221" customFormat="1" ht="12.75" x14ac:dyDescent="0.2">
      <c r="B47487" s="1168"/>
    </row>
    <row r="47488" spans="2:2" s="221" customFormat="1" ht="12.75" x14ac:dyDescent="0.2">
      <c r="B47488" s="1168"/>
    </row>
    <row r="47489" spans="2:2" s="221" customFormat="1" ht="12.75" x14ac:dyDescent="0.2">
      <c r="B47489" s="1168"/>
    </row>
    <row r="47490" spans="2:2" s="221" customFormat="1" ht="12.75" x14ac:dyDescent="0.2">
      <c r="B47490" s="1168"/>
    </row>
    <row r="47491" spans="2:2" s="221" customFormat="1" ht="12.75" x14ac:dyDescent="0.2">
      <c r="B47491" s="1168"/>
    </row>
    <row r="47492" spans="2:2" s="221" customFormat="1" ht="12.75" x14ac:dyDescent="0.2">
      <c r="B47492" s="1168"/>
    </row>
    <row r="47493" spans="2:2" s="221" customFormat="1" ht="12.75" x14ac:dyDescent="0.2">
      <c r="B47493" s="1168"/>
    </row>
    <row r="47494" spans="2:2" s="221" customFormat="1" ht="12.75" x14ac:dyDescent="0.2">
      <c r="B47494" s="1168"/>
    </row>
    <row r="47495" spans="2:2" s="221" customFormat="1" ht="12.75" x14ac:dyDescent="0.2">
      <c r="B47495" s="1168"/>
    </row>
    <row r="47496" spans="2:2" s="221" customFormat="1" ht="12.75" x14ac:dyDescent="0.2">
      <c r="B47496" s="1168"/>
    </row>
    <row r="47497" spans="2:2" s="221" customFormat="1" ht="12.75" x14ac:dyDescent="0.2">
      <c r="B47497" s="1168"/>
    </row>
    <row r="47498" spans="2:2" s="221" customFormat="1" ht="12.75" x14ac:dyDescent="0.2">
      <c r="B47498" s="1168"/>
    </row>
    <row r="47499" spans="2:2" s="221" customFormat="1" ht="12.75" x14ac:dyDescent="0.2">
      <c r="B47499" s="1168"/>
    </row>
    <row r="47500" spans="2:2" s="221" customFormat="1" ht="12.75" x14ac:dyDescent="0.2">
      <c r="B47500" s="1168"/>
    </row>
    <row r="47501" spans="2:2" s="221" customFormat="1" ht="12.75" x14ac:dyDescent="0.2">
      <c r="B47501" s="1168"/>
    </row>
    <row r="47502" spans="2:2" s="221" customFormat="1" ht="12.75" x14ac:dyDescent="0.2">
      <c r="B47502" s="1168"/>
    </row>
    <row r="47503" spans="2:2" s="221" customFormat="1" ht="12.75" x14ac:dyDescent="0.2">
      <c r="B47503" s="1168"/>
    </row>
    <row r="47504" spans="2:2" s="221" customFormat="1" ht="12.75" x14ac:dyDescent="0.2">
      <c r="B47504" s="1168"/>
    </row>
    <row r="47505" spans="2:2" s="221" customFormat="1" ht="12.75" x14ac:dyDescent="0.2">
      <c r="B47505" s="1168"/>
    </row>
    <row r="47506" spans="2:2" s="221" customFormat="1" ht="12.75" x14ac:dyDescent="0.2">
      <c r="B47506" s="1168"/>
    </row>
    <row r="47507" spans="2:2" s="221" customFormat="1" ht="12.75" x14ac:dyDescent="0.2">
      <c r="B47507" s="1168"/>
    </row>
    <row r="47508" spans="2:2" s="221" customFormat="1" ht="12.75" x14ac:dyDescent="0.2">
      <c r="B47508" s="1168"/>
    </row>
    <row r="47509" spans="2:2" s="221" customFormat="1" ht="12.75" x14ac:dyDescent="0.2">
      <c r="B47509" s="1168"/>
    </row>
    <row r="47510" spans="2:2" s="221" customFormat="1" ht="12.75" x14ac:dyDescent="0.2">
      <c r="B47510" s="1168"/>
    </row>
    <row r="47511" spans="2:2" s="221" customFormat="1" ht="12.75" x14ac:dyDescent="0.2">
      <c r="B47511" s="1168"/>
    </row>
    <row r="47512" spans="2:2" s="221" customFormat="1" ht="12.75" x14ac:dyDescent="0.2">
      <c r="B47512" s="1168"/>
    </row>
    <row r="47513" spans="2:2" s="221" customFormat="1" ht="12.75" x14ac:dyDescent="0.2">
      <c r="B47513" s="1168"/>
    </row>
    <row r="47514" spans="2:2" s="221" customFormat="1" ht="12.75" x14ac:dyDescent="0.2">
      <c r="B47514" s="1168"/>
    </row>
    <row r="47515" spans="2:2" s="221" customFormat="1" ht="12.75" x14ac:dyDescent="0.2">
      <c r="B47515" s="1168"/>
    </row>
    <row r="47516" spans="2:2" s="221" customFormat="1" ht="12.75" x14ac:dyDescent="0.2">
      <c r="B47516" s="1168"/>
    </row>
    <row r="47517" spans="2:2" s="221" customFormat="1" ht="12.75" x14ac:dyDescent="0.2">
      <c r="B47517" s="1168"/>
    </row>
    <row r="47518" spans="2:2" s="221" customFormat="1" ht="12.75" x14ac:dyDescent="0.2">
      <c r="B47518" s="1168"/>
    </row>
    <row r="47519" spans="2:2" s="221" customFormat="1" ht="12.75" x14ac:dyDescent="0.2">
      <c r="B47519" s="1168"/>
    </row>
    <row r="47520" spans="2:2" s="221" customFormat="1" ht="12.75" x14ac:dyDescent="0.2">
      <c r="B47520" s="1168"/>
    </row>
    <row r="47521" spans="2:2" s="221" customFormat="1" ht="12.75" x14ac:dyDescent="0.2">
      <c r="B47521" s="1168"/>
    </row>
    <row r="47522" spans="2:2" s="221" customFormat="1" ht="12.75" x14ac:dyDescent="0.2">
      <c r="B47522" s="1168"/>
    </row>
    <row r="47523" spans="2:2" s="221" customFormat="1" ht="12.75" x14ac:dyDescent="0.2">
      <c r="B47523" s="1168"/>
    </row>
    <row r="47524" spans="2:2" s="221" customFormat="1" ht="12.75" x14ac:dyDescent="0.2">
      <c r="B47524" s="1168"/>
    </row>
    <row r="47525" spans="2:2" s="221" customFormat="1" ht="12.75" x14ac:dyDescent="0.2">
      <c r="B47525" s="1168"/>
    </row>
    <row r="47526" spans="2:2" s="221" customFormat="1" ht="12.75" x14ac:dyDescent="0.2">
      <c r="B47526" s="1168"/>
    </row>
    <row r="47527" spans="2:2" s="221" customFormat="1" ht="12.75" x14ac:dyDescent="0.2">
      <c r="B47527" s="1168"/>
    </row>
    <row r="47528" spans="2:2" s="221" customFormat="1" ht="12.75" x14ac:dyDescent="0.2">
      <c r="B47528" s="1168"/>
    </row>
    <row r="47529" spans="2:2" s="221" customFormat="1" ht="12.75" x14ac:dyDescent="0.2">
      <c r="B47529" s="1168"/>
    </row>
    <row r="47530" spans="2:2" s="221" customFormat="1" ht="12.75" x14ac:dyDescent="0.2">
      <c r="B47530" s="1168"/>
    </row>
    <row r="47531" spans="2:2" s="221" customFormat="1" ht="12.75" x14ac:dyDescent="0.2">
      <c r="B47531" s="1168"/>
    </row>
    <row r="47532" spans="2:2" s="221" customFormat="1" ht="12.75" x14ac:dyDescent="0.2">
      <c r="B47532" s="1168"/>
    </row>
    <row r="47533" spans="2:2" s="221" customFormat="1" ht="12.75" x14ac:dyDescent="0.2">
      <c r="B47533" s="1168"/>
    </row>
    <row r="47534" spans="2:2" s="221" customFormat="1" ht="12.75" x14ac:dyDescent="0.2">
      <c r="B47534" s="1168"/>
    </row>
    <row r="47535" spans="2:2" s="221" customFormat="1" ht="12.75" x14ac:dyDescent="0.2">
      <c r="B47535" s="1168"/>
    </row>
    <row r="47536" spans="2:2" s="221" customFormat="1" ht="12.75" x14ac:dyDescent="0.2">
      <c r="B47536" s="1168"/>
    </row>
    <row r="47537" spans="2:2" s="221" customFormat="1" ht="12.75" x14ac:dyDescent="0.2">
      <c r="B47537" s="1168"/>
    </row>
    <row r="47538" spans="2:2" s="221" customFormat="1" ht="12.75" x14ac:dyDescent="0.2">
      <c r="B47538" s="1168"/>
    </row>
    <row r="47539" spans="2:2" s="221" customFormat="1" ht="12.75" x14ac:dyDescent="0.2">
      <c r="B47539" s="1168"/>
    </row>
    <row r="47540" spans="2:2" s="221" customFormat="1" ht="12.75" x14ac:dyDescent="0.2">
      <c r="B47540" s="1168"/>
    </row>
    <row r="47541" spans="2:2" s="221" customFormat="1" ht="12.75" x14ac:dyDescent="0.2">
      <c r="B47541" s="1168"/>
    </row>
    <row r="47542" spans="2:2" s="221" customFormat="1" ht="12.75" x14ac:dyDescent="0.2">
      <c r="B47542" s="1168"/>
    </row>
    <row r="47543" spans="2:2" s="221" customFormat="1" ht="12.75" x14ac:dyDescent="0.2">
      <c r="B47543" s="1168"/>
    </row>
    <row r="47544" spans="2:2" s="221" customFormat="1" ht="12.75" x14ac:dyDescent="0.2">
      <c r="B47544" s="1168"/>
    </row>
    <row r="47545" spans="2:2" s="221" customFormat="1" ht="12.75" x14ac:dyDescent="0.2">
      <c r="B47545" s="1168"/>
    </row>
    <row r="47546" spans="2:2" s="221" customFormat="1" ht="12.75" x14ac:dyDescent="0.2">
      <c r="B47546" s="1168"/>
    </row>
    <row r="47547" spans="2:2" s="221" customFormat="1" ht="12.75" x14ac:dyDescent="0.2">
      <c r="B47547" s="1168"/>
    </row>
    <row r="47548" spans="2:2" s="221" customFormat="1" ht="12.75" x14ac:dyDescent="0.2">
      <c r="B47548" s="1168"/>
    </row>
    <row r="47549" spans="2:2" s="221" customFormat="1" ht="12.75" x14ac:dyDescent="0.2">
      <c r="B47549" s="1168"/>
    </row>
    <row r="47550" spans="2:2" s="221" customFormat="1" ht="12.75" x14ac:dyDescent="0.2">
      <c r="B47550" s="1168"/>
    </row>
    <row r="47551" spans="2:2" s="221" customFormat="1" ht="12.75" x14ac:dyDescent="0.2">
      <c r="B47551" s="1168"/>
    </row>
    <row r="47552" spans="2:2" s="221" customFormat="1" ht="12.75" x14ac:dyDescent="0.2">
      <c r="B47552" s="1168"/>
    </row>
    <row r="47553" spans="2:2" s="221" customFormat="1" ht="12.75" x14ac:dyDescent="0.2">
      <c r="B47553" s="1168"/>
    </row>
    <row r="47554" spans="2:2" s="221" customFormat="1" ht="12.75" x14ac:dyDescent="0.2">
      <c r="B47554" s="1168"/>
    </row>
    <row r="47555" spans="2:2" s="221" customFormat="1" ht="12.75" x14ac:dyDescent="0.2">
      <c r="B47555" s="1168"/>
    </row>
    <row r="47556" spans="2:2" s="221" customFormat="1" ht="12.75" x14ac:dyDescent="0.2">
      <c r="B47556" s="1168"/>
    </row>
    <row r="47557" spans="2:2" s="221" customFormat="1" ht="12.75" x14ac:dyDescent="0.2">
      <c r="B47557" s="1168"/>
    </row>
    <row r="47558" spans="2:2" s="221" customFormat="1" ht="12.75" x14ac:dyDescent="0.2">
      <c r="B47558" s="1168"/>
    </row>
    <row r="47559" spans="2:2" s="221" customFormat="1" ht="12.75" x14ac:dyDescent="0.2">
      <c r="B47559" s="1168"/>
    </row>
    <row r="47560" spans="2:2" s="221" customFormat="1" ht="12.75" x14ac:dyDescent="0.2">
      <c r="B47560" s="1168"/>
    </row>
    <row r="47561" spans="2:2" s="221" customFormat="1" ht="12.75" x14ac:dyDescent="0.2">
      <c r="B47561" s="1168"/>
    </row>
    <row r="47562" spans="2:2" s="221" customFormat="1" ht="12.75" x14ac:dyDescent="0.2">
      <c r="B47562" s="1168"/>
    </row>
    <row r="47563" spans="2:2" s="221" customFormat="1" ht="12.75" x14ac:dyDescent="0.2">
      <c r="B47563" s="1168"/>
    </row>
    <row r="47564" spans="2:2" s="221" customFormat="1" ht="12.75" x14ac:dyDescent="0.2">
      <c r="B47564" s="1168"/>
    </row>
    <row r="47565" spans="2:2" s="221" customFormat="1" ht="12.75" x14ac:dyDescent="0.2">
      <c r="B47565" s="1168"/>
    </row>
    <row r="47566" spans="2:2" s="221" customFormat="1" ht="12.75" x14ac:dyDescent="0.2">
      <c r="B47566" s="1168"/>
    </row>
    <row r="47567" spans="2:2" s="221" customFormat="1" ht="12.75" x14ac:dyDescent="0.2">
      <c r="B47567" s="1168"/>
    </row>
    <row r="47568" spans="2:2" s="221" customFormat="1" ht="12.75" x14ac:dyDescent="0.2">
      <c r="B47568" s="1168"/>
    </row>
    <row r="47569" spans="2:2" s="221" customFormat="1" ht="12.75" x14ac:dyDescent="0.2">
      <c r="B47569" s="1168"/>
    </row>
    <row r="47570" spans="2:2" s="221" customFormat="1" ht="12.75" x14ac:dyDescent="0.2">
      <c r="B47570" s="1168"/>
    </row>
    <row r="47571" spans="2:2" s="221" customFormat="1" ht="12.75" x14ac:dyDescent="0.2">
      <c r="B47571" s="1168"/>
    </row>
    <row r="47572" spans="2:2" s="221" customFormat="1" ht="12.75" x14ac:dyDescent="0.2">
      <c r="B47572" s="1168"/>
    </row>
    <row r="47573" spans="2:2" s="221" customFormat="1" ht="12.75" x14ac:dyDescent="0.2">
      <c r="B47573" s="1168"/>
    </row>
    <row r="47574" spans="2:2" s="221" customFormat="1" ht="12.75" x14ac:dyDescent="0.2">
      <c r="B47574" s="1168"/>
    </row>
    <row r="47575" spans="2:2" s="221" customFormat="1" ht="12.75" x14ac:dyDescent="0.2">
      <c r="B47575" s="1168"/>
    </row>
    <row r="47576" spans="2:2" s="221" customFormat="1" ht="12.75" x14ac:dyDescent="0.2">
      <c r="B47576" s="1168"/>
    </row>
    <row r="47577" spans="2:2" s="221" customFormat="1" ht="12.75" x14ac:dyDescent="0.2">
      <c r="B47577" s="1168"/>
    </row>
    <row r="47578" spans="2:2" s="221" customFormat="1" ht="12.75" x14ac:dyDescent="0.2">
      <c r="B47578" s="1168"/>
    </row>
    <row r="47579" spans="2:2" s="221" customFormat="1" ht="12.75" x14ac:dyDescent="0.2">
      <c r="B47579" s="1168"/>
    </row>
    <row r="47580" spans="2:2" s="221" customFormat="1" ht="12.75" x14ac:dyDescent="0.2">
      <c r="B47580" s="1168"/>
    </row>
    <row r="47581" spans="2:2" s="221" customFormat="1" ht="12.75" x14ac:dyDescent="0.2">
      <c r="B47581" s="1168"/>
    </row>
    <row r="47582" spans="2:2" s="221" customFormat="1" ht="12.75" x14ac:dyDescent="0.2">
      <c r="B47582" s="1168"/>
    </row>
    <row r="47583" spans="2:2" s="221" customFormat="1" ht="12.75" x14ac:dyDescent="0.2">
      <c r="B47583" s="1168"/>
    </row>
    <row r="47584" spans="2:2" s="221" customFormat="1" ht="12.75" x14ac:dyDescent="0.2">
      <c r="B47584" s="1168"/>
    </row>
    <row r="47585" spans="2:2" s="221" customFormat="1" ht="12.75" x14ac:dyDescent="0.2">
      <c r="B47585" s="1168"/>
    </row>
    <row r="47586" spans="2:2" s="221" customFormat="1" ht="12.75" x14ac:dyDescent="0.2">
      <c r="B47586" s="1168"/>
    </row>
    <row r="47587" spans="2:2" s="221" customFormat="1" ht="12.75" x14ac:dyDescent="0.2">
      <c r="B47587" s="1168"/>
    </row>
    <row r="47588" spans="2:2" s="221" customFormat="1" ht="12.75" x14ac:dyDescent="0.2">
      <c r="B47588" s="1168"/>
    </row>
    <row r="47589" spans="2:2" s="221" customFormat="1" ht="12.75" x14ac:dyDescent="0.2">
      <c r="B47589" s="1168"/>
    </row>
    <row r="47590" spans="2:2" s="221" customFormat="1" ht="12.75" x14ac:dyDescent="0.2">
      <c r="B47590" s="1168"/>
    </row>
    <row r="47591" spans="2:2" s="221" customFormat="1" ht="12.75" x14ac:dyDescent="0.2">
      <c r="B47591" s="1168"/>
    </row>
    <row r="47592" spans="2:2" s="221" customFormat="1" ht="12.75" x14ac:dyDescent="0.2">
      <c r="B47592" s="1168"/>
    </row>
    <row r="47593" spans="2:2" s="221" customFormat="1" ht="12.75" x14ac:dyDescent="0.2">
      <c r="B47593" s="1168"/>
    </row>
    <row r="47594" spans="2:2" s="221" customFormat="1" ht="12.75" x14ac:dyDescent="0.2">
      <c r="B47594" s="1168"/>
    </row>
    <row r="47595" spans="2:2" s="221" customFormat="1" ht="12.75" x14ac:dyDescent="0.2">
      <c r="B47595" s="1168"/>
    </row>
    <row r="47596" spans="2:2" s="221" customFormat="1" ht="12.75" x14ac:dyDescent="0.2">
      <c r="B47596" s="1168"/>
    </row>
    <row r="47597" spans="2:2" s="221" customFormat="1" ht="12.75" x14ac:dyDescent="0.2">
      <c r="B47597" s="1168"/>
    </row>
    <row r="47598" spans="2:2" s="221" customFormat="1" ht="12.75" x14ac:dyDescent="0.2">
      <c r="B47598" s="1168"/>
    </row>
    <row r="47599" spans="2:2" s="221" customFormat="1" ht="12.75" x14ac:dyDescent="0.2">
      <c r="B47599" s="1168"/>
    </row>
    <row r="47600" spans="2:2" s="221" customFormat="1" ht="12.75" x14ac:dyDescent="0.2">
      <c r="B47600" s="1168"/>
    </row>
    <row r="47601" spans="2:2" s="221" customFormat="1" ht="12.75" x14ac:dyDescent="0.2">
      <c r="B47601" s="1168"/>
    </row>
    <row r="47602" spans="2:2" s="221" customFormat="1" ht="12.75" x14ac:dyDescent="0.2">
      <c r="B47602" s="1168"/>
    </row>
    <row r="47603" spans="2:2" s="221" customFormat="1" ht="12.75" x14ac:dyDescent="0.2">
      <c r="B47603" s="1168"/>
    </row>
    <row r="47604" spans="2:2" s="221" customFormat="1" ht="12.75" x14ac:dyDescent="0.2">
      <c r="B47604" s="1168"/>
    </row>
    <row r="47605" spans="2:2" s="221" customFormat="1" ht="12.75" x14ac:dyDescent="0.2">
      <c r="B47605" s="1168"/>
    </row>
    <row r="47606" spans="2:2" s="221" customFormat="1" ht="12.75" x14ac:dyDescent="0.2">
      <c r="B47606" s="1168"/>
    </row>
    <row r="47607" spans="2:2" s="221" customFormat="1" ht="12.75" x14ac:dyDescent="0.2">
      <c r="B47607" s="1168"/>
    </row>
    <row r="47608" spans="2:2" s="221" customFormat="1" ht="12.75" x14ac:dyDescent="0.2">
      <c r="B47608" s="1168"/>
    </row>
    <row r="47609" spans="2:2" s="221" customFormat="1" ht="12.75" x14ac:dyDescent="0.2">
      <c r="B47609" s="1168"/>
    </row>
    <row r="47610" spans="2:2" s="221" customFormat="1" ht="12.75" x14ac:dyDescent="0.2">
      <c r="B47610" s="1168"/>
    </row>
    <row r="47611" spans="2:2" s="221" customFormat="1" ht="12.75" x14ac:dyDescent="0.2">
      <c r="B47611" s="1168"/>
    </row>
    <row r="47612" spans="2:2" s="221" customFormat="1" ht="12.75" x14ac:dyDescent="0.2">
      <c r="B47612" s="1168"/>
    </row>
    <row r="47613" spans="2:2" s="221" customFormat="1" ht="12.75" x14ac:dyDescent="0.2">
      <c r="B47613" s="1168"/>
    </row>
    <row r="47614" spans="2:2" s="221" customFormat="1" ht="12.75" x14ac:dyDescent="0.2">
      <c r="B47614" s="1168"/>
    </row>
    <row r="47615" spans="2:2" s="221" customFormat="1" ht="12.75" x14ac:dyDescent="0.2">
      <c r="B47615" s="1168"/>
    </row>
    <row r="47616" spans="2:2" s="221" customFormat="1" ht="12.75" x14ac:dyDescent="0.2">
      <c r="B47616" s="1168"/>
    </row>
    <row r="47617" spans="2:2" s="221" customFormat="1" ht="12.75" x14ac:dyDescent="0.2">
      <c r="B47617" s="1168"/>
    </row>
    <row r="47618" spans="2:2" s="221" customFormat="1" ht="12.75" x14ac:dyDescent="0.2">
      <c r="B47618" s="1168"/>
    </row>
    <row r="47619" spans="2:2" s="221" customFormat="1" ht="12.75" x14ac:dyDescent="0.2">
      <c r="B47619" s="1168"/>
    </row>
    <row r="47620" spans="2:2" s="221" customFormat="1" ht="12.75" x14ac:dyDescent="0.2">
      <c r="B47620" s="1168"/>
    </row>
    <row r="47621" spans="2:2" s="221" customFormat="1" ht="12.75" x14ac:dyDescent="0.2">
      <c r="B47621" s="1168"/>
    </row>
    <row r="47622" spans="2:2" s="221" customFormat="1" ht="12.75" x14ac:dyDescent="0.2">
      <c r="B47622" s="1168"/>
    </row>
    <row r="47623" spans="2:2" s="221" customFormat="1" ht="12.75" x14ac:dyDescent="0.2">
      <c r="B47623" s="1168"/>
    </row>
    <row r="47624" spans="2:2" s="221" customFormat="1" ht="12.75" x14ac:dyDescent="0.2">
      <c r="B47624" s="1168"/>
    </row>
    <row r="47625" spans="2:2" s="221" customFormat="1" ht="12.75" x14ac:dyDescent="0.2">
      <c r="B47625" s="1168"/>
    </row>
    <row r="47626" spans="2:2" s="221" customFormat="1" ht="12.75" x14ac:dyDescent="0.2">
      <c r="B47626" s="1168"/>
    </row>
    <row r="47627" spans="2:2" s="221" customFormat="1" ht="12.75" x14ac:dyDescent="0.2">
      <c r="B47627" s="1168"/>
    </row>
    <row r="47628" spans="2:2" s="221" customFormat="1" ht="12.75" x14ac:dyDescent="0.2">
      <c r="B47628" s="1168"/>
    </row>
    <row r="47629" spans="2:2" s="221" customFormat="1" ht="12.75" x14ac:dyDescent="0.2">
      <c r="B47629" s="1168"/>
    </row>
    <row r="47630" spans="2:2" s="221" customFormat="1" ht="12.75" x14ac:dyDescent="0.2">
      <c r="B47630" s="1168"/>
    </row>
    <row r="47631" spans="2:2" s="221" customFormat="1" ht="12.75" x14ac:dyDescent="0.2">
      <c r="B47631" s="1168"/>
    </row>
    <row r="47632" spans="2:2" s="221" customFormat="1" ht="12.75" x14ac:dyDescent="0.2">
      <c r="B47632" s="1168"/>
    </row>
    <row r="47633" spans="2:2" s="221" customFormat="1" ht="12.75" x14ac:dyDescent="0.2">
      <c r="B47633" s="1168"/>
    </row>
    <row r="47634" spans="2:2" s="221" customFormat="1" ht="12.75" x14ac:dyDescent="0.2">
      <c r="B47634" s="1168"/>
    </row>
    <row r="47635" spans="2:2" s="221" customFormat="1" ht="12.75" x14ac:dyDescent="0.2">
      <c r="B47635" s="1168"/>
    </row>
    <row r="47636" spans="2:2" s="221" customFormat="1" ht="12.75" x14ac:dyDescent="0.2">
      <c r="B47636" s="1168"/>
    </row>
    <row r="47637" spans="2:2" s="221" customFormat="1" ht="12.75" x14ac:dyDescent="0.2">
      <c r="B47637" s="1168"/>
    </row>
    <row r="47638" spans="2:2" s="221" customFormat="1" ht="12.75" x14ac:dyDescent="0.2">
      <c r="B47638" s="1168"/>
    </row>
    <row r="47639" spans="2:2" s="221" customFormat="1" ht="12.75" x14ac:dyDescent="0.2">
      <c r="B47639" s="1168"/>
    </row>
    <row r="47640" spans="2:2" s="221" customFormat="1" ht="12.75" x14ac:dyDescent="0.2">
      <c r="B47640" s="1168"/>
    </row>
    <row r="47641" spans="2:2" s="221" customFormat="1" ht="12.75" x14ac:dyDescent="0.2">
      <c r="B47641" s="1168"/>
    </row>
    <row r="47642" spans="2:2" s="221" customFormat="1" ht="12.75" x14ac:dyDescent="0.2">
      <c r="B47642" s="1168"/>
    </row>
    <row r="47643" spans="2:2" s="221" customFormat="1" ht="12.75" x14ac:dyDescent="0.2">
      <c r="B47643" s="1168"/>
    </row>
    <row r="47644" spans="2:2" s="221" customFormat="1" ht="12.75" x14ac:dyDescent="0.2">
      <c r="B47644" s="1168"/>
    </row>
    <row r="47645" spans="2:2" s="221" customFormat="1" ht="12.75" x14ac:dyDescent="0.2">
      <c r="B47645" s="1168"/>
    </row>
    <row r="47646" spans="2:2" s="221" customFormat="1" ht="12.75" x14ac:dyDescent="0.2">
      <c r="B47646" s="1168"/>
    </row>
    <row r="47647" spans="2:2" s="221" customFormat="1" ht="12.75" x14ac:dyDescent="0.2">
      <c r="B47647" s="1168"/>
    </row>
    <row r="47648" spans="2:2" s="221" customFormat="1" ht="12.75" x14ac:dyDescent="0.2">
      <c r="B47648" s="1168"/>
    </row>
    <row r="47649" spans="2:2" s="221" customFormat="1" ht="12.75" x14ac:dyDescent="0.2">
      <c r="B47649" s="1168"/>
    </row>
    <row r="47650" spans="2:2" s="221" customFormat="1" ht="12.75" x14ac:dyDescent="0.2">
      <c r="B47650" s="1168"/>
    </row>
    <row r="47651" spans="2:2" s="221" customFormat="1" ht="12.75" x14ac:dyDescent="0.2">
      <c r="B47651" s="1168"/>
    </row>
    <row r="47652" spans="2:2" s="221" customFormat="1" ht="12.75" x14ac:dyDescent="0.2">
      <c r="B47652" s="1168"/>
    </row>
    <row r="47653" spans="2:2" s="221" customFormat="1" ht="12.75" x14ac:dyDescent="0.2">
      <c r="B47653" s="1168"/>
    </row>
    <row r="47654" spans="2:2" s="221" customFormat="1" ht="12.75" x14ac:dyDescent="0.2">
      <c r="B47654" s="1168"/>
    </row>
    <row r="47655" spans="2:2" s="221" customFormat="1" ht="12.75" x14ac:dyDescent="0.2">
      <c r="B47655" s="1168"/>
    </row>
    <row r="47656" spans="2:2" s="221" customFormat="1" ht="12.75" x14ac:dyDescent="0.2">
      <c r="B47656" s="1168"/>
    </row>
    <row r="47657" spans="2:2" s="221" customFormat="1" ht="12.75" x14ac:dyDescent="0.2">
      <c r="B47657" s="1168"/>
    </row>
    <row r="47658" spans="2:2" s="221" customFormat="1" ht="12.75" x14ac:dyDescent="0.2">
      <c r="B47658" s="1168"/>
    </row>
    <row r="47659" spans="2:2" s="221" customFormat="1" ht="12.75" x14ac:dyDescent="0.2">
      <c r="B47659" s="1168"/>
    </row>
    <row r="47660" spans="2:2" s="221" customFormat="1" ht="12.75" x14ac:dyDescent="0.2">
      <c r="B47660" s="1168"/>
    </row>
    <row r="47661" spans="2:2" s="221" customFormat="1" ht="12.75" x14ac:dyDescent="0.2">
      <c r="B47661" s="1168"/>
    </row>
    <row r="47662" spans="2:2" s="221" customFormat="1" ht="12.75" x14ac:dyDescent="0.2">
      <c r="B47662" s="1168"/>
    </row>
    <row r="47663" spans="2:2" s="221" customFormat="1" ht="12.75" x14ac:dyDescent="0.2">
      <c r="B47663" s="1168"/>
    </row>
    <row r="47664" spans="2:2" s="221" customFormat="1" ht="12.75" x14ac:dyDescent="0.2">
      <c r="B47664" s="1168"/>
    </row>
    <row r="47665" spans="2:2" s="221" customFormat="1" ht="12.75" x14ac:dyDescent="0.2">
      <c r="B47665" s="1168"/>
    </row>
    <row r="47666" spans="2:2" s="221" customFormat="1" ht="12.75" x14ac:dyDescent="0.2">
      <c r="B47666" s="1168"/>
    </row>
    <row r="47667" spans="2:2" s="221" customFormat="1" ht="12.75" x14ac:dyDescent="0.2">
      <c r="B47667" s="1168"/>
    </row>
    <row r="47668" spans="2:2" s="221" customFormat="1" ht="12.75" x14ac:dyDescent="0.2">
      <c r="B47668" s="1168"/>
    </row>
    <row r="47669" spans="2:2" s="221" customFormat="1" ht="12.75" x14ac:dyDescent="0.2">
      <c r="B47669" s="1168"/>
    </row>
    <row r="47670" spans="2:2" s="221" customFormat="1" ht="12.75" x14ac:dyDescent="0.2">
      <c r="B47670" s="1168"/>
    </row>
    <row r="47671" spans="2:2" s="221" customFormat="1" ht="12.75" x14ac:dyDescent="0.2">
      <c r="B47671" s="1168"/>
    </row>
    <row r="47672" spans="2:2" s="221" customFormat="1" ht="12.75" x14ac:dyDescent="0.2">
      <c r="B47672" s="1168"/>
    </row>
    <row r="47673" spans="2:2" s="221" customFormat="1" ht="12.75" x14ac:dyDescent="0.2">
      <c r="B47673" s="1168"/>
    </row>
    <row r="47674" spans="2:2" s="221" customFormat="1" ht="12.75" x14ac:dyDescent="0.2">
      <c r="B47674" s="1168"/>
    </row>
    <row r="47675" spans="2:2" s="221" customFormat="1" ht="12.75" x14ac:dyDescent="0.2">
      <c r="B47675" s="1168"/>
    </row>
    <row r="47676" spans="2:2" s="221" customFormat="1" ht="12.75" x14ac:dyDescent="0.2">
      <c r="B47676" s="1168"/>
    </row>
    <row r="47677" spans="2:2" s="221" customFormat="1" ht="12.75" x14ac:dyDescent="0.2">
      <c r="B47677" s="1168"/>
    </row>
    <row r="47678" spans="2:2" s="221" customFormat="1" ht="12.75" x14ac:dyDescent="0.2">
      <c r="B47678" s="1168"/>
    </row>
    <row r="47679" spans="2:2" s="221" customFormat="1" ht="12.75" x14ac:dyDescent="0.2">
      <c r="B47679" s="1168"/>
    </row>
    <row r="47680" spans="2:2" s="221" customFormat="1" ht="12.75" x14ac:dyDescent="0.2">
      <c r="B47680" s="1168"/>
    </row>
    <row r="47681" spans="2:2" s="221" customFormat="1" ht="12.75" x14ac:dyDescent="0.2">
      <c r="B47681" s="1168"/>
    </row>
    <row r="47682" spans="2:2" s="221" customFormat="1" ht="12.75" x14ac:dyDescent="0.2">
      <c r="B47682" s="1168"/>
    </row>
    <row r="47683" spans="2:2" s="221" customFormat="1" ht="12.75" x14ac:dyDescent="0.2">
      <c r="B47683" s="1168"/>
    </row>
    <row r="47684" spans="2:2" s="221" customFormat="1" ht="12.75" x14ac:dyDescent="0.2">
      <c r="B47684" s="1168"/>
    </row>
    <row r="47685" spans="2:2" s="221" customFormat="1" ht="12.75" x14ac:dyDescent="0.2">
      <c r="B47685" s="1168"/>
    </row>
    <row r="47686" spans="2:2" s="221" customFormat="1" ht="12.75" x14ac:dyDescent="0.2">
      <c r="B47686" s="1168"/>
    </row>
    <row r="47687" spans="2:2" s="221" customFormat="1" ht="12.75" x14ac:dyDescent="0.2">
      <c r="B47687" s="1168"/>
    </row>
    <row r="47688" spans="2:2" s="221" customFormat="1" ht="12.75" x14ac:dyDescent="0.2">
      <c r="B47688" s="1168"/>
    </row>
    <row r="47689" spans="2:2" s="221" customFormat="1" ht="12.75" x14ac:dyDescent="0.2">
      <c r="B47689" s="1168"/>
    </row>
    <row r="47690" spans="2:2" s="221" customFormat="1" ht="12.75" x14ac:dyDescent="0.2">
      <c r="B47690" s="1168"/>
    </row>
    <row r="47691" spans="2:2" s="221" customFormat="1" ht="12.75" x14ac:dyDescent="0.2">
      <c r="B47691" s="1168"/>
    </row>
    <row r="47692" spans="2:2" s="221" customFormat="1" ht="12.75" x14ac:dyDescent="0.2">
      <c r="B47692" s="1168"/>
    </row>
    <row r="47693" spans="2:2" s="221" customFormat="1" ht="12.75" x14ac:dyDescent="0.2">
      <c r="B47693" s="1168"/>
    </row>
    <row r="47694" spans="2:2" s="221" customFormat="1" ht="12.75" x14ac:dyDescent="0.2">
      <c r="B47694" s="1168"/>
    </row>
    <row r="47695" spans="2:2" s="221" customFormat="1" ht="12.75" x14ac:dyDescent="0.2">
      <c r="B47695" s="1168"/>
    </row>
    <row r="47696" spans="2:2" s="221" customFormat="1" ht="12.75" x14ac:dyDescent="0.2">
      <c r="B47696" s="1168"/>
    </row>
    <row r="47697" spans="2:2" s="221" customFormat="1" ht="12.75" x14ac:dyDescent="0.2">
      <c r="B47697" s="1168"/>
    </row>
    <row r="47698" spans="2:2" s="221" customFormat="1" ht="12.75" x14ac:dyDescent="0.2">
      <c r="B47698" s="1168"/>
    </row>
    <row r="47699" spans="2:2" s="221" customFormat="1" ht="12.75" x14ac:dyDescent="0.2">
      <c r="B47699" s="1168"/>
    </row>
    <row r="47700" spans="2:2" s="221" customFormat="1" ht="12.75" x14ac:dyDescent="0.2">
      <c r="B47700" s="1168"/>
    </row>
    <row r="47701" spans="2:2" s="221" customFormat="1" ht="12.75" x14ac:dyDescent="0.2">
      <c r="B47701" s="1168"/>
    </row>
    <row r="47702" spans="2:2" s="221" customFormat="1" ht="12.75" x14ac:dyDescent="0.2">
      <c r="B47702" s="1168"/>
    </row>
    <row r="47703" spans="2:2" s="221" customFormat="1" ht="12.75" x14ac:dyDescent="0.2">
      <c r="B47703" s="1168"/>
    </row>
    <row r="47704" spans="2:2" s="221" customFormat="1" ht="12.75" x14ac:dyDescent="0.2">
      <c r="B47704" s="1168"/>
    </row>
    <row r="47705" spans="2:2" s="221" customFormat="1" ht="12.75" x14ac:dyDescent="0.2">
      <c r="B47705" s="1168"/>
    </row>
    <row r="47706" spans="2:2" s="221" customFormat="1" ht="12.75" x14ac:dyDescent="0.2">
      <c r="B47706" s="1168"/>
    </row>
    <row r="47707" spans="2:2" s="221" customFormat="1" ht="12.75" x14ac:dyDescent="0.2">
      <c r="B47707" s="1168"/>
    </row>
    <row r="47708" spans="2:2" s="221" customFormat="1" ht="12.75" x14ac:dyDescent="0.2">
      <c r="B47708" s="1168"/>
    </row>
    <row r="47709" spans="2:2" s="221" customFormat="1" ht="12.75" x14ac:dyDescent="0.2">
      <c r="B47709" s="1168"/>
    </row>
    <row r="47710" spans="2:2" s="221" customFormat="1" ht="12.75" x14ac:dyDescent="0.2">
      <c r="B47710" s="1168"/>
    </row>
    <row r="47711" spans="2:2" s="221" customFormat="1" ht="12.75" x14ac:dyDescent="0.2">
      <c r="B47711" s="1168"/>
    </row>
    <row r="47712" spans="2:2" s="221" customFormat="1" ht="12.75" x14ac:dyDescent="0.2">
      <c r="B47712" s="1168"/>
    </row>
    <row r="47713" spans="2:2" s="221" customFormat="1" ht="12.75" x14ac:dyDescent="0.2">
      <c r="B47713" s="1168"/>
    </row>
    <row r="47714" spans="2:2" s="221" customFormat="1" ht="12.75" x14ac:dyDescent="0.2">
      <c r="B47714" s="1168"/>
    </row>
    <row r="47715" spans="2:2" s="221" customFormat="1" ht="12.75" x14ac:dyDescent="0.2">
      <c r="B47715" s="1168"/>
    </row>
    <row r="47716" spans="2:2" s="221" customFormat="1" ht="12.75" x14ac:dyDescent="0.2">
      <c r="B47716" s="1168"/>
    </row>
    <row r="47717" spans="2:2" s="221" customFormat="1" ht="12.75" x14ac:dyDescent="0.2">
      <c r="B47717" s="1168"/>
    </row>
    <row r="47718" spans="2:2" s="221" customFormat="1" ht="12.75" x14ac:dyDescent="0.2">
      <c r="B47718" s="1168"/>
    </row>
    <row r="47719" spans="2:2" s="221" customFormat="1" ht="12.75" x14ac:dyDescent="0.2">
      <c r="B47719" s="1168"/>
    </row>
    <row r="47720" spans="2:2" s="221" customFormat="1" ht="12.75" x14ac:dyDescent="0.2">
      <c r="B47720" s="1168"/>
    </row>
    <row r="47721" spans="2:2" s="221" customFormat="1" ht="12.75" x14ac:dyDescent="0.2">
      <c r="B47721" s="1168"/>
    </row>
    <row r="47722" spans="2:2" s="221" customFormat="1" ht="12.75" x14ac:dyDescent="0.2">
      <c r="B47722" s="1168"/>
    </row>
    <row r="47723" spans="2:2" s="221" customFormat="1" ht="12.75" x14ac:dyDescent="0.2">
      <c r="B47723" s="1168"/>
    </row>
    <row r="47724" spans="2:2" s="221" customFormat="1" ht="12.75" x14ac:dyDescent="0.2">
      <c r="B47724" s="1168"/>
    </row>
    <row r="47725" spans="2:2" s="221" customFormat="1" ht="12.75" x14ac:dyDescent="0.2">
      <c r="B47725" s="1168"/>
    </row>
    <row r="47726" spans="2:2" s="221" customFormat="1" ht="12.75" x14ac:dyDescent="0.2">
      <c r="B47726" s="1168"/>
    </row>
    <row r="47727" spans="2:2" s="221" customFormat="1" ht="12.75" x14ac:dyDescent="0.2">
      <c r="B47727" s="1168"/>
    </row>
    <row r="47728" spans="2:2" s="221" customFormat="1" ht="12.75" x14ac:dyDescent="0.2">
      <c r="B47728" s="1168"/>
    </row>
    <row r="47729" spans="2:2" s="221" customFormat="1" ht="12.75" x14ac:dyDescent="0.2">
      <c r="B47729" s="1168"/>
    </row>
    <row r="47730" spans="2:2" s="221" customFormat="1" ht="12.75" x14ac:dyDescent="0.2">
      <c r="B47730" s="1168"/>
    </row>
    <row r="47731" spans="2:2" s="221" customFormat="1" ht="12.75" x14ac:dyDescent="0.2">
      <c r="B47731" s="1168"/>
    </row>
    <row r="47732" spans="2:2" s="221" customFormat="1" ht="12.75" x14ac:dyDescent="0.2">
      <c r="B47732" s="1168"/>
    </row>
    <row r="47733" spans="2:2" s="221" customFormat="1" ht="12.75" x14ac:dyDescent="0.2">
      <c r="B47733" s="1168"/>
    </row>
    <row r="47734" spans="2:2" s="221" customFormat="1" ht="12.75" x14ac:dyDescent="0.2">
      <c r="B47734" s="1168"/>
    </row>
    <row r="47735" spans="2:2" s="221" customFormat="1" ht="12.75" x14ac:dyDescent="0.2">
      <c r="B47735" s="1168"/>
    </row>
    <row r="47736" spans="2:2" s="221" customFormat="1" ht="12.75" x14ac:dyDescent="0.2">
      <c r="B47736" s="1168"/>
    </row>
    <row r="47737" spans="2:2" s="221" customFormat="1" ht="12.75" x14ac:dyDescent="0.2">
      <c r="B47737" s="1168"/>
    </row>
    <row r="47738" spans="2:2" s="221" customFormat="1" ht="12.75" x14ac:dyDescent="0.2">
      <c r="B47738" s="1168"/>
    </row>
    <row r="47739" spans="2:2" s="221" customFormat="1" ht="12.75" x14ac:dyDescent="0.2">
      <c r="B47739" s="1168"/>
    </row>
    <row r="47740" spans="2:2" s="221" customFormat="1" ht="12.75" x14ac:dyDescent="0.2">
      <c r="B47740" s="1168"/>
    </row>
    <row r="47741" spans="2:2" s="221" customFormat="1" ht="12.75" x14ac:dyDescent="0.2">
      <c r="B47741" s="1168"/>
    </row>
    <row r="47742" spans="2:2" s="221" customFormat="1" ht="12.75" x14ac:dyDescent="0.2">
      <c r="B47742" s="1168"/>
    </row>
    <row r="47743" spans="2:2" s="221" customFormat="1" ht="12.75" x14ac:dyDescent="0.2">
      <c r="B47743" s="1168"/>
    </row>
    <row r="47744" spans="2:2" s="221" customFormat="1" ht="12.75" x14ac:dyDescent="0.2">
      <c r="B47744" s="1168"/>
    </row>
    <row r="47745" spans="2:2" s="221" customFormat="1" ht="12.75" x14ac:dyDescent="0.2">
      <c r="B47745" s="1168"/>
    </row>
    <row r="47746" spans="2:2" s="221" customFormat="1" ht="12.75" x14ac:dyDescent="0.2">
      <c r="B47746" s="1168"/>
    </row>
    <row r="47747" spans="2:2" s="221" customFormat="1" ht="12.75" x14ac:dyDescent="0.2">
      <c r="B47747" s="1168"/>
    </row>
    <row r="47748" spans="2:2" s="221" customFormat="1" ht="12.75" x14ac:dyDescent="0.2">
      <c r="B47748" s="1168"/>
    </row>
    <row r="47749" spans="2:2" s="221" customFormat="1" ht="12.75" x14ac:dyDescent="0.2">
      <c r="B47749" s="1168"/>
    </row>
    <row r="47750" spans="2:2" s="221" customFormat="1" ht="12.75" x14ac:dyDescent="0.2">
      <c r="B47750" s="1168"/>
    </row>
    <row r="47751" spans="2:2" s="221" customFormat="1" ht="12.75" x14ac:dyDescent="0.2">
      <c r="B47751" s="1168"/>
    </row>
    <row r="47752" spans="2:2" s="221" customFormat="1" ht="12.75" x14ac:dyDescent="0.2">
      <c r="B47752" s="1168"/>
    </row>
    <row r="47753" spans="2:2" s="221" customFormat="1" ht="12.75" x14ac:dyDescent="0.2">
      <c r="B47753" s="1168"/>
    </row>
    <row r="47754" spans="2:2" s="221" customFormat="1" ht="12.75" x14ac:dyDescent="0.2">
      <c r="B47754" s="1168"/>
    </row>
    <row r="47755" spans="2:2" s="221" customFormat="1" ht="12.75" x14ac:dyDescent="0.2">
      <c r="B47755" s="1168"/>
    </row>
    <row r="47756" spans="2:2" s="221" customFormat="1" ht="12.75" x14ac:dyDescent="0.2">
      <c r="B47756" s="1168"/>
    </row>
    <row r="47757" spans="2:2" s="221" customFormat="1" ht="12.75" x14ac:dyDescent="0.2">
      <c r="B47757" s="1168"/>
    </row>
    <row r="47758" spans="2:2" s="221" customFormat="1" ht="12.75" x14ac:dyDescent="0.2">
      <c r="B47758" s="1168"/>
    </row>
    <row r="47759" spans="2:2" s="221" customFormat="1" ht="12.75" x14ac:dyDescent="0.2">
      <c r="B47759" s="1168"/>
    </row>
    <row r="47760" spans="2:2" s="221" customFormat="1" ht="12.75" x14ac:dyDescent="0.2">
      <c r="B47760" s="1168"/>
    </row>
    <row r="47761" spans="2:2" s="221" customFormat="1" ht="12.75" x14ac:dyDescent="0.2">
      <c r="B47761" s="1168"/>
    </row>
    <row r="47762" spans="2:2" s="221" customFormat="1" ht="12.75" x14ac:dyDescent="0.2">
      <c r="B47762" s="1168"/>
    </row>
    <row r="47763" spans="2:2" s="221" customFormat="1" ht="12.75" x14ac:dyDescent="0.2">
      <c r="B47763" s="1168"/>
    </row>
    <row r="47764" spans="2:2" s="221" customFormat="1" ht="12.75" x14ac:dyDescent="0.2">
      <c r="B47764" s="1168"/>
    </row>
    <row r="47765" spans="2:2" s="221" customFormat="1" ht="12.75" x14ac:dyDescent="0.2">
      <c r="B47765" s="1168"/>
    </row>
    <row r="47766" spans="2:2" s="221" customFormat="1" ht="12.75" x14ac:dyDescent="0.2">
      <c r="B47766" s="1168"/>
    </row>
    <row r="47767" spans="2:2" s="221" customFormat="1" ht="12.75" x14ac:dyDescent="0.2">
      <c r="B47767" s="1168"/>
    </row>
    <row r="47768" spans="2:2" s="221" customFormat="1" ht="12.75" x14ac:dyDescent="0.2">
      <c r="B47768" s="1168"/>
    </row>
    <row r="47769" spans="2:2" s="221" customFormat="1" ht="12.75" x14ac:dyDescent="0.2">
      <c r="B47769" s="1168"/>
    </row>
    <row r="47770" spans="2:2" s="221" customFormat="1" ht="12.75" x14ac:dyDescent="0.2">
      <c r="B47770" s="1168"/>
    </row>
    <row r="47771" spans="2:2" s="221" customFormat="1" ht="12.75" x14ac:dyDescent="0.2">
      <c r="B47771" s="1168"/>
    </row>
    <row r="47772" spans="2:2" s="221" customFormat="1" ht="12.75" x14ac:dyDescent="0.2">
      <c r="B47772" s="1168"/>
    </row>
    <row r="47773" spans="2:2" s="221" customFormat="1" ht="12.75" x14ac:dyDescent="0.2">
      <c r="B47773" s="1168"/>
    </row>
    <row r="47774" spans="2:2" s="221" customFormat="1" ht="12.75" x14ac:dyDescent="0.2">
      <c r="B47774" s="1168"/>
    </row>
    <row r="47775" spans="2:2" s="221" customFormat="1" ht="12.75" x14ac:dyDescent="0.2">
      <c r="B47775" s="1168"/>
    </row>
    <row r="47776" spans="2:2" s="221" customFormat="1" ht="12.75" x14ac:dyDescent="0.2">
      <c r="B47776" s="1168"/>
    </row>
    <row r="47777" spans="2:2" s="221" customFormat="1" ht="12.75" x14ac:dyDescent="0.2">
      <c r="B47777" s="1168"/>
    </row>
    <row r="47778" spans="2:2" s="221" customFormat="1" ht="12.75" x14ac:dyDescent="0.2">
      <c r="B47778" s="1168"/>
    </row>
    <row r="47779" spans="2:2" s="221" customFormat="1" ht="12.75" x14ac:dyDescent="0.2">
      <c r="B47779" s="1168"/>
    </row>
    <row r="47780" spans="2:2" s="221" customFormat="1" ht="12.75" x14ac:dyDescent="0.2">
      <c r="B47780" s="1168"/>
    </row>
    <row r="47781" spans="2:2" s="221" customFormat="1" ht="12.75" x14ac:dyDescent="0.2">
      <c r="B47781" s="1168"/>
    </row>
    <row r="47782" spans="2:2" s="221" customFormat="1" ht="12.75" x14ac:dyDescent="0.2">
      <c r="B47782" s="1168"/>
    </row>
    <row r="47783" spans="2:2" s="221" customFormat="1" ht="12.75" x14ac:dyDescent="0.2">
      <c r="B47783" s="1168"/>
    </row>
    <row r="47784" spans="2:2" s="221" customFormat="1" ht="12.75" x14ac:dyDescent="0.2">
      <c r="B47784" s="1168"/>
    </row>
    <row r="47785" spans="2:2" s="221" customFormat="1" ht="12.75" x14ac:dyDescent="0.2">
      <c r="B47785" s="1168"/>
    </row>
    <row r="47786" spans="2:2" s="221" customFormat="1" ht="12.75" x14ac:dyDescent="0.2">
      <c r="B47786" s="1168"/>
    </row>
    <row r="47787" spans="2:2" s="221" customFormat="1" ht="12.75" x14ac:dyDescent="0.2">
      <c r="B47787" s="1168"/>
    </row>
    <row r="47788" spans="2:2" s="221" customFormat="1" ht="12.75" x14ac:dyDescent="0.2">
      <c r="B47788" s="1168"/>
    </row>
    <row r="47789" spans="2:2" s="221" customFormat="1" ht="12.75" x14ac:dyDescent="0.2">
      <c r="B47789" s="1168"/>
    </row>
    <row r="47790" spans="2:2" s="221" customFormat="1" ht="12.75" x14ac:dyDescent="0.2">
      <c r="B47790" s="1168"/>
    </row>
    <row r="47791" spans="2:2" s="221" customFormat="1" ht="12.75" x14ac:dyDescent="0.2">
      <c r="B47791" s="1168"/>
    </row>
    <row r="47792" spans="2:2" s="221" customFormat="1" ht="12.75" x14ac:dyDescent="0.2">
      <c r="B47792" s="1168"/>
    </row>
    <row r="47793" spans="2:2" s="221" customFormat="1" ht="12.75" x14ac:dyDescent="0.2">
      <c r="B47793" s="1168"/>
    </row>
    <row r="47794" spans="2:2" s="221" customFormat="1" ht="12.75" x14ac:dyDescent="0.2">
      <c r="B47794" s="1168"/>
    </row>
    <row r="47795" spans="2:2" s="221" customFormat="1" ht="12.75" x14ac:dyDescent="0.2">
      <c r="B47795" s="1168"/>
    </row>
    <row r="47796" spans="2:2" s="221" customFormat="1" ht="12.75" x14ac:dyDescent="0.2">
      <c r="B47796" s="1168"/>
    </row>
    <row r="47797" spans="2:2" s="221" customFormat="1" ht="12.75" x14ac:dyDescent="0.2">
      <c r="B47797" s="1168"/>
    </row>
    <row r="47798" spans="2:2" s="221" customFormat="1" ht="12.75" x14ac:dyDescent="0.2">
      <c r="B47798" s="1168"/>
    </row>
    <row r="47799" spans="2:2" s="221" customFormat="1" ht="12.75" x14ac:dyDescent="0.2">
      <c r="B47799" s="1168"/>
    </row>
    <row r="47800" spans="2:2" s="221" customFormat="1" ht="12.75" x14ac:dyDescent="0.2">
      <c r="B47800" s="1168"/>
    </row>
    <row r="47801" spans="2:2" s="221" customFormat="1" ht="12.75" x14ac:dyDescent="0.2">
      <c r="B47801" s="1168"/>
    </row>
    <row r="47802" spans="2:2" s="221" customFormat="1" ht="12.75" x14ac:dyDescent="0.2">
      <c r="B47802" s="1168"/>
    </row>
    <row r="47803" spans="2:2" s="221" customFormat="1" ht="12.75" x14ac:dyDescent="0.2">
      <c r="B47803" s="1168"/>
    </row>
    <row r="47804" spans="2:2" s="221" customFormat="1" ht="12.75" x14ac:dyDescent="0.2">
      <c r="B47804" s="1168"/>
    </row>
    <row r="47805" spans="2:2" s="221" customFormat="1" ht="12.75" x14ac:dyDescent="0.2">
      <c r="B47805" s="1168"/>
    </row>
    <row r="47806" spans="2:2" s="221" customFormat="1" ht="12.75" x14ac:dyDescent="0.2">
      <c r="B47806" s="1168"/>
    </row>
    <row r="47807" spans="2:2" s="221" customFormat="1" ht="12.75" x14ac:dyDescent="0.2">
      <c r="B47807" s="1168"/>
    </row>
    <row r="47808" spans="2:2" s="221" customFormat="1" ht="12.75" x14ac:dyDescent="0.2">
      <c r="B47808" s="1168"/>
    </row>
    <row r="47809" spans="2:2" s="221" customFormat="1" ht="12.75" x14ac:dyDescent="0.2">
      <c r="B47809" s="1168"/>
    </row>
    <row r="47810" spans="2:2" s="221" customFormat="1" ht="12.75" x14ac:dyDescent="0.2">
      <c r="B47810" s="1168"/>
    </row>
    <row r="47811" spans="2:2" s="221" customFormat="1" ht="12.75" x14ac:dyDescent="0.2">
      <c r="B47811" s="1168"/>
    </row>
    <row r="47812" spans="2:2" s="221" customFormat="1" ht="12.75" x14ac:dyDescent="0.2">
      <c r="B47812" s="1168"/>
    </row>
    <row r="47813" spans="2:2" s="221" customFormat="1" ht="12.75" x14ac:dyDescent="0.2">
      <c r="B47813" s="1168"/>
    </row>
    <row r="47814" spans="2:2" s="221" customFormat="1" ht="12.75" x14ac:dyDescent="0.2">
      <c r="B47814" s="1168"/>
    </row>
    <row r="47815" spans="2:2" s="221" customFormat="1" ht="12.75" x14ac:dyDescent="0.2">
      <c r="B47815" s="1168"/>
    </row>
    <row r="47816" spans="2:2" s="221" customFormat="1" ht="12.75" x14ac:dyDescent="0.2">
      <c r="B47816" s="1168"/>
    </row>
    <row r="47817" spans="2:2" s="221" customFormat="1" ht="12.75" x14ac:dyDescent="0.2">
      <c r="B47817" s="1168"/>
    </row>
    <row r="47818" spans="2:2" s="221" customFormat="1" ht="12.75" x14ac:dyDescent="0.2">
      <c r="B47818" s="1168"/>
    </row>
    <row r="47819" spans="2:2" s="221" customFormat="1" ht="12.75" x14ac:dyDescent="0.2">
      <c r="B47819" s="1168"/>
    </row>
    <row r="47820" spans="2:2" s="221" customFormat="1" ht="12.75" x14ac:dyDescent="0.2">
      <c r="B47820" s="1168"/>
    </row>
    <row r="47821" spans="2:2" s="221" customFormat="1" ht="12.75" x14ac:dyDescent="0.2">
      <c r="B47821" s="1168"/>
    </row>
    <row r="47822" spans="2:2" s="221" customFormat="1" ht="12.75" x14ac:dyDescent="0.2">
      <c r="B47822" s="1168"/>
    </row>
    <row r="47823" spans="2:2" s="221" customFormat="1" ht="12.75" x14ac:dyDescent="0.2">
      <c r="B47823" s="1168"/>
    </row>
    <row r="47824" spans="2:2" s="221" customFormat="1" ht="12.75" x14ac:dyDescent="0.2">
      <c r="B47824" s="1168"/>
    </row>
    <row r="47825" spans="2:2" s="221" customFormat="1" ht="12.75" x14ac:dyDescent="0.2">
      <c r="B47825" s="1168"/>
    </row>
    <row r="47826" spans="2:2" s="221" customFormat="1" ht="12.75" x14ac:dyDescent="0.2">
      <c r="B47826" s="1168"/>
    </row>
    <row r="47827" spans="2:2" s="221" customFormat="1" ht="12.75" x14ac:dyDescent="0.2">
      <c r="B47827" s="1168"/>
    </row>
    <row r="47828" spans="2:2" s="221" customFormat="1" ht="12.75" x14ac:dyDescent="0.2">
      <c r="B47828" s="1168"/>
    </row>
    <row r="47829" spans="2:2" s="221" customFormat="1" ht="12.75" x14ac:dyDescent="0.2">
      <c r="B47829" s="1168"/>
    </row>
    <row r="47830" spans="2:2" s="221" customFormat="1" ht="12.75" x14ac:dyDescent="0.2">
      <c r="B47830" s="1168"/>
    </row>
    <row r="47831" spans="2:2" s="221" customFormat="1" ht="12.75" x14ac:dyDescent="0.2">
      <c r="B47831" s="1168"/>
    </row>
    <row r="47832" spans="2:2" s="221" customFormat="1" ht="12.75" x14ac:dyDescent="0.2">
      <c r="B47832" s="1168"/>
    </row>
    <row r="47833" spans="2:2" s="221" customFormat="1" ht="12.75" x14ac:dyDescent="0.2">
      <c r="B47833" s="1168"/>
    </row>
    <row r="47834" spans="2:2" s="221" customFormat="1" ht="12.75" x14ac:dyDescent="0.2">
      <c r="B47834" s="1168"/>
    </row>
    <row r="47835" spans="2:2" s="221" customFormat="1" ht="12.75" x14ac:dyDescent="0.2">
      <c r="B47835" s="1168"/>
    </row>
    <row r="47836" spans="2:2" s="221" customFormat="1" ht="12.75" x14ac:dyDescent="0.2">
      <c r="B47836" s="1168"/>
    </row>
    <row r="47837" spans="2:2" s="221" customFormat="1" ht="12.75" x14ac:dyDescent="0.2">
      <c r="B47837" s="1168"/>
    </row>
    <row r="47838" spans="2:2" s="221" customFormat="1" ht="12.75" x14ac:dyDescent="0.2">
      <c r="B47838" s="1168"/>
    </row>
    <row r="47839" spans="2:2" s="221" customFormat="1" ht="12.75" x14ac:dyDescent="0.2">
      <c r="B47839" s="1168"/>
    </row>
    <row r="47840" spans="2:2" s="221" customFormat="1" ht="12.75" x14ac:dyDescent="0.2">
      <c r="B47840" s="1168"/>
    </row>
    <row r="47841" spans="2:2" s="221" customFormat="1" ht="12.75" x14ac:dyDescent="0.2">
      <c r="B47841" s="1168"/>
    </row>
    <row r="47842" spans="2:2" s="221" customFormat="1" ht="12.75" x14ac:dyDescent="0.2">
      <c r="B47842" s="1168"/>
    </row>
    <row r="47843" spans="2:2" s="221" customFormat="1" ht="12.75" x14ac:dyDescent="0.2">
      <c r="B47843" s="1168"/>
    </row>
    <row r="47844" spans="2:2" s="221" customFormat="1" ht="12.75" x14ac:dyDescent="0.2">
      <c r="B47844" s="1168"/>
    </row>
    <row r="47845" spans="2:2" s="221" customFormat="1" ht="12.75" x14ac:dyDescent="0.2">
      <c r="B47845" s="1168"/>
    </row>
    <row r="47846" spans="2:2" s="221" customFormat="1" ht="12.75" x14ac:dyDescent="0.2">
      <c r="B47846" s="1168"/>
    </row>
    <row r="47847" spans="2:2" s="221" customFormat="1" ht="12.75" x14ac:dyDescent="0.2">
      <c r="B47847" s="1168"/>
    </row>
    <row r="47848" spans="2:2" s="221" customFormat="1" ht="12.75" x14ac:dyDescent="0.2">
      <c r="B47848" s="1168"/>
    </row>
    <row r="47849" spans="2:2" s="221" customFormat="1" ht="12.75" x14ac:dyDescent="0.2">
      <c r="B47849" s="1168"/>
    </row>
    <row r="47850" spans="2:2" s="221" customFormat="1" ht="12.75" x14ac:dyDescent="0.2">
      <c r="B47850" s="1168"/>
    </row>
    <row r="47851" spans="2:2" s="221" customFormat="1" ht="12.75" x14ac:dyDescent="0.2">
      <c r="B47851" s="1168"/>
    </row>
    <row r="47852" spans="2:2" s="221" customFormat="1" ht="12.75" x14ac:dyDescent="0.2">
      <c r="B47852" s="1168"/>
    </row>
    <row r="47853" spans="2:2" s="221" customFormat="1" ht="12.75" x14ac:dyDescent="0.2">
      <c r="B47853" s="1168"/>
    </row>
    <row r="47854" spans="2:2" s="221" customFormat="1" ht="12.75" x14ac:dyDescent="0.2">
      <c r="B47854" s="1168"/>
    </row>
    <row r="47855" spans="2:2" s="221" customFormat="1" ht="12.75" x14ac:dyDescent="0.2">
      <c r="B47855" s="1168"/>
    </row>
    <row r="47856" spans="2:2" s="221" customFormat="1" ht="12.75" x14ac:dyDescent="0.2">
      <c r="B47856" s="1168"/>
    </row>
    <row r="47857" spans="2:2" s="221" customFormat="1" ht="12.75" x14ac:dyDescent="0.2">
      <c r="B47857" s="1168"/>
    </row>
    <row r="47858" spans="2:2" s="221" customFormat="1" ht="12.75" x14ac:dyDescent="0.2">
      <c r="B47858" s="1168"/>
    </row>
    <row r="47859" spans="2:2" s="221" customFormat="1" ht="12.75" x14ac:dyDescent="0.2">
      <c r="B47859" s="1168"/>
    </row>
    <row r="47860" spans="2:2" s="221" customFormat="1" ht="12.75" x14ac:dyDescent="0.2">
      <c r="B47860" s="1168"/>
    </row>
    <row r="47861" spans="2:2" s="221" customFormat="1" ht="12.75" x14ac:dyDescent="0.2">
      <c r="B47861" s="1168"/>
    </row>
    <row r="47862" spans="2:2" s="221" customFormat="1" ht="12.75" x14ac:dyDescent="0.2">
      <c r="B47862" s="1168"/>
    </row>
    <row r="47863" spans="2:2" s="221" customFormat="1" ht="12.75" x14ac:dyDescent="0.2">
      <c r="B47863" s="1168"/>
    </row>
    <row r="47864" spans="2:2" s="221" customFormat="1" ht="12.75" x14ac:dyDescent="0.2">
      <c r="B47864" s="1168"/>
    </row>
    <row r="47865" spans="2:2" s="221" customFormat="1" ht="12.75" x14ac:dyDescent="0.2">
      <c r="B47865" s="1168"/>
    </row>
    <row r="47866" spans="2:2" s="221" customFormat="1" ht="12.75" x14ac:dyDescent="0.2">
      <c r="B47866" s="1168"/>
    </row>
    <row r="47867" spans="2:2" s="221" customFormat="1" ht="12.75" x14ac:dyDescent="0.2">
      <c r="B47867" s="1168"/>
    </row>
    <row r="47868" spans="2:2" s="221" customFormat="1" ht="12.75" x14ac:dyDescent="0.2">
      <c r="B47868" s="1168"/>
    </row>
    <row r="47869" spans="2:2" s="221" customFormat="1" ht="12.75" x14ac:dyDescent="0.2">
      <c r="B47869" s="1168"/>
    </row>
    <row r="47870" spans="2:2" s="221" customFormat="1" ht="12.75" x14ac:dyDescent="0.2">
      <c r="B47870" s="1168"/>
    </row>
    <row r="47871" spans="2:2" s="221" customFormat="1" ht="12.75" x14ac:dyDescent="0.2">
      <c r="B47871" s="1168"/>
    </row>
    <row r="47872" spans="2:2" s="221" customFormat="1" ht="12.75" x14ac:dyDescent="0.2">
      <c r="B47872" s="1168"/>
    </row>
    <row r="47873" spans="2:2" s="221" customFormat="1" ht="12.75" x14ac:dyDescent="0.2">
      <c r="B47873" s="1168"/>
    </row>
    <row r="47874" spans="2:2" s="221" customFormat="1" ht="12.75" x14ac:dyDescent="0.2">
      <c r="B47874" s="1168"/>
    </row>
    <row r="47875" spans="2:2" s="221" customFormat="1" ht="12.75" x14ac:dyDescent="0.2">
      <c r="B47875" s="1168"/>
    </row>
    <row r="47876" spans="2:2" s="221" customFormat="1" ht="12.75" x14ac:dyDescent="0.2">
      <c r="B47876" s="1168"/>
    </row>
    <row r="47877" spans="2:2" s="221" customFormat="1" ht="12.75" x14ac:dyDescent="0.2">
      <c r="B47877" s="1168"/>
    </row>
    <row r="47878" spans="2:2" s="221" customFormat="1" ht="12.75" x14ac:dyDescent="0.2">
      <c r="B47878" s="1168"/>
    </row>
    <row r="47879" spans="2:2" s="221" customFormat="1" ht="12.75" x14ac:dyDescent="0.2">
      <c r="B47879" s="1168"/>
    </row>
    <row r="47880" spans="2:2" s="221" customFormat="1" ht="12.75" x14ac:dyDescent="0.2">
      <c r="B47880" s="1168"/>
    </row>
    <row r="47881" spans="2:2" s="221" customFormat="1" ht="12.75" x14ac:dyDescent="0.2">
      <c r="B47881" s="1168"/>
    </row>
    <row r="47882" spans="2:2" s="221" customFormat="1" ht="12.75" x14ac:dyDescent="0.2">
      <c r="B47882" s="1168"/>
    </row>
    <row r="47883" spans="2:2" s="221" customFormat="1" ht="12.75" x14ac:dyDescent="0.2">
      <c r="B47883" s="1168"/>
    </row>
    <row r="47884" spans="2:2" s="221" customFormat="1" ht="12.75" x14ac:dyDescent="0.2">
      <c r="B47884" s="1168"/>
    </row>
    <row r="47885" spans="2:2" s="221" customFormat="1" ht="12.75" x14ac:dyDescent="0.2">
      <c r="B47885" s="1168"/>
    </row>
    <row r="47886" spans="2:2" s="221" customFormat="1" ht="12.75" x14ac:dyDescent="0.2">
      <c r="B47886" s="1168"/>
    </row>
    <row r="47887" spans="2:2" s="221" customFormat="1" ht="12.75" x14ac:dyDescent="0.2">
      <c r="B47887" s="1168"/>
    </row>
    <row r="47888" spans="2:2" s="221" customFormat="1" ht="12.75" x14ac:dyDescent="0.2">
      <c r="B47888" s="1168"/>
    </row>
    <row r="47889" spans="2:2" s="221" customFormat="1" ht="12.75" x14ac:dyDescent="0.2">
      <c r="B47889" s="1168"/>
    </row>
    <row r="47890" spans="2:2" s="221" customFormat="1" ht="12.75" x14ac:dyDescent="0.2">
      <c r="B47890" s="1168"/>
    </row>
    <row r="47891" spans="2:2" s="221" customFormat="1" ht="12.75" x14ac:dyDescent="0.2">
      <c r="B47891" s="1168"/>
    </row>
    <row r="47892" spans="2:2" s="221" customFormat="1" ht="12.75" x14ac:dyDescent="0.2">
      <c r="B47892" s="1168"/>
    </row>
    <row r="47893" spans="2:2" s="221" customFormat="1" ht="12.75" x14ac:dyDescent="0.2">
      <c r="B47893" s="1168"/>
    </row>
    <row r="47894" spans="2:2" s="221" customFormat="1" ht="12.75" x14ac:dyDescent="0.2">
      <c r="B47894" s="1168"/>
    </row>
    <row r="47895" spans="2:2" s="221" customFormat="1" ht="12.75" x14ac:dyDescent="0.2">
      <c r="B47895" s="1168"/>
    </row>
    <row r="47896" spans="2:2" s="221" customFormat="1" ht="12.75" x14ac:dyDescent="0.2">
      <c r="B47896" s="1168"/>
    </row>
    <row r="47897" spans="2:2" s="221" customFormat="1" ht="12.75" x14ac:dyDescent="0.2">
      <c r="B47897" s="1168"/>
    </row>
    <row r="47898" spans="2:2" s="221" customFormat="1" ht="12.75" x14ac:dyDescent="0.2">
      <c r="B47898" s="1168"/>
    </row>
    <row r="47899" spans="2:2" s="221" customFormat="1" ht="12.75" x14ac:dyDescent="0.2">
      <c r="B47899" s="1168"/>
    </row>
    <row r="47900" spans="2:2" s="221" customFormat="1" ht="12.75" x14ac:dyDescent="0.2">
      <c r="B47900" s="1168"/>
    </row>
    <row r="47901" spans="2:2" s="221" customFormat="1" ht="12.75" x14ac:dyDescent="0.2">
      <c r="B47901" s="1168"/>
    </row>
    <row r="47902" spans="2:2" s="221" customFormat="1" ht="12.75" x14ac:dyDescent="0.2">
      <c r="B47902" s="1168"/>
    </row>
    <row r="47903" spans="2:2" s="221" customFormat="1" ht="12.75" x14ac:dyDescent="0.2">
      <c r="B47903" s="1168"/>
    </row>
    <row r="47904" spans="2:2" s="221" customFormat="1" ht="12.75" x14ac:dyDescent="0.2">
      <c r="B47904" s="1168"/>
    </row>
    <row r="47905" spans="2:2" s="221" customFormat="1" ht="12.75" x14ac:dyDescent="0.2">
      <c r="B47905" s="1168"/>
    </row>
    <row r="47906" spans="2:2" s="221" customFormat="1" ht="12.75" x14ac:dyDescent="0.2">
      <c r="B47906" s="1168"/>
    </row>
    <row r="47907" spans="2:2" s="221" customFormat="1" ht="12.75" x14ac:dyDescent="0.2">
      <c r="B47907" s="1168"/>
    </row>
    <row r="47908" spans="2:2" s="221" customFormat="1" ht="12.75" x14ac:dyDescent="0.2">
      <c r="B47908" s="1168"/>
    </row>
    <row r="47909" spans="2:2" s="221" customFormat="1" ht="12.75" x14ac:dyDescent="0.2">
      <c r="B47909" s="1168"/>
    </row>
    <row r="47910" spans="2:2" s="221" customFormat="1" ht="12.75" x14ac:dyDescent="0.2">
      <c r="B47910" s="1168"/>
    </row>
    <row r="47911" spans="2:2" s="221" customFormat="1" ht="12.75" x14ac:dyDescent="0.2">
      <c r="B47911" s="1168"/>
    </row>
    <row r="47912" spans="2:2" s="221" customFormat="1" ht="12.75" x14ac:dyDescent="0.2">
      <c r="B47912" s="1168"/>
    </row>
    <row r="47913" spans="2:2" s="221" customFormat="1" ht="12.75" x14ac:dyDescent="0.2">
      <c r="B47913" s="1168"/>
    </row>
    <row r="47914" spans="2:2" s="221" customFormat="1" ht="12.75" x14ac:dyDescent="0.2">
      <c r="B47914" s="1168"/>
    </row>
    <row r="47915" spans="2:2" s="221" customFormat="1" ht="12.75" x14ac:dyDescent="0.2">
      <c r="B47915" s="1168"/>
    </row>
    <row r="47916" spans="2:2" s="221" customFormat="1" ht="12.75" x14ac:dyDescent="0.2">
      <c r="B47916" s="1168"/>
    </row>
    <row r="47917" spans="2:2" s="221" customFormat="1" ht="12.75" x14ac:dyDescent="0.2">
      <c r="B47917" s="1168"/>
    </row>
    <row r="47918" spans="2:2" s="221" customFormat="1" ht="12.75" x14ac:dyDescent="0.2">
      <c r="B47918" s="1168"/>
    </row>
    <row r="47919" spans="2:2" s="221" customFormat="1" ht="12.75" x14ac:dyDescent="0.2">
      <c r="B47919" s="1168"/>
    </row>
    <row r="47920" spans="2:2" s="221" customFormat="1" ht="12.75" x14ac:dyDescent="0.2">
      <c r="B47920" s="1168"/>
    </row>
    <row r="47921" spans="2:2" s="221" customFormat="1" ht="12.75" x14ac:dyDescent="0.2">
      <c r="B47921" s="1168"/>
    </row>
    <row r="47922" spans="2:2" s="221" customFormat="1" ht="12.75" x14ac:dyDescent="0.2">
      <c r="B47922" s="1168"/>
    </row>
    <row r="47923" spans="2:2" s="221" customFormat="1" ht="12.75" x14ac:dyDescent="0.2">
      <c r="B47923" s="1168"/>
    </row>
    <row r="47924" spans="2:2" s="221" customFormat="1" ht="12.75" x14ac:dyDescent="0.2">
      <c r="B47924" s="1168"/>
    </row>
    <row r="47925" spans="2:2" s="221" customFormat="1" ht="12.75" x14ac:dyDescent="0.2">
      <c r="B47925" s="1168"/>
    </row>
    <row r="47926" spans="2:2" s="221" customFormat="1" ht="12.75" x14ac:dyDescent="0.2">
      <c r="B47926" s="1168"/>
    </row>
    <row r="47927" spans="2:2" s="221" customFormat="1" ht="12.75" x14ac:dyDescent="0.2">
      <c r="B47927" s="1168"/>
    </row>
    <row r="47928" spans="2:2" s="221" customFormat="1" ht="12.75" x14ac:dyDescent="0.2">
      <c r="B47928" s="1168"/>
    </row>
    <row r="47929" spans="2:2" s="221" customFormat="1" ht="12.75" x14ac:dyDescent="0.2">
      <c r="B47929" s="1168"/>
    </row>
    <row r="47930" spans="2:2" s="221" customFormat="1" ht="12.75" x14ac:dyDescent="0.2">
      <c r="B47930" s="1168"/>
    </row>
    <row r="47931" spans="2:2" s="221" customFormat="1" ht="12.75" x14ac:dyDescent="0.2">
      <c r="B47931" s="1168"/>
    </row>
    <row r="47932" spans="2:2" s="221" customFormat="1" ht="12.75" x14ac:dyDescent="0.2">
      <c r="B47932" s="1168"/>
    </row>
    <row r="47933" spans="2:2" s="221" customFormat="1" ht="12.75" x14ac:dyDescent="0.2">
      <c r="B47933" s="1168"/>
    </row>
    <row r="47934" spans="2:2" s="221" customFormat="1" ht="12.75" x14ac:dyDescent="0.2">
      <c r="B47934" s="1168"/>
    </row>
    <row r="47935" spans="2:2" s="221" customFormat="1" ht="12.75" x14ac:dyDescent="0.2">
      <c r="B47935" s="1168"/>
    </row>
    <row r="47936" spans="2:2" s="221" customFormat="1" ht="12.75" x14ac:dyDescent="0.2">
      <c r="B47936" s="1168"/>
    </row>
    <row r="47937" spans="2:2" s="221" customFormat="1" ht="12.75" x14ac:dyDescent="0.2">
      <c r="B47937" s="1168"/>
    </row>
    <row r="47938" spans="2:2" s="221" customFormat="1" ht="12.75" x14ac:dyDescent="0.2">
      <c r="B47938" s="1168"/>
    </row>
    <row r="47939" spans="2:2" s="221" customFormat="1" ht="12.75" x14ac:dyDescent="0.2">
      <c r="B47939" s="1168"/>
    </row>
    <row r="47940" spans="2:2" s="221" customFormat="1" ht="12.75" x14ac:dyDescent="0.2">
      <c r="B47940" s="1168"/>
    </row>
    <row r="47941" spans="2:2" s="221" customFormat="1" ht="12.75" x14ac:dyDescent="0.2">
      <c r="B47941" s="1168"/>
    </row>
    <row r="47942" spans="2:2" s="221" customFormat="1" ht="12.75" x14ac:dyDescent="0.2">
      <c r="B47942" s="1168"/>
    </row>
    <row r="47943" spans="2:2" s="221" customFormat="1" ht="12.75" x14ac:dyDescent="0.2">
      <c r="B47943" s="1168"/>
    </row>
    <row r="47944" spans="2:2" s="221" customFormat="1" ht="12.75" x14ac:dyDescent="0.2">
      <c r="B47944" s="1168"/>
    </row>
    <row r="47945" spans="2:2" s="221" customFormat="1" ht="12.75" x14ac:dyDescent="0.2">
      <c r="B47945" s="1168"/>
    </row>
    <row r="47946" spans="2:2" s="221" customFormat="1" ht="12.75" x14ac:dyDescent="0.2">
      <c r="B47946" s="1168"/>
    </row>
    <row r="47947" spans="2:2" s="221" customFormat="1" ht="12.75" x14ac:dyDescent="0.2">
      <c r="B47947" s="1168"/>
    </row>
    <row r="47948" spans="2:2" s="221" customFormat="1" ht="12.75" x14ac:dyDescent="0.2">
      <c r="B47948" s="1168"/>
    </row>
    <row r="47949" spans="2:2" s="221" customFormat="1" ht="12.75" x14ac:dyDescent="0.2">
      <c r="B47949" s="1168"/>
    </row>
    <row r="47950" spans="2:2" s="221" customFormat="1" ht="12.75" x14ac:dyDescent="0.2">
      <c r="B47950" s="1168"/>
    </row>
    <row r="47951" spans="2:2" s="221" customFormat="1" ht="12.75" x14ac:dyDescent="0.2">
      <c r="B47951" s="1168"/>
    </row>
    <row r="47952" spans="2:2" s="221" customFormat="1" ht="12.75" x14ac:dyDescent="0.2">
      <c r="B47952" s="1168"/>
    </row>
    <row r="47953" spans="2:2" s="221" customFormat="1" ht="12.75" x14ac:dyDescent="0.2">
      <c r="B47953" s="1168"/>
    </row>
    <row r="47954" spans="2:2" s="221" customFormat="1" ht="12.75" x14ac:dyDescent="0.2">
      <c r="B47954" s="1168"/>
    </row>
    <row r="47955" spans="2:2" s="221" customFormat="1" ht="12.75" x14ac:dyDescent="0.2">
      <c r="B47955" s="1168"/>
    </row>
    <row r="47956" spans="2:2" s="221" customFormat="1" ht="12.75" x14ac:dyDescent="0.2">
      <c r="B47956" s="1168"/>
    </row>
    <row r="47957" spans="2:2" s="221" customFormat="1" ht="12.75" x14ac:dyDescent="0.2">
      <c r="B47957" s="1168"/>
    </row>
    <row r="47958" spans="2:2" s="221" customFormat="1" ht="12.75" x14ac:dyDescent="0.2">
      <c r="B47958" s="1168"/>
    </row>
    <row r="47959" spans="2:2" s="221" customFormat="1" ht="12.75" x14ac:dyDescent="0.2">
      <c r="B47959" s="1168"/>
    </row>
    <row r="47960" spans="2:2" s="221" customFormat="1" ht="12.75" x14ac:dyDescent="0.2">
      <c r="B47960" s="1168"/>
    </row>
    <row r="47961" spans="2:2" s="221" customFormat="1" ht="12.75" x14ac:dyDescent="0.2">
      <c r="B47961" s="1168"/>
    </row>
    <row r="47962" spans="2:2" s="221" customFormat="1" ht="12.75" x14ac:dyDescent="0.2">
      <c r="B47962" s="1168"/>
    </row>
    <row r="47963" spans="2:2" s="221" customFormat="1" ht="12.75" x14ac:dyDescent="0.2">
      <c r="B47963" s="1168"/>
    </row>
    <row r="47964" spans="2:2" s="221" customFormat="1" ht="12.75" x14ac:dyDescent="0.2">
      <c r="B47964" s="1168"/>
    </row>
    <row r="47965" spans="2:2" s="221" customFormat="1" ht="12.75" x14ac:dyDescent="0.2">
      <c r="B47965" s="1168"/>
    </row>
    <row r="47966" spans="2:2" s="221" customFormat="1" ht="12.75" x14ac:dyDescent="0.2">
      <c r="B47966" s="1168"/>
    </row>
    <row r="47967" spans="2:2" s="221" customFormat="1" ht="12.75" x14ac:dyDescent="0.2">
      <c r="B47967" s="1168"/>
    </row>
    <row r="47968" spans="2:2" s="221" customFormat="1" ht="12.75" x14ac:dyDescent="0.2">
      <c r="B47968" s="1168"/>
    </row>
    <row r="47969" spans="2:2" s="221" customFormat="1" ht="12.75" x14ac:dyDescent="0.2">
      <c r="B47969" s="1168"/>
    </row>
    <row r="47970" spans="2:2" s="221" customFormat="1" ht="12.75" x14ac:dyDescent="0.2">
      <c r="B47970" s="1168"/>
    </row>
    <row r="47971" spans="2:2" s="221" customFormat="1" ht="12.75" x14ac:dyDescent="0.2">
      <c r="B47971" s="1168"/>
    </row>
    <row r="47972" spans="2:2" s="221" customFormat="1" ht="12.75" x14ac:dyDescent="0.2">
      <c r="B47972" s="1168"/>
    </row>
    <row r="47973" spans="2:2" s="221" customFormat="1" ht="12.75" x14ac:dyDescent="0.2">
      <c r="B47973" s="1168"/>
    </row>
    <row r="47974" spans="2:2" s="221" customFormat="1" ht="12.75" x14ac:dyDescent="0.2">
      <c r="B47974" s="1168"/>
    </row>
    <row r="47975" spans="2:2" s="221" customFormat="1" ht="12.75" x14ac:dyDescent="0.2">
      <c r="B47975" s="1168"/>
    </row>
    <row r="47976" spans="2:2" s="221" customFormat="1" ht="12.75" x14ac:dyDescent="0.2">
      <c r="B47976" s="1168"/>
    </row>
    <row r="47977" spans="2:2" s="221" customFormat="1" ht="12.75" x14ac:dyDescent="0.2">
      <c r="B47977" s="1168"/>
    </row>
    <row r="47978" spans="2:2" s="221" customFormat="1" ht="12.75" x14ac:dyDescent="0.2">
      <c r="B47978" s="1168"/>
    </row>
    <row r="47979" spans="2:2" s="221" customFormat="1" ht="12.75" x14ac:dyDescent="0.2">
      <c r="B47979" s="1168"/>
    </row>
    <row r="47980" spans="2:2" s="221" customFormat="1" ht="12.75" x14ac:dyDescent="0.2">
      <c r="B47980" s="1168"/>
    </row>
    <row r="47981" spans="2:2" s="221" customFormat="1" ht="12.75" x14ac:dyDescent="0.2">
      <c r="B47981" s="1168"/>
    </row>
    <row r="47982" spans="2:2" s="221" customFormat="1" ht="12.75" x14ac:dyDescent="0.2">
      <c r="B47982" s="1168"/>
    </row>
    <row r="47983" spans="2:2" s="221" customFormat="1" ht="12.75" x14ac:dyDescent="0.2">
      <c r="B47983" s="1168"/>
    </row>
    <row r="47984" spans="2:2" s="221" customFormat="1" ht="12.75" x14ac:dyDescent="0.2">
      <c r="B47984" s="1168"/>
    </row>
    <row r="47985" spans="2:2" s="221" customFormat="1" ht="12.75" x14ac:dyDescent="0.2">
      <c r="B47985" s="1168"/>
    </row>
    <row r="47986" spans="2:2" s="221" customFormat="1" ht="12.75" x14ac:dyDescent="0.2">
      <c r="B47986" s="1168"/>
    </row>
    <row r="47987" spans="2:2" s="221" customFormat="1" ht="12.75" x14ac:dyDescent="0.2">
      <c r="B47987" s="1168"/>
    </row>
    <row r="47988" spans="2:2" s="221" customFormat="1" ht="12.75" x14ac:dyDescent="0.2">
      <c r="B47988" s="1168"/>
    </row>
    <row r="47989" spans="2:2" s="221" customFormat="1" ht="12.75" x14ac:dyDescent="0.2">
      <c r="B47989" s="1168"/>
    </row>
    <row r="47990" spans="2:2" s="221" customFormat="1" ht="12.75" x14ac:dyDescent="0.2">
      <c r="B47990" s="1168"/>
    </row>
    <row r="47991" spans="2:2" s="221" customFormat="1" ht="12.75" x14ac:dyDescent="0.2">
      <c r="B47991" s="1168"/>
    </row>
    <row r="47992" spans="2:2" s="221" customFormat="1" ht="12.75" x14ac:dyDescent="0.2">
      <c r="B47992" s="1168"/>
    </row>
    <row r="47993" spans="2:2" s="221" customFormat="1" ht="12.75" x14ac:dyDescent="0.2">
      <c r="B47993" s="1168"/>
    </row>
    <row r="47994" spans="2:2" s="221" customFormat="1" ht="12.75" x14ac:dyDescent="0.2">
      <c r="B47994" s="1168"/>
    </row>
    <row r="47995" spans="2:2" s="221" customFormat="1" ht="12.75" x14ac:dyDescent="0.2">
      <c r="B47995" s="1168"/>
    </row>
    <row r="47996" spans="2:2" s="221" customFormat="1" ht="12.75" x14ac:dyDescent="0.2">
      <c r="B47996" s="1168"/>
    </row>
    <row r="47997" spans="2:2" s="221" customFormat="1" ht="12.75" x14ac:dyDescent="0.2">
      <c r="B47997" s="1168"/>
    </row>
    <row r="47998" spans="2:2" s="221" customFormat="1" ht="12.75" x14ac:dyDescent="0.2">
      <c r="B47998" s="1168"/>
    </row>
    <row r="47999" spans="2:2" s="221" customFormat="1" ht="12.75" x14ac:dyDescent="0.2">
      <c r="B47999" s="1168"/>
    </row>
    <row r="48000" spans="2:2" s="221" customFormat="1" ht="12.75" x14ac:dyDescent="0.2">
      <c r="B48000" s="1168"/>
    </row>
    <row r="48001" spans="2:2" s="221" customFormat="1" ht="12.75" x14ac:dyDescent="0.2">
      <c r="B48001" s="1168"/>
    </row>
    <row r="48002" spans="2:2" s="221" customFormat="1" ht="12.75" x14ac:dyDescent="0.2">
      <c r="B48002" s="1168"/>
    </row>
    <row r="48003" spans="2:2" s="221" customFormat="1" ht="12.75" x14ac:dyDescent="0.2">
      <c r="B48003" s="1168"/>
    </row>
    <row r="48004" spans="2:2" s="221" customFormat="1" ht="12.75" x14ac:dyDescent="0.2">
      <c r="B48004" s="1168"/>
    </row>
    <row r="48005" spans="2:2" s="221" customFormat="1" ht="12.75" x14ac:dyDescent="0.2">
      <c r="B48005" s="1168"/>
    </row>
    <row r="48006" spans="2:2" s="221" customFormat="1" ht="12.75" x14ac:dyDescent="0.2">
      <c r="B48006" s="1168"/>
    </row>
    <row r="48007" spans="2:2" s="221" customFormat="1" ht="12.75" x14ac:dyDescent="0.2">
      <c r="B48007" s="1168"/>
    </row>
    <row r="48008" spans="2:2" s="221" customFormat="1" ht="12.75" x14ac:dyDescent="0.2">
      <c r="B48008" s="1168"/>
    </row>
    <row r="48009" spans="2:2" s="221" customFormat="1" ht="12.75" x14ac:dyDescent="0.2">
      <c r="B48009" s="1168"/>
    </row>
    <row r="48010" spans="2:2" s="221" customFormat="1" ht="12.75" x14ac:dyDescent="0.2">
      <c r="B48010" s="1168"/>
    </row>
    <row r="48011" spans="2:2" s="221" customFormat="1" ht="12.75" x14ac:dyDescent="0.2">
      <c r="B48011" s="1168"/>
    </row>
    <row r="48012" spans="2:2" s="221" customFormat="1" ht="12.75" x14ac:dyDescent="0.2">
      <c r="B48012" s="1168"/>
    </row>
    <row r="48013" spans="2:2" s="221" customFormat="1" ht="12.75" x14ac:dyDescent="0.2">
      <c r="B48013" s="1168"/>
    </row>
    <row r="48014" spans="2:2" s="221" customFormat="1" ht="12.75" x14ac:dyDescent="0.2">
      <c r="B48014" s="1168"/>
    </row>
    <row r="48015" spans="2:2" s="221" customFormat="1" ht="12.75" x14ac:dyDescent="0.2">
      <c r="B48015" s="1168"/>
    </row>
    <row r="48016" spans="2:2" s="221" customFormat="1" ht="12.75" x14ac:dyDescent="0.2">
      <c r="B48016" s="1168"/>
    </row>
    <row r="48017" spans="2:2" s="221" customFormat="1" ht="12.75" x14ac:dyDescent="0.2">
      <c r="B48017" s="1168"/>
    </row>
    <row r="48018" spans="2:2" s="221" customFormat="1" ht="12.75" x14ac:dyDescent="0.2">
      <c r="B48018" s="1168"/>
    </row>
    <row r="48019" spans="2:2" s="221" customFormat="1" ht="12.75" x14ac:dyDescent="0.2">
      <c r="B48019" s="1168"/>
    </row>
    <row r="48020" spans="2:2" s="221" customFormat="1" ht="12.75" x14ac:dyDescent="0.2">
      <c r="B48020" s="1168"/>
    </row>
    <row r="48021" spans="2:2" s="221" customFormat="1" ht="12.75" x14ac:dyDescent="0.2">
      <c r="B48021" s="1168"/>
    </row>
    <row r="48022" spans="2:2" s="221" customFormat="1" ht="12.75" x14ac:dyDescent="0.2">
      <c r="B48022" s="1168"/>
    </row>
    <row r="48023" spans="2:2" s="221" customFormat="1" ht="12.75" x14ac:dyDescent="0.2">
      <c r="B48023" s="1168"/>
    </row>
    <row r="48024" spans="2:2" s="221" customFormat="1" ht="12.75" x14ac:dyDescent="0.2">
      <c r="B48024" s="1168"/>
    </row>
    <row r="48025" spans="2:2" s="221" customFormat="1" ht="12.75" x14ac:dyDescent="0.2">
      <c r="B48025" s="1168"/>
    </row>
    <row r="48026" spans="2:2" s="221" customFormat="1" ht="12.75" x14ac:dyDescent="0.2">
      <c r="B48026" s="1168"/>
    </row>
    <row r="48027" spans="2:2" s="221" customFormat="1" ht="12.75" x14ac:dyDescent="0.2">
      <c r="B48027" s="1168"/>
    </row>
    <row r="48028" spans="2:2" s="221" customFormat="1" ht="12.75" x14ac:dyDescent="0.2">
      <c r="B48028" s="1168"/>
    </row>
    <row r="48029" spans="2:2" s="221" customFormat="1" ht="12.75" x14ac:dyDescent="0.2">
      <c r="B48029" s="1168"/>
    </row>
    <row r="48030" spans="2:2" s="221" customFormat="1" ht="12.75" x14ac:dyDescent="0.2">
      <c r="B48030" s="1168"/>
    </row>
    <row r="48031" spans="2:2" s="221" customFormat="1" ht="12.75" x14ac:dyDescent="0.2">
      <c r="B48031" s="1168"/>
    </row>
    <row r="48032" spans="2:2" s="221" customFormat="1" ht="12.75" x14ac:dyDescent="0.2">
      <c r="B48032" s="1168"/>
    </row>
    <row r="48033" spans="2:2" s="221" customFormat="1" ht="12.75" x14ac:dyDescent="0.2">
      <c r="B48033" s="1168"/>
    </row>
    <row r="48034" spans="2:2" s="221" customFormat="1" ht="12.75" x14ac:dyDescent="0.2">
      <c r="B48034" s="1168"/>
    </row>
    <row r="48035" spans="2:2" s="221" customFormat="1" ht="12.75" x14ac:dyDescent="0.2">
      <c r="B48035" s="1168"/>
    </row>
    <row r="48036" spans="2:2" s="221" customFormat="1" ht="12.75" x14ac:dyDescent="0.2">
      <c r="B48036" s="1168"/>
    </row>
    <row r="48037" spans="2:2" s="221" customFormat="1" ht="12.75" x14ac:dyDescent="0.2">
      <c r="B48037" s="1168"/>
    </row>
    <row r="48038" spans="2:2" s="221" customFormat="1" ht="12.75" x14ac:dyDescent="0.2">
      <c r="B48038" s="1168"/>
    </row>
    <row r="48039" spans="2:2" s="221" customFormat="1" ht="12.75" x14ac:dyDescent="0.2">
      <c r="B48039" s="1168"/>
    </row>
    <row r="48040" spans="2:2" s="221" customFormat="1" ht="12.75" x14ac:dyDescent="0.2">
      <c r="B48040" s="1168"/>
    </row>
    <row r="48041" spans="2:2" s="221" customFormat="1" ht="12.75" x14ac:dyDescent="0.2">
      <c r="B48041" s="1168"/>
    </row>
    <row r="48042" spans="2:2" s="221" customFormat="1" ht="12.75" x14ac:dyDescent="0.2">
      <c r="B48042" s="1168"/>
    </row>
    <row r="48043" spans="2:2" s="221" customFormat="1" ht="12.75" x14ac:dyDescent="0.2">
      <c r="B48043" s="1168"/>
    </row>
    <row r="48044" spans="2:2" s="221" customFormat="1" ht="12.75" x14ac:dyDescent="0.2">
      <c r="B48044" s="1168"/>
    </row>
    <row r="48045" spans="2:2" s="221" customFormat="1" ht="12.75" x14ac:dyDescent="0.2">
      <c r="B48045" s="1168"/>
    </row>
    <row r="48046" spans="2:2" s="221" customFormat="1" ht="12.75" x14ac:dyDescent="0.2">
      <c r="B48046" s="1168"/>
    </row>
    <row r="48047" spans="2:2" s="221" customFormat="1" ht="12.75" x14ac:dyDescent="0.2">
      <c r="B48047" s="1168"/>
    </row>
    <row r="48048" spans="2:2" s="221" customFormat="1" ht="12.75" x14ac:dyDescent="0.2">
      <c r="B48048" s="1168"/>
    </row>
    <row r="48049" spans="2:2" s="221" customFormat="1" ht="12.75" x14ac:dyDescent="0.2">
      <c r="B48049" s="1168"/>
    </row>
    <row r="48050" spans="2:2" s="221" customFormat="1" ht="12.75" x14ac:dyDescent="0.2">
      <c r="B48050" s="1168"/>
    </row>
    <row r="48051" spans="2:2" s="221" customFormat="1" ht="12.75" x14ac:dyDescent="0.2">
      <c r="B48051" s="1168"/>
    </row>
    <row r="48052" spans="2:2" s="221" customFormat="1" ht="12.75" x14ac:dyDescent="0.2">
      <c r="B48052" s="1168"/>
    </row>
    <row r="48053" spans="2:2" s="221" customFormat="1" ht="12.75" x14ac:dyDescent="0.2">
      <c r="B48053" s="1168"/>
    </row>
    <row r="48054" spans="2:2" s="221" customFormat="1" ht="12.75" x14ac:dyDescent="0.2">
      <c r="B48054" s="1168"/>
    </row>
    <row r="48055" spans="2:2" s="221" customFormat="1" ht="12.75" x14ac:dyDescent="0.2">
      <c r="B48055" s="1168"/>
    </row>
    <row r="48056" spans="2:2" s="221" customFormat="1" ht="12.75" x14ac:dyDescent="0.2">
      <c r="B48056" s="1168"/>
    </row>
    <row r="48057" spans="2:2" s="221" customFormat="1" ht="12.75" x14ac:dyDescent="0.2">
      <c r="B48057" s="1168"/>
    </row>
    <row r="48058" spans="2:2" s="221" customFormat="1" ht="12.75" x14ac:dyDescent="0.2">
      <c r="B48058" s="1168"/>
    </row>
    <row r="48059" spans="2:2" s="221" customFormat="1" ht="12.75" x14ac:dyDescent="0.2">
      <c r="B48059" s="1168"/>
    </row>
    <row r="48060" spans="2:2" s="221" customFormat="1" ht="12.75" x14ac:dyDescent="0.2">
      <c r="B48060" s="1168"/>
    </row>
    <row r="48061" spans="2:2" s="221" customFormat="1" ht="12.75" x14ac:dyDescent="0.2">
      <c r="B48061" s="1168"/>
    </row>
    <row r="48062" spans="2:2" s="221" customFormat="1" ht="12.75" x14ac:dyDescent="0.2">
      <c r="B48062" s="1168"/>
    </row>
    <row r="48063" spans="2:2" s="221" customFormat="1" ht="12.75" x14ac:dyDescent="0.2">
      <c r="B48063" s="1168"/>
    </row>
    <row r="48064" spans="2:2" s="221" customFormat="1" ht="12.75" x14ac:dyDescent="0.2">
      <c r="B48064" s="1168"/>
    </row>
    <row r="48065" spans="2:2" s="221" customFormat="1" ht="12.75" x14ac:dyDescent="0.2">
      <c r="B48065" s="1168"/>
    </row>
    <row r="48066" spans="2:2" s="221" customFormat="1" ht="12.75" x14ac:dyDescent="0.2">
      <c r="B48066" s="1168"/>
    </row>
    <row r="48067" spans="2:2" s="221" customFormat="1" ht="12.75" x14ac:dyDescent="0.2">
      <c r="B48067" s="1168"/>
    </row>
    <row r="48068" spans="2:2" s="221" customFormat="1" ht="12.75" x14ac:dyDescent="0.2">
      <c r="B48068" s="1168"/>
    </row>
    <row r="48069" spans="2:2" s="221" customFormat="1" ht="12.75" x14ac:dyDescent="0.2">
      <c r="B48069" s="1168"/>
    </row>
    <row r="48070" spans="2:2" s="221" customFormat="1" ht="12.75" x14ac:dyDescent="0.2">
      <c r="B48070" s="1168"/>
    </row>
    <row r="48071" spans="2:2" s="221" customFormat="1" ht="12.75" x14ac:dyDescent="0.2">
      <c r="B48071" s="1168"/>
    </row>
    <row r="48072" spans="2:2" s="221" customFormat="1" ht="12.75" x14ac:dyDescent="0.2">
      <c r="B48072" s="1168"/>
    </row>
    <row r="48073" spans="2:2" s="221" customFormat="1" ht="12.75" x14ac:dyDescent="0.2">
      <c r="B48073" s="1168"/>
    </row>
    <row r="48074" spans="2:2" s="221" customFormat="1" ht="12.75" x14ac:dyDescent="0.2">
      <c r="B48074" s="1168"/>
    </row>
    <row r="48075" spans="2:2" s="221" customFormat="1" ht="12.75" x14ac:dyDescent="0.2">
      <c r="B48075" s="1168"/>
    </row>
    <row r="48076" spans="2:2" s="221" customFormat="1" ht="12.75" x14ac:dyDescent="0.2">
      <c r="B48076" s="1168"/>
    </row>
    <row r="48077" spans="2:2" s="221" customFormat="1" ht="12.75" x14ac:dyDescent="0.2">
      <c r="B48077" s="1168"/>
    </row>
    <row r="48078" spans="2:2" s="221" customFormat="1" ht="12.75" x14ac:dyDescent="0.2">
      <c r="B48078" s="1168"/>
    </row>
    <row r="48079" spans="2:2" s="221" customFormat="1" ht="12.75" x14ac:dyDescent="0.2">
      <c r="B48079" s="1168"/>
    </row>
    <row r="48080" spans="2:2" s="221" customFormat="1" ht="12.75" x14ac:dyDescent="0.2">
      <c r="B48080" s="1168"/>
    </row>
    <row r="48081" spans="2:2" s="221" customFormat="1" ht="12.75" x14ac:dyDescent="0.2">
      <c r="B48081" s="1168"/>
    </row>
    <row r="48082" spans="2:2" s="221" customFormat="1" ht="12.75" x14ac:dyDescent="0.2">
      <c r="B48082" s="1168"/>
    </row>
    <row r="48083" spans="2:2" s="221" customFormat="1" ht="12.75" x14ac:dyDescent="0.2">
      <c r="B48083" s="1168"/>
    </row>
    <row r="48084" spans="2:2" s="221" customFormat="1" ht="12.75" x14ac:dyDescent="0.2">
      <c r="B48084" s="1168"/>
    </row>
    <row r="48085" spans="2:2" s="221" customFormat="1" ht="12.75" x14ac:dyDescent="0.2">
      <c r="B48085" s="1168"/>
    </row>
    <row r="48086" spans="2:2" s="221" customFormat="1" ht="12.75" x14ac:dyDescent="0.2">
      <c r="B48086" s="1168"/>
    </row>
    <row r="48087" spans="2:2" s="221" customFormat="1" ht="12.75" x14ac:dyDescent="0.2">
      <c r="B48087" s="1168"/>
    </row>
    <row r="48088" spans="2:2" s="221" customFormat="1" ht="12.75" x14ac:dyDescent="0.2">
      <c r="B48088" s="1168"/>
    </row>
    <row r="48089" spans="2:2" s="221" customFormat="1" ht="12.75" x14ac:dyDescent="0.2">
      <c r="B48089" s="1168"/>
    </row>
    <row r="48090" spans="2:2" s="221" customFormat="1" ht="12.75" x14ac:dyDescent="0.2">
      <c r="B48090" s="1168"/>
    </row>
    <row r="48091" spans="2:2" s="221" customFormat="1" ht="12.75" x14ac:dyDescent="0.2">
      <c r="B48091" s="1168"/>
    </row>
    <row r="48092" spans="2:2" s="221" customFormat="1" ht="12.75" x14ac:dyDescent="0.2">
      <c r="B48092" s="1168"/>
    </row>
    <row r="48093" spans="2:2" s="221" customFormat="1" ht="12.75" x14ac:dyDescent="0.2">
      <c r="B48093" s="1168"/>
    </row>
    <row r="48094" spans="2:2" s="221" customFormat="1" ht="12.75" x14ac:dyDescent="0.2">
      <c r="B48094" s="1168"/>
    </row>
    <row r="48095" spans="2:2" s="221" customFormat="1" ht="12.75" x14ac:dyDescent="0.2">
      <c r="B48095" s="1168"/>
    </row>
    <row r="48096" spans="2:2" s="221" customFormat="1" ht="12.75" x14ac:dyDescent="0.2">
      <c r="B48096" s="1168"/>
    </row>
    <row r="48097" spans="2:2" s="221" customFormat="1" ht="12.75" x14ac:dyDescent="0.2">
      <c r="B48097" s="1168"/>
    </row>
    <row r="48098" spans="2:2" s="221" customFormat="1" ht="12.75" x14ac:dyDescent="0.2">
      <c r="B48098" s="1168"/>
    </row>
    <row r="48099" spans="2:2" s="221" customFormat="1" ht="12.75" x14ac:dyDescent="0.2">
      <c r="B48099" s="1168"/>
    </row>
    <row r="48100" spans="2:2" s="221" customFormat="1" ht="12.75" x14ac:dyDescent="0.2">
      <c r="B48100" s="1168"/>
    </row>
    <row r="48101" spans="2:2" s="221" customFormat="1" ht="12.75" x14ac:dyDescent="0.2">
      <c r="B48101" s="1168"/>
    </row>
    <row r="48102" spans="2:2" s="221" customFormat="1" ht="12.75" x14ac:dyDescent="0.2">
      <c r="B48102" s="1168"/>
    </row>
    <row r="48103" spans="2:2" s="221" customFormat="1" ht="12.75" x14ac:dyDescent="0.2">
      <c r="B48103" s="1168"/>
    </row>
    <row r="48104" spans="2:2" s="221" customFormat="1" ht="12.75" x14ac:dyDescent="0.2">
      <c r="B48104" s="1168"/>
    </row>
    <row r="48105" spans="2:2" s="221" customFormat="1" ht="12.75" x14ac:dyDescent="0.2">
      <c r="B48105" s="1168"/>
    </row>
    <row r="48106" spans="2:2" s="221" customFormat="1" ht="12.75" x14ac:dyDescent="0.2">
      <c r="B48106" s="1168"/>
    </row>
    <row r="48107" spans="2:2" s="221" customFormat="1" ht="12.75" x14ac:dyDescent="0.2">
      <c r="B48107" s="1168"/>
    </row>
    <row r="48108" spans="2:2" s="221" customFormat="1" ht="12.75" x14ac:dyDescent="0.2">
      <c r="B48108" s="1168"/>
    </row>
    <row r="48109" spans="2:2" s="221" customFormat="1" ht="12.75" x14ac:dyDescent="0.2">
      <c r="B48109" s="1168"/>
    </row>
    <row r="48110" spans="2:2" s="221" customFormat="1" ht="12.75" x14ac:dyDescent="0.2">
      <c r="B48110" s="1168"/>
    </row>
    <row r="48111" spans="2:2" s="221" customFormat="1" ht="12.75" x14ac:dyDescent="0.2">
      <c r="B48111" s="1168"/>
    </row>
    <row r="48112" spans="2:2" s="221" customFormat="1" ht="12.75" x14ac:dyDescent="0.2">
      <c r="B48112" s="1168"/>
    </row>
    <row r="48113" spans="2:2" s="221" customFormat="1" ht="12.75" x14ac:dyDescent="0.2">
      <c r="B48113" s="1168"/>
    </row>
    <row r="48114" spans="2:2" s="221" customFormat="1" ht="12.75" x14ac:dyDescent="0.2">
      <c r="B48114" s="1168"/>
    </row>
    <row r="48115" spans="2:2" s="221" customFormat="1" ht="12.75" x14ac:dyDescent="0.2">
      <c r="B48115" s="1168"/>
    </row>
    <row r="48116" spans="2:2" s="221" customFormat="1" ht="12.75" x14ac:dyDescent="0.2">
      <c r="B48116" s="1168"/>
    </row>
    <row r="48117" spans="2:2" s="221" customFormat="1" ht="12.75" x14ac:dyDescent="0.2">
      <c r="B48117" s="1168"/>
    </row>
    <row r="48118" spans="2:2" s="221" customFormat="1" ht="12.75" x14ac:dyDescent="0.2">
      <c r="B48118" s="1168"/>
    </row>
    <row r="48119" spans="2:2" s="221" customFormat="1" ht="12.75" x14ac:dyDescent="0.2">
      <c r="B48119" s="1168"/>
    </row>
    <row r="48120" spans="2:2" s="221" customFormat="1" ht="12.75" x14ac:dyDescent="0.2">
      <c r="B48120" s="1168"/>
    </row>
    <row r="48121" spans="2:2" s="221" customFormat="1" ht="12.75" x14ac:dyDescent="0.2">
      <c r="B48121" s="1168"/>
    </row>
    <row r="48122" spans="2:2" s="221" customFormat="1" ht="12.75" x14ac:dyDescent="0.2">
      <c r="B48122" s="1168"/>
    </row>
    <row r="48123" spans="2:2" s="221" customFormat="1" ht="12.75" x14ac:dyDescent="0.2">
      <c r="B48123" s="1168"/>
    </row>
    <row r="48124" spans="2:2" s="221" customFormat="1" ht="12.75" x14ac:dyDescent="0.2">
      <c r="B48124" s="1168"/>
    </row>
    <row r="48125" spans="2:2" s="221" customFormat="1" ht="12.75" x14ac:dyDescent="0.2">
      <c r="B48125" s="1168"/>
    </row>
    <row r="48126" spans="2:2" s="221" customFormat="1" ht="12.75" x14ac:dyDescent="0.2">
      <c r="B48126" s="1168"/>
    </row>
    <row r="48127" spans="2:2" s="221" customFormat="1" ht="12.75" x14ac:dyDescent="0.2">
      <c r="B48127" s="1168"/>
    </row>
    <row r="48128" spans="2:2" s="221" customFormat="1" ht="12.75" x14ac:dyDescent="0.2">
      <c r="B48128" s="1168"/>
    </row>
    <row r="48129" spans="2:2" s="221" customFormat="1" ht="12.75" x14ac:dyDescent="0.2">
      <c r="B48129" s="1168"/>
    </row>
    <row r="48130" spans="2:2" s="221" customFormat="1" ht="12.75" x14ac:dyDescent="0.2">
      <c r="B48130" s="1168"/>
    </row>
    <row r="48131" spans="2:2" s="221" customFormat="1" ht="12.75" x14ac:dyDescent="0.2">
      <c r="B48131" s="1168"/>
    </row>
    <row r="48132" spans="2:2" s="221" customFormat="1" ht="12.75" x14ac:dyDescent="0.2">
      <c r="B48132" s="1168"/>
    </row>
    <row r="48133" spans="2:2" s="221" customFormat="1" ht="12.75" x14ac:dyDescent="0.2">
      <c r="B48133" s="1168"/>
    </row>
    <row r="48134" spans="2:2" s="221" customFormat="1" ht="12.75" x14ac:dyDescent="0.2">
      <c r="B48134" s="1168"/>
    </row>
    <row r="48135" spans="2:2" s="221" customFormat="1" ht="12.75" x14ac:dyDescent="0.2">
      <c r="B48135" s="1168"/>
    </row>
    <row r="48136" spans="2:2" s="221" customFormat="1" ht="12.75" x14ac:dyDescent="0.2">
      <c r="B48136" s="1168"/>
    </row>
    <row r="48137" spans="2:2" s="221" customFormat="1" ht="12.75" x14ac:dyDescent="0.2">
      <c r="B48137" s="1168"/>
    </row>
    <row r="48138" spans="2:2" s="221" customFormat="1" ht="12.75" x14ac:dyDescent="0.2">
      <c r="B48138" s="1168"/>
    </row>
    <row r="48139" spans="2:2" s="221" customFormat="1" ht="12.75" x14ac:dyDescent="0.2">
      <c r="B48139" s="1168"/>
    </row>
    <row r="48140" spans="2:2" s="221" customFormat="1" ht="12.75" x14ac:dyDescent="0.2">
      <c r="B48140" s="1168"/>
    </row>
    <row r="48141" spans="2:2" s="221" customFormat="1" ht="12.75" x14ac:dyDescent="0.2">
      <c r="B48141" s="1168"/>
    </row>
    <row r="48142" spans="2:2" s="221" customFormat="1" ht="12.75" x14ac:dyDescent="0.2">
      <c r="B48142" s="1168"/>
    </row>
    <row r="48143" spans="2:2" s="221" customFormat="1" ht="12.75" x14ac:dyDescent="0.2">
      <c r="B48143" s="1168"/>
    </row>
    <row r="48144" spans="2:2" s="221" customFormat="1" ht="12.75" x14ac:dyDescent="0.2">
      <c r="B48144" s="1168"/>
    </row>
    <row r="48145" spans="2:2" s="221" customFormat="1" ht="12.75" x14ac:dyDescent="0.2">
      <c r="B48145" s="1168"/>
    </row>
    <row r="48146" spans="2:2" s="221" customFormat="1" ht="12.75" x14ac:dyDescent="0.2">
      <c r="B48146" s="1168"/>
    </row>
    <row r="48147" spans="2:2" s="221" customFormat="1" ht="12.75" x14ac:dyDescent="0.2">
      <c r="B48147" s="1168"/>
    </row>
    <row r="48148" spans="2:2" s="221" customFormat="1" ht="12.75" x14ac:dyDescent="0.2">
      <c r="B48148" s="1168"/>
    </row>
    <row r="48149" spans="2:2" s="221" customFormat="1" ht="12.75" x14ac:dyDescent="0.2">
      <c r="B48149" s="1168"/>
    </row>
    <row r="48150" spans="2:2" s="221" customFormat="1" ht="12.75" x14ac:dyDescent="0.2">
      <c r="B48150" s="1168"/>
    </row>
    <row r="48151" spans="2:2" s="221" customFormat="1" ht="12.75" x14ac:dyDescent="0.2">
      <c r="B48151" s="1168"/>
    </row>
    <row r="48152" spans="2:2" s="221" customFormat="1" ht="12.75" x14ac:dyDescent="0.2">
      <c r="B48152" s="1168"/>
    </row>
    <row r="48153" spans="2:2" s="221" customFormat="1" ht="12.75" x14ac:dyDescent="0.2">
      <c r="B48153" s="1168"/>
    </row>
    <row r="48154" spans="2:2" s="221" customFormat="1" ht="12.75" x14ac:dyDescent="0.2">
      <c r="B48154" s="1168"/>
    </row>
    <row r="48155" spans="2:2" s="221" customFormat="1" ht="12.75" x14ac:dyDescent="0.2">
      <c r="B48155" s="1168"/>
    </row>
    <row r="48156" spans="2:2" s="221" customFormat="1" ht="12.75" x14ac:dyDescent="0.2">
      <c r="B48156" s="1168"/>
    </row>
    <row r="48157" spans="2:2" s="221" customFormat="1" ht="12.75" x14ac:dyDescent="0.2">
      <c r="B48157" s="1168"/>
    </row>
    <row r="48158" spans="2:2" s="221" customFormat="1" ht="12.75" x14ac:dyDescent="0.2">
      <c r="B48158" s="1168"/>
    </row>
    <row r="48159" spans="2:2" s="221" customFormat="1" ht="12.75" x14ac:dyDescent="0.2">
      <c r="B48159" s="1168"/>
    </row>
    <row r="48160" spans="2:2" s="221" customFormat="1" ht="12.75" x14ac:dyDescent="0.2">
      <c r="B48160" s="1168"/>
    </row>
    <row r="48161" spans="2:2" s="221" customFormat="1" ht="12.75" x14ac:dyDescent="0.2">
      <c r="B48161" s="1168"/>
    </row>
    <row r="48162" spans="2:2" s="221" customFormat="1" ht="12.75" x14ac:dyDescent="0.2">
      <c r="B48162" s="1168"/>
    </row>
    <row r="48163" spans="2:2" s="221" customFormat="1" ht="12.75" x14ac:dyDescent="0.2">
      <c r="B48163" s="1168"/>
    </row>
    <row r="48164" spans="2:2" s="221" customFormat="1" ht="12.75" x14ac:dyDescent="0.2">
      <c r="B48164" s="1168"/>
    </row>
    <row r="48165" spans="2:2" s="221" customFormat="1" ht="12.75" x14ac:dyDescent="0.2">
      <c r="B48165" s="1168"/>
    </row>
    <row r="48166" spans="2:2" s="221" customFormat="1" ht="12.75" x14ac:dyDescent="0.2">
      <c r="B48166" s="1168"/>
    </row>
    <row r="48167" spans="2:2" s="221" customFormat="1" ht="12.75" x14ac:dyDescent="0.2">
      <c r="B48167" s="1168"/>
    </row>
    <row r="48168" spans="2:2" s="221" customFormat="1" ht="12.75" x14ac:dyDescent="0.2">
      <c r="B48168" s="1168"/>
    </row>
    <row r="48169" spans="2:2" s="221" customFormat="1" ht="12.75" x14ac:dyDescent="0.2">
      <c r="B48169" s="1168"/>
    </row>
    <row r="48170" spans="2:2" s="221" customFormat="1" ht="12.75" x14ac:dyDescent="0.2">
      <c r="B48170" s="1168"/>
    </row>
    <row r="48171" spans="2:2" s="221" customFormat="1" ht="12.75" x14ac:dyDescent="0.2">
      <c r="B48171" s="1168"/>
    </row>
    <row r="48172" spans="2:2" s="221" customFormat="1" ht="12.75" x14ac:dyDescent="0.2">
      <c r="B48172" s="1168"/>
    </row>
    <row r="48173" spans="2:2" s="221" customFormat="1" ht="12.75" x14ac:dyDescent="0.2">
      <c r="B48173" s="1168"/>
    </row>
    <row r="48174" spans="2:2" s="221" customFormat="1" ht="12.75" x14ac:dyDescent="0.2">
      <c r="B48174" s="1168"/>
    </row>
    <row r="48175" spans="2:2" s="221" customFormat="1" ht="12.75" x14ac:dyDescent="0.2">
      <c r="B48175" s="1168"/>
    </row>
    <row r="48176" spans="2:2" s="221" customFormat="1" ht="12.75" x14ac:dyDescent="0.2">
      <c r="B48176" s="1168"/>
    </row>
    <row r="48177" spans="2:2" s="221" customFormat="1" ht="12.75" x14ac:dyDescent="0.2">
      <c r="B48177" s="1168"/>
    </row>
    <row r="48178" spans="2:2" s="221" customFormat="1" ht="12.75" x14ac:dyDescent="0.2">
      <c r="B48178" s="1168"/>
    </row>
    <row r="48179" spans="2:2" s="221" customFormat="1" ht="12.75" x14ac:dyDescent="0.2">
      <c r="B48179" s="1168"/>
    </row>
    <row r="48180" spans="2:2" s="221" customFormat="1" ht="12.75" x14ac:dyDescent="0.2">
      <c r="B48180" s="1168"/>
    </row>
    <row r="48181" spans="2:2" s="221" customFormat="1" ht="12.75" x14ac:dyDescent="0.2">
      <c r="B48181" s="1168"/>
    </row>
    <row r="48182" spans="2:2" s="221" customFormat="1" ht="12.75" x14ac:dyDescent="0.2">
      <c r="B48182" s="1168"/>
    </row>
    <row r="48183" spans="2:2" s="221" customFormat="1" ht="12.75" x14ac:dyDescent="0.2">
      <c r="B48183" s="1168"/>
    </row>
    <row r="48184" spans="2:2" s="221" customFormat="1" ht="12.75" x14ac:dyDescent="0.2">
      <c r="B48184" s="1168"/>
    </row>
    <row r="48185" spans="2:2" s="221" customFormat="1" ht="12.75" x14ac:dyDescent="0.2">
      <c r="B48185" s="1168"/>
    </row>
    <row r="48186" spans="2:2" s="221" customFormat="1" ht="12.75" x14ac:dyDescent="0.2">
      <c r="B48186" s="1168"/>
    </row>
    <row r="48187" spans="2:2" s="221" customFormat="1" ht="12.75" x14ac:dyDescent="0.2">
      <c r="B48187" s="1168"/>
    </row>
    <row r="48188" spans="2:2" s="221" customFormat="1" ht="12.75" x14ac:dyDescent="0.2">
      <c r="B48188" s="1168"/>
    </row>
    <row r="48189" spans="2:2" s="221" customFormat="1" ht="12.75" x14ac:dyDescent="0.2">
      <c r="B48189" s="1168"/>
    </row>
    <row r="48190" spans="2:2" s="221" customFormat="1" ht="12.75" x14ac:dyDescent="0.2">
      <c r="B48190" s="1168"/>
    </row>
    <row r="48191" spans="2:2" s="221" customFormat="1" ht="12.75" x14ac:dyDescent="0.2">
      <c r="B48191" s="1168"/>
    </row>
    <row r="48192" spans="2:2" s="221" customFormat="1" ht="12.75" x14ac:dyDescent="0.2">
      <c r="B48192" s="1168"/>
    </row>
    <row r="48193" spans="2:2" s="221" customFormat="1" ht="12.75" x14ac:dyDescent="0.2">
      <c r="B48193" s="1168"/>
    </row>
    <row r="48194" spans="2:2" s="221" customFormat="1" ht="12.75" x14ac:dyDescent="0.2">
      <c r="B48194" s="1168"/>
    </row>
    <row r="48195" spans="2:2" s="221" customFormat="1" ht="12.75" x14ac:dyDescent="0.2">
      <c r="B48195" s="1168"/>
    </row>
    <row r="48196" spans="2:2" s="221" customFormat="1" ht="12.75" x14ac:dyDescent="0.2">
      <c r="B48196" s="1168"/>
    </row>
    <row r="48197" spans="2:2" s="221" customFormat="1" ht="12.75" x14ac:dyDescent="0.2">
      <c r="B48197" s="1168"/>
    </row>
    <row r="48198" spans="2:2" s="221" customFormat="1" ht="12.75" x14ac:dyDescent="0.2">
      <c r="B48198" s="1168"/>
    </row>
    <row r="48199" spans="2:2" s="221" customFormat="1" ht="12.75" x14ac:dyDescent="0.2">
      <c r="B48199" s="1168"/>
    </row>
    <row r="48200" spans="2:2" s="221" customFormat="1" ht="12.75" x14ac:dyDescent="0.2">
      <c r="B48200" s="1168"/>
    </row>
    <row r="48201" spans="2:2" s="221" customFormat="1" ht="12.75" x14ac:dyDescent="0.2">
      <c r="B48201" s="1168"/>
    </row>
    <row r="48202" spans="2:2" s="221" customFormat="1" ht="12.75" x14ac:dyDescent="0.2">
      <c r="B48202" s="1168"/>
    </row>
    <row r="48203" spans="2:2" s="221" customFormat="1" ht="12.75" x14ac:dyDescent="0.2">
      <c r="B48203" s="1168"/>
    </row>
    <row r="48204" spans="2:2" s="221" customFormat="1" ht="12.75" x14ac:dyDescent="0.2">
      <c r="B48204" s="1168"/>
    </row>
    <row r="48205" spans="2:2" s="221" customFormat="1" ht="12.75" x14ac:dyDescent="0.2">
      <c r="B48205" s="1168"/>
    </row>
    <row r="48206" spans="2:2" s="221" customFormat="1" ht="12.75" x14ac:dyDescent="0.2">
      <c r="B48206" s="1168"/>
    </row>
    <row r="48207" spans="2:2" s="221" customFormat="1" ht="12.75" x14ac:dyDescent="0.2">
      <c r="B48207" s="1168"/>
    </row>
    <row r="48208" spans="2:2" s="221" customFormat="1" ht="12.75" x14ac:dyDescent="0.2">
      <c r="B48208" s="1168"/>
    </row>
    <row r="48209" spans="2:2" s="221" customFormat="1" ht="12.75" x14ac:dyDescent="0.2">
      <c r="B48209" s="1168"/>
    </row>
    <row r="48210" spans="2:2" s="221" customFormat="1" ht="12.75" x14ac:dyDescent="0.2">
      <c r="B48210" s="1168"/>
    </row>
    <row r="48211" spans="2:2" s="221" customFormat="1" ht="12.75" x14ac:dyDescent="0.2">
      <c r="B48211" s="1168"/>
    </row>
    <row r="48212" spans="2:2" s="221" customFormat="1" ht="12.75" x14ac:dyDescent="0.2">
      <c r="B48212" s="1168"/>
    </row>
    <row r="48213" spans="2:2" s="221" customFormat="1" ht="12.75" x14ac:dyDescent="0.2">
      <c r="B48213" s="1168"/>
    </row>
    <row r="48214" spans="2:2" s="221" customFormat="1" ht="12.75" x14ac:dyDescent="0.2">
      <c r="B48214" s="1168"/>
    </row>
    <row r="48215" spans="2:2" s="221" customFormat="1" ht="12.75" x14ac:dyDescent="0.2">
      <c r="B48215" s="1168"/>
    </row>
    <row r="48216" spans="2:2" s="221" customFormat="1" ht="12.75" x14ac:dyDescent="0.2">
      <c r="B48216" s="1168"/>
    </row>
    <row r="48217" spans="2:2" s="221" customFormat="1" ht="12.75" x14ac:dyDescent="0.2">
      <c r="B48217" s="1168"/>
    </row>
    <row r="48218" spans="2:2" s="221" customFormat="1" ht="12.75" x14ac:dyDescent="0.2">
      <c r="B48218" s="1168"/>
    </row>
    <row r="48219" spans="2:2" s="221" customFormat="1" ht="12.75" x14ac:dyDescent="0.2">
      <c r="B48219" s="1168"/>
    </row>
    <row r="48220" spans="2:2" s="221" customFormat="1" ht="12.75" x14ac:dyDescent="0.2">
      <c r="B48220" s="1168"/>
    </row>
    <row r="48221" spans="2:2" s="221" customFormat="1" ht="12.75" x14ac:dyDescent="0.2">
      <c r="B48221" s="1168"/>
    </row>
    <row r="48222" spans="2:2" s="221" customFormat="1" ht="12.75" x14ac:dyDescent="0.2">
      <c r="B48222" s="1168"/>
    </row>
    <row r="48223" spans="2:2" s="221" customFormat="1" ht="12.75" x14ac:dyDescent="0.2">
      <c r="B48223" s="1168"/>
    </row>
    <row r="48224" spans="2:2" s="221" customFormat="1" ht="12.75" x14ac:dyDescent="0.2">
      <c r="B48224" s="1168"/>
    </row>
    <row r="48225" spans="2:2" s="221" customFormat="1" ht="12.75" x14ac:dyDescent="0.2">
      <c r="B48225" s="1168"/>
    </row>
    <row r="48226" spans="2:2" s="221" customFormat="1" ht="12.75" x14ac:dyDescent="0.2">
      <c r="B48226" s="1168"/>
    </row>
    <row r="48227" spans="2:2" s="221" customFormat="1" ht="12.75" x14ac:dyDescent="0.2">
      <c r="B48227" s="1168"/>
    </row>
    <row r="48228" spans="2:2" s="221" customFormat="1" ht="12.75" x14ac:dyDescent="0.2">
      <c r="B48228" s="1168"/>
    </row>
    <row r="48229" spans="2:2" s="221" customFormat="1" ht="12.75" x14ac:dyDescent="0.2">
      <c r="B48229" s="1168"/>
    </row>
    <row r="48230" spans="2:2" s="221" customFormat="1" ht="12.75" x14ac:dyDescent="0.2">
      <c r="B48230" s="1168"/>
    </row>
    <row r="48231" spans="2:2" s="221" customFormat="1" ht="12.75" x14ac:dyDescent="0.2">
      <c r="B48231" s="1168"/>
    </row>
    <row r="48232" spans="2:2" s="221" customFormat="1" ht="12.75" x14ac:dyDescent="0.2">
      <c r="B48232" s="1168"/>
    </row>
    <row r="48233" spans="2:2" s="221" customFormat="1" ht="12.75" x14ac:dyDescent="0.2">
      <c r="B48233" s="1168"/>
    </row>
    <row r="48234" spans="2:2" s="221" customFormat="1" ht="12.75" x14ac:dyDescent="0.2">
      <c r="B48234" s="1168"/>
    </row>
    <row r="48235" spans="2:2" s="221" customFormat="1" ht="12.75" x14ac:dyDescent="0.2">
      <c r="B48235" s="1168"/>
    </row>
    <row r="48236" spans="2:2" s="221" customFormat="1" ht="12.75" x14ac:dyDescent="0.2">
      <c r="B48236" s="1168"/>
    </row>
    <row r="48237" spans="2:2" s="221" customFormat="1" ht="12.75" x14ac:dyDescent="0.2">
      <c r="B48237" s="1168"/>
    </row>
    <row r="48238" spans="2:2" s="221" customFormat="1" ht="12.75" x14ac:dyDescent="0.2">
      <c r="B48238" s="1168"/>
    </row>
    <row r="48239" spans="2:2" s="221" customFormat="1" ht="12.75" x14ac:dyDescent="0.2">
      <c r="B48239" s="1168"/>
    </row>
    <row r="48240" spans="2:2" s="221" customFormat="1" ht="12.75" x14ac:dyDescent="0.2">
      <c r="B48240" s="1168"/>
    </row>
    <row r="48241" spans="2:2" s="221" customFormat="1" ht="12.75" x14ac:dyDescent="0.2">
      <c r="B48241" s="1168"/>
    </row>
    <row r="48242" spans="2:2" s="221" customFormat="1" ht="12.75" x14ac:dyDescent="0.2">
      <c r="B48242" s="1168"/>
    </row>
    <row r="48243" spans="2:2" s="221" customFormat="1" ht="12.75" x14ac:dyDescent="0.2">
      <c r="B48243" s="1168"/>
    </row>
    <row r="48244" spans="2:2" s="221" customFormat="1" ht="12.75" x14ac:dyDescent="0.2">
      <c r="B48244" s="1168"/>
    </row>
    <row r="48245" spans="2:2" s="221" customFormat="1" ht="12.75" x14ac:dyDescent="0.2">
      <c r="B48245" s="1168"/>
    </row>
    <row r="48246" spans="2:2" s="221" customFormat="1" ht="12.75" x14ac:dyDescent="0.2">
      <c r="B48246" s="1168"/>
    </row>
    <row r="48247" spans="2:2" s="221" customFormat="1" ht="12.75" x14ac:dyDescent="0.2">
      <c r="B48247" s="1168"/>
    </row>
    <row r="48248" spans="2:2" s="221" customFormat="1" ht="12.75" x14ac:dyDescent="0.2">
      <c r="B48248" s="1168"/>
    </row>
    <row r="48249" spans="2:2" s="221" customFormat="1" ht="12.75" x14ac:dyDescent="0.2">
      <c r="B48249" s="1168"/>
    </row>
    <row r="48250" spans="2:2" s="221" customFormat="1" ht="12.75" x14ac:dyDescent="0.2">
      <c r="B48250" s="1168"/>
    </row>
    <row r="48251" spans="2:2" s="221" customFormat="1" ht="12.75" x14ac:dyDescent="0.2">
      <c r="B48251" s="1168"/>
    </row>
    <row r="48252" spans="2:2" s="221" customFormat="1" ht="12.75" x14ac:dyDescent="0.2">
      <c r="B48252" s="1168"/>
    </row>
    <row r="48253" spans="2:2" s="221" customFormat="1" ht="12.75" x14ac:dyDescent="0.2">
      <c r="B48253" s="1168"/>
    </row>
    <row r="48254" spans="2:2" s="221" customFormat="1" ht="12.75" x14ac:dyDescent="0.2">
      <c r="B48254" s="1168"/>
    </row>
    <row r="48255" spans="2:2" s="221" customFormat="1" ht="12.75" x14ac:dyDescent="0.2">
      <c r="B48255" s="1168"/>
    </row>
    <row r="48256" spans="2:2" s="221" customFormat="1" ht="12.75" x14ac:dyDescent="0.2">
      <c r="B48256" s="1168"/>
    </row>
    <row r="48257" spans="2:2" s="221" customFormat="1" ht="12.75" x14ac:dyDescent="0.2">
      <c r="B48257" s="1168"/>
    </row>
    <row r="48258" spans="2:2" s="221" customFormat="1" ht="12.75" x14ac:dyDescent="0.2">
      <c r="B48258" s="1168"/>
    </row>
    <row r="48259" spans="2:2" s="221" customFormat="1" ht="12.75" x14ac:dyDescent="0.2">
      <c r="B48259" s="1168"/>
    </row>
    <row r="48260" spans="2:2" s="221" customFormat="1" ht="12.75" x14ac:dyDescent="0.2">
      <c r="B48260" s="1168"/>
    </row>
    <row r="48261" spans="2:2" s="221" customFormat="1" ht="12.75" x14ac:dyDescent="0.2">
      <c r="B48261" s="1168"/>
    </row>
    <row r="48262" spans="2:2" s="221" customFormat="1" ht="12.75" x14ac:dyDescent="0.2">
      <c r="B48262" s="1168"/>
    </row>
    <row r="48263" spans="2:2" s="221" customFormat="1" ht="12.75" x14ac:dyDescent="0.2">
      <c r="B48263" s="1168"/>
    </row>
    <row r="48264" spans="2:2" s="221" customFormat="1" ht="12.75" x14ac:dyDescent="0.2">
      <c r="B48264" s="1168"/>
    </row>
    <row r="48265" spans="2:2" s="221" customFormat="1" ht="12.75" x14ac:dyDescent="0.2">
      <c r="B48265" s="1168"/>
    </row>
    <row r="48266" spans="2:2" s="221" customFormat="1" ht="12.75" x14ac:dyDescent="0.2">
      <c r="B48266" s="1168"/>
    </row>
    <row r="48267" spans="2:2" s="221" customFormat="1" ht="12.75" x14ac:dyDescent="0.2">
      <c r="B48267" s="1168"/>
    </row>
    <row r="48268" spans="2:2" s="221" customFormat="1" ht="12.75" x14ac:dyDescent="0.2">
      <c r="B48268" s="1168"/>
    </row>
    <row r="48269" spans="2:2" s="221" customFormat="1" ht="12.75" x14ac:dyDescent="0.2">
      <c r="B48269" s="1168"/>
    </row>
    <row r="48270" spans="2:2" s="221" customFormat="1" ht="12.75" x14ac:dyDescent="0.2">
      <c r="B48270" s="1168"/>
    </row>
    <row r="48271" spans="2:2" s="221" customFormat="1" ht="12.75" x14ac:dyDescent="0.2">
      <c r="B48271" s="1168"/>
    </row>
    <row r="48272" spans="2:2" s="221" customFormat="1" ht="12.75" x14ac:dyDescent="0.2">
      <c r="B48272" s="1168"/>
    </row>
    <row r="48273" spans="2:2" s="221" customFormat="1" ht="12.75" x14ac:dyDescent="0.2">
      <c r="B48273" s="1168"/>
    </row>
    <row r="48274" spans="2:2" s="221" customFormat="1" ht="12.75" x14ac:dyDescent="0.2">
      <c r="B48274" s="1168"/>
    </row>
    <row r="48275" spans="2:2" s="221" customFormat="1" ht="12.75" x14ac:dyDescent="0.2">
      <c r="B48275" s="1168"/>
    </row>
    <row r="48276" spans="2:2" s="221" customFormat="1" ht="12.75" x14ac:dyDescent="0.2">
      <c r="B48276" s="1168"/>
    </row>
    <row r="48277" spans="2:2" s="221" customFormat="1" ht="12.75" x14ac:dyDescent="0.2">
      <c r="B48277" s="1168"/>
    </row>
    <row r="48278" spans="2:2" s="221" customFormat="1" ht="12.75" x14ac:dyDescent="0.2">
      <c r="B48278" s="1168"/>
    </row>
    <row r="48279" spans="2:2" s="221" customFormat="1" ht="12.75" x14ac:dyDescent="0.2">
      <c r="B48279" s="1168"/>
    </row>
    <row r="48280" spans="2:2" s="221" customFormat="1" ht="12.75" x14ac:dyDescent="0.2">
      <c r="B48280" s="1168"/>
    </row>
    <row r="48281" spans="2:2" s="221" customFormat="1" ht="12.75" x14ac:dyDescent="0.2">
      <c r="B48281" s="1168"/>
    </row>
    <row r="48282" spans="2:2" s="221" customFormat="1" ht="12.75" x14ac:dyDescent="0.2">
      <c r="B48282" s="1168"/>
    </row>
    <row r="48283" spans="2:2" s="221" customFormat="1" ht="12.75" x14ac:dyDescent="0.2">
      <c r="B48283" s="1168"/>
    </row>
    <row r="48284" spans="2:2" s="221" customFormat="1" ht="12.75" x14ac:dyDescent="0.2">
      <c r="B48284" s="1168"/>
    </row>
    <row r="48285" spans="2:2" s="221" customFormat="1" ht="12.75" x14ac:dyDescent="0.2">
      <c r="B48285" s="1168"/>
    </row>
    <row r="48286" spans="2:2" s="221" customFormat="1" ht="12.75" x14ac:dyDescent="0.2">
      <c r="B48286" s="1168"/>
    </row>
    <row r="48287" spans="2:2" s="221" customFormat="1" ht="12.75" x14ac:dyDescent="0.2">
      <c r="B48287" s="1168"/>
    </row>
    <row r="48288" spans="2:2" s="221" customFormat="1" ht="12.75" x14ac:dyDescent="0.2">
      <c r="B48288" s="1168"/>
    </row>
    <row r="48289" spans="2:2" s="221" customFormat="1" ht="12.75" x14ac:dyDescent="0.2">
      <c r="B48289" s="1168"/>
    </row>
    <row r="48290" spans="2:2" s="221" customFormat="1" ht="12.75" x14ac:dyDescent="0.2">
      <c r="B48290" s="1168"/>
    </row>
    <row r="48291" spans="2:2" s="221" customFormat="1" ht="12.75" x14ac:dyDescent="0.2">
      <c r="B48291" s="1168"/>
    </row>
    <row r="48292" spans="2:2" s="221" customFormat="1" ht="12.75" x14ac:dyDescent="0.2">
      <c r="B48292" s="1168"/>
    </row>
    <row r="48293" spans="2:2" s="221" customFormat="1" ht="12.75" x14ac:dyDescent="0.2">
      <c r="B48293" s="1168"/>
    </row>
    <row r="48294" spans="2:2" s="221" customFormat="1" ht="12.75" x14ac:dyDescent="0.2">
      <c r="B48294" s="1168"/>
    </row>
    <row r="48295" spans="2:2" s="221" customFormat="1" ht="12.75" x14ac:dyDescent="0.2">
      <c r="B48295" s="1168"/>
    </row>
    <row r="48296" spans="2:2" s="221" customFormat="1" ht="12.75" x14ac:dyDescent="0.2">
      <c r="B48296" s="1168"/>
    </row>
    <row r="48297" spans="2:2" s="221" customFormat="1" ht="12.75" x14ac:dyDescent="0.2">
      <c r="B48297" s="1168"/>
    </row>
    <row r="48298" spans="2:2" s="221" customFormat="1" ht="12.75" x14ac:dyDescent="0.2">
      <c r="B48298" s="1168"/>
    </row>
    <row r="48299" spans="2:2" s="221" customFormat="1" ht="12.75" x14ac:dyDescent="0.2">
      <c r="B48299" s="1168"/>
    </row>
    <row r="48300" spans="2:2" s="221" customFormat="1" ht="12.75" x14ac:dyDescent="0.2">
      <c r="B48300" s="1168"/>
    </row>
    <row r="48301" spans="2:2" s="221" customFormat="1" ht="12.75" x14ac:dyDescent="0.2">
      <c r="B48301" s="1168"/>
    </row>
    <row r="48302" spans="2:2" s="221" customFormat="1" ht="12.75" x14ac:dyDescent="0.2">
      <c r="B48302" s="1168"/>
    </row>
    <row r="48303" spans="2:2" s="221" customFormat="1" ht="12.75" x14ac:dyDescent="0.2">
      <c r="B48303" s="1168"/>
    </row>
    <row r="48304" spans="2:2" s="221" customFormat="1" ht="12.75" x14ac:dyDescent="0.2">
      <c r="B48304" s="1168"/>
    </row>
    <row r="48305" spans="2:2" s="221" customFormat="1" ht="12.75" x14ac:dyDescent="0.2">
      <c r="B48305" s="1168"/>
    </row>
    <row r="48306" spans="2:2" s="221" customFormat="1" ht="12.75" x14ac:dyDescent="0.2">
      <c r="B48306" s="1168"/>
    </row>
    <row r="48307" spans="2:2" s="221" customFormat="1" ht="12.75" x14ac:dyDescent="0.2">
      <c r="B48307" s="1168"/>
    </row>
    <row r="48308" spans="2:2" s="221" customFormat="1" ht="12.75" x14ac:dyDescent="0.2">
      <c r="B48308" s="1168"/>
    </row>
    <row r="48309" spans="2:2" s="221" customFormat="1" ht="12.75" x14ac:dyDescent="0.2">
      <c r="B48309" s="1168"/>
    </row>
    <row r="48310" spans="2:2" s="221" customFormat="1" ht="12.75" x14ac:dyDescent="0.2">
      <c r="B48310" s="1168"/>
    </row>
    <row r="48311" spans="2:2" s="221" customFormat="1" ht="12.75" x14ac:dyDescent="0.2">
      <c r="B48311" s="1168"/>
    </row>
    <row r="48312" spans="2:2" s="221" customFormat="1" ht="12.75" x14ac:dyDescent="0.2">
      <c r="B48312" s="1168"/>
    </row>
    <row r="48313" spans="2:2" s="221" customFormat="1" ht="12.75" x14ac:dyDescent="0.2">
      <c r="B48313" s="1168"/>
    </row>
    <row r="48314" spans="2:2" s="221" customFormat="1" ht="12.75" x14ac:dyDescent="0.2">
      <c r="B48314" s="1168"/>
    </row>
    <row r="48315" spans="2:2" s="221" customFormat="1" ht="12.75" x14ac:dyDescent="0.2">
      <c r="B48315" s="1168"/>
    </row>
    <row r="48316" spans="2:2" s="221" customFormat="1" ht="12.75" x14ac:dyDescent="0.2">
      <c r="B48316" s="1168"/>
    </row>
    <row r="48317" spans="2:2" s="221" customFormat="1" ht="12.75" x14ac:dyDescent="0.2">
      <c r="B48317" s="1168"/>
    </row>
    <row r="48318" spans="2:2" s="221" customFormat="1" ht="12.75" x14ac:dyDescent="0.2">
      <c r="B48318" s="1168"/>
    </row>
    <row r="48319" spans="2:2" s="221" customFormat="1" ht="12.75" x14ac:dyDescent="0.2">
      <c r="B48319" s="1168"/>
    </row>
    <row r="48320" spans="2:2" s="221" customFormat="1" ht="12.75" x14ac:dyDescent="0.2">
      <c r="B48320" s="1168"/>
    </row>
    <row r="48321" spans="2:2" s="221" customFormat="1" ht="12.75" x14ac:dyDescent="0.2">
      <c r="B48321" s="1168"/>
    </row>
    <row r="48322" spans="2:2" s="221" customFormat="1" ht="12.75" x14ac:dyDescent="0.2">
      <c r="B48322" s="1168"/>
    </row>
    <row r="48323" spans="2:2" s="221" customFormat="1" ht="12.75" x14ac:dyDescent="0.2">
      <c r="B48323" s="1168"/>
    </row>
    <row r="48324" spans="2:2" s="221" customFormat="1" ht="12.75" x14ac:dyDescent="0.2">
      <c r="B48324" s="1168"/>
    </row>
    <row r="48325" spans="2:2" s="221" customFormat="1" ht="12.75" x14ac:dyDescent="0.2">
      <c r="B48325" s="1168"/>
    </row>
    <row r="48326" spans="2:2" s="221" customFormat="1" ht="12.75" x14ac:dyDescent="0.2">
      <c r="B48326" s="1168"/>
    </row>
    <row r="48327" spans="2:2" s="221" customFormat="1" ht="12.75" x14ac:dyDescent="0.2">
      <c r="B48327" s="1168"/>
    </row>
    <row r="48328" spans="2:2" s="221" customFormat="1" ht="12.75" x14ac:dyDescent="0.2">
      <c r="B48328" s="1168"/>
    </row>
    <row r="48329" spans="2:2" s="221" customFormat="1" ht="12.75" x14ac:dyDescent="0.2">
      <c r="B48329" s="1168"/>
    </row>
    <row r="48330" spans="2:2" s="221" customFormat="1" ht="12.75" x14ac:dyDescent="0.2">
      <c r="B48330" s="1168"/>
    </row>
    <row r="48331" spans="2:2" s="221" customFormat="1" ht="12.75" x14ac:dyDescent="0.2">
      <c r="B48331" s="1168"/>
    </row>
    <row r="48332" spans="2:2" s="221" customFormat="1" ht="12.75" x14ac:dyDescent="0.2">
      <c r="B48332" s="1168"/>
    </row>
    <row r="48333" spans="2:2" s="221" customFormat="1" ht="12.75" x14ac:dyDescent="0.2">
      <c r="B48333" s="1168"/>
    </row>
    <row r="48334" spans="2:2" s="221" customFormat="1" ht="12.75" x14ac:dyDescent="0.2">
      <c r="B48334" s="1168"/>
    </row>
    <row r="48335" spans="2:2" s="221" customFormat="1" ht="12.75" x14ac:dyDescent="0.2">
      <c r="B48335" s="1168"/>
    </row>
    <row r="48336" spans="2:2" s="221" customFormat="1" ht="12.75" x14ac:dyDescent="0.2">
      <c r="B48336" s="1168"/>
    </row>
    <row r="48337" spans="2:2" s="221" customFormat="1" ht="12.75" x14ac:dyDescent="0.2">
      <c r="B48337" s="1168"/>
    </row>
    <row r="48338" spans="2:2" s="221" customFormat="1" ht="12.75" x14ac:dyDescent="0.2">
      <c r="B48338" s="1168"/>
    </row>
    <row r="48339" spans="2:2" s="221" customFormat="1" ht="12.75" x14ac:dyDescent="0.2">
      <c r="B48339" s="1168"/>
    </row>
    <row r="48340" spans="2:2" s="221" customFormat="1" ht="12.75" x14ac:dyDescent="0.2">
      <c r="B48340" s="1168"/>
    </row>
    <row r="48341" spans="2:2" s="221" customFormat="1" ht="12.75" x14ac:dyDescent="0.2">
      <c r="B48341" s="1168"/>
    </row>
    <row r="48342" spans="2:2" s="221" customFormat="1" ht="12.75" x14ac:dyDescent="0.2">
      <c r="B48342" s="1168"/>
    </row>
    <row r="48343" spans="2:2" s="221" customFormat="1" ht="12.75" x14ac:dyDescent="0.2">
      <c r="B48343" s="1168"/>
    </row>
    <row r="48344" spans="2:2" s="221" customFormat="1" ht="12.75" x14ac:dyDescent="0.2">
      <c r="B48344" s="1168"/>
    </row>
    <row r="48345" spans="2:2" s="221" customFormat="1" ht="12.75" x14ac:dyDescent="0.2">
      <c r="B48345" s="1168"/>
    </row>
    <row r="48346" spans="2:2" s="221" customFormat="1" ht="12.75" x14ac:dyDescent="0.2">
      <c r="B48346" s="1168"/>
    </row>
    <row r="48347" spans="2:2" s="221" customFormat="1" ht="12.75" x14ac:dyDescent="0.2">
      <c r="B48347" s="1168"/>
    </row>
    <row r="48348" spans="2:2" s="221" customFormat="1" ht="12.75" x14ac:dyDescent="0.2">
      <c r="B48348" s="1168"/>
    </row>
    <row r="48349" spans="2:2" s="221" customFormat="1" ht="12.75" x14ac:dyDescent="0.2">
      <c r="B48349" s="1168"/>
    </row>
    <row r="48350" spans="2:2" s="221" customFormat="1" ht="12.75" x14ac:dyDescent="0.2">
      <c r="B48350" s="1168"/>
    </row>
    <row r="48351" spans="2:2" s="221" customFormat="1" ht="12.75" x14ac:dyDescent="0.2">
      <c r="B48351" s="1168"/>
    </row>
    <row r="48352" spans="2:2" s="221" customFormat="1" ht="12.75" x14ac:dyDescent="0.2">
      <c r="B48352" s="1168"/>
    </row>
    <row r="48353" spans="2:2" s="221" customFormat="1" ht="12.75" x14ac:dyDescent="0.2">
      <c r="B48353" s="1168"/>
    </row>
    <row r="48354" spans="2:2" s="221" customFormat="1" ht="12.75" x14ac:dyDescent="0.2">
      <c r="B48354" s="1168"/>
    </row>
    <row r="48355" spans="2:2" s="221" customFormat="1" ht="12.75" x14ac:dyDescent="0.2">
      <c r="B48355" s="1168"/>
    </row>
    <row r="48356" spans="2:2" s="221" customFormat="1" ht="12.75" x14ac:dyDescent="0.2">
      <c r="B48356" s="1168"/>
    </row>
    <row r="48357" spans="2:2" s="221" customFormat="1" ht="12.75" x14ac:dyDescent="0.2">
      <c r="B48357" s="1168"/>
    </row>
    <row r="48358" spans="2:2" s="221" customFormat="1" ht="12.75" x14ac:dyDescent="0.2">
      <c r="B48358" s="1168"/>
    </row>
    <row r="48359" spans="2:2" s="221" customFormat="1" ht="12.75" x14ac:dyDescent="0.2">
      <c r="B48359" s="1168"/>
    </row>
    <row r="48360" spans="2:2" s="221" customFormat="1" ht="12.75" x14ac:dyDescent="0.2">
      <c r="B48360" s="1168"/>
    </row>
    <row r="48361" spans="2:2" s="221" customFormat="1" ht="12.75" x14ac:dyDescent="0.2">
      <c r="B48361" s="1168"/>
    </row>
    <row r="48362" spans="2:2" s="221" customFormat="1" ht="12.75" x14ac:dyDescent="0.2">
      <c r="B48362" s="1168"/>
    </row>
    <row r="48363" spans="2:2" s="221" customFormat="1" ht="12.75" x14ac:dyDescent="0.2">
      <c r="B48363" s="1168"/>
    </row>
    <row r="48364" spans="2:2" s="221" customFormat="1" ht="12.75" x14ac:dyDescent="0.2">
      <c r="B48364" s="1168"/>
    </row>
    <row r="48365" spans="2:2" s="221" customFormat="1" ht="12.75" x14ac:dyDescent="0.2">
      <c r="B48365" s="1168"/>
    </row>
    <row r="48366" spans="2:2" s="221" customFormat="1" ht="12.75" x14ac:dyDescent="0.2">
      <c r="B48366" s="1168"/>
    </row>
    <row r="48367" spans="2:2" s="221" customFormat="1" ht="12.75" x14ac:dyDescent="0.2">
      <c r="B48367" s="1168"/>
    </row>
    <row r="48368" spans="2:2" s="221" customFormat="1" ht="12.75" x14ac:dyDescent="0.2">
      <c r="B48368" s="1168"/>
    </row>
    <row r="48369" spans="2:2" s="221" customFormat="1" ht="12.75" x14ac:dyDescent="0.2">
      <c r="B48369" s="1168"/>
    </row>
    <row r="48370" spans="2:2" s="221" customFormat="1" ht="12.75" x14ac:dyDescent="0.2">
      <c r="B48370" s="1168"/>
    </row>
    <row r="48371" spans="2:2" s="221" customFormat="1" ht="12.75" x14ac:dyDescent="0.2">
      <c r="B48371" s="1168"/>
    </row>
    <row r="48372" spans="2:2" s="221" customFormat="1" ht="12.75" x14ac:dyDescent="0.2">
      <c r="B48372" s="1168"/>
    </row>
    <row r="48373" spans="2:2" s="221" customFormat="1" ht="12.75" x14ac:dyDescent="0.2">
      <c r="B48373" s="1168"/>
    </row>
    <row r="48374" spans="2:2" s="221" customFormat="1" ht="12.75" x14ac:dyDescent="0.2">
      <c r="B48374" s="1168"/>
    </row>
    <row r="48375" spans="2:2" s="221" customFormat="1" ht="12.75" x14ac:dyDescent="0.2">
      <c r="B48375" s="1168"/>
    </row>
    <row r="48376" spans="2:2" s="221" customFormat="1" ht="12.75" x14ac:dyDescent="0.2">
      <c r="B48376" s="1168"/>
    </row>
    <row r="48377" spans="2:2" s="221" customFormat="1" ht="12.75" x14ac:dyDescent="0.2">
      <c r="B48377" s="1168"/>
    </row>
    <row r="48378" spans="2:2" s="221" customFormat="1" ht="12.75" x14ac:dyDescent="0.2">
      <c r="B48378" s="1168"/>
    </row>
    <row r="48379" spans="2:2" s="221" customFormat="1" ht="12.75" x14ac:dyDescent="0.2">
      <c r="B48379" s="1168"/>
    </row>
    <row r="48380" spans="2:2" s="221" customFormat="1" ht="12.75" x14ac:dyDescent="0.2">
      <c r="B48380" s="1168"/>
    </row>
    <row r="48381" spans="2:2" s="221" customFormat="1" ht="12.75" x14ac:dyDescent="0.2">
      <c r="B48381" s="1168"/>
    </row>
    <row r="48382" spans="2:2" s="221" customFormat="1" ht="12.75" x14ac:dyDescent="0.2">
      <c r="B48382" s="1168"/>
    </row>
    <row r="48383" spans="2:2" s="221" customFormat="1" ht="12.75" x14ac:dyDescent="0.2">
      <c r="B48383" s="1168"/>
    </row>
    <row r="48384" spans="2:2" s="221" customFormat="1" ht="12.75" x14ac:dyDescent="0.2">
      <c r="B48384" s="1168"/>
    </row>
    <row r="48385" spans="2:2" s="221" customFormat="1" ht="12.75" x14ac:dyDescent="0.2">
      <c r="B48385" s="1168"/>
    </row>
    <row r="48386" spans="2:2" s="221" customFormat="1" ht="12.75" x14ac:dyDescent="0.2">
      <c r="B48386" s="1168"/>
    </row>
    <row r="48387" spans="2:2" s="221" customFormat="1" ht="12.75" x14ac:dyDescent="0.2">
      <c r="B48387" s="1168"/>
    </row>
    <row r="48388" spans="2:2" s="221" customFormat="1" ht="12.75" x14ac:dyDescent="0.2">
      <c r="B48388" s="1168"/>
    </row>
    <row r="48389" spans="2:2" s="221" customFormat="1" ht="12.75" x14ac:dyDescent="0.2">
      <c r="B48389" s="1168"/>
    </row>
    <row r="48390" spans="2:2" s="221" customFormat="1" ht="12.75" x14ac:dyDescent="0.2">
      <c r="B48390" s="1168"/>
    </row>
    <row r="48391" spans="2:2" s="221" customFormat="1" ht="12.75" x14ac:dyDescent="0.2">
      <c r="B48391" s="1168"/>
    </row>
    <row r="48392" spans="2:2" s="221" customFormat="1" ht="12.75" x14ac:dyDescent="0.2">
      <c r="B48392" s="1168"/>
    </row>
    <row r="48393" spans="2:2" s="221" customFormat="1" ht="12.75" x14ac:dyDescent="0.2">
      <c r="B48393" s="1168"/>
    </row>
    <row r="48394" spans="2:2" s="221" customFormat="1" ht="12.75" x14ac:dyDescent="0.2">
      <c r="B48394" s="1168"/>
    </row>
    <row r="48395" spans="2:2" s="221" customFormat="1" ht="12.75" x14ac:dyDescent="0.2">
      <c r="B48395" s="1168"/>
    </row>
    <row r="48396" spans="2:2" s="221" customFormat="1" ht="12.75" x14ac:dyDescent="0.2">
      <c r="B48396" s="1168"/>
    </row>
    <row r="48397" spans="2:2" s="221" customFormat="1" ht="12.75" x14ac:dyDescent="0.2">
      <c r="B48397" s="1168"/>
    </row>
    <row r="48398" spans="2:2" s="221" customFormat="1" ht="12.75" x14ac:dyDescent="0.2">
      <c r="B48398" s="1168"/>
    </row>
    <row r="48399" spans="2:2" s="221" customFormat="1" ht="12.75" x14ac:dyDescent="0.2">
      <c r="B48399" s="1168"/>
    </row>
    <row r="48400" spans="2:2" s="221" customFormat="1" ht="12.75" x14ac:dyDescent="0.2">
      <c r="B48400" s="1168"/>
    </row>
    <row r="48401" spans="2:2" s="221" customFormat="1" ht="12.75" x14ac:dyDescent="0.2">
      <c r="B48401" s="1168"/>
    </row>
    <row r="48402" spans="2:2" s="221" customFormat="1" ht="12.75" x14ac:dyDescent="0.2">
      <c r="B48402" s="1168"/>
    </row>
    <row r="48403" spans="2:2" s="221" customFormat="1" ht="12.75" x14ac:dyDescent="0.2">
      <c r="B48403" s="1168"/>
    </row>
    <row r="48404" spans="2:2" s="221" customFormat="1" ht="12.75" x14ac:dyDescent="0.2">
      <c r="B48404" s="1168"/>
    </row>
    <row r="48405" spans="2:2" s="221" customFormat="1" ht="12.75" x14ac:dyDescent="0.2">
      <c r="B48405" s="1168"/>
    </row>
    <row r="48406" spans="2:2" s="221" customFormat="1" ht="12.75" x14ac:dyDescent="0.2">
      <c r="B48406" s="1168"/>
    </row>
    <row r="48407" spans="2:2" s="221" customFormat="1" ht="12.75" x14ac:dyDescent="0.2">
      <c r="B48407" s="1168"/>
    </row>
    <row r="48408" spans="2:2" s="221" customFormat="1" ht="12.75" x14ac:dyDescent="0.2">
      <c r="B48408" s="1168"/>
    </row>
    <row r="48409" spans="2:2" s="221" customFormat="1" ht="12.75" x14ac:dyDescent="0.2">
      <c r="B48409" s="1168"/>
    </row>
    <row r="48410" spans="2:2" s="221" customFormat="1" ht="12.75" x14ac:dyDescent="0.2">
      <c r="B48410" s="1168"/>
    </row>
    <row r="48411" spans="2:2" s="221" customFormat="1" ht="12.75" x14ac:dyDescent="0.2">
      <c r="B48411" s="1168"/>
    </row>
    <row r="48412" spans="2:2" s="221" customFormat="1" ht="12.75" x14ac:dyDescent="0.2">
      <c r="B48412" s="1168"/>
    </row>
    <row r="48413" spans="2:2" s="221" customFormat="1" ht="12.75" x14ac:dyDescent="0.2">
      <c r="B48413" s="1168"/>
    </row>
    <row r="48414" spans="2:2" s="221" customFormat="1" ht="12.75" x14ac:dyDescent="0.2">
      <c r="B48414" s="1168"/>
    </row>
    <row r="48415" spans="2:2" s="221" customFormat="1" ht="12.75" x14ac:dyDescent="0.2">
      <c r="B48415" s="1168"/>
    </row>
    <row r="48416" spans="2:2" s="221" customFormat="1" ht="12.75" x14ac:dyDescent="0.2">
      <c r="B48416" s="1168"/>
    </row>
    <row r="48417" spans="2:2" s="221" customFormat="1" ht="12.75" x14ac:dyDescent="0.2">
      <c r="B48417" s="1168"/>
    </row>
    <row r="48418" spans="2:2" s="221" customFormat="1" ht="12.75" x14ac:dyDescent="0.2">
      <c r="B48418" s="1168"/>
    </row>
    <row r="48419" spans="2:2" s="221" customFormat="1" ht="12.75" x14ac:dyDescent="0.2">
      <c r="B48419" s="1168"/>
    </row>
    <row r="48420" spans="2:2" s="221" customFormat="1" ht="12.75" x14ac:dyDescent="0.2">
      <c r="B48420" s="1168"/>
    </row>
    <row r="48421" spans="2:2" s="221" customFormat="1" ht="12.75" x14ac:dyDescent="0.2">
      <c r="B48421" s="1168"/>
    </row>
    <row r="48422" spans="2:2" s="221" customFormat="1" ht="12.75" x14ac:dyDescent="0.2">
      <c r="B48422" s="1168"/>
    </row>
    <row r="48423" spans="2:2" s="221" customFormat="1" ht="12.75" x14ac:dyDescent="0.2">
      <c r="B48423" s="1168"/>
    </row>
    <row r="48424" spans="2:2" s="221" customFormat="1" ht="12.75" x14ac:dyDescent="0.2">
      <c r="B48424" s="1168"/>
    </row>
    <row r="48425" spans="2:2" s="221" customFormat="1" ht="12.75" x14ac:dyDescent="0.2">
      <c r="B48425" s="1168"/>
    </row>
    <row r="48426" spans="2:2" s="221" customFormat="1" ht="12.75" x14ac:dyDescent="0.2">
      <c r="B48426" s="1168"/>
    </row>
    <row r="48427" spans="2:2" s="221" customFormat="1" ht="12.75" x14ac:dyDescent="0.2">
      <c r="B48427" s="1168"/>
    </row>
    <row r="48428" spans="2:2" s="221" customFormat="1" ht="12.75" x14ac:dyDescent="0.2">
      <c r="B48428" s="1168"/>
    </row>
    <row r="48429" spans="2:2" s="221" customFormat="1" ht="12.75" x14ac:dyDescent="0.2">
      <c r="B48429" s="1168"/>
    </row>
    <row r="48430" spans="2:2" s="221" customFormat="1" ht="12.75" x14ac:dyDescent="0.2">
      <c r="B48430" s="1168"/>
    </row>
    <row r="48431" spans="2:2" s="221" customFormat="1" ht="12.75" x14ac:dyDescent="0.2">
      <c r="B48431" s="1168"/>
    </row>
    <row r="48432" spans="2:2" s="221" customFormat="1" ht="12.75" x14ac:dyDescent="0.2">
      <c r="B48432" s="1168"/>
    </row>
    <row r="48433" spans="2:2" s="221" customFormat="1" ht="12.75" x14ac:dyDescent="0.2">
      <c r="B48433" s="1168"/>
    </row>
    <row r="48434" spans="2:2" s="221" customFormat="1" ht="12.75" x14ac:dyDescent="0.2">
      <c r="B48434" s="1168"/>
    </row>
    <row r="48435" spans="2:2" s="221" customFormat="1" ht="12.75" x14ac:dyDescent="0.2">
      <c r="B48435" s="1168"/>
    </row>
    <row r="48436" spans="2:2" s="221" customFormat="1" ht="12.75" x14ac:dyDescent="0.2">
      <c r="B48436" s="1168"/>
    </row>
    <row r="48437" spans="2:2" s="221" customFormat="1" ht="12.75" x14ac:dyDescent="0.2">
      <c r="B48437" s="1168"/>
    </row>
    <row r="48438" spans="2:2" s="221" customFormat="1" ht="12.75" x14ac:dyDescent="0.2">
      <c r="B48438" s="1168"/>
    </row>
    <row r="48439" spans="2:2" s="221" customFormat="1" ht="12.75" x14ac:dyDescent="0.2">
      <c r="B48439" s="1168"/>
    </row>
    <row r="48440" spans="2:2" s="221" customFormat="1" ht="12.75" x14ac:dyDescent="0.2">
      <c r="B48440" s="1168"/>
    </row>
    <row r="48441" spans="2:2" s="221" customFormat="1" ht="12.75" x14ac:dyDescent="0.2">
      <c r="B48441" s="1168"/>
    </row>
    <row r="48442" spans="2:2" s="221" customFormat="1" ht="12.75" x14ac:dyDescent="0.2">
      <c r="B48442" s="1168"/>
    </row>
    <row r="48443" spans="2:2" s="221" customFormat="1" ht="12.75" x14ac:dyDescent="0.2">
      <c r="B48443" s="1168"/>
    </row>
    <row r="48444" spans="2:2" s="221" customFormat="1" ht="12.75" x14ac:dyDescent="0.2">
      <c r="B48444" s="1168"/>
    </row>
    <row r="48445" spans="2:2" s="221" customFormat="1" ht="12.75" x14ac:dyDescent="0.2">
      <c r="B48445" s="1168"/>
    </row>
    <row r="48446" spans="2:2" s="221" customFormat="1" ht="12.75" x14ac:dyDescent="0.2">
      <c r="B48446" s="1168"/>
    </row>
    <row r="48447" spans="2:2" s="221" customFormat="1" ht="12.75" x14ac:dyDescent="0.2">
      <c r="B48447" s="1168"/>
    </row>
    <row r="48448" spans="2:2" s="221" customFormat="1" ht="12.75" x14ac:dyDescent="0.2">
      <c r="B48448" s="1168"/>
    </row>
    <row r="48449" spans="2:2" s="221" customFormat="1" ht="12.75" x14ac:dyDescent="0.2">
      <c r="B48449" s="1168"/>
    </row>
    <row r="48450" spans="2:2" s="221" customFormat="1" ht="12.75" x14ac:dyDescent="0.2">
      <c r="B48450" s="1168"/>
    </row>
    <row r="48451" spans="2:2" s="221" customFormat="1" ht="12.75" x14ac:dyDescent="0.2">
      <c r="B48451" s="1168"/>
    </row>
    <row r="48452" spans="2:2" s="221" customFormat="1" ht="12.75" x14ac:dyDescent="0.2">
      <c r="B48452" s="1168"/>
    </row>
    <row r="48453" spans="2:2" s="221" customFormat="1" ht="12.75" x14ac:dyDescent="0.2">
      <c r="B48453" s="1168"/>
    </row>
    <row r="48454" spans="2:2" s="221" customFormat="1" ht="12.75" x14ac:dyDescent="0.2">
      <c r="B48454" s="1168"/>
    </row>
    <row r="48455" spans="2:2" s="221" customFormat="1" ht="12.75" x14ac:dyDescent="0.2">
      <c r="B48455" s="1168"/>
    </row>
    <row r="48456" spans="2:2" s="221" customFormat="1" ht="12.75" x14ac:dyDescent="0.2">
      <c r="B48456" s="1168"/>
    </row>
    <row r="48457" spans="2:2" s="221" customFormat="1" ht="12.75" x14ac:dyDescent="0.2">
      <c r="B48457" s="1168"/>
    </row>
    <row r="48458" spans="2:2" s="221" customFormat="1" ht="12.75" x14ac:dyDescent="0.2">
      <c r="B48458" s="1168"/>
    </row>
    <row r="48459" spans="2:2" s="221" customFormat="1" ht="12.75" x14ac:dyDescent="0.2">
      <c r="B48459" s="1168"/>
    </row>
    <row r="48460" spans="2:2" s="221" customFormat="1" ht="12.75" x14ac:dyDescent="0.2">
      <c r="B48460" s="1168"/>
    </row>
    <row r="48461" spans="2:2" s="221" customFormat="1" ht="12.75" x14ac:dyDescent="0.2">
      <c r="B48461" s="1168"/>
    </row>
    <row r="48462" spans="2:2" s="221" customFormat="1" ht="12.75" x14ac:dyDescent="0.2">
      <c r="B48462" s="1168"/>
    </row>
    <row r="48463" spans="2:2" s="221" customFormat="1" ht="12.75" x14ac:dyDescent="0.2">
      <c r="B48463" s="1168"/>
    </row>
    <row r="48464" spans="2:2" s="221" customFormat="1" ht="12.75" x14ac:dyDescent="0.2">
      <c r="B48464" s="1168"/>
    </row>
    <row r="48465" spans="2:2" s="221" customFormat="1" ht="12.75" x14ac:dyDescent="0.2">
      <c r="B48465" s="1168"/>
    </row>
    <row r="48466" spans="2:2" s="221" customFormat="1" ht="12.75" x14ac:dyDescent="0.2">
      <c r="B48466" s="1168"/>
    </row>
    <row r="48467" spans="2:2" s="221" customFormat="1" ht="12.75" x14ac:dyDescent="0.2">
      <c r="B48467" s="1168"/>
    </row>
    <row r="48468" spans="2:2" s="221" customFormat="1" ht="12.75" x14ac:dyDescent="0.2">
      <c r="B48468" s="1168"/>
    </row>
    <row r="48469" spans="2:2" s="221" customFormat="1" ht="12.75" x14ac:dyDescent="0.2">
      <c r="B48469" s="1168"/>
    </row>
    <row r="48470" spans="2:2" s="221" customFormat="1" ht="12.75" x14ac:dyDescent="0.2">
      <c r="B48470" s="1168"/>
    </row>
    <row r="48471" spans="2:2" s="221" customFormat="1" ht="12.75" x14ac:dyDescent="0.2">
      <c r="B48471" s="1168"/>
    </row>
    <row r="48472" spans="2:2" s="221" customFormat="1" ht="12.75" x14ac:dyDescent="0.2">
      <c r="B48472" s="1168"/>
    </row>
    <row r="48473" spans="2:2" s="221" customFormat="1" ht="12.75" x14ac:dyDescent="0.2">
      <c r="B48473" s="1168"/>
    </row>
    <row r="48474" spans="2:2" s="221" customFormat="1" ht="12.75" x14ac:dyDescent="0.2">
      <c r="B48474" s="1168"/>
    </row>
    <row r="48475" spans="2:2" s="221" customFormat="1" ht="12.75" x14ac:dyDescent="0.2">
      <c r="B48475" s="1168"/>
    </row>
    <row r="48476" spans="2:2" s="221" customFormat="1" ht="12.75" x14ac:dyDescent="0.2">
      <c r="B48476" s="1168"/>
    </row>
    <row r="48477" spans="2:2" s="221" customFormat="1" ht="12.75" x14ac:dyDescent="0.2">
      <c r="B48477" s="1168"/>
    </row>
    <row r="48478" spans="2:2" s="221" customFormat="1" ht="12.75" x14ac:dyDescent="0.2">
      <c r="B48478" s="1168"/>
    </row>
    <row r="48479" spans="2:2" s="221" customFormat="1" ht="12.75" x14ac:dyDescent="0.2">
      <c r="B48479" s="1168"/>
    </row>
    <row r="48480" spans="2:2" s="221" customFormat="1" ht="12.75" x14ac:dyDescent="0.2">
      <c r="B48480" s="1168"/>
    </row>
    <row r="48481" spans="2:2" s="221" customFormat="1" ht="12.75" x14ac:dyDescent="0.2">
      <c r="B48481" s="1168"/>
    </row>
    <row r="48482" spans="2:2" s="221" customFormat="1" ht="12.75" x14ac:dyDescent="0.2">
      <c r="B48482" s="1168"/>
    </row>
    <row r="48483" spans="2:2" s="221" customFormat="1" ht="12.75" x14ac:dyDescent="0.2">
      <c r="B48483" s="1168"/>
    </row>
    <row r="48484" spans="2:2" s="221" customFormat="1" ht="12.75" x14ac:dyDescent="0.2">
      <c r="B48484" s="1168"/>
    </row>
    <row r="48485" spans="2:2" s="221" customFormat="1" ht="12.75" x14ac:dyDescent="0.2">
      <c r="B48485" s="1168"/>
    </row>
    <row r="48486" spans="2:2" s="221" customFormat="1" ht="12.75" x14ac:dyDescent="0.2">
      <c r="B48486" s="1168"/>
    </row>
    <row r="48487" spans="2:2" s="221" customFormat="1" ht="12.75" x14ac:dyDescent="0.2">
      <c r="B48487" s="1168"/>
    </row>
    <row r="48488" spans="2:2" s="221" customFormat="1" ht="12.75" x14ac:dyDescent="0.2">
      <c r="B48488" s="1168"/>
    </row>
    <row r="48489" spans="2:2" s="221" customFormat="1" ht="12.75" x14ac:dyDescent="0.2">
      <c r="B48489" s="1168"/>
    </row>
    <row r="48490" spans="2:2" s="221" customFormat="1" ht="12.75" x14ac:dyDescent="0.2">
      <c r="B48490" s="1168"/>
    </row>
    <row r="48491" spans="2:2" s="221" customFormat="1" ht="12.75" x14ac:dyDescent="0.2">
      <c r="B48491" s="1168"/>
    </row>
    <row r="48492" spans="2:2" s="221" customFormat="1" ht="12.75" x14ac:dyDescent="0.2">
      <c r="B48492" s="1168"/>
    </row>
    <row r="48493" spans="2:2" s="221" customFormat="1" ht="12.75" x14ac:dyDescent="0.2">
      <c r="B48493" s="1168"/>
    </row>
    <row r="48494" spans="2:2" s="221" customFormat="1" ht="12.75" x14ac:dyDescent="0.2">
      <c r="B48494" s="1168"/>
    </row>
    <row r="48495" spans="2:2" s="221" customFormat="1" ht="12.75" x14ac:dyDescent="0.2">
      <c r="B48495" s="1168"/>
    </row>
    <row r="48496" spans="2:2" s="221" customFormat="1" ht="12.75" x14ac:dyDescent="0.2">
      <c r="B48496" s="1168"/>
    </row>
    <row r="48497" spans="2:2" s="221" customFormat="1" ht="12.75" x14ac:dyDescent="0.2">
      <c r="B48497" s="1168"/>
    </row>
    <row r="48498" spans="2:2" s="221" customFormat="1" ht="12.75" x14ac:dyDescent="0.2">
      <c r="B48498" s="1168"/>
    </row>
    <row r="48499" spans="2:2" s="221" customFormat="1" ht="12.75" x14ac:dyDescent="0.2">
      <c r="B48499" s="1168"/>
    </row>
    <row r="48500" spans="2:2" s="221" customFormat="1" ht="12.75" x14ac:dyDescent="0.2">
      <c r="B48500" s="1168"/>
    </row>
    <row r="48501" spans="2:2" s="221" customFormat="1" ht="12.75" x14ac:dyDescent="0.2">
      <c r="B48501" s="1168"/>
    </row>
    <row r="48502" spans="2:2" s="221" customFormat="1" ht="12.75" x14ac:dyDescent="0.2">
      <c r="B48502" s="1168"/>
    </row>
    <row r="48503" spans="2:2" s="221" customFormat="1" ht="12.75" x14ac:dyDescent="0.2">
      <c r="B48503" s="1168"/>
    </row>
    <row r="48504" spans="2:2" s="221" customFormat="1" ht="12.75" x14ac:dyDescent="0.2">
      <c r="B48504" s="1168"/>
    </row>
    <row r="48505" spans="2:2" s="221" customFormat="1" ht="12.75" x14ac:dyDescent="0.2">
      <c r="B48505" s="1168"/>
    </row>
    <row r="48506" spans="2:2" s="221" customFormat="1" ht="12.75" x14ac:dyDescent="0.2">
      <c r="B48506" s="1168"/>
    </row>
    <row r="48507" spans="2:2" s="221" customFormat="1" ht="12.75" x14ac:dyDescent="0.2">
      <c r="B48507" s="1168"/>
    </row>
    <row r="48508" spans="2:2" s="221" customFormat="1" ht="12.75" x14ac:dyDescent="0.2">
      <c r="B48508" s="1168"/>
    </row>
    <row r="48509" spans="2:2" s="221" customFormat="1" ht="12.75" x14ac:dyDescent="0.2">
      <c r="B48509" s="1168"/>
    </row>
    <row r="48510" spans="2:2" s="221" customFormat="1" ht="12.75" x14ac:dyDescent="0.2">
      <c r="B48510" s="1168"/>
    </row>
    <row r="48511" spans="2:2" s="221" customFormat="1" ht="12.75" x14ac:dyDescent="0.2">
      <c r="B48511" s="1168"/>
    </row>
    <row r="48512" spans="2:2" s="221" customFormat="1" ht="12.75" x14ac:dyDescent="0.2">
      <c r="B48512" s="1168"/>
    </row>
    <row r="48513" spans="2:2" s="221" customFormat="1" ht="12.75" x14ac:dyDescent="0.2">
      <c r="B48513" s="1168"/>
    </row>
    <row r="48514" spans="2:2" s="221" customFormat="1" ht="12.75" x14ac:dyDescent="0.2">
      <c r="B48514" s="1168"/>
    </row>
    <row r="48515" spans="2:2" s="221" customFormat="1" ht="12.75" x14ac:dyDescent="0.2">
      <c r="B48515" s="1168"/>
    </row>
    <row r="48516" spans="2:2" s="221" customFormat="1" ht="12.75" x14ac:dyDescent="0.2">
      <c r="B48516" s="1168"/>
    </row>
    <row r="48517" spans="2:2" s="221" customFormat="1" ht="12.75" x14ac:dyDescent="0.2">
      <c r="B48517" s="1168"/>
    </row>
    <row r="48518" spans="2:2" s="221" customFormat="1" ht="12.75" x14ac:dyDescent="0.2">
      <c r="B48518" s="1168"/>
    </row>
    <row r="48519" spans="2:2" s="221" customFormat="1" ht="12.75" x14ac:dyDescent="0.2">
      <c r="B48519" s="1168"/>
    </row>
    <row r="48520" spans="2:2" s="221" customFormat="1" ht="12.75" x14ac:dyDescent="0.2">
      <c r="B48520" s="1168"/>
    </row>
    <row r="48521" spans="2:2" s="221" customFormat="1" ht="12.75" x14ac:dyDescent="0.2">
      <c r="B48521" s="1168"/>
    </row>
    <row r="48522" spans="2:2" s="221" customFormat="1" ht="12.75" x14ac:dyDescent="0.2">
      <c r="B48522" s="1168"/>
    </row>
    <row r="48523" spans="2:2" s="221" customFormat="1" ht="12.75" x14ac:dyDescent="0.2">
      <c r="B48523" s="1168"/>
    </row>
    <row r="48524" spans="2:2" s="221" customFormat="1" ht="12.75" x14ac:dyDescent="0.2">
      <c r="B48524" s="1168"/>
    </row>
    <row r="48525" spans="2:2" s="221" customFormat="1" ht="12.75" x14ac:dyDescent="0.2">
      <c r="B48525" s="1168"/>
    </row>
    <row r="48526" spans="2:2" s="221" customFormat="1" ht="12.75" x14ac:dyDescent="0.2">
      <c r="B48526" s="1168"/>
    </row>
    <row r="48527" spans="2:2" s="221" customFormat="1" ht="12.75" x14ac:dyDescent="0.2">
      <c r="B48527" s="1168"/>
    </row>
    <row r="48528" spans="2:2" s="221" customFormat="1" ht="12.75" x14ac:dyDescent="0.2">
      <c r="B48528" s="1168"/>
    </row>
    <row r="48529" spans="2:2" s="221" customFormat="1" ht="12.75" x14ac:dyDescent="0.2">
      <c r="B48529" s="1168"/>
    </row>
    <row r="48530" spans="2:2" s="221" customFormat="1" ht="12.75" x14ac:dyDescent="0.2">
      <c r="B48530" s="1168"/>
    </row>
    <row r="48531" spans="2:2" s="221" customFormat="1" ht="12.75" x14ac:dyDescent="0.2">
      <c r="B48531" s="1168"/>
    </row>
    <row r="48532" spans="2:2" s="221" customFormat="1" ht="12.75" x14ac:dyDescent="0.2">
      <c r="B48532" s="1168"/>
    </row>
    <row r="48533" spans="2:2" s="221" customFormat="1" ht="12.75" x14ac:dyDescent="0.2">
      <c r="B48533" s="1168"/>
    </row>
    <row r="48534" spans="2:2" s="221" customFormat="1" ht="12.75" x14ac:dyDescent="0.2">
      <c r="B48534" s="1168"/>
    </row>
    <row r="48535" spans="2:2" s="221" customFormat="1" ht="12.75" x14ac:dyDescent="0.2">
      <c r="B48535" s="1168"/>
    </row>
    <row r="48536" spans="2:2" s="221" customFormat="1" ht="12.75" x14ac:dyDescent="0.2">
      <c r="B48536" s="1168"/>
    </row>
    <row r="48537" spans="2:2" s="221" customFormat="1" ht="12.75" x14ac:dyDescent="0.2">
      <c r="B48537" s="1168"/>
    </row>
    <row r="48538" spans="2:2" s="221" customFormat="1" ht="12.75" x14ac:dyDescent="0.2">
      <c r="B48538" s="1168"/>
    </row>
    <row r="48539" spans="2:2" s="221" customFormat="1" ht="12.75" x14ac:dyDescent="0.2">
      <c r="B48539" s="1168"/>
    </row>
    <row r="48540" spans="2:2" s="221" customFormat="1" ht="12.75" x14ac:dyDescent="0.2">
      <c r="B48540" s="1168"/>
    </row>
    <row r="48541" spans="2:2" s="221" customFormat="1" ht="12.75" x14ac:dyDescent="0.2">
      <c r="B48541" s="1168"/>
    </row>
    <row r="48542" spans="2:2" s="221" customFormat="1" ht="12.75" x14ac:dyDescent="0.2">
      <c r="B48542" s="1168"/>
    </row>
    <row r="48543" spans="2:2" s="221" customFormat="1" ht="12.75" x14ac:dyDescent="0.2">
      <c r="B48543" s="1168"/>
    </row>
    <row r="48544" spans="2:2" s="221" customFormat="1" ht="12.75" x14ac:dyDescent="0.2">
      <c r="B48544" s="1168"/>
    </row>
    <row r="48545" spans="2:2" s="221" customFormat="1" ht="12.75" x14ac:dyDescent="0.2">
      <c r="B48545" s="1168"/>
    </row>
    <row r="48546" spans="2:2" s="221" customFormat="1" ht="12.75" x14ac:dyDescent="0.2">
      <c r="B48546" s="1168"/>
    </row>
    <row r="48547" spans="2:2" s="221" customFormat="1" ht="12.75" x14ac:dyDescent="0.2">
      <c r="B48547" s="1168"/>
    </row>
    <row r="48548" spans="2:2" s="221" customFormat="1" ht="12.75" x14ac:dyDescent="0.2">
      <c r="B48548" s="1168"/>
    </row>
    <row r="48549" spans="2:2" s="221" customFormat="1" ht="12.75" x14ac:dyDescent="0.2">
      <c r="B48549" s="1168"/>
    </row>
    <row r="48550" spans="2:2" s="221" customFormat="1" ht="12.75" x14ac:dyDescent="0.2">
      <c r="B48550" s="1168"/>
    </row>
    <row r="48551" spans="2:2" s="221" customFormat="1" ht="12.75" x14ac:dyDescent="0.2">
      <c r="B48551" s="1168"/>
    </row>
    <row r="48552" spans="2:2" s="221" customFormat="1" ht="12.75" x14ac:dyDescent="0.2">
      <c r="B48552" s="1168"/>
    </row>
    <row r="48553" spans="2:2" s="221" customFormat="1" ht="12.75" x14ac:dyDescent="0.2">
      <c r="B48553" s="1168"/>
    </row>
    <row r="48554" spans="2:2" s="221" customFormat="1" ht="12.75" x14ac:dyDescent="0.2">
      <c r="B48554" s="1168"/>
    </row>
    <row r="48555" spans="2:2" s="221" customFormat="1" ht="12.75" x14ac:dyDescent="0.2">
      <c r="B48555" s="1168"/>
    </row>
    <row r="48556" spans="2:2" s="221" customFormat="1" ht="12.75" x14ac:dyDescent="0.2">
      <c r="B48556" s="1168"/>
    </row>
    <row r="48557" spans="2:2" s="221" customFormat="1" ht="12.75" x14ac:dyDescent="0.2">
      <c r="B48557" s="1168"/>
    </row>
    <row r="48558" spans="2:2" s="221" customFormat="1" ht="12.75" x14ac:dyDescent="0.2">
      <c r="B48558" s="1168"/>
    </row>
    <row r="48559" spans="2:2" s="221" customFormat="1" ht="12.75" x14ac:dyDescent="0.2">
      <c r="B48559" s="1168"/>
    </row>
    <row r="48560" spans="2:2" s="221" customFormat="1" ht="12.75" x14ac:dyDescent="0.2">
      <c r="B48560" s="1168"/>
    </row>
    <row r="48561" spans="2:2" s="221" customFormat="1" ht="12.75" x14ac:dyDescent="0.2">
      <c r="B48561" s="1168"/>
    </row>
    <row r="48562" spans="2:2" s="221" customFormat="1" ht="12.75" x14ac:dyDescent="0.2">
      <c r="B48562" s="1168"/>
    </row>
    <row r="48563" spans="2:2" s="221" customFormat="1" ht="12.75" x14ac:dyDescent="0.2">
      <c r="B48563" s="1168"/>
    </row>
    <row r="48564" spans="2:2" s="221" customFormat="1" ht="12.75" x14ac:dyDescent="0.2">
      <c r="B48564" s="1168"/>
    </row>
    <row r="48565" spans="2:2" s="221" customFormat="1" ht="12.75" x14ac:dyDescent="0.2">
      <c r="B48565" s="1168"/>
    </row>
    <row r="48566" spans="2:2" s="221" customFormat="1" ht="12.75" x14ac:dyDescent="0.2">
      <c r="B48566" s="1168"/>
    </row>
    <row r="48567" spans="2:2" s="221" customFormat="1" ht="12.75" x14ac:dyDescent="0.2">
      <c r="B48567" s="1168"/>
    </row>
    <row r="48568" spans="2:2" s="221" customFormat="1" ht="12.75" x14ac:dyDescent="0.2">
      <c r="B48568" s="1168"/>
    </row>
    <row r="48569" spans="2:2" s="221" customFormat="1" ht="12.75" x14ac:dyDescent="0.2">
      <c r="B48569" s="1168"/>
    </row>
    <row r="48570" spans="2:2" s="221" customFormat="1" ht="12.75" x14ac:dyDescent="0.2">
      <c r="B48570" s="1168"/>
    </row>
    <row r="48571" spans="2:2" s="221" customFormat="1" ht="12.75" x14ac:dyDescent="0.2">
      <c r="B48571" s="1168"/>
    </row>
    <row r="48572" spans="2:2" s="221" customFormat="1" ht="12.75" x14ac:dyDescent="0.2">
      <c r="B48572" s="1168"/>
    </row>
    <row r="48573" spans="2:2" s="221" customFormat="1" ht="12.75" x14ac:dyDescent="0.2">
      <c r="B48573" s="1168"/>
    </row>
    <row r="48574" spans="2:2" s="221" customFormat="1" ht="12.75" x14ac:dyDescent="0.2">
      <c r="B48574" s="1168"/>
    </row>
    <row r="48575" spans="2:2" s="221" customFormat="1" ht="12.75" x14ac:dyDescent="0.2">
      <c r="B48575" s="1168"/>
    </row>
    <row r="48576" spans="2:2" s="221" customFormat="1" ht="12.75" x14ac:dyDescent="0.2">
      <c r="B48576" s="1168"/>
    </row>
    <row r="48577" spans="2:2" s="221" customFormat="1" ht="12.75" x14ac:dyDescent="0.2">
      <c r="B48577" s="1168"/>
    </row>
    <row r="48578" spans="2:2" s="221" customFormat="1" ht="12.75" x14ac:dyDescent="0.2">
      <c r="B48578" s="1168"/>
    </row>
    <row r="48579" spans="2:2" s="221" customFormat="1" ht="12.75" x14ac:dyDescent="0.2">
      <c r="B48579" s="1168"/>
    </row>
    <row r="48580" spans="2:2" s="221" customFormat="1" ht="12.75" x14ac:dyDescent="0.2">
      <c r="B48580" s="1168"/>
    </row>
    <row r="48581" spans="2:2" s="221" customFormat="1" ht="12.75" x14ac:dyDescent="0.2">
      <c r="B48581" s="1168"/>
    </row>
    <row r="48582" spans="2:2" s="221" customFormat="1" ht="12.75" x14ac:dyDescent="0.2">
      <c r="B48582" s="1168"/>
    </row>
    <row r="48583" spans="2:2" s="221" customFormat="1" ht="12.75" x14ac:dyDescent="0.2">
      <c r="B48583" s="1168"/>
    </row>
    <row r="48584" spans="2:2" s="221" customFormat="1" ht="12.75" x14ac:dyDescent="0.2">
      <c r="B48584" s="1168"/>
    </row>
    <row r="48585" spans="2:2" s="221" customFormat="1" ht="12.75" x14ac:dyDescent="0.2">
      <c r="B48585" s="1168"/>
    </row>
    <row r="48586" spans="2:2" s="221" customFormat="1" ht="12.75" x14ac:dyDescent="0.2">
      <c r="B48586" s="1168"/>
    </row>
    <row r="48587" spans="2:2" s="221" customFormat="1" ht="12.75" x14ac:dyDescent="0.2">
      <c r="B48587" s="1168"/>
    </row>
    <row r="48588" spans="2:2" s="221" customFormat="1" ht="12.75" x14ac:dyDescent="0.2">
      <c r="B48588" s="1168"/>
    </row>
    <row r="48589" spans="2:2" s="221" customFormat="1" ht="12.75" x14ac:dyDescent="0.2">
      <c r="B48589" s="1168"/>
    </row>
    <row r="48590" spans="2:2" s="221" customFormat="1" ht="12.75" x14ac:dyDescent="0.2">
      <c r="B48590" s="1168"/>
    </row>
    <row r="48591" spans="2:2" s="221" customFormat="1" ht="12.75" x14ac:dyDescent="0.2">
      <c r="B48591" s="1168"/>
    </row>
    <row r="48592" spans="2:2" s="221" customFormat="1" ht="12.75" x14ac:dyDescent="0.2">
      <c r="B48592" s="1168"/>
    </row>
    <row r="48593" spans="2:2" s="221" customFormat="1" ht="12.75" x14ac:dyDescent="0.2">
      <c r="B48593" s="1168"/>
    </row>
    <row r="48594" spans="2:2" s="221" customFormat="1" ht="12.75" x14ac:dyDescent="0.2">
      <c r="B48594" s="1168"/>
    </row>
    <row r="48595" spans="2:2" s="221" customFormat="1" ht="12.75" x14ac:dyDescent="0.2">
      <c r="B48595" s="1168"/>
    </row>
    <row r="48596" spans="2:2" s="221" customFormat="1" ht="12.75" x14ac:dyDescent="0.2">
      <c r="B48596" s="1168"/>
    </row>
    <row r="48597" spans="2:2" s="221" customFormat="1" ht="12.75" x14ac:dyDescent="0.2">
      <c r="B48597" s="1168"/>
    </row>
    <row r="48598" spans="2:2" s="221" customFormat="1" ht="12.75" x14ac:dyDescent="0.2">
      <c r="B48598" s="1168"/>
    </row>
    <row r="48599" spans="2:2" s="221" customFormat="1" ht="12.75" x14ac:dyDescent="0.2">
      <c r="B48599" s="1168"/>
    </row>
    <row r="48600" spans="2:2" s="221" customFormat="1" ht="12.75" x14ac:dyDescent="0.2">
      <c r="B48600" s="1168"/>
    </row>
    <row r="48601" spans="2:2" s="221" customFormat="1" ht="12.75" x14ac:dyDescent="0.2">
      <c r="B48601" s="1168"/>
    </row>
    <row r="48602" spans="2:2" s="221" customFormat="1" ht="12.75" x14ac:dyDescent="0.2">
      <c r="B48602" s="1168"/>
    </row>
    <row r="48603" spans="2:2" s="221" customFormat="1" ht="12.75" x14ac:dyDescent="0.2">
      <c r="B48603" s="1168"/>
    </row>
    <row r="48604" spans="2:2" s="221" customFormat="1" ht="12.75" x14ac:dyDescent="0.2">
      <c r="B48604" s="1168"/>
    </row>
    <row r="48605" spans="2:2" s="221" customFormat="1" ht="12.75" x14ac:dyDescent="0.2">
      <c r="B48605" s="1168"/>
    </row>
    <row r="48606" spans="2:2" s="221" customFormat="1" ht="12.75" x14ac:dyDescent="0.2">
      <c r="B48606" s="1168"/>
    </row>
    <row r="48607" spans="2:2" s="221" customFormat="1" ht="12.75" x14ac:dyDescent="0.2">
      <c r="B48607" s="1168"/>
    </row>
    <row r="48608" spans="2:2" s="221" customFormat="1" ht="12.75" x14ac:dyDescent="0.2">
      <c r="B48608" s="1168"/>
    </row>
    <row r="48609" spans="2:2" s="221" customFormat="1" ht="12.75" x14ac:dyDescent="0.2">
      <c r="B48609" s="1168"/>
    </row>
    <row r="48610" spans="2:2" s="221" customFormat="1" ht="12.75" x14ac:dyDescent="0.2">
      <c r="B48610" s="1168"/>
    </row>
    <row r="48611" spans="2:2" s="221" customFormat="1" ht="12.75" x14ac:dyDescent="0.2">
      <c r="B48611" s="1168"/>
    </row>
    <row r="48612" spans="2:2" s="221" customFormat="1" ht="12.75" x14ac:dyDescent="0.2">
      <c r="B48612" s="1168"/>
    </row>
    <row r="48613" spans="2:2" s="221" customFormat="1" ht="12.75" x14ac:dyDescent="0.2">
      <c r="B48613" s="1168"/>
    </row>
    <row r="48614" spans="2:2" s="221" customFormat="1" ht="12.75" x14ac:dyDescent="0.2">
      <c r="B48614" s="1168"/>
    </row>
    <row r="48615" spans="2:2" s="221" customFormat="1" ht="12.75" x14ac:dyDescent="0.2">
      <c r="B48615" s="1168"/>
    </row>
    <row r="48616" spans="2:2" s="221" customFormat="1" ht="12.75" x14ac:dyDescent="0.2">
      <c r="B48616" s="1168"/>
    </row>
    <row r="48617" spans="2:2" s="221" customFormat="1" ht="12.75" x14ac:dyDescent="0.2">
      <c r="B48617" s="1168"/>
    </row>
    <row r="48618" spans="2:2" s="221" customFormat="1" ht="12.75" x14ac:dyDescent="0.2">
      <c r="B48618" s="1168"/>
    </row>
    <row r="48619" spans="2:2" s="221" customFormat="1" ht="12.75" x14ac:dyDescent="0.2">
      <c r="B48619" s="1168"/>
    </row>
    <row r="48620" spans="2:2" s="221" customFormat="1" ht="12.75" x14ac:dyDescent="0.2">
      <c r="B48620" s="1168"/>
    </row>
    <row r="48621" spans="2:2" s="221" customFormat="1" ht="12.75" x14ac:dyDescent="0.2">
      <c r="B48621" s="1168"/>
    </row>
    <row r="48622" spans="2:2" s="221" customFormat="1" ht="12.75" x14ac:dyDescent="0.2">
      <c r="B48622" s="1168"/>
    </row>
    <row r="48623" spans="2:2" s="221" customFormat="1" ht="12.75" x14ac:dyDescent="0.2">
      <c r="B48623" s="1168"/>
    </row>
    <row r="48624" spans="2:2" s="221" customFormat="1" ht="12.75" x14ac:dyDescent="0.2">
      <c r="B48624" s="1168"/>
    </row>
    <row r="48625" spans="2:2" s="221" customFormat="1" ht="12.75" x14ac:dyDescent="0.2">
      <c r="B48625" s="1168"/>
    </row>
    <row r="48626" spans="2:2" s="221" customFormat="1" ht="12.75" x14ac:dyDescent="0.2">
      <c r="B48626" s="1168"/>
    </row>
    <row r="48627" spans="2:2" s="221" customFormat="1" ht="12.75" x14ac:dyDescent="0.2">
      <c r="B48627" s="1168"/>
    </row>
    <row r="48628" spans="2:2" s="221" customFormat="1" ht="12.75" x14ac:dyDescent="0.2">
      <c r="B48628" s="1168"/>
    </row>
    <row r="48629" spans="2:2" s="221" customFormat="1" ht="12.75" x14ac:dyDescent="0.2">
      <c r="B48629" s="1168"/>
    </row>
    <row r="48630" spans="2:2" s="221" customFormat="1" ht="12.75" x14ac:dyDescent="0.2">
      <c r="B48630" s="1168"/>
    </row>
    <row r="48631" spans="2:2" s="221" customFormat="1" ht="12.75" x14ac:dyDescent="0.2">
      <c r="B48631" s="1168"/>
    </row>
    <row r="48632" spans="2:2" s="221" customFormat="1" ht="12.75" x14ac:dyDescent="0.2">
      <c r="B48632" s="1168"/>
    </row>
    <row r="48633" spans="2:2" s="221" customFormat="1" ht="12.75" x14ac:dyDescent="0.2">
      <c r="B48633" s="1168"/>
    </row>
    <row r="48634" spans="2:2" s="221" customFormat="1" ht="12.75" x14ac:dyDescent="0.2">
      <c r="B48634" s="1168"/>
    </row>
    <row r="48635" spans="2:2" s="221" customFormat="1" ht="12.75" x14ac:dyDescent="0.2">
      <c r="B48635" s="1168"/>
    </row>
    <row r="48636" spans="2:2" s="221" customFormat="1" ht="12.75" x14ac:dyDescent="0.2">
      <c r="B48636" s="1168"/>
    </row>
    <row r="48637" spans="2:2" s="221" customFormat="1" ht="12.75" x14ac:dyDescent="0.2">
      <c r="B48637" s="1168"/>
    </row>
    <row r="48638" spans="2:2" s="221" customFormat="1" ht="12.75" x14ac:dyDescent="0.2">
      <c r="B48638" s="1168"/>
    </row>
    <row r="48639" spans="2:2" s="221" customFormat="1" ht="12.75" x14ac:dyDescent="0.2">
      <c r="B48639" s="1168"/>
    </row>
    <row r="48640" spans="2:2" s="221" customFormat="1" ht="12.75" x14ac:dyDescent="0.2">
      <c r="B48640" s="1168"/>
    </row>
    <row r="48641" spans="2:2" s="221" customFormat="1" ht="12.75" x14ac:dyDescent="0.2">
      <c r="B48641" s="1168"/>
    </row>
    <row r="48642" spans="2:2" s="221" customFormat="1" ht="12.75" x14ac:dyDescent="0.2">
      <c r="B48642" s="1168"/>
    </row>
    <row r="48643" spans="2:2" s="221" customFormat="1" ht="12.75" x14ac:dyDescent="0.2">
      <c r="B48643" s="1168"/>
    </row>
    <row r="48644" spans="2:2" s="221" customFormat="1" ht="12.75" x14ac:dyDescent="0.2">
      <c r="B48644" s="1168"/>
    </row>
    <row r="48645" spans="2:2" s="221" customFormat="1" ht="12.75" x14ac:dyDescent="0.2">
      <c r="B48645" s="1168"/>
    </row>
    <row r="48646" spans="2:2" s="221" customFormat="1" ht="12.75" x14ac:dyDescent="0.2">
      <c r="B48646" s="1168"/>
    </row>
    <row r="48647" spans="2:2" s="221" customFormat="1" ht="12.75" x14ac:dyDescent="0.2">
      <c r="B48647" s="1168"/>
    </row>
    <row r="48648" spans="2:2" s="221" customFormat="1" ht="12.75" x14ac:dyDescent="0.2">
      <c r="B48648" s="1168"/>
    </row>
    <row r="48649" spans="2:2" s="221" customFormat="1" ht="12.75" x14ac:dyDescent="0.2">
      <c r="B48649" s="1168"/>
    </row>
    <row r="48650" spans="2:2" s="221" customFormat="1" ht="12.75" x14ac:dyDescent="0.2">
      <c r="B48650" s="1168"/>
    </row>
    <row r="48651" spans="2:2" s="221" customFormat="1" ht="12.75" x14ac:dyDescent="0.2">
      <c r="B48651" s="1168"/>
    </row>
    <row r="48652" spans="2:2" s="221" customFormat="1" ht="12.75" x14ac:dyDescent="0.2">
      <c r="B48652" s="1168"/>
    </row>
    <row r="48653" spans="2:2" s="221" customFormat="1" ht="12.75" x14ac:dyDescent="0.2">
      <c r="B48653" s="1168"/>
    </row>
    <row r="48654" spans="2:2" s="221" customFormat="1" ht="12.75" x14ac:dyDescent="0.2">
      <c r="B48654" s="1168"/>
    </row>
    <row r="48655" spans="2:2" s="221" customFormat="1" ht="12.75" x14ac:dyDescent="0.2">
      <c r="B48655" s="1168"/>
    </row>
    <row r="48656" spans="2:2" s="221" customFormat="1" ht="12.75" x14ac:dyDescent="0.2">
      <c r="B48656" s="1168"/>
    </row>
    <row r="48657" spans="2:2" s="221" customFormat="1" ht="12.75" x14ac:dyDescent="0.2">
      <c r="B48657" s="1168"/>
    </row>
    <row r="48658" spans="2:2" s="221" customFormat="1" ht="12.75" x14ac:dyDescent="0.2">
      <c r="B48658" s="1168"/>
    </row>
    <row r="48659" spans="2:2" s="221" customFormat="1" ht="12.75" x14ac:dyDescent="0.2">
      <c r="B48659" s="1168"/>
    </row>
    <row r="48660" spans="2:2" s="221" customFormat="1" ht="12.75" x14ac:dyDescent="0.2">
      <c r="B48660" s="1168"/>
    </row>
    <row r="48661" spans="2:2" s="221" customFormat="1" ht="12.75" x14ac:dyDescent="0.2">
      <c r="B48661" s="1168"/>
    </row>
    <row r="48662" spans="2:2" s="221" customFormat="1" ht="12.75" x14ac:dyDescent="0.2">
      <c r="B48662" s="1168"/>
    </row>
    <row r="48663" spans="2:2" s="221" customFormat="1" ht="12.75" x14ac:dyDescent="0.2">
      <c r="B48663" s="1168"/>
    </row>
    <row r="48664" spans="2:2" s="221" customFormat="1" ht="12.75" x14ac:dyDescent="0.2">
      <c r="B48664" s="1168"/>
    </row>
    <row r="48665" spans="2:2" s="221" customFormat="1" ht="12.75" x14ac:dyDescent="0.2">
      <c r="B48665" s="1168"/>
    </row>
    <row r="48666" spans="2:2" s="221" customFormat="1" ht="12.75" x14ac:dyDescent="0.2">
      <c r="B48666" s="1168"/>
    </row>
    <row r="48667" spans="2:2" s="221" customFormat="1" ht="12.75" x14ac:dyDescent="0.2">
      <c r="B48667" s="1168"/>
    </row>
    <row r="48668" spans="2:2" s="221" customFormat="1" ht="12.75" x14ac:dyDescent="0.2">
      <c r="B48668" s="1168"/>
    </row>
    <row r="48669" spans="2:2" s="221" customFormat="1" ht="12.75" x14ac:dyDescent="0.2">
      <c r="B48669" s="1168"/>
    </row>
    <row r="48670" spans="2:2" s="221" customFormat="1" ht="12.75" x14ac:dyDescent="0.2">
      <c r="B48670" s="1168"/>
    </row>
    <row r="48671" spans="2:2" s="221" customFormat="1" ht="12.75" x14ac:dyDescent="0.2">
      <c r="B48671" s="1168"/>
    </row>
    <row r="48672" spans="2:2" s="221" customFormat="1" ht="12.75" x14ac:dyDescent="0.2">
      <c r="B48672" s="1168"/>
    </row>
    <row r="48673" spans="2:2" s="221" customFormat="1" ht="12.75" x14ac:dyDescent="0.2">
      <c r="B48673" s="1168"/>
    </row>
    <row r="48674" spans="2:2" s="221" customFormat="1" ht="12.75" x14ac:dyDescent="0.2">
      <c r="B48674" s="1168"/>
    </row>
    <row r="48675" spans="2:2" s="221" customFormat="1" ht="12.75" x14ac:dyDescent="0.2">
      <c r="B48675" s="1168"/>
    </row>
    <row r="48676" spans="2:2" s="221" customFormat="1" ht="12.75" x14ac:dyDescent="0.2">
      <c r="B48676" s="1168"/>
    </row>
    <row r="48677" spans="2:2" s="221" customFormat="1" ht="12.75" x14ac:dyDescent="0.2">
      <c r="B48677" s="1168"/>
    </row>
    <row r="48678" spans="2:2" s="221" customFormat="1" ht="12.75" x14ac:dyDescent="0.2">
      <c r="B48678" s="1168"/>
    </row>
    <row r="48679" spans="2:2" s="221" customFormat="1" ht="12.75" x14ac:dyDescent="0.2">
      <c r="B48679" s="1168"/>
    </row>
    <row r="48680" spans="2:2" s="221" customFormat="1" ht="12.75" x14ac:dyDescent="0.2">
      <c r="B48680" s="1168"/>
    </row>
    <row r="48681" spans="2:2" s="221" customFormat="1" ht="12.75" x14ac:dyDescent="0.2">
      <c r="B48681" s="1168"/>
    </row>
    <row r="48682" spans="2:2" s="221" customFormat="1" ht="12.75" x14ac:dyDescent="0.2">
      <c r="B48682" s="1168"/>
    </row>
    <row r="48683" spans="2:2" s="221" customFormat="1" ht="12.75" x14ac:dyDescent="0.2">
      <c r="B48683" s="1168"/>
    </row>
    <row r="48684" spans="2:2" s="221" customFormat="1" ht="12.75" x14ac:dyDescent="0.2">
      <c r="B48684" s="1168"/>
    </row>
    <row r="48685" spans="2:2" s="221" customFormat="1" ht="12.75" x14ac:dyDescent="0.2">
      <c r="B48685" s="1168"/>
    </row>
    <row r="48686" spans="2:2" s="221" customFormat="1" ht="12.75" x14ac:dyDescent="0.2">
      <c r="B48686" s="1168"/>
    </row>
    <row r="48687" spans="2:2" s="221" customFormat="1" ht="12.75" x14ac:dyDescent="0.2">
      <c r="B48687" s="1168"/>
    </row>
    <row r="48688" spans="2:2" s="221" customFormat="1" ht="12.75" x14ac:dyDescent="0.2">
      <c r="B48688" s="1168"/>
    </row>
    <row r="48689" spans="2:2" s="221" customFormat="1" ht="12.75" x14ac:dyDescent="0.2">
      <c r="B48689" s="1168"/>
    </row>
    <row r="48690" spans="2:2" s="221" customFormat="1" ht="12.75" x14ac:dyDescent="0.2">
      <c r="B48690" s="1168"/>
    </row>
    <row r="48691" spans="2:2" s="221" customFormat="1" ht="12.75" x14ac:dyDescent="0.2">
      <c r="B48691" s="1168"/>
    </row>
    <row r="48692" spans="2:2" s="221" customFormat="1" ht="12.75" x14ac:dyDescent="0.2">
      <c r="B48692" s="1168"/>
    </row>
    <row r="48693" spans="2:2" s="221" customFormat="1" ht="12.75" x14ac:dyDescent="0.2">
      <c r="B48693" s="1168"/>
    </row>
    <row r="48694" spans="2:2" s="221" customFormat="1" ht="12.75" x14ac:dyDescent="0.2">
      <c r="B48694" s="1168"/>
    </row>
    <row r="48695" spans="2:2" s="221" customFormat="1" ht="12.75" x14ac:dyDescent="0.2">
      <c r="B48695" s="1168"/>
    </row>
    <row r="48696" spans="2:2" s="221" customFormat="1" ht="12.75" x14ac:dyDescent="0.2">
      <c r="B48696" s="1168"/>
    </row>
    <row r="48697" spans="2:2" s="221" customFormat="1" ht="12.75" x14ac:dyDescent="0.2">
      <c r="B48697" s="1168"/>
    </row>
    <row r="48698" spans="2:2" s="221" customFormat="1" ht="12.75" x14ac:dyDescent="0.2">
      <c r="B48698" s="1168"/>
    </row>
    <row r="48699" spans="2:2" s="221" customFormat="1" ht="12.75" x14ac:dyDescent="0.2">
      <c r="B48699" s="1168"/>
    </row>
    <row r="48700" spans="2:2" s="221" customFormat="1" ht="12.75" x14ac:dyDescent="0.2">
      <c r="B48700" s="1168"/>
    </row>
    <row r="48701" spans="2:2" s="221" customFormat="1" ht="12.75" x14ac:dyDescent="0.2">
      <c r="B48701" s="1168"/>
    </row>
    <row r="48702" spans="2:2" s="221" customFormat="1" ht="12.75" x14ac:dyDescent="0.2">
      <c r="B48702" s="1168"/>
    </row>
    <row r="48703" spans="2:2" s="221" customFormat="1" ht="12.75" x14ac:dyDescent="0.2">
      <c r="B48703" s="1168"/>
    </row>
    <row r="48704" spans="2:2" s="221" customFormat="1" ht="12.75" x14ac:dyDescent="0.2">
      <c r="B48704" s="1168"/>
    </row>
    <row r="48705" spans="2:2" s="221" customFormat="1" ht="12.75" x14ac:dyDescent="0.2">
      <c r="B48705" s="1168"/>
    </row>
    <row r="48706" spans="2:2" s="221" customFormat="1" ht="12.75" x14ac:dyDescent="0.2">
      <c r="B48706" s="1168"/>
    </row>
    <row r="48707" spans="2:2" s="221" customFormat="1" ht="12.75" x14ac:dyDescent="0.2">
      <c r="B48707" s="1168"/>
    </row>
    <row r="48708" spans="2:2" s="221" customFormat="1" ht="12.75" x14ac:dyDescent="0.2">
      <c r="B48708" s="1168"/>
    </row>
    <row r="48709" spans="2:2" s="221" customFormat="1" ht="12.75" x14ac:dyDescent="0.2">
      <c r="B48709" s="1168"/>
    </row>
    <row r="48710" spans="2:2" s="221" customFormat="1" ht="12.75" x14ac:dyDescent="0.2">
      <c r="B48710" s="1168"/>
    </row>
    <row r="48711" spans="2:2" s="221" customFormat="1" ht="12.75" x14ac:dyDescent="0.2">
      <c r="B48711" s="1168"/>
    </row>
    <row r="48712" spans="2:2" s="221" customFormat="1" ht="12.75" x14ac:dyDescent="0.2">
      <c r="B48712" s="1168"/>
    </row>
    <row r="48713" spans="2:2" s="221" customFormat="1" ht="12.75" x14ac:dyDescent="0.2">
      <c r="B48713" s="1168"/>
    </row>
    <row r="48714" spans="2:2" s="221" customFormat="1" ht="12.75" x14ac:dyDescent="0.2">
      <c r="B48714" s="1168"/>
    </row>
    <row r="48715" spans="2:2" s="221" customFormat="1" ht="12.75" x14ac:dyDescent="0.2">
      <c r="B48715" s="1168"/>
    </row>
    <row r="48716" spans="2:2" s="221" customFormat="1" ht="12.75" x14ac:dyDescent="0.2">
      <c r="B48716" s="1168"/>
    </row>
    <row r="48717" spans="2:2" s="221" customFormat="1" ht="12.75" x14ac:dyDescent="0.2">
      <c r="B48717" s="1168"/>
    </row>
    <row r="48718" spans="2:2" s="221" customFormat="1" ht="12.75" x14ac:dyDescent="0.2">
      <c r="B48718" s="1168"/>
    </row>
    <row r="48719" spans="2:2" s="221" customFormat="1" ht="12.75" x14ac:dyDescent="0.2">
      <c r="B48719" s="1168"/>
    </row>
    <row r="48720" spans="2:2" s="221" customFormat="1" ht="12.75" x14ac:dyDescent="0.2">
      <c r="B48720" s="1168"/>
    </row>
    <row r="48721" spans="2:2" s="221" customFormat="1" ht="12.75" x14ac:dyDescent="0.2">
      <c r="B48721" s="1168"/>
    </row>
    <row r="48722" spans="2:2" s="221" customFormat="1" ht="12.75" x14ac:dyDescent="0.2">
      <c r="B48722" s="1168"/>
    </row>
    <row r="48723" spans="2:2" s="221" customFormat="1" ht="12.75" x14ac:dyDescent="0.2">
      <c r="B48723" s="1168"/>
    </row>
    <row r="48724" spans="2:2" s="221" customFormat="1" ht="12.75" x14ac:dyDescent="0.2">
      <c r="B48724" s="1168"/>
    </row>
    <row r="48725" spans="2:2" s="221" customFormat="1" ht="12.75" x14ac:dyDescent="0.2">
      <c r="B48725" s="1168"/>
    </row>
    <row r="48726" spans="2:2" s="221" customFormat="1" ht="12.75" x14ac:dyDescent="0.2">
      <c r="B48726" s="1168"/>
    </row>
    <row r="48727" spans="2:2" s="221" customFormat="1" ht="12.75" x14ac:dyDescent="0.2">
      <c r="B48727" s="1168"/>
    </row>
    <row r="48728" spans="2:2" s="221" customFormat="1" ht="12.75" x14ac:dyDescent="0.2">
      <c r="B48728" s="1168"/>
    </row>
    <row r="48729" spans="2:2" s="221" customFormat="1" ht="12.75" x14ac:dyDescent="0.2">
      <c r="B48729" s="1168"/>
    </row>
    <row r="48730" spans="2:2" s="221" customFormat="1" ht="12.75" x14ac:dyDescent="0.2">
      <c r="B48730" s="1168"/>
    </row>
    <row r="48731" spans="2:2" s="221" customFormat="1" ht="12.75" x14ac:dyDescent="0.2">
      <c r="B48731" s="1168"/>
    </row>
    <row r="48732" spans="2:2" s="221" customFormat="1" ht="12.75" x14ac:dyDescent="0.2">
      <c r="B48732" s="1168"/>
    </row>
    <row r="48733" spans="2:2" s="221" customFormat="1" ht="12.75" x14ac:dyDescent="0.2">
      <c r="B48733" s="1168"/>
    </row>
    <row r="48734" spans="2:2" s="221" customFormat="1" ht="12.75" x14ac:dyDescent="0.2">
      <c r="B48734" s="1168"/>
    </row>
    <row r="48735" spans="2:2" s="221" customFormat="1" ht="12.75" x14ac:dyDescent="0.2">
      <c r="B48735" s="1168"/>
    </row>
    <row r="48736" spans="2:2" s="221" customFormat="1" ht="12.75" x14ac:dyDescent="0.2">
      <c r="B48736" s="1168"/>
    </row>
    <row r="48737" spans="2:2" s="221" customFormat="1" ht="12.75" x14ac:dyDescent="0.2">
      <c r="B48737" s="1168"/>
    </row>
    <row r="48738" spans="2:2" s="221" customFormat="1" ht="12.75" x14ac:dyDescent="0.2">
      <c r="B48738" s="1168"/>
    </row>
    <row r="48739" spans="2:2" s="221" customFormat="1" ht="12.75" x14ac:dyDescent="0.2">
      <c r="B48739" s="1168"/>
    </row>
    <row r="48740" spans="2:2" s="221" customFormat="1" ht="12.75" x14ac:dyDescent="0.2">
      <c r="B48740" s="1168"/>
    </row>
    <row r="48741" spans="2:2" s="221" customFormat="1" ht="12.75" x14ac:dyDescent="0.2">
      <c r="B48741" s="1168"/>
    </row>
    <row r="48742" spans="2:2" s="221" customFormat="1" ht="12.75" x14ac:dyDescent="0.2">
      <c r="B48742" s="1168"/>
    </row>
    <row r="48743" spans="2:2" s="221" customFormat="1" ht="12.75" x14ac:dyDescent="0.2">
      <c r="B48743" s="1168"/>
    </row>
    <row r="48744" spans="2:2" s="221" customFormat="1" ht="12.75" x14ac:dyDescent="0.2">
      <c r="B48744" s="1168"/>
    </row>
    <row r="48745" spans="2:2" s="221" customFormat="1" ht="12.75" x14ac:dyDescent="0.2">
      <c r="B48745" s="1168"/>
    </row>
    <row r="48746" spans="2:2" s="221" customFormat="1" ht="12.75" x14ac:dyDescent="0.2">
      <c r="B48746" s="1168"/>
    </row>
    <row r="48747" spans="2:2" s="221" customFormat="1" ht="12.75" x14ac:dyDescent="0.2">
      <c r="B48747" s="1168"/>
    </row>
    <row r="48748" spans="2:2" s="221" customFormat="1" ht="12.75" x14ac:dyDescent="0.2">
      <c r="B48748" s="1168"/>
    </row>
    <row r="48749" spans="2:2" s="221" customFormat="1" ht="12.75" x14ac:dyDescent="0.2">
      <c r="B48749" s="1168"/>
    </row>
    <row r="48750" spans="2:2" s="221" customFormat="1" ht="12.75" x14ac:dyDescent="0.2">
      <c r="B48750" s="1168"/>
    </row>
    <row r="48751" spans="2:2" s="221" customFormat="1" ht="12.75" x14ac:dyDescent="0.2">
      <c r="B48751" s="1168"/>
    </row>
    <row r="48752" spans="2:2" s="221" customFormat="1" ht="12.75" x14ac:dyDescent="0.2">
      <c r="B48752" s="1168"/>
    </row>
    <row r="48753" spans="2:2" s="221" customFormat="1" ht="12.75" x14ac:dyDescent="0.2">
      <c r="B48753" s="1168"/>
    </row>
    <row r="48754" spans="2:2" s="221" customFormat="1" ht="12.75" x14ac:dyDescent="0.2">
      <c r="B48754" s="1168"/>
    </row>
    <row r="48755" spans="2:2" s="221" customFormat="1" ht="12.75" x14ac:dyDescent="0.2">
      <c r="B48755" s="1168"/>
    </row>
    <row r="48756" spans="2:2" s="221" customFormat="1" ht="12.75" x14ac:dyDescent="0.2">
      <c r="B48756" s="1168"/>
    </row>
    <row r="48757" spans="2:2" s="221" customFormat="1" ht="12.75" x14ac:dyDescent="0.2">
      <c r="B48757" s="1168"/>
    </row>
    <row r="48758" spans="2:2" s="221" customFormat="1" ht="12.75" x14ac:dyDescent="0.2">
      <c r="B48758" s="1168"/>
    </row>
    <row r="48759" spans="2:2" s="221" customFormat="1" ht="12.75" x14ac:dyDescent="0.2">
      <c r="B48759" s="1168"/>
    </row>
    <row r="48760" spans="2:2" s="221" customFormat="1" ht="12.75" x14ac:dyDescent="0.2">
      <c r="B48760" s="1168"/>
    </row>
    <row r="48761" spans="2:2" s="221" customFormat="1" ht="12.75" x14ac:dyDescent="0.2">
      <c r="B48761" s="1168"/>
    </row>
    <row r="48762" spans="2:2" s="221" customFormat="1" ht="12.75" x14ac:dyDescent="0.2">
      <c r="B48762" s="1168"/>
    </row>
    <row r="48763" spans="2:2" s="221" customFormat="1" ht="12.75" x14ac:dyDescent="0.2">
      <c r="B48763" s="1168"/>
    </row>
    <row r="48764" spans="2:2" s="221" customFormat="1" ht="12.75" x14ac:dyDescent="0.2">
      <c r="B48764" s="1168"/>
    </row>
    <row r="48765" spans="2:2" s="221" customFormat="1" ht="12.75" x14ac:dyDescent="0.2">
      <c r="B48765" s="1168"/>
    </row>
    <row r="48766" spans="2:2" s="221" customFormat="1" ht="12.75" x14ac:dyDescent="0.2">
      <c r="B48766" s="1168"/>
    </row>
    <row r="48767" spans="2:2" s="221" customFormat="1" ht="12.75" x14ac:dyDescent="0.2">
      <c r="B48767" s="1168"/>
    </row>
    <row r="48768" spans="2:2" s="221" customFormat="1" ht="12.75" x14ac:dyDescent="0.2">
      <c r="B48768" s="1168"/>
    </row>
    <row r="48769" spans="2:2" s="221" customFormat="1" ht="12.75" x14ac:dyDescent="0.2">
      <c r="B48769" s="1168"/>
    </row>
    <row r="48770" spans="2:2" s="221" customFormat="1" ht="12.75" x14ac:dyDescent="0.2">
      <c r="B48770" s="1168"/>
    </row>
    <row r="48771" spans="2:2" s="221" customFormat="1" ht="12.75" x14ac:dyDescent="0.2">
      <c r="B48771" s="1168"/>
    </row>
    <row r="48772" spans="2:2" s="221" customFormat="1" ht="12.75" x14ac:dyDescent="0.2">
      <c r="B48772" s="1168"/>
    </row>
    <row r="48773" spans="2:2" s="221" customFormat="1" ht="12.75" x14ac:dyDescent="0.2">
      <c r="B48773" s="1168"/>
    </row>
    <row r="48774" spans="2:2" s="221" customFormat="1" ht="12.75" x14ac:dyDescent="0.2">
      <c r="B48774" s="1168"/>
    </row>
    <row r="48775" spans="2:2" s="221" customFormat="1" ht="12.75" x14ac:dyDescent="0.2">
      <c r="B48775" s="1168"/>
    </row>
    <row r="48776" spans="2:2" s="221" customFormat="1" ht="12.75" x14ac:dyDescent="0.2">
      <c r="B48776" s="1168"/>
    </row>
    <row r="48777" spans="2:2" s="221" customFormat="1" ht="12.75" x14ac:dyDescent="0.2">
      <c r="B48777" s="1168"/>
    </row>
    <row r="48778" spans="2:2" s="221" customFormat="1" ht="12.75" x14ac:dyDescent="0.2">
      <c r="B48778" s="1168"/>
    </row>
    <row r="48779" spans="2:2" s="221" customFormat="1" ht="12.75" x14ac:dyDescent="0.2">
      <c r="B48779" s="1168"/>
    </row>
    <row r="48780" spans="2:2" s="221" customFormat="1" ht="12.75" x14ac:dyDescent="0.2">
      <c r="B48780" s="1168"/>
    </row>
    <row r="48781" spans="2:2" s="221" customFormat="1" ht="12.75" x14ac:dyDescent="0.2">
      <c r="B48781" s="1168"/>
    </row>
    <row r="48782" spans="2:2" s="221" customFormat="1" ht="12.75" x14ac:dyDescent="0.2">
      <c r="B48782" s="1168"/>
    </row>
    <row r="48783" spans="2:2" s="221" customFormat="1" ht="12.75" x14ac:dyDescent="0.2">
      <c r="B48783" s="1168"/>
    </row>
    <row r="48784" spans="2:2" s="221" customFormat="1" ht="12.75" x14ac:dyDescent="0.2">
      <c r="B48784" s="1168"/>
    </row>
    <row r="48785" spans="2:2" s="221" customFormat="1" ht="12.75" x14ac:dyDescent="0.2">
      <c r="B48785" s="1168"/>
    </row>
    <row r="48786" spans="2:2" s="221" customFormat="1" ht="12.75" x14ac:dyDescent="0.2">
      <c r="B48786" s="1168"/>
    </row>
    <row r="48787" spans="2:2" s="221" customFormat="1" ht="12.75" x14ac:dyDescent="0.2">
      <c r="B48787" s="1168"/>
    </row>
    <row r="48788" spans="2:2" s="221" customFormat="1" ht="12.75" x14ac:dyDescent="0.2">
      <c r="B48788" s="1168"/>
    </row>
    <row r="48789" spans="2:2" s="221" customFormat="1" ht="12.75" x14ac:dyDescent="0.2">
      <c r="B48789" s="1168"/>
    </row>
    <row r="48790" spans="2:2" s="221" customFormat="1" ht="12.75" x14ac:dyDescent="0.2">
      <c r="B48790" s="1168"/>
    </row>
    <row r="48791" spans="2:2" s="221" customFormat="1" ht="12.75" x14ac:dyDescent="0.2">
      <c r="B48791" s="1168"/>
    </row>
    <row r="48792" spans="2:2" s="221" customFormat="1" ht="12.75" x14ac:dyDescent="0.2">
      <c r="B48792" s="1168"/>
    </row>
    <row r="48793" spans="2:2" s="221" customFormat="1" ht="12.75" x14ac:dyDescent="0.2">
      <c r="B48793" s="1168"/>
    </row>
    <row r="48794" spans="2:2" s="221" customFormat="1" ht="12.75" x14ac:dyDescent="0.2">
      <c r="B48794" s="1168"/>
    </row>
    <row r="48795" spans="2:2" s="221" customFormat="1" ht="12.75" x14ac:dyDescent="0.2">
      <c r="B48795" s="1168"/>
    </row>
    <row r="48796" spans="2:2" s="221" customFormat="1" ht="12.75" x14ac:dyDescent="0.2">
      <c r="B48796" s="1168"/>
    </row>
    <row r="48797" spans="2:2" s="221" customFormat="1" ht="12.75" x14ac:dyDescent="0.2">
      <c r="B48797" s="1168"/>
    </row>
    <row r="48798" spans="2:2" s="221" customFormat="1" ht="12.75" x14ac:dyDescent="0.2">
      <c r="B48798" s="1168"/>
    </row>
    <row r="48799" spans="2:2" s="221" customFormat="1" ht="12.75" x14ac:dyDescent="0.2">
      <c r="B48799" s="1168"/>
    </row>
    <row r="48800" spans="2:2" s="221" customFormat="1" ht="12.75" x14ac:dyDescent="0.2">
      <c r="B48800" s="1168"/>
    </row>
    <row r="48801" spans="2:2" s="221" customFormat="1" ht="12.75" x14ac:dyDescent="0.2">
      <c r="B48801" s="1168"/>
    </row>
    <row r="48802" spans="2:2" s="221" customFormat="1" ht="12.75" x14ac:dyDescent="0.2">
      <c r="B48802" s="1168"/>
    </row>
    <row r="48803" spans="2:2" s="221" customFormat="1" ht="12.75" x14ac:dyDescent="0.2">
      <c r="B48803" s="1168"/>
    </row>
    <row r="48804" spans="2:2" s="221" customFormat="1" ht="12.75" x14ac:dyDescent="0.2">
      <c r="B48804" s="1168"/>
    </row>
    <row r="48805" spans="2:2" s="221" customFormat="1" ht="12.75" x14ac:dyDescent="0.2">
      <c r="B48805" s="1168"/>
    </row>
    <row r="48806" spans="2:2" s="221" customFormat="1" ht="12.75" x14ac:dyDescent="0.2">
      <c r="B48806" s="1168"/>
    </row>
    <row r="48807" spans="2:2" s="221" customFormat="1" ht="12.75" x14ac:dyDescent="0.2">
      <c r="B48807" s="1168"/>
    </row>
    <row r="48808" spans="2:2" s="221" customFormat="1" ht="12.75" x14ac:dyDescent="0.2">
      <c r="B48808" s="1168"/>
    </row>
    <row r="48809" spans="2:2" s="221" customFormat="1" ht="12.75" x14ac:dyDescent="0.2">
      <c r="B48809" s="1168"/>
    </row>
    <row r="48810" spans="2:2" s="221" customFormat="1" ht="12.75" x14ac:dyDescent="0.2">
      <c r="B48810" s="1168"/>
    </row>
    <row r="48811" spans="2:2" s="221" customFormat="1" ht="12.75" x14ac:dyDescent="0.2">
      <c r="B48811" s="1168"/>
    </row>
    <row r="48812" spans="2:2" s="221" customFormat="1" ht="12.75" x14ac:dyDescent="0.2">
      <c r="B48812" s="1168"/>
    </row>
    <row r="48813" spans="2:2" s="221" customFormat="1" ht="12.75" x14ac:dyDescent="0.2">
      <c r="B48813" s="1168"/>
    </row>
    <row r="48814" spans="2:2" s="221" customFormat="1" ht="12.75" x14ac:dyDescent="0.2">
      <c r="B48814" s="1168"/>
    </row>
    <row r="48815" spans="2:2" s="221" customFormat="1" ht="12.75" x14ac:dyDescent="0.2">
      <c r="B48815" s="1168"/>
    </row>
    <row r="48816" spans="2:2" s="221" customFormat="1" ht="12.75" x14ac:dyDescent="0.2">
      <c r="B48816" s="1168"/>
    </row>
    <row r="48817" spans="2:2" s="221" customFormat="1" ht="12.75" x14ac:dyDescent="0.2">
      <c r="B48817" s="1168"/>
    </row>
    <row r="48818" spans="2:2" s="221" customFormat="1" ht="12.75" x14ac:dyDescent="0.2">
      <c r="B48818" s="1168"/>
    </row>
    <row r="48819" spans="2:2" s="221" customFormat="1" ht="12.75" x14ac:dyDescent="0.2">
      <c r="B48819" s="1168"/>
    </row>
    <row r="48820" spans="2:2" s="221" customFormat="1" ht="12.75" x14ac:dyDescent="0.2">
      <c r="B48820" s="1168"/>
    </row>
    <row r="48821" spans="2:2" s="221" customFormat="1" ht="12.75" x14ac:dyDescent="0.2">
      <c r="B48821" s="1168"/>
    </row>
    <row r="48822" spans="2:2" s="221" customFormat="1" ht="12.75" x14ac:dyDescent="0.2">
      <c r="B48822" s="1168"/>
    </row>
    <row r="48823" spans="2:2" s="221" customFormat="1" ht="12.75" x14ac:dyDescent="0.2">
      <c r="B48823" s="1168"/>
    </row>
    <row r="48824" spans="2:2" s="221" customFormat="1" ht="12.75" x14ac:dyDescent="0.2">
      <c r="B48824" s="1168"/>
    </row>
    <row r="48825" spans="2:2" s="221" customFormat="1" ht="12.75" x14ac:dyDescent="0.2">
      <c r="B48825" s="1168"/>
    </row>
    <row r="48826" spans="2:2" s="221" customFormat="1" ht="12.75" x14ac:dyDescent="0.2">
      <c r="B48826" s="1168"/>
    </row>
    <row r="48827" spans="2:2" s="221" customFormat="1" ht="12.75" x14ac:dyDescent="0.2">
      <c r="B48827" s="1168"/>
    </row>
    <row r="48828" spans="2:2" s="221" customFormat="1" ht="12.75" x14ac:dyDescent="0.2">
      <c r="B48828" s="1168"/>
    </row>
    <row r="48829" spans="2:2" s="221" customFormat="1" ht="12.75" x14ac:dyDescent="0.2">
      <c r="B48829" s="1168"/>
    </row>
    <row r="48830" spans="2:2" s="221" customFormat="1" ht="12.75" x14ac:dyDescent="0.2">
      <c r="B48830" s="1168"/>
    </row>
    <row r="48831" spans="2:2" s="221" customFormat="1" ht="12.75" x14ac:dyDescent="0.2">
      <c r="B48831" s="1168"/>
    </row>
    <row r="48832" spans="2:2" s="221" customFormat="1" ht="12.75" x14ac:dyDescent="0.2">
      <c r="B48832" s="1168"/>
    </row>
    <row r="48833" spans="2:2" s="221" customFormat="1" ht="12.75" x14ac:dyDescent="0.2">
      <c r="B48833" s="1168"/>
    </row>
    <row r="48834" spans="2:2" s="221" customFormat="1" ht="12.75" x14ac:dyDescent="0.2">
      <c r="B48834" s="1168"/>
    </row>
    <row r="48835" spans="2:2" s="221" customFormat="1" ht="12.75" x14ac:dyDescent="0.2">
      <c r="B48835" s="1168"/>
    </row>
    <row r="48836" spans="2:2" s="221" customFormat="1" ht="12.75" x14ac:dyDescent="0.2">
      <c r="B48836" s="1168"/>
    </row>
    <row r="48837" spans="2:2" s="221" customFormat="1" ht="12.75" x14ac:dyDescent="0.2">
      <c r="B48837" s="1168"/>
    </row>
    <row r="48838" spans="2:2" s="221" customFormat="1" ht="12.75" x14ac:dyDescent="0.2">
      <c r="B48838" s="1168"/>
    </row>
    <row r="48839" spans="2:2" s="221" customFormat="1" ht="12.75" x14ac:dyDescent="0.2">
      <c r="B48839" s="1168"/>
    </row>
    <row r="48840" spans="2:2" s="221" customFormat="1" ht="12.75" x14ac:dyDescent="0.2">
      <c r="B48840" s="1168"/>
    </row>
    <row r="48841" spans="2:2" s="221" customFormat="1" ht="12.75" x14ac:dyDescent="0.2">
      <c r="B48841" s="1168"/>
    </row>
    <row r="48842" spans="2:2" s="221" customFormat="1" ht="12.75" x14ac:dyDescent="0.2">
      <c r="B48842" s="1168"/>
    </row>
    <row r="48843" spans="2:2" s="221" customFormat="1" ht="12.75" x14ac:dyDescent="0.2">
      <c r="B48843" s="1168"/>
    </row>
    <row r="48844" spans="2:2" s="221" customFormat="1" ht="12.75" x14ac:dyDescent="0.2">
      <c r="B48844" s="1168"/>
    </row>
    <row r="48845" spans="2:2" s="221" customFormat="1" ht="12.75" x14ac:dyDescent="0.2">
      <c r="B48845" s="1168"/>
    </row>
    <row r="48846" spans="2:2" s="221" customFormat="1" ht="12.75" x14ac:dyDescent="0.2">
      <c r="B48846" s="1168"/>
    </row>
    <row r="48847" spans="2:2" s="221" customFormat="1" ht="12.75" x14ac:dyDescent="0.2">
      <c r="B48847" s="1168"/>
    </row>
    <row r="48848" spans="2:2" s="221" customFormat="1" ht="12.75" x14ac:dyDescent="0.2">
      <c r="B48848" s="1168"/>
    </row>
    <row r="48849" spans="2:2" s="221" customFormat="1" ht="12.75" x14ac:dyDescent="0.2">
      <c r="B48849" s="1168"/>
    </row>
    <row r="48850" spans="2:2" s="221" customFormat="1" ht="12.75" x14ac:dyDescent="0.2">
      <c r="B48850" s="1168"/>
    </row>
    <row r="48851" spans="2:2" s="221" customFormat="1" ht="12.75" x14ac:dyDescent="0.2">
      <c r="B48851" s="1168"/>
    </row>
    <row r="48852" spans="2:2" s="221" customFormat="1" ht="12.75" x14ac:dyDescent="0.2">
      <c r="B48852" s="1168"/>
    </row>
    <row r="48853" spans="2:2" s="221" customFormat="1" ht="12.75" x14ac:dyDescent="0.2">
      <c r="B48853" s="1168"/>
    </row>
    <row r="48854" spans="2:2" s="221" customFormat="1" ht="12.75" x14ac:dyDescent="0.2">
      <c r="B48854" s="1168"/>
    </row>
    <row r="48855" spans="2:2" s="221" customFormat="1" ht="12.75" x14ac:dyDescent="0.2">
      <c r="B48855" s="1168"/>
    </row>
    <row r="48856" spans="2:2" s="221" customFormat="1" ht="12.75" x14ac:dyDescent="0.2">
      <c r="B48856" s="1168"/>
    </row>
    <row r="48857" spans="2:2" s="221" customFormat="1" ht="12.75" x14ac:dyDescent="0.2">
      <c r="B48857" s="1168"/>
    </row>
    <row r="48858" spans="2:2" s="221" customFormat="1" ht="12.75" x14ac:dyDescent="0.2">
      <c r="B48858" s="1168"/>
    </row>
    <row r="48859" spans="2:2" s="221" customFormat="1" ht="12.75" x14ac:dyDescent="0.2">
      <c r="B48859" s="1168"/>
    </row>
    <row r="48860" spans="2:2" s="221" customFormat="1" ht="12.75" x14ac:dyDescent="0.2">
      <c r="B48860" s="1168"/>
    </row>
    <row r="48861" spans="2:2" s="221" customFormat="1" ht="12.75" x14ac:dyDescent="0.2">
      <c r="B48861" s="1168"/>
    </row>
    <row r="48862" spans="2:2" s="221" customFormat="1" ht="12.75" x14ac:dyDescent="0.2">
      <c r="B48862" s="1168"/>
    </row>
    <row r="48863" spans="2:2" s="221" customFormat="1" ht="12.75" x14ac:dyDescent="0.2">
      <c r="B48863" s="1168"/>
    </row>
    <row r="48864" spans="2:2" s="221" customFormat="1" ht="12.75" x14ac:dyDescent="0.2">
      <c r="B48864" s="1168"/>
    </row>
    <row r="48865" spans="2:2" s="221" customFormat="1" ht="12.75" x14ac:dyDescent="0.2">
      <c r="B48865" s="1168"/>
    </row>
    <row r="48866" spans="2:2" s="221" customFormat="1" ht="12.75" x14ac:dyDescent="0.2">
      <c r="B48866" s="1168"/>
    </row>
    <row r="48867" spans="2:2" s="221" customFormat="1" ht="12.75" x14ac:dyDescent="0.2">
      <c r="B48867" s="1168"/>
    </row>
    <row r="48868" spans="2:2" s="221" customFormat="1" ht="12.75" x14ac:dyDescent="0.2">
      <c r="B48868" s="1168"/>
    </row>
    <row r="48869" spans="2:2" s="221" customFormat="1" ht="12.75" x14ac:dyDescent="0.2">
      <c r="B48869" s="1168"/>
    </row>
    <row r="48870" spans="2:2" s="221" customFormat="1" ht="12.75" x14ac:dyDescent="0.2">
      <c r="B48870" s="1168"/>
    </row>
    <row r="48871" spans="2:2" s="221" customFormat="1" ht="12.75" x14ac:dyDescent="0.2">
      <c r="B48871" s="1168"/>
    </row>
    <row r="48872" spans="2:2" s="221" customFormat="1" ht="12.75" x14ac:dyDescent="0.2">
      <c r="B48872" s="1168"/>
    </row>
    <row r="48873" spans="2:2" s="221" customFormat="1" ht="12.75" x14ac:dyDescent="0.2">
      <c r="B48873" s="1168"/>
    </row>
    <row r="48874" spans="2:2" s="221" customFormat="1" ht="12.75" x14ac:dyDescent="0.2">
      <c r="B48874" s="1168"/>
    </row>
    <row r="48875" spans="2:2" s="221" customFormat="1" ht="12.75" x14ac:dyDescent="0.2">
      <c r="B48875" s="1168"/>
    </row>
    <row r="48876" spans="2:2" s="221" customFormat="1" ht="12.75" x14ac:dyDescent="0.2">
      <c r="B48876" s="1168"/>
    </row>
    <row r="48877" spans="2:2" s="221" customFormat="1" ht="12.75" x14ac:dyDescent="0.2">
      <c r="B48877" s="1168"/>
    </row>
    <row r="48878" spans="2:2" s="221" customFormat="1" ht="12.75" x14ac:dyDescent="0.2">
      <c r="B48878" s="1168"/>
    </row>
    <row r="48879" spans="2:2" s="221" customFormat="1" ht="12.75" x14ac:dyDescent="0.2">
      <c r="B48879" s="1168"/>
    </row>
    <row r="48880" spans="2:2" s="221" customFormat="1" ht="12.75" x14ac:dyDescent="0.2">
      <c r="B48880" s="1168"/>
    </row>
    <row r="48881" spans="2:2" s="221" customFormat="1" ht="12.75" x14ac:dyDescent="0.2">
      <c r="B48881" s="1168"/>
    </row>
    <row r="48882" spans="2:2" s="221" customFormat="1" ht="12.75" x14ac:dyDescent="0.2">
      <c r="B48882" s="1168"/>
    </row>
    <row r="48883" spans="2:2" s="221" customFormat="1" ht="12.75" x14ac:dyDescent="0.2">
      <c r="B48883" s="1168"/>
    </row>
    <row r="48884" spans="2:2" s="221" customFormat="1" ht="12.75" x14ac:dyDescent="0.2">
      <c r="B48884" s="1168"/>
    </row>
    <row r="48885" spans="2:2" s="221" customFormat="1" ht="12.75" x14ac:dyDescent="0.2">
      <c r="B48885" s="1168"/>
    </row>
    <row r="48886" spans="2:2" s="221" customFormat="1" ht="12.75" x14ac:dyDescent="0.2">
      <c r="B48886" s="1168"/>
    </row>
    <row r="48887" spans="2:2" s="221" customFormat="1" ht="12.75" x14ac:dyDescent="0.2">
      <c r="B48887" s="1168"/>
    </row>
    <row r="48888" spans="2:2" s="221" customFormat="1" ht="12.75" x14ac:dyDescent="0.2">
      <c r="B48888" s="1168"/>
    </row>
    <row r="48889" spans="2:2" s="221" customFormat="1" ht="12.75" x14ac:dyDescent="0.2">
      <c r="B48889" s="1168"/>
    </row>
    <row r="48890" spans="2:2" s="221" customFormat="1" ht="12.75" x14ac:dyDescent="0.2">
      <c r="B48890" s="1168"/>
    </row>
    <row r="48891" spans="2:2" s="221" customFormat="1" ht="12.75" x14ac:dyDescent="0.2">
      <c r="B48891" s="1168"/>
    </row>
    <row r="48892" spans="2:2" s="221" customFormat="1" ht="12.75" x14ac:dyDescent="0.2">
      <c r="B48892" s="1168"/>
    </row>
    <row r="48893" spans="2:2" s="221" customFormat="1" ht="12.75" x14ac:dyDescent="0.2">
      <c r="B48893" s="1168"/>
    </row>
    <row r="48894" spans="2:2" s="221" customFormat="1" ht="12.75" x14ac:dyDescent="0.2">
      <c r="B48894" s="1168"/>
    </row>
    <row r="48895" spans="2:2" s="221" customFormat="1" ht="12.75" x14ac:dyDescent="0.2">
      <c r="B48895" s="1168"/>
    </row>
    <row r="48896" spans="2:2" s="221" customFormat="1" ht="12.75" x14ac:dyDescent="0.2">
      <c r="B48896" s="1168"/>
    </row>
    <row r="48897" spans="2:2" s="221" customFormat="1" ht="12.75" x14ac:dyDescent="0.2">
      <c r="B48897" s="1168"/>
    </row>
    <row r="48898" spans="2:2" s="221" customFormat="1" ht="12.75" x14ac:dyDescent="0.2">
      <c r="B48898" s="1168"/>
    </row>
    <row r="48899" spans="2:2" s="221" customFormat="1" ht="12.75" x14ac:dyDescent="0.2">
      <c r="B48899" s="1168"/>
    </row>
    <row r="48900" spans="2:2" s="221" customFormat="1" ht="12.75" x14ac:dyDescent="0.2">
      <c r="B48900" s="1168"/>
    </row>
    <row r="48901" spans="2:2" s="221" customFormat="1" ht="12.75" x14ac:dyDescent="0.2">
      <c r="B48901" s="1168"/>
    </row>
    <row r="48902" spans="2:2" s="221" customFormat="1" ht="12.75" x14ac:dyDescent="0.2">
      <c r="B48902" s="1168"/>
    </row>
    <row r="48903" spans="2:2" s="221" customFormat="1" ht="12.75" x14ac:dyDescent="0.2">
      <c r="B48903" s="1168"/>
    </row>
    <row r="48904" spans="2:2" s="221" customFormat="1" ht="12.75" x14ac:dyDescent="0.2">
      <c r="B48904" s="1168"/>
    </row>
    <row r="48905" spans="2:2" s="221" customFormat="1" ht="12.75" x14ac:dyDescent="0.2">
      <c r="B48905" s="1168"/>
    </row>
    <row r="48906" spans="2:2" s="221" customFormat="1" ht="12.75" x14ac:dyDescent="0.2">
      <c r="B48906" s="1168"/>
    </row>
    <row r="48907" spans="2:2" s="221" customFormat="1" ht="12.75" x14ac:dyDescent="0.2">
      <c r="B48907" s="1168"/>
    </row>
    <row r="48908" spans="2:2" s="221" customFormat="1" ht="12.75" x14ac:dyDescent="0.2">
      <c r="B48908" s="1168"/>
    </row>
    <row r="48909" spans="2:2" s="221" customFormat="1" ht="12.75" x14ac:dyDescent="0.2">
      <c r="B48909" s="1168"/>
    </row>
    <row r="48910" spans="2:2" s="221" customFormat="1" ht="12.75" x14ac:dyDescent="0.2">
      <c r="B48910" s="1168"/>
    </row>
    <row r="48911" spans="2:2" s="221" customFormat="1" ht="12.75" x14ac:dyDescent="0.2">
      <c r="B48911" s="1168"/>
    </row>
    <row r="48912" spans="2:2" s="221" customFormat="1" ht="12.75" x14ac:dyDescent="0.2">
      <c r="B48912" s="1168"/>
    </row>
    <row r="48913" spans="2:2" s="221" customFormat="1" ht="12.75" x14ac:dyDescent="0.2">
      <c r="B48913" s="1168"/>
    </row>
    <row r="48914" spans="2:2" s="221" customFormat="1" ht="12.75" x14ac:dyDescent="0.2">
      <c r="B48914" s="1168"/>
    </row>
    <row r="48915" spans="2:2" s="221" customFormat="1" ht="12.75" x14ac:dyDescent="0.2">
      <c r="B48915" s="1168"/>
    </row>
    <row r="48916" spans="2:2" s="221" customFormat="1" ht="12.75" x14ac:dyDescent="0.2">
      <c r="B48916" s="1168"/>
    </row>
    <row r="48917" spans="2:2" s="221" customFormat="1" ht="12.75" x14ac:dyDescent="0.2">
      <c r="B48917" s="1168"/>
    </row>
    <row r="48918" spans="2:2" s="221" customFormat="1" ht="12.75" x14ac:dyDescent="0.2">
      <c r="B48918" s="1168"/>
    </row>
    <row r="48919" spans="2:2" s="221" customFormat="1" ht="12.75" x14ac:dyDescent="0.2">
      <c r="B48919" s="1168"/>
    </row>
    <row r="48920" spans="2:2" s="221" customFormat="1" ht="12.75" x14ac:dyDescent="0.2">
      <c r="B48920" s="1168"/>
    </row>
    <row r="48921" spans="2:2" s="221" customFormat="1" ht="12.75" x14ac:dyDescent="0.2">
      <c r="B48921" s="1168"/>
    </row>
    <row r="48922" spans="2:2" s="221" customFormat="1" ht="12.75" x14ac:dyDescent="0.2">
      <c r="B48922" s="1168"/>
    </row>
    <row r="48923" spans="2:2" s="221" customFormat="1" ht="12.75" x14ac:dyDescent="0.2">
      <c r="B48923" s="1168"/>
    </row>
    <row r="48924" spans="2:2" s="221" customFormat="1" ht="12.75" x14ac:dyDescent="0.2">
      <c r="B48924" s="1168"/>
    </row>
    <row r="48925" spans="2:2" s="221" customFormat="1" ht="12.75" x14ac:dyDescent="0.2">
      <c r="B48925" s="1168"/>
    </row>
    <row r="48926" spans="2:2" s="221" customFormat="1" ht="12.75" x14ac:dyDescent="0.2">
      <c r="B48926" s="1168"/>
    </row>
    <row r="48927" spans="2:2" s="221" customFormat="1" ht="12.75" x14ac:dyDescent="0.2">
      <c r="B48927" s="1168"/>
    </row>
    <row r="48928" spans="2:2" s="221" customFormat="1" ht="12.75" x14ac:dyDescent="0.2">
      <c r="B48928" s="1168"/>
    </row>
    <row r="48929" spans="2:2" s="221" customFormat="1" ht="12.75" x14ac:dyDescent="0.2">
      <c r="B48929" s="1168"/>
    </row>
    <row r="48930" spans="2:2" s="221" customFormat="1" ht="12.75" x14ac:dyDescent="0.2">
      <c r="B48930" s="1168"/>
    </row>
    <row r="48931" spans="2:2" s="221" customFormat="1" ht="12.75" x14ac:dyDescent="0.2">
      <c r="B48931" s="1168"/>
    </row>
    <row r="48932" spans="2:2" s="221" customFormat="1" ht="12.75" x14ac:dyDescent="0.2">
      <c r="B48932" s="1168"/>
    </row>
    <row r="48933" spans="2:2" s="221" customFormat="1" ht="12.75" x14ac:dyDescent="0.2">
      <c r="B48933" s="1168"/>
    </row>
    <row r="48934" spans="2:2" s="221" customFormat="1" ht="12.75" x14ac:dyDescent="0.2">
      <c r="B48934" s="1168"/>
    </row>
    <row r="48935" spans="2:2" s="221" customFormat="1" ht="12.75" x14ac:dyDescent="0.2">
      <c r="B48935" s="1168"/>
    </row>
    <row r="48936" spans="2:2" s="221" customFormat="1" ht="12.75" x14ac:dyDescent="0.2">
      <c r="B48936" s="1168"/>
    </row>
    <row r="48937" spans="2:2" s="221" customFormat="1" ht="12.75" x14ac:dyDescent="0.2">
      <c r="B48937" s="1168"/>
    </row>
    <row r="48938" spans="2:2" s="221" customFormat="1" ht="12.75" x14ac:dyDescent="0.2">
      <c r="B48938" s="1168"/>
    </row>
    <row r="48939" spans="2:2" s="221" customFormat="1" ht="12.75" x14ac:dyDescent="0.2">
      <c r="B48939" s="1168"/>
    </row>
    <row r="48940" spans="2:2" s="221" customFormat="1" ht="12.75" x14ac:dyDescent="0.2">
      <c r="B48940" s="1168"/>
    </row>
    <row r="48941" spans="2:2" s="221" customFormat="1" ht="12.75" x14ac:dyDescent="0.2">
      <c r="B48941" s="1168"/>
    </row>
    <row r="48942" spans="2:2" s="221" customFormat="1" ht="12.75" x14ac:dyDescent="0.2">
      <c r="B48942" s="1168"/>
    </row>
    <row r="48943" spans="2:2" s="221" customFormat="1" ht="12.75" x14ac:dyDescent="0.2">
      <c r="B48943" s="1168"/>
    </row>
    <row r="48944" spans="2:2" s="221" customFormat="1" ht="12.75" x14ac:dyDescent="0.2">
      <c r="B48944" s="1168"/>
    </row>
    <row r="48945" spans="2:2" s="221" customFormat="1" ht="12.75" x14ac:dyDescent="0.2">
      <c r="B48945" s="1168"/>
    </row>
    <row r="48946" spans="2:2" s="221" customFormat="1" ht="12.75" x14ac:dyDescent="0.2">
      <c r="B48946" s="1168"/>
    </row>
    <row r="48947" spans="2:2" s="221" customFormat="1" ht="12.75" x14ac:dyDescent="0.2">
      <c r="B48947" s="1168"/>
    </row>
    <row r="48948" spans="2:2" s="221" customFormat="1" ht="12.75" x14ac:dyDescent="0.2">
      <c r="B48948" s="1168"/>
    </row>
    <row r="48949" spans="2:2" s="221" customFormat="1" ht="12.75" x14ac:dyDescent="0.2">
      <c r="B48949" s="1168"/>
    </row>
    <row r="48950" spans="2:2" s="221" customFormat="1" ht="12.75" x14ac:dyDescent="0.2">
      <c r="B48950" s="1168"/>
    </row>
    <row r="48951" spans="2:2" s="221" customFormat="1" ht="12.75" x14ac:dyDescent="0.2">
      <c r="B48951" s="1168"/>
    </row>
    <row r="48952" spans="2:2" s="221" customFormat="1" ht="12.75" x14ac:dyDescent="0.2">
      <c r="B48952" s="1168"/>
    </row>
    <row r="48953" spans="2:2" s="221" customFormat="1" ht="12.75" x14ac:dyDescent="0.2">
      <c r="B48953" s="1168"/>
    </row>
    <row r="48954" spans="2:2" s="221" customFormat="1" ht="12.75" x14ac:dyDescent="0.2">
      <c r="B48954" s="1168"/>
    </row>
    <row r="48955" spans="2:2" s="221" customFormat="1" ht="12.75" x14ac:dyDescent="0.2">
      <c r="B48955" s="1168"/>
    </row>
    <row r="48956" spans="2:2" s="221" customFormat="1" ht="12.75" x14ac:dyDescent="0.2">
      <c r="B48956" s="1168"/>
    </row>
    <row r="48957" spans="2:2" s="221" customFormat="1" ht="12.75" x14ac:dyDescent="0.2">
      <c r="B48957" s="1168"/>
    </row>
    <row r="48958" spans="2:2" s="221" customFormat="1" ht="12.75" x14ac:dyDescent="0.2">
      <c r="B48958" s="1168"/>
    </row>
    <row r="48959" spans="2:2" s="221" customFormat="1" ht="12.75" x14ac:dyDescent="0.2">
      <c r="B48959" s="1168"/>
    </row>
    <row r="48960" spans="2:2" s="221" customFormat="1" ht="12.75" x14ac:dyDescent="0.2">
      <c r="B48960" s="1168"/>
    </row>
    <row r="48961" spans="2:2" s="221" customFormat="1" ht="12.75" x14ac:dyDescent="0.2">
      <c r="B48961" s="1168"/>
    </row>
    <row r="48962" spans="2:2" s="221" customFormat="1" ht="12.75" x14ac:dyDescent="0.2">
      <c r="B48962" s="1168"/>
    </row>
    <row r="48963" spans="2:2" s="221" customFormat="1" ht="12.75" x14ac:dyDescent="0.2">
      <c r="B48963" s="1168"/>
    </row>
    <row r="48964" spans="2:2" s="221" customFormat="1" ht="12.75" x14ac:dyDescent="0.2">
      <c r="B48964" s="1168"/>
    </row>
    <row r="48965" spans="2:2" s="221" customFormat="1" ht="12.75" x14ac:dyDescent="0.2">
      <c r="B48965" s="1168"/>
    </row>
    <row r="48966" spans="2:2" s="221" customFormat="1" ht="12.75" x14ac:dyDescent="0.2">
      <c r="B48966" s="1168"/>
    </row>
    <row r="48967" spans="2:2" s="221" customFormat="1" ht="12.75" x14ac:dyDescent="0.2">
      <c r="B48967" s="1168"/>
    </row>
    <row r="48968" spans="2:2" s="221" customFormat="1" ht="12.75" x14ac:dyDescent="0.2">
      <c r="B48968" s="1168"/>
    </row>
    <row r="48969" spans="2:2" s="221" customFormat="1" ht="12.75" x14ac:dyDescent="0.2">
      <c r="B48969" s="1168"/>
    </row>
    <row r="48970" spans="2:2" s="221" customFormat="1" ht="12.75" x14ac:dyDescent="0.2">
      <c r="B48970" s="1168"/>
    </row>
    <row r="48971" spans="2:2" s="221" customFormat="1" ht="12.75" x14ac:dyDescent="0.2">
      <c r="B48971" s="1168"/>
    </row>
    <row r="48972" spans="2:2" s="221" customFormat="1" ht="12.75" x14ac:dyDescent="0.2">
      <c r="B48972" s="1168"/>
    </row>
    <row r="48973" spans="2:2" s="221" customFormat="1" ht="12.75" x14ac:dyDescent="0.2">
      <c r="B48973" s="1168"/>
    </row>
    <row r="48974" spans="2:2" s="221" customFormat="1" ht="12.75" x14ac:dyDescent="0.2">
      <c r="B48974" s="1168"/>
    </row>
    <row r="48975" spans="2:2" s="221" customFormat="1" ht="12.75" x14ac:dyDescent="0.2">
      <c r="B48975" s="1168"/>
    </row>
    <row r="48976" spans="2:2" s="221" customFormat="1" ht="12.75" x14ac:dyDescent="0.2">
      <c r="B48976" s="1168"/>
    </row>
    <row r="48977" spans="2:2" s="221" customFormat="1" ht="12.75" x14ac:dyDescent="0.2">
      <c r="B48977" s="1168"/>
    </row>
    <row r="48978" spans="2:2" s="221" customFormat="1" ht="12.75" x14ac:dyDescent="0.2">
      <c r="B48978" s="1168"/>
    </row>
    <row r="48979" spans="2:2" s="221" customFormat="1" ht="12.75" x14ac:dyDescent="0.2">
      <c r="B48979" s="1168"/>
    </row>
    <row r="48980" spans="2:2" s="221" customFormat="1" ht="12.75" x14ac:dyDescent="0.2">
      <c r="B48980" s="1168"/>
    </row>
    <row r="48981" spans="2:2" s="221" customFormat="1" ht="12.75" x14ac:dyDescent="0.2">
      <c r="B48981" s="1168"/>
    </row>
    <row r="48982" spans="2:2" s="221" customFormat="1" ht="12.75" x14ac:dyDescent="0.2">
      <c r="B48982" s="1168"/>
    </row>
    <row r="48983" spans="2:2" s="221" customFormat="1" ht="12.75" x14ac:dyDescent="0.2">
      <c r="B48983" s="1168"/>
    </row>
    <row r="48984" spans="2:2" s="221" customFormat="1" ht="12.75" x14ac:dyDescent="0.2">
      <c r="B48984" s="1168"/>
    </row>
    <row r="48985" spans="2:2" s="221" customFormat="1" ht="12.75" x14ac:dyDescent="0.2">
      <c r="B48985" s="1168"/>
    </row>
    <row r="48986" spans="2:2" s="221" customFormat="1" ht="12.75" x14ac:dyDescent="0.2">
      <c r="B48986" s="1168"/>
    </row>
    <row r="48987" spans="2:2" s="221" customFormat="1" ht="12.75" x14ac:dyDescent="0.2">
      <c r="B48987" s="1168"/>
    </row>
    <row r="48988" spans="2:2" s="221" customFormat="1" ht="12.75" x14ac:dyDescent="0.2">
      <c r="B48988" s="1168"/>
    </row>
    <row r="48989" spans="2:2" s="221" customFormat="1" ht="12.75" x14ac:dyDescent="0.2">
      <c r="B48989" s="1168"/>
    </row>
    <row r="48990" spans="2:2" s="221" customFormat="1" ht="12.75" x14ac:dyDescent="0.2">
      <c r="B48990" s="1168"/>
    </row>
    <row r="48991" spans="2:2" s="221" customFormat="1" ht="12.75" x14ac:dyDescent="0.2">
      <c r="B48991" s="1168"/>
    </row>
    <row r="48992" spans="2:2" s="221" customFormat="1" ht="12.75" x14ac:dyDescent="0.2">
      <c r="B48992" s="1168"/>
    </row>
    <row r="48993" spans="2:2" s="221" customFormat="1" ht="12.75" x14ac:dyDescent="0.2">
      <c r="B48993" s="1168"/>
    </row>
    <row r="48994" spans="2:2" s="221" customFormat="1" ht="12.75" x14ac:dyDescent="0.2">
      <c r="B48994" s="1168"/>
    </row>
    <row r="48995" spans="2:2" s="221" customFormat="1" ht="12.75" x14ac:dyDescent="0.2">
      <c r="B48995" s="1168"/>
    </row>
    <row r="48996" spans="2:2" s="221" customFormat="1" ht="12.75" x14ac:dyDescent="0.2">
      <c r="B48996" s="1168"/>
    </row>
    <row r="48997" spans="2:2" s="221" customFormat="1" ht="12.75" x14ac:dyDescent="0.2">
      <c r="B48997" s="1168"/>
    </row>
    <row r="48998" spans="2:2" s="221" customFormat="1" ht="12.75" x14ac:dyDescent="0.2">
      <c r="B48998" s="1168"/>
    </row>
    <row r="48999" spans="2:2" s="221" customFormat="1" ht="12.75" x14ac:dyDescent="0.2">
      <c r="B48999" s="1168"/>
    </row>
    <row r="49000" spans="2:2" s="221" customFormat="1" ht="12.75" x14ac:dyDescent="0.2">
      <c r="B49000" s="1168"/>
    </row>
    <row r="49001" spans="2:2" s="221" customFormat="1" ht="12.75" x14ac:dyDescent="0.2">
      <c r="B49001" s="1168"/>
    </row>
    <row r="49002" spans="2:2" s="221" customFormat="1" ht="12.75" x14ac:dyDescent="0.2">
      <c r="B49002" s="1168"/>
    </row>
    <row r="49003" spans="2:2" s="221" customFormat="1" ht="12.75" x14ac:dyDescent="0.2">
      <c r="B49003" s="1168"/>
    </row>
    <row r="49004" spans="2:2" s="221" customFormat="1" ht="12.75" x14ac:dyDescent="0.2">
      <c r="B49004" s="1168"/>
    </row>
    <row r="49005" spans="2:2" s="221" customFormat="1" ht="12.75" x14ac:dyDescent="0.2">
      <c r="B49005" s="1168"/>
    </row>
    <row r="49006" spans="2:2" s="221" customFormat="1" ht="12.75" x14ac:dyDescent="0.2">
      <c r="B49006" s="1168"/>
    </row>
    <row r="49007" spans="2:2" s="221" customFormat="1" ht="12.75" x14ac:dyDescent="0.2">
      <c r="B49007" s="1168"/>
    </row>
    <row r="49008" spans="2:2" s="221" customFormat="1" ht="12.75" x14ac:dyDescent="0.2">
      <c r="B49008" s="1168"/>
    </row>
    <row r="49009" spans="2:2" s="221" customFormat="1" ht="12.75" x14ac:dyDescent="0.2">
      <c r="B49009" s="1168"/>
    </row>
    <row r="49010" spans="2:2" s="221" customFormat="1" ht="12.75" x14ac:dyDescent="0.2">
      <c r="B49010" s="1168"/>
    </row>
    <row r="49011" spans="2:2" s="221" customFormat="1" ht="12.75" x14ac:dyDescent="0.2">
      <c r="B49011" s="1168"/>
    </row>
    <row r="49012" spans="2:2" s="221" customFormat="1" ht="12.75" x14ac:dyDescent="0.2">
      <c r="B49012" s="1168"/>
    </row>
    <row r="49013" spans="2:2" s="221" customFormat="1" ht="12.75" x14ac:dyDescent="0.2">
      <c r="B49013" s="1168"/>
    </row>
    <row r="49014" spans="2:2" s="221" customFormat="1" ht="12.75" x14ac:dyDescent="0.2">
      <c r="B49014" s="1168"/>
    </row>
    <row r="49015" spans="2:2" s="221" customFormat="1" ht="12.75" x14ac:dyDescent="0.2">
      <c r="B49015" s="1168"/>
    </row>
    <row r="49016" spans="2:2" s="221" customFormat="1" ht="12.75" x14ac:dyDescent="0.2">
      <c r="B49016" s="1168"/>
    </row>
    <row r="49017" spans="2:2" s="221" customFormat="1" ht="12.75" x14ac:dyDescent="0.2">
      <c r="B49017" s="1168"/>
    </row>
    <row r="49018" spans="2:2" s="221" customFormat="1" ht="12.75" x14ac:dyDescent="0.2">
      <c r="B49018" s="1168"/>
    </row>
    <row r="49019" spans="2:2" s="221" customFormat="1" ht="12.75" x14ac:dyDescent="0.2">
      <c r="B49019" s="1168"/>
    </row>
    <row r="49020" spans="2:2" s="221" customFormat="1" ht="12.75" x14ac:dyDescent="0.2">
      <c r="B49020" s="1168"/>
    </row>
    <row r="49021" spans="2:2" s="221" customFormat="1" ht="12.75" x14ac:dyDescent="0.2">
      <c r="B49021" s="1168"/>
    </row>
    <row r="49022" spans="2:2" s="221" customFormat="1" ht="12.75" x14ac:dyDescent="0.2">
      <c r="B49022" s="1168"/>
    </row>
    <row r="49023" spans="2:2" s="221" customFormat="1" ht="12.75" x14ac:dyDescent="0.2">
      <c r="B49023" s="1168"/>
    </row>
    <row r="49024" spans="2:2" s="221" customFormat="1" ht="12.75" x14ac:dyDescent="0.2">
      <c r="B49024" s="1168"/>
    </row>
    <row r="49025" spans="2:2" s="221" customFormat="1" ht="12.75" x14ac:dyDescent="0.2">
      <c r="B49025" s="1168"/>
    </row>
    <row r="49026" spans="2:2" s="221" customFormat="1" ht="12.75" x14ac:dyDescent="0.2">
      <c r="B49026" s="1168"/>
    </row>
    <row r="49027" spans="2:2" s="221" customFormat="1" ht="12.75" x14ac:dyDescent="0.2">
      <c r="B49027" s="1168"/>
    </row>
    <row r="49028" spans="2:2" s="221" customFormat="1" ht="12.75" x14ac:dyDescent="0.2">
      <c r="B49028" s="1168"/>
    </row>
    <row r="49029" spans="2:2" s="221" customFormat="1" ht="12.75" x14ac:dyDescent="0.2">
      <c r="B49029" s="1168"/>
    </row>
    <row r="49030" spans="2:2" s="221" customFormat="1" ht="12.75" x14ac:dyDescent="0.2">
      <c r="B49030" s="1168"/>
    </row>
    <row r="49031" spans="2:2" s="221" customFormat="1" ht="12.75" x14ac:dyDescent="0.2">
      <c r="B49031" s="1168"/>
    </row>
    <row r="49032" spans="2:2" s="221" customFormat="1" ht="12.75" x14ac:dyDescent="0.2">
      <c r="B49032" s="1168"/>
    </row>
    <row r="49033" spans="2:2" s="221" customFormat="1" ht="12.75" x14ac:dyDescent="0.2">
      <c r="B49033" s="1168"/>
    </row>
    <row r="49034" spans="2:2" s="221" customFormat="1" ht="12.75" x14ac:dyDescent="0.2">
      <c r="B49034" s="1168"/>
    </row>
    <row r="49035" spans="2:2" s="221" customFormat="1" ht="12.75" x14ac:dyDescent="0.2">
      <c r="B49035" s="1168"/>
    </row>
    <row r="49036" spans="2:2" s="221" customFormat="1" ht="12.75" x14ac:dyDescent="0.2">
      <c r="B49036" s="1168"/>
    </row>
    <row r="49037" spans="2:2" s="221" customFormat="1" ht="12.75" x14ac:dyDescent="0.2">
      <c r="B49037" s="1168"/>
    </row>
    <row r="49038" spans="2:2" s="221" customFormat="1" ht="12.75" x14ac:dyDescent="0.2">
      <c r="B49038" s="1168"/>
    </row>
    <row r="49039" spans="2:2" s="221" customFormat="1" ht="12.75" x14ac:dyDescent="0.2">
      <c r="B49039" s="1168"/>
    </row>
    <row r="49040" spans="2:2" s="221" customFormat="1" ht="12.75" x14ac:dyDescent="0.2">
      <c r="B49040" s="1168"/>
    </row>
    <row r="49041" spans="2:2" s="221" customFormat="1" ht="12.75" x14ac:dyDescent="0.2">
      <c r="B49041" s="1168"/>
    </row>
    <row r="49042" spans="2:2" s="221" customFormat="1" ht="12.75" x14ac:dyDescent="0.2">
      <c r="B49042" s="1168"/>
    </row>
    <row r="49043" spans="2:2" s="221" customFormat="1" ht="12.75" x14ac:dyDescent="0.2">
      <c r="B49043" s="1168"/>
    </row>
    <row r="49044" spans="2:2" s="221" customFormat="1" ht="12.75" x14ac:dyDescent="0.2">
      <c r="B49044" s="1168"/>
    </row>
    <row r="49045" spans="2:2" s="221" customFormat="1" ht="12.75" x14ac:dyDescent="0.2">
      <c r="B49045" s="1168"/>
    </row>
    <row r="49046" spans="2:2" s="221" customFormat="1" ht="12.75" x14ac:dyDescent="0.2">
      <c r="B49046" s="1168"/>
    </row>
    <row r="49047" spans="2:2" s="221" customFormat="1" ht="12.75" x14ac:dyDescent="0.2">
      <c r="B49047" s="1168"/>
    </row>
    <row r="49048" spans="2:2" s="221" customFormat="1" ht="12.75" x14ac:dyDescent="0.2">
      <c r="B49048" s="1168"/>
    </row>
    <row r="49049" spans="2:2" s="221" customFormat="1" ht="12.75" x14ac:dyDescent="0.2">
      <c r="B49049" s="1168"/>
    </row>
    <row r="49050" spans="2:2" s="221" customFormat="1" ht="12.75" x14ac:dyDescent="0.2">
      <c r="B49050" s="1168"/>
    </row>
    <row r="49051" spans="2:2" s="221" customFormat="1" ht="12.75" x14ac:dyDescent="0.2">
      <c r="B49051" s="1168"/>
    </row>
    <row r="49052" spans="2:2" s="221" customFormat="1" ht="12.75" x14ac:dyDescent="0.2">
      <c r="B49052" s="1168"/>
    </row>
    <row r="49053" spans="2:2" s="221" customFormat="1" ht="12.75" x14ac:dyDescent="0.2">
      <c r="B49053" s="1168"/>
    </row>
    <row r="49054" spans="2:2" s="221" customFormat="1" ht="12.75" x14ac:dyDescent="0.2">
      <c r="B49054" s="1168"/>
    </row>
    <row r="49055" spans="2:2" s="221" customFormat="1" ht="12.75" x14ac:dyDescent="0.2">
      <c r="B49055" s="1168"/>
    </row>
    <row r="49056" spans="2:2" s="221" customFormat="1" ht="12.75" x14ac:dyDescent="0.2">
      <c r="B49056" s="1168"/>
    </row>
    <row r="49057" spans="2:2" s="221" customFormat="1" ht="12.75" x14ac:dyDescent="0.2">
      <c r="B49057" s="1168"/>
    </row>
    <row r="49058" spans="2:2" s="221" customFormat="1" ht="12.75" x14ac:dyDescent="0.2">
      <c r="B49058" s="1168"/>
    </row>
    <row r="49059" spans="2:2" s="221" customFormat="1" ht="12.75" x14ac:dyDescent="0.2">
      <c r="B49059" s="1168"/>
    </row>
    <row r="49060" spans="2:2" s="221" customFormat="1" ht="12.75" x14ac:dyDescent="0.2">
      <c r="B49060" s="1168"/>
    </row>
    <row r="49061" spans="2:2" s="221" customFormat="1" ht="12.75" x14ac:dyDescent="0.2">
      <c r="B49061" s="1168"/>
    </row>
    <row r="49062" spans="2:2" s="221" customFormat="1" ht="12.75" x14ac:dyDescent="0.2">
      <c r="B49062" s="1168"/>
    </row>
    <row r="49063" spans="2:2" s="221" customFormat="1" ht="12.75" x14ac:dyDescent="0.2">
      <c r="B49063" s="1168"/>
    </row>
    <row r="49064" spans="2:2" s="221" customFormat="1" ht="12.75" x14ac:dyDescent="0.2">
      <c r="B49064" s="1168"/>
    </row>
    <row r="49065" spans="2:2" s="221" customFormat="1" ht="12.75" x14ac:dyDescent="0.2">
      <c r="B49065" s="1168"/>
    </row>
    <row r="49066" spans="2:2" s="221" customFormat="1" ht="12.75" x14ac:dyDescent="0.2">
      <c r="B49066" s="1168"/>
    </row>
    <row r="49067" spans="2:2" s="221" customFormat="1" ht="12.75" x14ac:dyDescent="0.2">
      <c r="B49067" s="1168"/>
    </row>
    <row r="49068" spans="2:2" s="221" customFormat="1" ht="12.75" x14ac:dyDescent="0.2">
      <c r="B49068" s="1168"/>
    </row>
    <row r="49069" spans="2:2" s="221" customFormat="1" ht="12.75" x14ac:dyDescent="0.2">
      <c r="B49069" s="1168"/>
    </row>
    <row r="49070" spans="2:2" s="221" customFormat="1" ht="12.75" x14ac:dyDescent="0.2">
      <c r="B49070" s="1168"/>
    </row>
    <row r="49071" spans="2:2" s="221" customFormat="1" ht="12.75" x14ac:dyDescent="0.2">
      <c r="B49071" s="1168"/>
    </row>
    <row r="49072" spans="2:2" s="221" customFormat="1" ht="12.75" x14ac:dyDescent="0.2">
      <c r="B49072" s="1168"/>
    </row>
    <row r="49073" spans="2:2" s="221" customFormat="1" ht="12.75" x14ac:dyDescent="0.2">
      <c r="B49073" s="1168"/>
    </row>
    <row r="49074" spans="2:2" s="221" customFormat="1" ht="12.75" x14ac:dyDescent="0.2">
      <c r="B49074" s="1168"/>
    </row>
    <row r="49075" spans="2:2" s="221" customFormat="1" ht="12.75" x14ac:dyDescent="0.2">
      <c r="B49075" s="1168"/>
    </row>
    <row r="49076" spans="2:2" s="221" customFormat="1" ht="12.75" x14ac:dyDescent="0.2">
      <c r="B49076" s="1168"/>
    </row>
    <row r="49077" spans="2:2" s="221" customFormat="1" ht="12.75" x14ac:dyDescent="0.2">
      <c r="B49077" s="1168"/>
    </row>
    <row r="49078" spans="2:2" s="221" customFormat="1" ht="12.75" x14ac:dyDescent="0.2">
      <c r="B49078" s="1168"/>
    </row>
    <row r="49079" spans="2:2" s="221" customFormat="1" ht="12.75" x14ac:dyDescent="0.2">
      <c r="B49079" s="1168"/>
    </row>
    <row r="49080" spans="2:2" s="221" customFormat="1" ht="12.75" x14ac:dyDescent="0.2">
      <c r="B49080" s="1168"/>
    </row>
    <row r="49081" spans="2:2" s="221" customFormat="1" ht="12.75" x14ac:dyDescent="0.2">
      <c r="B49081" s="1168"/>
    </row>
    <row r="49082" spans="2:2" s="221" customFormat="1" ht="12.75" x14ac:dyDescent="0.2">
      <c r="B49082" s="1168"/>
    </row>
    <row r="49083" spans="2:2" s="221" customFormat="1" ht="12.75" x14ac:dyDescent="0.2">
      <c r="B49083" s="1168"/>
    </row>
    <row r="49084" spans="2:2" s="221" customFormat="1" ht="12.75" x14ac:dyDescent="0.2">
      <c r="B49084" s="1168"/>
    </row>
    <row r="49085" spans="2:2" s="221" customFormat="1" ht="12.75" x14ac:dyDescent="0.2">
      <c r="B49085" s="1168"/>
    </row>
    <row r="49086" spans="2:2" s="221" customFormat="1" ht="12.75" x14ac:dyDescent="0.2">
      <c r="B49086" s="1168"/>
    </row>
    <row r="49087" spans="2:2" s="221" customFormat="1" ht="12.75" x14ac:dyDescent="0.2">
      <c r="B49087" s="1168"/>
    </row>
    <row r="49088" spans="2:2" s="221" customFormat="1" ht="12.75" x14ac:dyDescent="0.2">
      <c r="B49088" s="1168"/>
    </row>
    <row r="49089" spans="2:2" s="221" customFormat="1" ht="12.75" x14ac:dyDescent="0.2">
      <c r="B49089" s="1168"/>
    </row>
    <row r="49090" spans="2:2" s="221" customFormat="1" ht="12.75" x14ac:dyDescent="0.2">
      <c r="B49090" s="1168"/>
    </row>
    <row r="49091" spans="2:2" s="221" customFormat="1" ht="12.75" x14ac:dyDescent="0.2">
      <c r="B49091" s="1168"/>
    </row>
    <row r="49092" spans="2:2" s="221" customFormat="1" ht="12.75" x14ac:dyDescent="0.2">
      <c r="B49092" s="1168"/>
    </row>
    <row r="49093" spans="2:2" s="221" customFormat="1" ht="12.75" x14ac:dyDescent="0.2">
      <c r="B49093" s="1168"/>
    </row>
    <row r="49094" spans="2:2" s="221" customFormat="1" ht="12.75" x14ac:dyDescent="0.2">
      <c r="B49094" s="1168"/>
    </row>
    <row r="49095" spans="2:2" s="221" customFormat="1" ht="12.75" x14ac:dyDescent="0.2">
      <c r="B49095" s="1168"/>
    </row>
    <row r="49096" spans="2:2" s="221" customFormat="1" ht="12.75" x14ac:dyDescent="0.2">
      <c r="B49096" s="1168"/>
    </row>
    <row r="49097" spans="2:2" s="221" customFormat="1" ht="12.75" x14ac:dyDescent="0.2">
      <c r="B49097" s="1168"/>
    </row>
    <row r="49098" spans="2:2" s="221" customFormat="1" ht="12.75" x14ac:dyDescent="0.2">
      <c r="B49098" s="1168"/>
    </row>
    <row r="49099" spans="2:2" s="221" customFormat="1" ht="12.75" x14ac:dyDescent="0.2">
      <c r="B49099" s="1168"/>
    </row>
    <row r="49100" spans="2:2" s="221" customFormat="1" ht="12.75" x14ac:dyDescent="0.2">
      <c r="B49100" s="1168"/>
    </row>
    <row r="49101" spans="2:2" s="221" customFormat="1" ht="12.75" x14ac:dyDescent="0.2">
      <c r="B49101" s="1168"/>
    </row>
    <row r="49102" spans="2:2" s="221" customFormat="1" ht="12.75" x14ac:dyDescent="0.2">
      <c r="B49102" s="1168"/>
    </row>
    <row r="49103" spans="2:2" s="221" customFormat="1" ht="12.75" x14ac:dyDescent="0.2">
      <c r="B49103" s="1168"/>
    </row>
    <row r="49104" spans="2:2" s="221" customFormat="1" ht="12.75" x14ac:dyDescent="0.2">
      <c r="B49104" s="1168"/>
    </row>
    <row r="49105" spans="2:2" s="221" customFormat="1" ht="12.75" x14ac:dyDescent="0.2">
      <c r="B49105" s="1168"/>
    </row>
    <row r="49106" spans="2:2" s="221" customFormat="1" ht="12.75" x14ac:dyDescent="0.2">
      <c r="B49106" s="1168"/>
    </row>
    <row r="49107" spans="2:2" s="221" customFormat="1" ht="12.75" x14ac:dyDescent="0.2">
      <c r="B49107" s="1168"/>
    </row>
    <row r="49108" spans="2:2" s="221" customFormat="1" ht="12.75" x14ac:dyDescent="0.2">
      <c r="B49108" s="1168"/>
    </row>
    <row r="49109" spans="2:2" s="221" customFormat="1" ht="12.75" x14ac:dyDescent="0.2">
      <c r="B49109" s="1168"/>
    </row>
    <row r="49110" spans="2:2" s="221" customFormat="1" ht="12.75" x14ac:dyDescent="0.2">
      <c r="B49110" s="1168"/>
    </row>
    <row r="49111" spans="2:2" s="221" customFormat="1" ht="12.75" x14ac:dyDescent="0.2">
      <c r="B49111" s="1168"/>
    </row>
    <row r="49112" spans="2:2" s="221" customFormat="1" ht="12.75" x14ac:dyDescent="0.2">
      <c r="B49112" s="1168"/>
    </row>
    <row r="49113" spans="2:2" s="221" customFormat="1" ht="12.75" x14ac:dyDescent="0.2">
      <c r="B49113" s="1168"/>
    </row>
    <row r="49114" spans="2:2" s="221" customFormat="1" ht="12.75" x14ac:dyDescent="0.2">
      <c r="B49114" s="1168"/>
    </row>
    <row r="49115" spans="2:2" s="221" customFormat="1" ht="12.75" x14ac:dyDescent="0.2">
      <c r="B49115" s="1168"/>
    </row>
    <row r="49116" spans="2:2" s="221" customFormat="1" ht="12.75" x14ac:dyDescent="0.2">
      <c r="B49116" s="1168"/>
    </row>
    <row r="49117" spans="2:2" s="221" customFormat="1" ht="12.75" x14ac:dyDescent="0.2">
      <c r="B49117" s="1168"/>
    </row>
    <row r="49118" spans="2:2" s="221" customFormat="1" ht="12.75" x14ac:dyDescent="0.2">
      <c r="B49118" s="1168"/>
    </row>
    <row r="49119" spans="2:2" s="221" customFormat="1" ht="12.75" x14ac:dyDescent="0.2">
      <c r="B49119" s="1168"/>
    </row>
    <row r="49120" spans="2:2" s="221" customFormat="1" ht="12.75" x14ac:dyDescent="0.2">
      <c r="B49120" s="1168"/>
    </row>
    <row r="49121" spans="2:2" s="221" customFormat="1" ht="12.75" x14ac:dyDescent="0.2">
      <c r="B49121" s="1168"/>
    </row>
    <row r="49122" spans="2:2" s="221" customFormat="1" ht="12.75" x14ac:dyDescent="0.2">
      <c r="B49122" s="1168"/>
    </row>
    <row r="49123" spans="2:2" s="221" customFormat="1" ht="12.75" x14ac:dyDescent="0.2">
      <c r="B49123" s="1168"/>
    </row>
    <row r="49124" spans="2:2" s="221" customFormat="1" ht="12.75" x14ac:dyDescent="0.2">
      <c r="B49124" s="1168"/>
    </row>
    <row r="49125" spans="2:2" s="221" customFormat="1" ht="12.75" x14ac:dyDescent="0.2">
      <c r="B49125" s="1168"/>
    </row>
    <row r="49126" spans="2:2" s="221" customFormat="1" ht="12.75" x14ac:dyDescent="0.2">
      <c r="B49126" s="1168"/>
    </row>
    <row r="49127" spans="2:2" s="221" customFormat="1" ht="12.75" x14ac:dyDescent="0.2">
      <c r="B49127" s="1168"/>
    </row>
    <row r="49128" spans="2:2" s="221" customFormat="1" ht="12.75" x14ac:dyDescent="0.2">
      <c r="B49128" s="1168"/>
    </row>
    <row r="49129" spans="2:2" s="221" customFormat="1" ht="12.75" x14ac:dyDescent="0.2">
      <c r="B49129" s="1168"/>
    </row>
    <row r="49130" spans="2:2" s="221" customFormat="1" ht="12.75" x14ac:dyDescent="0.2">
      <c r="B49130" s="1168"/>
    </row>
    <row r="49131" spans="2:2" s="221" customFormat="1" ht="12.75" x14ac:dyDescent="0.2">
      <c r="B49131" s="1168"/>
    </row>
    <row r="49132" spans="2:2" s="221" customFormat="1" ht="12.75" x14ac:dyDescent="0.2">
      <c r="B49132" s="1168"/>
    </row>
    <row r="49133" spans="2:2" s="221" customFormat="1" ht="12.75" x14ac:dyDescent="0.2">
      <c r="B49133" s="1168"/>
    </row>
    <row r="49134" spans="2:2" s="221" customFormat="1" ht="12.75" x14ac:dyDescent="0.2">
      <c r="B49134" s="1168"/>
    </row>
    <row r="49135" spans="2:2" s="221" customFormat="1" ht="12.75" x14ac:dyDescent="0.2">
      <c r="B49135" s="1168"/>
    </row>
    <row r="49136" spans="2:2" s="221" customFormat="1" ht="12.75" x14ac:dyDescent="0.2">
      <c r="B49136" s="1168"/>
    </row>
    <row r="49137" spans="2:2" s="221" customFormat="1" ht="12.75" x14ac:dyDescent="0.2">
      <c r="B49137" s="1168"/>
    </row>
    <row r="49138" spans="2:2" s="221" customFormat="1" ht="12.75" x14ac:dyDescent="0.2">
      <c r="B49138" s="1168"/>
    </row>
    <row r="49139" spans="2:2" s="221" customFormat="1" ht="12.75" x14ac:dyDescent="0.2">
      <c r="B49139" s="1168"/>
    </row>
    <row r="49140" spans="2:2" s="221" customFormat="1" ht="12.75" x14ac:dyDescent="0.2">
      <c r="B49140" s="1168"/>
    </row>
    <row r="49141" spans="2:2" s="221" customFormat="1" ht="12.75" x14ac:dyDescent="0.2">
      <c r="B49141" s="1168"/>
    </row>
    <row r="49142" spans="2:2" s="221" customFormat="1" ht="12.75" x14ac:dyDescent="0.2">
      <c r="B49142" s="1168"/>
    </row>
    <row r="49143" spans="2:2" s="221" customFormat="1" ht="12.75" x14ac:dyDescent="0.2">
      <c r="B49143" s="1168"/>
    </row>
    <row r="49144" spans="2:2" s="221" customFormat="1" ht="12.75" x14ac:dyDescent="0.2">
      <c r="B49144" s="1168"/>
    </row>
    <row r="49145" spans="2:2" s="221" customFormat="1" ht="12.75" x14ac:dyDescent="0.2">
      <c r="B49145" s="1168"/>
    </row>
    <row r="49146" spans="2:2" s="221" customFormat="1" ht="12.75" x14ac:dyDescent="0.2">
      <c r="B49146" s="1168"/>
    </row>
    <row r="49147" spans="2:2" s="221" customFormat="1" ht="12.75" x14ac:dyDescent="0.2">
      <c r="B49147" s="1168"/>
    </row>
    <row r="49148" spans="2:2" s="221" customFormat="1" ht="12.75" x14ac:dyDescent="0.2">
      <c r="B49148" s="1168"/>
    </row>
    <row r="49149" spans="2:2" s="221" customFormat="1" ht="12.75" x14ac:dyDescent="0.2">
      <c r="B49149" s="1168"/>
    </row>
    <row r="49150" spans="2:2" s="221" customFormat="1" ht="12.75" x14ac:dyDescent="0.2">
      <c r="B49150" s="1168"/>
    </row>
    <row r="49151" spans="2:2" s="221" customFormat="1" ht="12.75" x14ac:dyDescent="0.2">
      <c r="B49151" s="1168"/>
    </row>
    <row r="49152" spans="2:2" s="221" customFormat="1" ht="12.75" x14ac:dyDescent="0.2">
      <c r="B49152" s="1168"/>
    </row>
    <row r="49153" spans="2:2" s="221" customFormat="1" ht="12.75" x14ac:dyDescent="0.2">
      <c r="B49153" s="1168"/>
    </row>
    <row r="49154" spans="2:2" s="221" customFormat="1" ht="12.75" x14ac:dyDescent="0.2">
      <c r="B49154" s="1168"/>
    </row>
    <row r="49155" spans="2:2" s="221" customFormat="1" ht="12.75" x14ac:dyDescent="0.2">
      <c r="B49155" s="1168"/>
    </row>
    <row r="49156" spans="2:2" s="221" customFormat="1" ht="12.75" x14ac:dyDescent="0.2">
      <c r="B49156" s="1168"/>
    </row>
    <row r="49157" spans="2:2" s="221" customFormat="1" ht="12.75" x14ac:dyDescent="0.2">
      <c r="B49157" s="1168"/>
    </row>
    <row r="49158" spans="2:2" s="221" customFormat="1" ht="12.75" x14ac:dyDescent="0.2">
      <c r="B49158" s="1168"/>
    </row>
    <row r="49159" spans="2:2" s="221" customFormat="1" ht="12.75" x14ac:dyDescent="0.2">
      <c r="B49159" s="1168"/>
    </row>
    <row r="49160" spans="2:2" s="221" customFormat="1" ht="12.75" x14ac:dyDescent="0.2">
      <c r="B49160" s="1168"/>
    </row>
    <row r="49161" spans="2:2" s="221" customFormat="1" ht="12.75" x14ac:dyDescent="0.2">
      <c r="B49161" s="1168"/>
    </row>
    <row r="49162" spans="2:2" s="221" customFormat="1" ht="12.75" x14ac:dyDescent="0.2">
      <c r="B49162" s="1168"/>
    </row>
    <row r="49163" spans="2:2" s="221" customFormat="1" ht="12.75" x14ac:dyDescent="0.2">
      <c r="B49163" s="1168"/>
    </row>
    <row r="49164" spans="2:2" s="221" customFormat="1" ht="12.75" x14ac:dyDescent="0.2">
      <c r="B49164" s="1168"/>
    </row>
    <row r="49165" spans="2:2" s="221" customFormat="1" ht="12.75" x14ac:dyDescent="0.2">
      <c r="B49165" s="1168"/>
    </row>
    <row r="49166" spans="2:2" s="221" customFormat="1" ht="12.75" x14ac:dyDescent="0.2">
      <c r="B49166" s="1168"/>
    </row>
    <row r="49167" spans="2:2" s="221" customFormat="1" ht="12.75" x14ac:dyDescent="0.2">
      <c r="B49167" s="1168"/>
    </row>
    <row r="49168" spans="2:2" s="221" customFormat="1" ht="12.75" x14ac:dyDescent="0.2">
      <c r="B49168" s="1168"/>
    </row>
    <row r="49169" spans="2:2" s="221" customFormat="1" ht="12.75" x14ac:dyDescent="0.2">
      <c r="B49169" s="1168"/>
    </row>
    <row r="49170" spans="2:2" s="221" customFormat="1" ht="12.75" x14ac:dyDescent="0.2">
      <c r="B49170" s="1168"/>
    </row>
    <row r="49171" spans="2:2" s="221" customFormat="1" ht="12.75" x14ac:dyDescent="0.2">
      <c r="B49171" s="1168"/>
    </row>
    <row r="49172" spans="2:2" s="221" customFormat="1" ht="12.75" x14ac:dyDescent="0.2">
      <c r="B49172" s="1168"/>
    </row>
    <row r="49173" spans="2:2" s="221" customFormat="1" ht="12.75" x14ac:dyDescent="0.2">
      <c r="B49173" s="1168"/>
    </row>
    <row r="49174" spans="2:2" s="221" customFormat="1" ht="12.75" x14ac:dyDescent="0.2">
      <c r="B49174" s="1168"/>
    </row>
    <row r="49175" spans="2:2" s="221" customFormat="1" ht="12.75" x14ac:dyDescent="0.2">
      <c r="B49175" s="1168"/>
    </row>
    <row r="49176" spans="2:2" s="221" customFormat="1" ht="12.75" x14ac:dyDescent="0.2">
      <c r="B49176" s="1168"/>
    </row>
    <row r="49177" spans="2:2" s="221" customFormat="1" ht="12.75" x14ac:dyDescent="0.2">
      <c r="B49177" s="1168"/>
    </row>
    <row r="49178" spans="2:2" s="221" customFormat="1" ht="12.75" x14ac:dyDescent="0.2">
      <c r="B49178" s="1168"/>
    </row>
    <row r="49179" spans="2:2" s="221" customFormat="1" ht="12.75" x14ac:dyDescent="0.2">
      <c r="B49179" s="1168"/>
    </row>
    <row r="49180" spans="2:2" s="221" customFormat="1" ht="12.75" x14ac:dyDescent="0.2">
      <c r="B49180" s="1168"/>
    </row>
    <row r="49181" spans="2:2" s="221" customFormat="1" ht="12.75" x14ac:dyDescent="0.2">
      <c r="B49181" s="1168"/>
    </row>
    <row r="49182" spans="2:2" s="221" customFormat="1" ht="12.75" x14ac:dyDescent="0.2">
      <c r="B49182" s="1168"/>
    </row>
    <row r="49183" spans="2:2" s="221" customFormat="1" ht="12.75" x14ac:dyDescent="0.2">
      <c r="B49183" s="1168"/>
    </row>
    <row r="49184" spans="2:2" s="221" customFormat="1" ht="12.75" x14ac:dyDescent="0.2">
      <c r="B49184" s="1168"/>
    </row>
    <row r="49185" spans="2:2" s="221" customFormat="1" ht="12.75" x14ac:dyDescent="0.2">
      <c r="B49185" s="1168"/>
    </row>
    <row r="49186" spans="2:2" s="221" customFormat="1" ht="12.75" x14ac:dyDescent="0.2">
      <c r="B49186" s="1168"/>
    </row>
    <row r="49187" spans="2:2" s="221" customFormat="1" ht="12.75" x14ac:dyDescent="0.2">
      <c r="B49187" s="1168"/>
    </row>
    <row r="49188" spans="2:2" s="221" customFormat="1" ht="12.75" x14ac:dyDescent="0.2">
      <c r="B49188" s="1168"/>
    </row>
    <row r="49189" spans="2:2" s="221" customFormat="1" ht="12.75" x14ac:dyDescent="0.2">
      <c r="B49189" s="1168"/>
    </row>
    <row r="49190" spans="2:2" s="221" customFormat="1" ht="12.75" x14ac:dyDescent="0.2">
      <c r="B49190" s="1168"/>
    </row>
    <row r="49191" spans="2:2" s="221" customFormat="1" ht="12.75" x14ac:dyDescent="0.2">
      <c r="B49191" s="1168"/>
    </row>
    <row r="49192" spans="2:2" s="221" customFormat="1" ht="12.75" x14ac:dyDescent="0.2">
      <c r="B49192" s="1168"/>
    </row>
    <row r="49193" spans="2:2" s="221" customFormat="1" ht="12.75" x14ac:dyDescent="0.2">
      <c r="B49193" s="1168"/>
    </row>
    <row r="49194" spans="2:2" s="221" customFormat="1" ht="12.75" x14ac:dyDescent="0.2">
      <c r="B49194" s="1168"/>
    </row>
    <row r="49195" spans="2:2" s="221" customFormat="1" ht="12.75" x14ac:dyDescent="0.2">
      <c r="B49195" s="1168"/>
    </row>
    <row r="49196" spans="2:2" s="221" customFormat="1" ht="12.75" x14ac:dyDescent="0.2">
      <c r="B49196" s="1168"/>
    </row>
    <row r="49197" spans="2:2" s="221" customFormat="1" ht="12.75" x14ac:dyDescent="0.2">
      <c r="B49197" s="1168"/>
    </row>
    <row r="49198" spans="2:2" s="221" customFormat="1" ht="12.75" x14ac:dyDescent="0.2">
      <c r="B49198" s="1168"/>
    </row>
    <row r="49199" spans="2:2" s="221" customFormat="1" ht="12.75" x14ac:dyDescent="0.2">
      <c r="B49199" s="1168"/>
    </row>
    <row r="49200" spans="2:2" s="221" customFormat="1" ht="12.75" x14ac:dyDescent="0.2">
      <c r="B49200" s="1168"/>
    </row>
    <row r="49201" spans="2:2" s="221" customFormat="1" ht="12.75" x14ac:dyDescent="0.2">
      <c r="B49201" s="1168"/>
    </row>
    <row r="49202" spans="2:2" s="221" customFormat="1" ht="12.75" x14ac:dyDescent="0.2">
      <c r="B49202" s="1168"/>
    </row>
    <row r="49203" spans="2:2" s="221" customFormat="1" ht="12.75" x14ac:dyDescent="0.2">
      <c r="B49203" s="1168"/>
    </row>
    <row r="49204" spans="2:2" s="221" customFormat="1" ht="12.75" x14ac:dyDescent="0.2">
      <c r="B49204" s="1168"/>
    </row>
    <row r="49205" spans="2:2" s="221" customFormat="1" ht="12.75" x14ac:dyDescent="0.2">
      <c r="B49205" s="1168"/>
    </row>
    <row r="49206" spans="2:2" s="221" customFormat="1" ht="12.75" x14ac:dyDescent="0.2">
      <c r="B49206" s="1168"/>
    </row>
    <row r="49207" spans="2:2" s="221" customFormat="1" ht="12.75" x14ac:dyDescent="0.2">
      <c r="B49207" s="1168"/>
    </row>
    <row r="49208" spans="2:2" s="221" customFormat="1" ht="12.75" x14ac:dyDescent="0.2">
      <c r="B49208" s="1168"/>
    </row>
    <row r="49209" spans="2:2" s="221" customFormat="1" ht="12.75" x14ac:dyDescent="0.2">
      <c r="B49209" s="1168"/>
    </row>
    <row r="49210" spans="2:2" s="221" customFormat="1" ht="12.75" x14ac:dyDescent="0.2">
      <c r="B49210" s="1168"/>
    </row>
    <row r="49211" spans="2:2" s="221" customFormat="1" ht="12.75" x14ac:dyDescent="0.2">
      <c r="B49211" s="1168"/>
    </row>
    <row r="49212" spans="2:2" s="221" customFormat="1" ht="12.75" x14ac:dyDescent="0.2">
      <c r="B49212" s="1168"/>
    </row>
    <row r="49213" spans="2:2" s="221" customFormat="1" ht="12.75" x14ac:dyDescent="0.2">
      <c r="B49213" s="1168"/>
    </row>
    <row r="49214" spans="2:2" s="221" customFormat="1" ht="12.75" x14ac:dyDescent="0.2">
      <c r="B49214" s="1168"/>
    </row>
    <row r="49215" spans="2:2" s="221" customFormat="1" ht="12.75" x14ac:dyDescent="0.2">
      <c r="B49215" s="1168"/>
    </row>
    <row r="49216" spans="2:2" s="221" customFormat="1" ht="12.75" x14ac:dyDescent="0.2">
      <c r="B49216" s="1168"/>
    </row>
    <row r="49217" spans="2:2" s="221" customFormat="1" ht="12.75" x14ac:dyDescent="0.2">
      <c r="B49217" s="1168"/>
    </row>
    <row r="49218" spans="2:2" s="221" customFormat="1" ht="12.75" x14ac:dyDescent="0.2">
      <c r="B49218" s="1168"/>
    </row>
    <row r="49219" spans="2:2" s="221" customFormat="1" ht="12.75" x14ac:dyDescent="0.2">
      <c r="B49219" s="1168"/>
    </row>
    <row r="49220" spans="2:2" s="221" customFormat="1" ht="12.75" x14ac:dyDescent="0.2">
      <c r="B49220" s="1168"/>
    </row>
    <row r="49221" spans="2:2" s="221" customFormat="1" ht="12.75" x14ac:dyDescent="0.2">
      <c r="B49221" s="1168"/>
    </row>
    <row r="49222" spans="2:2" s="221" customFormat="1" ht="12.75" x14ac:dyDescent="0.2">
      <c r="B49222" s="1168"/>
    </row>
    <row r="49223" spans="2:2" s="221" customFormat="1" ht="12.75" x14ac:dyDescent="0.2">
      <c r="B49223" s="1168"/>
    </row>
    <row r="49224" spans="2:2" s="221" customFormat="1" ht="12.75" x14ac:dyDescent="0.2">
      <c r="B49224" s="1168"/>
    </row>
    <row r="49225" spans="2:2" s="221" customFormat="1" ht="12.75" x14ac:dyDescent="0.2">
      <c r="B49225" s="1168"/>
    </row>
    <row r="49226" spans="2:2" s="221" customFormat="1" ht="12.75" x14ac:dyDescent="0.2">
      <c r="B49226" s="1168"/>
    </row>
    <row r="49227" spans="2:2" s="221" customFormat="1" ht="12.75" x14ac:dyDescent="0.2">
      <c r="B49227" s="1168"/>
    </row>
    <row r="49228" spans="2:2" s="221" customFormat="1" ht="12.75" x14ac:dyDescent="0.2">
      <c r="B49228" s="1168"/>
    </row>
    <row r="49229" spans="2:2" s="221" customFormat="1" ht="12.75" x14ac:dyDescent="0.2">
      <c r="B49229" s="1168"/>
    </row>
    <row r="49230" spans="2:2" s="221" customFormat="1" ht="12.75" x14ac:dyDescent="0.2">
      <c r="B49230" s="1168"/>
    </row>
    <row r="49231" spans="2:2" s="221" customFormat="1" ht="12.75" x14ac:dyDescent="0.2">
      <c r="B49231" s="1168"/>
    </row>
    <row r="49232" spans="2:2" s="221" customFormat="1" ht="12.75" x14ac:dyDescent="0.2">
      <c r="B49232" s="1168"/>
    </row>
    <row r="49233" spans="2:2" s="221" customFormat="1" ht="12.75" x14ac:dyDescent="0.2">
      <c r="B49233" s="1168"/>
    </row>
    <row r="49234" spans="2:2" s="221" customFormat="1" ht="12.75" x14ac:dyDescent="0.2">
      <c r="B49234" s="1168"/>
    </row>
    <row r="49235" spans="2:2" s="221" customFormat="1" ht="12.75" x14ac:dyDescent="0.2">
      <c r="B49235" s="1168"/>
    </row>
    <row r="49236" spans="2:2" s="221" customFormat="1" ht="12.75" x14ac:dyDescent="0.2">
      <c r="B49236" s="1168"/>
    </row>
    <row r="49237" spans="2:2" s="221" customFormat="1" ht="12.75" x14ac:dyDescent="0.2">
      <c r="B49237" s="1168"/>
    </row>
    <row r="49238" spans="2:2" s="221" customFormat="1" ht="12.75" x14ac:dyDescent="0.2">
      <c r="B49238" s="1168"/>
    </row>
    <row r="49239" spans="2:2" s="221" customFormat="1" ht="12.75" x14ac:dyDescent="0.2">
      <c r="B49239" s="1168"/>
    </row>
    <row r="49240" spans="2:2" s="221" customFormat="1" ht="12.75" x14ac:dyDescent="0.2">
      <c r="B49240" s="1168"/>
    </row>
    <row r="49241" spans="2:2" s="221" customFormat="1" ht="12.75" x14ac:dyDescent="0.2">
      <c r="B49241" s="1168"/>
    </row>
    <row r="49242" spans="2:2" s="221" customFormat="1" ht="12.75" x14ac:dyDescent="0.2">
      <c r="B49242" s="1168"/>
    </row>
    <row r="49243" spans="2:2" s="221" customFormat="1" ht="12.75" x14ac:dyDescent="0.2">
      <c r="B49243" s="1168"/>
    </row>
    <row r="49244" spans="2:2" s="221" customFormat="1" ht="12.75" x14ac:dyDescent="0.2">
      <c r="B49244" s="1168"/>
    </row>
    <row r="49245" spans="2:2" s="221" customFormat="1" ht="12.75" x14ac:dyDescent="0.2">
      <c r="B49245" s="1168"/>
    </row>
    <row r="49246" spans="2:2" s="221" customFormat="1" ht="12.75" x14ac:dyDescent="0.2">
      <c r="B49246" s="1168"/>
    </row>
    <row r="49247" spans="2:2" s="221" customFormat="1" ht="12.75" x14ac:dyDescent="0.2">
      <c r="B49247" s="1168"/>
    </row>
    <row r="49248" spans="2:2" s="221" customFormat="1" ht="12.75" x14ac:dyDescent="0.2">
      <c r="B49248" s="1168"/>
    </row>
    <row r="49249" spans="2:2" s="221" customFormat="1" ht="12.75" x14ac:dyDescent="0.2">
      <c r="B49249" s="1168"/>
    </row>
    <row r="49250" spans="2:2" s="221" customFormat="1" ht="12.75" x14ac:dyDescent="0.2">
      <c r="B49250" s="1168"/>
    </row>
    <row r="49251" spans="2:2" s="221" customFormat="1" ht="12.75" x14ac:dyDescent="0.2">
      <c r="B49251" s="1168"/>
    </row>
    <row r="49252" spans="2:2" s="221" customFormat="1" ht="12.75" x14ac:dyDescent="0.2">
      <c r="B49252" s="1168"/>
    </row>
    <row r="49253" spans="2:2" s="221" customFormat="1" ht="12.75" x14ac:dyDescent="0.2">
      <c r="B49253" s="1168"/>
    </row>
    <row r="49254" spans="2:2" s="221" customFormat="1" ht="12.75" x14ac:dyDescent="0.2">
      <c r="B49254" s="1168"/>
    </row>
    <row r="49255" spans="2:2" s="221" customFormat="1" ht="12.75" x14ac:dyDescent="0.2">
      <c r="B49255" s="1168"/>
    </row>
    <row r="49256" spans="2:2" s="221" customFormat="1" ht="12.75" x14ac:dyDescent="0.2">
      <c r="B49256" s="1168"/>
    </row>
    <row r="49257" spans="2:2" s="221" customFormat="1" ht="12.75" x14ac:dyDescent="0.2">
      <c r="B49257" s="1168"/>
    </row>
    <row r="49258" spans="2:2" s="221" customFormat="1" ht="12.75" x14ac:dyDescent="0.2">
      <c r="B49258" s="1168"/>
    </row>
    <row r="49259" spans="2:2" s="221" customFormat="1" ht="12.75" x14ac:dyDescent="0.2">
      <c r="B49259" s="1168"/>
    </row>
    <row r="49260" spans="2:2" s="221" customFormat="1" ht="12.75" x14ac:dyDescent="0.2">
      <c r="B49260" s="1168"/>
    </row>
    <row r="49261" spans="2:2" s="221" customFormat="1" ht="12.75" x14ac:dyDescent="0.2">
      <c r="B49261" s="1168"/>
    </row>
    <row r="49262" spans="2:2" s="221" customFormat="1" ht="12.75" x14ac:dyDescent="0.2">
      <c r="B49262" s="1168"/>
    </row>
    <row r="49263" spans="2:2" s="221" customFormat="1" ht="12.75" x14ac:dyDescent="0.2">
      <c r="B49263" s="1168"/>
    </row>
    <row r="49264" spans="2:2" s="221" customFormat="1" ht="12.75" x14ac:dyDescent="0.2">
      <c r="B49264" s="1168"/>
    </row>
    <row r="49265" spans="2:2" s="221" customFormat="1" ht="12.75" x14ac:dyDescent="0.2">
      <c r="B49265" s="1168"/>
    </row>
    <row r="49266" spans="2:2" s="221" customFormat="1" ht="12.75" x14ac:dyDescent="0.2">
      <c r="B49266" s="1168"/>
    </row>
    <row r="49267" spans="2:2" s="221" customFormat="1" ht="12.75" x14ac:dyDescent="0.2">
      <c r="B49267" s="1168"/>
    </row>
    <row r="49268" spans="2:2" s="221" customFormat="1" ht="12.75" x14ac:dyDescent="0.2">
      <c r="B49268" s="1168"/>
    </row>
    <row r="49269" spans="2:2" s="221" customFormat="1" ht="12.75" x14ac:dyDescent="0.2">
      <c r="B49269" s="1168"/>
    </row>
    <row r="49270" spans="2:2" s="221" customFormat="1" ht="12.75" x14ac:dyDescent="0.2">
      <c r="B49270" s="1168"/>
    </row>
    <row r="49271" spans="2:2" s="221" customFormat="1" ht="12.75" x14ac:dyDescent="0.2">
      <c r="B49271" s="1168"/>
    </row>
    <row r="49272" spans="2:2" s="221" customFormat="1" ht="12.75" x14ac:dyDescent="0.2">
      <c r="B49272" s="1168"/>
    </row>
    <row r="49273" spans="2:2" s="221" customFormat="1" ht="12.75" x14ac:dyDescent="0.2">
      <c r="B49273" s="1168"/>
    </row>
    <row r="49274" spans="2:2" s="221" customFormat="1" ht="12.75" x14ac:dyDescent="0.2">
      <c r="B49274" s="1168"/>
    </row>
    <row r="49275" spans="2:2" s="221" customFormat="1" ht="12.75" x14ac:dyDescent="0.2">
      <c r="B49275" s="1168"/>
    </row>
    <row r="49276" spans="2:2" s="221" customFormat="1" ht="12.75" x14ac:dyDescent="0.2">
      <c r="B49276" s="1168"/>
    </row>
    <row r="49277" spans="2:2" s="221" customFormat="1" ht="12.75" x14ac:dyDescent="0.2">
      <c r="B49277" s="1168"/>
    </row>
    <row r="49278" spans="2:2" s="221" customFormat="1" ht="12.75" x14ac:dyDescent="0.2">
      <c r="B49278" s="1168"/>
    </row>
    <row r="49279" spans="2:2" s="221" customFormat="1" ht="12.75" x14ac:dyDescent="0.2">
      <c r="B49279" s="1168"/>
    </row>
    <row r="49280" spans="2:2" s="221" customFormat="1" ht="12.75" x14ac:dyDescent="0.2">
      <c r="B49280" s="1168"/>
    </row>
    <row r="49281" spans="2:2" s="221" customFormat="1" ht="12.75" x14ac:dyDescent="0.2">
      <c r="B49281" s="1168"/>
    </row>
    <row r="49282" spans="2:2" s="221" customFormat="1" ht="12.75" x14ac:dyDescent="0.2">
      <c r="B49282" s="1168"/>
    </row>
    <row r="49283" spans="2:2" s="221" customFormat="1" ht="12.75" x14ac:dyDescent="0.2">
      <c r="B49283" s="1168"/>
    </row>
    <row r="49284" spans="2:2" s="221" customFormat="1" ht="12.75" x14ac:dyDescent="0.2">
      <c r="B49284" s="1168"/>
    </row>
    <row r="49285" spans="2:2" s="221" customFormat="1" ht="12.75" x14ac:dyDescent="0.2">
      <c r="B49285" s="1168"/>
    </row>
    <row r="49286" spans="2:2" s="221" customFormat="1" ht="12.75" x14ac:dyDescent="0.2">
      <c r="B49286" s="1168"/>
    </row>
    <row r="49287" spans="2:2" s="221" customFormat="1" ht="12.75" x14ac:dyDescent="0.2">
      <c r="B49287" s="1168"/>
    </row>
    <row r="49288" spans="2:2" s="221" customFormat="1" ht="12.75" x14ac:dyDescent="0.2">
      <c r="B49288" s="1168"/>
    </row>
    <row r="49289" spans="2:2" s="221" customFormat="1" ht="12.75" x14ac:dyDescent="0.2">
      <c r="B49289" s="1168"/>
    </row>
    <row r="49290" spans="2:2" s="221" customFormat="1" ht="12.75" x14ac:dyDescent="0.2">
      <c r="B49290" s="1168"/>
    </row>
    <row r="49291" spans="2:2" s="221" customFormat="1" ht="12.75" x14ac:dyDescent="0.2">
      <c r="B49291" s="1168"/>
    </row>
    <row r="49292" spans="2:2" s="221" customFormat="1" ht="12.75" x14ac:dyDescent="0.2">
      <c r="B49292" s="1168"/>
    </row>
    <row r="49293" spans="2:2" s="221" customFormat="1" ht="12.75" x14ac:dyDescent="0.2">
      <c r="B49293" s="1168"/>
    </row>
    <row r="49294" spans="2:2" s="221" customFormat="1" ht="12.75" x14ac:dyDescent="0.2">
      <c r="B49294" s="1168"/>
    </row>
    <row r="49295" spans="2:2" s="221" customFormat="1" ht="12.75" x14ac:dyDescent="0.2">
      <c r="B49295" s="1168"/>
    </row>
    <row r="49296" spans="2:2" s="221" customFormat="1" ht="12.75" x14ac:dyDescent="0.2">
      <c r="B49296" s="1168"/>
    </row>
    <row r="49297" spans="2:2" s="221" customFormat="1" ht="12.75" x14ac:dyDescent="0.2">
      <c r="B49297" s="1168"/>
    </row>
    <row r="49298" spans="2:2" s="221" customFormat="1" ht="12.75" x14ac:dyDescent="0.2">
      <c r="B49298" s="1168"/>
    </row>
    <row r="49299" spans="2:2" s="221" customFormat="1" ht="12.75" x14ac:dyDescent="0.2">
      <c r="B49299" s="1168"/>
    </row>
    <row r="49300" spans="2:2" s="221" customFormat="1" ht="12.75" x14ac:dyDescent="0.2">
      <c r="B49300" s="1168"/>
    </row>
    <row r="49301" spans="2:2" s="221" customFormat="1" ht="12.75" x14ac:dyDescent="0.2">
      <c r="B49301" s="1168"/>
    </row>
    <row r="49302" spans="2:2" s="221" customFormat="1" ht="12.75" x14ac:dyDescent="0.2">
      <c r="B49302" s="1168"/>
    </row>
    <row r="49303" spans="2:2" s="221" customFormat="1" ht="12.75" x14ac:dyDescent="0.2">
      <c r="B49303" s="1168"/>
    </row>
    <row r="49304" spans="2:2" s="221" customFormat="1" ht="12.75" x14ac:dyDescent="0.2">
      <c r="B49304" s="1168"/>
    </row>
    <row r="49305" spans="2:2" s="221" customFormat="1" ht="12.75" x14ac:dyDescent="0.2">
      <c r="B49305" s="1168"/>
    </row>
    <row r="49306" spans="2:2" s="221" customFormat="1" ht="12.75" x14ac:dyDescent="0.2">
      <c r="B49306" s="1168"/>
    </row>
    <row r="49307" spans="2:2" s="221" customFormat="1" ht="12.75" x14ac:dyDescent="0.2">
      <c r="B49307" s="1168"/>
    </row>
    <row r="49308" spans="2:2" s="221" customFormat="1" ht="12.75" x14ac:dyDescent="0.2">
      <c r="B49308" s="1168"/>
    </row>
    <row r="49309" spans="2:2" s="221" customFormat="1" ht="12.75" x14ac:dyDescent="0.2">
      <c r="B49309" s="1168"/>
    </row>
    <row r="49310" spans="2:2" s="221" customFormat="1" ht="12.75" x14ac:dyDescent="0.2">
      <c r="B49310" s="1168"/>
    </row>
    <row r="49311" spans="2:2" s="221" customFormat="1" ht="12.75" x14ac:dyDescent="0.2">
      <c r="B49311" s="1168"/>
    </row>
    <row r="49312" spans="2:2" s="221" customFormat="1" ht="12.75" x14ac:dyDescent="0.2">
      <c r="B49312" s="1168"/>
    </row>
    <row r="49313" spans="2:2" s="221" customFormat="1" ht="12.75" x14ac:dyDescent="0.2">
      <c r="B49313" s="1168"/>
    </row>
    <row r="49314" spans="2:2" s="221" customFormat="1" ht="12.75" x14ac:dyDescent="0.2">
      <c r="B49314" s="1168"/>
    </row>
    <row r="49315" spans="2:2" s="221" customFormat="1" ht="12.75" x14ac:dyDescent="0.2">
      <c r="B49315" s="1168"/>
    </row>
    <row r="49316" spans="2:2" s="221" customFormat="1" ht="12.75" x14ac:dyDescent="0.2">
      <c r="B49316" s="1168"/>
    </row>
    <row r="49317" spans="2:2" s="221" customFormat="1" ht="12.75" x14ac:dyDescent="0.2">
      <c r="B49317" s="1168"/>
    </row>
    <row r="49318" spans="2:2" s="221" customFormat="1" ht="12.75" x14ac:dyDescent="0.2">
      <c r="B49318" s="1168"/>
    </row>
    <row r="49319" spans="2:2" s="221" customFormat="1" ht="12.75" x14ac:dyDescent="0.2">
      <c r="B49319" s="1168"/>
    </row>
    <row r="49320" spans="2:2" s="221" customFormat="1" ht="12.75" x14ac:dyDescent="0.2">
      <c r="B49320" s="1168"/>
    </row>
    <row r="49321" spans="2:2" s="221" customFormat="1" ht="12.75" x14ac:dyDescent="0.2">
      <c r="B49321" s="1168"/>
    </row>
    <row r="49322" spans="2:2" s="221" customFormat="1" ht="12.75" x14ac:dyDescent="0.2">
      <c r="B49322" s="1168"/>
    </row>
    <row r="49323" spans="2:2" s="221" customFormat="1" ht="12.75" x14ac:dyDescent="0.2">
      <c r="B49323" s="1168"/>
    </row>
    <row r="49324" spans="2:2" s="221" customFormat="1" ht="12.75" x14ac:dyDescent="0.2">
      <c r="B49324" s="1168"/>
    </row>
    <row r="49325" spans="2:2" s="221" customFormat="1" ht="12.75" x14ac:dyDescent="0.2">
      <c r="B49325" s="1168"/>
    </row>
    <row r="49326" spans="2:2" s="221" customFormat="1" ht="12.75" x14ac:dyDescent="0.2">
      <c r="B49326" s="1168"/>
    </row>
    <row r="49327" spans="2:2" s="221" customFormat="1" ht="12.75" x14ac:dyDescent="0.2">
      <c r="B49327" s="1168"/>
    </row>
    <row r="49328" spans="2:2" s="221" customFormat="1" ht="12.75" x14ac:dyDescent="0.2">
      <c r="B49328" s="1168"/>
    </row>
    <row r="49329" spans="2:2" s="221" customFormat="1" ht="12.75" x14ac:dyDescent="0.2">
      <c r="B49329" s="1168"/>
    </row>
    <row r="49330" spans="2:2" s="221" customFormat="1" ht="12.75" x14ac:dyDescent="0.2">
      <c r="B49330" s="1168"/>
    </row>
    <row r="49331" spans="2:2" s="221" customFormat="1" ht="12.75" x14ac:dyDescent="0.2">
      <c r="B49331" s="1168"/>
    </row>
    <row r="49332" spans="2:2" s="221" customFormat="1" ht="12.75" x14ac:dyDescent="0.2">
      <c r="B49332" s="1168"/>
    </row>
    <row r="49333" spans="2:2" s="221" customFormat="1" ht="12.75" x14ac:dyDescent="0.2">
      <c r="B49333" s="1168"/>
    </row>
    <row r="49334" spans="2:2" s="221" customFormat="1" ht="12.75" x14ac:dyDescent="0.2">
      <c r="B49334" s="1168"/>
    </row>
    <row r="49335" spans="2:2" s="221" customFormat="1" ht="12.75" x14ac:dyDescent="0.2">
      <c r="B49335" s="1168"/>
    </row>
    <row r="49336" spans="2:2" s="221" customFormat="1" ht="12.75" x14ac:dyDescent="0.2">
      <c r="B49336" s="1168"/>
    </row>
    <row r="49337" spans="2:2" s="221" customFormat="1" ht="12.75" x14ac:dyDescent="0.2">
      <c r="B49337" s="1168"/>
    </row>
    <row r="49338" spans="2:2" s="221" customFormat="1" ht="12.75" x14ac:dyDescent="0.2">
      <c r="B49338" s="1168"/>
    </row>
    <row r="49339" spans="2:2" s="221" customFormat="1" ht="12.75" x14ac:dyDescent="0.2">
      <c r="B49339" s="1168"/>
    </row>
    <row r="49340" spans="2:2" s="221" customFormat="1" ht="12.75" x14ac:dyDescent="0.2">
      <c r="B49340" s="1168"/>
    </row>
    <row r="49341" spans="2:2" s="221" customFormat="1" ht="12.75" x14ac:dyDescent="0.2">
      <c r="B49341" s="1168"/>
    </row>
    <row r="49342" spans="2:2" s="221" customFormat="1" ht="12.75" x14ac:dyDescent="0.2">
      <c r="B49342" s="1168"/>
    </row>
    <row r="49343" spans="2:2" s="221" customFormat="1" ht="12.75" x14ac:dyDescent="0.2">
      <c r="B49343" s="1168"/>
    </row>
    <row r="49344" spans="2:2" s="221" customFormat="1" ht="12.75" x14ac:dyDescent="0.2">
      <c r="B49344" s="1168"/>
    </row>
    <row r="49345" spans="2:2" s="221" customFormat="1" ht="12.75" x14ac:dyDescent="0.2">
      <c r="B49345" s="1168"/>
    </row>
    <row r="49346" spans="2:2" s="221" customFormat="1" ht="12.75" x14ac:dyDescent="0.2">
      <c r="B49346" s="1168"/>
    </row>
    <row r="49347" spans="2:2" s="221" customFormat="1" ht="12.75" x14ac:dyDescent="0.2">
      <c r="B49347" s="1168"/>
    </row>
    <row r="49348" spans="2:2" s="221" customFormat="1" ht="12.75" x14ac:dyDescent="0.2">
      <c r="B49348" s="1168"/>
    </row>
    <row r="49349" spans="2:2" s="221" customFormat="1" ht="12.75" x14ac:dyDescent="0.2">
      <c r="B49349" s="1168"/>
    </row>
    <row r="49350" spans="2:2" s="221" customFormat="1" ht="12.75" x14ac:dyDescent="0.2">
      <c r="B49350" s="1168"/>
    </row>
    <row r="49351" spans="2:2" s="221" customFormat="1" ht="12.75" x14ac:dyDescent="0.2">
      <c r="B49351" s="1168"/>
    </row>
    <row r="49352" spans="2:2" s="221" customFormat="1" ht="12.75" x14ac:dyDescent="0.2">
      <c r="B49352" s="1168"/>
    </row>
    <row r="49353" spans="2:2" s="221" customFormat="1" ht="12.75" x14ac:dyDescent="0.2">
      <c r="B49353" s="1168"/>
    </row>
    <row r="49354" spans="2:2" s="221" customFormat="1" ht="12.75" x14ac:dyDescent="0.2">
      <c r="B49354" s="1168"/>
    </row>
    <row r="49355" spans="2:2" s="221" customFormat="1" ht="12.75" x14ac:dyDescent="0.2">
      <c r="B49355" s="1168"/>
    </row>
    <row r="49356" spans="2:2" s="221" customFormat="1" ht="12.75" x14ac:dyDescent="0.2">
      <c r="B49356" s="1168"/>
    </row>
    <row r="49357" spans="2:2" s="221" customFormat="1" ht="12.75" x14ac:dyDescent="0.2">
      <c r="B49357" s="1168"/>
    </row>
    <row r="49358" spans="2:2" s="221" customFormat="1" ht="12.75" x14ac:dyDescent="0.2">
      <c r="B49358" s="1168"/>
    </row>
    <row r="49359" spans="2:2" s="221" customFormat="1" ht="12.75" x14ac:dyDescent="0.2">
      <c r="B49359" s="1168"/>
    </row>
    <row r="49360" spans="2:2" s="221" customFormat="1" ht="12.75" x14ac:dyDescent="0.2">
      <c r="B49360" s="1168"/>
    </row>
    <row r="49361" spans="2:2" s="221" customFormat="1" ht="12.75" x14ac:dyDescent="0.2">
      <c r="B49361" s="1168"/>
    </row>
    <row r="49362" spans="2:2" s="221" customFormat="1" ht="12.75" x14ac:dyDescent="0.2">
      <c r="B49362" s="1168"/>
    </row>
    <row r="49363" spans="2:2" s="221" customFormat="1" ht="12.75" x14ac:dyDescent="0.2">
      <c r="B49363" s="1168"/>
    </row>
    <row r="49364" spans="2:2" s="221" customFormat="1" ht="12.75" x14ac:dyDescent="0.2">
      <c r="B49364" s="1168"/>
    </row>
    <row r="49365" spans="2:2" s="221" customFormat="1" ht="12.75" x14ac:dyDescent="0.2">
      <c r="B49365" s="1168"/>
    </row>
    <row r="49366" spans="2:2" s="221" customFormat="1" ht="12.75" x14ac:dyDescent="0.2">
      <c r="B49366" s="1168"/>
    </row>
    <row r="49367" spans="2:2" s="221" customFormat="1" ht="12.75" x14ac:dyDescent="0.2">
      <c r="B49367" s="1168"/>
    </row>
    <row r="49368" spans="2:2" s="221" customFormat="1" ht="12.75" x14ac:dyDescent="0.2">
      <c r="B49368" s="1168"/>
    </row>
    <row r="49369" spans="2:2" s="221" customFormat="1" ht="12.75" x14ac:dyDescent="0.2">
      <c r="B49369" s="1168"/>
    </row>
    <row r="49370" spans="2:2" s="221" customFormat="1" ht="12.75" x14ac:dyDescent="0.2">
      <c r="B49370" s="1168"/>
    </row>
    <row r="49371" spans="2:2" s="221" customFormat="1" ht="12.75" x14ac:dyDescent="0.2">
      <c r="B49371" s="1168"/>
    </row>
    <row r="49372" spans="2:2" s="221" customFormat="1" ht="12.75" x14ac:dyDescent="0.2">
      <c r="B49372" s="1168"/>
    </row>
    <row r="49373" spans="2:2" s="221" customFormat="1" ht="12.75" x14ac:dyDescent="0.2">
      <c r="B49373" s="1168"/>
    </row>
    <row r="49374" spans="2:2" s="221" customFormat="1" ht="12.75" x14ac:dyDescent="0.2">
      <c r="B49374" s="1168"/>
    </row>
    <row r="49375" spans="2:2" s="221" customFormat="1" ht="12.75" x14ac:dyDescent="0.2">
      <c r="B49375" s="1168"/>
    </row>
    <row r="49376" spans="2:2" s="221" customFormat="1" ht="12.75" x14ac:dyDescent="0.2">
      <c r="B49376" s="1168"/>
    </row>
    <row r="49377" spans="2:2" s="221" customFormat="1" ht="12.75" x14ac:dyDescent="0.2">
      <c r="B49377" s="1168"/>
    </row>
    <row r="49378" spans="2:2" s="221" customFormat="1" ht="12.75" x14ac:dyDescent="0.2">
      <c r="B49378" s="1168"/>
    </row>
    <row r="49379" spans="2:2" s="221" customFormat="1" ht="12.75" x14ac:dyDescent="0.2">
      <c r="B49379" s="1168"/>
    </row>
    <row r="49380" spans="2:2" s="221" customFormat="1" ht="12.75" x14ac:dyDescent="0.2">
      <c r="B49380" s="1168"/>
    </row>
    <row r="49381" spans="2:2" s="221" customFormat="1" ht="12.75" x14ac:dyDescent="0.2">
      <c r="B49381" s="1168"/>
    </row>
    <row r="49382" spans="2:2" s="221" customFormat="1" ht="12.75" x14ac:dyDescent="0.2">
      <c r="B49382" s="1168"/>
    </row>
    <row r="49383" spans="2:2" s="221" customFormat="1" ht="12.75" x14ac:dyDescent="0.2">
      <c r="B49383" s="1168"/>
    </row>
    <row r="49384" spans="2:2" s="221" customFormat="1" ht="12.75" x14ac:dyDescent="0.2">
      <c r="B49384" s="1168"/>
    </row>
    <row r="49385" spans="2:2" s="221" customFormat="1" ht="12.75" x14ac:dyDescent="0.2">
      <c r="B49385" s="1168"/>
    </row>
    <row r="49386" spans="2:2" s="221" customFormat="1" ht="12.75" x14ac:dyDescent="0.2">
      <c r="B49386" s="1168"/>
    </row>
    <row r="49387" spans="2:2" s="221" customFormat="1" ht="12.75" x14ac:dyDescent="0.2">
      <c r="B49387" s="1168"/>
    </row>
    <row r="49388" spans="2:2" s="221" customFormat="1" ht="12.75" x14ac:dyDescent="0.2">
      <c r="B49388" s="1168"/>
    </row>
    <row r="49389" spans="2:2" s="221" customFormat="1" ht="12.75" x14ac:dyDescent="0.2">
      <c r="B49389" s="1168"/>
    </row>
    <row r="49390" spans="2:2" s="221" customFormat="1" ht="12.75" x14ac:dyDescent="0.2">
      <c r="B49390" s="1168"/>
    </row>
    <row r="49391" spans="2:2" s="221" customFormat="1" ht="12.75" x14ac:dyDescent="0.2">
      <c r="B49391" s="1168"/>
    </row>
    <row r="49392" spans="2:2" s="221" customFormat="1" ht="12.75" x14ac:dyDescent="0.2">
      <c r="B49392" s="1168"/>
    </row>
    <row r="49393" spans="2:2" s="221" customFormat="1" ht="12.75" x14ac:dyDescent="0.2">
      <c r="B49393" s="1168"/>
    </row>
    <row r="49394" spans="2:2" s="221" customFormat="1" ht="12.75" x14ac:dyDescent="0.2">
      <c r="B49394" s="1168"/>
    </row>
    <row r="49395" spans="2:2" s="221" customFormat="1" ht="12.75" x14ac:dyDescent="0.2">
      <c r="B49395" s="1168"/>
    </row>
    <row r="49396" spans="2:2" s="221" customFormat="1" ht="12.75" x14ac:dyDescent="0.2">
      <c r="B49396" s="1168"/>
    </row>
    <row r="49397" spans="2:2" s="221" customFormat="1" ht="12.75" x14ac:dyDescent="0.2">
      <c r="B49397" s="1168"/>
    </row>
    <row r="49398" spans="2:2" s="221" customFormat="1" ht="12.75" x14ac:dyDescent="0.2">
      <c r="B49398" s="1168"/>
    </row>
    <row r="49399" spans="2:2" s="221" customFormat="1" ht="12.75" x14ac:dyDescent="0.2">
      <c r="B49399" s="1168"/>
    </row>
    <row r="49400" spans="2:2" s="221" customFormat="1" ht="12.75" x14ac:dyDescent="0.2">
      <c r="B49400" s="1168"/>
    </row>
    <row r="49401" spans="2:2" s="221" customFormat="1" ht="12.75" x14ac:dyDescent="0.2">
      <c r="B49401" s="1168"/>
    </row>
    <row r="49402" spans="2:2" s="221" customFormat="1" ht="12.75" x14ac:dyDescent="0.2">
      <c r="B49402" s="1168"/>
    </row>
    <row r="49403" spans="2:2" s="221" customFormat="1" ht="12.75" x14ac:dyDescent="0.2">
      <c r="B49403" s="1168"/>
    </row>
    <row r="49404" spans="2:2" s="221" customFormat="1" ht="12.75" x14ac:dyDescent="0.2">
      <c r="B49404" s="1168"/>
    </row>
    <row r="49405" spans="2:2" s="221" customFormat="1" ht="12.75" x14ac:dyDescent="0.2">
      <c r="B49405" s="1168"/>
    </row>
    <row r="49406" spans="2:2" s="221" customFormat="1" ht="12.75" x14ac:dyDescent="0.2">
      <c r="B49406" s="1168"/>
    </row>
    <row r="49407" spans="2:2" s="221" customFormat="1" ht="12.75" x14ac:dyDescent="0.2">
      <c r="B49407" s="1168"/>
    </row>
    <row r="49408" spans="2:2" s="221" customFormat="1" ht="12.75" x14ac:dyDescent="0.2">
      <c r="B49408" s="1168"/>
    </row>
    <row r="49409" spans="2:2" s="221" customFormat="1" ht="12.75" x14ac:dyDescent="0.2">
      <c r="B49409" s="1168"/>
    </row>
    <row r="49410" spans="2:2" s="221" customFormat="1" ht="12.75" x14ac:dyDescent="0.2">
      <c r="B49410" s="1168"/>
    </row>
    <row r="49411" spans="2:2" s="221" customFormat="1" ht="12.75" x14ac:dyDescent="0.2">
      <c r="B49411" s="1168"/>
    </row>
    <row r="49412" spans="2:2" s="221" customFormat="1" ht="12.75" x14ac:dyDescent="0.2">
      <c r="B49412" s="1168"/>
    </row>
    <row r="49413" spans="2:2" s="221" customFormat="1" ht="12.75" x14ac:dyDescent="0.2">
      <c r="B49413" s="1168"/>
    </row>
    <row r="49414" spans="2:2" s="221" customFormat="1" ht="12.75" x14ac:dyDescent="0.2">
      <c r="B49414" s="1168"/>
    </row>
    <row r="49415" spans="2:2" s="221" customFormat="1" ht="12.75" x14ac:dyDescent="0.2">
      <c r="B49415" s="1168"/>
    </row>
    <row r="49416" spans="2:2" s="221" customFormat="1" ht="12.75" x14ac:dyDescent="0.2">
      <c r="B49416" s="1168"/>
    </row>
    <row r="49417" spans="2:2" s="221" customFormat="1" ht="12.75" x14ac:dyDescent="0.2">
      <c r="B49417" s="1168"/>
    </row>
    <row r="49418" spans="2:2" s="221" customFormat="1" ht="12.75" x14ac:dyDescent="0.2">
      <c r="B49418" s="1168"/>
    </row>
    <row r="49419" spans="2:2" s="221" customFormat="1" ht="12.75" x14ac:dyDescent="0.2">
      <c r="B49419" s="1168"/>
    </row>
    <row r="49420" spans="2:2" s="221" customFormat="1" ht="12.75" x14ac:dyDescent="0.2">
      <c r="B49420" s="1168"/>
    </row>
    <row r="49421" spans="2:2" s="221" customFormat="1" ht="12.75" x14ac:dyDescent="0.2">
      <c r="B49421" s="1168"/>
    </row>
    <row r="49422" spans="2:2" s="221" customFormat="1" ht="12.75" x14ac:dyDescent="0.2">
      <c r="B49422" s="1168"/>
    </row>
    <row r="49423" spans="2:2" s="221" customFormat="1" ht="12.75" x14ac:dyDescent="0.2">
      <c r="B49423" s="1168"/>
    </row>
    <row r="49424" spans="2:2" s="221" customFormat="1" ht="12.75" x14ac:dyDescent="0.2">
      <c r="B49424" s="1168"/>
    </row>
    <row r="49425" spans="2:2" s="221" customFormat="1" ht="12.75" x14ac:dyDescent="0.2">
      <c r="B49425" s="1168"/>
    </row>
    <row r="49426" spans="2:2" s="221" customFormat="1" ht="12.75" x14ac:dyDescent="0.2">
      <c r="B49426" s="1168"/>
    </row>
    <row r="49427" spans="2:2" s="221" customFormat="1" ht="12.75" x14ac:dyDescent="0.2">
      <c r="B49427" s="1168"/>
    </row>
    <row r="49428" spans="2:2" s="221" customFormat="1" ht="12.75" x14ac:dyDescent="0.2">
      <c r="B49428" s="1168"/>
    </row>
    <row r="49429" spans="2:2" s="221" customFormat="1" ht="12.75" x14ac:dyDescent="0.2">
      <c r="B49429" s="1168"/>
    </row>
    <row r="49430" spans="2:2" s="221" customFormat="1" ht="12.75" x14ac:dyDescent="0.2">
      <c r="B49430" s="1168"/>
    </row>
    <row r="49431" spans="2:2" s="221" customFormat="1" ht="12.75" x14ac:dyDescent="0.2">
      <c r="B49431" s="1168"/>
    </row>
    <row r="49432" spans="2:2" s="221" customFormat="1" ht="12.75" x14ac:dyDescent="0.2">
      <c r="B49432" s="1168"/>
    </row>
    <row r="49433" spans="2:2" s="221" customFormat="1" ht="12.75" x14ac:dyDescent="0.2">
      <c r="B49433" s="1168"/>
    </row>
    <row r="49434" spans="2:2" s="221" customFormat="1" ht="12.75" x14ac:dyDescent="0.2">
      <c r="B49434" s="1168"/>
    </row>
    <row r="49435" spans="2:2" s="221" customFormat="1" ht="12.75" x14ac:dyDescent="0.2">
      <c r="B49435" s="1168"/>
    </row>
    <row r="49436" spans="2:2" s="221" customFormat="1" ht="12.75" x14ac:dyDescent="0.2">
      <c r="B49436" s="1168"/>
    </row>
    <row r="49437" spans="2:2" s="221" customFormat="1" ht="12.75" x14ac:dyDescent="0.2">
      <c r="B49437" s="1168"/>
    </row>
    <row r="49438" spans="2:2" s="221" customFormat="1" ht="12.75" x14ac:dyDescent="0.2">
      <c r="B49438" s="1168"/>
    </row>
    <row r="49439" spans="2:2" s="221" customFormat="1" ht="12.75" x14ac:dyDescent="0.2">
      <c r="B49439" s="1168"/>
    </row>
    <row r="49440" spans="2:2" s="221" customFormat="1" ht="12.75" x14ac:dyDescent="0.2">
      <c r="B49440" s="1168"/>
    </row>
    <row r="49441" spans="2:2" s="221" customFormat="1" ht="12.75" x14ac:dyDescent="0.2">
      <c r="B49441" s="1168"/>
    </row>
    <row r="49442" spans="2:2" s="221" customFormat="1" ht="12.75" x14ac:dyDescent="0.2">
      <c r="B49442" s="1168"/>
    </row>
    <row r="49443" spans="2:2" s="221" customFormat="1" ht="12.75" x14ac:dyDescent="0.2">
      <c r="B49443" s="1168"/>
    </row>
    <row r="49444" spans="2:2" s="221" customFormat="1" ht="12.75" x14ac:dyDescent="0.2">
      <c r="B49444" s="1168"/>
    </row>
    <row r="49445" spans="2:2" s="221" customFormat="1" ht="12.75" x14ac:dyDescent="0.2">
      <c r="B49445" s="1168"/>
    </row>
    <row r="49446" spans="2:2" s="221" customFormat="1" ht="12.75" x14ac:dyDescent="0.2">
      <c r="B49446" s="1168"/>
    </row>
    <row r="49447" spans="2:2" s="221" customFormat="1" ht="12.75" x14ac:dyDescent="0.2">
      <c r="B49447" s="1168"/>
    </row>
    <row r="49448" spans="2:2" s="221" customFormat="1" ht="12.75" x14ac:dyDescent="0.2">
      <c r="B49448" s="1168"/>
    </row>
    <row r="49449" spans="2:2" s="221" customFormat="1" ht="12.75" x14ac:dyDescent="0.2">
      <c r="B49449" s="1168"/>
    </row>
    <row r="49450" spans="2:2" s="221" customFormat="1" ht="12.75" x14ac:dyDescent="0.2">
      <c r="B49450" s="1168"/>
    </row>
    <row r="49451" spans="2:2" s="221" customFormat="1" ht="12.75" x14ac:dyDescent="0.2">
      <c r="B49451" s="1168"/>
    </row>
    <row r="49452" spans="2:2" s="221" customFormat="1" ht="12.75" x14ac:dyDescent="0.2">
      <c r="B49452" s="1168"/>
    </row>
    <row r="49453" spans="2:2" s="221" customFormat="1" ht="12.75" x14ac:dyDescent="0.2">
      <c r="B49453" s="1168"/>
    </row>
    <row r="49454" spans="2:2" s="221" customFormat="1" ht="12.75" x14ac:dyDescent="0.2">
      <c r="B49454" s="1168"/>
    </row>
    <row r="49455" spans="2:2" s="221" customFormat="1" ht="12.75" x14ac:dyDescent="0.2">
      <c r="B49455" s="1168"/>
    </row>
    <row r="49456" spans="2:2" s="221" customFormat="1" ht="12.75" x14ac:dyDescent="0.2">
      <c r="B49456" s="1168"/>
    </row>
    <row r="49457" spans="2:2" s="221" customFormat="1" ht="12.75" x14ac:dyDescent="0.2">
      <c r="B49457" s="1168"/>
    </row>
    <row r="49458" spans="2:2" s="221" customFormat="1" ht="12.75" x14ac:dyDescent="0.2">
      <c r="B49458" s="1168"/>
    </row>
    <row r="49459" spans="2:2" s="221" customFormat="1" ht="12.75" x14ac:dyDescent="0.2">
      <c r="B49459" s="1168"/>
    </row>
    <row r="49460" spans="2:2" s="221" customFormat="1" ht="12.75" x14ac:dyDescent="0.2">
      <c r="B49460" s="1168"/>
    </row>
    <row r="49461" spans="2:2" s="221" customFormat="1" ht="12.75" x14ac:dyDescent="0.2">
      <c r="B49461" s="1168"/>
    </row>
    <row r="49462" spans="2:2" s="221" customFormat="1" ht="12.75" x14ac:dyDescent="0.2">
      <c r="B49462" s="1168"/>
    </row>
    <row r="49463" spans="2:2" s="221" customFormat="1" ht="12.75" x14ac:dyDescent="0.2">
      <c r="B49463" s="1168"/>
    </row>
    <row r="49464" spans="2:2" s="221" customFormat="1" ht="12.75" x14ac:dyDescent="0.2">
      <c r="B49464" s="1168"/>
    </row>
    <row r="49465" spans="2:2" s="221" customFormat="1" ht="12.75" x14ac:dyDescent="0.2">
      <c r="B49465" s="1168"/>
    </row>
    <row r="49466" spans="2:2" s="221" customFormat="1" ht="12.75" x14ac:dyDescent="0.2">
      <c r="B49466" s="1168"/>
    </row>
    <row r="49467" spans="2:2" s="221" customFormat="1" ht="12.75" x14ac:dyDescent="0.2">
      <c r="B49467" s="1168"/>
    </row>
    <row r="49468" spans="2:2" s="221" customFormat="1" ht="12.75" x14ac:dyDescent="0.2">
      <c r="B49468" s="1168"/>
    </row>
    <row r="49469" spans="2:2" s="221" customFormat="1" ht="12.75" x14ac:dyDescent="0.2">
      <c r="B49469" s="1168"/>
    </row>
    <row r="49470" spans="2:2" s="221" customFormat="1" ht="12.75" x14ac:dyDescent="0.2">
      <c r="B49470" s="1168"/>
    </row>
    <row r="49471" spans="2:2" s="221" customFormat="1" ht="12.75" x14ac:dyDescent="0.2">
      <c r="B49471" s="1168"/>
    </row>
    <row r="49472" spans="2:2" s="221" customFormat="1" ht="12.75" x14ac:dyDescent="0.2">
      <c r="B49472" s="1168"/>
    </row>
    <row r="49473" spans="2:2" s="221" customFormat="1" ht="12.75" x14ac:dyDescent="0.2">
      <c r="B49473" s="1168"/>
    </row>
    <row r="49474" spans="2:2" s="221" customFormat="1" ht="12.75" x14ac:dyDescent="0.2">
      <c r="B49474" s="1168"/>
    </row>
    <row r="49475" spans="2:2" s="221" customFormat="1" ht="12.75" x14ac:dyDescent="0.2">
      <c r="B49475" s="1168"/>
    </row>
    <row r="49476" spans="2:2" s="221" customFormat="1" ht="12.75" x14ac:dyDescent="0.2">
      <c r="B49476" s="1168"/>
    </row>
    <row r="49477" spans="2:2" s="221" customFormat="1" ht="12.75" x14ac:dyDescent="0.2">
      <c r="B49477" s="1168"/>
    </row>
    <row r="49478" spans="2:2" s="221" customFormat="1" ht="12.75" x14ac:dyDescent="0.2">
      <c r="B49478" s="1168"/>
    </row>
    <row r="49479" spans="2:2" s="221" customFormat="1" ht="12.75" x14ac:dyDescent="0.2">
      <c r="B49479" s="1168"/>
    </row>
    <row r="49480" spans="2:2" s="221" customFormat="1" ht="12.75" x14ac:dyDescent="0.2">
      <c r="B49480" s="1168"/>
    </row>
    <row r="49481" spans="2:2" s="221" customFormat="1" ht="12.75" x14ac:dyDescent="0.2">
      <c r="B49481" s="1168"/>
    </row>
    <row r="49482" spans="2:2" s="221" customFormat="1" ht="12.75" x14ac:dyDescent="0.2">
      <c r="B49482" s="1168"/>
    </row>
    <row r="49483" spans="2:2" s="221" customFormat="1" ht="12.75" x14ac:dyDescent="0.2">
      <c r="B49483" s="1168"/>
    </row>
    <row r="49484" spans="2:2" s="221" customFormat="1" ht="12.75" x14ac:dyDescent="0.2">
      <c r="B49484" s="1168"/>
    </row>
    <row r="49485" spans="2:2" s="221" customFormat="1" ht="12.75" x14ac:dyDescent="0.2">
      <c r="B49485" s="1168"/>
    </row>
    <row r="49486" spans="2:2" s="221" customFormat="1" ht="12.75" x14ac:dyDescent="0.2">
      <c r="B49486" s="1168"/>
    </row>
    <row r="49487" spans="2:2" s="221" customFormat="1" ht="12.75" x14ac:dyDescent="0.2">
      <c r="B49487" s="1168"/>
    </row>
    <row r="49488" spans="2:2" s="221" customFormat="1" ht="12.75" x14ac:dyDescent="0.2">
      <c r="B49488" s="1168"/>
    </row>
    <row r="49489" spans="2:2" s="221" customFormat="1" ht="12.75" x14ac:dyDescent="0.2">
      <c r="B49489" s="1168"/>
    </row>
    <row r="49490" spans="2:2" s="221" customFormat="1" ht="12.75" x14ac:dyDescent="0.2">
      <c r="B49490" s="1168"/>
    </row>
    <row r="49491" spans="2:2" s="221" customFormat="1" ht="12.75" x14ac:dyDescent="0.2">
      <c r="B49491" s="1168"/>
    </row>
    <row r="49492" spans="2:2" s="221" customFormat="1" ht="12.75" x14ac:dyDescent="0.2">
      <c r="B49492" s="1168"/>
    </row>
    <row r="49493" spans="2:2" s="221" customFormat="1" ht="12.75" x14ac:dyDescent="0.2">
      <c r="B49493" s="1168"/>
    </row>
    <row r="49494" spans="2:2" s="221" customFormat="1" ht="12.75" x14ac:dyDescent="0.2">
      <c r="B49494" s="1168"/>
    </row>
    <row r="49495" spans="2:2" s="221" customFormat="1" ht="12.75" x14ac:dyDescent="0.2">
      <c r="B49495" s="1168"/>
    </row>
    <row r="49496" spans="2:2" s="221" customFormat="1" ht="12.75" x14ac:dyDescent="0.2">
      <c r="B49496" s="1168"/>
    </row>
    <row r="49497" spans="2:2" s="221" customFormat="1" ht="12.75" x14ac:dyDescent="0.2">
      <c r="B49497" s="1168"/>
    </row>
    <row r="49498" spans="2:2" s="221" customFormat="1" ht="12.75" x14ac:dyDescent="0.2">
      <c r="B49498" s="1168"/>
    </row>
    <row r="49499" spans="2:2" s="221" customFormat="1" ht="12.75" x14ac:dyDescent="0.2">
      <c r="B49499" s="1168"/>
    </row>
    <row r="49500" spans="2:2" s="221" customFormat="1" ht="12.75" x14ac:dyDescent="0.2">
      <c r="B49500" s="1168"/>
    </row>
    <row r="49501" spans="2:2" s="221" customFormat="1" ht="12.75" x14ac:dyDescent="0.2">
      <c r="B49501" s="1168"/>
    </row>
    <row r="49502" spans="2:2" s="221" customFormat="1" ht="12.75" x14ac:dyDescent="0.2">
      <c r="B49502" s="1168"/>
    </row>
    <row r="49503" spans="2:2" s="221" customFormat="1" ht="12.75" x14ac:dyDescent="0.2">
      <c r="B49503" s="1168"/>
    </row>
    <row r="49504" spans="2:2" s="221" customFormat="1" ht="12.75" x14ac:dyDescent="0.2">
      <c r="B49504" s="1168"/>
    </row>
    <row r="49505" spans="2:2" s="221" customFormat="1" ht="12.75" x14ac:dyDescent="0.2">
      <c r="B49505" s="1168"/>
    </row>
    <row r="49506" spans="2:2" s="221" customFormat="1" ht="12.75" x14ac:dyDescent="0.2">
      <c r="B49506" s="1168"/>
    </row>
    <row r="49507" spans="2:2" s="221" customFormat="1" ht="12.75" x14ac:dyDescent="0.2">
      <c r="B49507" s="1168"/>
    </row>
    <row r="49508" spans="2:2" s="221" customFormat="1" ht="12.75" x14ac:dyDescent="0.2">
      <c r="B49508" s="1168"/>
    </row>
    <row r="49509" spans="2:2" s="221" customFormat="1" ht="12.75" x14ac:dyDescent="0.2">
      <c r="B49509" s="1168"/>
    </row>
    <row r="49510" spans="2:2" s="221" customFormat="1" ht="12.75" x14ac:dyDescent="0.2">
      <c r="B49510" s="1168"/>
    </row>
    <row r="49511" spans="2:2" s="221" customFormat="1" ht="12.75" x14ac:dyDescent="0.2">
      <c r="B49511" s="1168"/>
    </row>
    <row r="49512" spans="2:2" s="221" customFormat="1" ht="12.75" x14ac:dyDescent="0.2">
      <c r="B49512" s="1168"/>
    </row>
    <row r="49513" spans="2:2" s="221" customFormat="1" ht="12.75" x14ac:dyDescent="0.2">
      <c r="B49513" s="1168"/>
    </row>
    <row r="49514" spans="2:2" s="221" customFormat="1" ht="12.75" x14ac:dyDescent="0.2">
      <c r="B49514" s="1168"/>
    </row>
    <row r="49515" spans="2:2" s="221" customFormat="1" ht="12.75" x14ac:dyDescent="0.2">
      <c r="B49515" s="1168"/>
    </row>
    <row r="49516" spans="2:2" s="221" customFormat="1" ht="12.75" x14ac:dyDescent="0.2">
      <c r="B49516" s="1168"/>
    </row>
    <row r="49517" spans="2:2" s="221" customFormat="1" ht="12.75" x14ac:dyDescent="0.2">
      <c r="B49517" s="1168"/>
    </row>
    <row r="49518" spans="2:2" s="221" customFormat="1" ht="12.75" x14ac:dyDescent="0.2">
      <c r="B49518" s="1168"/>
    </row>
    <row r="49519" spans="2:2" s="221" customFormat="1" ht="12.75" x14ac:dyDescent="0.2">
      <c r="B49519" s="1168"/>
    </row>
    <row r="49520" spans="2:2" s="221" customFormat="1" ht="12.75" x14ac:dyDescent="0.2">
      <c r="B49520" s="1168"/>
    </row>
    <row r="49521" spans="2:2" s="221" customFormat="1" ht="12.75" x14ac:dyDescent="0.2">
      <c r="B49521" s="1168"/>
    </row>
    <row r="49522" spans="2:2" s="221" customFormat="1" ht="12.75" x14ac:dyDescent="0.2">
      <c r="B49522" s="1168"/>
    </row>
    <row r="49523" spans="2:2" s="221" customFormat="1" ht="12.75" x14ac:dyDescent="0.2">
      <c r="B49523" s="1168"/>
    </row>
    <row r="49524" spans="2:2" s="221" customFormat="1" ht="12.75" x14ac:dyDescent="0.2">
      <c r="B49524" s="1168"/>
    </row>
    <row r="49525" spans="2:2" s="221" customFormat="1" ht="12.75" x14ac:dyDescent="0.2">
      <c r="B49525" s="1168"/>
    </row>
    <row r="49526" spans="2:2" s="221" customFormat="1" ht="12.75" x14ac:dyDescent="0.2">
      <c r="B49526" s="1168"/>
    </row>
    <row r="49527" spans="2:2" s="221" customFormat="1" ht="12.75" x14ac:dyDescent="0.2">
      <c r="B49527" s="1168"/>
    </row>
    <row r="49528" spans="2:2" s="221" customFormat="1" ht="12.75" x14ac:dyDescent="0.2">
      <c r="B49528" s="1168"/>
    </row>
    <row r="49529" spans="2:2" s="221" customFormat="1" ht="12.75" x14ac:dyDescent="0.2">
      <c r="B49529" s="1168"/>
    </row>
    <row r="49530" spans="2:2" s="221" customFormat="1" ht="12.75" x14ac:dyDescent="0.2">
      <c r="B49530" s="1168"/>
    </row>
    <row r="49531" spans="2:2" s="221" customFormat="1" ht="12.75" x14ac:dyDescent="0.2">
      <c r="B49531" s="1168"/>
    </row>
    <row r="49532" spans="2:2" s="221" customFormat="1" ht="12.75" x14ac:dyDescent="0.2">
      <c r="B49532" s="1168"/>
    </row>
    <row r="49533" spans="2:2" s="221" customFormat="1" ht="12.75" x14ac:dyDescent="0.2">
      <c r="B49533" s="1168"/>
    </row>
    <row r="49534" spans="2:2" s="221" customFormat="1" ht="12.75" x14ac:dyDescent="0.2">
      <c r="B49534" s="1168"/>
    </row>
    <row r="49535" spans="2:2" s="221" customFormat="1" ht="12.75" x14ac:dyDescent="0.2">
      <c r="B49535" s="1168"/>
    </row>
    <row r="49536" spans="2:2" s="221" customFormat="1" ht="12.75" x14ac:dyDescent="0.2">
      <c r="B49536" s="1168"/>
    </row>
    <row r="49537" spans="2:2" s="221" customFormat="1" ht="12.75" x14ac:dyDescent="0.2">
      <c r="B49537" s="1168"/>
    </row>
    <row r="49538" spans="2:2" s="221" customFormat="1" ht="12.75" x14ac:dyDescent="0.2">
      <c r="B49538" s="1168"/>
    </row>
    <row r="49539" spans="2:2" s="221" customFormat="1" ht="12.75" x14ac:dyDescent="0.2">
      <c r="B49539" s="1168"/>
    </row>
    <row r="49540" spans="2:2" s="221" customFormat="1" ht="12.75" x14ac:dyDescent="0.2">
      <c r="B49540" s="1168"/>
    </row>
    <row r="49541" spans="2:2" s="221" customFormat="1" ht="12.75" x14ac:dyDescent="0.2">
      <c r="B49541" s="1168"/>
    </row>
    <row r="49542" spans="2:2" s="221" customFormat="1" ht="12.75" x14ac:dyDescent="0.2">
      <c r="B49542" s="1168"/>
    </row>
    <row r="49543" spans="2:2" s="221" customFormat="1" ht="12.75" x14ac:dyDescent="0.2">
      <c r="B49543" s="1168"/>
    </row>
    <row r="49544" spans="2:2" s="221" customFormat="1" ht="12.75" x14ac:dyDescent="0.2">
      <c r="B49544" s="1168"/>
    </row>
    <row r="49545" spans="2:2" s="221" customFormat="1" ht="12.75" x14ac:dyDescent="0.2">
      <c r="B49545" s="1168"/>
    </row>
    <row r="49546" spans="2:2" s="221" customFormat="1" ht="12.75" x14ac:dyDescent="0.2">
      <c r="B49546" s="1168"/>
    </row>
    <row r="49547" spans="2:2" s="221" customFormat="1" ht="12.75" x14ac:dyDescent="0.2">
      <c r="B49547" s="1168"/>
    </row>
    <row r="49548" spans="2:2" s="221" customFormat="1" ht="12.75" x14ac:dyDescent="0.2">
      <c r="B49548" s="1168"/>
    </row>
    <row r="49549" spans="2:2" s="221" customFormat="1" ht="12.75" x14ac:dyDescent="0.2">
      <c r="B49549" s="1168"/>
    </row>
    <row r="49550" spans="2:2" s="221" customFormat="1" ht="12.75" x14ac:dyDescent="0.2">
      <c r="B49550" s="1168"/>
    </row>
    <row r="49551" spans="2:2" s="221" customFormat="1" ht="12.75" x14ac:dyDescent="0.2">
      <c r="B49551" s="1168"/>
    </row>
    <row r="49552" spans="2:2" s="221" customFormat="1" ht="12.75" x14ac:dyDescent="0.2">
      <c r="B49552" s="1168"/>
    </row>
    <row r="49553" spans="2:2" s="221" customFormat="1" ht="12.75" x14ac:dyDescent="0.2">
      <c r="B49553" s="1168"/>
    </row>
    <row r="49554" spans="2:2" s="221" customFormat="1" ht="12.75" x14ac:dyDescent="0.2">
      <c r="B49554" s="1168"/>
    </row>
    <row r="49555" spans="2:2" s="221" customFormat="1" ht="12.75" x14ac:dyDescent="0.2">
      <c r="B49555" s="1168"/>
    </row>
    <row r="49556" spans="2:2" s="221" customFormat="1" ht="12.75" x14ac:dyDescent="0.2">
      <c r="B49556" s="1168"/>
    </row>
    <row r="49557" spans="2:2" s="221" customFormat="1" ht="12.75" x14ac:dyDescent="0.2">
      <c r="B49557" s="1168"/>
    </row>
    <row r="49558" spans="2:2" s="221" customFormat="1" ht="12.75" x14ac:dyDescent="0.2">
      <c r="B49558" s="1168"/>
    </row>
    <row r="49559" spans="2:2" s="221" customFormat="1" ht="12.75" x14ac:dyDescent="0.2">
      <c r="B49559" s="1168"/>
    </row>
    <row r="49560" spans="2:2" s="221" customFormat="1" ht="12.75" x14ac:dyDescent="0.2">
      <c r="B49560" s="1168"/>
    </row>
    <row r="49561" spans="2:2" s="221" customFormat="1" ht="12.75" x14ac:dyDescent="0.2">
      <c r="B49561" s="1168"/>
    </row>
    <row r="49562" spans="2:2" s="221" customFormat="1" ht="12.75" x14ac:dyDescent="0.2">
      <c r="B49562" s="1168"/>
    </row>
    <row r="49563" spans="2:2" s="221" customFormat="1" ht="12.75" x14ac:dyDescent="0.2">
      <c r="B49563" s="1168"/>
    </row>
    <row r="49564" spans="2:2" s="221" customFormat="1" ht="12.75" x14ac:dyDescent="0.2">
      <c r="B49564" s="1168"/>
    </row>
    <row r="49565" spans="2:2" s="221" customFormat="1" ht="12.75" x14ac:dyDescent="0.2">
      <c r="B49565" s="1168"/>
    </row>
    <row r="49566" spans="2:2" s="221" customFormat="1" ht="12.75" x14ac:dyDescent="0.2">
      <c r="B49566" s="1168"/>
    </row>
    <row r="49567" spans="2:2" s="221" customFormat="1" ht="12.75" x14ac:dyDescent="0.2">
      <c r="B49567" s="1168"/>
    </row>
    <row r="49568" spans="2:2" s="221" customFormat="1" ht="12.75" x14ac:dyDescent="0.2">
      <c r="B49568" s="1168"/>
    </row>
    <row r="49569" spans="2:2" s="221" customFormat="1" ht="12.75" x14ac:dyDescent="0.2">
      <c r="B49569" s="1168"/>
    </row>
    <row r="49570" spans="2:2" s="221" customFormat="1" ht="12.75" x14ac:dyDescent="0.2">
      <c r="B49570" s="1168"/>
    </row>
    <row r="49571" spans="2:2" s="221" customFormat="1" ht="12.75" x14ac:dyDescent="0.2">
      <c r="B49571" s="1168"/>
    </row>
    <row r="49572" spans="2:2" s="221" customFormat="1" ht="12.75" x14ac:dyDescent="0.2">
      <c r="B49572" s="1168"/>
    </row>
    <row r="49573" spans="2:2" s="221" customFormat="1" ht="12.75" x14ac:dyDescent="0.2">
      <c r="B49573" s="1168"/>
    </row>
    <row r="49574" spans="2:2" s="221" customFormat="1" ht="12.75" x14ac:dyDescent="0.2">
      <c r="B49574" s="1168"/>
    </row>
    <row r="49575" spans="2:2" s="221" customFormat="1" ht="12.75" x14ac:dyDescent="0.2">
      <c r="B49575" s="1168"/>
    </row>
    <row r="49576" spans="2:2" s="221" customFormat="1" ht="12.75" x14ac:dyDescent="0.2">
      <c r="B49576" s="1168"/>
    </row>
    <row r="49577" spans="2:2" s="221" customFormat="1" ht="12.75" x14ac:dyDescent="0.2">
      <c r="B49577" s="1168"/>
    </row>
    <row r="49578" spans="2:2" s="221" customFormat="1" ht="12.75" x14ac:dyDescent="0.2">
      <c r="B49578" s="1168"/>
    </row>
    <row r="49579" spans="2:2" s="221" customFormat="1" ht="12.75" x14ac:dyDescent="0.2">
      <c r="B49579" s="1168"/>
    </row>
    <row r="49580" spans="2:2" s="221" customFormat="1" ht="12.75" x14ac:dyDescent="0.2">
      <c r="B49580" s="1168"/>
    </row>
    <row r="49581" spans="2:2" s="221" customFormat="1" ht="12.75" x14ac:dyDescent="0.2">
      <c r="B49581" s="1168"/>
    </row>
    <row r="49582" spans="2:2" s="221" customFormat="1" ht="12.75" x14ac:dyDescent="0.2">
      <c r="B49582" s="1168"/>
    </row>
    <row r="49583" spans="2:2" s="221" customFormat="1" ht="12.75" x14ac:dyDescent="0.2">
      <c r="B49583" s="1168"/>
    </row>
    <row r="49584" spans="2:2" s="221" customFormat="1" ht="12.75" x14ac:dyDescent="0.2">
      <c r="B49584" s="1168"/>
    </row>
    <row r="49585" spans="2:2" s="221" customFormat="1" ht="12.75" x14ac:dyDescent="0.2">
      <c r="B49585" s="1168"/>
    </row>
    <row r="49586" spans="2:2" s="221" customFormat="1" ht="12.75" x14ac:dyDescent="0.2">
      <c r="B49586" s="1168"/>
    </row>
    <row r="49587" spans="2:2" s="221" customFormat="1" ht="12.75" x14ac:dyDescent="0.2">
      <c r="B49587" s="1168"/>
    </row>
    <row r="49588" spans="2:2" s="221" customFormat="1" ht="12.75" x14ac:dyDescent="0.2">
      <c r="B49588" s="1168"/>
    </row>
    <row r="49589" spans="2:2" s="221" customFormat="1" ht="12.75" x14ac:dyDescent="0.2">
      <c r="B49589" s="1168"/>
    </row>
    <row r="49590" spans="2:2" s="221" customFormat="1" ht="12.75" x14ac:dyDescent="0.2">
      <c r="B49590" s="1168"/>
    </row>
    <row r="49591" spans="2:2" s="221" customFormat="1" ht="12.75" x14ac:dyDescent="0.2">
      <c r="B49591" s="1168"/>
    </row>
    <row r="49592" spans="2:2" s="221" customFormat="1" ht="12.75" x14ac:dyDescent="0.2">
      <c r="B49592" s="1168"/>
    </row>
    <row r="49593" spans="2:2" s="221" customFormat="1" ht="12.75" x14ac:dyDescent="0.2">
      <c r="B49593" s="1168"/>
    </row>
    <row r="49594" spans="2:2" s="221" customFormat="1" ht="12.75" x14ac:dyDescent="0.2">
      <c r="B49594" s="1168"/>
    </row>
    <row r="49595" spans="2:2" s="221" customFormat="1" ht="12.75" x14ac:dyDescent="0.2">
      <c r="B49595" s="1168"/>
    </row>
    <row r="49596" spans="2:2" s="221" customFormat="1" ht="12.75" x14ac:dyDescent="0.2">
      <c r="B49596" s="1168"/>
    </row>
    <row r="49597" spans="2:2" s="221" customFormat="1" ht="12.75" x14ac:dyDescent="0.2">
      <c r="B49597" s="1168"/>
    </row>
    <row r="49598" spans="2:2" s="221" customFormat="1" ht="12.75" x14ac:dyDescent="0.2">
      <c r="B49598" s="1168"/>
    </row>
    <row r="49599" spans="2:2" s="221" customFormat="1" ht="12.75" x14ac:dyDescent="0.2">
      <c r="B49599" s="1168"/>
    </row>
    <row r="49600" spans="2:2" s="221" customFormat="1" ht="12.75" x14ac:dyDescent="0.2">
      <c r="B49600" s="1168"/>
    </row>
    <row r="49601" spans="2:2" s="221" customFormat="1" ht="12.75" x14ac:dyDescent="0.2">
      <c r="B49601" s="1168"/>
    </row>
    <row r="49602" spans="2:2" s="221" customFormat="1" ht="12.75" x14ac:dyDescent="0.2">
      <c r="B49602" s="1168"/>
    </row>
    <row r="49603" spans="2:2" s="221" customFormat="1" ht="12.75" x14ac:dyDescent="0.2">
      <c r="B49603" s="1168"/>
    </row>
    <row r="49604" spans="2:2" s="221" customFormat="1" ht="12.75" x14ac:dyDescent="0.2">
      <c r="B49604" s="1168"/>
    </row>
    <row r="49605" spans="2:2" s="221" customFormat="1" ht="12.75" x14ac:dyDescent="0.2">
      <c r="B49605" s="1168"/>
    </row>
    <row r="49606" spans="2:2" s="221" customFormat="1" ht="12.75" x14ac:dyDescent="0.2">
      <c r="B49606" s="1168"/>
    </row>
    <row r="49607" spans="2:2" s="221" customFormat="1" ht="12.75" x14ac:dyDescent="0.2">
      <c r="B49607" s="1168"/>
    </row>
    <row r="49608" spans="2:2" s="221" customFormat="1" ht="12.75" x14ac:dyDescent="0.2">
      <c r="B49608" s="1168"/>
    </row>
    <row r="49609" spans="2:2" s="221" customFormat="1" ht="12.75" x14ac:dyDescent="0.2">
      <c r="B49609" s="1168"/>
    </row>
    <row r="49610" spans="2:2" s="221" customFormat="1" ht="12.75" x14ac:dyDescent="0.2">
      <c r="B49610" s="1168"/>
    </row>
    <row r="49611" spans="2:2" s="221" customFormat="1" ht="12.75" x14ac:dyDescent="0.2">
      <c r="B49611" s="1168"/>
    </row>
    <row r="49612" spans="2:2" s="221" customFormat="1" ht="12.75" x14ac:dyDescent="0.2">
      <c r="B49612" s="1168"/>
    </row>
    <row r="49613" spans="2:2" s="221" customFormat="1" ht="12.75" x14ac:dyDescent="0.2">
      <c r="B49613" s="1168"/>
    </row>
    <row r="49614" spans="2:2" s="221" customFormat="1" ht="12.75" x14ac:dyDescent="0.2">
      <c r="B49614" s="1168"/>
    </row>
    <row r="49615" spans="2:2" s="221" customFormat="1" ht="12.75" x14ac:dyDescent="0.2">
      <c r="B49615" s="1168"/>
    </row>
    <row r="49616" spans="2:2" s="221" customFormat="1" ht="12.75" x14ac:dyDescent="0.2">
      <c r="B49616" s="1168"/>
    </row>
    <row r="49617" spans="2:2" s="221" customFormat="1" ht="12.75" x14ac:dyDescent="0.2">
      <c r="B49617" s="1168"/>
    </row>
    <row r="49618" spans="2:2" s="221" customFormat="1" ht="12.75" x14ac:dyDescent="0.2">
      <c r="B49618" s="1168"/>
    </row>
    <row r="49619" spans="2:2" s="221" customFormat="1" ht="12.75" x14ac:dyDescent="0.2">
      <c r="B49619" s="1168"/>
    </row>
    <row r="49620" spans="2:2" s="221" customFormat="1" ht="12.75" x14ac:dyDescent="0.2">
      <c r="B49620" s="1168"/>
    </row>
    <row r="49621" spans="2:2" s="221" customFormat="1" ht="12.75" x14ac:dyDescent="0.2">
      <c r="B49621" s="1168"/>
    </row>
    <row r="49622" spans="2:2" s="221" customFormat="1" ht="12.75" x14ac:dyDescent="0.2">
      <c r="B49622" s="1168"/>
    </row>
    <row r="49623" spans="2:2" s="221" customFormat="1" ht="12.75" x14ac:dyDescent="0.2">
      <c r="B49623" s="1168"/>
    </row>
    <row r="49624" spans="2:2" s="221" customFormat="1" ht="12.75" x14ac:dyDescent="0.2">
      <c r="B49624" s="1168"/>
    </row>
    <row r="49625" spans="2:2" s="221" customFormat="1" ht="12.75" x14ac:dyDescent="0.2">
      <c r="B49625" s="1168"/>
    </row>
    <row r="49626" spans="2:2" s="221" customFormat="1" ht="12.75" x14ac:dyDescent="0.2">
      <c r="B49626" s="1168"/>
    </row>
    <row r="49627" spans="2:2" s="221" customFormat="1" ht="12.75" x14ac:dyDescent="0.2">
      <c r="B49627" s="1168"/>
    </row>
    <row r="49628" spans="2:2" s="221" customFormat="1" ht="12.75" x14ac:dyDescent="0.2">
      <c r="B49628" s="1168"/>
    </row>
    <row r="49629" spans="2:2" s="221" customFormat="1" ht="12.75" x14ac:dyDescent="0.2">
      <c r="B49629" s="1168"/>
    </row>
    <row r="49630" spans="2:2" s="221" customFormat="1" ht="12.75" x14ac:dyDescent="0.2">
      <c r="B49630" s="1168"/>
    </row>
    <row r="49631" spans="2:2" s="221" customFormat="1" ht="12.75" x14ac:dyDescent="0.2">
      <c r="B49631" s="1168"/>
    </row>
    <row r="49632" spans="2:2" s="221" customFormat="1" ht="12.75" x14ac:dyDescent="0.2">
      <c r="B49632" s="1168"/>
    </row>
    <row r="49633" spans="2:2" s="221" customFormat="1" ht="12.75" x14ac:dyDescent="0.2">
      <c r="B49633" s="1168"/>
    </row>
    <row r="49634" spans="2:2" s="221" customFormat="1" ht="12.75" x14ac:dyDescent="0.2">
      <c r="B49634" s="1168"/>
    </row>
    <row r="49635" spans="2:2" s="221" customFormat="1" ht="12.75" x14ac:dyDescent="0.2">
      <c r="B49635" s="1168"/>
    </row>
    <row r="49636" spans="2:2" s="221" customFormat="1" ht="12.75" x14ac:dyDescent="0.2">
      <c r="B49636" s="1168"/>
    </row>
    <row r="49637" spans="2:2" s="221" customFormat="1" ht="12.75" x14ac:dyDescent="0.2">
      <c r="B49637" s="1168"/>
    </row>
    <row r="49638" spans="2:2" s="221" customFormat="1" ht="12.75" x14ac:dyDescent="0.2">
      <c r="B49638" s="1168"/>
    </row>
    <row r="49639" spans="2:2" s="221" customFormat="1" ht="12.75" x14ac:dyDescent="0.2">
      <c r="B49639" s="1168"/>
    </row>
    <row r="49640" spans="2:2" s="221" customFormat="1" ht="12.75" x14ac:dyDescent="0.2">
      <c r="B49640" s="1168"/>
    </row>
    <row r="49641" spans="2:2" s="221" customFormat="1" ht="12.75" x14ac:dyDescent="0.2">
      <c r="B49641" s="1168"/>
    </row>
    <row r="49642" spans="2:2" s="221" customFormat="1" ht="12.75" x14ac:dyDescent="0.2">
      <c r="B49642" s="1168"/>
    </row>
    <row r="49643" spans="2:2" s="221" customFormat="1" ht="12.75" x14ac:dyDescent="0.2">
      <c r="B49643" s="1168"/>
    </row>
    <row r="49644" spans="2:2" s="221" customFormat="1" ht="12.75" x14ac:dyDescent="0.2">
      <c r="B49644" s="1168"/>
    </row>
    <row r="49645" spans="2:2" s="221" customFormat="1" ht="12.75" x14ac:dyDescent="0.2">
      <c r="B49645" s="1168"/>
    </row>
    <row r="49646" spans="2:2" s="221" customFormat="1" ht="12.75" x14ac:dyDescent="0.2">
      <c r="B49646" s="1168"/>
    </row>
    <row r="49647" spans="2:2" s="221" customFormat="1" ht="12.75" x14ac:dyDescent="0.2">
      <c r="B49647" s="1168"/>
    </row>
    <row r="49648" spans="2:2" s="221" customFormat="1" ht="12.75" x14ac:dyDescent="0.2">
      <c r="B49648" s="1168"/>
    </row>
    <row r="49649" spans="2:2" s="221" customFormat="1" ht="12.75" x14ac:dyDescent="0.2">
      <c r="B49649" s="1168"/>
    </row>
    <row r="49650" spans="2:2" s="221" customFormat="1" ht="12.75" x14ac:dyDescent="0.2">
      <c r="B49650" s="1168"/>
    </row>
    <row r="49651" spans="2:2" s="221" customFormat="1" ht="12.75" x14ac:dyDescent="0.2">
      <c r="B49651" s="1168"/>
    </row>
    <row r="49652" spans="2:2" s="221" customFormat="1" ht="12.75" x14ac:dyDescent="0.2">
      <c r="B49652" s="1168"/>
    </row>
    <row r="49653" spans="2:2" s="221" customFormat="1" ht="12.75" x14ac:dyDescent="0.2">
      <c r="B49653" s="1168"/>
    </row>
    <row r="49654" spans="2:2" s="221" customFormat="1" ht="12.75" x14ac:dyDescent="0.2">
      <c r="B49654" s="1168"/>
    </row>
    <row r="49655" spans="2:2" s="221" customFormat="1" ht="12.75" x14ac:dyDescent="0.2">
      <c r="B49655" s="1168"/>
    </row>
    <row r="49656" spans="2:2" s="221" customFormat="1" ht="12.75" x14ac:dyDescent="0.2">
      <c r="B49656" s="1168"/>
    </row>
    <row r="49657" spans="2:2" s="221" customFormat="1" ht="12.75" x14ac:dyDescent="0.2">
      <c r="B49657" s="1168"/>
    </row>
    <row r="49658" spans="2:2" s="221" customFormat="1" ht="12.75" x14ac:dyDescent="0.2">
      <c r="B49658" s="1168"/>
    </row>
    <row r="49659" spans="2:2" s="221" customFormat="1" ht="12.75" x14ac:dyDescent="0.2">
      <c r="B49659" s="1168"/>
    </row>
    <row r="49660" spans="2:2" s="221" customFormat="1" ht="12.75" x14ac:dyDescent="0.2">
      <c r="B49660" s="1168"/>
    </row>
    <row r="49661" spans="2:2" s="221" customFormat="1" ht="12.75" x14ac:dyDescent="0.2">
      <c r="B49661" s="1168"/>
    </row>
    <row r="49662" spans="2:2" s="221" customFormat="1" ht="12.75" x14ac:dyDescent="0.2">
      <c r="B49662" s="1168"/>
    </row>
    <row r="49663" spans="2:2" s="221" customFormat="1" ht="12.75" x14ac:dyDescent="0.2">
      <c r="B49663" s="1168"/>
    </row>
    <row r="49664" spans="2:2" s="221" customFormat="1" ht="12.75" x14ac:dyDescent="0.2">
      <c r="B49664" s="1168"/>
    </row>
    <row r="49665" spans="2:2" s="221" customFormat="1" ht="12.75" x14ac:dyDescent="0.2">
      <c r="B49665" s="1168"/>
    </row>
    <row r="49666" spans="2:2" s="221" customFormat="1" ht="12.75" x14ac:dyDescent="0.2">
      <c r="B49666" s="1168"/>
    </row>
    <row r="49667" spans="2:2" s="221" customFormat="1" ht="12.75" x14ac:dyDescent="0.2">
      <c r="B49667" s="1168"/>
    </row>
    <row r="49668" spans="2:2" s="221" customFormat="1" ht="12.75" x14ac:dyDescent="0.2">
      <c r="B49668" s="1168"/>
    </row>
    <row r="49669" spans="2:2" s="221" customFormat="1" ht="12.75" x14ac:dyDescent="0.2">
      <c r="B49669" s="1168"/>
    </row>
    <row r="49670" spans="2:2" s="221" customFormat="1" ht="12.75" x14ac:dyDescent="0.2">
      <c r="B49670" s="1168"/>
    </row>
    <row r="49671" spans="2:2" s="221" customFormat="1" ht="12.75" x14ac:dyDescent="0.2">
      <c r="B49671" s="1168"/>
    </row>
    <row r="49672" spans="2:2" s="221" customFormat="1" ht="12.75" x14ac:dyDescent="0.2">
      <c r="B49672" s="1168"/>
    </row>
    <row r="49673" spans="2:2" s="221" customFormat="1" ht="12.75" x14ac:dyDescent="0.2">
      <c r="B49673" s="1168"/>
    </row>
    <row r="49674" spans="2:2" s="221" customFormat="1" ht="12.75" x14ac:dyDescent="0.2">
      <c r="B49674" s="1168"/>
    </row>
    <row r="49675" spans="2:2" s="221" customFormat="1" ht="12.75" x14ac:dyDescent="0.2">
      <c r="B49675" s="1168"/>
    </row>
    <row r="49676" spans="2:2" s="221" customFormat="1" ht="12.75" x14ac:dyDescent="0.2">
      <c r="B49676" s="1168"/>
    </row>
    <row r="49677" spans="2:2" s="221" customFormat="1" ht="12.75" x14ac:dyDescent="0.2">
      <c r="B49677" s="1168"/>
    </row>
    <row r="49678" spans="2:2" s="221" customFormat="1" ht="12.75" x14ac:dyDescent="0.2">
      <c r="B49678" s="1168"/>
    </row>
    <row r="49679" spans="2:2" s="221" customFormat="1" ht="12.75" x14ac:dyDescent="0.2">
      <c r="B49679" s="1168"/>
    </row>
    <row r="49680" spans="2:2" s="221" customFormat="1" ht="12.75" x14ac:dyDescent="0.2">
      <c r="B49680" s="1168"/>
    </row>
    <row r="49681" spans="2:2" s="221" customFormat="1" ht="12.75" x14ac:dyDescent="0.2">
      <c r="B49681" s="1168"/>
    </row>
    <row r="49682" spans="2:2" s="221" customFormat="1" ht="12.75" x14ac:dyDescent="0.2">
      <c r="B49682" s="1168"/>
    </row>
    <row r="49683" spans="2:2" s="221" customFormat="1" ht="12.75" x14ac:dyDescent="0.2">
      <c r="B49683" s="1168"/>
    </row>
    <row r="49684" spans="2:2" s="221" customFormat="1" ht="12.75" x14ac:dyDescent="0.2">
      <c r="B49684" s="1168"/>
    </row>
    <row r="49685" spans="2:2" s="221" customFormat="1" ht="12.75" x14ac:dyDescent="0.2">
      <c r="B49685" s="1168"/>
    </row>
    <row r="49686" spans="2:2" s="221" customFormat="1" ht="12.75" x14ac:dyDescent="0.2">
      <c r="B49686" s="1168"/>
    </row>
    <row r="49687" spans="2:2" s="221" customFormat="1" ht="12.75" x14ac:dyDescent="0.2">
      <c r="B49687" s="1168"/>
    </row>
    <row r="49688" spans="2:2" s="221" customFormat="1" ht="12.75" x14ac:dyDescent="0.2">
      <c r="B49688" s="1168"/>
    </row>
    <row r="49689" spans="2:2" s="221" customFormat="1" ht="12.75" x14ac:dyDescent="0.2">
      <c r="B49689" s="1168"/>
    </row>
    <row r="49690" spans="2:2" s="221" customFormat="1" ht="12.75" x14ac:dyDescent="0.2">
      <c r="B49690" s="1168"/>
    </row>
    <row r="49691" spans="2:2" s="221" customFormat="1" ht="12.75" x14ac:dyDescent="0.2">
      <c r="B49691" s="1168"/>
    </row>
    <row r="49692" spans="2:2" s="221" customFormat="1" ht="12.75" x14ac:dyDescent="0.2">
      <c r="B49692" s="1168"/>
    </row>
    <row r="49693" spans="2:2" s="221" customFormat="1" ht="12.75" x14ac:dyDescent="0.2">
      <c r="B49693" s="1168"/>
    </row>
    <row r="49694" spans="2:2" s="221" customFormat="1" ht="12.75" x14ac:dyDescent="0.2">
      <c r="B49694" s="1168"/>
    </row>
    <row r="49695" spans="2:2" s="221" customFormat="1" ht="12.75" x14ac:dyDescent="0.2">
      <c r="B49695" s="1168"/>
    </row>
    <row r="49696" spans="2:2" s="221" customFormat="1" ht="12.75" x14ac:dyDescent="0.2">
      <c r="B49696" s="1168"/>
    </row>
    <row r="49697" spans="2:2" s="221" customFormat="1" ht="12.75" x14ac:dyDescent="0.2">
      <c r="B49697" s="1168"/>
    </row>
    <row r="49698" spans="2:2" s="221" customFormat="1" ht="12.75" x14ac:dyDescent="0.2">
      <c r="B49698" s="1168"/>
    </row>
    <row r="49699" spans="2:2" s="221" customFormat="1" ht="12.75" x14ac:dyDescent="0.2">
      <c r="B49699" s="1168"/>
    </row>
    <row r="49700" spans="2:2" s="221" customFormat="1" ht="12.75" x14ac:dyDescent="0.2">
      <c r="B49700" s="1168"/>
    </row>
    <row r="49701" spans="2:2" s="221" customFormat="1" ht="12.75" x14ac:dyDescent="0.2">
      <c r="B49701" s="1168"/>
    </row>
    <row r="49702" spans="2:2" s="221" customFormat="1" ht="12.75" x14ac:dyDescent="0.2">
      <c r="B49702" s="1168"/>
    </row>
    <row r="49703" spans="2:2" s="221" customFormat="1" ht="12.75" x14ac:dyDescent="0.2">
      <c r="B49703" s="1168"/>
    </row>
    <row r="49704" spans="2:2" s="221" customFormat="1" ht="12.75" x14ac:dyDescent="0.2">
      <c r="B49704" s="1168"/>
    </row>
    <row r="49705" spans="2:2" s="221" customFormat="1" ht="12.75" x14ac:dyDescent="0.2">
      <c r="B49705" s="1168"/>
    </row>
    <row r="49706" spans="2:2" s="221" customFormat="1" ht="12.75" x14ac:dyDescent="0.2">
      <c r="B49706" s="1168"/>
    </row>
    <row r="49707" spans="2:2" s="221" customFormat="1" ht="12.75" x14ac:dyDescent="0.2">
      <c r="B49707" s="1168"/>
    </row>
    <row r="49708" spans="2:2" s="221" customFormat="1" ht="12.75" x14ac:dyDescent="0.2">
      <c r="B49708" s="1168"/>
    </row>
    <row r="49709" spans="2:2" s="221" customFormat="1" ht="12.75" x14ac:dyDescent="0.2">
      <c r="B49709" s="1168"/>
    </row>
    <row r="49710" spans="2:2" s="221" customFormat="1" ht="12.75" x14ac:dyDescent="0.2">
      <c r="B49710" s="1168"/>
    </row>
    <row r="49711" spans="2:2" s="221" customFormat="1" ht="12.75" x14ac:dyDescent="0.2">
      <c r="B49711" s="1168"/>
    </row>
    <row r="49712" spans="2:2" s="221" customFormat="1" ht="12.75" x14ac:dyDescent="0.2">
      <c r="B49712" s="1168"/>
    </row>
    <row r="49713" spans="2:2" s="221" customFormat="1" ht="12.75" x14ac:dyDescent="0.2">
      <c r="B49713" s="1168"/>
    </row>
    <row r="49714" spans="2:2" s="221" customFormat="1" ht="12.75" x14ac:dyDescent="0.2">
      <c r="B49714" s="1168"/>
    </row>
    <row r="49715" spans="2:2" s="221" customFormat="1" ht="12.75" x14ac:dyDescent="0.2">
      <c r="B49715" s="1168"/>
    </row>
    <row r="49716" spans="2:2" s="221" customFormat="1" ht="12.75" x14ac:dyDescent="0.2">
      <c r="B49716" s="1168"/>
    </row>
    <row r="49717" spans="2:2" s="221" customFormat="1" ht="12.75" x14ac:dyDescent="0.2">
      <c r="B49717" s="1168"/>
    </row>
    <row r="49718" spans="2:2" s="221" customFormat="1" ht="12.75" x14ac:dyDescent="0.2">
      <c r="B49718" s="1168"/>
    </row>
    <row r="49719" spans="2:2" s="221" customFormat="1" ht="12.75" x14ac:dyDescent="0.2">
      <c r="B49719" s="1168"/>
    </row>
    <row r="49720" spans="2:2" s="221" customFormat="1" ht="12.75" x14ac:dyDescent="0.2">
      <c r="B49720" s="1168"/>
    </row>
    <row r="49721" spans="2:2" s="221" customFormat="1" ht="12.75" x14ac:dyDescent="0.2">
      <c r="B49721" s="1168"/>
    </row>
    <row r="49722" spans="2:2" s="221" customFormat="1" ht="12.75" x14ac:dyDescent="0.2">
      <c r="B49722" s="1168"/>
    </row>
    <row r="49723" spans="2:2" s="221" customFormat="1" ht="12.75" x14ac:dyDescent="0.2">
      <c r="B49723" s="1168"/>
    </row>
    <row r="49724" spans="2:2" s="221" customFormat="1" ht="12.75" x14ac:dyDescent="0.2">
      <c r="B49724" s="1168"/>
    </row>
    <row r="49725" spans="2:2" s="221" customFormat="1" ht="12.75" x14ac:dyDescent="0.2">
      <c r="B49725" s="1168"/>
    </row>
    <row r="49726" spans="2:2" s="221" customFormat="1" ht="12.75" x14ac:dyDescent="0.2">
      <c r="B49726" s="1168"/>
    </row>
    <row r="49727" spans="2:2" s="221" customFormat="1" ht="12.75" x14ac:dyDescent="0.2">
      <c r="B49727" s="1168"/>
    </row>
    <row r="49728" spans="2:2" s="221" customFormat="1" ht="12.75" x14ac:dyDescent="0.2">
      <c r="B49728" s="1168"/>
    </row>
    <row r="49729" spans="2:2" s="221" customFormat="1" ht="12.75" x14ac:dyDescent="0.2">
      <c r="B49729" s="1168"/>
    </row>
    <row r="49730" spans="2:2" s="221" customFormat="1" ht="12.75" x14ac:dyDescent="0.2">
      <c r="B49730" s="1168"/>
    </row>
    <row r="49731" spans="2:2" s="221" customFormat="1" ht="12.75" x14ac:dyDescent="0.2">
      <c r="B49731" s="1168"/>
    </row>
    <row r="49732" spans="2:2" s="221" customFormat="1" ht="12.75" x14ac:dyDescent="0.2">
      <c r="B49732" s="1168"/>
    </row>
    <row r="49733" spans="2:2" s="221" customFormat="1" ht="12.75" x14ac:dyDescent="0.2">
      <c r="B49733" s="1168"/>
    </row>
    <row r="49734" spans="2:2" s="221" customFormat="1" ht="12.75" x14ac:dyDescent="0.2">
      <c r="B49734" s="1168"/>
    </row>
    <row r="49735" spans="2:2" s="221" customFormat="1" ht="12.75" x14ac:dyDescent="0.2">
      <c r="B49735" s="1168"/>
    </row>
    <row r="49736" spans="2:2" s="221" customFormat="1" ht="12.75" x14ac:dyDescent="0.2">
      <c r="B49736" s="1168"/>
    </row>
    <row r="49737" spans="2:2" s="221" customFormat="1" ht="12.75" x14ac:dyDescent="0.2">
      <c r="B49737" s="1168"/>
    </row>
    <row r="49738" spans="2:2" s="221" customFormat="1" ht="12.75" x14ac:dyDescent="0.2">
      <c r="B49738" s="1168"/>
    </row>
    <row r="49739" spans="2:2" s="221" customFormat="1" ht="12.75" x14ac:dyDescent="0.2">
      <c r="B49739" s="1168"/>
    </row>
    <row r="49740" spans="2:2" s="221" customFormat="1" ht="12.75" x14ac:dyDescent="0.2">
      <c r="B49740" s="1168"/>
    </row>
    <row r="49741" spans="2:2" s="221" customFormat="1" ht="12.75" x14ac:dyDescent="0.2">
      <c r="B49741" s="1168"/>
    </row>
    <row r="49742" spans="2:2" s="221" customFormat="1" ht="12.75" x14ac:dyDescent="0.2">
      <c r="B49742" s="1168"/>
    </row>
    <row r="49743" spans="2:2" s="221" customFormat="1" ht="12.75" x14ac:dyDescent="0.2">
      <c r="B49743" s="1168"/>
    </row>
    <row r="49744" spans="2:2" s="221" customFormat="1" ht="12.75" x14ac:dyDescent="0.2">
      <c r="B49744" s="1168"/>
    </row>
    <row r="49745" spans="2:2" s="221" customFormat="1" ht="12.75" x14ac:dyDescent="0.2">
      <c r="B49745" s="1168"/>
    </row>
    <row r="49746" spans="2:2" s="221" customFormat="1" ht="12.75" x14ac:dyDescent="0.2">
      <c r="B49746" s="1168"/>
    </row>
    <row r="49747" spans="2:2" s="221" customFormat="1" ht="12.75" x14ac:dyDescent="0.2">
      <c r="B49747" s="1168"/>
    </row>
    <row r="49748" spans="2:2" s="221" customFormat="1" ht="12.75" x14ac:dyDescent="0.2">
      <c r="B49748" s="1168"/>
    </row>
    <row r="49749" spans="2:2" s="221" customFormat="1" ht="12.75" x14ac:dyDescent="0.2">
      <c r="B49749" s="1168"/>
    </row>
    <row r="49750" spans="2:2" s="221" customFormat="1" ht="12.75" x14ac:dyDescent="0.2">
      <c r="B49750" s="1168"/>
    </row>
    <row r="49751" spans="2:2" s="221" customFormat="1" ht="12.75" x14ac:dyDescent="0.2">
      <c r="B49751" s="1168"/>
    </row>
    <row r="49752" spans="2:2" s="221" customFormat="1" ht="12.75" x14ac:dyDescent="0.2">
      <c r="B49752" s="1168"/>
    </row>
    <row r="49753" spans="2:2" s="221" customFormat="1" ht="12.75" x14ac:dyDescent="0.2">
      <c r="B49753" s="1168"/>
    </row>
    <row r="49754" spans="2:2" s="221" customFormat="1" ht="12.75" x14ac:dyDescent="0.2">
      <c r="B49754" s="1168"/>
    </row>
    <row r="49755" spans="2:2" s="221" customFormat="1" ht="12.75" x14ac:dyDescent="0.2">
      <c r="B49755" s="1168"/>
    </row>
    <row r="49756" spans="2:2" s="221" customFormat="1" ht="12.75" x14ac:dyDescent="0.2">
      <c r="B49756" s="1168"/>
    </row>
    <row r="49757" spans="2:2" s="221" customFormat="1" ht="12.75" x14ac:dyDescent="0.2">
      <c r="B49757" s="1168"/>
    </row>
    <row r="49758" spans="2:2" s="221" customFormat="1" ht="12.75" x14ac:dyDescent="0.2">
      <c r="B49758" s="1168"/>
    </row>
    <row r="49759" spans="2:2" s="221" customFormat="1" ht="12.75" x14ac:dyDescent="0.2">
      <c r="B49759" s="1168"/>
    </row>
    <row r="49760" spans="2:2" s="221" customFormat="1" ht="12.75" x14ac:dyDescent="0.2">
      <c r="B49760" s="1168"/>
    </row>
    <row r="49761" spans="2:2" s="221" customFormat="1" ht="12.75" x14ac:dyDescent="0.2">
      <c r="B49761" s="1168"/>
    </row>
    <row r="49762" spans="2:2" s="221" customFormat="1" ht="12.75" x14ac:dyDescent="0.2">
      <c r="B49762" s="1168"/>
    </row>
    <row r="49763" spans="2:2" s="221" customFormat="1" ht="12.75" x14ac:dyDescent="0.2">
      <c r="B49763" s="1168"/>
    </row>
    <row r="49764" spans="2:2" s="221" customFormat="1" ht="12.75" x14ac:dyDescent="0.2">
      <c r="B49764" s="1168"/>
    </row>
    <row r="49765" spans="2:2" s="221" customFormat="1" ht="12.75" x14ac:dyDescent="0.2">
      <c r="B49765" s="1168"/>
    </row>
    <row r="49766" spans="2:2" s="221" customFormat="1" ht="12.75" x14ac:dyDescent="0.2">
      <c r="B49766" s="1168"/>
    </row>
    <row r="49767" spans="2:2" s="221" customFormat="1" ht="12.75" x14ac:dyDescent="0.2">
      <c r="B49767" s="1168"/>
    </row>
    <row r="49768" spans="2:2" s="221" customFormat="1" ht="12.75" x14ac:dyDescent="0.2">
      <c r="B49768" s="1168"/>
    </row>
    <row r="49769" spans="2:2" s="221" customFormat="1" ht="12.75" x14ac:dyDescent="0.2">
      <c r="B49769" s="1168"/>
    </row>
    <row r="49770" spans="2:2" s="221" customFormat="1" ht="12.75" x14ac:dyDescent="0.2">
      <c r="B49770" s="1168"/>
    </row>
    <row r="49771" spans="2:2" s="221" customFormat="1" ht="12.75" x14ac:dyDescent="0.2">
      <c r="B49771" s="1168"/>
    </row>
    <row r="49772" spans="2:2" s="221" customFormat="1" ht="12.75" x14ac:dyDescent="0.2">
      <c r="B49772" s="1168"/>
    </row>
    <row r="49773" spans="2:2" s="221" customFormat="1" ht="12.75" x14ac:dyDescent="0.2">
      <c r="B49773" s="1168"/>
    </row>
    <row r="49774" spans="2:2" s="221" customFormat="1" ht="12.75" x14ac:dyDescent="0.2">
      <c r="B49774" s="1168"/>
    </row>
    <row r="49775" spans="2:2" s="221" customFormat="1" ht="12.75" x14ac:dyDescent="0.2">
      <c r="B49775" s="1168"/>
    </row>
    <row r="49776" spans="2:2" s="221" customFormat="1" ht="12.75" x14ac:dyDescent="0.2">
      <c r="B49776" s="1168"/>
    </row>
    <row r="49777" spans="2:2" s="221" customFormat="1" ht="12.75" x14ac:dyDescent="0.2">
      <c r="B49777" s="1168"/>
    </row>
    <row r="49778" spans="2:2" s="221" customFormat="1" ht="12.75" x14ac:dyDescent="0.2">
      <c r="B49778" s="1168"/>
    </row>
    <row r="49779" spans="2:2" s="221" customFormat="1" ht="12.75" x14ac:dyDescent="0.2">
      <c r="B49779" s="1168"/>
    </row>
    <row r="49780" spans="2:2" s="221" customFormat="1" ht="12.75" x14ac:dyDescent="0.2">
      <c r="B49780" s="1168"/>
    </row>
    <row r="49781" spans="2:2" s="221" customFormat="1" ht="12.75" x14ac:dyDescent="0.2">
      <c r="B49781" s="1168"/>
    </row>
    <row r="49782" spans="2:2" s="221" customFormat="1" ht="12.75" x14ac:dyDescent="0.2">
      <c r="B49782" s="1168"/>
    </row>
    <row r="49783" spans="2:2" s="221" customFormat="1" ht="12.75" x14ac:dyDescent="0.2">
      <c r="B49783" s="1168"/>
    </row>
    <row r="49784" spans="2:2" s="221" customFormat="1" ht="12.75" x14ac:dyDescent="0.2">
      <c r="B49784" s="1168"/>
    </row>
    <row r="49785" spans="2:2" s="221" customFormat="1" ht="12.75" x14ac:dyDescent="0.2">
      <c r="B49785" s="1168"/>
    </row>
    <row r="49786" spans="2:2" s="221" customFormat="1" ht="12.75" x14ac:dyDescent="0.2">
      <c r="B49786" s="1168"/>
    </row>
    <row r="49787" spans="2:2" s="221" customFormat="1" ht="12.75" x14ac:dyDescent="0.2">
      <c r="B49787" s="1168"/>
    </row>
    <row r="49788" spans="2:2" s="221" customFormat="1" ht="12.75" x14ac:dyDescent="0.2">
      <c r="B49788" s="1168"/>
    </row>
    <row r="49789" spans="2:2" s="221" customFormat="1" ht="12.75" x14ac:dyDescent="0.2">
      <c r="B49789" s="1168"/>
    </row>
    <row r="49790" spans="2:2" s="221" customFormat="1" ht="12.75" x14ac:dyDescent="0.2">
      <c r="B49790" s="1168"/>
    </row>
    <row r="49791" spans="2:2" s="221" customFormat="1" ht="12.75" x14ac:dyDescent="0.2">
      <c r="B49791" s="1168"/>
    </row>
    <row r="49792" spans="2:2" s="221" customFormat="1" ht="12.75" x14ac:dyDescent="0.2">
      <c r="B49792" s="1168"/>
    </row>
    <row r="49793" spans="2:2" s="221" customFormat="1" ht="12.75" x14ac:dyDescent="0.2">
      <c r="B49793" s="1168"/>
    </row>
    <row r="49794" spans="2:2" s="221" customFormat="1" ht="12.75" x14ac:dyDescent="0.2">
      <c r="B49794" s="1168"/>
    </row>
    <row r="49795" spans="2:2" s="221" customFormat="1" ht="12.75" x14ac:dyDescent="0.2">
      <c r="B49795" s="1168"/>
    </row>
    <row r="49796" spans="2:2" s="221" customFormat="1" ht="12.75" x14ac:dyDescent="0.2">
      <c r="B49796" s="1168"/>
    </row>
    <row r="49797" spans="2:2" s="221" customFormat="1" ht="12.75" x14ac:dyDescent="0.2">
      <c r="B49797" s="1168"/>
    </row>
    <row r="49798" spans="2:2" s="221" customFormat="1" ht="12.75" x14ac:dyDescent="0.2">
      <c r="B49798" s="1168"/>
    </row>
    <row r="49799" spans="2:2" s="221" customFormat="1" ht="12.75" x14ac:dyDescent="0.2">
      <c r="B49799" s="1168"/>
    </row>
    <row r="49800" spans="2:2" s="221" customFormat="1" ht="12.75" x14ac:dyDescent="0.2">
      <c r="B49800" s="1168"/>
    </row>
    <row r="49801" spans="2:2" s="221" customFormat="1" ht="12.75" x14ac:dyDescent="0.2">
      <c r="B49801" s="1168"/>
    </row>
    <row r="49802" spans="2:2" s="221" customFormat="1" ht="12.75" x14ac:dyDescent="0.2">
      <c r="B49802" s="1168"/>
    </row>
    <row r="49803" spans="2:2" s="221" customFormat="1" ht="12.75" x14ac:dyDescent="0.2">
      <c r="B49803" s="1168"/>
    </row>
    <row r="49804" spans="2:2" s="221" customFormat="1" ht="12.75" x14ac:dyDescent="0.2">
      <c r="B49804" s="1168"/>
    </row>
    <row r="49805" spans="2:2" s="221" customFormat="1" ht="12.75" x14ac:dyDescent="0.2">
      <c r="B49805" s="1168"/>
    </row>
    <row r="49806" spans="2:2" s="221" customFormat="1" ht="12.75" x14ac:dyDescent="0.2">
      <c r="B49806" s="1168"/>
    </row>
    <row r="49807" spans="2:2" s="221" customFormat="1" ht="12.75" x14ac:dyDescent="0.2">
      <c r="B49807" s="1168"/>
    </row>
    <row r="49808" spans="2:2" s="221" customFormat="1" ht="12.75" x14ac:dyDescent="0.2">
      <c r="B49808" s="1168"/>
    </row>
    <row r="49809" spans="2:2" s="221" customFormat="1" ht="12.75" x14ac:dyDescent="0.2">
      <c r="B49809" s="1168"/>
    </row>
    <row r="49810" spans="2:2" s="221" customFormat="1" ht="12.75" x14ac:dyDescent="0.2">
      <c r="B49810" s="1168"/>
    </row>
    <row r="49811" spans="2:2" s="221" customFormat="1" ht="12.75" x14ac:dyDescent="0.2">
      <c r="B49811" s="1168"/>
    </row>
    <row r="49812" spans="2:2" s="221" customFormat="1" ht="12.75" x14ac:dyDescent="0.2">
      <c r="B49812" s="1168"/>
    </row>
    <row r="49813" spans="2:2" s="221" customFormat="1" ht="12.75" x14ac:dyDescent="0.2">
      <c r="B49813" s="1168"/>
    </row>
    <row r="49814" spans="2:2" s="221" customFormat="1" ht="12.75" x14ac:dyDescent="0.2">
      <c r="B49814" s="1168"/>
    </row>
    <row r="49815" spans="2:2" s="221" customFormat="1" ht="12.75" x14ac:dyDescent="0.2">
      <c r="B49815" s="1168"/>
    </row>
    <row r="49816" spans="2:2" s="221" customFormat="1" ht="12.75" x14ac:dyDescent="0.2">
      <c r="B49816" s="1168"/>
    </row>
    <row r="49817" spans="2:2" s="221" customFormat="1" ht="12.75" x14ac:dyDescent="0.2">
      <c r="B49817" s="1168"/>
    </row>
    <row r="49818" spans="2:2" s="221" customFormat="1" ht="12.75" x14ac:dyDescent="0.2">
      <c r="B49818" s="1168"/>
    </row>
    <row r="49819" spans="2:2" s="221" customFormat="1" ht="12.75" x14ac:dyDescent="0.2">
      <c r="B49819" s="1168"/>
    </row>
    <row r="49820" spans="2:2" s="221" customFormat="1" ht="12.75" x14ac:dyDescent="0.2">
      <c r="B49820" s="1168"/>
    </row>
    <row r="49821" spans="2:2" s="221" customFormat="1" ht="12.75" x14ac:dyDescent="0.2">
      <c r="B49821" s="1168"/>
    </row>
    <row r="49822" spans="2:2" s="221" customFormat="1" ht="12.75" x14ac:dyDescent="0.2">
      <c r="B49822" s="1168"/>
    </row>
    <row r="49823" spans="2:2" s="221" customFormat="1" ht="12.75" x14ac:dyDescent="0.2">
      <c r="B49823" s="1168"/>
    </row>
    <row r="49824" spans="2:2" s="221" customFormat="1" ht="12.75" x14ac:dyDescent="0.2">
      <c r="B49824" s="1168"/>
    </row>
    <row r="49825" spans="2:2" s="221" customFormat="1" ht="12.75" x14ac:dyDescent="0.2">
      <c r="B49825" s="1168"/>
    </row>
    <row r="49826" spans="2:2" s="221" customFormat="1" ht="12.75" x14ac:dyDescent="0.2">
      <c r="B49826" s="1168"/>
    </row>
    <row r="49827" spans="2:2" s="221" customFormat="1" ht="12.75" x14ac:dyDescent="0.2">
      <c r="B49827" s="1168"/>
    </row>
    <row r="49828" spans="2:2" s="221" customFormat="1" ht="12.75" x14ac:dyDescent="0.2">
      <c r="B49828" s="1168"/>
    </row>
    <row r="49829" spans="2:2" s="221" customFormat="1" ht="12.75" x14ac:dyDescent="0.2">
      <c r="B49829" s="1168"/>
    </row>
    <row r="49830" spans="2:2" s="221" customFormat="1" ht="12.75" x14ac:dyDescent="0.2">
      <c r="B49830" s="1168"/>
    </row>
    <row r="49831" spans="2:2" s="221" customFormat="1" ht="12.75" x14ac:dyDescent="0.2">
      <c r="B49831" s="1168"/>
    </row>
    <row r="49832" spans="2:2" s="221" customFormat="1" ht="12.75" x14ac:dyDescent="0.2">
      <c r="B49832" s="1168"/>
    </row>
    <row r="49833" spans="2:2" s="221" customFormat="1" ht="12.75" x14ac:dyDescent="0.2">
      <c r="B49833" s="1168"/>
    </row>
    <row r="49834" spans="2:2" s="221" customFormat="1" ht="12.75" x14ac:dyDescent="0.2">
      <c r="B49834" s="1168"/>
    </row>
    <row r="49835" spans="2:2" s="221" customFormat="1" ht="12.75" x14ac:dyDescent="0.2">
      <c r="B49835" s="1168"/>
    </row>
    <row r="49836" spans="2:2" s="221" customFormat="1" ht="12.75" x14ac:dyDescent="0.2">
      <c r="B49836" s="1168"/>
    </row>
    <row r="49837" spans="2:2" s="221" customFormat="1" ht="12.75" x14ac:dyDescent="0.2">
      <c r="B49837" s="1168"/>
    </row>
    <row r="49838" spans="2:2" s="221" customFormat="1" ht="12.75" x14ac:dyDescent="0.2">
      <c r="B49838" s="1168"/>
    </row>
    <row r="49839" spans="2:2" s="221" customFormat="1" ht="12.75" x14ac:dyDescent="0.2">
      <c r="B49839" s="1168"/>
    </row>
    <row r="49840" spans="2:2" s="221" customFormat="1" ht="12.75" x14ac:dyDescent="0.2">
      <c r="B49840" s="1168"/>
    </row>
    <row r="49841" spans="2:2" s="221" customFormat="1" ht="12.75" x14ac:dyDescent="0.2">
      <c r="B49841" s="1168"/>
    </row>
    <row r="49842" spans="2:2" s="221" customFormat="1" ht="12.75" x14ac:dyDescent="0.2">
      <c r="B49842" s="1168"/>
    </row>
    <row r="49843" spans="2:2" s="221" customFormat="1" ht="12.75" x14ac:dyDescent="0.2">
      <c r="B49843" s="1168"/>
    </row>
    <row r="49844" spans="2:2" s="221" customFormat="1" ht="12.75" x14ac:dyDescent="0.2">
      <c r="B49844" s="1168"/>
    </row>
    <row r="49845" spans="2:2" s="221" customFormat="1" ht="12.75" x14ac:dyDescent="0.2">
      <c r="B49845" s="1168"/>
    </row>
    <row r="49846" spans="2:2" s="221" customFormat="1" ht="12.75" x14ac:dyDescent="0.2">
      <c r="B49846" s="1168"/>
    </row>
    <row r="49847" spans="2:2" s="221" customFormat="1" ht="12.75" x14ac:dyDescent="0.2">
      <c r="B49847" s="1168"/>
    </row>
    <row r="49848" spans="2:2" s="221" customFormat="1" ht="12.75" x14ac:dyDescent="0.2">
      <c r="B49848" s="1168"/>
    </row>
    <row r="49849" spans="2:2" s="221" customFormat="1" ht="12.75" x14ac:dyDescent="0.2">
      <c r="B49849" s="1168"/>
    </row>
    <row r="49850" spans="2:2" s="221" customFormat="1" ht="12.75" x14ac:dyDescent="0.2">
      <c r="B49850" s="1168"/>
    </row>
    <row r="49851" spans="2:2" s="221" customFormat="1" ht="12.75" x14ac:dyDescent="0.2">
      <c r="B49851" s="1168"/>
    </row>
    <row r="49852" spans="2:2" s="221" customFormat="1" ht="12.75" x14ac:dyDescent="0.2">
      <c r="B49852" s="1168"/>
    </row>
    <row r="49853" spans="2:2" s="221" customFormat="1" ht="12.75" x14ac:dyDescent="0.2">
      <c r="B49853" s="1168"/>
    </row>
    <row r="49854" spans="2:2" s="221" customFormat="1" ht="12.75" x14ac:dyDescent="0.2">
      <c r="B49854" s="1168"/>
    </row>
    <row r="49855" spans="2:2" s="221" customFormat="1" ht="12.75" x14ac:dyDescent="0.2">
      <c r="B49855" s="1168"/>
    </row>
    <row r="49856" spans="2:2" s="221" customFormat="1" ht="12.75" x14ac:dyDescent="0.2">
      <c r="B49856" s="1168"/>
    </row>
    <row r="49857" spans="2:2" s="221" customFormat="1" ht="12.75" x14ac:dyDescent="0.2">
      <c r="B49857" s="1168"/>
    </row>
    <row r="49858" spans="2:2" s="221" customFormat="1" ht="12.75" x14ac:dyDescent="0.2">
      <c r="B49858" s="1168"/>
    </row>
    <row r="49859" spans="2:2" s="221" customFormat="1" ht="12.75" x14ac:dyDescent="0.2">
      <c r="B49859" s="1168"/>
    </row>
    <row r="49860" spans="2:2" s="221" customFormat="1" ht="12.75" x14ac:dyDescent="0.2">
      <c r="B49860" s="1168"/>
    </row>
    <row r="49861" spans="2:2" s="221" customFormat="1" ht="12.75" x14ac:dyDescent="0.2">
      <c r="B49861" s="1168"/>
    </row>
    <row r="49862" spans="2:2" s="221" customFormat="1" ht="12.75" x14ac:dyDescent="0.2">
      <c r="B49862" s="1168"/>
    </row>
    <row r="49863" spans="2:2" s="221" customFormat="1" ht="12.75" x14ac:dyDescent="0.2">
      <c r="B49863" s="1168"/>
    </row>
    <row r="49864" spans="2:2" s="221" customFormat="1" ht="12.75" x14ac:dyDescent="0.2">
      <c r="B49864" s="1168"/>
    </row>
    <row r="49865" spans="2:2" s="221" customFormat="1" ht="12.75" x14ac:dyDescent="0.2">
      <c r="B49865" s="1168"/>
    </row>
    <row r="49866" spans="2:2" s="221" customFormat="1" ht="12.75" x14ac:dyDescent="0.2">
      <c r="B49866" s="1168"/>
    </row>
    <row r="49867" spans="2:2" s="221" customFormat="1" ht="12.75" x14ac:dyDescent="0.2">
      <c r="B49867" s="1168"/>
    </row>
    <row r="49868" spans="2:2" s="221" customFormat="1" ht="12.75" x14ac:dyDescent="0.2">
      <c r="B49868" s="1168"/>
    </row>
    <row r="49869" spans="2:2" s="221" customFormat="1" ht="12.75" x14ac:dyDescent="0.2">
      <c r="B49869" s="1168"/>
    </row>
    <row r="49870" spans="2:2" s="221" customFormat="1" ht="12.75" x14ac:dyDescent="0.2">
      <c r="B49870" s="1168"/>
    </row>
    <row r="49871" spans="2:2" s="221" customFormat="1" ht="12.75" x14ac:dyDescent="0.2">
      <c r="B49871" s="1168"/>
    </row>
    <row r="49872" spans="2:2" s="221" customFormat="1" ht="12.75" x14ac:dyDescent="0.2">
      <c r="B49872" s="1168"/>
    </row>
    <row r="49873" spans="2:2" s="221" customFormat="1" ht="12.75" x14ac:dyDescent="0.2">
      <c r="B49873" s="1168"/>
    </row>
    <row r="49874" spans="2:2" s="221" customFormat="1" ht="12.75" x14ac:dyDescent="0.2">
      <c r="B49874" s="1168"/>
    </row>
    <row r="49875" spans="2:2" s="221" customFormat="1" ht="12.75" x14ac:dyDescent="0.2">
      <c r="B49875" s="1168"/>
    </row>
    <row r="49876" spans="2:2" s="221" customFormat="1" ht="12.75" x14ac:dyDescent="0.2">
      <c r="B49876" s="1168"/>
    </row>
    <row r="49877" spans="2:2" s="221" customFormat="1" ht="12.75" x14ac:dyDescent="0.2">
      <c r="B49877" s="1168"/>
    </row>
    <row r="49878" spans="2:2" s="221" customFormat="1" ht="12.75" x14ac:dyDescent="0.2">
      <c r="B49878" s="1168"/>
    </row>
    <row r="49879" spans="2:2" s="221" customFormat="1" ht="12.75" x14ac:dyDescent="0.2">
      <c r="B49879" s="1168"/>
    </row>
    <row r="49880" spans="2:2" s="221" customFormat="1" ht="12.75" x14ac:dyDescent="0.2">
      <c r="B49880" s="1168"/>
    </row>
    <row r="49881" spans="2:2" s="221" customFormat="1" ht="12.75" x14ac:dyDescent="0.2">
      <c r="B49881" s="1168"/>
    </row>
    <row r="49882" spans="2:2" s="221" customFormat="1" ht="12.75" x14ac:dyDescent="0.2">
      <c r="B49882" s="1168"/>
    </row>
    <row r="49883" spans="2:2" s="221" customFormat="1" ht="12.75" x14ac:dyDescent="0.2">
      <c r="B49883" s="1168"/>
    </row>
    <row r="49884" spans="2:2" s="221" customFormat="1" ht="12.75" x14ac:dyDescent="0.2">
      <c r="B49884" s="1168"/>
    </row>
    <row r="49885" spans="2:2" s="221" customFormat="1" ht="12.75" x14ac:dyDescent="0.2">
      <c r="B49885" s="1168"/>
    </row>
    <row r="49886" spans="2:2" s="221" customFormat="1" ht="12.75" x14ac:dyDescent="0.2">
      <c r="B49886" s="1168"/>
    </row>
    <row r="49887" spans="2:2" s="221" customFormat="1" ht="12.75" x14ac:dyDescent="0.2">
      <c r="B49887" s="1168"/>
    </row>
    <row r="49888" spans="2:2" s="221" customFormat="1" ht="12.75" x14ac:dyDescent="0.2">
      <c r="B49888" s="1168"/>
    </row>
    <row r="49889" spans="2:2" s="221" customFormat="1" ht="12.75" x14ac:dyDescent="0.2">
      <c r="B49889" s="1168"/>
    </row>
    <row r="49890" spans="2:2" s="221" customFormat="1" ht="12.75" x14ac:dyDescent="0.2">
      <c r="B49890" s="1168"/>
    </row>
    <row r="49891" spans="2:2" s="221" customFormat="1" ht="12.75" x14ac:dyDescent="0.2">
      <c r="B49891" s="1168"/>
    </row>
    <row r="49892" spans="2:2" s="221" customFormat="1" ht="12.75" x14ac:dyDescent="0.2">
      <c r="B49892" s="1168"/>
    </row>
    <row r="49893" spans="2:2" s="221" customFormat="1" ht="12.75" x14ac:dyDescent="0.2">
      <c r="B49893" s="1168"/>
    </row>
    <row r="49894" spans="2:2" s="221" customFormat="1" ht="12.75" x14ac:dyDescent="0.2">
      <c r="B49894" s="1168"/>
    </row>
    <row r="49895" spans="2:2" s="221" customFormat="1" ht="12.75" x14ac:dyDescent="0.2">
      <c r="B49895" s="1168"/>
    </row>
    <row r="49896" spans="2:2" s="221" customFormat="1" ht="12.75" x14ac:dyDescent="0.2">
      <c r="B49896" s="1168"/>
    </row>
    <row r="49897" spans="2:2" s="221" customFormat="1" ht="12.75" x14ac:dyDescent="0.2">
      <c r="B49897" s="1168"/>
    </row>
    <row r="49898" spans="2:2" s="221" customFormat="1" ht="12.75" x14ac:dyDescent="0.2">
      <c r="B49898" s="1168"/>
    </row>
    <row r="49899" spans="2:2" s="221" customFormat="1" ht="12.75" x14ac:dyDescent="0.2">
      <c r="B49899" s="1168"/>
    </row>
    <row r="49900" spans="2:2" s="221" customFormat="1" ht="12.75" x14ac:dyDescent="0.2">
      <c r="B49900" s="1168"/>
    </row>
    <row r="49901" spans="2:2" s="221" customFormat="1" ht="12.75" x14ac:dyDescent="0.2">
      <c r="B49901" s="1168"/>
    </row>
    <row r="49902" spans="2:2" s="221" customFormat="1" ht="12.75" x14ac:dyDescent="0.2">
      <c r="B49902" s="1168"/>
    </row>
    <row r="49903" spans="2:2" s="221" customFormat="1" ht="12.75" x14ac:dyDescent="0.2">
      <c r="B49903" s="1168"/>
    </row>
    <row r="49904" spans="2:2" s="221" customFormat="1" ht="12.75" x14ac:dyDescent="0.2">
      <c r="B49904" s="1168"/>
    </row>
    <row r="49905" spans="2:2" s="221" customFormat="1" ht="12.75" x14ac:dyDescent="0.2">
      <c r="B49905" s="1168"/>
    </row>
    <row r="49906" spans="2:2" s="221" customFormat="1" ht="12.75" x14ac:dyDescent="0.2">
      <c r="B49906" s="1168"/>
    </row>
    <row r="49907" spans="2:2" s="221" customFormat="1" ht="12.75" x14ac:dyDescent="0.2">
      <c r="B49907" s="1168"/>
    </row>
    <row r="49908" spans="2:2" s="221" customFormat="1" ht="12.75" x14ac:dyDescent="0.2">
      <c r="B49908" s="1168"/>
    </row>
    <row r="49909" spans="2:2" s="221" customFormat="1" ht="12.75" x14ac:dyDescent="0.2">
      <c r="B49909" s="1168"/>
    </row>
    <row r="49910" spans="2:2" s="221" customFormat="1" ht="12.75" x14ac:dyDescent="0.2">
      <c r="B49910" s="1168"/>
    </row>
    <row r="49911" spans="2:2" s="221" customFormat="1" ht="12.75" x14ac:dyDescent="0.2">
      <c r="B49911" s="1168"/>
    </row>
    <row r="49912" spans="2:2" s="221" customFormat="1" ht="12.75" x14ac:dyDescent="0.2">
      <c r="B49912" s="1168"/>
    </row>
    <row r="49913" spans="2:2" s="221" customFormat="1" ht="12.75" x14ac:dyDescent="0.2">
      <c r="B49913" s="1168"/>
    </row>
    <row r="49914" spans="2:2" s="221" customFormat="1" ht="12.75" x14ac:dyDescent="0.2">
      <c r="B49914" s="1168"/>
    </row>
    <row r="49915" spans="2:2" s="221" customFormat="1" ht="12.75" x14ac:dyDescent="0.2">
      <c r="B49915" s="1168"/>
    </row>
    <row r="49916" spans="2:2" s="221" customFormat="1" ht="12.75" x14ac:dyDescent="0.2">
      <c r="B49916" s="1168"/>
    </row>
    <row r="49917" spans="2:2" s="221" customFormat="1" ht="12.75" x14ac:dyDescent="0.2">
      <c r="B49917" s="1168"/>
    </row>
    <row r="49918" spans="2:2" s="221" customFormat="1" ht="12.75" x14ac:dyDescent="0.2">
      <c r="B49918" s="1168"/>
    </row>
    <row r="49919" spans="2:2" s="221" customFormat="1" ht="12.75" x14ac:dyDescent="0.2">
      <c r="B49919" s="1168"/>
    </row>
    <row r="49920" spans="2:2" s="221" customFormat="1" ht="12.75" x14ac:dyDescent="0.2">
      <c r="B49920" s="1168"/>
    </row>
    <row r="49921" spans="2:2" s="221" customFormat="1" ht="12.75" x14ac:dyDescent="0.2">
      <c r="B49921" s="1168"/>
    </row>
    <row r="49922" spans="2:2" s="221" customFormat="1" ht="12.75" x14ac:dyDescent="0.2">
      <c r="B49922" s="1168"/>
    </row>
    <row r="49923" spans="2:2" s="221" customFormat="1" ht="12.75" x14ac:dyDescent="0.2">
      <c r="B49923" s="1168"/>
    </row>
    <row r="49924" spans="2:2" s="221" customFormat="1" ht="12.75" x14ac:dyDescent="0.2">
      <c r="B49924" s="1168"/>
    </row>
    <row r="49925" spans="2:2" s="221" customFormat="1" ht="12.75" x14ac:dyDescent="0.2">
      <c r="B49925" s="1168"/>
    </row>
    <row r="49926" spans="2:2" s="221" customFormat="1" ht="12.75" x14ac:dyDescent="0.2">
      <c r="B49926" s="1168"/>
    </row>
    <row r="49927" spans="2:2" s="221" customFormat="1" ht="12.75" x14ac:dyDescent="0.2">
      <c r="B49927" s="1168"/>
    </row>
    <row r="49928" spans="2:2" s="221" customFormat="1" ht="12.75" x14ac:dyDescent="0.2">
      <c r="B49928" s="1168"/>
    </row>
    <row r="49929" spans="2:2" s="221" customFormat="1" ht="12.75" x14ac:dyDescent="0.2">
      <c r="B49929" s="1168"/>
    </row>
    <row r="49930" spans="2:2" s="221" customFormat="1" ht="12.75" x14ac:dyDescent="0.2">
      <c r="B49930" s="1168"/>
    </row>
    <row r="49931" spans="2:2" s="221" customFormat="1" ht="12.75" x14ac:dyDescent="0.2">
      <c r="B49931" s="1168"/>
    </row>
    <row r="49932" spans="2:2" s="221" customFormat="1" ht="12.75" x14ac:dyDescent="0.2">
      <c r="B49932" s="1168"/>
    </row>
    <row r="49933" spans="2:2" s="221" customFormat="1" ht="12.75" x14ac:dyDescent="0.2">
      <c r="B49933" s="1168"/>
    </row>
    <row r="49934" spans="2:2" s="221" customFormat="1" ht="12.75" x14ac:dyDescent="0.2">
      <c r="B49934" s="1168"/>
    </row>
    <row r="49935" spans="2:2" s="221" customFormat="1" ht="12.75" x14ac:dyDescent="0.2">
      <c r="B49935" s="1168"/>
    </row>
    <row r="49936" spans="2:2" s="221" customFormat="1" ht="12.75" x14ac:dyDescent="0.2">
      <c r="B49936" s="1168"/>
    </row>
    <row r="49937" spans="2:2" s="221" customFormat="1" ht="12.75" x14ac:dyDescent="0.2">
      <c r="B49937" s="1168"/>
    </row>
    <row r="49938" spans="2:2" s="221" customFormat="1" ht="12.75" x14ac:dyDescent="0.2">
      <c r="B49938" s="1168"/>
    </row>
    <row r="49939" spans="2:2" s="221" customFormat="1" ht="12.75" x14ac:dyDescent="0.2">
      <c r="B49939" s="1168"/>
    </row>
    <row r="49940" spans="2:2" s="221" customFormat="1" ht="12.75" x14ac:dyDescent="0.2">
      <c r="B49940" s="1168"/>
    </row>
    <row r="49941" spans="2:2" s="221" customFormat="1" ht="12.75" x14ac:dyDescent="0.2">
      <c r="B49941" s="1168"/>
    </row>
    <row r="49942" spans="2:2" s="221" customFormat="1" ht="12.75" x14ac:dyDescent="0.2">
      <c r="B49942" s="1168"/>
    </row>
    <row r="49943" spans="2:2" s="221" customFormat="1" ht="12.75" x14ac:dyDescent="0.2">
      <c r="B49943" s="1168"/>
    </row>
    <row r="49944" spans="2:2" s="221" customFormat="1" ht="12.75" x14ac:dyDescent="0.2">
      <c r="B49944" s="1168"/>
    </row>
    <row r="49945" spans="2:2" s="221" customFormat="1" ht="12.75" x14ac:dyDescent="0.2">
      <c r="B49945" s="1168"/>
    </row>
    <row r="49946" spans="2:2" s="221" customFormat="1" ht="12.75" x14ac:dyDescent="0.2">
      <c r="B49946" s="1168"/>
    </row>
    <row r="49947" spans="2:2" s="221" customFormat="1" ht="12.75" x14ac:dyDescent="0.2">
      <c r="B49947" s="1168"/>
    </row>
    <row r="49948" spans="2:2" s="221" customFormat="1" ht="12.75" x14ac:dyDescent="0.2">
      <c r="B49948" s="1168"/>
    </row>
    <row r="49949" spans="2:2" s="221" customFormat="1" ht="12.75" x14ac:dyDescent="0.2">
      <c r="B49949" s="1168"/>
    </row>
    <row r="49950" spans="2:2" s="221" customFormat="1" ht="12.75" x14ac:dyDescent="0.2">
      <c r="B49950" s="1168"/>
    </row>
    <row r="49951" spans="2:2" s="221" customFormat="1" ht="12.75" x14ac:dyDescent="0.2">
      <c r="B49951" s="1168"/>
    </row>
    <row r="49952" spans="2:2" s="221" customFormat="1" ht="12.75" x14ac:dyDescent="0.2">
      <c r="B49952" s="1168"/>
    </row>
    <row r="49953" spans="2:2" s="221" customFormat="1" ht="12.75" x14ac:dyDescent="0.2">
      <c r="B49953" s="1168"/>
    </row>
    <row r="49954" spans="2:2" s="221" customFormat="1" ht="12.75" x14ac:dyDescent="0.2">
      <c r="B49954" s="1168"/>
    </row>
    <row r="49955" spans="2:2" s="221" customFormat="1" ht="12.75" x14ac:dyDescent="0.2">
      <c r="B49955" s="1168"/>
    </row>
    <row r="49956" spans="2:2" s="221" customFormat="1" ht="12.75" x14ac:dyDescent="0.2">
      <c r="B49956" s="1168"/>
    </row>
    <row r="49957" spans="2:2" s="221" customFormat="1" ht="12.75" x14ac:dyDescent="0.2">
      <c r="B49957" s="1168"/>
    </row>
    <row r="49958" spans="2:2" s="221" customFormat="1" ht="12.75" x14ac:dyDescent="0.2">
      <c r="B49958" s="1168"/>
    </row>
    <row r="49959" spans="2:2" s="221" customFormat="1" ht="12.75" x14ac:dyDescent="0.2">
      <c r="B49959" s="1168"/>
    </row>
    <row r="49960" spans="2:2" s="221" customFormat="1" ht="12.75" x14ac:dyDescent="0.2">
      <c r="B49960" s="1168"/>
    </row>
    <row r="49961" spans="2:2" s="221" customFormat="1" ht="12.75" x14ac:dyDescent="0.2">
      <c r="B49961" s="1168"/>
    </row>
    <row r="49962" spans="2:2" s="221" customFormat="1" ht="12.75" x14ac:dyDescent="0.2">
      <c r="B49962" s="1168"/>
    </row>
    <row r="49963" spans="2:2" s="221" customFormat="1" ht="12.75" x14ac:dyDescent="0.2">
      <c r="B49963" s="1168"/>
    </row>
    <row r="49964" spans="2:2" s="221" customFormat="1" ht="12.75" x14ac:dyDescent="0.2">
      <c r="B49964" s="1168"/>
    </row>
    <row r="49965" spans="2:2" s="221" customFormat="1" ht="12.75" x14ac:dyDescent="0.2">
      <c r="B49965" s="1168"/>
    </row>
    <row r="49966" spans="2:2" s="221" customFormat="1" ht="12.75" x14ac:dyDescent="0.2">
      <c r="B49966" s="1168"/>
    </row>
    <row r="49967" spans="2:2" s="221" customFormat="1" ht="12.75" x14ac:dyDescent="0.2">
      <c r="B49967" s="1168"/>
    </row>
    <row r="49968" spans="2:2" s="221" customFormat="1" ht="12.75" x14ac:dyDescent="0.2">
      <c r="B49968" s="1168"/>
    </row>
    <row r="49969" spans="2:2" s="221" customFormat="1" ht="12.75" x14ac:dyDescent="0.2">
      <c r="B49969" s="1168"/>
    </row>
    <row r="49970" spans="2:2" s="221" customFormat="1" ht="12.75" x14ac:dyDescent="0.2">
      <c r="B49970" s="1168"/>
    </row>
    <row r="49971" spans="2:2" s="221" customFormat="1" ht="12.75" x14ac:dyDescent="0.2">
      <c r="B49971" s="1168"/>
    </row>
    <row r="49972" spans="2:2" s="221" customFormat="1" ht="12.75" x14ac:dyDescent="0.2">
      <c r="B49972" s="1168"/>
    </row>
    <row r="49973" spans="2:2" s="221" customFormat="1" ht="12.75" x14ac:dyDescent="0.2">
      <c r="B49973" s="1168"/>
    </row>
    <row r="49974" spans="2:2" s="221" customFormat="1" ht="12.75" x14ac:dyDescent="0.2">
      <c r="B49974" s="1168"/>
    </row>
    <row r="49975" spans="2:2" s="221" customFormat="1" ht="12.75" x14ac:dyDescent="0.2">
      <c r="B49975" s="1168"/>
    </row>
    <row r="49976" spans="2:2" s="221" customFormat="1" ht="12.75" x14ac:dyDescent="0.2">
      <c r="B49976" s="1168"/>
    </row>
    <row r="49977" spans="2:2" s="221" customFormat="1" ht="12.75" x14ac:dyDescent="0.2">
      <c r="B49977" s="1168"/>
    </row>
    <row r="49978" spans="2:2" s="221" customFormat="1" ht="12.75" x14ac:dyDescent="0.2">
      <c r="B49978" s="1168"/>
    </row>
    <row r="49979" spans="2:2" s="221" customFormat="1" ht="12.75" x14ac:dyDescent="0.2">
      <c r="B49979" s="1168"/>
    </row>
    <row r="49980" spans="2:2" s="221" customFormat="1" ht="12.75" x14ac:dyDescent="0.2">
      <c r="B49980" s="1168"/>
    </row>
    <row r="49981" spans="2:2" s="221" customFormat="1" ht="12.75" x14ac:dyDescent="0.2">
      <c r="B49981" s="1168"/>
    </row>
    <row r="49982" spans="2:2" s="221" customFormat="1" ht="12.75" x14ac:dyDescent="0.2">
      <c r="B49982" s="1168"/>
    </row>
    <row r="49983" spans="2:2" s="221" customFormat="1" ht="12.75" x14ac:dyDescent="0.2">
      <c r="B49983" s="1168"/>
    </row>
    <row r="49984" spans="2:2" s="221" customFormat="1" ht="12.75" x14ac:dyDescent="0.2">
      <c r="B49984" s="1168"/>
    </row>
    <row r="49985" spans="2:2" s="221" customFormat="1" ht="12.75" x14ac:dyDescent="0.2">
      <c r="B49985" s="1168"/>
    </row>
    <row r="49986" spans="2:2" s="221" customFormat="1" ht="12.75" x14ac:dyDescent="0.2">
      <c r="B49986" s="1168"/>
    </row>
    <row r="49987" spans="2:2" s="221" customFormat="1" ht="12.75" x14ac:dyDescent="0.2">
      <c r="B49987" s="1168"/>
    </row>
    <row r="49988" spans="2:2" s="221" customFormat="1" ht="12.75" x14ac:dyDescent="0.2">
      <c r="B49988" s="1168"/>
    </row>
    <row r="49989" spans="2:2" s="221" customFormat="1" ht="12.75" x14ac:dyDescent="0.2">
      <c r="B49989" s="1168"/>
    </row>
    <row r="49990" spans="2:2" s="221" customFormat="1" ht="12.75" x14ac:dyDescent="0.2">
      <c r="B49990" s="1168"/>
    </row>
    <row r="49991" spans="2:2" s="221" customFormat="1" ht="12.75" x14ac:dyDescent="0.2">
      <c r="B49991" s="1168"/>
    </row>
    <row r="49992" spans="2:2" s="221" customFormat="1" ht="12.75" x14ac:dyDescent="0.2">
      <c r="B49992" s="1168"/>
    </row>
    <row r="49993" spans="2:2" s="221" customFormat="1" ht="12.75" x14ac:dyDescent="0.2">
      <c r="B49993" s="1168"/>
    </row>
    <row r="49994" spans="2:2" s="221" customFormat="1" ht="12.75" x14ac:dyDescent="0.2">
      <c r="B49994" s="1168"/>
    </row>
    <row r="49995" spans="2:2" s="221" customFormat="1" ht="12.75" x14ac:dyDescent="0.2">
      <c r="B49995" s="1168"/>
    </row>
    <row r="49996" spans="2:2" s="221" customFormat="1" ht="12.75" x14ac:dyDescent="0.2">
      <c r="B49996" s="1168"/>
    </row>
    <row r="49997" spans="2:2" s="221" customFormat="1" ht="12.75" x14ac:dyDescent="0.2">
      <c r="B49997" s="1168"/>
    </row>
    <row r="49998" spans="2:2" s="221" customFormat="1" ht="12.75" x14ac:dyDescent="0.2">
      <c r="B49998" s="1168"/>
    </row>
    <row r="49999" spans="2:2" s="221" customFormat="1" ht="12.75" x14ac:dyDescent="0.2">
      <c r="B49999" s="1168"/>
    </row>
    <row r="50000" spans="2:2" s="221" customFormat="1" ht="12.75" x14ac:dyDescent="0.2">
      <c r="B50000" s="1168"/>
    </row>
    <row r="50001" spans="2:2" s="221" customFormat="1" ht="12.75" x14ac:dyDescent="0.2">
      <c r="B50001" s="1168"/>
    </row>
    <row r="50002" spans="2:2" s="221" customFormat="1" ht="12.75" x14ac:dyDescent="0.2">
      <c r="B50002" s="1168"/>
    </row>
    <row r="50003" spans="2:2" s="221" customFormat="1" ht="12.75" x14ac:dyDescent="0.2">
      <c r="B50003" s="1168"/>
    </row>
    <row r="50004" spans="2:2" s="221" customFormat="1" ht="12.75" x14ac:dyDescent="0.2">
      <c r="B50004" s="1168"/>
    </row>
    <row r="50005" spans="2:2" s="221" customFormat="1" ht="12.75" x14ac:dyDescent="0.2">
      <c r="B50005" s="1168"/>
    </row>
    <row r="50006" spans="2:2" s="221" customFormat="1" ht="12.75" x14ac:dyDescent="0.2">
      <c r="B50006" s="1168"/>
    </row>
    <row r="50007" spans="2:2" s="221" customFormat="1" ht="12.75" x14ac:dyDescent="0.2">
      <c r="B50007" s="1168"/>
    </row>
    <row r="50008" spans="2:2" s="221" customFormat="1" ht="12.75" x14ac:dyDescent="0.2">
      <c r="B50008" s="1168"/>
    </row>
    <row r="50009" spans="2:2" s="221" customFormat="1" ht="12.75" x14ac:dyDescent="0.2">
      <c r="B50009" s="1168"/>
    </row>
    <row r="50010" spans="2:2" s="221" customFormat="1" ht="12.75" x14ac:dyDescent="0.2">
      <c r="B50010" s="1168"/>
    </row>
    <row r="50011" spans="2:2" s="221" customFormat="1" ht="12.75" x14ac:dyDescent="0.2">
      <c r="B50011" s="1168"/>
    </row>
    <row r="50012" spans="2:2" s="221" customFormat="1" ht="12.75" x14ac:dyDescent="0.2">
      <c r="B50012" s="1168"/>
    </row>
    <row r="50013" spans="2:2" s="221" customFormat="1" ht="12.75" x14ac:dyDescent="0.2">
      <c r="B50013" s="1168"/>
    </row>
    <row r="50014" spans="2:2" s="221" customFormat="1" ht="12.75" x14ac:dyDescent="0.2">
      <c r="B50014" s="1168"/>
    </row>
    <row r="50015" spans="2:2" s="221" customFormat="1" ht="12.75" x14ac:dyDescent="0.2">
      <c r="B50015" s="1168"/>
    </row>
    <row r="50016" spans="2:2" s="221" customFormat="1" ht="12.75" x14ac:dyDescent="0.2">
      <c r="B50016" s="1168"/>
    </row>
    <row r="50017" spans="2:2" s="221" customFormat="1" ht="12.75" x14ac:dyDescent="0.2">
      <c r="B50017" s="1168"/>
    </row>
    <row r="50018" spans="2:2" s="221" customFormat="1" ht="12.75" x14ac:dyDescent="0.2">
      <c r="B50018" s="1168"/>
    </row>
    <row r="50019" spans="2:2" s="221" customFormat="1" ht="12.75" x14ac:dyDescent="0.2">
      <c r="B50019" s="1168"/>
    </row>
    <row r="50020" spans="2:2" s="221" customFormat="1" ht="12.75" x14ac:dyDescent="0.2">
      <c r="B50020" s="1168"/>
    </row>
    <row r="50021" spans="2:2" s="221" customFormat="1" ht="12.75" x14ac:dyDescent="0.2">
      <c r="B50021" s="1168"/>
    </row>
    <row r="50022" spans="2:2" s="221" customFormat="1" ht="12.75" x14ac:dyDescent="0.2">
      <c r="B50022" s="1168"/>
    </row>
    <row r="50023" spans="2:2" s="221" customFormat="1" ht="12.75" x14ac:dyDescent="0.2">
      <c r="B50023" s="1168"/>
    </row>
    <row r="50024" spans="2:2" s="221" customFormat="1" ht="12.75" x14ac:dyDescent="0.2">
      <c r="B50024" s="1168"/>
    </row>
    <row r="50025" spans="2:2" s="221" customFormat="1" ht="12.75" x14ac:dyDescent="0.2">
      <c r="B50025" s="1168"/>
    </row>
    <row r="50026" spans="2:2" s="221" customFormat="1" ht="12.75" x14ac:dyDescent="0.2">
      <c r="B50026" s="1168"/>
    </row>
    <row r="50027" spans="2:2" s="221" customFormat="1" ht="12.75" x14ac:dyDescent="0.2">
      <c r="B50027" s="1168"/>
    </row>
    <row r="50028" spans="2:2" s="221" customFormat="1" ht="12.75" x14ac:dyDescent="0.2">
      <c r="B50028" s="1168"/>
    </row>
    <row r="50029" spans="2:2" s="221" customFormat="1" ht="12.75" x14ac:dyDescent="0.2">
      <c r="B50029" s="1168"/>
    </row>
    <row r="50030" spans="2:2" s="221" customFormat="1" ht="12.75" x14ac:dyDescent="0.2">
      <c r="B50030" s="1168"/>
    </row>
    <row r="50031" spans="2:2" s="221" customFormat="1" ht="12.75" x14ac:dyDescent="0.2">
      <c r="B50031" s="1168"/>
    </row>
    <row r="50032" spans="2:2" s="221" customFormat="1" ht="12.75" x14ac:dyDescent="0.2">
      <c r="B50032" s="1168"/>
    </row>
    <row r="50033" spans="2:2" s="221" customFormat="1" ht="12.75" x14ac:dyDescent="0.2">
      <c r="B50033" s="1168"/>
    </row>
    <row r="50034" spans="2:2" s="221" customFormat="1" ht="12.75" x14ac:dyDescent="0.2">
      <c r="B50034" s="1168"/>
    </row>
    <row r="50035" spans="2:2" s="221" customFormat="1" ht="12.75" x14ac:dyDescent="0.2">
      <c r="B50035" s="1168"/>
    </row>
    <row r="50036" spans="2:2" s="221" customFormat="1" ht="12.75" x14ac:dyDescent="0.2">
      <c r="B50036" s="1168"/>
    </row>
    <row r="50037" spans="2:2" s="221" customFormat="1" ht="12.75" x14ac:dyDescent="0.2">
      <c r="B50037" s="1168"/>
    </row>
    <row r="50038" spans="2:2" s="221" customFormat="1" ht="12.75" x14ac:dyDescent="0.2">
      <c r="B50038" s="1168"/>
    </row>
    <row r="50039" spans="2:2" s="221" customFormat="1" ht="12.75" x14ac:dyDescent="0.2">
      <c r="B50039" s="1168"/>
    </row>
    <row r="50040" spans="2:2" s="221" customFormat="1" ht="12.75" x14ac:dyDescent="0.2">
      <c r="B50040" s="1168"/>
    </row>
    <row r="50041" spans="2:2" s="221" customFormat="1" ht="12.75" x14ac:dyDescent="0.2">
      <c r="B50041" s="1168"/>
    </row>
    <row r="50042" spans="2:2" s="221" customFormat="1" ht="12.75" x14ac:dyDescent="0.2">
      <c r="B50042" s="1168"/>
    </row>
    <row r="50043" spans="2:2" s="221" customFormat="1" ht="12.75" x14ac:dyDescent="0.2">
      <c r="B50043" s="1168"/>
    </row>
    <row r="50044" spans="2:2" s="221" customFormat="1" ht="12.75" x14ac:dyDescent="0.2">
      <c r="B50044" s="1168"/>
    </row>
    <row r="50045" spans="2:2" s="221" customFormat="1" ht="12.75" x14ac:dyDescent="0.2">
      <c r="B50045" s="1168"/>
    </row>
    <row r="50046" spans="2:2" s="221" customFormat="1" ht="12.75" x14ac:dyDescent="0.2">
      <c r="B50046" s="1168"/>
    </row>
    <row r="50047" spans="2:2" s="221" customFormat="1" ht="12.75" x14ac:dyDescent="0.2">
      <c r="B50047" s="1168"/>
    </row>
    <row r="50048" spans="2:2" s="221" customFormat="1" ht="12.75" x14ac:dyDescent="0.2">
      <c r="B50048" s="1168"/>
    </row>
    <row r="50049" spans="2:2" s="221" customFormat="1" ht="12.75" x14ac:dyDescent="0.2">
      <c r="B50049" s="1168"/>
    </row>
    <row r="50050" spans="2:2" s="221" customFormat="1" ht="12.75" x14ac:dyDescent="0.2">
      <c r="B50050" s="1168"/>
    </row>
    <row r="50051" spans="2:2" s="221" customFormat="1" ht="12.75" x14ac:dyDescent="0.2">
      <c r="B50051" s="1168"/>
    </row>
    <row r="50052" spans="2:2" s="221" customFormat="1" ht="12.75" x14ac:dyDescent="0.2">
      <c r="B50052" s="1168"/>
    </row>
    <row r="50053" spans="2:2" s="221" customFormat="1" ht="12.75" x14ac:dyDescent="0.2">
      <c r="B50053" s="1168"/>
    </row>
    <row r="50054" spans="2:2" s="221" customFormat="1" ht="12.75" x14ac:dyDescent="0.2">
      <c r="B50054" s="1168"/>
    </row>
    <row r="50055" spans="2:2" s="221" customFormat="1" ht="12.75" x14ac:dyDescent="0.2">
      <c r="B50055" s="1168"/>
    </row>
    <row r="50056" spans="2:2" s="221" customFormat="1" ht="12.75" x14ac:dyDescent="0.2">
      <c r="B50056" s="1168"/>
    </row>
    <row r="50057" spans="2:2" s="221" customFormat="1" ht="12.75" x14ac:dyDescent="0.2">
      <c r="B50057" s="1168"/>
    </row>
    <row r="50058" spans="2:2" s="221" customFormat="1" ht="12.75" x14ac:dyDescent="0.2">
      <c r="B50058" s="1168"/>
    </row>
    <row r="50059" spans="2:2" s="221" customFormat="1" ht="12.75" x14ac:dyDescent="0.2">
      <c r="B50059" s="1168"/>
    </row>
    <row r="50060" spans="2:2" s="221" customFormat="1" ht="12.75" x14ac:dyDescent="0.2">
      <c r="B50060" s="1168"/>
    </row>
    <row r="50061" spans="2:2" s="221" customFormat="1" ht="12.75" x14ac:dyDescent="0.2">
      <c r="B50061" s="1168"/>
    </row>
    <row r="50062" spans="2:2" s="221" customFormat="1" ht="12.75" x14ac:dyDescent="0.2">
      <c r="B50062" s="1168"/>
    </row>
    <row r="50063" spans="2:2" s="221" customFormat="1" ht="12.75" x14ac:dyDescent="0.2">
      <c r="B50063" s="1168"/>
    </row>
    <row r="50064" spans="2:2" s="221" customFormat="1" ht="12.75" x14ac:dyDescent="0.2">
      <c r="B50064" s="1168"/>
    </row>
    <row r="50065" spans="2:2" s="221" customFormat="1" ht="12.75" x14ac:dyDescent="0.2">
      <c r="B50065" s="1168"/>
    </row>
    <row r="50066" spans="2:2" s="221" customFormat="1" ht="12.75" x14ac:dyDescent="0.2">
      <c r="B50066" s="1168"/>
    </row>
    <row r="50067" spans="2:2" s="221" customFormat="1" ht="12.75" x14ac:dyDescent="0.2">
      <c r="B50067" s="1168"/>
    </row>
    <row r="50068" spans="2:2" s="221" customFormat="1" ht="12.75" x14ac:dyDescent="0.2">
      <c r="B50068" s="1168"/>
    </row>
    <row r="50069" spans="2:2" s="221" customFormat="1" ht="12.75" x14ac:dyDescent="0.2">
      <c r="B50069" s="1168"/>
    </row>
    <row r="50070" spans="2:2" s="221" customFormat="1" ht="12.75" x14ac:dyDescent="0.2">
      <c r="B50070" s="1168"/>
    </row>
    <row r="50071" spans="2:2" s="221" customFormat="1" ht="12.75" x14ac:dyDescent="0.2">
      <c r="B50071" s="1168"/>
    </row>
    <row r="50072" spans="2:2" s="221" customFormat="1" ht="12.75" x14ac:dyDescent="0.2">
      <c r="B50072" s="1168"/>
    </row>
    <row r="50073" spans="2:2" s="221" customFormat="1" ht="12.75" x14ac:dyDescent="0.2">
      <c r="B50073" s="1168"/>
    </row>
    <row r="50074" spans="2:2" s="221" customFormat="1" ht="12.75" x14ac:dyDescent="0.2">
      <c r="B50074" s="1168"/>
    </row>
    <row r="50075" spans="2:2" s="221" customFormat="1" ht="12.75" x14ac:dyDescent="0.2">
      <c r="B50075" s="1168"/>
    </row>
    <row r="50076" spans="2:2" s="221" customFormat="1" ht="12.75" x14ac:dyDescent="0.2">
      <c r="B50076" s="1168"/>
    </row>
    <row r="50077" spans="2:2" s="221" customFormat="1" ht="12.75" x14ac:dyDescent="0.2">
      <c r="B50077" s="1168"/>
    </row>
    <row r="50078" spans="2:2" s="221" customFormat="1" ht="12.75" x14ac:dyDescent="0.2">
      <c r="B50078" s="1168"/>
    </row>
    <row r="50079" spans="2:2" s="221" customFormat="1" ht="12.75" x14ac:dyDescent="0.2">
      <c r="B50079" s="1168"/>
    </row>
    <row r="50080" spans="2:2" s="221" customFormat="1" ht="12.75" x14ac:dyDescent="0.2">
      <c r="B50080" s="1168"/>
    </row>
    <row r="50081" spans="2:2" s="221" customFormat="1" ht="12.75" x14ac:dyDescent="0.2">
      <c r="B50081" s="1168"/>
    </row>
    <row r="50082" spans="2:2" s="221" customFormat="1" ht="12.75" x14ac:dyDescent="0.2">
      <c r="B50082" s="1168"/>
    </row>
    <row r="50083" spans="2:2" s="221" customFormat="1" ht="12.75" x14ac:dyDescent="0.2">
      <c r="B50083" s="1168"/>
    </row>
    <row r="50084" spans="2:2" s="221" customFormat="1" ht="12.75" x14ac:dyDescent="0.2">
      <c r="B50084" s="1168"/>
    </row>
    <row r="50085" spans="2:2" s="221" customFormat="1" ht="12.75" x14ac:dyDescent="0.2">
      <c r="B50085" s="1168"/>
    </row>
    <row r="50086" spans="2:2" s="221" customFormat="1" ht="12.75" x14ac:dyDescent="0.2">
      <c r="B50086" s="1168"/>
    </row>
    <row r="50087" spans="2:2" s="221" customFormat="1" ht="12.75" x14ac:dyDescent="0.2">
      <c r="B50087" s="1168"/>
    </row>
    <row r="50088" spans="2:2" s="221" customFormat="1" ht="12.75" x14ac:dyDescent="0.2">
      <c r="B50088" s="1168"/>
    </row>
    <row r="50089" spans="2:2" s="221" customFormat="1" ht="12.75" x14ac:dyDescent="0.2">
      <c r="B50089" s="1168"/>
    </row>
    <row r="50090" spans="2:2" s="221" customFormat="1" ht="12.75" x14ac:dyDescent="0.2">
      <c r="B50090" s="1168"/>
    </row>
    <row r="50091" spans="2:2" s="221" customFormat="1" ht="12.75" x14ac:dyDescent="0.2">
      <c r="B50091" s="1168"/>
    </row>
    <row r="50092" spans="2:2" s="221" customFormat="1" ht="12.75" x14ac:dyDescent="0.2">
      <c r="B50092" s="1168"/>
    </row>
    <row r="50093" spans="2:2" s="221" customFormat="1" ht="12.75" x14ac:dyDescent="0.2">
      <c r="B50093" s="1168"/>
    </row>
    <row r="50094" spans="2:2" s="221" customFormat="1" ht="12.75" x14ac:dyDescent="0.2">
      <c r="B50094" s="1168"/>
    </row>
    <row r="50095" spans="2:2" s="221" customFormat="1" ht="12.75" x14ac:dyDescent="0.2">
      <c r="B50095" s="1168"/>
    </row>
    <row r="50096" spans="2:2" s="221" customFormat="1" ht="12.75" x14ac:dyDescent="0.2">
      <c r="B50096" s="1168"/>
    </row>
    <row r="50097" spans="2:2" s="221" customFormat="1" ht="12.75" x14ac:dyDescent="0.2">
      <c r="B50097" s="1168"/>
    </row>
    <row r="50098" spans="2:2" s="221" customFormat="1" ht="12.75" x14ac:dyDescent="0.2">
      <c r="B50098" s="1168"/>
    </row>
    <row r="50099" spans="2:2" s="221" customFormat="1" ht="12.75" x14ac:dyDescent="0.2">
      <c r="B50099" s="1168"/>
    </row>
    <row r="50100" spans="2:2" s="221" customFormat="1" ht="12.75" x14ac:dyDescent="0.2">
      <c r="B50100" s="1168"/>
    </row>
    <row r="50101" spans="2:2" s="221" customFormat="1" ht="12.75" x14ac:dyDescent="0.2">
      <c r="B50101" s="1168"/>
    </row>
    <row r="50102" spans="2:2" s="221" customFormat="1" ht="12.75" x14ac:dyDescent="0.2">
      <c r="B50102" s="1168"/>
    </row>
    <row r="50103" spans="2:2" s="221" customFormat="1" ht="12.75" x14ac:dyDescent="0.2">
      <c r="B50103" s="1168"/>
    </row>
    <row r="50104" spans="2:2" s="221" customFormat="1" ht="12.75" x14ac:dyDescent="0.2">
      <c r="B50104" s="1168"/>
    </row>
    <row r="50105" spans="2:2" s="221" customFormat="1" ht="12.75" x14ac:dyDescent="0.2">
      <c r="B50105" s="1168"/>
    </row>
    <row r="50106" spans="2:2" s="221" customFormat="1" ht="12.75" x14ac:dyDescent="0.2">
      <c r="B50106" s="1168"/>
    </row>
    <row r="50107" spans="2:2" s="221" customFormat="1" ht="12.75" x14ac:dyDescent="0.2">
      <c r="B50107" s="1168"/>
    </row>
    <row r="50108" spans="2:2" s="221" customFormat="1" ht="12.75" x14ac:dyDescent="0.2">
      <c r="B50108" s="1168"/>
    </row>
    <row r="50109" spans="2:2" s="221" customFormat="1" ht="12.75" x14ac:dyDescent="0.2">
      <c r="B50109" s="1168"/>
    </row>
    <row r="50110" spans="2:2" s="221" customFormat="1" ht="12.75" x14ac:dyDescent="0.2">
      <c r="B50110" s="1168"/>
    </row>
    <row r="50111" spans="2:2" s="221" customFormat="1" ht="12.75" x14ac:dyDescent="0.2">
      <c r="B50111" s="1168"/>
    </row>
    <row r="50112" spans="2:2" s="221" customFormat="1" ht="12.75" x14ac:dyDescent="0.2">
      <c r="B50112" s="1168"/>
    </row>
    <row r="50113" spans="2:2" s="221" customFormat="1" ht="12.75" x14ac:dyDescent="0.2">
      <c r="B50113" s="1168"/>
    </row>
    <row r="50114" spans="2:2" s="221" customFormat="1" ht="12.75" x14ac:dyDescent="0.2">
      <c r="B50114" s="1168"/>
    </row>
    <row r="50115" spans="2:2" s="221" customFormat="1" ht="12.75" x14ac:dyDescent="0.2">
      <c r="B50115" s="1168"/>
    </row>
    <row r="50116" spans="2:2" s="221" customFormat="1" ht="12.75" x14ac:dyDescent="0.2">
      <c r="B50116" s="1168"/>
    </row>
    <row r="50117" spans="2:2" s="221" customFormat="1" ht="12.75" x14ac:dyDescent="0.2">
      <c r="B50117" s="1168"/>
    </row>
    <row r="50118" spans="2:2" s="221" customFormat="1" ht="12.75" x14ac:dyDescent="0.2">
      <c r="B50118" s="1168"/>
    </row>
    <row r="50119" spans="2:2" s="221" customFormat="1" ht="12.75" x14ac:dyDescent="0.2">
      <c r="B50119" s="1168"/>
    </row>
    <row r="50120" spans="2:2" s="221" customFormat="1" ht="12.75" x14ac:dyDescent="0.2">
      <c r="B50120" s="1168"/>
    </row>
    <row r="50121" spans="2:2" s="221" customFormat="1" ht="12.75" x14ac:dyDescent="0.2">
      <c r="B50121" s="1168"/>
    </row>
    <row r="50122" spans="2:2" s="221" customFormat="1" ht="12.75" x14ac:dyDescent="0.2">
      <c r="B50122" s="1168"/>
    </row>
    <row r="50123" spans="2:2" s="221" customFormat="1" ht="12.75" x14ac:dyDescent="0.2">
      <c r="B50123" s="1168"/>
    </row>
    <row r="50124" spans="2:2" s="221" customFormat="1" ht="12.75" x14ac:dyDescent="0.2">
      <c r="B50124" s="1168"/>
    </row>
    <row r="50125" spans="2:2" s="221" customFormat="1" ht="12.75" x14ac:dyDescent="0.2">
      <c r="B50125" s="1168"/>
    </row>
    <row r="50126" spans="2:2" s="221" customFormat="1" ht="12.75" x14ac:dyDescent="0.2">
      <c r="B50126" s="1168"/>
    </row>
    <row r="50127" spans="2:2" s="221" customFormat="1" ht="12.75" x14ac:dyDescent="0.2">
      <c r="B50127" s="1168"/>
    </row>
    <row r="50128" spans="2:2" s="221" customFormat="1" ht="12.75" x14ac:dyDescent="0.2">
      <c r="B50128" s="1168"/>
    </row>
    <row r="50129" spans="2:2" s="221" customFormat="1" ht="12.75" x14ac:dyDescent="0.2">
      <c r="B50129" s="1168"/>
    </row>
    <row r="50130" spans="2:2" s="221" customFormat="1" ht="12.75" x14ac:dyDescent="0.2">
      <c r="B50130" s="1168"/>
    </row>
    <row r="50131" spans="2:2" s="221" customFormat="1" ht="12.75" x14ac:dyDescent="0.2">
      <c r="B50131" s="1168"/>
    </row>
    <row r="50132" spans="2:2" s="221" customFormat="1" ht="12.75" x14ac:dyDescent="0.2">
      <c r="B50132" s="1168"/>
    </row>
    <row r="50133" spans="2:2" s="221" customFormat="1" ht="12.75" x14ac:dyDescent="0.2">
      <c r="B50133" s="1168"/>
    </row>
    <row r="50134" spans="2:2" s="221" customFormat="1" ht="12.75" x14ac:dyDescent="0.2">
      <c r="B50134" s="1168"/>
    </row>
    <row r="50135" spans="2:2" s="221" customFormat="1" ht="12.75" x14ac:dyDescent="0.2">
      <c r="B50135" s="1168"/>
    </row>
    <row r="50136" spans="2:2" s="221" customFormat="1" ht="12.75" x14ac:dyDescent="0.2">
      <c r="B50136" s="1168"/>
    </row>
    <row r="50137" spans="2:2" s="221" customFormat="1" ht="12.75" x14ac:dyDescent="0.2">
      <c r="B50137" s="1168"/>
    </row>
    <row r="50138" spans="2:2" s="221" customFormat="1" ht="12.75" x14ac:dyDescent="0.2">
      <c r="B50138" s="1168"/>
    </row>
    <row r="50139" spans="2:2" s="221" customFormat="1" ht="12.75" x14ac:dyDescent="0.2">
      <c r="B50139" s="1168"/>
    </row>
    <row r="50140" spans="2:2" s="221" customFormat="1" ht="12.75" x14ac:dyDescent="0.2">
      <c r="B50140" s="1168"/>
    </row>
    <row r="50141" spans="2:2" s="221" customFormat="1" ht="12.75" x14ac:dyDescent="0.2">
      <c r="B50141" s="1168"/>
    </row>
    <row r="50142" spans="2:2" s="221" customFormat="1" ht="12.75" x14ac:dyDescent="0.2">
      <c r="B50142" s="1168"/>
    </row>
    <row r="50143" spans="2:2" s="221" customFormat="1" ht="12.75" x14ac:dyDescent="0.2">
      <c r="B50143" s="1168"/>
    </row>
    <row r="50144" spans="2:2" s="221" customFormat="1" ht="12.75" x14ac:dyDescent="0.2">
      <c r="B50144" s="1168"/>
    </row>
    <row r="50145" spans="2:2" s="221" customFormat="1" ht="12.75" x14ac:dyDescent="0.2">
      <c r="B50145" s="1168"/>
    </row>
    <row r="50146" spans="2:2" s="221" customFormat="1" ht="12.75" x14ac:dyDescent="0.2">
      <c r="B50146" s="1168"/>
    </row>
    <row r="50147" spans="2:2" s="221" customFormat="1" ht="12.75" x14ac:dyDescent="0.2">
      <c r="B50147" s="1168"/>
    </row>
    <row r="50148" spans="2:2" s="221" customFormat="1" ht="12.75" x14ac:dyDescent="0.2">
      <c r="B50148" s="1168"/>
    </row>
    <row r="50149" spans="2:2" s="221" customFormat="1" ht="12.75" x14ac:dyDescent="0.2">
      <c r="B50149" s="1168"/>
    </row>
    <row r="50150" spans="2:2" s="221" customFormat="1" ht="12.75" x14ac:dyDescent="0.2">
      <c r="B50150" s="1168"/>
    </row>
    <row r="50151" spans="2:2" s="221" customFormat="1" ht="12.75" x14ac:dyDescent="0.2">
      <c r="B50151" s="1168"/>
    </row>
    <row r="50152" spans="2:2" s="221" customFormat="1" ht="12.75" x14ac:dyDescent="0.2">
      <c r="B50152" s="1168"/>
    </row>
    <row r="50153" spans="2:2" s="221" customFormat="1" ht="12.75" x14ac:dyDescent="0.2">
      <c r="B50153" s="1168"/>
    </row>
    <row r="50154" spans="2:2" s="221" customFormat="1" ht="12.75" x14ac:dyDescent="0.2">
      <c r="B50154" s="1168"/>
    </row>
    <row r="50155" spans="2:2" s="221" customFormat="1" ht="12.75" x14ac:dyDescent="0.2">
      <c r="B50155" s="1168"/>
    </row>
    <row r="50156" spans="2:2" s="221" customFormat="1" ht="12.75" x14ac:dyDescent="0.2">
      <c r="B50156" s="1168"/>
    </row>
    <row r="50157" spans="2:2" s="221" customFormat="1" ht="12.75" x14ac:dyDescent="0.2">
      <c r="B50157" s="1168"/>
    </row>
    <row r="50158" spans="2:2" s="221" customFormat="1" ht="12.75" x14ac:dyDescent="0.2">
      <c r="B50158" s="1168"/>
    </row>
    <row r="50159" spans="2:2" s="221" customFormat="1" ht="12.75" x14ac:dyDescent="0.2">
      <c r="B50159" s="1168"/>
    </row>
    <row r="50160" spans="2:2" s="221" customFormat="1" ht="12.75" x14ac:dyDescent="0.2">
      <c r="B50160" s="1168"/>
    </row>
    <row r="50161" spans="2:2" s="221" customFormat="1" ht="12.75" x14ac:dyDescent="0.2">
      <c r="B50161" s="1168"/>
    </row>
    <row r="50162" spans="2:2" s="221" customFormat="1" ht="12.75" x14ac:dyDescent="0.2">
      <c r="B50162" s="1168"/>
    </row>
    <row r="50163" spans="2:2" s="221" customFormat="1" ht="12.75" x14ac:dyDescent="0.2">
      <c r="B50163" s="1168"/>
    </row>
    <row r="50164" spans="2:2" s="221" customFormat="1" ht="12.75" x14ac:dyDescent="0.2">
      <c r="B50164" s="1168"/>
    </row>
    <row r="50165" spans="2:2" s="221" customFormat="1" ht="12.75" x14ac:dyDescent="0.2">
      <c r="B50165" s="1168"/>
    </row>
    <row r="50166" spans="2:2" s="221" customFormat="1" ht="12.75" x14ac:dyDescent="0.2">
      <c r="B50166" s="1168"/>
    </row>
    <row r="50167" spans="2:2" s="221" customFormat="1" ht="12.75" x14ac:dyDescent="0.2">
      <c r="B50167" s="1168"/>
    </row>
    <row r="50168" spans="2:2" s="221" customFormat="1" ht="12.75" x14ac:dyDescent="0.2">
      <c r="B50168" s="1168"/>
    </row>
    <row r="50169" spans="2:2" s="221" customFormat="1" ht="12.75" x14ac:dyDescent="0.2">
      <c r="B50169" s="1168"/>
    </row>
    <row r="50170" spans="2:2" s="221" customFormat="1" ht="12.75" x14ac:dyDescent="0.2">
      <c r="B50170" s="1168"/>
    </row>
    <row r="50171" spans="2:2" s="221" customFormat="1" ht="12.75" x14ac:dyDescent="0.2">
      <c r="B50171" s="1168"/>
    </row>
    <row r="50172" spans="2:2" s="221" customFormat="1" ht="12.75" x14ac:dyDescent="0.2">
      <c r="B50172" s="1168"/>
    </row>
    <row r="50173" spans="2:2" s="221" customFormat="1" ht="12.75" x14ac:dyDescent="0.2">
      <c r="B50173" s="1168"/>
    </row>
    <row r="50174" spans="2:2" s="221" customFormat="1" ht="12.75" x14ac:dyDescent="0.2">
      <c r="B50174" s="1168"/>
    </row>
    <row r="50175" spans="2:2" s="221" customFormat="1" ht="12.75" x14ac:dyDescent="0.2">
      <c r="B50175" s="1168"/>
    </row>
    <row r="50176" spans="2:2" s="221" customFormat="1" ht="12.75" x14ac:dyDescent="0.2">
      <c r="B50176" s="1168"/>
    </row>
    <row r="50177" spans="2:2" s="221" customFormat="1" ht="12.75" x14ac:dyDescent="0.2">
      <c r="B50177" s="1168"/>
    </row>
    <row r="50178" spans="2:2" s="221" customFormat="1" ht="12.75" x14ac:dyDescent="0.2">
      <c r="B50178" s="1168"/>
    </row>
    <row r="50179" spans="2:2" s="221" customFormat="1" ht="12.75" x14ac:dyDescent="0.2">
      <c r="B50179" s="1168"/>
    </row>
    <row r="50180" spans="2:2" s="221" customFormat="1" ht="12.75" x14ac:dyDescent="0.2">
      <c r="B50180" s="1168"/>
    </row>
    <row r="50181" spans="2:2" s="221" customFormat="1" ht="12.75" x14ac:dyDescent="0.2">
      <c r="B50181" s="1168"/>
    </row>
    <row r="50182" spans="2:2" s="221" customFormat="1" ht="12.75" x14ac:dyDescent="0.2">
      <c r="B50182" s="1168"/>
    </row>
    <row r="50183" spans="2:2" s="221" customFormat="1" ht="12.75" x14ac:dyDescent="0.2">
      <c r="B50183" s="1168"/>
    </row>
    <row r="50184" spans="2:2" s="221" customFormat="1" ht="12.75" x14ac:dyDescent="0.2">
      <c r="B50184" s="1168"/>
    </row>
    <row r="50185" spans="2:2" s="221" customFormat="1" ht="12.75" x14ac:dyDescent="0.2">
      <c r="B50185" s="1168"/>
    </row>
    <row r="50186" spans="2:2" s="221" customFormat="1" ht="12.75" x14ac:dyDescent="0.2">
      <c r="B50186" s="1168"/>
    </row>
    <row r="50187" spans="2:2" s="221" customFormat="1" ht="12.75" x14ac:dyDescent="0.2">
      <c r="B50187" s="1168"/>
    </row>
    <row r="50188" spans="2:2" s="221" customFormat="1" ht="12.75" x14ac:dyDescent="0.2">
      <c r="B50188" s="1168"/>
    </row>
    <row r="50189" spans="2:2" s="221" customFormat="1" ht="12.75" x14ac:dyDescent="0.2">
      <c r="B50189" s="1168"/>
    </row>
    <row r="50190" spans="2:2" s="221" customFormat="1" ht="12.75" x14ac:dyDescent="0.2">
      <c r="B50190" s="1168"/>
    </row>
    <row r="50191" spans="2:2" s="221" customFormat="1" ht="12.75" x14ac:dyDescent="0.2">
      <c r="B50191" s="1168"/>
    </row>
    <row r="50192" spans="2:2" s="221" customFormat="1" ht="12.75" x14ac:dyDescent="0.2">
      <c r="B50192" s="1168"/>
    </row>
    <row r="50193" spans="2:2" s="221" customFormat="1" ht="12.75" x14ac:dyDescent="0.2">
      <c r="B50193" s="1168"/>
    </row>
    <row r="50194" spans="2:2" s="221" customFormat="1" ht="12.75" x14ac:dyDescent="0.2">
      <c r="B50194" s="1168"/>
    </row>
    <row r="50195" spans="2:2" s="221" customFormat="1" ht="12.75" x14ac:dyDescent="0.2">
      <c r="B50195" s="1168"/>
    </row>
    <row r="50196" spans="2:2" s="221" customFormat="1" ht="12.75" x14ac:dyDescent="0.2">
      <c r="B50196" s="1168"/>
    </row>
    <row r="50197" spans="2:2" s="221" customFormat="1" ht="12.75" x14ac:dyDescent="0.2">
      <c r="B50197" s="1168"/>
    </row>
    <row r="50198" spans="2:2" s="221" customFormat="1" ht="12.75" x14ac:dyDescent="0.2">
      <c r="B50198" s="1168"/>
    </row>
    <row r="50199" spans="2:2" s="221" customFormat="1" ht="12.75" x14ac:dyDescent="0.2">
      <c r="B50199" s="1168"/>
    </row>
    <row r="50200" spans="2:2" s="221" customFormat="1" ht="12.75" x14ac:dyDescent="0.2">
      <c r="B50200" s="1168"/>
    </row>
    <row r="50201" spans="2:2" s="221" customFormat="1" ht="12.75" x14ac:dyDescent="0.2">
      <c r="B50201" s="1168"/>
    </row>
    <row r="50202" spans="2:2" s="221" customFormat="1" ht="12.75" x14ac:dyDescent="0.2">
      <c r="B50202" s="1168"/>
    </row>
    <row r="50203" spans="2:2" s="221" customFormat="1" ht="12.75" x14ac:dyDescent="0.2">
      <c r="B50203" s="1168"/>
    </row>
    <row r="50204" spans="2:2" s="221" customFormat="1" ht="12.75" x14ac:dyDescent="0.2">
      <c r="B50204" s="1168"/>
    </row>
    <row r="50205" spans="2:2" s="221" customFormat="1" ht="12.75" x14ac:dyDescent="0.2">
      <c r="B50205" s="1168"/>
    </row>
    <row r="50206" spans="2:2" s="221" customFormat="1" ht="12.75" x14ac:dyDescent="0.2">
      <c r="B50206" s="1168"/>
    </row>
    <row r="50207" spans="2:2" s="221" customFormat="1" ht="12.75" x14ac:dyDescent="0.2">
      <c r="B50207" s="1168"/>
    </row>
    <row r="50208" spans="2:2" s="221" customFormat="1" ht="12.75" x14ac:dyDescent="0.2">
      <c r="B50208" s="1168"/>
    </row>
    <row r="50209" spans="2:2" s="221" customFormat="1" ht="12.75" x14ac:dyDescent="0.2">
      <c r="B50209" s="1168"/>
    </row>
    <row r="50210" spans="2:2" s="221" customFormat="1" ht="12.75" x14ac:dyDescent="0.2">
      <c r="B50210" s="1168"/>
    </row>
    <row r="50211" spans="2:2" s="221" customFormat="1" ht="12.75" x14ac:dyDescent="0.2">
      <c r="B50211" s="1168"/>
    </row>
    <row r="50212" spans="2:2" s="221" customFormat="1" ht="12.75" x14ac:dyDescent="0.2">
      <c r="B50212" s="1168"/>
    </row>
    <row r="50213" spans="2:2" s="221" customFormat="1" ht="12.75" x14ac:dyDescent="0.2">
      <c r="B50213" s="1168"/>
    </row>
    <row r="50214" spans="2:2" s="221" customFormat="1" ht="12.75" x14ac:dyDescent="0.2">
      <c r="B50214" s="1168"/>
    </row>
    <row r="50215" spans="2:2" s="221" customFormat="1" ht="12.75" x14ac:dyDescent="0.2">
      <c r="B50215" s="1168"/>
    </row>
    <row r="50216" spans="2:2" s="221" customFormat="1" ht="12.75" x14ac:dyDescent="0.2">
      <c r="B50216" s="1168"/>
    </row>
    <row r="50217" spans="2:2" s="221" customFormat="1" ht="12.75" x14ac:dyDescent="0.2">
      <c r="B50217" s="1168"/>
    </row>
    <row r="50218" spans="2:2" s="221" customFormat="1" ht="12.75" x14ac:dyDescent="0.2">
      <c r="B50218" s="1168"/>
    </row>
    <row r="50219" spans="2:2" s="221" customFormat="1" ht="12.75" x14ac:dyDescent="0.2">
      <c r="B50219" s="1168"/>
    </row>
    <row r="50220" spans="2:2" s="221" customFormat="1" ht="12.75" x14ac:dyDescent="0.2">
      <c r="B50220" s="1168"/>
    </row>
    <row r="50221" spans="2:2" s="221" customFormat="1" ht="12.75" x14ac:dyDescent="0.2">
      <c r="B50221" s="1168"/>
    </row>
    <row r="50222" spans="2:2" s="221" customFormat="1" ht="12.75" x14ac:dyDescent="0.2">
      <c r="B50222" s="1168"/>
    </row>
    <row r="50223" spans="2:2" s="221" customFormat="1" ht="12.75" x14ac:dyDescent="0.2">
      <c r="B50223" s="1168"/>
    </row>
    <row r="50224" spans="2:2" s="221" customFormat="1" ht="12.75" x14ac:dyDescent="0.2">
      <c r="B50224" s="1168"/>
    </row>
    <row r="50225" spans="2:2" s="221" customFormat="1" ht="12.75" x14ac:dyDescent="0.2">
      <c r="B50225" s="1168"/>
    </row>
    <row r="50226" spans="2:2" s="221" customFormat="1" ht="12.75" x14ac:dyDescent="0.2">
      <c r="B50226" s="1168"/>
    </row>
    <row r="50227" spans="2:2" s="221" customFormat="1" ht="12.75" x14ac:dyDescent="0.2">
      <c r="B50227" s="1168"/>
    </row>
    <row r="50228" spans="2:2" s="221" customFormat="1" ht="12.75" x14ac:dyDescent="0.2">
      <c r="B50228" s="1168"/>
    </row>
    <row r="50229" spans="2:2" s="221" customFormat="1" ht="12.75" x14ac:dyDescent="0.2">
      <c r="B50229" s="1168"/>
    </row>
    <row r="50230" spans="2:2" s="221" customFormat="1" ht="12.75" x14ac:dyDescent="0.2">
      <c r="B50230" s="1168"/>
    </row>
    <row r="50231" spans="2:2" s="221" customFormat="1" ht="12.75" x14ac:dyDescent="0.2">
      <c r="B50231" s="1168"/>
    </row>
    <row r="50232" spans="2:2" s="221" customFormat="1" ht="12.75" x14ac:dyDescent="0.2">
      <c r="B50232" s="1168"/>
    </row>
    <row r="50233" spans="2:2" s="221" customFormat="1" ht="12.75" x14ac:dyDescent="0.2">
      <c r="B50233" s="1168"/>
    </row>
    <row r="50234" spans="2:2" s="221" customFormat="1" ht="12.75" x14ac:dyDescent="0.2">
      <c r="B50234" s="1168"/>
    </row>
    <row r="50235" spans="2:2" s="221" customFormat="1" ht="12.75" x14ac:dyDescent="0.2">
      <c r="B50235" s="1168"/>
    </row>
    <row r="50236" spans="2:2" s="221" customFormat="1" ht="12.75" x14ac:dyDescent="0.2">
      <c r="B50236" s="1168"/>
    </row>
    <row r="50237" spans="2:2" s="221" customFormat="1" ht="12.75" x14ac:dyDescent="0.2">
      <c r="B50237" s="1168"/>
    </row>
    <row r="50238" spans="2:2" s="221" customFormat="1" ht="12.75" x14ac:dyDescent="0.2">
      <c r="B50238" s="1168"/>
    </row>
    <row r="50239" spans="2:2" s="221" customFormat="1" ht="12.75" x14ac:dyDescent="0.2">
      <c r="B50239" s="1168"/>
    </row>
    <row r="50240" spans="2:2" s="221" customFormat="1" ht="12.75" x14ac:dyDescent="0.2">
      <c r="B50240" s="1168"/>
    </row>
    <row r="50241" spans="2:2" s="221" customFormat="1" ht="12.75" x14ac:dyDescent="0.2">
      <c r="B50241" s="1168"/>
    </row>
    <row r="50242" spans="2:2" s="221" customFormat="1" ht="12.75" x14ac:dyDescent="0.2">
      <c r="B50242" s="1168"/>
    </row>
    <row r="50243" spans="2:2" s="221" customFormat="1" ht="12.75" x14ac:dyDescent="0.2">
      <c r="B50243" s="1168"/>
    </row>
    <row r="50244" spans="2:2" s="221" customFormat="1" ht="12.75" x14ac:dyDescent="0.2">
      <c r="B50244" s="1168"/>
    </row>
    <row r="50245" spans="2:2" s="221" customFormat="1" ht="12.75" x14ac:dyDescent="0.2">
      <c r="B50245" s="1168"/>
    </row>
    <row r="50246" spans="2:2" s="221" customFormat="1" ht="12.75" x14ac:dyDescent="0.2">
      <c r="B50246" s="1168"/>
    </row>
    <row r="50247" spans="2:2" s="221" customFormat="1" ht="12.75" x14ac:dyDescent="0.2">
      <c r="B50247" s="1168"/>
    </row>
    <row r="50248" spans="2:2" s="221" customFormat="1" ht="12.75" x14ac:dyDescent="0.2">
      <c r="B50248" s="1168"/>
    </row>
    <row r="50249" spans="2:2" s="221" customFormat="1" ht="12.75" x14ac:dyDescent="0.2">
      <c r="B50249" s="1168"/>
    </row>
    <row r="50250" spans="2:2" s="221" customFormat="1" ht="12.75" x14ac:dyDescent="0.2">
      <c r="B50250" s="1168"/>
    </row>
    <row r="50251" spans="2:2" s="221" customFormat="1" ht="12.75" x14ac:dyDescent="0.2">
      <c r="B50251" s="1168"/>
    </row>
    <row r="50252" spans="2:2" s="221" customFormat="1" ht="12.75" x14ac:dyDescent="0.2">
      <c r="B50252" s="1168"/>
    </row>
    <row r="50253" spans="2:2" s="221" customFormat="1" ht="12.75" x14ac:dyDescent="0.2">
      <c r="B50253" s="1168"/>
    </row>
    <row r="50254" spans="2:2" s="221" customFormat="1" ht="12.75" x14ac:dyDescent="0.2">
      <c r="B50254" s="1168"/>
    </row>
    <row r="50255" spans="2:2" s="221" customFormat="1" ht="12.75" x14ac:dyDescent="0.2">
      <c r="B50255" s="1168"/>
    </row>
    <row r="50256" spans="2:2" s="221" customFormat="1" ht="12.75" x14ac:dyDescent="0.2">
      <c r="B50256" s="1168"/>
    </row>
    <row r="50257" spans="2:2" s="221" customFormat="1" ht="12.75" x14ac:dyDescent="0.2">
      <c r="B50257" s="1168"/>
    </row>
    <row r="50258" spans="2:2" s="221" customFormat="1" ht="12.75" x14ac:dyDescent="0.2">
      <c r="B50258" s="1168"/>
    </row>
    <row r="50259" spans="2:2" s="221" customFormat="1" ht="12.75" x14ac:dyDescent="0.2">
      <c r="B50259" s="1168"/>
    </row>
    <row r="50260" spans="2:2" s="221" customFormat="1" ht="12.75" x14ac:dyDescent="0.2">
      <c r="B50260" s="1168"/>
    </row>
    <row r="50261" spans="2:2" s="221" customFormat="1" ht="12.75" x14ac:dyDescent="0.2">
      <c r="B50261" s="1168"/>
    </row>
    <row r="50262" spans="2:2" s="221" customFormat="1" ht="12.75" x14ac:dyDescent="0.2">
      <c r="B50262" s="1168"/>
    </row>
    <row r="50263" spans="2:2" s="221" customFormat="1" ht="12.75" x14ac:dyDescent="0.2">
      <c r="B50263" s="1168"/>
    </row>
    <row r="50264" spans="2:2" s="221" customFormat="1" ht="12.75" x14ac:dyDescent="0.2">
      <c r="B50264" s="1168"/>
    </row>
    <row r="50265" spans="2:2" s="221" customFormat="1" ht="12.75" x14ac:dyDescent="0.2">
      <c r="B50265" s="1168"/>
    </row>
    <row r="50266" spans="2:2" s="221" customFormat="1" ht="12.75" x14ac:dyDescent="0.2">
      <c r="B50266" s="1168"/>
    </row>
    <row r="50267" spans="2:2" s="221" customFormat="1" ht="12.75" x14ac:dyDescent="0.2">
      <c r="B50267" s="1168"/>
    </row>
    <row r="50268" spans="2:2" s="221" customFormat="1" ht="12.75" x14ac:dyDescent="0.2">
      <c r="B50268" s="1168"/>
    </row>
    <row r="50269" spans="2:2" s="221" customFormat="1" ht="12.75" x14ac:dyDescent="0.2">
      <c r="B50269" s="1168"/>
    </row>
    <row r="50270" spans="2:2" s="221" customFormat="1" ht="12.75" x14ac:dyDescent="0.2">
      <c r="B50270" s="1168"/>
    </row>
    <row r="50271" spans="2:2" s="221" customFormat="1" ht="12.75" x14ac:dyDescent="0.2">
      <c r="B50271" s="1168"/>
    </row>
    <row r="50272" spans="2:2" s="221" customFormat="1" ht="12.75" x14ac:dyDescent="0.2">
      <c r="B50272" s="1168"/>
    </row>
    <row r="50273" spans="2:2" s="221" customFormat="1" ht="12.75" x14ac:dyDescent="0.2">
      <c r="B50273" s="1168"/>
    </row>
    <row r="50274" spans="2:2" s="221" customFormat="1" ht="12.75" x14ac:dyDescent="0.2">
      <c r="B50274" s="1168"/>
    </row>
    <row r="50275" spans="2:2" s="221" customFormat="1" ht="12.75" x14ac:dyDescent="0.2">
      <c r="B50275" s="1168"/>
    </row>
    <row r="50276" spans="2:2" s="221" customFormat="1" ht="12.75" x14ac:dyDescent="0.2">
      <c r="B50276" s="1168"/>
    </row>
    <row r="50277" spans="2:2" s="221" customFormat="1" ht="12.75" x14ac:dyDescent="0.2">
      <c r="B50277" s="1168"/>
    </row>
    <row r="50278" spans="2:2" s="221" customFormat="1" ht="12.75" x14ac:dyDescent="0.2">
      <c r="B50278" s="1168"/>
    </row>
    <row r="50279" spans="2:2" s="221" customFormat="1" ht="12.75" x14ac:dyDescent="0.2">
      <c r="B50279" s="1168"/>
    </row>
    <row r="50280" spans="2:2" s="221" customFormat="1" ht="12.75" x14ac:dyDescent="0.2">
      <c r="B50280" s="1168"/>
    </row>
    <row r="50281" spans="2:2" s="221" customFormat="1" ht="12.75" x14ac:dyDescent="0.2">
      <c r="B50281" s="1168"/>
    </row>
    <row r="50282" spans="2:2" s="221" customFormat="1" ht="12.75" x14ac:dyDescent="0.2">
      <c r="B50282" s="1168"/>
    </row>
    <row r="50283" spans="2:2" s="221" customFormat="1" ht="12.75" x14ac:dyDescent="0.2">
      <c r="B50283" s="1168"/>
    </row>
    <row r="50284" spans="2:2" s="221" customFormat="1" ht="12.75" x14ac:dyDescent="0.2">
      <c r="B50284" s="1168"/>
    </row>
    <row r="50285" spans="2:2" s="221" customFormat="1" ht="12.75" x14ac:dyDescent="0.2">
      <c r="B50285" s="1168"/>
    </row>
    <row r="50286" spans="2:2" s="221" customFormat="1" ht="12.75" x14ac:dyDescent="0.2">
      <c r="B50286" s="1168"/>
    </row>
    <row r="50287" spans="2:2" s="221" customFormat="1" ht="12.75" x14ac:dyDescent="0.2">
      <c r="B50287" s="1168"/>
    </row>
    <row r="50288" spans="2:2" s="221" customFormat="1" ht="12.75" x14ac:dyDescent="0.2">
      <c r="B50288" s="1168"/>
    </row>
    <row r="50289" spans="2:2" s="221" customFormat="1" ht="12.75" x14ac:dyDescent="0.2">
      <c r="B50289" s="1168"/>
    </row>
    <row r="50290" spans="2:2" s="221" customFormat="1" ht="12.75" x14ac:dyDescent="0.2">
      <c r="B50290" s="1168"/>
    </row>
    <row r="50291" spans="2:2" s="221" customFormat="1" ht="12.75" x14ac:dyDescent="0.2">
      <c r="B50291" s="1168"/>
    </row>
    <row r="50292" spans="2:2" s="221" customFormat="1" ht="12.75" x14ac:dyDescent="0.2">
      <c r="B50292" s="1168"/>
    </row>
    <row r="50293" spans="2:2" s="221" customFormat="1" ht="12.75" x14ac:dyDescent="0.2">
      <c r="B50293" s="1168"/>
    </row>
    <row r="50294" spans="2:2" s="221" customFormat="1" ht="12.75" x14ac:dyDescent="0.2">
      <c r="B50294" s="1168"/>
    </row>
    <row r="50295" spans="2:2" s="221" customFormat="1" ht="12.75" x14ac:dyDescent="0.2">
      <c r="B50295" s="1168"/>
    </row>
    <row r="50296" spans="2:2" s="221" customFormat="1" ht="12.75" x14ac:dyDescent="0.2">
      <c r="B50296" s="1168"/>
    </row>
    <row r="50297" spans="2:2" s="221" customFormat="1" ht="12.75" x14ac:dyDescent="0.2">
      <c r="B50297" s="1168"/>
    </row>
    <row r="50298" spans="2:2" s="221" customFormat="1" ht="12.75" x14ac:dyDescent="0.2">
      <c r="B50298" s="1168"/>
    </row>
    <row r="50299" spans="2:2" s="221" customFormat="1" ht="12.75" x14ac:dyDescent="0.2">
      <c r="B50299" s="1168"/>
    </row>
    <row r="50300" spans="2:2" s="221" customFormat="1" ht="12.75" x14ac:dyDescent="0.2">
      <c r="B50300" s="1168"/>
    </row>
    <row r="50301" spans="2:2" s="221" customFormat="1" ht="12.75" x14ac:dyDescent="0.2">
      <c r="B50301" s="1168"/>
    </row>
    <row r="50302" spans="2:2" s="221" customFormat="1" ht="12.75" x14ac:dyDescent="0.2">
      <c r="B50302" s="1168"/>
    </row>
    <row r="50303" spans="2:2" s="221" customFormat="1" ht="12.75" x14ac:dyDescent="0.2">
      <c r="B50303" s="1168"/>
    </row>
    <row r="50304" spans="2:2" s="221" customFormat="1" ht="12.75" x14ac:dyDescent="0.2">
      <c r="B50304" s="1168"/>
    </row>
    <row r="50305" spans="2:2" s="221" customFormat="1" ht="12.75" x14ac:dyDescent="0.2">
      <c r="B50305" s="1168"/>
    </row>
    <row r="50306" spans="2:2" s="221" customFormat="1" ht="12.75" x14ac:dyDescent="0.2">
      <c r="B50306" s="1168"/>
    </row>
    <row r="50307" spans="2:2" s="221" customFormat="1" ht="12.75" x14ac:dyDescent="0.2">
      <c r="B50307" s="1168"/>
    </row>
    <row r="50308" spans="2:2" s="221" customFormat="1" ht="12.75" x14ac:dyDescent="0.2">
      <c r="B50308" s="1168"/>
    </row>
    <row r="50309" spans="2:2" s="221" customFormat="1" ht="12.75" x14ac:dyDescent="0.2">
      <c r="B50309" s="1168"/>
    </row>
    <row r="50310" spans="2:2" s="221" customFormat="1" ht="12.75" x14ac:dyDescent="0.2">
      <c r="B50310" s="1168"/>
    </row>
    <row r="50311" spans="2:2" s="221" customFormat="1" ht="12.75" x14ac:dyDescent="0.2">
      <c r="B50311" s="1168"/>
    </row>
    <row r="50312" spans="2:2" s="221" customFormat="1" ht="12.75" x14ac:dyDescent="0.2">
      <c r="B50312" s="1168"/>
    </row>
    <row r="50313" spans="2:2" s="221" customFormat="1" ht="12.75" x14ac:dyDescent="0.2">
      <c r="B50313" s="1168"/>
    </row>
    <row r="50314" spans="2:2" s="221" customFormat="1" ht="12.75" x14ac:dyDescent="0.2">
      <c r="B50314" s="1168"/>
    </row>
    <row r="50315" spans="2:2" s="221" customFormat="1" ht="12.75" x14ac:dyDescent="0.2">
      <c r="B50315" s="1168"/>
    </row>
    <row r="50316" spans="2:2" s="221" customFormat="1" ht="12.75" x14ac:dyDescent="0.2">
      <c r="B50316" s="1168"/>
    </row>
    <row r="50317" spans="2:2" s="221" customFormat="1" ht="12.75" x14ac:dyDescent="0.2">
      <c r="B50317" s="1168"/>
    </row>
    <row r="50318" spans="2:2" s="221" customFormat="1" ht="12.75" x14ac:dyDescent="0.2">
      <c r="B50318" s="1168"/>
    </row>
    <row r="50319" spans="2:2" s="221" customFormat="1" ht="12.75" x14ac:dyDescent="0.2">
      <c r="B50319" s="1168"/>
    </row>
    <row r="50320" spans="2:2" s="221" customFormat="1" ht="12.75" x14ac:dyDescent="0.2">
      <c r="B50320" s="1168"/>
    </row>
    <row r="50321" spans="2:2" s="221" customFormat="1" ht="12.75" x14ac:dyDescent="0.2">
      <c r="B50321" s="1168"/>
    </row>
    <row r="50322" spans="2:2" s="221" customFormat="1" ht="12.75" x14ac:dyDescent="0.2">
      <c r="B50322" s="1168"/>
    </row>
    <row r="50323" spans="2:2" s="221" customFormat="1" ht="12.75" x14ac:dyDescent="0.2">
      <c r="B50323" s="1168"/>
    </row>
    <row r="50324" spans="2:2" s="221" customFormat="1" ht="12.75" x14ac:dyDescent="0.2">
      <c r="B50324" s="1168"/>
    </row>
    <row r="50325" spans="2:2" s="221" customFormat="1" ht="12.75" x14ac:dyDescent="0.2">
      <c r="B50325" s="1168"/>
    </row>
    <row r="50326" spans="2:2" s="221" customFormat="1" ht="12.75" x14ac:dyDescent="0.2">
      <c r="B50326" s="1168"/>
    </row>
    <row r="50327" spans="2:2" s="221" customFormat="1" ht="12.75" x14ac:dyDescent="0.2">
      <c r="B50327" s="1168"/>
    </row>
    <row r="50328" spans="2:2" s="221" customFormat="1" ht="12.75" x14ac:dyDescent="0.2">
      <c r="B50328" s="1168"/>
    </row>
    <row r="50329" spans="2:2" s="221" customFormat="1" ht="12.75" x14ac:dyDescent="0.2">
      <c r="B50329" s="1168"/>
    </row>
    <row r="50330" spans="2:2" s="221" customFormat="1" ht="12.75" x14ac:dyDescent="0.2">
      <c r="B50330" s="1168"/>
    </row>
    <row r="50331" spans="2:2" s="221" customFormat="1" ht="12.75" x14ac:dyDescent="0.2">
      <c r="B50331" s="1168"/>
    </row>
    <row r="50332" spans="2:2" s="221" customFormat="1" ht="12.75" x14ac:dyDescent="0.2">
      <c r="B50332" s="1168"/>
    </row>
    <row r="50333" spans="2:2" s="221" customFormat="1" ht="12.75" x14ac:dyDescent="0.2">
      <c r="B50333" s="1168"/>
    </row>
    <row r="50334" spans="2:2" s="221" customFormat="1" ht="12.75" x14ac:dyDescent="0.2">
      <c r="B50334" s="1168"/>
    </row>
    <row r="50335" spans="2:2" s="221" customFormat="1" ht="12.75" x14ac:dyDescent="0.2">
      <c r="B50335" s="1168"/>
    </row>
    <row r="50336" spans="2:2" s="221" customFormat="1" ht="12.75" x14ac:dyDescent="0.2">
      <c r="B50336" s="1168"/>
    </row>
    <row r="50337" spans="2:2" s="221" customFormat="1" ht="12.75" x14ac:dyDescent="0.2">
      <c r="B50337" s="1168"/>
    </row>
    <row r="50338" spans="2:2" s="221" customFormat="1" ht="12.75" x14ac:dyDescent="0.2">
      <c r="B50338" s="1168"/>
    </row>
    <row r="50339" spans="2:2" s="221" customFormat="1" ht="12.75" x14ac:dyDescent="0.2">
      <c r="B50339" s="1168"/>
    </row>
    <row r="50340" spans="2:2" s="221" customFormat="1" ht="12.75" x14ac:dyDescent="0.2">
      <c r="B50340" s="1168"/>
    </row>
    <row r="50341" spans="2:2" s="221" customFormat="1" ht="12.75" x14ac:dyDescent="0.2">
      <c r="B50341" s="1168"/>
    </row>
    <row r="50342" spans="2:2" s="221" customFormat="1" ht="12.75" x14ac:dyDescent="0.2">
      <c r="B50342" s="1168"/>
    </row>
    <row r="50343" spans="2:2" s="221" customFormat="1" ht="12.75" x14ac:dyDescent="0.2">
      <c r="B50343" s="1168"/>
    </row>
    <row r="50344" spans="2:2" s="221" customFormat="1" ht="12.75" x14ac:dyDescent="0.2">
      <c r="B50344" s="1168"/>
    </row>
    <row r="50345" spans="2:2" s="221" customFormat="1" ht="12.75" x14ac:dyDescent="0.2">
      <c r="B50345" s="1168"/>
    </row>
    <row r="50346" spans="2:2" s="221" customFormat="1" ht="12.75" x14ac:dyDescent="0.2">
      <c r="B50346" s="1168"/>
    </row>
    <row r="50347" spans="2:2" s="221" customFormat="1" ht="12.75" x14ac:dyDescent="0.2">
      <c r="B50347" s="1168"/>
    </row>
    <row r="50348" spans="2:2" s="221" customFormat="1" ht="12.75" x14ac:dyDescent="0.2">
      <c r="B50348" s="1168"/>
    </row>
    <row r="50349" spans="2:2" s="221" customFormat="1" ht="12.75" x14ac:dyDescent="0.2">
      <c r="B50349" s="1168"/>
    </row>
    <row r="50350" spans="2:2" s="221" customFormat="1" ht="12.75" x14ac:dyDescent="0.2">
      <c r="B50350" s="1168"/>
    </row>
    <row r="50351" spans="2:2" s="221" customFormat="1" ht="12.75" x14ac:dyDescent="0.2">
      <c r="B50351" s="1168"/>
    </row>
    <row r="50352" spans="2:2" s="221" customFormat="1" ht="12.75" x14ac:dyDescent="0.2">
      <c r="B50352" s="1168"/>
    </row>
    <row r="50353" spans="2:2" s="221" customFormat="1" ht="12.75" x14ac:dyDescent="0.2">
      <c r="B50353" s="1168"/>
    </row>
    <row r="50354" spans="2:2" s="221" customFormat="1" ht="12.75" x14ac:dyDescent="0.2">
      <c r="B50354" s="1168"/>
    </row>
    <row r="50355" spans="2:2" s="221" customFormat="1" ht="12.75" x14ac:dyDescent="0.2">
      <c r="B50355" s="1168"/>
    </row>
    <row r="50356" spans="2:2" s="221" customFormat="1" ht="12.75" x14ac:dyDescent="0.2">
      <c r="B50356" s="1168"/>
    </row>
    <row r="50357" spans="2:2" s="221" customFormat="1" ht="12.75" x14ac:dyDescent="0.2">
      <c r="B50357" s="1168"/>
    </row>
    <row r="50358" spans="2:2" s="221" customFormat="1" ht="12.75" x14ac:dyDescent="0.2">
      <c r="B50358" s="1168"/>
    </row>
    <row r="50359" spans="2:2" s="221" customFormat="1" ht="12.75" x14ac:dyDescent="0.2">
      <c r="B50359" s="1168"/>
    </row>
    <row r="50360" spans="2:2" s="221" customFormat="1" ht="12.75" x14ac:dyDescent="0.2">
      <c r="B50360" s="1168"/>
    </row>
    <row r="50361" spans="2:2" s="221" customFormat="1" ht="12.75" x14ac:dyDescent="0.2">
      <c r="B50361" s="1168"/>
    </row>
    <row r="50362" spans="2:2" s="221" customFormat="1" ht="12.75" x14ac:dyDescent="0.2">
      <c r="B50362" s="1168"/>
    </row>
    <row r="50363" spans="2:2" s="221" customFormat="1" ht="12.75" x14ac:dyDescent="0.2">
      <c r="B50363" s="1168"/>
    </row>
    <row r="50364" spans="2:2" s="221" customFormat="1" ht="12.75" x14ac:dyDescent="0.2">
      <c r="B50364" s="1168"/>
    </row>
    <row r="50365" spans="2:2" s="221" customFormat="1" ht="12.75" x14ac:dyDescent="0.2">
      <c r="B50365" s="1168"/>
    </row>
    <row r="50366" spans="2:2" s="221" customFormat="1" ht="12.75" x14ac:dyDescent="0.2">
      <c r="B50366" s="1168"/>
    </row>
    <row r="50367" spans="2:2" s="221" customFormat="1" ht="12.75" x14ac:dyDescent="0.2">
      <c r="B50367" s="1168"/>
    </row>
    <row r="50368" spans="2:2" s="221" customFormat="1" ht="12.75" x14ac:dyDescent="0.2">
      <c r="B50368" s="1168"/>
    </row>
    <row r="50369" spans="2:2" s="221" customFormat="1" ht="12.75" x14ac:dyDescent="0.2">
      <c r="B50369" s="1168"/>
    </row>
    <row r="50370" spans="2:2" s="221" customFormat="1" ht="12.75" x14ac:dyDescent="0.2">
      <c r="B50370" s="1168"/>
    </row>
    <row r="50371" spans="2:2" s="221" customFormat="1" ht="12.75" x14ac:dyDescent="0.2">
      <c r="B50371" s="1168"/>
    </row>
    <row r="50372" spans="2:2" s="221" customFormat="1" ht="12.75" x14ac:dyDescent="0.2">
      <c r="B50372" s="1168"/>
    </row>
    <row r="50373" spans="2:2" s="221" customFormat="1" ht="12.75" x14ac:dyDescent="0.2">
      <c r="B50373" s="1168"/>
    </row>
    <row r="50374" spans="2:2" s="221" customFormat="1" ht="12.75" x14ac:dyDescent="0.2">
      <c r="B50374" s="1168"/>
    </row>
    <row r="50375" spans="2:2" s="221" customFormat="1" ht="12.75" x14ac:dyDescent="0.2">
      <c r="B50375" s="1168"/>
    </row>
    <row r="50376" spans="2:2" s="221" customFormat="1" ht="12.75" x14ac:dyDescent="0.2">
      <c r="B50376" s="1168"/>
    </row>
    <row r="50377" spans="2:2" s="221" customFormat="1" ht="12.75" x14ac:dyDescent="0.2">
      <c r="B50377" s="1168"/>
    </row>
    <row r="50378" spans="2:2" s="221" customFormat="1" ht="12.75" x14ac:dyDescent="0.2">
      <c r="B50378" s="1168"/>
    </row>
    <row r="50379" spans="2:2" s="221" customFormat="1" ht="12.75" x14ac:dyDescent="0.2">
      <c r="B50379" s="1168"/>
    </row>
    <row r="50380" spans="2:2" s="221" customFormat="1" ht="12.75" x14ac:dyDescent="0.2">
      <c r="B50380" s="1168"/>
    </row>
    <row r="50381" spans="2:2" s="221" customFormat="1" ht="12.75" x14ac:dyDescent="0.2">
      <c r="B50381" s="1168"/>
    </row>
    <row r="50382" spans="2:2" s="221" customFormat="1" ht="12.75" x14ac:dyDescent="0.2">
      <c r="B50382" s="1168"/>
    </row>
    <row r="50383" spans="2:2" s="221" customFormat="1" ht="12.75" x14ac:dyDescent="0.2">
      <c r="B50383" s="1168"/>
    </row>
    <row r="50384" spans="2:2" s="221" customFormat="1" ht="12.75" x14ac:dyDescent="0.2">
      <c r="B50384" s="1168"/>
    </row>
    <row r="50385" spans="2:2" s="221" customFormat="1" ht="12.75" x14ac:dyDescent="0.2">
      <c r="B50385" s="1168"/>
    </row>
    <row r="50386" spans="2:2" s="221" customFormat="1" ht="12.75" x14ac:dyDescent="0.2">
      <c r="B50386" s="1168"/>
    </row>
    <row r="50387" spans="2:2" s="221" customFormat="1" ht="12.75" x14ac:dyDescent="0.2">
      <c r="B50387" s="1168"/>
    </row>
    <row r="50388" spans="2:2" s="221" customFormat="1" ht="12.75" x14ac:dyDescent="0.2">
      <c r="B50388" s="1168"/>
    </row>
    <row r="50389" spans="2:2" s="221" customFormat="1" ht="12.75" x14ac:dyDescent="0.2">
      <c r="B50389" s="1168"/>
    </row>
    <row r="50390" spans="2:2" s="221" customFormat="1" ht="12.75" x14ac:dyDescent="0.2">
      <c r="B50390" s="1168"/>
    </row>
    <row r="50391" spans="2:2" s="221" customFormat="1" ht="12.75" x14ac:dyDescent="0.2">
      <c r="B50391" s="1168"/>
    </row>
    <row r="50392" spans="2:2" s="221" customFormat="1" ht="12.75" x14ac:dyDescent="0.2">
      <c r="B50392" s="1168"/>
    </row>
    <row r="50393" spans="2:2" s="221" customFormat="1" ht="12.75" x14ac:dyDescent="0.2">
      <c r="B50393" s="1168"/>
    </row>
    <row r="50394" spans="2:2" s="221" customFormat="1" ht="12.75" x14ac:dyDescent="0.2">
      <c r="B50394" s="1168"/>
    </row>
    <row r="50395" spans="2:2" s="221" customFormat="1" ht="12.75" x14ac:dyDescent="0.2">
      <c r="B50395" s="1168"/>
    </row>
    <row r="50396" spans="2:2" s="221" customFormat="1" ht="12.75" x14ac:dyDescent="0.2">
      <c r="B50396" s="1168"/>
    </row>
    <row r="50397" spans="2:2" s="221" customFormat="1" ht="12.75" x14ac:dyDescent="0.2">
      <c r="B50397" s="1168"/>
    </row>
    <row r="50398" spans="2:2" s="221" customFormat="1" ht="12.75" x14ac:dyDescent="0.2">
      <c r="B50398" s="1168"/>
    </row>
    <row r="50399" spans="2:2" s="221" customFormat="1" ht="12.75" x14ac:dyDescent="0.2">
      <c r="B50399" s="1168"/>
    </row>
    <row r="50400" spans="2:2" s="221" customFormat="1" ht="12.75" x14ac:dyDescent="0.2">
      <c r="B50400" s="1168"/>
    </row>
    <row r="50401" spans="2:2" s="221" customFormat="1" ht="12.75" x14ac:dyDescent="0.2">
      <c r="B50401" s="1168"/>
    </row>
    <row r="50402" spans="2:2" s="221" customFormat="1" ht="12.75" x14ac:dyDescent="0.2">
      <c r="B50402" s="1168"/>
    </row>
    <row r="50403" spans="2:2" s="221" customFormat="1" ht="12.75" x14ac:dyDescent="0.2">
      <c r="B50403" s="1168"/>
    </row>
    <row r="50404" spans="2:2" s="221" customFormat="1" ht="12.75" x14ac:dyDescent="0.2">
      <c r="B50404" s="1168"/>
    </row>
    <row r="50405" spans="2:2" s="221" customFormat="1" ht="12.75" x14ac:dyDescent="0.2">
      <c r="B50405" s="1168"/>
    </row>
    <row r="50406" spans="2:2" s="221" customFormat="1" ht="12.75" x14ac:dyDescent="0.2">
      <c r="B50406" s="1168"/>
    </row>
    <row r="50407" spans="2:2" s="221" customFormat="1" ht="12.75" x14ac:dyDescent="0.2">
      <c r="B50407" s="1168"/>
    </row>
    <row r="50408" spans="2:2" s="221" customFormat="1" ht="12.75" x14ac:dyDescent="0.2">
      <c r="B50408" s="1168"/>
    </row>
    <row r="50409" spans="2:2" s="221" customFormat="1" ht="12.75" x14ac:dyDescent="0.2">
      <c r="B50409" s="1168"/>
    </row>
    <row r="50410" spans="2:2" s="221" customFormat="1" ht="12.75" x14ac:dyDescent="0.2">
      <c r="B50410" s="1168"/>
    </row>
    <row r="50411" spans="2:2" s="221" customFormat="1" ht="12.75" x14ac:dyDescent="0.2">
      <c r="B50411" s="1168"/>
    </row>
    <row r="50412" spans="2:2" s="221" customFormat="1" ht="12.75" x14ac:dyDescent="0.2">
      <c r="B50412" s="1168"/>
    </row>
    <row r="50413" spans="2:2" s="221" customFormat="1" ht="12.75" x14ac:dyDescent="0.2">
      <c r="B50413" s="1168"/>
    </row>
    <row r="50414" spans="2:2" s="221" customFormat="1" ht="12.75" x14ac:dyDescent="0.2">
      <c r="B50414" s="1168"/>
    </row>
    <row r="50415" spans="2:2" s="221" customFormat="1" ht="12.75" x14ac:dyDescent="0.2">
      <c r="B50415" s="1168"/>
    </row>
    <row r="50416" spans="2:2" s="221" customFormat="1" ht="12.75" x14ac:dyDescent="0.2">
      <c r="B50416" s="1168"/>
    </row>
    <row r="50417" spans="2:2" s="221" customFormat="1" ht="12.75" x14ac:dyDescent="0.2">
      <c r="B50417" s="1168"/>
    </row>
    <row r="50418" spans="2:2" s="221" customFormat="1" ht="12.75" x14ac:dyDescent="0.2">
      <c r="B50418" s="1168"/>
    </row>
    <row r="50419" spans="2:2" s="221" customFormat="1" ht="12.75" x14ac:dyDescent="0.2">
      <c r="B50419" s="1168"/>
    </row>
    <row r="50420" spans="2:2" s="221" customFormat="1" ht="12.75" x14ac:dyDescent="0.2">
      <c r="B50420" s="1168"/>
    </row>
    <row r="50421" spans="2:2" s="221" customFormat="1" ht="12.75" x14ac:dyDescent="0.2">
      <c r="B50421" s="1168"/>
    </row>
    <row r="50422" spans="2:2" s="221" customFormat="1" ht="12.75" x14ac:dyDescent="0.2">
      <c r="B50422" s="1168"/>
    </row>
    <row r="50423" spans="2:2" s="221" customFormat="1" ht="12.75" x14ac:dyDescent="0.2">
      <c r="B50423" s="1168"/>
    </row>
    <row r="50424" spans="2:2" s="221" customFormat="1" ht="12.75" x14ac:dyDescent="0.2">
      <c r="B50424" s="1168"/>
    </row>
    <row r="50425" spans="2:2" s="221" customFormat="1" ht="12.75" x14ac:dyDescent="0.2">
      <c r="B50425" s="1168"/>
    </row>
    <row r="50426" spans="2:2" s="221" customFormat="1" ht="12.75" x14ac:dyDescent="0.2">
      <c r="B50426" s="1168"/>
    </row>
    <row r="50427" spans="2:2" s="221" customFormat="1" ht="12.75" x14ac:dyDescent="0.2">
      <c r="B50427" s="1168"/>
    </row>
    <row r="50428" spans="2:2" s="221" customFormat="1" ht="12.75" x14ac:dyDescent="0.2">
      <c r="B50428" s="1168"/>
    </row>
    <row r="50429" spans="2:2" s="221" customFormat="1" ht="12.75" x14ac:dyDescent="0.2">
      <c r="B50429" s="1168"/>
    </row>
    <row r="50430" spans="2:2" s="221" customFormat="1" ht="12.75" x14ac:dyDescent="0.2">
      <c r="B50430" s="1168"/>
    </row>
    <row r="50431" spans="2:2" s="221" customFormat="1" ht="12.75" x14ac:dyDescent="0.2">
      <c r="B50431" s="1168"/>
    </row>
    <row r="50432" spans="2:2" s="221" customFormat="1" ht="12.75" x14ac:dyDescent="0.2">
      <c r="B50432" s="1168"/>
    </row>
    <row r="50433" spans="2:2" s="221" customFormat="1" ht="12.75" x14ac:dyDescent="0.2">
      <c r="B50433" s="1168"/>
    </row>
    <row r="50434" spans="2:2" s="221" customFormat="1" ht="12.75" x14ac:dyDescent="0.2">
      <c r="B50434" s="1168"/>
    </row>
    <row r="50435" spans="2:2" s="221" customFormat="1" ht="12.75" x14ac:dyDescent="0.2">
      <c r="B50435" s="1168"/>
    </row>
    <row r="50436" spans="2:2" s="221" customFormat="1" ht="12.75" x14ac:dyDescent="0.2">
      <c r="B50436" s="1168"/>
    </row>
    <row r="50437" spans="2:2" s="221" customFormat="1" ht="12.75" x14ac:dyDescent="0.2">
      <c r="B50437" s="1168"/>
    </row>
    <row r="50438" spans="2:2" s="221" customFormat="1" ht="12.75" x14ac:dyDescent="0.2">
      <c r="B50438" s="1168"/>
    </row>
    <row r="50439" spans="2:2" s="221" customFormat="1" ht="12.75" x14ac:dyDescent="0.2">
      <c r="B50439" s="1168"/>
    </row>
    <row r="50440" spans="2:2" s="221" customFormat="1" ht="12.75" x14ac:dyDescent="0.2">
      <c r="B50440" s="1168"/>
    </row>
    <row r="50441" spans="2:2" s="221" customFormat="1" ht="12.75" x14ac:dyDescent="0.2">
      <c r="B50441" s="1168"/>
    </row>
    <row r="50442" spans="2:2" s="221" customFormat="1" ht="12.75" x14ac:dyDescent="0.2">
      <c r="B50442" s="1168"/>
    </row>
    <row r="50443" spans="2:2" s="221" customFormat="1" ht="12.75" x14ac:dyDescent="0.2">
      <c r="B50443" s="1168"/>
    </row>
    <row r="50444" spans="2:2" s="221" customFormat="1" ht="12.75" x14ac:dyDescent="0.2">
      <c r="B50444" s="1168"/>
    </row>
    <row r="50445" spans="2:2" s="221" customFormat="1" ht="12.75" x14ac:dyDescent="0.2">
      <c r="B50445" s="1168"/>
    </row>
    <row r="50446" spans="2:2" s="221" customFormat="1" ht="12.75" x14ac:dyDescent="0.2">
      <c r="B50446" s="1168"/>
    </row>
    <row r="50447" spans="2:2" s="221" customFormat="1" ht="12.75" x14ac:dyDescent="0.2">
      <c r="B50447" s="1168"/>
    </row>
    <row r="50448" spans="2:2" s="221" customFormat="1" ht="12.75" x14ac:dyDescent="0.2">
      <c r="B50448" s="1168"/>
    </row>
    <row r="50449" spans="2:2" s="221" customFormat="1" ht="12.75" x14ac:dyDescent="0.2">
      <c r="B50449" s="1168"/>
    </row>
    <row r="50450" spans="2:2" s="221" customFormat="1" ht="12.75" x14ac:dyDescent="0.2">
      <c r="B50450" s="1168"/>
    </row>
    <row r="50451" spans="2:2" s="221" customFormat="1" ht="12.75" x14ac:dyDescent="0.2">
      <c r="B50451" s="1168"/>
    </row>
    <row r="50452" spans="2:2" s="221" customFormat="1" ht="12.75" x14ac:dyDescent="0.2">
      <c r="B50452" s="1168"/>
    </row>
    <row r="50453" spans="2:2" s="221" customFormat="1" ht="12.75" x14ac:dyDescent="0.2">
      <c r="B50453" s="1168"/>
    </row>
    <row r="50454" spans="2:2" s="221" customFormat="1" ht="12.75" x14ac:dyDescent="0.2">
      <c r="B50454" s="1168"/>
    </row>
    <row r="50455" spans="2:2" s="221" customFormat="1" ht="12.75" x14ac:dyDescent="0.2">
      <c r="B50455" s="1168"/>
    </row>
    <row r="50456" spans="2:2" s="221" customFormat="1" ht="12.75" x14ac:dyDescent="0.2">
      <c r="B50456" s="1168"/>
    </row>
    <row r="50457" spans="2:2" s="221" customFormat="1" ht="12.75" x14ac:dyDescent="0.2">
      <c r="B50457" s="1168"/>
    </row>
    <row r="50458" spans="2:2" s="221" customFormat="1" ht="12.75" x14ac:dyDescent="0.2">
      <c r="B50458" s="1168"/>
    </row>
    <row r="50459" spans="2:2" s="221" customFormat="1" ht="12.75" x14ac:dyDescent="0.2">
      <c r="B50459" s="1168"/>
    </row>
    <row r="50460" spans="2:2" s="221" customFormat="1" ht="12.75" x14ac:dyDescent="0.2">
      <c r="B50460" s="1168"/>
    </row>
    <row r="50461" spans="2:2" s="221" customFormat="1" ht="12.75" x14ac:dyDescent="0.2">
      <c r="B50461" s="1168"/>
    </row>
    <row r="50462" spans="2:2" s="221" customFormat="1" ht="12.75" x14ac:dyDescent="0.2">
      <c r="B50462" s="1168"/>
    </row>
    <row r="50463" spans="2:2" s="221" customFormat="1" ht="12.75" x14ac:dyDescent="0.2">
      <c r="B50463" s="1168"/>
    </row>
    <row r="50464" spans="2:2" s="221" customFormat="1" ht="12.75" x14ac:dyDescent="0.2">
      <c r="B50464" s="1168"/>
    </row>
    <row r="50465" spans="2:2" s="221" customFormat="1" ht="12.75" x14ac:dyDescent="0.2">
      <c r="B50465" s="1168"/>
    </row>
    <row r="50466" spans="2:2" s="221" customFormat="1" ht="12.75" x14ac:dyDescent="0.2">
      <c r="B50466" s="1168"/>
    </row>
    <row r="50467" spans="2:2" s="221" customFormat="1" ht="12.75" x14ac:dyDescent="0.2">
      <c r="B50467" s="1168"/>
    </row>
    <row r="50468" spans="2:2" s="221" customFormat="1" ht="12.75" x14ac:dyDescent="0.2">
      <c r="B50468" s="1168"/>
    </row>
    <row r="50469" spans="2:2" s="221" customFormat="1" ht="12.75" x14ac:dyDescent="0.2">
      <c r="B50469" s="1168"/>
    </row>
    <row r="50470" spans="2:2" s="221" customFormat="1" ht="12.75" x14ac:dyDescent="0.2">
      <c r="B50470" s="1168"/>
    </row>
    <row r="50471" spans="2:2" s="221" customFormat="1" ht="12.75" x14ac:dyDescent="0.2">
      <c r="B50471" s="1168"/>
    </row>
    <row r="50472" spans="2:2" s="221" customFormat="1" ht="12.75" x14ac:dyDescent="0.2">
      <c r="B50472" s="1168"/>
    </row>
    <row r="50473" spans="2:2" s="221" customFormat="1" ht="12.75" x14ac:dyDescent="0.2">
      <c r="B50473" s="1168"/>
    </row>
    <row r="50474" spans="2:2" s="221" customFormat="1" ht="12.75" x14ac:dyDescent="0.2">
      <c r="B50474" s="1168"/>
    </row>
    <row r="50475" spans="2:2" s="221" customFormat="1" ht="12.75" x14ac:dyDescent="0.2">
      <c r="B50475" s="1168"/>
    </row>
    <row r="50476" spans="2:2" s="221" customFormat="1" ht="12.75" x14ac:dyDescent="0.2">
      <c r="B50476" s="1168"/>
    </row>
    <row r="50477" spans="2:2" s="221" customFormat="1" ht="12.75" x14ac:dyDescent="0.2">
      <c r="B50477" s="1168"/>
    </row>
    <row r="50478" spans="2:2" s="221" customFormat="1" ht="12.75" x14ac:dyDescent="0.2">
      <c r="B50478" s="1168"/>
    </row>
    <row r="50479" spans="2:2" s="221" customFormat="1" ht="12.75" x14ac:dyDescent="0.2">
      <c r="B50479" s="1168"/>
    </row>
    <row r="50480" spans="2:2" s="221" customFormat="1" ht="12.75" x14ac:dyDescent="0.2">
      <c r="B50480" s="1168"/>
    </row>
    <row r="50481" spans="2:2" s="221" customFormat="1" ht="12.75" x14ac:dyDescent="0.2">
      <c r="B50481" s="1168"/>
    </row>
    <row r="50482" spans="2:2" s="221" customFormat="1" ht="12.75" x14ac:dyDescent="0.2">
      <c r="B50482" s="1168"/>
    </row>
    <row r="50483" spans="2:2" s="221" customFormat="1" ht="12.75" x14ac:dyDescent="0.2">
      <c r="B50483" s="1168"/>
    </row>
    <row r="50484" spans="2:2" s="221" customFormat="1" ht="12.75" x14ac:dyDescent="0.2">
      <c r="B50484" s="1168"/>
    </row>
    <row r="50485" spans="2:2" s="221" customFormat="1" ht="12.75" x14ac:dyDescent="0.2">
      <c r="B50485" s="1168"/>
    </row>
    <row r="50486" spans="2:2" s="221" customFormat="1" ht="12.75" x14ac:dyDescent="0.2">
      <c r="B50486" s="1168"/>
    </row>
    <row r="50487" spans="2:2" s="221" customFormat="1" ht="12.75" x14ac:dyDescent="0.2">
      <c r="B50487" s="1168"/>
    </row>
    <row r="50488" spans="2:2" s="221" customFormat="1" ht="12.75" x14ac:dyDescent="0.2">
      <c r="B50488" s="1168"/>
    </row>
    <row r="50489" spans="2:2" s="221" customFormat="1" ht="12.75" x14ac:dyDescent="0.2">
      <c r="B50489" s="1168"/>
    </row>
    <row r="50490" spans="2:2" s="221" customFormat="1" ht="12.75" x14ac:dyDescent="0.2">
      <c r="B50490" s="1168"/>
    </row>
    <row r="50491" spans="2:2" s="221" customFormat="1" ht="12.75" x14ac:dyDescent="0.2">
      <c r="B50491" s="1168"/>
    </row>
    <row r="50492" spans="2:2" s="221" customFormat="1" ht="12.75" x14ac:dyDescent="0.2">
      <c r="B50492" s="1168"/>
    </row>
    <row r="50493" spans="2:2" s="221" customFormat="1" ht="12.75" x14ac:dyDescent="0.2">
      <c r="B50493" s="1168"/>
    </row>
    <row r="50494" spans="2:2" s="221" customFormat="1" ht="12.75" x14ac:dyDescent="0.2">
      <c r="B50494" s="1168"/>
    </row>
    <row r="50495" spans="2:2" s="221" customFormat="1" ht="12.75" x14ac:dyDescent="0.2">
      <c r="B50495" s="1168"/>
    </row>
    <row r="50496" spans="2:2" s="221" customFormat="1" ht="12.75" x14ac:dyDescent="0.2">
      <c r="B50496" s="1168"/>
    </row>
    <row r="50497" spans="2:2" s="221" customFormat="1" ht="12.75" x14ac:dyDescent="0.2">
      <c r="B50497" s="1168"/>
    </row>
    <row r="50498" spans="2:2" s="221" customFormat="1" ht="12.75" x14ac:dyDescent="0.2">
      <c r="B50498" s="1168"/>
    </row>
    <row r="50499" spans="2:2" s="221" customFormat="1" ht="12.75" x14ac:dyDescent="0.2">
      <c r="B50499" s="1168"/>
    </row>
    <row r="50500" spans="2:2" s="221" customFormat="1" ht="12.75" x14ac:dyDescent="0.2">
      <c r="B50500" s="1168"/>
    </row>
    <row r="50501" spans="2:2" s="221" customFormat="1" ht="12.75" x14ac:dyDescent="0.2">
      <c r="B50501" s="1168"/>
    </row>
    <row r="50502" spans="2:2" s="221" customFormat="1" ht="12.75" x14ac:dyDescent="0.2">
      <c r="B50502" s="1168"/>
    </row>
    <row r="50503" spans="2:2" s="221" customFormat="1" ht="12.75" x14ac:dyDescent="0.2">
      <c r="B50503" s="1168"/>
    </row>
    <row r="50504" spans="2:2" s="221" customFormat="1" ht="12.75" x14ac:dyDescent="0.2">
      <c r="B50504" s="1168"/>
    </row>
    <row r="50505" spans="2:2" s="221" customFormat="1" ht="12.75" x14ac:dyDescent="0.2">
      <c r="B50505" s="1168"/>
    </row>
    <row r="50506" spans="2:2" s="221" customFormat="1" ht="12.75" x14ac:dyDescent="0.2">
      <c r="B50506" s="1168"/>
    </row>
    <row r="50507" spans="2:2" s="221" customFormat="1" ht="12.75" x14ac:dyDescent="0.2">
      <c r="B50507" s="1168"/>
    </row>
    <row r="50508" spans="2:2" s="221" customFormat="1" ht="12.75" x14ac:dyDescent="0.2">
      <c r="B50508" s="1168"/>
    </row>
    <row r="50509" spans="2:2" s="221" customFormat="1" ht="12.75" x14ac:dyDescent="0.2">
      <c r="B50509" s="1168"/>
    </row>
    <row r="50510" spans="2:2" s="221" customFormat="1" ht="12.75" x14ac:dyDescent="0.2">
      <c r="B50510" s="1168"/>
    </row>
    <row r="50511" spans="2:2" s="221" customFormat="1" ht="12.75" x14ac:dyDescent="0.2">
      <c r="B50511" s="1168"/>
    </row>
    <row r="50512" spans="2:2" s="221" customFormat="1" ht="12.75" x14ac:dyDescent="0.2">
      <c r="B50512" s="1168"/>
    </row>
    <row r="50513" spans="2:2" s="221" customFormat="1" ht="12.75" x14ac:dyDescent="0.2">
      <c r="B50513" s="1168"/>
    </row>
    <row r="50514" spans="2:2" s="221" customFormat="1" ht="12.75" x14ac:dyDescent="0.2">
      <c r="B50514" s="1168"/>
    </row>
    <row r="50515" spans="2:2" s="221" customFormat="1" ht="12.75" x14ac:dyDescent="0.2">
      <c r="B50515" s="1168"/>
    </row>
    <row r="50516" spans="2:2" s="221" customFormat="1" ht="12.75" x14ac:dyDescent="0.2">
      <c r="B50516" s="1168"/>
    </row>
    <row r="50517" spans="2:2" s="221" customFormat="1" ht="12.75" x14ac:dyDescent="0.2">
      <c r="B50517" s="1168"/>
    </row>
    <row r="50518" spans="2:2" s="221" customFormat="1" ht="12.75" x14ac:dyDescent="0.2">
      <c r="B50518" s="1168"/>
    </row>
    <row r="50519" spans="2:2" s="221" customFormat="1" ht="12.75" x14ac:dyDescent="0.2">
      <c r="B50519" s="1168"/>
    </row>
    <row r="50520" spans="2:2" s="221" customFormat="1" ht="12.75" x14ac:dyDescent="0.2">
      <c r="B50520" s="1168"/>
    </row>
    <row r="50521" spans="2:2" s="221" customFormat="1" ht="12.75" x14ac:dyDescent="0.2">
      <c r="B50521" s="1168"/>
    </row>
    <row r="50522" spans="2:2" s="221" customFormat="1" ht="12.75" x14ac:dyDescent="0.2">
      <c r="B50522" s="1168"/>
    </row>
    <row r="50523" spans="2:2" s="221" customFormat="1" ht="12.75" x14ac:dyDescent="0.2">
      <c r="B50523" s="1168"/>
    </row>
    <row r="50524" spans="2:2" s="221" customFormat="1" ht="12.75" x14ac:dyDescent="0.2">
      <c r="B50524" s="1168"/>
    </row>
    <row r="50525" spans="2:2" s="221" customFormat="1" ht="12.75" x14ac:dyDescent="0.2">
      <c r="B50525" s="1168"/>
    </row>
    <row r="50526" spans="2:2" s="221" customFormat="1" ht="12.75" x14ac:dyDescent="0.2">
      <c r="B50526" s="1168"/>
    </row>
    <row r="50527" spans="2:2" s="221" customFormat="1" ht="12.75" x14ac:dyDescent="0.2">
      <c r="B50527" s="1168"/>
    </row>
    <row r="50528" spans="2:2" s="221" customFormat="1" ht="12.75" x14ac:dyDescent="0.2">
      <c r="B50528" s="1168"/>
    </row>
    <row r="50529" spans="2:2" s="221" customFormat="1" ht="12.75" x14ac:dyDescent="0.2">
      <c r="B50529" s="1168"/>
    </row>
    <row r="50530" spans="2:2" s="221" customFormat="1" ht="12.75" x14ac:dyDescent="0.2">
      <c r="B50530" s="1168"/>
    </row>
    <row r="50531" spans="2:2" s="221" customFormat="1" ht="12.75" x14ac:dyDescent="0.2">
      <c r="B50531" s="1168"/>
    </row>
    <row r="50532" spans="2:2" s="221" customFormat="1" ht="12.75" x14ac:dyDescent="0.2">
      <c r="B50532" s="1168"/>
    </row>
    <row r="50533" spans="2:2" s="221" customFormat="1" ht="12.75" x14ac:dyDescent="0.2">
      <c r="B50533" s="1168"/>
    </row>
    <row r="50534" spans="2:2" s="221" customFormat="1" ht="12.75" x14ac:dyDescent="0.2">
      <c r="B50534" s="1168"/>
    </row>
    <row r="50535" spans="2:2" s="221" customFormat="1" ht="12.75" x14ac:dyDescent="0.2">
      <c r="B50535" s="1168"/>
    </row>
    <row r="50536" spans="2:2" s="221" customFormat="1" ht="12.75" x14ac:dyDescent="0.2">
      <c r="B50536" s="1168"/>
    </row>
    <row r="50537" spans="2:2" s="221" customFormat="1" ht="12.75" x14ac:dyDescent="0.2">
      <c r="B50537" s="1168"/>
    </row>
    <row r="50538" spans="2:2" s="221" customFormat="1" ht="12.75" x14ac:dyDescent="0.2">
      <c r="B50538" s="1168"/>
    </row>
    <row r="50539" spans="2:2" s="221" customFormat="1" ht="12.75" x14ac:dyDescent="0.2">
      <c r="B50539" s="1168"/>
    </row>
    <row r="50540" spans="2:2" s="221" customFormat="1" ht="12.75" x14ac:dyDescent="0.2">
      <c r="B50540" s="1168"/>
    </row>
    <row r="50541" spans="2:2" s="221" customFormat="1" ht="12.75" x14ac:dyDescent="0.2">
      <c r="B50541" s="1168"/>
    </row>
    <row r="50542" spans="2:2" s="221" customFormat="1" ht="12.75" x14ac:dyDescent="0.2">
      <c r="B50542" s="1168"/>
    </row>
    <row r="50543" spans="2:2" s="221" customFormat="1" ht="12.75" x14ac:dyDescent="0.2">
      <c r="B50543" s="1168"/>
    </row>
    <row r="50544" spans="2:2" s="221" customFormat="1" ht="12.75" x14ac:dyDescent="0.2">
      <c r="B50544" s="1168"/>
    </row>
    <row r="50545" spans="2:2" s="221" customFormat="1" ht="12.75" x14ac:dyDescent="0.2">
      <c r="B50545" s="1168"/>
    </row>
    <row r="50546" spans="2:2" s="221" customFormat="1" ht="12.75" x14ac:dyDescent="0.2">
      <c r="B50546" s="1168"/>
    </row>
    <row r="50547" spans="2:2" s="221" customFormat="1" ht="12.75" x14ac:dyDescent="0.2">
      <c r="B50547" s="1168"/>
    </row>
    <row r="50548" spans="2:2" s="221" customFormat="1" ht="12.75" x14ac:dyDescent="0.2">
      <c r="B50548" s="1168"/>
    </row>
    <row r="50549" spans="2:2" s="221" customFormat="1" ht="12.75" x14ac:dyDescent="0.2">
      <c r="B50549" s="1168"/>
    </row>
    <row r="50550" spans="2:2" s="221" customFormat="1" ht="12.75" x14ac:dyDescent="0.2">
      <c r="B50550" s="1168"/>
    </row>
    <row r="50551" spans="2:2" s="221" customFormat="1" ht="12.75" x14ac:dyDescent="0.2">
      <c r="B50551" s="1168"/>
    </row>
    <row r="50552" spans="2:2" s="221" customFormat="1" ht="12.75" x14ac:dyDescent="0.2">
      <c r="B50552" s="1168"/>
    </row>
    <row r="50553" spans="2:2" s="221" customFormat="1" ht="12.75" x14ac:dyDescent="0.2">
      <c r="B50553" s="1168"/>
    </row>
    <row r="50554" spans="2:2" s="221" customFormat="1" ht="12.75" x14ac:dyDescent="0.2">
      <c r="B50554" s="1168"/>
    </row>
    <row r="50555" spans="2:2" s="221" customFormat="1" ht="12.75" x14ac:dyDescent="0.2">
      <c r="B50555" s="1168"/>
    </row>
    <row r="50556" spans="2:2" s="221" customFormat="1" ht="12.75" x14ac:dyDescent="0.2">
      <c r="B50556" s="1168"/>
    </row>
    <row r="50557" spans="2:2" s="221" customFormat="1" ht="12.75" x14ac:dyDescent="0.2">
      <c r="B50557" s="1168"/>
    </row>
    <row r="50558" spans="2:2" s="221" customFormat="1" ht="12.75" x14ac:dyDescent="0.2">
      <c r="B50558" s="1168"/>
    </row>
    <row r="50559" spans="2:2" s="221" customFormat="1" ht="12.75" x14ac:dyDescent="0.2">
      <c r="B50559" s="1168"/>
    </row>
    <row r="50560" spans="2:2" s="221" customFormat="1" ht="12.75" x14ac:dyDescent="0.2">
      <c r="B50560" s="1168"/>
    </row>
    <row r="50561" spans="2:2" s="221" customFormat="1" ht="12.75" x14ac:dyDescent="0.2">
      <c r="B50561" s="1168"/>
    </row>
    <row r="50562" spans="2:2" s="221" customFormat="1" ht="12.75" x14ac:dyDescent="0.2">
      <c r="B50562" s="1168"/>
    </row>
    <row r="50563" spans="2:2" s="221" customFormat="1" ht="12.75" x14ac:dyDescent="0.2">
      <c r="B50563" s="1168"/>
    </row>
    <row r="50564" spans="2:2" s="221" customFormat="1" ht="12.75" x14ac:dyDescent="0.2">
      <c r="B50564" s="1168"/>
    </row>
    <row r="50565" spans="2:2" s="221" customFormat="1" ht="12.75" x14ac:dyDescent="0.2">
      <c r="B50565" s="1168"/>
    </row>
    <row r="50566" spans="2:2" s="221" customFormat="1" ht="12.75" x14ac:dyDescent="0.2">
      <c r="B50566" s="1168"/>
    </row>
    <row r="50567" spans="2:2" s="221" customFormat="1" ht="12.75" x14ac:dyDescent="0.2">
      <c r="B50567" s="1168"/>
    </row>
    <row r="50568" spans="2:2" s="221" customFormat="1" ht="12.75" x14ac:dyDescent="0.2">
      <c r="B50568" s="1168"/>
    </row>
    <row r="50569" spans="2:2" s="221" customFormat="1" ht="12.75" x14ac:dyDescent="0.2">
      <c r="B50569" s="1168"/>
    </row>
    <row r="50570" spans="2:2" s="221" customFormat="1" ht="12.75" x14ac:dyDescent="0.2">
      <c r="B50570" s="1168"/>
    </row>
    <row r="50571" spans="2:2" s="221" customFormat="1" ht="12.75" x14ac:dyDescent="0.2">
      <c r="B50571" s="1168"/>
    </row>
    <row r="50572" spans="2:2" s="221" customFormat="1" ht="12.75" x14ac:dyDescent="0.2">
      <c r="B50572" s="1168"/>
    </row>
    <row r="50573" spans="2:2" s="221" customFormat="1" ht="12.75" x14ac:dyDescent="0.2">
      <c r="B50573" s="1168"/>
    </row>
    <row r="50574" spans="2:2" s="221" customFormat="1" ht="12.75" x14ac:dyDescent="0.2">
      <c r="B50574" s="1168"/>
    </row>
    <row r="50575" spans="2:2" s="221" customFormat="1" ht="12.75" x14ac:dyDescent="0.2">
      <c r="B50575" s="1168"/>
    </row>
    <row r="50576" spans="2:2" s="221" customFormat="1" ht="12.75" x14ac:dyDescent="0.2">
      <c r="B50576" s="1168"/>
    </row>
    <row r="50577" spans="2:2" s="221" customFormat="1" ht="12.75" x14ac:dyDescent="0.2">
      <c r="B50577" s="1168"/>
    </row>
    <row r="50578" spans="2:2" s="221" customFormat="1" ht="12.75" x14ac:dyDescent="0.2">
      <c r="B50578" s="1168"/>
    </row>
    <row r="50579" spans="2:2" s="221" customFormat="1" ht="12.75" x14ac:dyDescent="0.2">
      <c r="B50579" s="1168"/>
    </row>
    <row r="50580" spans="2:2" s="221" customFormat="1" ht="12.75" x14ac:dyDescent="0.2">
      <c r="B50580" s="1168"/>
    </row>
    <row r="50581" spans="2:2" s="221" customFormat="1" ht="12.75" x14ac:dyDescent="0.2">
      <c r="B50581" s="1168"/>
    </row>
    <row r="50582" spans="2:2" s="221" customFormat="1" ht="12.75" x14ac:dyDescent="0.2">
      <c r="B50582" s="1168"/>
    </row>
    <row r="50583" spans="2:2" s="221" customFormat="1" ht="12.75" x14ac:dyDescent="0.2">
      <c r="B50583" s="1168"/>
    </row>
    <row r="50584" spans="2:2" s="221" customFormat="1" ht="12.75" x14ac:dyDescent="0.2">
      <c r="B50584" s="1168"/>
    </row>
    <row r="50585" spans="2:2" s="221" customFormat="1" ht="12.75" x14ac:dyDescent="0.2">
      <c r="B50585" s="1168"/>
    </row>
    <row r="50586" spans="2:2" s="221" customFormat="1" ht="12.75" x14ac:dyDescent="0.2">
      <c r="B50586" s="1168"/>
    </row>
    <row r="50587" spans="2:2" s="221" customFormat="1" ht="12.75" x14ac:dyDescent="0.2">
      <c r="B50587" s="1168"/>
    </row>
    <row r="50588" spans="2:2" s="221" customFormat="1" ht="12.75" x14ac:dyDescent="0.2">
      <c r="B50588" s="1168"/>
    </row>
    <row r="50589" spans="2:2" s="221" customFormat="1" ht="12.75" x14ac:dyDescent="0.2">
      <c r="B50589" s="1168"/>
    </row>
    <row r="50590" spans="2:2" s="221" customFormat="1" ht="12.75" x14ac:dyDescent="0.2">
      <c r="B50590" s="1168"/>
    </row>
    <row r="50591" spans="2:2" s="221" customFormat="1" ht="12.75" x14ac:dyDescent="0.2">
      <c r="B50591" s="1168"/>
    </row>
    <row r="50592" spans="2:2" s="221" customFormat="1" ht="12.75" x14ac:dyDescent="0.2">
      <c r="B50592" s="1168"/>
    </row>
    <row r="50593" spans="2:2" s="221" customFormat="1" ht="12.75" x14ac:dyDescent="0.2">
      <c r="B50593" s="1168"/>
    </row>
    <row r="50594" spans="2:2" s="221" customFormat="1" ht="12.75" x14ac:dyDescent="0.2">
      <c r="B50594" s="1168"/>
    </row>
    <row r="50595" spans="2:2" s="221" customFormat="1" ht="12.75" x14ac:dyDescent="0.2">
      <c r="B50595" s="1168"/>
    </row>
    <row r="50596" spans="2:2" s="221" customFormat="1" ht="12.75" x14ac:dyDescent="0.2">
      <c r="B50596" s="1168"/>
    </row>
    <row r="50597" spans="2:2" s="221" customFormat="1" ht="12.75" x14ac:dyDescent="0.2">
      <c r="B50597" s="1168"/>
    </row>
    <row r="50598" spans="2:2" s="221" customFormat="1" ht="12.75" x14ac:dyDescent="0.2">
      <c r="B50598" s="1168"/>
    </row>
    <row r="50599" spans="2:2" s="221" customFormat="1" ht="12.75" x14ac:dyDescent="0.2">
      <c r="B50599" s="1168"/>
    </row>
    <row r="50600" spans="2:2" s="221" customFormat="1" ht="12.75" x14ac:dyDescent="0.2">
      <c r="B50600" s="1168"/>
    </row>
    <row r="50601" spans="2:2" s="221" customFormat="1" ht="12.75" x14ac:dyDescent="0.2">
      <c r="B50601" s="1168"/>
    </row>
    <row r="50602" spans="2:2" s="221" customFormat="1" ht="12.75" x14ac:dyDescent="0.2">
      <c r="B50602" s="1168"/>
    </row>
    <row r="50603" spans="2:2" s="221" customFormat="1" ht="12.75" x14ac:dyDescent="0.2">
      <c r="B50603" s="1168"/>
    </row>
    <row r="50604" spans="2:2" s="221" customFormat="1" ht="12.75" x14ac:dyDescent="0.2">
      <c r="B50604" s="1168"/>
    </row>
    <row r="50605" spans="2:2" s="221" customFormat="1" ht="12.75" x14ac:dyDescent="0.2">
      <c r="B50605" s="1168"/>
    </row>
    <row r="50606" spans="2:2" s="221" customFormat="1" ht="12.75" x14ac:dyDescent="0.2">
      <c r="B50606" s="1168"/>
    </row>
    <row r="50607" spans="2:2" s="221" customFormat="1" ht="12.75" x14ac:dyDescent="0.2">
      <c r="B50607" s="1168"/>
    </row>
    <row r="50608" spans="2:2" s="221" customFormat="1" ht="12.75" x14ac:dyDescent="0.2">
      <c r="B50608" s="1168"/>
    </row>
    <row r="50609" spans="2:2" s="221" customFormat="1" ht="12.75" x14ac:dyDescent="0.2">
      <c r="B50609" s="1168"/>
    </row>
    <row r="50610" spans="2:2" s="221" customFormat="1" ht="12.75" x14ac:dyDescent="0.2">
      <c r="B50610" s="1168"/>
    </row>
    <row r="50611" spans="2:2" s="221" customFormat="1" ht="12.75" x14ac:dyDescent="0.2">
      <c r="B50611" s="1168"/>
    </row>
    <row r="50612" spans="2:2" s="221" customFormat="1" ht="12.75" x14ac:dyDescent="0.2">
      <c r="B50612" s="1168"/>
    </row>
    <row r="50613" spans="2:2" s="221" customFormat="1" ht="12.75" x14ac:dyDescent="0.2">
      <c r="B50613" s="1168"/>
    </row>
    <row r="50614" spans="2:2" s="221" customFormat="1" ht="12.75" x14ac:dyDescent="0.2">
      <c r="B50614" s="1168"/>
    </row>
    <row r="50615" spans="2:2" s="221" customFormat="1" ht="12.75" x14ac:dyDescent="0.2">
      <c r="B50615" s="1168"/>
    </row>
    <row r="50616" spans="2:2" s="221" customFormat="1" ht="12.75" x14ac:dyDescent="0.2">
      <c r="B50616" s="1168"/>
    </row>
    <row r="50617" spans="2:2" s="221" customFormat="1" ht="12.75" x14ac:dyDescent="0.2">
      <c r="B50617" s="1168"/>
    </row>
    <row r="50618" spans="2:2" s="221" customFormat="1" ht="12.75" x14ac:dyDescent="0.2">
      <c r="B50618" s="1168"/>
    </row>
    <row r="50619" spans="2:2" s="221" customFormat="1" ht="12.75" x14ac:dyDescent="0.2">
      <c r="B50619" s="1168"/>
    </row>
    <row r="50620" spans="2:2" s="221" customFormat="1" ht="12.75" x14ac:dyDescent="0.2">
      <c r="B50620" s="1168"/>
    </row>
    <row r="50621" spans="2:2" s="221" customFormat="1" ht="12.75" x14ac:dyDescent="0.2">
      <c r="B50621" s="1168"/>
    </row>
    <row r="50622" spans="2:2" s="221" customFormat="1" ht="12.75" x14ac:dyDescent="0.2">
      <c r="B50622" s="1168"/>
    </row>
    <row r="50623" spans="2:2" s="221" customFormat="1" ht="12.75" x14ac:dyDescent="0.2">
      <c r="B50623" s="1168"/>
    </row>
    <row r="50624" spans="2:2" s="221" customFormat="1" ht="12.75" x14ac:dyDescent="0.2">
      <c r="B50624" s="1168"/>
    </row>
    <row r="50625" spans="2:2" s="221" customFormat="1" ht="12.75" x14ac:dyDescent="0.2">
      <c r="B50625" s="1168"/>
    </row>
    <row r="50626" spans="2:2" s="221" customFormat="1" ht="12.75" x14ac:dyDescent="0.2">
      <c r="B50626" s="1168"/>
    </row>
    <row r="50627" spans="2:2" s="221" customFormat="1" ht="12.75" x14ac:dyDescent="0.2">
      <c r="B50627" s="1168"/>
    </row>
    <row r="50628" spans="2:2" s="221" customFormat="1" ht="12.75" x14ac:dyDescent="0.2">
      <c r="B50628" s="1168"/>
    </row>
    <row r="50629" spans="2:2" s="221" customFormat="1" ht="12.75" x14ac:dyDescent="0.2">
      <c r="B50629" s="1168"/>
    </row>
    <row r="50630" spans="2:2" s="221" customFormat="1" ht="12.75" x14ac:dyDescent="0.2">
      <c r="B50630" s="1168"/>
    </row>
    <row r="50631" spans="2:2" s="221" customFormat="1" ht="12.75" x14ac:dyDescent="0.2">
      <c r="B50631" s="1168"/>
    </row>
    <row r="50632" spans="2:2" s="221" customFormat="1" ht="12.75" x14ac:dyDescent="0.2">
      <c r="B50632" s="1168"/>
    </row>
    <row r="50633" spans="2:2" s="221" customFormat="1" ht="12.75" x14ac:dyDescent="0.2">
      <c r="B50633" s="1168"/>
    </row>
    <row r="50634" spans="2:2" s="221" customFormat="1" ht="12.75" x14ac:dyDescent="0.2">
      <c r="B50634" s="1168"/>
    </row>
    <row r="50635" spans="2:2" s="221" customFormat="1" ht="12.75" x14ac:dyDescent="0.2">
      <c r="B50635" s="1168"/>
    </row>
    <row r="50636" spans="2:2" s="221" customFormat="1" ht="12.75" x14ac:dyDescent="0.2">
      <c r="B50636" s="1168"/>
    </row>
    <row r="50637" spans="2:2" s="221" customFormat="1" ht="12.75" x14ac:dyDescent="0.2">
      <c r="B50637" s="1168"/>
    </row>
    <row r="50638" spans="2:2" s="221" customFormat="1" ht="12.75" x14ac:dyDescent="0.2">
      <c r="B50638" s="1168"/>
    </row>
    <row r="50639" spans="2:2" s="221" customFormat="1" ht="12.75" x14ac:dyDescent="0.2">
      <c r="B50639" s="1168"/>
    </row>
    <row r="50640" spans="2:2" s="221" customFormat="1" ht="12.75" x14ac:dyDescent="0.2">
      <c r="B50640" s="1168"/>
    </row>
    <row r="50641" spans="2:2" s="221" customFormat="1" ht="12.75" x14ac:dyDescent="0.2">
      <c r="B50641" s="1168"/>
    </row>
    <row r="50642" spans="2:2" s="221" customFormat="1" ht="12.75" x14ac:dyDescent="0.2">
      <c r="B50642" s="1168"/>
    </row>
    <row r="50643" spans="2:2" s="221" customFormat="1" ht="12.75" x14ac:dyDescent="0.2">
      <c r="B50643" s="1168"/>
    </row>
    <row r="50644" spans="2:2" s="221" customFormat="1" ht="12.75" x14ac:dyDescent="0.2">
      <c r="B50644" s="1168"/>
    </row>
    <row r="50645" spans="2:2" s="221" customFormat="1" ht="12.75" x14ac:dyDescent="0.2">
      <c r="B50645" s="1168"/>
    </row>
    <row r="50646" spans="2:2" s="221" customFormat="1" ht="12.75" x14ac:dyDescent="0.2">
      <c r="B50646" s="1168"/>
    </row>
    <row r="50647" spans="2:2" s="221" customFormat="1" ht="12.75" x14ac:dyDescent="0.2">
      <c r="B50647" s="1168"/>
    </row>
    <row r="50648" spans="2:2" s="221" customFormat="1" ht="12.75" x14ac:dyDescent="0.2">
      <c r="B50648" s="1168"/>
    </row>
    <row r="50649" spans="2:2" s="221" customFormat="1" ht="12.75" x14ac:dyDescent="0.2">
      <c r="B50649" s="1168"/>
    </row>
    <row r="50650" spans="2:2" s="221" customFormat="1" ht="12.75" x14ac:dyDescent="0.2">
      <c r="B50650" s="1168"/>
    </row>
    <row r="50651" spans="2:2" s="221" customFormat="1" ht="12.75" x14ac:dyDescent="0.2">
      <c r="B50651" s="1168"/>
    </row>
    <row r="50652" spans="2:2" s="221" customFormat="1" ht="12.75" x14ac:dyDescent="0.2">
      <c r="B50652" s="1168"/>
    </row>
    <row r="50653" spans="2:2" s="221" customFormat="1" ht="12.75" x14ac:dyDescent="0.2">
      <c r="B50653" s="1168"/>
    </row>
    <row r="50654" spans="2:2" s="221" customFormat="1" ht="12.75" x14ac:dyDescent="0.2">
      <c r="B50654" s="1168"/>
    </row>
    <row r="50655" spans="2:2" s="221" customFormat="1" ht="12.75" x14ac:dyDescent="0.2">
      <c r="B50655" s="1168"/>
    </row>
    <row r="50656" spans="2:2" s="221" customFormat="1" ht="12.75" x14ac:dyDescent="0.2">
      <c r="B50656" s="1168"/>
    </row>
    <row r="50657" spans="2:2" s="221" customFormat="1" ht="12.75" x14ac:dyDescent="0.2">
      <c r="B50657" s="1168"/>
    </row>
    <row r="50658" spans="2:2" s="221" customFormat="1" ht="12.75" x14ac:dyDescent="0.2">
      <c r="B50658" s="1168"/>
    </row>
    <row r="50659" spans="2:2" s="221" customFormat="1" ht="12.75" x14ac:dyDescent="0.2">
      <c r="B50659" s="1168"/>
    </row>
    <row r="50660" spans="2:2" s="221" customFormat="1" ht="12.75" x14ac:dyDescent="0.2">
      <c r="B50660" s="1168"/>
    </row>
    <row r="50661" spans="2:2" s="221" customFormat="1" ht="12.75" x14ac:dyDescent="0.2">
      <c r="B50661" s="1168"/>
    </row>
    <row r="50662" spans="2:2" s="221" customFormat="1" ht="12.75" x14ac:dyDescent="0.2">
      <c r="B50662" s="1168"/>
    </row>
    <row r="50663" spans="2:2" s="221" customFormat="1" ht="12.75" x14ac:dyDescent="0.2">
      <c r="B50663" s="1168"/>
    </row>
    <row r="50664" spans="2:2" s="221" customFormat="1" ht="12.75" x14ac:dyDescent="0.2">
      <c r="B50664" s="1168"/>
    </row>
    <row r="50665" spans="2:2" s="221" customFormat="1" ht="12.75" x14ac:dyDescent="0.2">
      <c r="B50665" s="1168"/>
    </row>
    <row r="50666" spans="2:2" s="221" customFormat="1" ht="12.75" x14ac:dyDescent="0.2">
      <c r="B50666" s="1168"/>
    </row>
    <row r="50667" spans="2:2" s="221" customFormat="1" ht="12.75" x14ac:dyDescent="0.2">
      <c r="B50667" s="1168"/>
    </row>
    <row r="50668" spans="2:2" s="221" customFormat="1" ht="12.75" x14ac:dyDescent="0.2">
      <c r="B50668" s="1168"/>
    </row>
    <row r="50669" spans="2:2" s="221" customFormat="1" ht="12.75" x14ac:dyDescent="0.2">
      <c r="B50669" s="1168"/>
    </row>
    <row r="50670" spans="2:2" s="221" customFormat="1" ht="12.75" x14ac:dyDescent="0.2">
      <c r="B50670" s="1168"/>
    </row>
    <row r="50671" spans="2:2" s="221" customFormat="1" ht="12.75" x14ac:dyDescent="0.2">
      <c r="B50671" s="1168"/>
    </row>
    <row r="50672" spans="2:2" s="221" customFormat="1" ht="12.75" x14ac:dyDescent="0.2">
      <c r="B50672" s="1168"/>
    </row>
    <row r="50673" spans="2:2" s="221" customFormat="1" ht="12.75" x14ac:dyDescent="0.2">
      <c r="B50673" s="1168"/>
    </row>
    <row r="50674" spans="2:2" s="221" customFormat="1" ht="12.75" x14ac:dyDescent="0.2">
      <c r="B50674" s="1168"/>
    </row>
    <row r="50675" spans="2:2" s="221" customFormat="1" ht="12.75" x14ac:dyDescent="0.2">
      <c r="B50675" s="1168"/>
    </row>
    <row r="50676" spans="2:2" s="221" customFormat="1" ht="12.75" x14ac:dyDescent="0.2">
      <c r="B50676" s="1168"/>
    </row>
    <row r="50677" spans="2:2" s="221" customFormat="1" ht="12.75" x14ac:dyDescent="0.2">
      <c r="B50677" s="1168"/>
    </row>
    <row r="50678" spans="2:2" s="221" customFormat="1" ht="12.75" x14ac:dyDescent="0.2">
      <c r="B50678" s="1168"/>
    </row>
    <row r="50679" spans="2:2" s="221" customFormat="1" ht="12.75" x14ac:dyDescent="0.2">
      <c r="B50679" s="1168"/>
    </row>
    <row r="50680" spans="2:2" s="221" customFormat="1" ht="12.75" x14ac:dyDescent="0.2">
      <c r="B50680" s="1168"/>
    </row>
    <row r="50681" spans="2:2" s="221" customFormat="1" ht="12.75" x14ac:dyDescent="0.2">
      <c r="B50681" s="1168"/>
    </row>
    <row r="50682" spans="2:2" s="221" customFormat="1" ht="12.75" x14ac:dyDescent="0.2">
      <c r="B50682" s="1168"/>
    </row>
    <row r="50683" spans="2:2" s="221" customFormat="1" ht="12.75" x14ac:dyDescent="0.2">
      <c r="B50683" s="1168"/>
    </row>
    <row r="50684" spans="2:2" s="221" customFormat="1" ht="12.75" x14ac:dyDescent="0.2">
      <c r="B50684" s="1168"/>
    </row>
    <row r="50685" spans="2:2" s="221" customFormat="1" ht="12.75" x14ac:dyDescent="0.2">
      <c r="B50685" s="1168"/>
    </row>
    <row r="50686" spans="2:2" s="221" customFormat="1" ht="12.75" x14ac:dyDescent="0.2">
      <c r="B50686" s="1168"/>
    </row>
    <row r="50687" spans="2:2" s="221" customFormat="1" ht="12.75" x14ac:dyDescent="0.2">
      <c r="B50687" s="1168"/>
    </row>
    <row r="50688" spans="2:2" s="221" customFormat="1" ht="12.75" x14ac:dyDescent="0.2">
      <c r="B50688" s="1168"/>
    </row>
    <row r="50689" spans="2:2" s="221" customFormat="1" ht="12.75" x14ac:dyDescent="0.2">
      <c r="B50689" s="1168"/>
    </row>
    <row r="50690" spans="2:2" s="221" customFormat="1" ht="12.75" x14ac:dyDescent="0.2">
      <c r="B50690" s="1168"/>
    </row>
    <row r="50691" spans="2:2" s="221" customFormat="1" ht="12.75" x14ac:dyDescent="0.2">
      <c r="B50691" s="1168"/>
    </row>
    <row r="50692" spans="2:2" s="221" customFormat="1" ht="12.75" x14ac:dyDescent="0.2">
      <c r="B50692" s="1168"/>
    </row>
    <row r="50693" spans="2:2" s="221" customFormat="1" ht="12.75" x14ac:dyDescent="0.2">
      <c r="B50693" s="1168"/>
    </row>
    <row r="50694" spans="2:2" s="221" customFormat="1" ht="12.75" x14ac:dyDescent="0.2">
      <c r="B50694" s="1168"/>
    </row>
    <row r="50695" spans="2:2" s="221" customFormat="1" ht="12.75" x14ac:dyDescent="0.2">
      <c r="B50695" s="1168"/>
    </row>
    <row r="50696" spans="2:2" s="221" customFormat="1" ht="12.75" x14ac:dyDescent="0.2">
      <c r="B50696" s="1168"/>
    </row>
    <row r="50697" spans="2:2" s="221" customFormat="1" ht="12.75" x14ac:dyDescent="0.2">
      <c r="B50697" s="1168"/>
    </row>
    <row r="50698" spans="2:2" s="221" customFormat="1" ht="12.75" x14ac:dyDescent="0.2">
      <c r="B50698" s="1168"/>
    </row>
    <row r="50699" spans="2:2" s="221" customFormat="1" ht="12.75" x14ac:dyDescent="0.2">
      <c r="B50699" s="1168"/>
    </row>
    <row r="50700" spans="2:2" s="221" customFormat="1" ht="12.75" x14ac:dyDescent="0.2">
      <c r="B50700" s="1168"/>
    </row>
    <row r="50701" spans="2:2" s="221" customFormat="1" ht="12.75" x14ac:dyDescent="0.2">
      <c r="B50701" s="1168"/>
    </row>
    <row r="50702" spans="2:2" s="221" customFormat="1" ht="12.75" x14ac:dyDescent="0.2">
      <c r="B50702" s="1168"/>
    </row>
    <row r="50703" spans="2:2" s="221" customFormat="1" ht="12.75" x14ac:dyDescent="0.2">
      <c r="B50703" s="1168"/>
    </row>
    <row r="50704" spans="2:2" s="221" customFormat="1" ht="12.75" x14ac:dyDescent="0.2">
      <c r="B50704" s="1168"/>
    </row>
    <row r="50705" spans="2:2" s="221" customFormat="1" ht="12.75" x14ac:dyDescent="0.2">
      <c r="B50705" s="1168"/>
    </row>
    <row r="50706" spans="2:2" s="221" customFormat="1" ht="12.75" x14ac:dyDescent="0.2">
      <c r="B50706" s="1168"/>
    </row>
    <row r="50707" spans="2:2" s="221" customFormat="1" ht="12.75" x14ac:dyDescent="0.2">
      <c r="B50707" s="1168"/>
    </row>
    <row r="50708" spans="2:2" s="221" customFormat="1" ht="12.75" x14ac:dyDescent="0.2">
      <c r="B50708" s="1168"/>
    </row>
    <row r="50709" spans="2:2" s="221" customFormat="1" ht="12.75" x14ac:dyDescent="0.2">
      <c r="B50709" s="1168"/>
    </row>
    <row r="50710" spans="2:2" s="221" customFormat="1" ht="12.75" x14ac:dyDescent="0.2">
      <c r="B50710" s="1168"/>
    </row>
    <row r="50711" spans="2:2" s="221" customFormat="1" ht="12.75" x14ac:dyDescent="0.2">
      <c r="B50711" s="1168"/>
    </row>
    <row r="50712" spans="2:2" s="221" customFormat="1" ht="12.75" x14ac:dyDescent="0.2">
      <c r="B50712" s="1168"/>
    </row>
    <row r="50713" spans="2:2" s="221" customFormat="1" ht="12.75" x14ac:dyDescent="0.2">
      <c r="B50713" s="1168"/>
    </row>
    <row r="50714" spans="2:2" s="221" customFormat="1" ht="12.75" x14ac:dyDescent="0.2">
      <c r="B50714" s="1168"/>
    </row>
    <row r="50715" spans="2:2" s="221" customFormat="1" ht="12.75" x14ac:dyDescent="0.2">
      <c r="B50715" s="1168"/>
    </row>
    <row r="50716" spans="2:2" s="221" customFormat="1" ht="12.75" x14ac:dyDescent="0.2">
      <c r="B50716" s="1168"/>
    </row>
    <row r="50717" spans="2:2" s="221" customFormat="1" ht="12.75" x14ac:dyDescent="0.2">
      <c r="B50717" s="1168"/>
    </row>
    <row r="50718" spans="2:2" s="221" customFormat="1" ht="12.75" x14ac:dyDescent="0.2">
      <c r="B50718" s="1168"/>
    </row>
    <row r="50719" spans="2:2" s="221" customFormat="1" ht="12.75" x14ac:dyDescent="0.2">
      <c r="B50719" s="1168"/>
    </row>
    <row r="50720" spans="2:2" s="221" customFormat="1" ht="12.75" x14ac:dyDescent="0.2">
      <c r="B50720" s="1168"/>
    </row>
    <row r="50721" spans="2:2" s="221" customFormat="1" ht="12.75" x14ac:dyDescent="0.2">
      <c r="B50721" s="1168"/>
    </row>
    <row r="50722" spans="2:2" s="221" customFormat="1" ht="12.75" x14ac:dyDescent="0.2">
      <c r="B50722" s="1168"/>
    </row>
    <row r="50723" spans="2:2" s="221" customFormat="1" ht="12.75" x14ac:dyDescent="0.2">
      <c r="B50723" s="1168"/>
    </row>
    <row r="50724" spans="2:2" s="221" customFormat="1" ht="12.75" x14ac:dyDescent="0.2">
      <c r="B50724" s="1168"/>
    </row>
    <row r="50725" spans="2:2" s="221" customFormat="1" ht="12.75" x14ac:dyDescent="0.2">
      <c r="B50725" s="1168"/>
    </row>
    <row r="50726" spans="2:2" s="221" customFormat="1" ht="12.75" x14ac:dyDescent="0.2">
      <c r="B50726" s="1168"/>
    </row>
    <row r="50727" spans="2:2" s="221" customFormat="1" ht="12.75" x14ac:dyDescent="0.2">
      <c r="B50727" s="1168"/>
    </row>
    <row r="50728" spans="2:2" s="221" customFormat="1" ht="12.75" x14ac:dyDescent="0.2">
      <c r="B50728" s="1168"/>
    </row>
    <row r="50729" spans="2:2" s="221" customFormat="1" ht="12.75" x14ac:dyDescent="0.2">
      <c r="B50729" s="1168"/>
    </row>
    <row r="50730" spans="2:2" s="221" customFormat="1" ht="12.75" x14ac:dyDescent="0.2">
      <c r="B50730" s="1168"/>
    </row>
    <row r="50731" spans="2:2" s="221" customFormat="1" ht="12.75" x14ac:dyDescent="0.2">
      <c r="B50731" s="1168"/>
    </row>
    <row r="50732" spans="2:2" s="221" customFormat="1" ht="12.75" x14ac:dyDescent="0.2">
      <c r="B50732" s="1168"/>
    </row>
    <row r="50733" spans="2:2" s="221" customFormat="1" ht="12.75" x14ac:dyDescent="0.2">
      <c r="B50733" s="1168"/>
    </row>
    <row r="50734" spans="2:2" s="221" customFormat="1" ht="12.75" x14ac:dyDescent="0.2">
      <c r="B50734" s="1168"/>
    </row>
    <row r="50735" spans="2:2" s="221" customFormat="1" ht="12.75" x14ac:dyDescent="0.2">
      <c r="B50735" s="1168"/>
    </row>
    <row r="50736" spans="2:2" s="221" customFormat="1" ht="12.75" x14ac:dyDescent="0.2">
      <c r="B50736" s="1168"/>
    </row>
    <row r="50737" spans="2:2" s="221" customFormat="1" ht="12.75" x14ac:dyDescent="0.2">
      <c r="B50737" s="1168"/>
    </row>
    <row r="50738" spans="2:2" s="221" customFormat="1" ht="12.75" x14ac:dyDescent="0.2">
      <c r="B50738" s="1168"/>
    </row>
    <row r="50739" spans="2:2" s="221" customFormat="1" ht="12.75" x14ac:dyDescent="0.2">
      <c r="B50739" s="1168"/>
    </row>
    <row r="50740" spans="2:2" s="221" customFormat="1" ht="12.75" x14ac:dyDescent="0.2">
      <c r="B50740" s="1168"/>
    </row>
    <row r="50741" spans="2:2" s="221" customFormat="1" ht="12.75" x14ac:dyDescent="0.2">
      <c r="B50741" s="1168"/>
    </row>
    <row r="50742" spans="2:2" s="221" customFormat="1" ht="12.75" x14ac:dyDescent="0.2">
      <c r="B50742" s="1168"/>
    </row>
    <row r="50743" spans="2:2" s="221" customFormat="1" ht="12.75" x14ac:dyDescent="0.2">
      <c r="B50743" s="1168"/>
    </row>
    <row r="50744" spans="2:2" s="221" customFormat="1" ht="12.75" x14ac:dyDescent="0.2">
      <c r="B50744" s="1168"/>
    </row>
    <row r="50745" spans="2:2" s="221" customFormat="1" ht="12.75" x14ac:dyDescent="0.2">
      <c r="B50745" s="1168"/>
    </row>
    <row r="50746" spans="2:2" s="221" customFormat="1" ht="12.75" x14ac:dyDescent="0.2">
      <c r="B50746" s="1168"/>
    </row>
    <row r="50747" spans="2:2" s="221" customFormat="1" ht="12.75" x14ac:dyDescent="0.2">
      <c r="B50747" s="1168"/>
    </row>
    <row r="50748" spans="2:2" s="221" customFormat="1" ht="12.75" x14ac:dyDescent="0.2">
      <c r="B50748" s="1168"/>
    </row>
    <row r="50749" spans="2:2" s="221" customFormat="1" ht="12.75" x14ac:dyDescent="0.2">
      <c r="B50749" s="1168"/>
    </row>
    <row r="50750" spans="2:2" s="221" customFormat="1" ht="12.75" x14ac:dyDescent="0.2">
      <c r="B50750" s="1168"/>
    </row>
    <row r="50751" spans="2:2" s="221" customFormat="1" ht="12.75" x14ac:dyDescent="0.2">
      <c r="B50751" s="1168"/>
    </row>
    <row r="50752" spans="2:2" s="221" customFormat="1" ht="12.75" x14ac:dyDescent="0.2">
      <c r="B50752" s="1168"/>
    </row>
    <row r="50753" spans="2:2" s="221" customFormat="1" ht="12.75" x14ac:dyDescent="0.2">
      <c r="B50753" s="1168"/>
    </row>
    <row r="50754" spans="2:2" s="221" customFormat="1" ht="12.75" x14ac:dyDescent="0.2">
      <c r="B50754" s="1168"/>
    </row>
    <row r="50755" spans="2:2" s="221" customFormat="1" ht="12.75" x14ac:dyDescent="0.2">
      <c r="B50755" s="1168"/>
    </row>
    <row r="50756" spans="2:2" s="221" customFormat="1" ht="12.75" x14ac:dyDescent="0.2">
      <c r="B50756" s="1168"/>
    </row>
    <row r="50757" spans="2:2" s="221" customFormat="1" ht="12.75" x14ac:dyDescent="0.2">
      <c r="B50757" s="1168"/>
    </row>
    <row r="50758" spans="2:2" s="221" customFormat="1" ht="12.75" x14ac:dyDescent="0.2">
      <c r="B50758" s="1168"/>
    </row>
    <row r="50759" spans="2:2" s="221" customFormat="1" ht="12.75" x14ac:dyDescent="0.2">
      <c r="B50759" s="1168"/>
    </row>
    <row r="50760" spans="2:2" s="221" customFormat="1" ht="12.75" x14ac:dyDescent="0.2">
      <c r="B50760" s="1168"/>
    </row>
    <row r="50761" spans="2:2" s="221" customFormat="1" ht="12.75" x14ac:dyDescent="0.2">
      <c r="B50761" s="1168"/>
    </row>
    <row r="50762" spans="2:2" s="221" customFormat="1" ht="12.75" x14ac:dyDescent="0.2">
      <c r="B50762" s="1168"/>
    </row>
    <row r="50763" spans="2:2" s="221" customFormat="1" ht="12.75" x14ac:dyDescent="0.2">
      <c r="B50763" s="1168"/>
    </row>
    <row r="50764" spans="2:2" s="221" customFormat="1" ht="12.75" x14ac:dyDescent="0.2">
      <c r="B50764" s="1168"/>
    </row>
    <row r="50765" spans="2:2" s="221" customFormat="1" ht="12.75" x14ac:dyDescent="0.2">
      <c r="B50765" s="1168"/>
    </row>
    <row r="50766" spans="2:2" s="221" customFormat="1" ht="12.75" x14ac:dyDescent="0.2">
      <c r="B50766" s="1168"/>
    </row>
    <row r="50767" spans="2:2" s="221" customFormat="1" ht="12.75" x14ac:dyDescent="0.2">
      <c r="B50767" s="1168"/>
    </row>
    <row r="50768" spans="2:2" s="221" customFormat="1" ht="12.75" x14ac:dyDescent="0.2">
      <c r="B50768" s="1168"/>
    </row>
    <row r="50769" spans="2:2" s="221" customFormat="1" ht="12.75" x14ac:dyDescent="0.2">
      <c r="B50769" s="1168"/>
    </row>
    <row r="50770" spans="2:2" s="221" customFormat="1" ht="12.75" x14ac:dyDescent="0.2">
      <c r="B50770" s="1168"/>
    </row>
    <row r="50771" spans="2:2" s="221" customFormat="1" ht="12.75" x14ac:dyDescent="0.2">
      <c r="B50771" s="1168"/>
    </row>
    <row r="50772" spans="2:2" s="221" customFormat="1" ht="12.75" x14ac:dyDescent="0.2">
      <c r="B50772" s="1168"/>
    </row>
    <row r="50773" spans="2:2" s="221" customFormat="1" ht="12.75" x14ac:dyDescent="0.2">
      <c r="B50773" s="1168"/>
    </row>
    <row r="50774" spans="2:2" s="221" customFormat="1" ht="12.75" x14ac:dyDescent="0.2">
      <c r="B50774" s="1168"/>
    </row>
    <row r="50775" spans="2:2" s="221" customFormat="1" ht="12.75" x14ac:dyDescent="0.2">
      <c r="B50775" s="1168"/>
    </row>
    <row r="50776" spans="2:2" s="221" customFormat="1" ht="12.75" x14ac:dyDescent="0.2">
      <c r="B50776" s="1168"/>
    </row>
    <row r="50777" spans="2:2" s="221" customFormat="1" ht="12.75" x14ac:dyDescent="0.2">
      <c r="B50777" s="1168"/>
    </row>
    <row r="50778" spans="2:2" s="221" customFormat="1" ht="12.75" x14ac:dyDescent="0.2">
      <c r="B50778" s="1168"/>
    </row>
    <row r="50779" spans="2:2" s="221" customFormat="1" ht="12.75" x14ac:dyDescent="0.2">
      <c r="B50779" s="1168"/>
    </row>
    <row r="50780" spans="2:2" s="221" customFormat="1" ht="12.75" x14ac:dyDescent="0.2">
      <c r="B50780" s="1168"/>
    </row>
    <row r="50781" spans="2:2" s="221" customFormat="1" ht="12.75" x14ac:dyDescent="0.2">
      <c r="B50781" s="1168"/>
    </row>
    <row r="50782" spans="2:2" s="221" customFormat="1" ht="12.75" x14ac:dyDescent="0.2">
      <c r="B50782" s="1168"/>
    </row>
    <row r="50783" spans="2:2" s="221" customFormat="1" ht="12.75" x14ac:dyDescent="0.2">
      <c r="B50783" s="1168"/>
    </row>
    <row r="50784" spans="2:2" s="221" customFormat="1" ht="12.75" x14ac:dyDescent="0.2">
      <c r="B50784" s="1168"/>
    </row>
    <row r="50785" spans="2:2" s="221" customFormat="1" ht="12.75" x14ac:dyDescent="0.2">
      <c r="B50785" s="1168"/>
    </row>
    <row r="50786" spans="2:2" s="221" customFormat="1" ht="12.75" x14ac:dyDescent="0.2">
      <c r="B50786" s="1168"/>
    </row>
    <row r="50787" spans="2:2" s="221" customFormat="1" ht="12.75" x14ac:dyDescent="0.2">
      <c r="B50787" s="1168"/>
    </row>
    <row r="50788" spans="2:2" s="221" customFormat="1" ht="12.75" x14ac:dyDescent="0.2">
      <c r="B50788" s="1168"/>
    </row>
    <row r="50789" spans="2:2" s="221" customFormat="1" ht="12.75" x14ac:dyDescent="0.2">
      <c r="B50789" s="1168"/>
    </row>
    <row r="50790" spans="2:2" s="221" customFormat="1" ht="12.75" x14ac:dyDescent="0.2">
      <c r="B50790" s="1168"/>
    </row>
    <row r="50791" spans="2:2" s="221" customFormat="1" ht="12.75" x14ac:dyDescent="0.2">
      <c r="B50791" s="1168"/>
    </row>
    <row r="50792" spans="2:2" s="221" customFormat="1" ht="12.75" x14ac:dyDescent="0.2">
      <c r="B50792" s="1168"/>
    </row>
    <row r="50793" spans="2:2" s="221" customFormat="1" ht="12.75" x14ac:dyDescent="0.2">
      <c r="B50793" s="1168"/>
    </row>
    <row r="50794" spans="2:2" s="221" customFormat="1" ht="12.75" x14ac:dyDescent="0.2">
      <c r="B50794" s="1168"/>
    </row>
    <row r="50795" spans="2:2" s="221" customFormat="1" ht="12.75" x14ac:dyDescent="0.2">
      <c r="B50795" s="1168"/>
    </row>
    <row r="50796" spans="2:2" s="221" customFormat="1" ht="12.75" x14ac:dyDescent="0.2">
      <c r="B50796" s="1168"/>
    </row>
    <row r="50797" spans="2:2" s="221" customFormat="1" ht="12.75" x14ac:dyDescent="0.2">
      <c r="B50797" s="1168"/>
    </row>
    <row r="50798" spans="2:2" s="221" customFormat="1" ht="12.75" x14ac:dyDescent="0.2">
      <c r="B50798" s="1168"/>
    </row>
    <row r="50799" spans="2:2" s="221" customFormat="1" ht="12.75" x14ac:dyDescent="0.2">
      <c r="B50799" s="1168"/>
    </row>
    <row r="50800" spans="2:2" s="221" customFormat="1" ht="12.75" x14ac:dyDescent="0.2">
      <c r="B50800" s="1168"/>
    </row>
    <row r="50801" spans="2:2" s="221" customFormat="1" ht="12.75" x14ac:dyDescent="0.2">
      <c r="B50801" s="1168"/>
    </row>
    <row r="50802" spans="2:2" s="221" customFormat="1" ht="12.75" x14ac:dyDescent="0.2">
      <c r="B50802" s="1168"/>
    </row>
    <row r="50803" spans="2:2" s="221" customFormat="1" ht="12.75" x14ac:dyDescent="0.2">
      <c r="B50803" s="1168"/>
    </row>
    <row r="50804" spans="2:2" s="221" customFormat="1" ht="12.75" x14ac:dyDescent="0.2">
      <c r="B50804" s="1168"/>
    </row>
    <row r="50805" spans="2:2" s="221" customFormat="1" ht="12.75" x14ac:dyDescent="0.2">
      <c r="B50805" s="1168"/>
    </row>
    <row r="50806" spans="2:2" s="221" customFormat="1" ht="12.75" x14ac:dyDescent="0.2">
      <c r="B50806" s="1168"/>
    </row>
    <row r="50807" spans="2:2" s="221" customFormat="1" ht="12.75" x14ac:dyDescent="0.2">
      <c r="B50807" s="1168"/>
    </row>
    <row r="50808" spans="2:2" s="221" customFormat="1" ht="12.75" x14ac:dyDescent="0.2">
      <c r="B50808" s="1168"/>
    </row>
    <row r="50809" spans="2:2" s="221" customFormat="1" ht="12.75" x14ac:dyDescent="0.2">
      <c r="B50809" s="1168"/>
    </row>
    <row r="50810" spans="2:2" s="221" customFormat="1" ht="12.75" x14ac:dyDescent="0.2">
      <c r="B50810" s="1168"/>
    </row>
    <row r="50811" spans="2:2" s="221" customFormat="1" ht="12.75" x14ac:dyDescent="0.2">
      <c r="B50811" s="1168"/>
    </row>
    <row r="50812" spans="2:2" s="221" customFormat="1" ht="12.75" x14ac:dyDescent="0.2">
      <c r="B50812" s="1168"/>
    </row>
    <row r="50813" spans="2:2" s="221" customFormat="1" ht="12.75" x14ac:dyDescent="0.2">
      <c r="B50813" s="1168"/>
    </row>
    <row r="50814" spans="2:2" s="221" customFormat="1" ht="12.75" x14ac:dyDescent="0.2">
      <c r="B50814" s="1168"/>
    </row>
    <row r="50815" spans="2:2" s="221" customFormat="1" ht="12.75" x14ac:dyDescent="0.2">
      <c r="B50815" s="1168"/>
    </row>
    <row r="50816" spans="2:2" s="221" customFormat="1" ht="12.75" x14ac:dyDescent="0.2">
      <c r="B50816" s="1168"/>
    </row>
    <row r="50817" spans="2:2" s="221" customFormat="1" ht="12.75" x14ac:dyDescent="0.2">
      <c r="B50817" s="1168"/>
    </row>
    <row r="50818" spans="2:2" s="221" customFormat="1" ht="12.75" x14ac:dyDescent="0.2">
      <c r="B50818" s="1168"/>
    </row>
    <row r="50819" spans="2:2" s="221" customFormat="1" ht="12.75" x14ac:dyDescent="0.2">
      <c r="B50819" s="1168"/>
    </row>
    <row r="50820" spans="2:2" s="221" customFormat="1" ht="12.75" x14ac:dyDescent="0.2">
      <c r="B50820" s="1168"/>
    </row>
    <row r="50821" spans="2:2" s="221" customFormat="1" ht="12.75" x14ac:dyDescent="0.2">
      <c r="B50821" s="1168"/>
    </row>
    <row r="50822" spans="2:2" s="221" customFormat="1" ht="12.75" x14ac:dyDescent="0.2">
      <c r="B50822" s="1168"/>
    </row>
    <row r="50823" spans="2:2" s="221" customFormat="1" ht="12.75" x14ac:dyDescent="0.2">
      <c r="B50823" s="1168"/>
    </row>
    <row r="50824" spans="2:2" s="221" customFormat="1" ht="12.75" x14ac:dyDescent="0.2">
      <c r="B50824" s="1168"/>
    </row>
    <row r="50825" spans="2:2" s="221" customFormat="1" ht="12.75" x14ac:dyDescent="0.2">
      <c r="B50825" s="1168"/>
    </row>
    <row r="50826" spans="2:2" s="221" customFormat="1" ht="12.75" x14ac:dyDescent="0.2">
      <c r="B50826" s="1168"/>
    </row>
    <row r="50827" spans="2:2" s="221" customFormat="1" ht="12.75" x14ac:dyDescent="0.2">
      <c r="B50827" s="1168"/>
    </row>
    <row r="50828" spans="2:2" s="221" customFormat="1" ht="12.75" x14ac:dyDescent="0.2">
      <c r="B50828" s="1168"/>
    </row>
    <row r="50829" spans="2:2" s="221" customFormat="1" ht="12.75" x14ac:dyDescent="0.2">
      <c r="B50829" s="1168"/>
    </row>
    <row r="50830" spans="2:2" s="221" customFormat="1" ht="12.75" x14ac:dyDescent="0.2">
      <c r="B50830" s="1168"/>
    </row>
    <row r="50831" spans="2:2" s="221" customFormat="1" ht="12.75" x14ac:dyDescent="0.2">
      <c r="B50831" s="1168"/>
    </row>
    <row r="50832" spans="2:2" s="221" customFormat="1" ht="12.75" x14ac:dyDescent="0.2">
      <c r="B50832" s="1168"/>
    </row>
    <row r="50833" spans="2:2" s="221" customFormat="1" ht="12.75" x14ac:dyDescent="0.2">
      <c r="B50833" s="1168"/>
    </row>
    <row r="50834" spans="2:2" s="221" customFormat="1" ht="12.75" x14ac:dyDescent="0.2">
      <c r="B50834" s="1168"/>
    </row>
    <row r="50835" spans="2:2" s="221" customFormat="1" ht="12.75" x14ac:dyDescent="0.2">
      <c r="B50835" s="1168"/>
    </row>
    <row r="50836" spans="2:2" s="221" customFormat="1" ht="12.75" x14ac:dyDescent="0.2">
      <c r="B50836" s="1168"/>
    </row>
    <row r="50837" spans="2:2" s="221" customFormat="1" ht="12.75" x14ac:dyDescent="0.2">
      <c r="B50837" s="1168"/>
    </row>
    <row r="50838" spans="2:2" s="221" customFormat="1" ht="12.75" x14ac:dyDescent="0.2">
      <c r="B50838" s="1168"/>
    </row>
    <row r="50839" spans="2:2" s="221" customFormat="1" ht="12.75" x14ac:dyDescent="0.2">
      <c r="B50839" s="1168"/>
    </row>
    <row r="50840" spans="2:2" s="221" customFormat="1" ht="12.75" x14ac:dyDescent="0.2">
      <c r="B50840" s="1168"/>
    </row>
    <row r="50841" spans="2:2" s="221" customFormat="1" ht="12.75" x14ac:dyDescent="0.2">
      <c r="B50841" s="1168"/>
    </row>
    <row r="50842" spans="2:2" s="221" customFormat="1" ht="12.75" x14ac:dyDescent="0.2">
      <c r="B50842" s="1168"/>
    </row>
    <row r="50843" spans="2:2" s="221" customFormat="1" ht="12.75" x14ac:dyDescent="0.2">
      <c r="B50843" s="1168"/>
    </row>
    <row r="50844" spans="2:2" s="221" customFormat="1" ht="12.75" x14ac:dyDescent="0.2">
      <c r="B50844" s="1168"/>
    </row>
    <row r="50845" spans="2:2" s="221" customFormat="1" ht="12.75" x14ac:dyDescent="0.2">
      <c r="B50845" s="1168"/>
    </row>
    <row r="50846" spans="2:2" s="221" customFormat="1" ht="12.75" x14ac:dyDescent="0.2">
      <c r="B50846" s="1168"/>
    </row>
    <row r="50847" spans="2:2" s="221" customFormat="1" ht="12.75" x14ac:dyDescent="0.2">
      <c r="B50847" s="1168"/>
    </row>
    <row r="50848" spans="2:2" s="221" customFormat="1" ht="12.75" x14ac:dyDescent="0.2">
      <c r="B50848" s="1168"/>
    </row>
    <row r="50849" spans="2:2" s="221" customFormat="1" ht="12.75" x14ac:dyDescent="0.2">
      <c r="B50849" s="1168"/>
    </row>
    <row r="50850" spans="2:2" s="221" customFormat="1" ht="12.75" x14ac:dyDescent="0.2">
      <c r="B50850" s="1168"/>
    </row>
    <row r="50851" spans="2:2" s="221" customFormat="1" ht="12.75" x14ac:dyDescent="0.2">
      <c r="B50851" s="1168"/>
    </row>
    <row r="50852" spans="2:2" s="221" customFormat="1" ht="12.75" x14ac:dyDescent="0.2">
      <c r="B50852" s="1168"/>
    </row>
    <row r="50853" spans="2:2" s="221" customFormat="1" ht="12.75" x14ac:dyDescent="0.2">
      <c r="B50853" s="1168"/>
    </row>
    <row r="50854" spans="2:2" s="221" customFormat="1" ht="12.75" x14ac:dyDescent="0.2">
      <c r="B50854" s="1168"/>
    </row>
    <row r="50855" spans="2:2" s="221" customFormat="1" ht="12.75" x14ac:dyDescent="0.2">
      <c r="B50855" s="1168"/>
    </row>
    <row r="50856" spans="2:2" s="221" customFormat="1" ht="12.75" x14ac:dyDescent="0.2">
      <c r="B50856" s="1168"/>
    </row>
    <row r="50857" spans="2:2" s="221" customFormat="1" ht="12.75" x14ac:dyDescent="0.2">
      <c r="B50857" s="1168"/>
    </row>
    <row r="50858" spans="2:2" s="221" customFormat="1" ht="12.75" x14ac:dyDescent="0.2">
      <c r="B50858" s="1168"/>
    </row>
    <row r="50859" spans="2:2" s="221" customFormat="1" ht="12.75" x14ac:dyDescent="0.2">
      <c r="B50859" s="1168"/>
    </row>
    <row r="50860" spans="2:2" s="221" customFormat="1" ht="12.75" x14ac:dyDescent="0.2">
      <c r="B50860" s="1168"/>
    </row>
    <row r="50861" spans="2:2" s="221" customFormat="1" ht="12.75" x14ac:dyDescent="0.2">
      <c r="B50861" s="1168"/>
    </row>
    <row r="50862" spans="2:2" s="221" customFormat="1" ht="12.75" x14ac:dyDescent="0.2">
      <c r="B50862" s="1168"/>
    </row>
    <row r="50863" spans="2:2" s="221" customFormat="1" ht="12.75" x14ac:dyDescent="0.2">
      <c r="B50863" s="1168"/>
    </row>
    <row r="50864" spans="2:2" s="221" customFormat="1" ht="12.75" x14ac:dyDescent="0.2">
      <c r="B50864" s="1168"/>
    </row>
    <row r="50865" spans="2:2" s="221" customFormat="1" ht="12.75" x14ac:dyDescent="0.2">
      <c r="B50865" s="1168"/>
    </row>
    <row r="50866" spans="2:2" s="221" customFormat="1" ht="12.75" x14ac:dyDescent="0.2">
      <c r="B50866" s="1168"/>
    </row>
    <row r="50867" spans="2:2" s="221" customFormat="1" ht="12.75" x14ac:dyDescent="0.2">
      <c r="B50867" s="1168"/>
    </row>
    <row r="50868" spans="2:2" s="221" customFormat="1" ht="12.75" x14ac:dyDescent="0.2">
      <c r="B50868" s="1168"/>
    </row>
    <row r="50869" spans="2:2" s="221" customFormat="1" ht="12.75" x14ac:dyDescent="0.2">
      <c r="B50869" s="1168"/>
    </row>
    <row r="50870" spans="2:2" s="221" customFormat="1" ht="12.75" x14ac:dyDescent="0.2">
      <c r="B50870" s="1168"/>
    </row>
    <row r="50871" spans="2:2" s="221" customFormat="1" ht="12.75" x14ac:dyDescent="0.2">
      <c r="B50871" s="1168"/>
    </row>
    <row r="50872" spans="2:2" s="221" customFormat="1" ht="12.75" x14ac:dyDescent="0.2">
      <c r="B50872" s="1168"/>
    </row>
    <row r="50873" spans="2:2" s="221" customFormat="1" ht="12.75" x14ac:dyDescent="0.2">
      <c r="B50873" s="1168"/>
    </row>
    <row r="50874" spans="2:2" s="221" customFormat="1" ht="12.75" x14ac:dyDescent="0.2">
      <c r="B50874" s="1168"/>
    </row>
    <row r="50875" spans="2:2" s="221" customFormat="1" ht="12.75" x14ac:dyDescent="0.2">
      <c r="B50875" s="1168"/>
    </row>
    <row r="50876" spans="2:2" s="221" customFormat="1" ht="12.75" x14ac:dyDescent="0.2">
      <c r="B50876" s="1168"/>
    </row>
    <row r="50877" spans="2:2" s="221" customFormat="1" ht="12.75" x14ac:dyDescent="0.2">
      <c r="B50877" s="1168"/>
    </row>
    <row r="50878" spans="2:2" s="221" customFormat="1" ht="12.75" x14ac:dyDescent="0.2">
      <c r="B50878" s="1168"/>
    </row>
    <row r="50879" spans="2:2" s="221" customFormat="1" ht="12.75" x14ac:dyDescent="0.2">
      <c r="B50879" s="1168"/>
    </row>
    <row r="50880" spans="2:2" s="221" customFormat="1" ht="12.75" x14ac:dyDescent="0.2">
      <c r="B50880" s="1168"/>
    </row>
    <row r="50881" spans="2:2" s="221" customFormat="1" ht="12.75" x14ac:dyDescent="0.2">
      <c r="B50881" s="1168"/>
    </row>
    <row r="50882" spans="2:2" s="221" customFormat="1" ht="12.75" x14ac:dyDescent="0.2">
      <c r="B50882" s="1168"/>
    </row>
    <row r="50883" spans="2:2" s="221" customFormat="1" ht="12.75" x14ac:dyDescent="0.2">
      <c r="B50883" s="1168"/>
    </row>
    <row r="50884" spans="2:2" s="221" customFormat="1" ht="12.75" x14ac:dyDescent="0.2">
      <c r="B50884" s="1168"/>
    </row>
    <row r="50885" spans="2:2" s="221" customFormat="1" ht="12.75" x14ac:dyDescent="0.2">
      <c r="B50885" s="1168"/>
    </row>
    <row r="50886" spans="2:2" s="221" customFormat="1" ht="12.75" x14ac:dyDescent="0.2">
      <c r="B50886" s="1168"/>
    </row>
    <row r="50887" spans="2:2" s="221" customFormat="1" ht="12.75" x14ac:dyDescent="0.2">
      <c r="B50887" s="1168"/>
    </row>
    <row r="50888" spans="2:2" s="221" customFormat="1" ht="12.75" x14ac:dyDescent="0.2">
      <c r="B50888" s="1168"/>
    </row>
    <row r="50889" spans="2:2" s="221" customFormat="1" ht="12.75" x14ac:dyDescent="0.2">
      <c r="B50889" s="1168"/>
    </row>
    <row r="50890" spans="2:2" s="221" customFormat="1" ht="12.75" x14ac:dyDescent="0.2">
      <c r="B50890" s="1168"/>
    </row>
    <row r="50891" spans="2:2" s="221" customFormat="1" ht="12.75" x14ac:dyDescent="0.2">
      <c r="B50891" s="1168"/>
    </row>
    <row r="50892" spans="2:2" s="221" customFormat="1" ht="12.75" x14ac:dyDescent="0.2">
      <c r="B50892" s="1168"/>
    </row>
    <row r="50893" spans="2:2" s="221" customFormat="1" ht="12.75" x14ac:dyDescent="0.2">
      <c r="B50893" s="1168"/>
    </row>
    <row r="50894" spans="2:2" s="221" customFormat="1" ht="12.75" x14ac:dyDescent="0.2">
      <c r="B50894" s="1168"/>
    </row>
    <row r="50895" spans="2:2" s="221" customFormat="1" ht="12.75" x14ac:dyDescent="0.2">
      <c r="B50895" s="1168"/>
    </row>
    <row r="50896" spans="2:2" s="221" customFormat="1" ht="12.75" x14ac:dyDescent="0.2">
      <c r="B50896" s="1168"/>
    </row>
    <row r="50897" spans="2:2" s="221" customFormat="1" ht="12.75" x14ac:dyDescent="0.2">
      <c r="B50897" s="1168"/>
    </row>
    <row r="50898" spans="2:2" s="221" customFormat="1" ht="12.75" x14ac:dyDescent="0.2">
      <c r="B50898" s="1168"/>
    </row>
    <row r="50899" spans="2:2" s="221" customFormat="1" ht="12.75" x14ac:dyDescent="0.2">
      <c r="B50899" s="1168"/>
    </row>
    <row r="50900" spans="2:2" s="221" customFormat="1" ht="12.75" x14ac:dyDescent="0.2">
      <c r="B50900" s="1168"/>
    </row>
    <row r="50901" spans="2:2" s="221" customFormat="1" ht="12.75" x14ac:dyDescent="0.2">
      <c r="B50901" s="1168"/>
    </row>
    <row r="50902" spans="2:2" s="221" customFormat="1" ht="12.75" x14ac:dyDescent="0.2">
      <c r="B50902" s="1168"/>
    </row>
    <row r="50903" spans="2:2" s="221" customFormat="1" ht="12.75" x14ac:dyDescent="0.2">
      <c r="B50903" s="1168"/>
    </row>
    <row r="50904" spans="2:2" s="221" customFormat="1" ht="12.75" x14ac:dyDescent="0.2">
      <c r="B50904" s="1168"/>
    </row>
    <row r="50905" spans="2:2" s="221" customFormat="1" ht="12.75" x14ac:dyDescent="0.2">
      <c r="B50905" s="1168"/>
    </row>
    <row r="50906" spans="2:2" s="221" customFormat="1" ht="12.75" x14ac:dyDescent="0.2">
      <c r="B50906" s="1168"/>
    </row>
    <row r="50907" spans="2:2" s="221" customFormat="1" ht="12.75" x14ac:dyDescent="0.2">
      <c r="B50907" s="1168"/>
    </row>
    <row r="50908" spans="2:2" s="221" customFormat="1" ht="12.75" x14ac:dyDescent="0.2">
      <c r="B50908" s="1168"/>
    </row>
    <row r="50909" spans="2:2" s="221" customFormat="1" ht="12.75" x14ac:dyDescent="0.2">
      <c r="B50909" s="1168"/>
    </row>
    <row r="50910" spans="2:2" s="221" customFormat="1" ht="12.75" x14ac:dyDescent="0.2">
      <c r="B50910" s="1168"/>
    </row>
    <row r="50911" spans="2:2" s="221" customFormat="1" ht="12.75" x14ac:dyDescent="0.2">
      <c r="B50911" s="1168"/>
    </row>
    <row r="50912" spans="2:2" s="221" customFormat="1" ht="12.75" x14ac:dyDescent="0.2">
      <c r="B50912" s="1168"/>
    </row>
    <row r="50913" spans="2:2" s="221" customFormat="1" ht="12.75" x14ac:dyDescent="0.2">
      <c r="B50913" s="1168"/>
    </row>
    <row r="50914" spans="2:2" s="221" customFormat="1" ht="12.75" x14ac:dyDescent="0.2">
      <c r="B50914" s="1168"/>
    </row>
    <row r="50915" spans="2:2" s="221" customFormat="1" ht="12.75" x14ac:dyDescent="0.2">
      <c r="B50915" s="1168"/>
    </row>
    <row r="50916" spans="2:2" s="221" customFormat="1" ht="12.75" x14ac:dyDescent="0.2">
      <c r="B50916" s="1168"/>
    </row>
    <row r="50917" spans="2:2" s="221" customFormat="1" ht="12.75" x14ac:dyDescent="0.2">
      <c r="B50917" s="1168"/>
    </row>
    <row r="50918" spans="2:2" s="221" customFormat="1" ht="12.75" x14ac:dyDescent="0.2">
      <c r="B50918" s="1168"/>
    </row>
    <row r="50919" spans="2:2" s="221" customFormat="1" ht="12.75" x14ac:dyDescent="0.2">
      <c r="B50919" s="1168"/>
    </row>
    <row r="50920" spans="2:2" s="221" customFormat="1" ht="12.75" x14ac:dyDescent="0.2">
      <c r="B50920" s="1168"/>
    </row>
    <row r="50921" spans="2:2" s="221" customFormat="1" ht="12.75" x14ac:dyDescent="0.2">
      <c r="B50921" s="1168"/>
    </row>
    <row r="50922" spans="2:2" s="221" customFormat="1" ht="12.75" x14ac:dyDescent="0.2">
      <c r="B50922" s="1168"/>
    </row>
    <row r="50923" spans="2:2" s="221" customFormat="1" ht="12.75" x14ac:dyDescent="0.2">
      <c r="B50923" s="1168"/>
    </row>
    <row r="50924" spans="2:2" s="221" customFormat="1" ht="12.75" x14ac:dyDescent="0.2">
      <c r="B50924" s="1168"/>
    </row>
    <row r="50925" spans="2:2" s="221" customFormat="1" ht="12.75" x14ac:dyDescent="0.2">
      <c r="B50925" s="1168"/>
    </row>
    <row r="50926" spans="2:2" s="221" customFormat="1" ht="12.75" x14ac:dyDescent="0.2">
      <c r="B50926" s="1168"/>
    </row>
    <row r="50927" spans="2:2" s="221" customFormat="1" ht="12.75" x14ac:dyDescent="0.2">
      <c r="B50927" s="1168"/>
    </row>
    <row r="50928" spans="2:2" s="221" customFormat="1" ht="12.75" x14ac:dyDescent="0.2">
      <c r="B50928" s="1168"/>
    </row>
    <row r="50929" spans="2:2" s="221" customFormat="1" ht="12.75" x14ac:dyDescent="0.2">
      <c r="B50929" s="1168"/>
    </row>
    <row r="50930" spans="2:2" s="221" customFormat="1" ht="12.75" x14ac:dyDescent="0.2">
      <c r="B50930" s="1168"/>
    </row>
    <row r="50931" spans="2:2" s="221" customFormat="1" ht="12.75" x14ac:dyDescent="0.2">
      <c r="B50931" s="1168"/>
    </row>
    <row r="50932" spans="2:2" s="221" customFormat="1" ht="12.75" x14ac:dyDescent="0.2">
      <c r="B50932" s="1168"/>
    </row>
    <row r="50933" spans="2:2" s="221" customFormat="1" ht="12.75" x14ac:dyDescent="0.2">
      <c r="B50933" s="1168"/>
    </row>
    <row r="50934" spans="2:2" s="221" customFormat="1" ht="12.75" x14ac:dyDescent="0.2">
      <c r="B50934" s="1168"/>
    </row>
    <row r="50935" spans="2:2" s="221" customFormat="1" ht="12.75" x14ac:dyDescent="0.2">
      <c r="B50935" s="1168"/>
    </row>
    <row r="50936" spans="2:2" s="221" customFormat="1" ht="12.75" x14ac:dyDescent="0.2">
      <c r="B50936" s="1168"/>
    </row>
    <row r="50937" spans="2:2" s="221" customFormat="1" ht="12.75" x14ac:dyDescent="0.2">
      <c r="B50937" s="1168"/>
    </row>
    <row r="50938" spans="2:2" s="221" customFormat="1" ht="12.75" x14ac:dyDescent="0.2">
      <c r="B50938" s="1168"/>
    </row>
    <row r="50939" spans="2:2" s="221" customFormat="1" ht="12.75" x14ac:dyDescent="0.2">
      <c r="B50939" s="1168"/>
    </row>
    <row r="50940" spans="2:2" s="221" customFormat="1" ht="12.75" x14ac:dyDescent="0.2">
      <c r="B50940" s="1168"/>
    </row>
    <row r="50941" spans="2:2" s="221" customFormat="1" ht="12.75" x14ac:dyDescent="0.2">
      <c r="B50941" s="1168"/>
    </row>
    <row r="50942" spans="2:2" s="221" customFormat="1" ht="12.75" x14ac:dyDescent="0.2">
      <c r="B50942" s="1168"/>
    </row>
    <row r="50943" spans="2:2" s="221" customFormat="1" ht="12.75" x14ac:dyDescent="0.2">
      <c r="B50943" s="1168"/>
    </row>
    <row r="50944" spans="2:2" s="221" customFormat="1" ht="12.75" x14ac:dyDescent="0.2">
      <c r="B50944" s="1168"/>
    </row>
    <row r="50945" spans="2:2" s="221" customFormat="1" ht="12.75" x14ac:dyDescent="0.2">
      <c r="B50945" s="1168"/>
    </row>
    <row r="50946" spans="2:2" s="221" customFormat="1" ht="12.75" x14ac:dyDescent="0.2">
      <c r="B50946" s="1168"/>
    </row>
    <row r="50947" spans="2:2" s="221" customFormat="1" ht="12.75" x14ac:dyDescent="0.2">
      <c r="B50947" s="1168"/>
    </row>
    <row r="50948" spans="2:2" s="221" customFormat="1" ht="12.75" x14ac:dyDescent="0.2">
      <c r="B50948" s="1168"/>
    </row>
    <row r="50949" spans="2:2" s="221" customFormat="1" ht="12.75" x14ac:dyDescent="0.2">
      <c r="B50949" s="1168"/>
    </row>
    <row r="50950" spans="2:2" s="221" customFormat="1" ht="12.75" x14ac:dyDescent="0.2">
      <c r="B50950" s="1168"/>
    </row>
    <row r="50951" spans="2:2" s="221" customFormat="1" ht="12.75" x14ac:dyDescent="0.2">
      <c r="B50951" s="1168"/>
    </row>
    <row r="50952" spans="2:2" s="221" customFormat="1" ht="12.75" x14ac:dyDescent="0.2">
      <c r="B50952" s="1168"/>
    </row>
    <row r="50953" spans="2:2" s="221" customFormat="1" ht="12.75" x14ac:dyDescent="0.2">
      <c r="B50953" s="1168"/>
    </row>
    <row r="50954" spans="2:2" s="221" customFormat="1" ht="12.75" x14ac:dyDescent="0.2">
      <c r="B50954" s="1168"/>
    </row>
    <row r="50955" spans="2:2" s="221" customFormat="1" ht="12.75" x14ac:dyDescent="0.2">
      <c r="B50955" s="1168"/>
    </row>
    <row r="50956" spans="2:2" s="221" customFormat="1" ht="12.75" x14ac:dyDescent="0.2">
      <c r="B50956" s="1168"/>
    </row>
    <row r="50957" spans="2:2" s="221" customFormat="1" ht="12.75" x14ac:dyDescent="0.2">
      <c r="B50957" s="1168"/>
    </row>
    <row r="50958" spans="2:2" s="221" customFormat="1" ht="12.75" x14ac:dyDescent="0.2">
      <c r="B50958" s="1168"/>
    </row>
    <row r="50959" spans="2:2" s="221" customFormat="1" ht="12.75" x14ac:dyDescent="0.2">
      <c r="B50959" s="1168"/>
    </row>
    <row r="50960" spans="2:2" s="221" customFormat="1" ht="12.75" x14ac:dyDescent="0.2">
      <c r="B50960" s="1168"/>
    </row>
    <row r="50961" spans="2:2" s="221" customFormat="1" ht="12.75" x14ac:dyDescent="0.2">
      <c r="B50961" s="1168"/>
    </row>
    <row r="50962" spans="2:2" s="221" customFormat="1" ht="12.75" x14ac:dyDescent="0.2">
      <c r="B50962" s="1168"/>
    </row>
    <row r="50963" spans="2:2" s="221" customFormat="1" ht="12.75" x14ac:dyDescent="0.2">
      <c r="B50963" s="1168"/>
    </row>
    <row r="50964" spans="2:2" s="221" customFormat="1" ht="12.75" x14ac:dyDescent="0.2">
      <c r="B50964" s="1168"/>
    </row>
    <row r="50965" spans="2:2" s="221" customFormat="1" ht="12.75" x14ac:dyDescent="0.2">
      <c r="B50965" s="1168"/>
    </row>
    <row r="50966" spans="2:2" s="221" customFormat="1" ht="12.75" x14ac:dyDescent="0.2">
      <c r="B50966" s="1168"/>
    </row>
    <row r="50967" spans="2:2" s="221" customFormat="1" ht="12.75" x14ac:dyDescent="0.2">
      <c r="B50967" s="1168"/>
    </row>
    <row r="50968" spans="2:2" s="221" customFormat="1" ht="12.75" x14ac:dyDescent="0.2">
      <c r="B50968" s="1168"/>
    </row>
    <row r="50969" spans="2:2" s="221" customFormat="1" ht="12.75" x14ac:dyDescent="0.2">
      <c r="B50969" s="1168"/>
    </row>
    <row r="50970" spans="2:2" s="221" customFormat="1" ht="12.75" x14ac:dyDescent="0.2">
      <c r="B50970" s="1168"/>
    </row>
    <row r="50971" spans="2:2" s="221" customFormat="1" ht="12.75" x14ac:dyDescent="0.2">
      <c r="B50971" s="1168"/>
    </row>
    <row r="50972" spans="2:2" s="221" customFormat="1" ht="12.75" x14ac:dyDescent="0.2">
      <c r="B50972" s="1168"/>
    </row>
    <row r="50973" spans="2:2" s="221" customFormat="1" ht="12.75" x14ac:dyDescent="0.2">
      <c r="B50973" s="1168"/>
    </row>
    <row r="50974" spans="2:2" s="221" customFormat="1" ht="12.75" x14ac:dyDescent="0.2">
      <c r="B50974" s="1168"/>
    </row>
    <row r="50975" spans="2:2" s="221" customFormat="1" ht="12.75" x14ac:dyDescent="0.2">
      <c r="B50975" s="1168"/>
    </row>
    <row r="50976" spans="2:2" s="221" customFormat="1" ht="12.75" x14ac:dyDescent="0.2">
      <c r="B50976" s="1168"/>
    </row>
    <row r="50977" spans="2:2" s="221" customFormat="1" ht="12.75" x14ac:dyDescent="0.2">
      <c r="B50977" s="1168"/>
    </row>
    <row r="50978" spans="2:2" s="221" customFormat="1" ht="12.75" x14ac:dyDescent="0.2">
      <c r="B50978" s="1168"/>
    </row>
    <row r="50979" spans="2:2" s="221" customFormat="1" ht="12.75" x14ac:dyDescent="0.2">
      <c r="B50979" s="1168"/>
    </row>
    <row r="50980" spans="2:2" s="221" customFormat="1" ht="12.75" x14ac:dyDescent="0.2">
      <c r="B50980" s="1168"/>
    </row>
    <row r="50981" spans="2:2" s="221" customFormat="1" ht="12.75" x14ac:dyDescent="0.2">
      <c r="B50981" s="1168"/>
    </row>
    <row r="50982" spans="2:2" s="221" customFormat="1" ht="12.75" x14ac:dyDescent="0.2">
      <c r="B50982" s="1168"/>
    </row>
    <row r="50983" spans="2:2" s="221" customFormat="1" ht="12.75" x14ac:dyDescent="0.2">
      <c r="B50983" s="1168"/>
    </row>
    <row r="50984" spans="2:2" s="221" customFormat="1" ht="12.75" x14ac:dyDescent="0.2">
      <c r="B50984" s="1168"/>
    </row>
    <row r="50985" spans="2:2" s="221" customFormat="1" ht="12.75" x14ac:dyDescent="0.2">
      <c r="B50985" s="1168"/>
    </row>
    <row r="50986" spans="2:2" s="221" customFormat="1" ht="12.75" x14ac:dyDescent="0.2">
      <c r="B50986" s="1168"/>
    </row>
    <row r="50987" spans="2:2" s="221" customFormat="1" ht="12.75" x14ac:dyDescent="0.2">
      <c r="B50987" s="1168"/>
    </row>
    <row r="50988" spans="2:2" s="221" customFormat="1" ht="12.75" x14ac:dyDescent="0.2">
      <c r="B50988" s="1168"/>
    </row>
    <row r="50989" spans="2:2" s="221" customFormat="1" ht="12.75" x14ac:dyDescent="0.2">
      <c r="B50989" s="1168"/>
    </row>
    <row r="50990" spans="2:2" s="221" customFormat="1" ht="12.75" x14ac:dyDescent="0.2">
      <c r="B50990" s="1168"/>
    </row>
    <row r="50991" spans="2:2" s="221" customFormat="1" ht="12.75" x14ac:dyDescent="0.2">
      <c r="B50991" s="1168"/>
    </row>
    <row r="50992" spans="2:2" s="221" customFormat="1" ht="12.75" x14ac:dyDescent="0.2">
      <c r="B50992" s="1168"/>
    </row>
    <row r="50993" spans="2:2" s="221" customFormat="1" ht="12.75" x14ac:dyDescent="0.2">
      <c r="B50993" s="1168"/>
    </row>
    <row r="50994" spans="2:2" s="221" customFormat="1" ht="12.75" x14ac:dyDescent="0.2">
      <c r="B50994" s="1168"/>
    </row>
    <row r="50995" spans="2:2" s="221" customFormat="1" ht="12.75" x14ac:dyDescent="0.2">
      <c r="B50995" s="1168"/>
    </row>
    <row r="50996" spans="2:2" s="221" customFormat="1" ht="12.75" x14ac:dyDescent="0.2">
      <c r="B50996" s="1168"/>
    </row>
    <row r="50997" spans="2:2" s="221" customFormat="1" ht="12.75" x14ac:dyDescent="0.2">
      <c r="B50997" s="1168"/>
    </row>
    <row r="50998" spans="2:2" s="221" customFormat="1" ht="12.75" x14ac:dyDescent="0.2">
      <c r="B50998" s="1168"/>
    </row>
    <row r="50999" spans="2:2" s="221" customFormat="1" ht="12.75" x14ac:dyDescent="0.2">
      <c r="B50999" s="1168"/>
    </row>
    <row r="51000" spans="2:2" s="221" customFormat="1" ht="12.75" x14ac:dyDescent="0.2">
      <c r="B51000" s="1168"/>
    </row>
    <row r="51001" spans="2:2" s="221" customFormat="1" ht="12.75" x14ac:dyDescent="0.2">
      <c r="B51001" s="1168"/>
    </row>
    <row r="51002" spans="2:2" s="221" customFormat="1" ht="12.75" x14ac:dyDescent="0.2">
      <c r="B51002" s="1168"/>
    </row>
    <row r="51003" spans="2:2" s="221" customFormat="1" ht="12.75" x14ac:dyDescent="0.2">
      <c r="B51003" s="1168"/>
    </row>
    <row r="51004" spans="2:2" s="221" customFormat="1" ht="12.75" x14ac:dyDescent="0.2">
      <c r="B51004" s="1168"/>
    </row>
    <row r="51005" spans="2:2" s="221" customFormat="1" ht="12.75" x14ac:dyDescent="0.2">
      <c r="B51005" s="1168"/>
    </row>
    <row r="51006" spans="2:2" s="221" customFormat="1" ht="12.75" x14ac:dyDescent="0.2">
      <c r="B51006" s="1168"/>
    </row>
    <row r="51007" spans="2:2" s="221" customFormat="1" ht="12.75" x14ac:dyDescent="0.2">
      <c r="B51007" s="1168"/>
    </row>
    <row r="51008" spans="2:2" s="221" customFormat="1" ht="12.75" x14ac:dyDescent="0.2">
      <c r="B51008" s="1168"/>
    </row>
    <row r="51009" spans="2:2" s="221" customFormat="1" ht="12.75" x14ac:dyDescent="0.2">
      <c r="B51009" s="1168"/>
    </row>
    <row r="51010" spans="2:2" s="221" customFormat="1" ht="12.75" x14ac:dyDescent="0.2">
      <c r="B51010" s="1168"/>
    </row>
    <row r="51011" spans="2:2" s="221" customFormat="1" ht="12.75" x14ac:dyDescent="0.2">
      <c r="B51011" s="1168"/>
    </row>
    <row r="51012" spans="2:2" s="221" customFormat="1" ht="12.75" x14ac:dyDescent="0.2">
      <c r="B51012" s="1168"/>
    </row>
    <row r="51013" spans="2:2" s="221" customFormat="1" ht="12.75" x14ac:dyDescent="0.2">
      <c r="B51013" s="1168"/>
    </row>
    <row r="51014" spans="2:2" s="221" customFormat="1" ht="12.75" x14ac:dyDescent="0.2">
      <c r="B51014" s="1168"/>
    </row>
    <row r="51015" spans="2:2" s="221" customFormat="1" ht="12.75" x14ac:dyDescent="0.2">
      <c r="B51015" s="1168"/>
    </row>
    <row r="51016" spans="2:2" s="221" customFormat="1" ht="12.75" x14ac:dyDescent="0.2">
      <c r="B51016" s="1168"/>
    </row>
    <row r="51017" spans="2:2" s="221" customFormat="1" ht="12.75" x14ac:dyDescent="0.2">
      <c r="B51017" s="1168"/>
    </row>
    <row r="51018" spans="2:2" s="221" customFormat="1" ht="12.75" x14ac:dyDescent="0.2">
      <c r="B51018" s="1168"/>
    </row>
    <row r="51019" spans="2:2" s="221" customFormat="1" ht="12.75" x14ac:dyDescent="0.2">
      <c r="B51019" s="1168"/>
    </row>
    <row r="51020" spans="2:2" s="221" customFormat="1" ht="12.75" x14ac:dyDescent="0.2">
      <c r="B51020" s="1168"/>
    </row>
    <row r="51021" spans="2:2" s="221" customFormat="1" ht="12.75" x14ac:dyDescent="0.2">
      <c r="B51021" s="1168"/>
    </row>
    <row r="51022" spans="2:2" s="221" customFormat="1" ht="12.75" x14ac:dyDescent="0.2">
      <c r="B51022" s="1168"/>
    </row>
    <row r="51023" spans="2:2" s="221" customFormat="1" ht="12.75" x14ac:dyDescent="0.2">
      <c r="B51023" s="1168"/>
    </row>
    <row r="51024" spans="2:2" s="221" customFormat="1" ht="12.75" x14ac:dyDescent="0.2">
      <c r="B51024" s="1168"/>
    </row>
    <row r="51025" spans="2:2" s="221" customFormat="1" ht="12.75" x14ac:dyDescent="0.2">
      <c r="B51025" s="1168"/>
    </row>
    <row r="51026" spans="2:2" s="221" customFormat="1" ht="12.75" x14ac:dyDescent="0.2">
      <c r="B51026" s="1168"/>
    </row>
    <row r="51027" spans="2:2" s="221" customFormat="1" ht="12.75" x14ac:dyDescent="0.2">
      <c r="B51027" s="1168"/>
    </row>
    <row r="51028" spans="2:2" s="221" customFormat="1" ht="12.75" x14ac:dyDescent="0.2">
      <c r="B51028" s="1168"/>
    </row>
    <row r="51029" spans="2:2" s="221" customFormat="1" ht="12.75" x14ac:dyDescent="0.2">
      <c r="B51029" s="1168"/>
    </row>
    <row r="51030" spans="2:2" s="221" customFormat="1" ht="12.75" x14ac:dyDescent="0.2">
      <c r="B51030" s="1168"/>
    </row>
    <row r="51031" spans="2:2" s="221" customFormat="1" ht="12.75" x14ac:dyDescent="0.2">
      <c r="B51031" s="1168"/>
    </row>
    <row r="51032" spans="2:2" s="221" customFormat="1" ht="12.75" x14ac:dyDescent="0.2">
      <c r="B51032" s="1168"/>
    </row>
    <row r="51033" spans="2:2" s="221" customFormat="1" ht="12.75" x14ac:dyDescent="0.2">
      <c r="B51033" s="1168"/>
    </row>
    <row r="51034" spans="2:2" s="221" customFormat="1" ht="12.75" x14ac:dyDescent="0.2">
      <c r="B51034" s="1168"/>
    </row>
    <row r="51035" spans="2:2" s="221" customFormat="1" ht="12.75" x14ac:dyDescent="0.2">
      <c r="B51035" s="1168"/>
    </row>
    <row r="51036" spans="2:2" s="221" customFormat="1" ht="12.75" x14ac:dyDescent="0.2">
      <c r="B51036" s="1168"/>
    </row>
    <row r="51037" spans="2:2" s="221" customFormat="1" ht="12.75" x14ac:dyDescent="0.2">
      <c r="B51037" s="1168"/>
    </row>
    <row r="51038" spans="2:2" s="221" customFormat="1" ht="12.75" x14ac:dyDescent="0.2">
      <c r="B51038" s="1168"/>
    </row>
    <row r="51039" spans="2:2" s="221" customFormat="1" ht="12.75" x14ac:dyDescent="0.2">
      <c r="B51039" s="1168"/>
    </row>
    <row r="51040" spans="2:2" s="221" customFormat="1" ht="12.75" x14ac:dyDescent="0.2">
      <c r="B51040" s="1168"/>
    </row>
    <row r="51041" spans="2:2" s="221" customFormat="1" ht="12.75" x14ac:dyDescent="0.2">
      <c r="B51041" s="1168"/>
    </row>
    <row r="51042" spans="2:2" s="221" customFormat="1" ht="12.75" x14ac:dyDescent="0.2">
      <c r="B51042" s="1168"/>
    </row>
    <row r="51043" spans="2:2" s="221" customFormat="1" ht="12.75" x14ac:dyDescent="0.2">
      <c r="B51043" s="1168"/>
    </row>
    <row r="51044" spans="2:2" s="221" customFormat="1" ht="12.75" x14ac:dyDescent="0.2">
      <c r="B51044" s="1168"/>
    </row>
    <row r="51045" spans="2:2" s="221" customFormat="1" ht="12.75" x14ac:dyDescent="0.2">
      <c r="B51045" s="1168"/>
    </row>
    <row r="51046" spans="2:2" s="221" customFormat="1" ht="12.75" x14ac:dyDescent="0.2">
      <c r="B51046" s="1168"/>
    </row>
    <row r="51047" spans="2:2" s="221" customFormat="1" ht="12.75" x14ac:dyDescent="0.2">
      <c r="B51047" s="1168"/>
    </row>
    <row r="51048" spans="2:2" s="221" customFormat="1" ht="12.75" x14ac:dyDescent="0.2">
      <c r="B51048" s="1168"/>
    </row>
    <row r="51049" spans="2:2" s="221" customFormat="1" ht="12.75" x14ac:dyDescent="0.2">
      <c r="B51049" s="1168"/>
    </row>
    <row r="51050" spans="2:2" s="221" customFormat="1" ht="12.75" x14ac:dyDescent="0.2">
      <c r="B51050" s="1168"/>
    </row>
    <row r="51051" spans="2:2" s="221" customFormat="1" ht="12.75" x14ac:dyDescent="0.2">
      <c r="B51051" s="1168"/>
    </row>
    <row r="51052" spans="2:2" s="221" customFormat="1" ht="12.75" x14ac:dyDescent="0.2">
      <c r="B51052" s="1168"/>
    </row>
    <row r="51053" spans="2:2" s="221" customFormat="1" ht="12.75" x14ac:dyDescent="0.2">
      <c r="B51053" s="1168"/>
    </row>
    <row r="51054" spans="2:2" s="221" customFormat="1" ht="12.75" x14ac:dyDescent="0.2">
      <c r="B51054" s="1168"/>
    </row>
    <row r="51055" spans="2:2" s="221" customFormat="1" ht="12.75" x14ac:dyDescent="0.2">
      <c r="B51055" s="1168"/>
    </row>
    <row r="51056" spans="2:2" s="221" customFormat="1" ht="12.75" x14ac:dyDescent="0.2">
      <c r="B51056" s="1168"/>
    </row>
    <row r="51057" spans="2:2" s="221" customFormat="1" ht="12.75" x14ac:dyDescent="0.2">
      <c r="B51057" s="1168"/>
    </row>
    <row r="51058" spans="2:2" s="221" customFormat="1" ht="12.75" x14ac:dyDescent="0.2">
      <c r="B51058" s="1168"/>
    </row>
    <row r="51059" spans="2:2" s="221" customFormat="1" ht="12.75" x14ac:dyDescent="0.2">
      <c r="B51059" s="1168"/>
    </row>
    <row r="51060" spans="2:2" s="221" customFormat="1" ht="12.75" x14ac:dyDescent="0.2">
      <c r="B51060" s="1168"/>
    </row>
    <row r="51061" spans="2:2" s="221" customFormat="1" ht="12.75" x14ac:dyDescent="0.2">
      <c r="B51061" s="1168"/>
    </row>
    <row r="51062" spans="2:2" s="221" customFormat="1" ht="12.75" x14ac:dyDescent="0.2">
      <c r="B51062" s="1168"/>
    </row>
    <row r="51063" spans="2:2" s="221" customFormat="1" ht="12.75" x14ac:dyDescent="0.2">
      <c r="B51063" s="1168"/>
    </row>
    <row r="51064" spans="2:2" s="221" customFormat="1" ht="12.75" x14ac:dyDescent="0.2">
      <c r="B51064" s="1168"/>
    </row>
    <row r="51065" spans="2:2" s="221" customFormat="1" ht="12.75" x14ac:dyDescent="0.2">
      <c r="B51065" s="1168"/>
    </row>
    <row r="51066" spans="2:2" s="221" customFormat="1" ht="12.75" x14ac:dyDescent="0.2">
      <c r="B51066" s="1168"/>
    </row>
    <row r="51067" spans="2:2" s="221" customFormat="1" ht="12.75" x14ac:dyDescent="0.2">
      <c r="B51067" s="1168"/>
    </row>
    <row r="51068" spans="2:2" s="221" customFormat="1" ht="12.75" x14ac:dyDescent="0.2">
      <c r="B51068" s="1168"/>
    </row>
    <row r="51069" spans="2:2" s="221" customFormat="1" ht="12.75" x14ac:dyDescent="0.2">
      <c r="B51069" s="1168"/>
    </row>
    <row r="51070" spans="2:2" s="221" customFormat="1" ht="12.75" x14ac:dyDescent="0.2">
      <c r="B51070" s="1168"/>
    </row>
    <row r="51071" spans="2:2" s="221" customFormat="1" ht="12.75" x14ac:dyDescent="0.2">
      <c r="B51071" s="1168"/>
    </row>
    <row r="51072" spans="2:2" s="221" customFormat="1" ht="12.75" x14ac:dyDescent="0.2">
      <c r="B51072" s="1168"/>
    </row>
    <row r="51073" spans="2:2" s="221" customFormat="1" ht="12.75" x14ac:dyDescent="0.2">
      <c r="B51073" s="1168"/>
    </row>
    <row r="51074" spans="2:2" s="221" customFormat="1" ht="12.75" x14ac:dyDescent="0.2">
      <c r="B51074" s="1168"/>
    </row>
    <row r="51075" spans="2:2" s="221" customFormat="1" ht="12.75" x14ac:dyDescent="0.2">
      <c r="B51075" s="1168"/>
    </row>
    <row r="51076" spans="2:2" s="221" customFormat="1" ht="12.75" x14ac:dyDescent="0.2">
      <c r="B51076" s="1168"/>
    </row>
    <row r="51077" spans="2:2" s="221" customFormat="1" ht="12.75" x14ac:dyDescent="0.2">
      <c r="B51077" s="1168"/>
    </row>
    <row r="51078" spans="2:2" s="221" customFormat="1" ht="12.75" x14ac:dyDescent="0.2">
      <c r="B51078" s="1168"/>
    </row>
    <row r="51079" spans="2:2" s="221" customFormat="1" ht="12.75" x14ac:dyDescent="0.2">
      <c r="B51079" s="1168"/>
    </row>
    <row r="51080" spans="2:2" s="221" customFormat="1" ht="12.75" x14ac:dyDescent="0.2">
      <c r="B51080" s="1168"/>
    </row>
    <row r="51081" spans="2:2" s="221" customFormat="1" ht="12.75" x14ac:dyDescent="0.2">
      <c r="B51081" s="1168"/>
    </row>
    <row r="51082" spans="2:2" s="221" customFormat="1" ht="12.75" x14ac:dyDescent="0.2">
      <c r="B51082" s="1168"/>
    </row>
    <row r="51083" spans="2:2" s="221" customFormat="1" ht="12.75" x14ac:dyDescent="0.2">
      <c r="B51083" s="1168"/>
    </row>
    <row r="51084" spans="2:2" s="221" customFormat="1" ht="12.75" x14ac:dyDescent="0.2">
      <c r="B51084" s="1168"/>
    </row>
    <row r="51085" spans="2:2" s="221" customFormat="1" ht="12.75" x14ac:dyDescent="0.2">
      <c r="B51085" s="1168"/>
    </row>
    <row r="51086" spans="2:2" s="221" customFormat="1" ht="12.75" x14ac:dyDescent="0.2">
      <c r="B51086" s="1168"/>
    </row>
    <row r="51087" spans="2:2" s="221" customFormat="1" ht="12.75" x14ac:dyDescent="0.2">
      <c r="B51087" s="1168"/>
    </row>
    <row r="51088" spans="2:2" s="221" customFormat="1" ht="12.75" x14ac:dyDescent="0.2">
      <c r="B51088" s="1168"/>
    </row>
    <row r="51089" spans="2:2" s="221" customFormat="1" ht="12.75" x14ac:dyDescent="0.2">
      <c r="B51089" s="1168"/>
    </row>
    <row r="51090" spans="2:2" s="221" customFormat="1" ht="12.75" x14ac:dyDescent="0.2">
      <c r="B51090" s="1168"/>
    </row>
    <row r="51091" spans="2:2" s="221" customFormat="1" ht="12.75" x14ac:dyDescent="0.2">
      <c r="B51091" s="1168"/>
    </row>
    <row r="51092" spans="2:2" s="221" customFormat="1" ht="12.75" x14ac:dyDescent="0.2">
      <c r="B51092" s="1168"/>
    </row>
    <row r="51093" spans="2:2" s="221" customFormat="1" ht="12.75" x14ac:dyDescent="0.2">
      <c r="B51093" s="1168"/>
    </row>
    <row r="51094" spans="2:2" s="221" customFormat="1" ht="12.75" x14ac:dyDescent="0.2">
      <c r="B51094" s="1168"/>
    </row>
    <row r="51095" spans="2:2" s="221" customFormat="1" ht="12.75" x14ac:dyDescent="0.2">
      <c r="B51095" s="1168"/>
    </row>
    <row r="51096" spans="2:2" s="221" customFormat="1" ht="12.75" x14ac:dyDescent="0.2">
      <c r="B51096" s="1168"/>
    </row>
    <row r="51097" spans="2:2" s="221" customFormat="1" ht="12.75" x14ac:dyDescent="0.2">
      <c r="B51097" s="1168"/>
    </row>
    <row r="51098" spans="2:2" s="221" customFormat="1" ht="12.75" x14ac:dyDescent="0.2">
      <c r="B51098" s="1168"/>
    </row>
    <row r="51099" spans="2:2" s="221" customFormat="1" ht="12.75" x14ac:dyDescent="0.2">
      <c r="B51099" s="1168"/>
    </row>
    <row r="51100" spans="2:2" s="221" customFormat="1" ht="12.75" x14ac:dyDescent="0.2">
      <c r="B51100" s="1168"/>
    </row>
    <row r="51101" spans="2:2" s="221" customFormat="1" ht="12.75" x14ac:dyDescent="0.2">
      <c r="B51101" s="1168"/>
    </row>
    <row r="51102" spans="2:2" s="221" customFormat="1" ht="12.75" x14ac:dyDescent="0.2">
      <c r="B51102" s="1168"/>
    </row>
    <row r="51103" spans="2:2" s="221" customFormat="1" ht="12.75" x14ac:dyDescent="0.2">
      <c r="B51103" s="1168"/>
    </row>
    <row r="51104" spans="2:2" s="221" customFormat="1" ht="12.75" x14ac:dyDescent="0.2">
      <c r="B51104" s="1168"/>
    </row>
    <row r="51105" spans="2:2" s="221" customFormat="1" ht="12.75" x14ac:dyDescent="0.2">
      <c r="B51105" s="1168"/>
    </row>
    <row r="51106" spans="2:2" s="221" customFormat="1" ht="12.75" x14ac:dyDescent="0.2">
      <c r="B51106" s="1168"/>
    </row>
    <row r="51107" spans="2:2" s="221" customFormat="1" ht="12.75" x14ac:dyDescent="0.2">
      <c r="B51107" s="1168"/>
    </row>
    <row r="51108" spans="2:2" s="221" customFormat="1" ht="12.75" x14ac:dyDescent="0.2">
      <c r="B51108" s="1168"/>
    </row>
    <row r="51109" spans="2:2" s="221" customFormat="1" ht="12.75" x14ac:dyDescent="0.2">
      <c r="B51109" s="1168"/>
    </row>
    <row r="51110" spans="2:2" s="221" customFormat="1" ht="12.75" x14ac:dyDescent="0.2">
      <c r="B51110" s="1168"/>
    </row>
    <row r="51111" spans="2:2" s="221" customFormat="1" ht="12.75" x14ac:dyDescent="0.2">
      <c r="B51111" s="1168"/>
    </row>
    <row r="51112" spans="2:2" s="221" customFormat="1" ht="12.75" x14ac:dyDescent="0.2">
      <c r="B51112" s="1168"/>
    </row>
    <row r="51113" spans="2:2" s="221" customFormat="1" ht="12.75" x14ac:dyDescent="0.2">
      <c r="B51113" s="1168"/>
    </row>
    <row r="51114" spans="2:2" s="221" customFormat="1" ht="12.75" x14ac:dyDescent="0.2">
      <c r="B51114" s="1168"/>
    </row>
    <row r="51115" spans="2:2" s="221" customFormat="1" ht="12.75" x14ac:dyDescent="0.2">
      <c r="B51115" s="1168"/>
    </row>
    <row r="51116" spans="2:2" s="221" customFormat="1" ht="12.75" x14ac:dyDescent="0.2">
      <c r="B51116" s="1168"/>
    </row>
    <row r="51117" spans="2:2" s="221" customFormat="1" ht="12.75" x14ac:dyDescent="0.2">
      <c r="B51117" s="1168"/>
    </row>
    <row r="51118" spans="2:2" s="221" customFormat="1" ht="12.75" x14ac:dyDescent="0.2">
      <c r="B51118" s="1168"/>
    </row>
    <row r="51119" spans="2:2" s="221" customFormat="1" ht="12.75" x14ac:dyDescent="0.2">
      <c r="B51119" s="1168"/>
    </row>
    <row r="51120" spans="2:2" s="221" customFormat="1" ht="12.75" x14ac:dyDescent="0.2">
      <c r="B51120" s="1168"/>
    </row>
    <row r="51121" spans="2:2" s="221" customFormat="1" ht="12.75" x14ac:dyDescent="0.2">
      <c r="B51121" s="1168"/>
    </row>
    <row r="51122" spans="2:2" s="221" customFormat="1" ht="12.75" x14ac:dyDescent="0.2">
      <c r="B51122" s="1168"/>
    </row>
    <row r="51123" spans="2:2" s="221" customFormat="1" ht="12.75" x14ac:dyDescent="0.2">
      <c r="B51123" s="1168"/>
    </row>
    <row r="51124" spans="2:2" s="221" customFormat="1" ht="12.75" x14ac:dyDescent="0.2">
      <c r="B51124" s="1168"/>
    </row>
    <row r="51125" spans="2:2" s="221" customFormat="1" ht="12.75" x14ac:dyDescent="0.2">
      <c r="B51125" s="1168"/>
    </row>
    <row r="51126" spans="2:2" s="221" customFormat="1" ht="12.75" x14ac:dyDescent="0.2">
      <c r="B51126" s="1168"/>
    </row>
    <row r="51127" spans="2:2" s="221" customFormat="1" ht="12.75" x14ac:dyDescent="0.2">
      <c r="B51127" s="1168"/>
    </row>
    <row r="51128" spans="2:2" s="221" customFormat="1" ht="12.75" x14ac:dyDescent="0.2">
      <c r="B51128" s="1168"/>
    </row>
    <row r="51129" spans="2:2" s="221" customFormat="1" ht="12.75" x14ac:dyDescent="0.2">
      <c r="B51129" s="1168"/>
    </row>
    <row r="51130" spans="2:2" s="221" customFormat="1" ht="12.75" x14ac:dyDescent="0.2">
      <c r="B51130" s="1168"/>
    </row>
    <row r="51131" spans="2:2" s="221" customFormat="1" ht="12.75" x14ac:dyDescent="0.2">
      <c r="B51131" s="1168"/>
    </row>
    <row r="51132" spans="2:2" s="221" customFormat="1" ht="12.75" x14ac:dyDescent="0.2">
      <c r="B51132" s="1168"/>
    </row>
    <row r="51133" spans="2:2" s="221" customFormat="1" ht="12.75" x14ac:dyDescent="0.2">
      <c r="B51133" s="1168"/>
    </row>
    <row r="51134" spans="2:2" s="221" customFormat="1" ht="12.75" x14ac:dyDescent="0.2">
      <c r="B51134" s="1168"/>
    </row>
    <row r="51135" spans="2:2" s="221" customFormat="1" ht="12.75" x14ac:dyDescent="0.2">
      <c r="B51135" s="1168"/>
    </row>
    <row r="51136" spans="2:2" s="221" customFormat="1" ht="12.75" x14ac:dyDescent="0.2">
      <c r="B51136" s="1168"/>
    </row>
    <row r="51137" spans="2:2" s="221" customFormat="1" ht="12.75" x14ac:dyDescent="0.2">
      <c r="B51137" s="1168"/>
    </row>
    <row r="51138" spans="2:2" s="221" customFormat="1" ht="12.75" x14ac:dyDescent="0.2">
      <c r="B51138" s="1168"/>
    </row>
    <row r="51139" spans="2:2" s="221" customFormat="1" ht="12.75" x14ac:dyDescent="0.2">
      <c r="B51139" s="1168"/>
    </row>
    <row r="51140" spans="2:2" s="221" customFormat="1" ht="12.75" x14ac:dyDescent="0.2">
      <c r="B51140" s="1168"/>
    </row>
    <row r="51141" spans="2:2" s="221" customFormat="1" ht="12.75" x14ac:dyDescent="0.2">
      <c r="B51141" s="1168"/>
    </row>
    <row r="51142" spans="2:2" s="221" customFormat="1" ht="12.75" x14ac:dyDescent="0.2">
      <c r="B51142" s="1168"/>
    </row>
    <row r="51143" spans="2:2" s="221" customFormat="1" ht="12.75" x14ac:dyDescent="0.2">
      <c r="B51143" s="1168"/>
    </row>
    <row r="51144" spans="2:2" s="221" customFormat="1" ht="12.75" x14ac:dyDescent="0.2">
      <c r="B51144" s="1168"/>
    </row>
    <row r="51145" spans="2:2" s="221" customFormat="1" ht="12.75" x14ac:dyDescent="0.2">
      <c r="B51145" s="1168"/>
    </row>
    <row r="51146" spans="2:2" s="221" customFormat="1" ht="12.75" x14ac:dyDescent="0.2">
      <c r="B51146" s="1168"/>
    </row>
    <row r="51147" spans="2:2" s="221" customFormat="1" ht="12.75" x14ac:dyDescent="0.2">
      <c r="B51147" s="1168"/>
    </row>
    <row r="51148" spans="2:2" s="221" customFormat="1" ht="12.75" x14ac:dyDescent="0.2">
      <c r="B51148" s="1168"/>
    </row>
    <row r="51149" spans="2:2" s="221" customFormat="1" ht="12.75" x14ac:dyDescent="0.2">
      <c r="B51149" s="1168"/>
    </row>
    <row r="51150" spans="2:2" s="221" customFormat="1" ht="12.75" x14ac:dyDescent="0.2">
      <c r="B51150" s="1168"/>
    </row>
    <row r="51151" spans="2:2" s="221" customFormat="1" ht="12.75" x14ac:dyDescent="0.2">
      <c r="B51151" s="1168"/>
    </row>
    <row r="51152" spans="2:2" s="221" customFormat="1" ht="12.75" x14ac:dyDescent="0.2">
      <c r="B51152" s="1168"/>
    </row>
    <row r="51153" spans="2:2" s="221" customFormat="1" ht="12.75" x14ac:dyDescent="0.2">
      <c r="B51153" s="1168"/>
    </row>
    <row r="51154" spans="2:2" s="221" customFormat="1" ht="12.75" x14ac:dyDescent="0.2">
      <c r="B51154" s="1168"/>
    </row>
    <row r="51155" spans="2:2" s="221" customFormat="1" ht="12.75" x14ac:dyDescent="0.2">
      <c r="B51155" s="1168"/>
    </row>
    <row r="51156" spans="2:2" s="221" customFormat="1" ht="12.75" x14ac:dyDescent="0.2">
      <c r="B51156" s="1168"/>
    </row>
    <row r="51157" spans="2:2" s="221" customFormat="1" ht="12.75" x14ac:dyDescent="0.2">
      <c r="B51157" s="1168"/>
    </row>
    <row r="51158" spans="2:2" s="221" customFormat="1" ht="12.75" x14ac:dyDescent="0.2">
      <c r="B51158" s="1168"/>
    </row>
    <row r="51159" spans="2:2" s="221" customFormat="1" ht="12.75" x14ac:dyDescent="0.2">
      <c r="B51159" s="1168"/>
    </row>
    <row r="51160" spans="2:2" s="221" customFormat="1" ht="12.75" x14ac:dyDescent="0.2">
      <c r="B51160" s="1168"/>
    </row>
    <row r="51161" spans="2:2" s="221" customFormat="1" ht="12.75" x14ac:dyDescent="0.2">
      <c r="B51161" s="1168"/>
    </row>
    <row r="51162" spans="2:2" s="221" customFormat="1" ht="12.75" x14ac:dyDescent="0.2">
      <c r="B51162" s="1168"/>
    </row>
    <row r="51163" spans="2:2" s="221" customFormat="1" ht="12.75" x14ac:dyDescent="0.2">
      <c r="B51163" s="1168"/>
    </row>
    <row r="51164" spans="2:2" s="221" customFormat="1" ht="12.75" x14ac:dyDescent="0.2">
      <c r="B51164" s="1168"/>
    </row>
    <row r="51165" spans="2:2" s="221" customFormat="1" ht="12.75" x14ac:dyDescent="0.2">
      <c r="B51165" s="1168"/>
    </row>
    <row r="51166" spans="2:2" s="221" customFormat="1" ht="12.75" x14ac:dyDescent="0.2">
      <c r="B51166" s="1168"/>
    </row>
    <row r="51167" spans="2:2" s="221" customFormat="1" ht="12.75" x14ac:dyDescent="0.2">
      <c r="B51167" s="1168"/>
    </row>
    <row r="51168" spans="2:2" s="221" customFormat="1" ht="12.75" x14ac:dyDescent="0.2">
      <c r="B51168" s="1168"/>
    </row>
    <row r="51169" spans="2:2" s="221" customFormat="1" ht="12.75" x14ac:dyDescent="0.2">
      <c r="B51169" s="1168"/>
    </row>
    <row r="51170" spans="2:2" s="221" customFormat="1" ht="12.75" x14ac:dyDescent="0.2">
      <c r="B51170" s="1168"/>
    </row>
    <row r="51171" spans="2:2" s="221" customFormat="1" ht="12.75" x14ac:dyDescent="0.2">
      <c r="B51171" s="1168"/>
    </row>
    <row r="51172" spans="2:2" s="221" customFormat="1" ht="12.75" x14ac:dyDescent="0.2">
      <c r="B51172" s="1168"/>
    </row>
    <row r="51173" spans="2:2" s="221" customFormat="1" ht="12.75" x14ac:dyDescent="0.2">
      <c r="B51173" s="1168"/>
    </row>
    <row r="51174" spans="2:2" s="221" customFormat="1" ht="12.75" x14ac:dyDescent="0.2">
      <c r="B51174" s="1168"/>
    </row>
    <row r="51175" spans="2:2" s="221" customFormat="1" ht="12.75" x14ac:dyDescent="0.2">
      <c r="B51175" s="1168"/>
    </row>
    <row r="51176" spans="2:2" s="221" customFormat="1" ht="12.75" x14ac:dyDescent="0.2">
      <c r="B51176" s="1168"/>
    </row>
    <row r="51177" spans="2:2" s="221" customFormat="1" ht="12.75" x14ac:dyDescent="0.2">
      <c r="B51177" s="1168"/>
    </row>
    <row r="51178" spans="2:2" s="221" customFormat="1" ht="12.75" x14ac:dyDescent="0.2">
      <c r="B51178" s="1168"/>
    </row>
    <row r="51179" spans="2:2" s="221" customFormat="1" ht="12.75" x14ac:dyDescent="0.2">
      <c r="B51179" s="1168"/>
    </row>
    <row r="51180" spans="2:2" s="221" customFormat="1" ht="12.75" x14ac:dyDescent="0.2">
      <c r="B51180" s="1168"/>
    </row>
    <row r="51181" spans="2:2" s="221" customFormat="1" ht="12.75" x14ac:dyDescent="0.2">
      <c r="B51181" s="1168"/>
    </row>
    <row r="51182" spans="2:2" s="221" customFormat="1" ht="12.75" x14ac:dyDescent="0.2">
      <c r="B51182" s="1168"/>
    </row>
    <row r="51183" spans="2:2" s="221" customFormat="1" ht="12.75" x14ac:dyDescent="0.2">
      <c r="B51183" s="1168"/>
    </row>
    <row r="51184" spans="2:2" s="221" customFormat="1" ht="12.75" x14ac:dyDescent="0.2">
      <c r="B51184" s="1168"/>
    </row>
    <row r="51185" spans="2:2" s="221" customFormat="1" ht="12.75" x14ac:dyDescent="0.2">
      <c r="B51185" s="1168"/>
    </row>
    <row r="51186" spans="2:2" s="221" customFormat="1" ht="12.75" x14ac:dyDescent="0.2">
      <c r="B51186" s="1168"/>
    </row>
    <row r="51187" spans="2:2" s="221" customFormat="1" ht="12.75" x14ac:dyDescent="0.2">
      <c r="B51187" s="1168"/>
    </row>
    <row r="51188" spans="2:2" s="221" customFormat="1" ht="12.75" x14ac:dyDescent="0.2">
      <c r="B51188" s="1168"/>
    </row>
    <row r="51189" spans="2:2" s="221" customFormat="1" ht="12.75" x14ac:dyDescent="0.2">
      <c r="B51189" s="1168"/>
    </row>
    <row r="51190" spans="2:2" s="221" customFormat="1" ht="12.75" x14ac:dyDescent="0.2">
      <c r="B51190" s="1168"/>
    </row>
    <row r="51191" spans="2:2" s="221" customFormat="1" ht="12.75" x14ac:dyDescent="0.2">
      <c r="B51191" s="1168"/>
    </row>
    <row r="51192" spans="2:2" s="221" customFormat="1" ht="12.75" x14ac:dyDescent="0.2">
      <c r="B51192" s="1168"/>
    </row>
    <row r="51193" spans="2:2" s="221" customFormat="1" ht="12.75" x14ac:dyDescent="0.2">
      <c r="B51193" s="1168"/>
    </row>
    <row r="51194" spans="2:2" s="221" customFormat="1" ht="12.75" x14ac:dyDescent="0.2">
      <c r="B51194" s="1168"/>
    </row>
    <row r="51195" spans="2:2" s="221" customFormat="1" ht="12.75" x14ac:dyDescent="0.2">
      <c r="B51195" s="1168"/>
    </row>
    <row r="51196" spans="2:2" s="221" customFormat="1" ht="12.75" x14ac:dyDescent="0.2">
      <c r="B51196" s="1168"/>
    </row>
    <row r="51197" spans="2:2" s="221" customFormat="1" ht="12.75" x14ac:dyDescent="0.2">
      <c r="B51197" s="1168"/>
    </row>
    <row r="51198" spans="2:2" s="221" customFormat="1" ht="12.75" x14ac:dyDescent="0.2">
      <c r="B51198" s="1168"/>
    </row>
    <row r="51199" spans="2:2" s="221" customFormat="1" ht="12.75" x14ac:dyDescent="0.2">
      <c r="B51199" s="1168"/>
    </row>
    <row r="51200" spans="2:2" s="221" customFormat="1" ht="12.75" x14ac:dyDescent="0.2">
      <c r="B51200" s="1168"/>
    </row>
    <row r="51201" spans="2:2" s="221" customFormat="1" ht="12.75" x14ac:dyDescent="0.2">
      <c r="B51201" s="1168"/>
    </row>
    <row r="51202" spans="2:2" s="221" customFormat="1" ht="12.75" x14ac:dyDescent="0.2">
      <c r="B51202" s="1168"/>
    </row>
    <row r="51203" spans="2:2" s="221" customFormat="1" ht="12.75" x14ac:dyDescent="0.2">
      <c r="B51203" s="1168"/>
    </row>
    <row r="51204" spans="2:2" s="221" customFormat="1" ht="12.75" x14ac:dyDescent="0.2">
      <c r="B51204" s="1168"/>
    </row>
    <row r="51205" spans="2:2" s="221" customFormat="1" ht="12.75" x14ac:dyDescent="0.2">
      <c r="B51205" s="1168"/>
    </row>
    <row r="51206" spans="2:2" s="221" customFormat="1" ht="12.75" x14ac:dyDescent="0.2">
      <c r="B51206" s="1168"/>
    </row>
    <row r="51207" spans="2:2" s="221" customFormat="1" ht="12.75" x14ac:dyDescent="0.2">
      <c r="B51207" s="1168"/>
    </row>
    <row r="51208" spans="2:2" s="221" customFormat="1" ht="12.75" x14ac:dyDescent="0.2">
      <c r="B51208" s="1168"/>
    </row>
    <row r="51209" spans="2:2" s="221" customFormat="1" ht="12.75" x14ac:dyDescent="0.2">
      <c r="B51209" s="1168"/>
    </row>
    <row r="51210" spans="2:2" s="221" customFormat="1" ht="12.75" x14ac:dyDescent="0.2">
      <c r="B51210" s="1168"/>
    </row>
    <row r="51211" spans="2:2" s="221" customFormat="1" ht="12.75" x14ac:dyDescent="0.2">
      <c r="B51211" s="1168"/>
    </row>
    <row r="51212" spans="2:2" s="221" customFormat="1" ht="12.75" x14ac:dyDescent="0.2">
      <c r="B51212" s="1168"/>
    </row>
    <row r="51213" spans="2:2" s="221" customFormat="1" ht="12.75" x14ac:dyDescent="0.2">
      <c r="B51213" s="1168"/>
    </row>
    <row r="51214" spans="2:2" s="221" customFormat="1" ht="12.75" x14ac:dyDescent="0.2">
      <c r="B51214" s="1168"/>
    </row>
    <row r="51215" spans="2:2" s="221" customFormat="1" ht="12.75" x14ac:dyDescent="0.2">
      <c r="B51215" s="1168"/>
    </row>
    <row r="51216" spans="2:2" s="221" customFormat="1" ht="12.75" x14ac:dyDescent="0.2">
      <c r="B51216" s="1168"/>
    </row>
    <row r="51217" spans="2:2" s="221" customFormat="1" ht="12.75" x14ac:dyDescent="0.2">
      <c r="B51217" s="1168"/>
    </row>
    <row r="51218" spans="2:2" s="221" customFormat="1" ht="12.75" x14ac:dyDescent="0.2">
      <c r="B51218" s="1168"/>
    </row>
    <row r="51219" spans="2:2" s="221" customFormat="1" ht="12.75" x14ac:dyDescent="0.2">
      <c r="B51219" s="1168"/>
    </row>
    <row r="51220" spans="2:2" s="221" customFormat="1" ht="12.75" x14ac:dyDescent="0.2">
      <c r="B51220" s="1168"/>
    </row>
    <row r="51221" spans="2:2" s="221" customFormat="1" ht="12.75" x14ac:dyDescent="0.2">
      <c r="B51221" s="1168"/>
    </row>
    <row r="51222" spans="2:2" s="221" customFormat="1" ht="12.75" x14ac:dyDescent="0.2">
      <c r="B51222" s="1168"/>
    </row>
    <row r="51223" spans="2:2" s="221" customFormat="1" ht="12.75" x14ac:dyDescent="0.2">
      <c r="B51223" s="1168"/>
    </row>
    <row r="51224" spans="2:2" s="221" customFormat="1" ht="12.75" x14ac:dyDescent="0.2">
      <c r="B51224" s="1168"/>
    </row>
    <row r="51225" spans="2:2" s="221" customFormat="1" ht="12.75" x14ac:dyDescent="0.2">
      <c r="B51225" s="1168"/>
    </row>
    <row r="51226" spans="2:2" s="221" customFormat="1" ht="12.75" x14ac:dyDescent="0.2">
      <c r="B51226" s="1168"/>
    </row>
    <row r="51227" spans="2:2" s="221" customFormat="1" ht="12.75" x14ac:dyDescent="0.2">
      <c r="B51227" s="1168"/>
    </row>
    <row r="51228" spans="2:2" s="221" customFormat="1" ht="12.75" x14ac:dyDescent="0.2">
      <c r="B51228" s="1168"/>
    </row>
    <row r="51229" spans="2:2" s="221" customFormat="1" ht="12.75" x14ac:dyDescent="0.2">
      <c r="B51229" s="1168"/>
    </row>
    <row r="51230" spans="2:2" s="221" customFormat="1" ht="12.75" x14ac:dyDescent="0.2">
      <c r="B51230" s="1168"/>
    </row>
    <row r="51231" spans="2:2" s="221" customFormat="1" ht="12.75" x14ac:dyDescent="0.2">
      <c r="B51231" s="1168"/>
    </row>
    <row r="51232" spans="2:2" s="221" customFormat="1" ht="12.75" x14ac:dyDescent="0.2">
      <c r="B51232" s="1168"/>
    </row>
    <row r="51233" spans="2:2" s="221" customFormat="1" ht="12.75" x14ac:dyDescent="0.2">
      <c r="B51233" s="1168"/>
    </row>
    <row r="51234" spans="2:2" s="221" customFormat="1" ht="12.75" x14ac:dyDescent="0.2">
      <c r="B51234" s="1168"/>
    </row>
    <row r="51235" spans="2:2" s="221" customFormat="1" ht="12.75" x14ac:dyDescent="0.2">
      <c r="B51235" s="1168"/>
    </row>
    <row r="51236" spans="2:2" s="221" customFormat="1" ht="12.75" x14ac:dyDescent="0.2">
      <c r="B51236" s="1168"/>
    </row>
    <row r="51237" spans="2:2" s="221" customFormat="1" ht="12.75" x14ac:dyDescent="0.2">
      <c r="B51237" s="1168"/>
    </row>
    <row r="51238" spans="2:2" s="221" customFormat="1" ht="12.75" x14ac:dyDescent="0.2">
      <c r="B51238" s="1168"/>
    </row>
    <row r="51239" spans="2:2" s="221" customFormat="1" ht="12.75" x14ac:dyDescent="0.2">
      <c r="B51239" s="1168"/>
    </row>
    <row r="51240" spans="2:2" s="221" customFormat="1" ht="12.75" x14ac:dyDescent="0.2">
      <c r="B51240" s="1168"/>
    </row>
    <row r="51241" spans="2:2" s="221" customFormat="1" ht="12.75" x14ac:dyDescent="0.2">
      <c r="B51241" s="1168"/>
    </row>
    <row r="51242" spans="2:2" s="221" customFormat="1" ht="12.75" x14ac:dyDescent="0.2">
      <c r="B51242" s="1168"/>
    </row>
    <row r="51243" spans="2:2" s="221" customFormat="1" ht="12.75" x14ac:dyDescent="0.2">
      <c r="B51243" s="1168"/>
    </row>
    <row r="51244" spans="2:2" s="221" customFormat="1" ht="12.75" x14ac:dyDescent="0.2">
      <c r="B51244" s="1168"/>
    </row>
    <row r="51245" spans="2:2" s="221" customFormat="1" ht="12.75" x14ac:dyDescent="0.2">
      <c r="B51245" s="1168"/>
    </row>
    <row r="51246" spans="2:2" s="221" customFormat="1" ht="12.75" x14ac:dyDescent="0.2">
      <c r="B51246" s="1168"/>
    </row>
    <row r="51247" spans="2:2" s="221" customFormat="1" ht="12.75" x14ac:dyDescent="0.2">
      <c r="B51247" s="1168"/>
    </row>
    <row r="51248" spans="2:2" s="221" customFormat="1" ht="12.75" x14ac:dyDescent="0.2">
      <c r="B51248" s="1168"/>
    </row>
    <row r="51249" spans="2:2" s="221" customFormat="1" ht="12.75" x14ac:dyDescent="0.2">
      <c r="B51249" s="1168"/>
    </row>
    <row r="51250" spans="2:2" s="221" customFormat="1" ht="12.75" x14ac:dyDescent="0.2">
      <c r="B51250" s="1168"/>
    </row>
    <row r="51251" spans="2:2" s="221" customFormat="1" ht="12.75" x14ac:dyDescent="0.2">
      <c r="B51251" s="1168"/>
    </row>
    <row r="51252" spans="2:2" s="221" customFormat="1" ht="12.75" x14ac:dyDescent="0.2">
      <c r="B51252" s="1168"/>
    </row>
    <row r="51253" spans="2:2" s="221" customFormat="1" ht="12.75" x14ac:dyDescent="0.2">
      <c r="B51253" s="1168"/>
    </row>
    <row r="51254" spans="2:2" s="221" customFormat="1" ht="12.75" x14ac:dyDescent="0.2">
      <c r="B51254" s="1168"/>
    </row>
    <row r="51255" spans="2:2" s="221" customFormat="1" ht="12.75" x14ac:dyDescent="0.2">
      <c r="B51255" s="1168"/>
    </row>
    <row r="51256" spans="2:2" s="221" customFormat="1" ht="12.75" x14ac:dyDescent="0.2">
      <c r="B51256" s="1168"/>
    </row>
    <row r="51257" spans="2:2" s="221" customFormat="1" ht="12.75" x14ac:dyDescent="0.2">
      <c r="B51257" s="1168"/>
    </row>
    <row r="51258" spans="2:2" s="221" customFormat="1" ht="12.75" x14ac:dyDescent="0.2">
      <c r="B51258" s="1168"/>
    </row>
    <row r="51259" spans="2:2" s="221" customFormat="1" ht="12.75" x14ac:dyDescent="0.2">
      <c r="B51259" s="1168"/>
    </row>
    <row r="51260" spans="2:2" s="221" customFormat="1" ht="12.75" x14ac:dyDescent="0.2">
      <c r="B51260" s="1168"/>
    </row>
    <row r="51261" spans="2:2" s="221" customFormat="1" ht="12.75" x14ac:dyDescent="0.2">
      <c r="B51261" s="1168"/>
    </row>
    <row r="51262" spans="2:2" s="221" customFormat="1" ht="12.75" x14ac:dyDescent="0.2">
      <c r="B51262" s="1168"/>
    </row>
    <row r="51263" spans="2:2" s="221" customFormat="1" ht="12.75" x14ac:dyDescent="0.2">
      <c r="B51263" s="1168"/>
    </row>
    <row r="51264" spans="2:2" s="221" customFormat="1" ht="12.75" x14ac:dyDescent="0.2">
      <c r="B51264" s="1168"/>
    </row>
    <row r="51265" spans="2:2" s="221" customFormat="1" ht="12.75" x14ac:dyDescent="0.2">
      <c r="B51265" s="1168"/>
    </row>
    <row r="51266" spans="2:2" s="221" customFormat="1" ht="12.75" x14ac:dyDescent="0.2">
      <c r="B51266" s="1168"/>
    </row>
    <row r="51267" spans="2:2" s="221" customFormat="1" ht="12.75" x14ac:dyDescent="0.2">
      <c r="B51267" s="1168"/>
    </row>
    <row r="51268" spans="2:2" s="221" customFormat="1" ht="12.75" x14ac:dyDescent="0.2">
      <c r="B51268" s="1168"/>
    </row>
    <row r="51269" spans="2:2" s="221" customFormat="1" ht="12.75" x14ac:dyDescent="0.2">
      <c r="B51269" s="1168"/>
    </row>
    <row r="51270" spans="2:2" s="221" customFormat="1" ht="12.75" x14ac:dyDescent="0.2">
      <c r="B51270" s="1168"/>
    </row>
    <row r="51271" spans="2:2" s="221" customFormat="1" ht="12.75" x14ac:dyDescent="0.2">
      <c r="B51271" s="1168"/>
    </row>
    <row r="51272" spans="2:2" s="221" customFormat="1" ht="12.75" x14ac:dyDescent="0.2">
      <c r="B51272" s="1168"/>
    </row>
    <row r="51273" spans="2:2" s="221" customFormat="1" ht="12.75" x14ac:dyDescent="0.2">
      <c r="B51273" s="1168"/>
    </row>
    <row r="51274" spans="2:2" s="221" customFormat="1" ht="12.75" x14ac:dyDescent="0.2">
      <c r="B51274" s="1168"/>
    </row>
    <row r="51275" spans="2:2" s="221" customFormat="1" ht="12.75" x14ac:dyDescent="0.2">
      <c r="B51275" s="1168"/>
    </row>
    <row r="51276" spans="2:2" s="221" customFormat="1" ht="12.75" x14ac:dyDescent="0.2">
      <c r="B51276" s="1168"/>
    </row>
    <row r="51277" spans="2:2" s="221" customFormat="1" ht="12.75" x14ac:dyDescent="0.2">
      <c r="B51277" s="1168"/>
    </row>
    <row r="51278" spans="2:2" s="221" customFormat="1" ht="12.75" x14ac:dyDescent="0.2">
      <c r="B51278" s="1168"/>
    </row>
    <row r="51279" spans="2:2" s="221" customFormat="1" ht="12.75" x14ac:dyDescent="0.2">
      <c r="B51279" s="1168"/>
    </row>
    <row r="51280" spans="2:2" s="221" customFormat="1" ht="12.75" x14ac:dyDescent="0.2">
      <c r="B51280" s="1168"/>
    </row>
    <row r="51281" spans="2:2" s="221" customFormat="1" ht="12.75" x14ac:dyDescent="0.2">
      <c r="B51281" s="1168"/>
    </row>
    <row r="51282" spans="2:2" s="221" customFormat="1" ht="12.75" x14ac:dyDescent="0.2">
      <c r="B51282" s="1168"/>
    </row>
    <row r="51283" spans="2:2" s="221" customFormat="1" ht="12.75" x14ac:dyDescent="0.2">
      <c r="B51283" s="1168"/>
    </row>
    <row r="51284" spans="2:2" s="221" customFormat="1" ht="12.75" x14ac:dyDescent="0.2">
      <c r="B51284" s="1168"/>
    </row>
    <row r="51285" spans="2:2" s="221" customFormat="1" ht="12.75" x14ac:dyDescent="0.2">
      <c r="B51285" s="1168"/>
    </row>
    <row r="51286" spans="2:2" s="221" customFormat="1" ht="12.75" x14ac:dyDescent="0.2">
      <c r="B51286" s="1168"/>
    </row>
    <row r="51287" spans="2:2" s="221" customFormat="1" ht="12.75" x14ac:dyDescent="0.2">
      <c r="B51287" s="1168"/>
    </row>
    <row r="51288" spans="2:2" s="221" customFormat="1" ht="12.75" x14ac:dyDescent="0.2">
      <c r="B51288" s="1168"/>
    </row>
    <row r="51289" spans="2:2" s="221" customFormat="1" ht="12.75" x14ac:dyDescent="0.2">
      <c r="B51289" s="1168"/>
    </row>
    <row r="51290" spans="2:2" s="221" customFormat="1" ht="12.75" x14ac:dyDescent="0.2">
      <c r="B51290" s="1168"/>
    </row>
    <row r="51291" spans="2:2" s="221" customFormat="1" ht="12.75" x14ac:dyDescent="0.2">
      <c r="B51291" s="1168"/>
    </row>
    <row r="51292" spans="2:2" s="221" customFormat="1" ht="12.75" x14ac:dyDescent="0.2">
      <c r="B51292" s="1168"/>
    </row>
    <row r="51293" spans="2:2" s="221" customFormat="1" ht="12.75" x14ac:dyDescent="0.2">
      <c r="B51293" s="1168"/>
    </row>
    <row r="51294" spans="2:2" s="221" customFormat="1" ht="12.75" x14ac:dyDescent="0.2">
      <c r="B51294" s="1168"/>
    </row>
    <row r="51295" spans="2:2" s="221" customFormat="1" ht="12.75" x14ac:dyDescent="0.2">
      <c r="B51295" s="1168"/>
    </row>
    <row r="51296" spans="2:2" s="221" customFormat="1" ht="12.75" x14ac:dyDescent="0.2">
      <c r="B51296" s="1168"/>
    </row>
    <row r="51297" spans="2:2" s="221" customFormat="1" ht="12.75" x14ac:dyDescent="0.2">
      <c r="B51297" s="1168"/>
    </row>
    <row r="51298" spans="2:2" s="221" customFormat="1" ht="12.75" x14ac:dyDescent="0.2">
      <c r="B51298" s="1168"/>
    </row>
    <row r="51299" spans="2:2" s="221" customFormat="1" ht="12.75" x14ac:dyDescent="0.2">
      <c r="B51299" s="1168"/>
    </row>
    <row r="51300" spans="2:2" s="221" customFormat="1" ht="12.75" x14ac:dyDescent="0.2">
      <c r="B51300" s="1168"/>
    </row>
    <row r="51301" spans="2:2" s="221" customFormat="1" ht="12.75" x14ac:dyDescent="0.2">
      <c r="B51301" s="1168"/>
    </row>
    <row r="51302" spans="2:2" s="221" customFormat="1" ht="12.75" x14ac:dyDescent="0.2">
      <c r="B51302" s="1168"/>
    </row>
    <row r="51303" spans="2:2" s="221" customFormat="1" ht="12.75" x14ac:dyDescent="0.2">
      <c r="B51303" s="1168"/>
    </row>
    <row r="51304" spans="2:2" s="221" customFormat="1" ht="12.75" x14ac:dyDescent="0.2">
      <c r="B51304" s="1168"/>
    </row>
    <row r="51305" spans="2:2" s="221" customFormat="1" ht="12.75" x14ac:dyDescent="0.2">
      <c r="B51305" s="1168"/>
    </row>
    <row r="51306" spans="2:2" s="221" customFormat="1" ht="12.75" x14ac:dyDescent="0.2">
      <c r="B51306" s="1168"/>
    </row>
    <row r="51307" spans="2:2" s="221" customFormat="1" ht="12.75" x14ac:dyDescent="0.2">
      <c r="B51307" s="1168"/>
    </row>
    <row r="51308" spans="2:2" s="221" customFormat="1" ht="12.75" x14ac:dyDescent="0.2">
      <c r="B51308" s="1168"/>
    </row>
    <row r="51309" spans="2:2" s="221" customFormat="1" ht="12.75" x14ac:dyDescent="0.2">
      <c r="B51309" s="1168"/>
    </row>
    <row r="51310" spans="2:2" s="221" customFormat="1" ht="12.75" x14ac:dyDescent="0.2">
      <c r="B51310" s="1168"/>
    </row>
    <row r="51311" spans="2:2" s="221" customFormat="1" ht="12.75" x14ac:dyDescent="0.2">
      <c r="B51311" s="1168"/>
    </row>
    <row r="51312" spans="2:2" s="221" customFormat="1" ht="12.75" x14ac:dyDescent="0.2">
      <c r="B51312" s="1168"/>
    </row>
    <row r="51313" spans="2:2" s="221" customFormat="1" ht="12.75" x14ac:dyDescent="0.2">
      <c r="B51313" s="1168"/>
    </row>
    <row r="51314" spans="2:2" s="221" customFormat="1" ht="12.75" x14ac:dyDescent="0.2">
      <c r="B51314" s="1168"/>
    </row>
    <row r="51315" spans="2:2" s="221" customFormat="1" ht="12.75" x14ac:dyDescent="0.2">
      <c r="B51315" s="1168"/>
    </row>
    <row r="51316" spans="2:2" s="221" customFormat="1" ht="12.75" x14ac:dyDescent="0.2">
      <c r="B51316" s="1168"/>
    </row>
    <row r="51317" spans="2:2" s="221" customFormat="1" ht="12.75" x14ac:dyDescent="0.2">
      <c r="B51317" s="1168"/>
    </row>
    <row r="51318" spans="2:2" s="221" customFormat="1" ht="12.75" x14ac:dyDescent="0.2">
      <c r="B51318" s="1168"/>
    </row>
    <row r="51319" spans="2:2" s="221" customFormat="1" ht="12.75" x14ac:dyDescent="0.2">
      <c r="B51319" s="1168"/>
    </row>
    <row r="51320" spans="2:2" s="221" customFormat="1" ht="12.75" x14ac:dyDescent="0.2">
      <c r="B51320" s="1168"/>
    </row>
    <row r="51321" spans="2:2" s="221" customFormat="1" ht="12.75" x14ac:dyDescent="0.2">
      <c r="B51321" s="1168"/>
    </row>
    <row r="51322" spans="2:2" s="221" customFormat="1" ht="12.75" x14ac:dyDescent="0.2">
      <c r="B51322" s="1168"/>
    </row>
    <row r="51323" spans="2:2" s="221" customFormat="1" ht="12.75" x14ac:dyDescent="0.2">
      <c r="B51323" s="1168"/>
    </row>
    <row r="51324" spans="2:2" s="221" customFormat="1" ht="12.75" x14ac:dyDescent="0.2">
      <c r="B51324" s="1168"/>
    </row>
    <row r="51325" spans="2:2" s="221" customFormat="1" ht="12.75" x14ac:dyDescent="0.2">
      <c r="B51325" s="1168"/>
    </row>
    <row r="51326" spans="2:2" s="221" customFormat="1" ht="12.75" x14ac:dyDescent="0.2">
      <c r="B51326" s="1168"/>
    </row>
    <row r="51327" spans="2:2" s="221" customFormat="1" ht="12.75" x14ac:dyDescent="0.2">
      <c r="B51327" s="1168"/>
    </row>
    <row r="51328" spans="2:2" s="221" customFormat="1" ht="12.75" x14ac:dyDescent="0.2">
      <c r="B51328" s="1168"/>
    </row>
    <row r="51329" spans="2:2" s="221" customFormat="1" ht="12.75" x14ac:dyDescent="0.2">
      <c r="B51329" s="1168"/>
    </row>
    <row r="51330" spans="2:2" s="221" customFormat="1" ht="12.75" x14ac:dyDescent="0.2">
      <c r="B51330" s="1168"/>
    </row>
    <row r="51331" spans="2:2" s="221" customFormat="1" ht="12.75" x14ac:dyDescent="0.2">
      <c r="B51331" s="1168"/>
    </row>
    <row r="51332" spans="2:2" s="221" customFormat="1" ht="12.75" x14ac:dyDescent="0.2">
      <c r="B51332" s="1168"/>
    </row>
    <row r="51333" spans="2:2" s="221" customFormat="1" ht="12.75" x14ac:dyDescent="0.2">
      <c r="B51333" s="1168"/>
    </row>
    <row r="51334" spans="2:2" s="221" customFormat="1" ht="12.75" x14ac:dyDescent="0.2">
      <c r="B51334" s="1168"/>
    </row>
    <row r="51335" spans="2:2" s="221" customFormat="1" ht="12.75" x14ac:dyDescent="0.2">
      <c r="B51335" s="1168"/>
    </row>
    <row r="51336" spans="2:2" s="221" customFormat="1" ht="12.75" x14ac:dyDescent="0.2">
      <c r="B51336" s="1168"/>
    </row>
    <row r="51337" spans="2:2" s="221" customFormat="1" ht="12.75" x14ac:dyDescent="0.2">
      <c r="B51337" s="1168"/>
    </row>
    <row r="51338" spans="2:2" s="221" customFormat="1" ht="12.75" x14ac:dyDescent="0.2">
      <c r="B51338" s="1168"/>
    </row>
    <row r="51339" spans="2:2" s="221" customFormat="1" ht="12.75" x14ac:dyDescent="0.2">
      <c r="B51339" s="1168"/>
    </row>
    <row r="51340" spans="2:2" s="221" customFormat="1" ht="12.75" x14ac:dyDescent="0.2">
      <c r="B51340" s="1168"/>
    </row>
    <row r="51341" spans="2:2" s="221" customFormat="1" ht="12.75" x14ac:dyDescent="0.2">
      <c r="B51341" s="1168"/>
    </row>
    <row r="51342" spans="2:2" s="221" customFormat="1" ht="12.75" x14ac:dyDescent="0.2">
      <c r="B51342" s="1168"/>
    </row>
    <row r="51343" spans="2:2" s="221" customFormat="1" ht="12.75" x14ac:dyDescent="0.2">
      <c r="B51343" s="1168"/>
    </row>
    <row r="51344" spans="2:2" s="221" customFormat="1" ht="12.75" x14ac:dyDescent="0.2">
      <c r="B51344" s="1168"/>
    </row>
    <row r="51345" spans="2:2" s="221" customFormat="1" ht="12.75" x14ac:dyDescent="0.2">
      <c r="B51345" s="1168"/>
    </row>
    <row r="51346" spans="2:2" s="221" customFormat="1" ht="12.75" x14ac:dyDescent="0.2">
      <c r="B51346" s="1168"/>
    </row>
    <row r="51347" spans="2:2" s="221" customFormat="1" ht="12.75" x14ac:dyDescent="0.2">
      <c r="B51347" s="1168"/>
    </row>
    <row r="51348" spans="2:2" s="221" customFormat="1" ht="12.75" x14ac:dyDescent="0.2">
      <c r="B51348" s="1168"/>
    </row>
    <row r="51349" spans="2:2" s="221" customFormat="1" ht="12.75" x14ac:dyDescent="0.2">
      <c r="B51349" s="1168"/>
    </row>
    <row r="51350" spans="2:2" s="221" customFormat="1" ht="12.75" x14ac:dyDescent="0.2">
      <c r="B51350" s="1168"/>
    </row>
    <row r="51351" spans="2:2" s="221" customFormat="1" ht="12.75" x14ac:dyDescent="0.2">
      <c r="B51351" s="1168"/>
    </row>
    <row r="51352" spans="2:2" s="221" customFormat="1" ht="12.75" x14ac:dyDescent="0.2">
      <c r="B51352" s="1168"/>
    </row>
    <row r="51353" spans="2:2" s="221" customFormat="1" ht="12.75" x14ac:dyDescent="0.2">
      <c r="B51353" s="1168"/>
    </row>
    <row r="51354" spans="2:2" s="221" customFormat="1" ht="12.75" x14ac:dyDescent="0.2">
      <c r="B51354" s="1168"/>
    </row>
    <row r="51355" spans="2:2" s="221" customFormat="1" ht="12.75" x14ac:dyDescent="0.2">
      <c r="B51355" s="1168"/>
    </row>
    <row r="51356" spans="2:2" s="221" customFormat="1" ht="12.75" x14ac:dyDescent="0.2">
      <c r="B51356" s="1168"/>
    </row>
    <row r="51357" spans="2:2" s="221" customFormat="1" ht="12.75" x14ac:dyDescent="0.2">
      <c r="B51357" s="1168"/>
    </row>
    <row r="51358" spans="2:2" s="221" customFormat="1" ht="12.75" x14ac:dyDescent="0.2">
      <c r="B51358" s="1168"/>
    </row>
    <row r="51359" spans="2:2" s="221" customFormat="1" ht="12.75" x14ac:dyDescent="0.2">
      <c r="B51359" s="1168"/>
    </row>
    <row r="51360" spans="2:2" s="221" customFormat="1" ht="12.75" x14ac:dyDescent="0.2">
      <c r="B51360" s="1168"/>
    </row>
    <row r="51361" spans="2:2" s="221" customFormat="1" ht="12.75" x14ac:dyDescent="0.2">
      <c r="B51361" s="1168"/>
    </row>
    <row r="51362" spans="2:2" s="221" customFormat="1" ht="12.75" x14ac:dyDescent="0.2">
      <c r="B51362" s="1168"/>
    </row>
    <row r="51363" spans="2:2" s="221" customFormat="1" ht="12.75" x14ac:dyDescent="0.2">
      <c r="B51363" s="1168"/>
    </row>
    <row r="51364" spans="2:2" s="221" customFormat="1" ht="12.75" x14ac:dyDescent="0.2">
      <c r="B51364" s="1168"/>
    </row>
    <row r="51365" spans="2:2" s="221" customFormat="1" ht="12.75" x14ac:dyDescent="0.2">
      <c r="B51365" s="1168"/>
    </row>
    <row r="51366" spans="2:2" s="221" customFormat="1" ht="12.75" x14ac:dyDescent="0.2">
      <c r="B51366" s="1168"/>
    </row>
    <row r="51367" spans="2:2" s="221" customFormat="1" ht="12.75" x14ac:dyDescent="0.2">
      <c r="B51367" s="1168"/>
    </row>
    <row r="51368" spans="2:2" s="221" customFormat="1" ht="12.75" x14ac:dyDescent="0.2">
      <c r="B51368" s="1168"/>
    </row>
    <row r="51369" spans="2:2" s="221" customFormat="1" ht="12.75" x14ac:dyDescent="0.2">
      <c r="B51369" s="1168"/>
    </row>
    <row r="51370" spans="2:2" s="221" customFormat="1" ht="12.75" x14ac:dyDescent="0.2">
      <c r="B51370" s="1168"/>
    </row>
    <row r="51371" spans="2:2" s="221" customFormat="1" ht="12.75" x14ac:dyDescent="0.2">
      <c r="B51371" s="1168"/>
    </row>
    <row r="51372" spans="2:2" s="221" customFormat="1" ht="12.75" x14ac:dyDescent="0.2">
      <c r="B51372" s="1168"/>
    </row>
    <row r="51373" spans="2:2" s="221" customFormat="1" ht="12.75" x14ac:dyDescent="0.2">
      <c r="B51373" s="1168"/>
    </row>
    <row r="51374" spans="2:2" s="221" customFormat="1" ht="12.75" x14ac:dyDescent="0.2">
      <c r="B51374" s="1168"/>
    </row>
    <row r="51375" spans="2:2" s="221" customFormat="1" ht="12.75" x14ac:dyDescent="0.2">
      <c r="B51375" s="1168"/>
    </row>
    <row r="51376" spans="2:2" s="221" customFormat="1" ht="12.75" x14ac:dyDescent="0.2">
      <c r="B51376" s="1168"/>
    </row>
    <row r="51377" spans="2:2" s="221" customFormat="1" ht="12.75" x14ac:dyDescent="0.2">
      <c r="B51377" s="1168"/>
    </row>
    <row r="51378" spans="2:2" s="221" customFormat="1" ht="12.75" x14ac:dyDescent="0.2">
      <c r="B51378" s="1168"/>
    </row>
    <row r="51379" spans="2:2" s="221" customFormat="1" ht="12.75" x14ac:dyDescent="0.2">
      <c r="B51379" s="1168"/>
    </row>
    <row r="51380" spans="2:2" s="221" customFormat="1" ht="12.75" x14ac:dyDescent="0.2">
      <c r="B51380" s="1168"/>
    </row>
    <row r="51381" spans="2:2" s="221" customFormat="1" ht="12.75" x14ac:dyDescent="0.2">
      <c r="B51381" s="1168"/>
    </row>
    <row r="51382" spans="2:2" s="221" customFormat="1" ht="12.75" x14ac:dyDescent="0.2">
      <c r="B51382" s="1168"/>
    </row>
    <row r="51383" spans="2:2" s="221" customFormat="1" ht="12.75" x14ac:dyDescent="0.2">
      <c r="B51383" s="1168"/>
    </row>
    <row r="51384" spans="2:2" s="221" customFormat="1" ht="12.75" x14ac:dyDescent="0.2">
      <c r="B51384" s="1168"/>
    </row>
    <row r="51385" spans="2:2" s="221" customFormat="1" ht="12.75" x14ac:dyDescent="0.2">
      <c r="B51385" s="1168"/>
    </row>
    <row r="51386" spans="2:2" s="221" customFormat="1" ht="12.75" x14ac:dyDescent="0.2">
      <c r="B51386" s="1168"/>
    </row>
    <row r="51387" spans="2:2" s="221" customFormat="1" ht="12.75" x14ac:dyDescent="0.2">
      <c r="B51387" s="1168"/>
    </row>
    <row r="51388" spans="2:2" s="221" customFormat="1" ht="12.75" x14ac:dyDescent="0.2">
      <c r="B51388" s="1168"/>
    </row>
    <row r="51389" spans="2:2" s="221" customFormat="1" ht="12.75" x14ac:dyDescent="0.2">
      <c r="B51389" s="1168"/>
    </row>
    <row r="51390" spans="2:2" s="221" customFormat="1" ht="12.75" x14ac:dyDescent="0.2">
      <c r="B51390" s="1168"/>
    </row>
    <row r="51391" spans="2:2" s="221" customFormat="1" ht="12.75" x14ac:dyDescent="0.2">
      <c r="B51391" s="1168"/>
    </row>
    <row r="51392" spans="2:2" s="221" customFormat="1" ht="12.75" x14ac:dyDescent="0.2">
      <c r="B51392" s="1168"/>
    </row>
    <row r="51393" spans="2:2" s="221" customFormat="1" ht="12.75" x14ac:dyDescent="0.2">
      <c r="B51393" s="1168"/>
    </row>
    <row r="51394" spans="2:2" s="221" customFormat="1" ht="12.75" x14ac:dyDescent="0.2">
      <c r="B51394" s="1168"/>
    </row>
    <row r="51395" spans="2:2" s="221" customFormat="1" ht="12.75" x14ac:dyDescent="0.2">
      <c r="B51395" s="1168"/>
    </row>
    <row r="51396" spans="2:2" s="221" customFormat="1" ht="12.75" x14ac:dyDescent="0.2">
      <c r="B51396" s="1168"/>
    </row>
    <row r="51397" spans="2:2" s="221" customFormat="1" ht="12.75" x14ac:dyDescent="0.2">
      <c r="B51397" s="1168"/>
    </row>
    <row r="51398" spans="2:2" s="221" customFormat="1" ht="12.75" x14ac:dyDescent="0.2">
      <c r="B51398" s="1168"/>
    </row>
    <row r="51399" spans="2:2" s="221" customFormat="1" ht="12.75" x14ac:dyDescent="0.2">
      <c r="B51399" s="1168"/>
    </row>
    <row r="51400" spans="2:2" s="221" customFormat="1" ht="12.75" x14ac:dyDescent="0.2">
      <c r="B51400" s="1168"/>
    </row>
    <row r="51401" spans="2:2" s="221" customFormat="1" ht="12.75" x14ac:dyDescent="0.2">
      <c r="B51401" s="1168"/>
    </row>
    <row r="51402" spans="2:2" s="221" customFormat="1" ht="12.75" x14ac:dyDescent="0.2">
      <c r="B51402" s="1168"/>
    </row>
    <row r="51403" spans="2:2" s="221" customFormat="1" ht="12.75" x14ac:dyDescent="0.2">
      <c r="B51403" s="1168"/>
    </row>
    <row r="51404" spans="2:2" s="221" customFormat="1" ht="12.75" x14ac:dyDescent="0.2">
      <c r="B51404" s="1168"/>
    </row>
    <row r="51405" spans="2:2" s="221" customFormat="1" ht="12.75" x14ac:dyDescent="0.2">
      <c r="B51405" s="1168"/>
    </row>
    <row r="51406" spans="2:2" s="221" customFormat="1" ht="12.75" x14ac:dyDescent="0.2">
      <c r="B51406" s="1168"/>
    </row>
    <row r="51407" spans="2:2" s="221" customFormat="1" ht="12.75" x14ac:dyDescent="0.2">
      <c r="B51407" s="1168"/>
    </row>
    <row r="51408" spans="2:2" s="221" customFormat="1" ht="12.75" x14ac:dyDescent="0.2">
      <c r="B51408" s="1168"/>
    </row>
    <row r="51409" spans="2:2" s="221" customFormat="1" ht="12.75" x14ac:dyDescent="0.2">
      <c r="B51409" s="1168"/>
    </row>
    <row r="51410" spans="2:2" s="221" customFormat="1" ht="12.75" x14ac:dyDescent="0.2">
      <c r="B51410" s="1168"/>
    </row>
    <row r="51411" spans="2:2" s="221" customFormat="1" ht="12.75" x14ac:dyDescent="0.2">
      <c r="B51411" s="1168"/>
    </row>
    <row r="51412" spans="2:2" s="221" customFormat="1" ht="12.75" x14ac:dyDescent="0.2">
      <c r="B51412" s="1168"/>
    </row>
    <row r="51413" spans="2:2" s="221" customFormat="1" ht="12.75" x14ac:dyDescent="0.2">
      <c r="B51413" s="1168"/>
    </row>
    <row r="51414" spans="2:2" s="221" customFormat="1" ht="12.75" x14ac:dyDescent="0.2">
      <c r="B51414" s="1168"/>
    </row>
    <row r="51415" spans="2:2" s="221" customFormat="1" ht="12.75" x14ac:dyDescent="0.2">
      <c r="B51415" s="1168"/>
    </row>
    <row r="51416" spans="2:2" s="221" customFormat="1" ht="12.75" x14ac:dyDescent="0.2">
      <c r="B51416" s="1168"/>
    </row>
    <row r="51417" spans="2:2" s="221" customFormat="1" ht="12.75" x14ac:dyDescent="0.2">
      <c r="B51417" s="1168"/>
    </row>
    <row r="51418" spans="2:2" s="221" customFormat="1" ht="12.75" x14ac:dyDescent="0.2">
      <c r="B51418" s="1168"/>
    </row>
    <row r="51419" spans="2:2" s="221" customFormat="1" ht="12.75" x14ac:dyDescent="0.2">
      <c r="B51419" s="1168"/>
    </row>
    <row r="51420" spans="2:2" s="221" customFormat="1" ht="12.75" x14ac:dyDescent="0.2">
      <c r="B51420" s="1168"/>
    </row>
    <row r="51421" spans="2:2" s="221" customFormat="1" ht="12.75" x14ac:dyDescent="0.2">
      <c r="B51421" s="1168"/>
    </row>
    <row r="51422" spans="2:2" s="221" customFormat="1" ht="12.75" x14ac:dyDescent="0.2">
      <c r="B51422" s="1168"/>
    </row>
    <row r="51423" spans="2:2" s="221" customFormat="1" ht="12.75" x14ac:dyDescent="0.2">
      <c r="B51423" s="1168"/>
    </row>
    <row r="51424" spans="2:2" s="221" customFormat="1" ht="12.75" x14ac:dyDescent="0.2">
      <c r="B51424" s="1168"/>
    </row>
    <row r="51425" spans="2:2" s="221" customFormat="1" ht="12.75" x14ac:dyDescent="0.2">
      <c r="B51425" s="1168"/>
    </row>
    <row r="51426" spans="2:2" s="221" customFormat="1" ht="12.75" x14ac:dyDescent="0.2">
      <c r="B51426" s="1168"/>
    </row>
    <row r="51427" spans="2:2" s="221" customFormat="1" ht="12.75" x14ac:dyDescent="0.2">
      <c r="B51427" s="1168"/>
    </row>
    <row r="51428" spans="2:2" s="221" customFormat="1" ht="12.75" x14ac:dyDescent="0.2">
      <c r="B51428" s="1168"/>
    </row>
    <row r="51429" spans="2:2" s="221" customFormat="1" ht="12.75" x14ac:dyDescent="0.2">
      <c r="B51429" s="1168"/>
    </row>
    <row r="51430" spans="2:2" s="221" customFormat="1" ht="12.75" x14ac:dyDescent="0.2">
      <c r="B51430" s="1168"/>
    </row>
    <row r="51431" spans="2:2" s="221" customFormat="1" ht="12.75" x14ac:dyDescent="0.2">
      <c r="B51431" s="1168"/>
    </row>
    <row r="51432" spans="2:2" s="221" customFormat="1" ht="12.75" x14ac:dyDescent="0.2">
      <c r="B51432" s="1168"/>
    </row>
    <row r="51433" spans="2:2" s="221" customFormat="1" ht="12.75" x14ac:dyDescent="0.2">
      <c r="B51433" s="1168"/>
    </row>
    <row r="51434" spans="2:2" s="221" customFormat="1" ht="12.75" x14ac:dyDescent="0.2">
      <c r="B51434" s="1168"/>
    </row>
    <row r="51435" spans="2:2" s="221" customFormat="1" ht="12.75" x14ac:dyDescent="0.2">
      <c r="B51435" s="1168"/>
    </row>
    <row r="51436" spans="2:2" s="221" customFormat="1" ht="12.75" x14ac:dyDescent="0.2">
      <c r="B51436" s="1168"/>
    </row>
    <row r="51437" spans="2:2" s="221" customFormat="1" ht="12.75" x14ac:dyDescent="0.2">
      <c r="B51437" s="1168"/>
    </row>
    <row r="51438" spans="2:2" s="221" customFormat="1" ht="12.75" x14ac:dyDescent="0.2">
      <c r="B51438" s="1168"/>
    </row>
    <row r="51439" spans="2:2" s="221" customFormat="1" ht="12.75" x14ac:dyDescent="0.2">
      <c r="B51439" s="1168"/>
    </row>
    <row r="51440" spans="2:2" s="221" customFormat="1" ht="12.75" x14ac:dyDescent="0.2">
      <c r="B51440" s="1168"/>
    </row>
    <row r="51441" spans="2:2" s="221" customFormat="1" ht="12.75" x14ac:dyDescent="0.2">
      <c r="B51441" s="1168"/>
    </row>
    <row r="51442" spans="2:2" s="221" customFormat="1" ht="12.75" x14ac:dyDescent="0.2">
      <c r="B51442" s="1168"/>
    </row>
    <row r="51443" spans="2:2" s="221" customFormat="1" ht="12.75" x14ac:dyDescent="0.2">
      <c r="B51443" s="1168"/>
    </row>
    <row r="51444" spans="2:2" s="221" customFormat="1" ht="12.75" x14ac:dyDescent="0.2">
      <c r="B51444" s="1168"/>
    </row>
    <row r="51445" spans="2:2" s="221" customFormat="1" ht="12.75" x14ac:dyDescent="0.2">
      <c r="B51445" s="1168"/>
    </row>
    <row r="51446" spans="2:2" s="221" customFormat="1" ht="12.75" x14ac:dyDescent="0.2">
      <c r="B51446" s="1168"/>
    </row>
    <row r="51447" spans="2:2" s="221" customFormat="1" ht="12.75" x14ac:dyDescent="0.2">
      <c r="B51447" s="1168"/>
    </row>
    <row r="51448" spans="2:2" s="221" customFormat="1" ht="12.75" x14ac:dyDescent="0.2">
      <c r="B51448" s="1168"/>
    </row>
    <row r="51449" spans="2:2" s="221" customFormat="1" ht="12.75" x14ac:dyDescent="0.2">
      <c r="B51449" s="1168"/>
    </row>
    <row r="51450" spans="2:2" s="221" customFormat="1" ht="12.75" x14ac:dyDescent="0.2">
      <c r="B51450" s="1168"/>
    </row>
    <row r="51451" spans="2:2" s="221" customFormat="1" ht="12.75" x14ac:dyDescent="0.2">
      <c r="B51451" s="1168"/>
    </row>
    <row r="51452" spans="2:2" s="221" customFormat="1" ht="12.75" x14ac:dyDescent="0.2">
      <c r="B51452" s="1168"/>
    </row>
    <row r="51453" spans="2:2" s="221" customFormat="1" ht="12.75" x14ac:dyDescent="0.2">
      <c r="B51453" s="1168"/>
    </row>
    <row r="51454" spans="2:2" s="221" customFormat="1" ht="12.75" x14ac:dyDescent="0.2">
      <c r="B51454" s="1168"/>
    </row>
    <row r="51455" spans="2:2" s="221" customFormat="1" ht="12.75" x14ac:dyDescent="0.2">
      <c r="B51455" s="1168"/>
    </row>
    <row r="51456" spans="2:2" s="221" customFormat="1" ht="12.75" x14ac:dyDescent="0.2">
      <c r="B51456" s="1168"/>
    </row>
    <row r="51457" spans="2:2" s="221" customFormat="1" ht="12.75" x14ac:dyDescent="0.2">
      <c r="B51457" s="1168"/>
    </row>
    <row r="51458" spans="2:2" s="221" customFormat="1" ht="12.75" x14ac:dyDescent="0.2">
      <c r="B51458" s="1168"/>
    </row>
    <row r="51459" spans="2:2" s="221" customFormat="1" ht="12.75" x14ac:dyDescent="0.2">
      <c r="B51459" s="1168"/>
    </row>
    <row r="51460" spans="2:2" s="221" customFormat="1" ht="12.75" x14ac:dyDescent="0.2">
      <c r="B51460" s="1168"/>
    </row>
    <row r="51461" spans="2:2" s="221" customFormat="1" ht="12.75" x14ac:dyDescent="0.2">
      <c r="B51461" s="1168"/>
    </row>
    <row r="51462" spans="2:2" s="221" customFormat="1" ht="12.75" x14ac:dyDescent="0.2">
      <c r="B51462" s="1168"/>
    </row>
    <row r="51463" spans="2:2" s="221" customFormat="1" ht="12.75" x14ac:dyDescent="0.2">
      <c r="B51463" s="1168"/>
    </row>
    <row r="51464" spans="2:2" s="221" customFormat="1" ht="12.75" x14ac:dyDescent="0.2">
      <c r="B51464" s="1168"/>
    </row>
    <row r="51465" spans="2:2" s="221" customFormat="1" ht="12.75" x14ac:dyDescent="0.2">
      <c r="B51465" s="1168"/>
    </row>
    <row r="51466" spans="2:2" s="221" customFormat="1" ht="12.75" x14ac:dyDescent="0.2">
      <c r="B51466" s="1168"/>
    </row>
    <row r="51467" spans="2:2" s="221" customFormat="1" ht="12.75" x14ac:dyDescent="0.2">
      <c r="B51467" s="1168"/>
    </row>
    <row r="51468" spans="2:2" s="221" customFormat="1" ht="12.75" x14ac:dyDescent="0.2">
      <c r="B51468" s="1168"/>
    </row>
    <row r="51469" spans="2:2" s="221" customFormat="1" ht="12.75" x14ac:dyDescent="0.2">
      <c r="B51469" s="1168"/>
    </row>
    <row r="51470" spans="2:2" s="221" customFormat="1" ht="12.75" x14ac:dyDescent="0.2">
      <c r="B51470" s="1168"/>
    </row>
    <row r="51471" spans="2:2" s="221" customFormat="1" ht="12.75" x14ac:dyDescent="0.2">
      <c r="B51471" s="1168"/>
    </row>
    <row r="51472" spans="2:2" s="221" customFormat="1" ht="12.75" x14ac:dyDescent="0.2">
      <c r="B51472" s="1168"/>
    </row>
    <row r="51473" spans="2:2" s="221" customFormat="1" ht="12.75" x14ac:dyDescent="0.2">
      <c r="B51473" s="1168"/>
    </row>
    <row r="51474" spans="2:2" s="221" customFormat="1" ht="12.75" x14ac:dyDescent="0.2">
      <c r="B51474" s="1168"/>
    </row>
    <row r="51475" spans="2:2" s="221" customFormat="1" ht="12.75" x14ac:dyDescent="0.2">
      <c r="B51475" s="1168"/>
    </row>
    <row r="51476" spans="2:2" s="221" customFormat="1" ht="12.75" x14ac:dyDescent="0.2">
      <c r="B51476" s="1168"/>
    </row>
    <row r="51477" spans="2:2" s="221" customFormat="1" ht="12.75" x14ac:dyDescent="0.2">
      <c r="B51477" s="1168"/>
    </row>
    <row r="51478" spans="2:2" s="221" customFormat="1" ht="12.75" x14ac:dyDescent="0.2">
      <c r="B51478" s="1168"/>
    </row>
    <row r="51479" spans="2:2" s="221" customFormat="1" ht="12.75" x14ac:dyDescent="0.2">
      <c r="B51479" s="1168"/>
    </row>
    <row r="51480" spans="2:2" s="221" customFormat="1" ht="12.75" x14ac:dyDescent="0.2">
      <c r="B51480" s="1168"/>
    </row>
    <row r="51481" spans="2:2" s="221" customFormat="1" ht="12.75" x14ac:dyDescent="0.2">
      <c r="B51481" s="1168"/>
    </row>
    <row r="51482" spans="2:2" s="221" customFormat="1" ht="12.75" x14ac:dyDescent="0.2">
      <c r="B51482" s="1168"/>
    </row>
    <row r="51483" spans="2:2" s="221" customFormat="1" ht="12.75" x14ac:dyDescent="0.2">
      <c r="B51483" s="1168"/>
    </row>
    <row r="51484" spans="2:2" s="221" customFormat="1" ht="12.75" x14ac:dyDescent="0.2">
      <c r="B51484" s="1168"/>
    </row>
    <row r="51485" spans="2:2" s="221" customFormat="1" ht="12.75" x14ac:dyDescent="0.2">
      <c r="B51485" s="1168"/>
    </row>
    <row r="51486" spans="2:2" s="221" customFormat="1" ht="12.75" x14ac:dyDescent="0.2">
      <c r="B51486" s="1168"/>
    </row>
    <row r="51487" spans="2:2" s="221" customFormat="1" ht="12.75" x14ac:dyDescent="0.2">
      <c r="B51487" s="1168"/>
    </row>
    <row r="51488" spans="2:2" s="221" customFormat="1" ht="12.75" x14ac:dyDescent="0.2">
      <c r="B51488" s="1168"/>
    </row>
    <row r="51489" spans="2:2" s="221" customFormat="1" ht="12.75" x14ac:dyDescent="0.2">
      <c r="B51489" s="1168"/>
    </row>
    <row r="51490" spans="2:2" s="221" customFormat="1" ht="12.75" x14ac:dyDescent="0.2">
      <c r="B51490" s="1168"/>
    </row>
    <row r="51491" spans="2:2" s="221" customFormat="1" ht="12.75" x14ac:dyDescent="0.2">
      <c r="B51491" s="1168"/>
    </row>
    <row r="51492" spans="2:2" s="221" customFormat="1" ht="12.75" x14ac:dyDescent="0.2">
      <c r="B51492" s="1168"/>
    </row>
    <row r="51493" spans="2:2" s="221" customFormat="1" ht="12.75" x14ac:dyDescent="0.2">
      <c r="B51493" s="1168"/>
    </row>
    <row r="51494" spans="2:2" s="221" customFormat="1" ht="12.75" x14ac:dyDescent="0.2">
      <c r="B51494" s="1168"/>
    </row>
    <row r="51495" spans="2:2" s="221" customFormat="1" ht="12.75" x14ac:dyDescent="0.2">
      <c r="B51495" s="1168"/>
    </row>
    <row r="51496" spans="2:2" s="221" customFormat="1" ht="12.75" x14ac:dyDescent="0.2">
      <c r="B51496" s="1168"/>
    </row>
    <row r="51497" spans="2:2" s="221" customFormat="1" ht="12.75" x14ac:dyDescent="0.2">
      <c r="B51497" s="1168"/>
    </row>
    <row r="51498" spans="2:2" s="221" customFormat="1" ht="12.75" x14ac:dyDescent="0.2">
      <c r="B51498" s="1168"/>
    </row>
    <row r="51499" spans="2:2" s="221" customFormat="1" ht="12.75" x14ac:dyDescent="0.2">
      <c r="B51499" s="1168"/>
    </row>
    <row r="51500" spans="2:2" s="221" customFormat="1" ht="12.75" x14ac:dyDescent="0.2">
      <c r="B51500" s="1168"/>
    </row>
    <row r="51501" spans="2:2" s="221" customFormat="1" ht="12.75" x14ac:dyDescent="0.2">
      <c r="B51501" s="1168"/>
    </row>
    <row r="51502" spans="2:2" s="221" customFormat="1" ht="12.75" x14ac:dyDescent="0.2">
      <c r="B51502" s="1168"/>
    </row>
    <row r="51503" spans="2:2" s="221" customFormat="1" ht="12.75" x14ac:dyDescent="0.2">
      <c r="B51503" s="1168"/>
    </row>
    <row r="51504" spans="2:2" s="221" customFormat="1" ht="12.75" x14ac:dyDescent="0.2">
      <c r="B51504" s="1168"/>
    </row>
    <row r="51505" spans="2:2" s="221" customFormat="1" ht="12.75" x14ac:dyDescent="0.2">
      <c r="B51505" s="1168"/>
    </row>
    <row r="51506" spans="2:2" s="221" customFormat="1" ht="12.75" x14ac:dyDescent="0.2">
      <c r="B51506" s="1168"/>
    </row>
    <row r="51507" spans="2:2" s="221" customFormat="1" ht="12.75" x14ac:dyDescent="0.2">
      <c r="B51507" s="1168"/>
    </row>
    <row r="51508" spans="2:2" s="221" customFormat="1" ht="12.75" x14ac:dyDescent="0.2">
      <c r="B51508" s="1168"/>
    </row>
    <row r="51509" spans="2:2" s="221" customFormat="1" ht="12.75" x14ac:dyDescent="0.2">
      <c r="B51509" s="1168"/>
    </row>
    <row r="51510" spans="2:2" s="221" customFormat="1" ht="12.75" x14ac:dyDescent="0.2">
      <c r="B51510" s="1168"/>
    </row>
    <row r="51511" spans="2:2" s="221" customFormat="1" ht="12.75" x14ac:dyDescent="0.2">
      <c r="B51511" s="1168"/>
    </row>
    <row r="51512" spans="2:2" s="221" customFormat="1" ht="12.75" x14ac:dyDescent="0.2">
      <c r="B51512" s="1168"/>
    </row>
    <row r="51513" spans="2:2" s="221" customFormat="1" ht="12.75" x14ac:dyDescent="0.2">
      <c r="B51513" s="1168"/>
    </row>
    <row r="51514" spans="2:2" s="221" customFormat="1" ht="12.75" x14ac:dyDescent="0.2">
      <c r="B51514" s="1168"/>
    </row>
    <row r="51515" spans="2:2" s="221" customFormat="1" ht="12.75" x14ac:dyDescent="0.2">
      <c r="B51515" s="1168"/>
    </row>
    <row r="51516" spans="2:2" s="221" customFormat="1" ht="12.75" x14ac:dyDescent="0.2">
      <c r="B51516" s="1168"/>
    </row>
    <row r="51517" spans="2:2" s="221" customFormat="1" ht="12.75" x14ac:dyDescent="0.2">
      <c r="B51517" s="1168"/>
    </row>
    <row r="51518" spans="2:2" s="221" customFormat="1" ht="12.75" x14ac:dyDescent="0.2">
      <c r="B51518" s="1168"/>
    </row>
    <row r="51519" spans="2:2" s="221" customFormat="1" ht="12.75" x14ac:dyDescent="0.2">
      <c r="B51519" s="1168"/>
    </row>
    <row r="51520" spans="2:2" s="221" customFormat="1" ht="12.75" x14ac:dyDescent="0.2">
      <c r="B51520" s="1168"/>
    </row>
    <row r="51521" spans="2:2" s="221" customFormat="1" ht="12.75" x14ac:dyDescent="0.2">
      <c r="B51521" s="1168"/>
    </row>
    <row r="51522" spans="2:2" s="221" customFormat="1" ht="12.75" x14ac:dyDescent="0.2">
      <c r="B51522" s="1168"/>
    </row>
    <row r="51523" spans="2:2" s="221" customFormat="1" ht="12.75" x14ac:dyDescent="0.2">
      <c r="B51523" s="1168"/>
    </row>
    <row r="51524" spans="2:2" s="221" customFormat="1" ht="12.75" x14ac:dyDescent="0.2">
      <c r="B51524" s="1168"/>
    </row>
    <row r="51525" spans="2:2" s="221" customFormat="1" ht="12.75" x14ac:dyDescent="0.2">
      <c r="B51525" s="1168"/>
    </row>
    <row r="51526" spans="2:2" s="221" customFormat="1" ht="12.75" x14ac:dyDescent="0.2">
      <c r="B51526" s="1168"/>
    </row>
    <row r="51527" spans="2:2" s="221" customFormat="1" ht="12.75" x14ac:dyDescent="0.2">
      <c r="B51527" s="1168"/>
    </row>
    <row r="51528" spans="2:2" s="221" customFormat="1" ht="12.75" x14ac:dyDescent="0.2">
      <c r="B51528" s="1168"/>
    </row>
    <row r="51529" spans="2:2" s="221" customFormat="1" ht="12.75" x14ac:dyDescent="0.2">
      <c r="B51529" s="1168"/>
    </row>
    <row r="51530" spans="2:2" s="221" customFormat="1" ht="12.75" x14ac:dyDescent="0.2">
      <c r="B51530" s="1168"/>
    </row>
    <row r="51531" spans="2:2" s="221" customFormat="1" ht="12.75" x14ac:dyDescent="0.2">
      <c r="B51531" s="1168"/>
    </row>
    <row r="51532" spans="2:2" s="221" customFormat="1" ht="12.75" x14ac:dyDescent="0.2">
      <c r="B51532" s="1168"/>
    </row>
    <row r="51533" spans="2:2" s="221" customFormat="1" ht="12.75" x14ac:dyDescent="0.2">
      <c r="B51533" s="1168"/>
    </row>
    <row r="51534" spans="2:2" s="221" customFormat="1" ht="12.75" x14ac:dyDescent="0.2">
      <c r="B51534" s="1168"/>
    </row>
    <row r="51535" spans="2:2" s="221" customFormat="1" ht="12.75" x14ac:dyDescent="0.2">
      <c r="B51535" s="1168"/>
    </row>
    <row r="51536" spans="2:2" s="221" customFormat="1" ht="12.75" x14ac:dyDescent="0.2">
      <c r="B51536" s="1168"/>
    </row>
    <row r="51537" spans="2:2" s="221" customFormat="1" ht="12.75" x14ac:dyDescent="0.2">
      <c r="B51537" s="1168"/>
    </row>
    <row r="51538" spans="2:2" s="221" customFormat="1" ht="12.75" x14ac:dyDescent="0.2">
      <c r="B51538" s="1168"/>
    </row>
    <row r="51539" spans="2:2" s="221" customFormat="1" ht="12.75" x14ac:dyDescent="0.2">
      <c r="B51539" s="1168"/>
    </row>
    <row r="51540" spans="2:2" s="221" customFormat="1" ht="12.75" x14ac:dyDescent="0.2">
      <c r="B51540" s="1168"/>
    </row>
    <row r="51541" spans="2:2" s="221" customFormat="1" ht="12.75" x14ac:dyDescent="0.2">
      <c r="B51541" s="1168"/>
    </row>
    <row r="51542" spans="2:2" s="221" customFormat="1" ht="12.75" x14ac:dyDescent="0.2">
      <c r="B51542" s="1168"/>
    </row>
    <row r="51543" spans="2:2" s="221" customFormat="1" ht="12.75" x14ac:dyDescent="0.2">
      <c r="B51543" s="1168"/>
    </row>
    <row r="51544" spans="2:2" s="221" customFormat="1" ht="12.75" x14ac:dyDescent="0.2">
      <c r="B51544" s="1168"/>
    </row>
    <row r="51545" spans="2:2" s="221" customFormat="1" ht="12.75" x14ac:dyDescent="0.2">
      <c r="B51545" s="1168"/>
    </row>
    <row r="51546" spans="2:2" s="221" customFormat="1" ht="12.75" x14ac:dyDescent="0.2">
      <c r="B51546" s="1168"/>
    </row>
    <row r="51547" spans="2:2" s="221" customFormat="1" ht="12.75" x14ac:dyDescent="0.2">
      <c r="B51547" s="1168"/>
    </row>
    <row r="51548" spans="2:2" s="221" customFormat="1" ht="12.75" x14ac:dyDescent="0.2">
      <c r="B51548" s="1168"/>
    </row>
    <row r="51549" spans="2:2" s="221" customFormat="1" ht="12.75" x14ac:dyDescent="0.2">
      <c r="B51549" s="1168"/>
    </row>
    <row r="51550" spans="2:2" s="221" customFormat="1" ht="12.75" x14ac:dyDescent="0.2">
      <c r="B51550" s="1168"/>
    </row>
    <row r="51551" spans="2:2" s="221" customFormat="1" ht="12.75" x14ac:dyDescent="0.2">
      <c r="B51551" s="1168"/>
    </row>
    <row r="51552" spans="2:2" s="221" customFormat="1" ht="12.75" x14ac:dyDescent="0.2">
      <c r="B51552" s="1168"/>
    </row>
    <row r="51553" spans="2:2" s="221" customFormat="1" ht="12.75" x14ac:dyDescent="0.2">
      <c r="B51553" s="1168"/>
    </row>
    <row r="51554" spans="2:2" s="221" customFormat="1" ht="12.75" x14ac:dyDescent="0.2">
      <c r="B51554" s="1168"/>
    </row>
    <row r="51555" spans="2:2" s="221" customFormat="1" ht="12.75" x14ac:dyDescent="0.2">
      <c r="B51555" s="1168"/>
    </row>
    <row r="51556" spans="2:2" s="221" customFormat="1" ht="12.75" x14ac:dyDescent="0.2">
      <c r="B51556" s="1168"/>
    </row>
    <row r="51557" spans="2:2" s="221" customFormat="1" ht="12.75" x14ac:dyDescent="0.2">
      <c r="B51557" s="1168"/>
    </row>
    <row r="51558" spans="2:2" s="221" customFormat="1" ht="12.75" x14ac:dyDescent="0.2">
      <c r="B51558" s="1168"/>
    </row>
    <row r="51559" spans="2:2" s="221" customFormat="1" ht="12.75" x14ac:dyDescent="0.2">
      <c r="B51559" s="1168"/>
    </row>
    <row r="51560" spans="2:2" s="221" customFormat="1" ht="12.75" x14ac:dyDescent="0.2">
      <c r="B51560" s="1168"/>
    </row>
    <row r="51561" spans="2:2" s="221" customFormat="1" ht="12.75" x14ac:dyDescent="0.2">
      <c r="B51561" s="1168"/>
    </row>
    <row r="51562" spans="2:2" s="221" customFormat="1" ht="12.75" x14ac:dyDescent="0.2">
      <c r="B51562" s="1168"/>
    </row>
    <row r="51563" spans="2:2" s="221" customFormat="1" ht="12.75" x14ac:dyDescent="0.2">
      <c r="B51563" s="1168"/>
    </row>
    <row r="51564" spans="2:2" s="221" customFormat="1" ht="12.75" x14ac:dyDescent="0.2">
      <c r="B51564" s="1168"/>
    </row>
    <row r="51565" spans="2:2" s="221" customFormat="1" ht="12.75" x14ac:dyDescent="0.2">
      <c r="B51565" s="1168"/>
    </row>
    <row r="51566" spans="2:2" s="221" customFormat="1" ht="12.75" x14ac:dyDescent="0.2">
      <c r="B51566" s="1168"/>
    </row>
    <row r="51567" spans="2:2" s="221" customFormat="1" ht="12.75" x14ac:dyDescent="0.2">
      <c r="B51567" s="1168"/>
    </row>
    <row r="51568" spans="2:2" s="221" customFormat="1" ht="12.75" x14ac:dyDescent="0.2">
      <c r="B51568" s="1168"/>
    </row>
    <row r="51569" spans="2:2" s="221" customFormat="1" ht="12.75" x14ac:dyDescent="0.2">
      <c r="B51569" s="1168"/>
    </row>
    <row r="51570" spans="2:2" s="221" customFormat="1" ht="12.75" x14ac:dyDescent="0.2">
      <c r="B51570" s="1168"/>
    </row>
    <row r="51571" spans="2:2" s="221" customFormat="1" ht="12.75" x14ac:dyDescent="0.2">
      <c r="B51571" s="1168"/>
    </row>
    <row r="51572" spans="2:2" s="221" customFormat="1" ht="12.75" x14ac:dyDescent="0.2">
      <c r="B51572" s="1168"/>
    </row>
    <row r="51573" spans="2:2" s="221" customFormat="1" ht="12.75" x14ac:dyDescent="0.2">
      <c r="B51573" s="1168"/>
    </row>
    <row r="51574" spans="2:2" s="221" customFormat="1" ht="12.75" x14ac:dyDescent="0.2">
      <c r="B51574" s="1168"/>
    </row>
    <row r="51575" spans="2:2" s="221" customFormat="1" ht="12.75" x14ac:dyDescent="0.2">
      <c r="B51575" s="1168"/>
    </row>
    <row r="51576" spans="2:2" s="221" customFormat="1" ht="12.75" x14ac:dyDescent="0.2">
      <c r="B51576" s="1168"/>
    </row>
    <row r="51577" spans="2:2" s="221" customFormat="1" ht="12.75" x14ac:dyDescent="0.2">
      <c r="B51577" s="1168"/>
    </row>
    <row r="51578" spans="2:2" s="221" customFormat="1" ht="12.75" x14ac:dyDescent="0.2">
      <c r="B51578" s="1168"/>
    </row>
    <row r="51579" spans="2:2" s="221" customFormat="1" ht="12.75" x14ac:dyDescent="0.2">
      <c r="B51579" s="1168"/>
    </row>
    <row r="51580" spans="2:2" s="221" customFormat="1" ht="12.75" x14ac:dyDescent="0.2">
      <c r="B51580" s="1168"/>
    </row>
    <row r="51581" spans="2:2" s="221" customFormat="1" ht="12.75" x14ac:dyDescent="0.2">
      <c r="B51581" s="1168"/>
    </row>
    <row r="51582" spans="2:2" s="221" customFormat="1" ht="12.75" x14ac:dyDescent="0.2">
      <c r="B51582" s="1168"/>
    </row>
    <row r="51583" spans="2:2" s="221" customFormat="1" ht="12.75" x14ac:dyDescent="0.2">
      <c r="B51583" s="1168"/>
    </row>
    <row r="51584" spans="2:2" s="221" customFormat="1" ht="12.75" x14ac:dyDescent="0.2">
      <c r="B51584" s="1168"/>
    </row>
    <row r="51585" spans="2:2" s="221" customFormat="1" ht="12.75" x14ac:dyDescent="0.2">
      <c r="B51585" s="1168"/>
    </row>
    <row r="51586" spans="2:2" s="221" customFormat="1" ht="12.75" x14ac:dyDescent="0.2">
      <c r="B51586" s="1168"/>
    </row>
    <row r="51587" spans="2:2" s="221" customFormat="1" ht="12.75" x14ac:dyDescent="0.2">
      <c r="B51587" s="1168"/>
    </row>
    <row r="51588" spans="2:2" s="221" customFormat="1" ht="12.75" x14ac:dyDescent="0.2">
      <c r="B51588" s="1168"/>
    </row>
    <row r="51589" spans="2:2" s="221" customFormat="1" ht="12.75" x14ac:dyDescent="0.2">
      <c r="B51589" s="1168"/>
    </row>
    <row r="51590" spans="2:2" s="221" customFormat="1" ht="12.75" x14ac:dyDescent="0.2">
      <c r="B51590" s="1168"/>
    </row>
    <row r="51591" spans="2:2" s="221" customFormat="1" ht="12.75" x14ac:dyDescent="0.2">
      <c r="B51591" s="1168"/>
    </row>
    <row r="51592" spans="2:2" s="221" customFormat="1" ht="12.75" x14ac:dyDescent="0.2">
      <c r="B51592" s="1168"/>
    </row>
    <row r="51593" spans="2:2" s="221" customFormat="1" ht="12.75" x14ac:dyDescent="0.2">
      <c r="B51593" s="1168"/>
    </row>
    <row r="51594" spans="2:2" s="221" customFormat="1" ht="12.75" x14ac:dyDescent="0.2">
      <c r="B51594" s="1168"/>
    </row>
    <row r="51595" spans="2:2" s="221" customFormat="1" ht="12.75" x14ac:dyDescent="0.2">
      <c r="B51595" s="1168"/>
    </row>
    <row r="51596" spans="2:2" s="221" customFormat="1" ht="12.75" x14ac:dyDescent="0.2">
      <c r="B51596" s="1168"/>
    </row>
    <row r="51597" spans="2:2" s="221" customFormat="1" ht="12.75" x14ac:dyDescent="0.2">
      <c r="B51597" s="1168"/>
    </row>
    <row r="51598" spans="2:2" s="221" customFormat="1" ht="12.75" x14ac:dyDescent="0.2">
      <c r="B51598" s="1168"/>
    </row>
    <row r="51599" spans="2:2" s="221" customFormat="1" ht="12.75" x14ac:dyDescent="0.2">
      <c r="B51599" s="1168"/>
    </row>
    <row r="51600" spans="2:2" s="221" customFormat="1" ht="12.75" x14ac:dyDescent="0.2">
      <c r="B51600" s="1168"/>
    </row>
    <row r="51601" spans="2:2" s="221" customFormat="1" ht="12.75" x14ac:dyDescent="0.2">
      <c r="B51601" s="1168"/>
    </row>
    <row r="51602" spans="2:2" s="221" customFormat="1" ht="12.75" x14ac:dyDescent="0.2">
      <c r="B51602" s="1168"/>
    </row>
    <row r="51603" spans="2:2" s="221" customFormat="1" ht="12.75" x14ac:dyDescent="0.2">
      <c r="B51603" s="1168"/>
    </row>
    <row r="51604" spans="2:2" s="221" customFormat="1" ht="12.75" x14ac:dyDescent="0.2">
      <c r="B51604" s="1168"/>
    </row>
    <row r="51605" spans="2:2" s="221" customFormat="1" ht="12.75" x14ac:dyDescent="0.2">
      <c r="B51605" s="1168"/>
    </row>
    <row r="51606" spans="2:2" s="221" customFormat="1" ht="12.75" x14ac:dyDescent="0.2">
      <c r="B51606" s="1168"/>
    </row>
    <row r="51607" spans="2:2" s="221" customFormat="1" ht="12.75" x14ac:dyDescent="0.2">
      <c r="B51607" s="1168"/>
    </row>
    <row r="51608" spans="2:2" s="221" customFormat="1" ht="12.75" x14ac:dyDescent="0.2">
      <c r="B51608" s="1168"/>
    </row>
    <row r="51609" spans="2:2" s="221" customFormat="1" ht="12.75" x14ac:dyDescent="0.2">
      <c r="B51609" s="1168"/>
    </row>
    <row r="51610" spans="2:2" s="221" customFormat="1" ht="12.75" x14ac:dyDescent="0.2">
      <c r="B51610" s="1168"/>
    </row>
    <row r="51611" spans="2:2" s="221" customFormat="1" ht="12.75" x14ac:dyDescent="0.2">
      <c r="B51611" s="1168"/>
    </row>
    <row r="51612" spans="2:2" s="221" customFormat="1" ht="12.75" x14ac:dyDescent="0.2">
      <c r="B51612" s="1168"/>
    </row>
    <row r="51613" spans="2:2" s="221" customFormat="1" ht="12.75" x14ac:dyDescent="0.2">
      <c r="B51613" s="1168"/>
    </row>
    <row r="51614" spans="2:2" s="221" customFormat="1" ht="12.75" x14ac:dyDescent="0.2">
      <c r="B51614" s="1168"/>
    </row>
    <row r="51615" spans="2:2" s="221" customFormat="1" ht="12.75" x14ac:dyDescent="0.2">
      <c r="B51615" s="1168"/>
    </row>
    <row r="51616" spans="2:2" s="221" customFormat="1" ht="12.75" x14ac:dyDescent="0.2">
      <c r="B51616" s="1168"/>
    </row>
    <row r="51617" spans="2:2" s="221" customFormat="1" ht="12.75" x14ac:dyDescent="0.2">
      <c r="B51617" s="1168"/>
    </row>
    <row r="51618" spans="2:2" s="221" customFormat="1" ht="12.75" x14ac:dyDescent="0.2">
      <c r="B51618" s="1168"/>
    </row>
    <row r="51619" spans="2:2" s="221" customFormat="1" ht="12.75" x14ac:dyDescent="0.2">
      <c r="B51619" s="1168"/>
    </row>
    <row r="51620" spans="2:2" s="221" customFormat="1" ht="12.75" x14ac:dyDescent="0.2">
      <c r="B51620" s="1168"/>
    </row>
    <row r="51621" spans="2:2" s="221" customFormat="1" ht="12.75" x14ac:dyDescent="0.2">
      <c r="B51621" s="1168"/>
    </row>
    <row r="51622" spans="2:2" s="221" customFormat="1" ht="12.75" x14ac:dyDescent="0.2">
      <c r="B51622" s="1168"/>
    </row>
    <row r="51623" spans="2:2" s="221" customFormat="1" ht="12.75" x14ac:dyDescent="0.2">
      <c r="B51623" s="1168"/>
    </row>
    <row r="51624" spans="2:2" s="221" customFormat="1" ht="12.75" x14ac:dyDescent="0.2">
      <c r="B51624" s="1168"/>
    </row>
    <row r="51625" spans="2:2" s="221" customFormat="1" ht="12.75" x14ac:dyDescent="0.2">
      <c r="B51625" s="1168"/>
    </row>
    <row r="51626" spans="2:2" s="221" customFormat="1" ht="12.75" x14ac:dyDescent="0.2">
      <c r="B51626" s="1168"/>
    </row>
    <row r="51627" spans="2:2" s="221" customFormat="1" ht="12.75" x14ac:dyDescent="0.2">
      <c r="B51627" s="1168"/>
    </row>
    <row r="51628" spans="2:2" s="221" customFormat="1" ht="12.75" x14ac:dyDescent="0.2">
      <c r="B51628" s="1168"/>
    </row>
    <row r="51629" spans="2:2" s="221" customFormat="1" ht="12.75" x14ac:dyDescent="0.2">
      <c r="B51629" s="1168"/>
    </row>
    <row r="51630" spans="2:2" s="221" customFormat="1" ht="12.75" x14ac:dyDescent="0.2">
      <c r="B51630" s="1168"/>
    </row>
    <row r="51631" spans="2:2" s="221" customFormat="1" ht="12.75" x14ac:dyDescent="0.2">
      <c r="B51631" s="1168"/>
    </row>
    <row r="51632" spans="2:2" s="221" customFormat="1" ht="12.75" x14ac:dyDescent="0.2">
      <c r="B51632" s="1168"/>
    </row>
    <row r="51633" spans="2:2" s="221" customFormat="1" ht="12.75" x14ac:dyDescent="0.2">
      <c r="B51633" s="1168"/>
    </row>
    <row r="51634" spans="2:2" s="221" customFormat="1" ht="12.75" x14ac:dyDescent="0.2">
      <c r="B51634" s="1168"/>
    </row>
    <row r="51635" spans="2:2" s="221" customFormat="1" ht="12.75" x14ac:dyDescent="0.2">
      <c r="B51635" s="1168"/>
    </row>
    <row r="51636" spans="2:2" s="221" customFormat="1" ht="12.75" x14ac:dyDescent="0.2">
      <c r="B51636" s="1168"/>
    </row>
    <row r="51637" spans="2:2" s="221" customFormat="1" ht="12.75" x14ac:dyDescent="0.2">
      <c r="B51637" s="1168"/>
    </row>
    <row r="51638" spans="2:2" s="221" customFormat="1" ht="12.75" x14ac:dyDescent="0.2">
      <c r="B51638" s="1168"/>
    </row>
    <row r="51639" spans="2:2" s="221" customFormat="1" ht="12.75" x14ac:dyDescent="0.2">
      <c r="B51639" s="1168"/>
    </row>
    <row r="51640" spans="2:2" s="221" customFormat="1" ht="12.75" x14ac:dyDescent="0.2">
      <c r="B51640" s="1168"/>
    </row>
    <row r="51641" spans="2:2" s="221" customFormat="1" ht="12.75" x14ac:dyDescent="0.2">
      <c r="B51641" s="1168"/>
    </row>
    <row r="51642" spans="2:2" s="221" customFormat="1" ht="12.75" x14ac:dyDescent="0.2">
      <c r="B51642" s="1168"/>
    </row>
    <row r="51643" spans="2:2" s="221" customFormat="1" ht="12.75" x14ac:dyDescent="0.2">
      <c r="B51643" s="1168"/>
    </row>
    <row r="51644" spans="2:2" s="221" customFormat="1" ht="12.75" x14ac:dyDescent="0.2">
      <c r="B51644" s="1168"/>
    </row>
    <row r="51645" spans="2:2" s="221" customFormat="1" ht="12.75" x14ac:dyDescent="0.2">
      <c r="B51645" s="1168"/>
    </row>
    <row r="51646" spans="2:2" s="221" customFormat="1" ht="12.75" x14ac:dyDescent="0.2">
      <c r="B51646" s="1168"/>
    </row>
    <row r="51647" spans="2:2" s="221" customFormat="1" ht="12.75" x14ac:dyDescent="0.2">
      <c r="B51647" s="1168"/>
    </row>
    <row r="51648" spans="2:2" s="221" customFormat="1" ht="12.75" x14ac:dyDescent="0.2">
      <c r="B51648" s="1168"/>
    </row>
    <row r="51649" spans="2:2" s="221" customFormat="1" ht="12.75" x14ac:dyDescent="0.2">
      <c r="B51649" s="1168"/>
    </row>
    <row r="51650" spans="2:2" s="221" customFormat="1" ht="12.75" x14ac:dyDescent="0.2">
      <c r="B51650" s="1168"/>
    </row>
    <row r="51651" spans="2:2" s="221" customFormat="1" ht="12.75" x14ac:dyDescent="0.2">
      <c r="B51651" s="1168"/>
    </row>
    <row r="51652" spans="2:2" s="221" customFormat="1" ht="12.75" x14ac:dyDescent="0.2">
      <c r="B51652" s="1168"/>
    </row>
    <row r="51653" spans="2:2" s="221" customFormat="1" ht="12.75" x14ac:dyDescent="0.2">
      <c r="B51653" s="1168"/>
    </row>
    <row r="51654" spans="2:2" s="221" customFormat="1" ht="12.75" x14ac:dyDescent="0.2">
      <c r="B51654" s="1168"/>
    </row>
    <row r="51655" spans="2:2" s="221" customFormat="1" ht="12.75" x14ac:dyDescent="0.2">
      <c r="B51655" s="1168"/>
    </row>
    <row r="51656" spans="2:2" s="221" customFormat="1" ht="12.75" x14ac:dyDescent="0.2">
      <c r="B51656" s="1168"/>
    </row>
    <row r="51657" spans="2:2" s="221" customFormat="1" ht="12.75" x14ac:dyDescent="0.2">
      <c r="B51657" s="1168"/>
    </row>
    <row r="51658" spans="2:2" s="221" customFormat="1" ht="12.75" x14ac:dyDescent="0.2">
      <c r="B51658" s="1168"/>
    </row>
    <row r="51659" spans="2:2" s="221" customFormat="1" ht="12.75" x14ac:dyDescent="0.2">
      <c r="B51659" s="1168"/>
    </row>
    <row r="51660" spans="2:2" s="221" customFormat="1" ht="12.75" x14ac:dyDescent="0.2">
      <c r="B51660" s="1168"/>
    </row>
    <row r="51661" spans="2:2" s="221" customFormat="1" ht="12.75" x14ac:dyDescent="0.2">
      <c r="B51661" s="1168"/>
    </row>
    <row r="51662" spans="2:2" s="221" customFormat="1" ht="12.75" x14ac:dyDescent="0.2">
      <c r="B51662" s="1168"/>
    </row>
    <row r="51663" spans="2:2" s="221" customFormat="1" ht="12.75" x14ac:dyDescent="0.2">
      <c r="B51663" s="1168"/>
    </row>
    <row r="51664" spans="2:2" s="221" customFormat="1" ht="12.75" x14ac:dyDescent="0.2">
      <c r="B51664" s="1168"/>
    </row>
    <row r="51665" spans="2:2" s="221" customFormat="1" ht="12.75" x14ac:dyDescent="0.2">
      <c r="B51665" s="1168"/>
    </row>
    <row r="51666" spans="2:2" s="221" customFormat="1" ht="12.75" x14ac:dyDescent="0.2">
      <c r="B51666" s="1168"/>
    </row>
    <row r="51667" spans="2:2" s="221" customFormat="1" ht="12.75" x14ac:dyDescent="0.2">
      <c r="B51667" s="1168"/>
    </row>
    <row r="51668" spans="2:2" s="221" customFormat="1" ht="12.75" x14ac:dyDescent="0.2">
      <c r="B51668" s="1168"/>
    </row>
    <row r="51669" spans="2:2" s="221" customFormat="1" ht="12.75" x14ac:dyDescent="0.2">
      <c r="B51669" s="1168"/>
    </row>
    <row r="51670" spans="2:2" s="221" customFormat="1" ht="12.75" x14ac:dyDescent="0.2">
      <c r="B51670" s="1168"/>
    </row>
    <row r="51671" spans="2:2" s="221" customFormat="1" ht="12.75" x14ac:dyDescent="0.2">
      <c r="B51671" s="1168"/>
    </row>
    <row r="51672" spans="2:2" s="221" customFormat="1" ht="12.75" x14ac:dyDescent="0.2">
      <c r="B51672" s="1168"/>
    </row>
    <row r="51673" spans="2:2" s="221" customFormat="1" ht="12.75" x14ac:dyDescent="0.2">
      <c r="B51673" s="1168"/>
    </row>
    <row r="51674" spans="2:2" s="221" customFormat="1" ht="12.75" x14ac:dyDescent="0.2">
      <c r="B51674" s="1168"/>
    </row>
    <row r="51675" spans="2:2" s="221" customFormat="1" ht="12.75" x14ac:dyDescent="0.2">
      <c r="B51675" s="1168"/>
    </row>
    <row r="51676" spans="2:2" s="221" customFormat="1" ht="12.75" x14ac:dyDescent="0.2">
      <c r="B51676" s="1168"/>
    </row>
    <row r="51677" spans="2:2" s="221" customFormat="1" ht="12.75" x14ac:dyDescent="0.2">
      <c r="B51677" s="1168"/>
    </row>
    <row r="51678" spans="2:2" s="221" customFormat="1" ht="12.75" x14ac:dyDescent="0.2">
      <c r="B51678" s="1168"/>
    </row>
    <row r="51679" spans="2:2" s="221" customFormat="1" ht="12.75" x14ac:dyDescent="0.2">
      <c r="B51679" s="1168"/>
    </row>
    <row r="51680" spans="2:2" s="221" customFormat="1" ht="12.75" x14ac:dyDescent="0.2">
      <c r="B51680" s="1168"/>
    </row>
    <row r="51681" spans="2:2" s="221" customFormat="1" ht="12.75" x14ac:dyDescent="0.2">
      <c r="B51681" s="1168"/>
    </row>
    <row r="51682" spans="2:2" s="221" customFormat="1" ht="12.75" x14ac:dyDescent="0.2">
      <c r="B51682" s="1168"/>
    </row>
    <row r="51683" spans="2:2" s="221" customFormat="1" ht="12.75" x14ac:dyDescent="0.2">
      <c r="B51683" s="1168"/>
    </row>
    <row r="51684" spans="2:2" s="221" customFormat="1" ht="12.75" x14ac:dyDescent="0.2">
      <c r="B51684" s="1168"/>
    </row>
    <row r="51685" spans="2:2" s="221" customFormat="1" ht="12.75" x14ac:dyDescent="0.2">
      <c r="B51685" s="1168"/>
    </row>
    <row r="51686" spans="2:2" s="221" customFormat="1" ht="12.75" x14ac:dyDescent="0.2">
      <c r="B51686" s="1168"/>
    </row>
    <row r="51687" spans="2:2" s="221" customFormat="1" ht="12.75" x14ac:dyDescent="0.2">
      <c r="B51687" s="1168"/>
    </row>
    <row r="51688" spans="2:2" s="221" customFormat="1" ht="12.75" x14ac:dyDescent="0.2">
      <c r="B51688" s="1168"/>
    </row>
    <row r="51689" spans="2:2" s="221" customFormat="1" ht="12.75" x14ac:dyDescent="0.2">
      <c r="B51689" s="1168"/>
    </row>
    <row r="51690" spans="2:2" s="221" customFormat="1" ht="12.75" x14ac:dyDescent="0.2">
      <c r="B51690" s="1168"/>
    </row>
    <row r="51691" spans="2:2" s="221" customFormat="1" ht="12.75" x14ac:dyDescent="0.2">
      <c r="B51691" s="1168"/>
    </row>
    <row r="51692" spans="2:2" s="221" customFormat="1" ht="12.75" x14ac:dyDescent="0.2">
      <c r="B51692" s="1168"/>
    </row>
    <row r="51693" spans="2:2" s="221" customFormat="1" ht="12.75" x14ac:dyDescent="0.2">
      <c r="B51693" s="1168"/>
    </row>
    <row r="51694" spans="2:2" s="221" customFormat="1" ht="12.75" x14ac:dyDescent="0.2">
      <c r="B51694" s="1168"/>
    </row>
    <row r="51695" spans="2:2" s="221" customFormat="1" ht="12.75" x14ac:dyDescent="0.2">
      <c r="B51695" s="1168"/>
    </row>
    <row r="51696" spans="2:2" s="221" customFormat="1" ht="12.75" x14ac:dyDescent="0.2">
      <c r="B51696" s="1168"/>
    </row>
    <row r="51697" spans="2:2" s="221" customFormat="1" ht="12.75" x14ac:dyDescent="0.2">
      <c r="B51697" s="1168"/>
    </row>
    <row r="51698" spans="2:2" s="221" customFormat="1" ht="12.75" x14ac:dyDescent="0.2">
      <c r="B51698" s="1168"/>
    </row>
    <row r="51699" spans="2:2" s="221" customFormat="1" ht="12.75" x14ac:dyDescent="0.2">
      <c r="B51699" s="1168"/>
    </row>
    <row r="51700" spans="2:2" s="221" customFormat="1" ht="12.75" x14ac:dyDescent="0.2">
      <c r="B51700" s="1168"/>
    </row>
    <row r="51701" spans="2:2" s="221" customFormat="1" ht="12.75" x14ac:dyDescent="0.2">
      <c r="B51701" s="1168"/>
    </row>
    <row r="51702" spans="2:2" s="221" customFormat="1" ht="12.75" x14ac:dyDescent="0.2">
      <c r="B51702" s="1168"/>
    </row>
    <row r="51703" spans="2:2" s="221" customFormat="1" ht="12.75" x14ac:dyDescent="0.2">
      <c r="B51703" s="1168"/>
    </row>
    <row r="51704" spans="2:2" s="221" customFormat="1" ht="12.75" x14ac:dyDescent="0.2">
      <c r="B51704" s="1168"/>
    </row>
    <row r="51705" spans="2:2" s="221" customFormat="1" ht="12.75" x14ac:dyDescent="0.2">
      <c r="B51705" s="1168"/>
    </row>
    <row r="51706" spans="2:2" s="221" customFormat="1" ht="12.75" x14ac:dyDescent="0.2">
      <c r="B51706" s="1168"/>
    </row>
    <row r="51707" spans="2:2" s="221" customFormat="1" ht="12.75" x14ac:dyDescent="0.2">
      <c r="B51707" s="1168"/>
    </row>
    <row r="51708" spans="2:2" s="221" customFormat="1" ht="12.75" x14ac:dyDescent="0.2">
      <c r="B51708" s="1168"/>
    </row>
    <row r="51709" spans="2:2" s="221" customFormat="1" ht="12.75" x14ac:dyDescent="0.2">
      <c r="B51709" s="1168"/>
    </row>
    <row r="51710" spans="2:2" s="221" customFormat="1" ht="12.75" x14ac:dyDescent="0.2">
      <c r="B51710" s="1168"/>
    </row>
    <row r="51711" spans="2:2" s="221" customFormat="1" ht="12.75" x14ac:dyDescent="0.2">
      <c r="B51711" s="1168"/>
    </row>
    <row r="51712" spans="2:2" s="221" customFormat="1" ht="12.75" x14ac:dyDescent="0.2">
      <c r="B51712" s="1168"/>
    </row>
    <row r="51713" spans="2:2" s="221" customFormat="1" ht="12.75" x14ac:dyDescent="0.2">
      <c r="B51713" s="1168"/>
    </row>
    <row r="51714" spans="2:2" s="221" customFormat="1" ht="12.75" x14ac:dyDescent="0.2">
      <c r="B51714" s="1168"/>
    </row>
    <row r="51715" spans="2:2" s="221" customFormat="1" ht="12.75" x14ac:dyDescent="0.2">
      <c r="B51715" s="1168"/>
    </row>
    <row r="51716" spans="2:2" s="221" customFormat="1" ht="12.75" x14ac:dyDescent="0.2">
      <c r="B51716" s="1168"/>
    </row>
    <row r="51717" spans="2:2" s="221" customFormat="1" ht="12.75" x14ac:dyDescent="0.2">
      <c r="B51717" s="1168"/>
    </row>
    <row r="51718" spans="2:2" s="221" customFormat="1" ht="12.75" x14ac:dyDescent="0.2">
      <c r="B51718" s="1168"/>
    </row>
    <row r="51719" spans="2:2" s="221" customFormat="1" ht="12.75" x14ac:dyDescent="0.2">
      <c r="B51719" s="1168"/>
    </row>
    <row r="51720" spans="2:2" s="221" customFormat="1" ht="12.75" x14ac:dyDescent="0.2">
      <c r="B51720" s="1168"/>
    </row>
    <row r="51721" spans="2:2" s="221" customFormat="1" ht="12.75" x14ac:dyDescent="0.2">
      <c r="B51721" s="1168"/>
    </row>
    <row r="51722" spans="2:2" s="221" customFormat="1" ht="12.75" x14ac:dyDescent="0.2">
      <c r="B51722" s="1168"/>
    </row>
    <row r="51723" spans="2:2" s="221" customFormat="1" ht="12.75" x14ac:dyDescent="0.2">
      <c r="B51723" s="1168"/>
    </row>
    <row r="51724" spans="2:2" s="221" customFormat="1" ht="12.75" x14ac:dyDescent="0.2">
      <c r="B51724" s="1168"/>
    </row>
    <row r="51725" spans="2:2" s="221" customFormat="1" ht="12.75" x14ac:dyDescent="0.2">
      <c r="B51725" s="1168"/>
    </row>
    <row r="51726" spans="2:2" s="221" customFormat="1" ht="12.75" x14ac:dyDescent="0.2">
      <c r="B51726" s="1168"/>
    </row>
    <row r="51727" spans="2:2" s="221" customFormat="1" ht="12.75" x14ac:dyDescent="0.2">
      <c r="B51727" s="1168"/>
    </row>
    <row r="51728" spans="2:2" s="221" customFormat="1" ht="12.75" x14ac:dyDescent="0.2">
      <c r="B51728" s="1168"/>
    </row>
    <row r="51729" spans="2:2" s="221" customFormat="1" ht="12.75" x14ac:dyDescent="0.2">
      <c r="B51729" s="1168"/>
    </row>
    <row r="51730" spans="2:2" s="221" customFormat="1" ht="12.75" x14ac:dyDescent="0.2">
      <c r="B51730" s="1168"/>
    </row>
    <row r="51731" spans="2:2" s="221" customFormat="1" ht="12.75" x14ac:dyDescent="0.2">
      <c r="B51731" s="1168"/>
    </row>
    <row r="51732" spans="2:2" s="221" customFormat="1" ht="12.75" x14ac:dyDescent="0.2">
      <c r="B51732" s="1168"/>
    </row>
    <row r="51733" spans="2:2" s="221" customFormat="1" ht="12.75" x14ac:dyDescent="0.2">
      <c r="B51733" s="1168"/>
    </row>
    <row r="51734" spans="2:2" s="221" customFormat="1" ht="12.75" x14ac:dyDescent="0.2">
      <c r="B51734" s="1168"/>
    </row>
    <row r="51735" spans="2:2" s="221" customFormat="1" ht="12.75" x14ac:dyDescent="0.2">
      <c r="B51735" s="1168"/>
    </row>
    <row r="51736" spans="2:2" s="221" customFormat="1" ht="12.75" x14ac:dyDescent="0.2">
      <c r="B51736" s="1168"/>
    </row>
    <row r="51737" spans="2:2" s="221" customFormat="1" ht="12.75" x14ac:dyDescent="0.2">
      <c r="B51737" s="1168"/>
    </row>
    <row r="51738" spans="2:2" s="221" customFormat="1" ht="12.75" x14ac:dyDescent="0.2">
      <c r="B51738" s="1168"/>
    </row>
    <row r="51739" spans="2:2" s="221" customFormat="1" ht="12.75" x14ac:dyDescent="0.2">
      <c r="B51739" s="1168"/>
    </row>
    <row r="51740" spans="2:2" s="221" customFormat="1" ht="12.75" x14ac:dyDescent="0.2">
      <c r="B51740" s="1168"/>
    </row>
    <row r="51741" spans="2:2" s="221" customFormat="1" ht="12.75" x14ac:dyDescent="0.2">
      <c r="B51741" s="1168"/>
    </row>
    <row r="51742" spans="2:2" s="221" customFormat="1" ht="12.75" x14ac:dyDescent="0.2">
      <c r="B51742" s="1168"/>
    </row>
    <row r="51743" spans="2:2" s="221" customFormat="1" ht="12.75" x14ac:dyDescent="0.2">
      <c r="B51743" s="1168"/>
    </row>
    <row r="51744" spans="2:2" s="221" customFormat="1" ht="12.75" x14ac:dyDescent="0.2">
      <c r="B51744" s="1168"/>
    </row>
    <row r="51745" spans="2:2" s="221" customFormat="1" ht="12.75" x14ac:dyDescent="0.2">
      <c r="B51745" s="1168"/>
    </row>
    <row r="51746" spans="2:2" s="221" customFormat="1" ht="12.75" x14ac:dyDescent="0.2">
      <c r="B51746" s="1168"/>
    </row>
    <row r="51747" spans="2:2" s="221" customFormat="1" ht="12.75" x14ac:dyDescent="0.2">
      <c r="B51747" s="1168"/>
    </row>
    <row r="51748" spans="2:2" s="221" customFormat="1" ht="12.75" x14ac:dyDescent="0.2">
      <c r="B51748" s="1168"/>
    </row>
    <row r="51749" spans="2:2" s="221" customFormat="1" ht="12.75" x14ac:dyDescent="0.2">
      <c r="B51749" s="1168"/>
    </row>
    <row r="51750" spans="2:2" s="221" customFormat="1" ht="12.75" x14ac:dyDescent="0.2">
      <c r="B51750" s="1168"/>
    </row>
    <row r="51751" spans="2:2" s="221" customFormat="1" ht="12.75" x14ac:dyDescent="0.2">
      <c r="B51751" s="1168"/>
    </row>
    <row r="51752" spans="2:2" s="221" customFormat="1" ht="12.75" x14ac:dyDescent="0.2">
      <c r="B51752" s="1168"/>
    </row>
    <row r="51753" spans="2:2" s="221" customFormat="1" ht="12.75" x14ac:dyDescent="0.2">
      <c r="B51753" s="1168"/>
    </row>
    <row r="51754" spans="2:2" s="221" customFormat="1" ht="12.75" x14ac:dyDescent="0.2">
      <c r="B51754" s="1168"/>
    </row>
    <row r="51755" spans="2:2" s="221" customFormat="1" ht="12.75" x14ac:dyDescent="0.2">
      <c r="B51755" s="1168"/>
    </row>
    <row r="51756" spans="2:2" s="221" customFormat="1" ht="12.75" x14ac:dyDescent="0.2">
      <c r="B51756" s="1168"/>
    </row>
    <row r="51757" spans="2:2" s="221" customFormat="1" ht="12.75" x14ac:dyDescent="0.2">
      <c r="B51757" s="1168"/>
    </row>
    <row r="51758" spans="2:2" s="221" customFormat="1" ht="12.75" x14ac:dyDescent="0.2">
      <c r="B51758" s="1168"/>
    </row>
    <row r="51759" spans="2:2" s="221" customFormat="1" ht="12.75" x14ac:dyDescent="0.2">
      <c r="B51759" s="1168"/>
    </row>
    <row r="51760" spans="2:2" s="221" customFormat="1" ht="12.75" x14ac:dyDescent="0.2">
      <c r="B51760" s="1168"/>
    </row>
    <row r="51761" spans="2:2" s="221" customFormat="1" ht="12.75" x14ac:dyDescent="0.2">
      <c r="B51761" s="1168"/>
    </row>
    <row r="51762" spans="2:2" s="221" customFormat="1" ht="12.75" x14ac:dyDescent="0.2">
      <c r="B51762" s="1168"/>
    </row>
    <row r="51763" spans="2:2" s="221" customFormat="1" ht="12.75" x14ac:dyDescent="0.2">
      <c r="B51763" s="1168"/>
    </row>
    <row r="51764" spans="2:2" s="221" customFormat="1" ht="12.75" x14ac:dyDescent="0.2">
      <c r="B51764" s="1168"/>
    </row>
    <row r="51765" spans="2:2" s="221" customFormat="1" ht="12.75" x14ac:dyDescent="0.2">
      <c r="B51765" s="1168"/>
    </row>
    <row r="51766" spans="2:2" s="221" customFormat="1" ht="12.75" x14ac:dyDescent="0.2">
      <c r="B51766" s="1168"/>
    </row>
    <row r="51767" spans="2:2" s="221" customFormat="1" ht="12.75" x14ac:dyDescent="0.2">
      <c r="B51767" s="1168"/>
    </row>
    <row r="51768" spans="2:2" s="221" customFormat="1" ht="12.75" x14ac:dyDescent="0.2">
      <c r="B51768" s="1168"/>
    </row>
    <row r="51769" spans="2:2" s="221" customFormat="1" ht="12.75" x14ac:dyDescent="0.2">
      <c r="B51769" s="1168"/>
    </row>
    <row r="51770" spans="2:2" s="221" customFormat="1" ht="12.75" x14ac:dyDescent="0.2">
      <c r="B51770" s="1168"/>
    </row>
    <row r="51771" spans="2:2" s="221" customFormat="1" ht="12.75" x14ac:dyDescent="0.2">
      <c r="B51771" s="1168"/>
    </row>
    <row r="51772" spans="2:2" s="221" customFormat="1" ht="12.75" x14ac:dyDescent="0.2">
      <c r="B51772" s="1168"/>
    </row>
    <row r="51773" spans="2:2" s="221" customFormat="1" ht="12.75" x14ac:dyDescent="0.2">
      <c r="B51773" s="1168"/>
    </row>
    <row r="51774" spans="2:2" s="221" customFormat="1" ht="12.75" x14ac:dyDescent="0.2">
      <c r="B51774" s="1168"/>
    </row>
    <row r="51775" spans="2:2" s="221" customFormat="1" ht="12.75" x14ac:dyDescent="0.2">
      <c r="B51775" s="1168"/>
    </row>
    <row r="51776" spans="2:2" s="221" customFormat="1" ht="12.75" x14ac:dyDescent="0.2">
      <c r="B51776" s="1168"/>
    </row>
    <row r="51777" spans="2:2" s="221" customFormat="1" ht="12.75" x14ac:dyDescent="0.2">
      <c r="B51777" s="1168"/>
    </row>
    <row r="51778" spans="2:2" s="221" customFormat="1" ht="12.75" x14ac:dyDescent="0.2">
      <c r="B51778" s="1168"/>
    </row>
    <row r="51779" spans="2:2" s="221" customFormat="1" ht="12.75" x14ac:dyDescent="0.2">
      <c r="B51779" s="1168"/>
    </row>
    <row r="51780" spans="2:2" s="221" customFormat="1" ht="12.75" x14ac:dyDescent="0.2">
      <c r="B51780" s="1168"/>
    </row>
    <row r="51781" spans="2:2" s="221" customFormat="1" ht="12.75" x14ac:dyDescent="0.2">
      <c r="B51781" s="1168"/>
    </row>
    <row r="51782" spans="2:2" s="221" customFormat="1" ht="12.75" x14ac:dyDescent="0.2">
      <c r="B51782" s="1168"/>
    </row>
    <row r="51783" spans="2:2" s="221" customFormat="1" ht="12.75" x14ac:dyDescent="0.2">
      <c r="B51783" s="1168"/>
    </row>
    <row r="51784" spans="2:2" s="221" customFormat="1" ht="12.75" x14ac:dyDescent="0.2">
      <c r="B51784" s="1168"/>
    </row>
    <row r="51785" spans="2:2" s="221" customFormat="1" ht="12.75" x14ac:dyDescent="0.2">
      <c r="B51785" s="1168"/>
    </row>
    <row r="51786" spans="2:2" s="221" customFormat="1" ht="12.75" x14ac:dyDescent="0.2">
      <c r="B51786" s="1168"/>
    </row>
    <row r="51787" spans="2:2" s="221" customFormat="1" ht="12.75" x14ac:dyDescent="0.2">
      <c r="B51787" s="1168"/>
    </row>
    <row r="51788" spans="2:2" s="221" customFormat="1" ht="12.75" x14ac:dyDescent="0.2">
      <c r="B51788" s="1168"/>
    </row>
    <row r="51789" spans="2:2" s="221" customFormat="1" ht="12.75" x14ac:dyDescent="0.2">
      <c r="B51789" s="1168"/>
    </row>
    <row r="51790" spans="2:2" s="221" customFormat="1" ht="12.75" x14ac:dyDescent="0.2">
      <c r="B51790" s="1168"/>
    </row>
    <row r="51791" spans="2:2" s="221" customFormat="1" ht="12.75" x14ac:dyDescent="0.2">
      <c r="B51791" s="1168"/>
    </row>
    <row r="51792" spans="2:2" s="221" customFormat="1" ht="12.75" x14ac:dyDescent="0.2">
      <c r="B51792" s="1168"/>
    </row>
    <row r="51793" spans="2:2" s="221" customFormat="1" ht="12.75" x14ac:dyDescent="0.2">
      <c r="B51793" s="1168"/>
    </row>
    <row r="51794" spans="2:2" s="221" customFormat="1" ht="12.75" x14ac:dyDescent="0.2">
      <c r="B51794" s="1168"/>
    </row>
    <row r="51795" spans="2:2" s="221" customFormat="1" ht="12.75" x14ac:dyDescent="0.2">
      <c r="B51795" s="1168"/>
    </row>
    <row r="51796" spans="2:2" s="221" customFormat="1" ht="12.75" x14ac:dyDescent="0.2">
      <c r="B51796" s="1168"/>
    </row>
    <row r="51797" spans="2:2" s="221" customFormat="1" ht="12.75" x14ac:dyDescent="0.2">
      <c r="B51797" s="1168"/>
    </row>
    <row r="51798" spans="2:2" s="221" customFormat="1" ht="12.75" x14ac:dyDescent="0.2">
      <c r="B51798" s="1168"/>
    </row>
    <row r="51799" spans="2:2" s="221" customFormat="1" ht="12.75" x14ac:dyDescent="0.2">
      <c r="B51799" s="1168"/>
    </row>
    <row r="51800" spans="2:2" s="221" customFormat="1" ht="12.75" x14ac:dyDescent="0.2">
      <c r="B51800" s="1168"/>
    </row>
    <row r="51801" spans="2:2" s="221" customFormat="1" ht="12.75" x14ac:dyDescent="0.2">
      <c r="B51801" s="1168"/>
    </row>
    <row r="51802" spans="2:2" s="221" customFormat="1" ht="12.75" x14ac:dyDescent="0.2">
      <c r="B51802" s="1168"/>
    </row>
    <row r="51803" spans="2:2" s="221" customFormat="1" ht="12.75" x14ac:dyDescent="0.2">
      <c r="B51803" s="1168"/>
    </row>
    <row r="51804" spans="2:2" s="221" customFormat="1" ht="12.75" x14ac:dyDescent="0.2">
      <c r="B51804" s="1168"/>
    </row>
    <row r="51805" spans="2:2" s="221" customFormat="1" ht="12.75" x14ac:dyDescent="0.2">
      <c r="B51805" s="1168"/>
    </row>
    <row r="51806" spans="2:2" s="221" customFormat="1" ht="12.75" x14ac:dyDescent="0.2">
      <c r="B51806" s="1168"/>
    </row>
    <row r="51807" spans="2:2" s="221" customFormat="1" ht="12.75" x14ac:dyDescent="0.2">
      <c r="B51807" s="1168"/>
    </row>
    <row r="51808" spans="2:2" s="221" customFormat="1" ht="12.75" x14ac:dyDescent="0.2">
      <c r="B51808" s="1168"/>
    </row>
    <row r="51809" spans="2:2" s="221" customFormat="1" ht="12.75" x14ac:dyDescent="0.2">
      <c r="B51809" s="1168"/>
    </row>
    <row r="51810" spans="2:2" s="221" customFormat="1" ht="12.75" x14ac:dyDescent="0.2">
      <c r="B51810" s="1168"/>
    </row>
    <row r="51811" spans="2:2" s="221" customFormat="1" ht="12.75" x14ac:dyDescent="0.2">
      <c r="B51811" s="1168"/>
    </row>
    <row r="51812" spans="2:2" s="221" customFormat="1" ht="12.75" x14ac:dyDescent="0.2">
      <c r="B51812" s="1168"/>
    </row>
    <row r="51813" spans="2:2" s="221" customFormat="1" ht="12.75" x14ac:dyDescent="0.2">
      <c r="B51813" s="1168"/>
    </row>
    <row r="51814" spans="2:2" s="221" customFormat="1" ht="12.75" x14ac:dyDescent="0.2">
      <c r="B51814" s="1168"/>
    </row>
    <row r="51815" spans="2:2" s="221" customFormat="1" ht="12.75" x14ac:dyDescent="0.2">
      <c r="B51815" s="1168"/>
    </row>
    <row r="51816" spans="2:2" s="221" customFormat="1" ht="12.75" x14ac:dyDescent="0.2">
      <c r="B51816" s="1168"/>
    </row>
    <row r="51817" spans="2:2" s="221" customFormat="1" ht="12.75" x14ac:dyDescent="0.2">
      <c r="B51817" s="1168"/>
    </row>
    <row r="51818" spans="2:2" s="221" customFormat="1" ht="12.75" x14ac:dyDescent="0.2">
      <c r="B51818" s="1168"/>
    </row>
    <row r="51819" spans="2:2" s="221" customFormat="1" ht="12.75" x14ac:dyDescent="0.2">
      <c r="B51819" s="1168"/>
    </row>
    <row r="51820" spans="2:2" s="221" customFormat="1" ht="12.75" x14ac:dyDescent="0.2">
      <c r="B51820" s="1168"/>
    </row>
    <row r="51821" spans="2:2" s="221" customFormat="1" ht="12.75" x14ac:dyDescent="0.2">
      <c r="B51821" s="1168"/>
    </row>
    <row r="51822" spans="2:2" s="221" customFormat="1" ht="12.75" x14ac:dyDescent="0.2">
      <c r="B51822" s="1168"/>
    </row>
    <row r="51823" spans="2:2" s="221" customFormat="1" ht="12.75" x14ac:dyDescent="0.2">
      <c r="B51823" s="1168"/>
    </row>
    <row r="51824" spans="2:2" s="221" customFormat="1" ht="12.75" x14ac:dyDescent="0.2">
      <c r="B51824" s="1168"/>
    </row>
    <row r="51825" spans="2:2" s="221" customFormat="1" ht="12.75" x14ac:dyDescent="0.2">
      <c r="B51825" s="1168"/>
    </row>
    <row r="51826" spans="2:2" s="221" customFormat="1" ht="12.75" x14ac:dyDescent="0.2">
      <c r="B51826" s="1168"/>
    </row>
    <row r="51827" spans="2:2" s="221" customFormat="1" ht="12.75" x14ac:dyDescent="0.2">
      <c r="B51827" s="1168"/>
    </row>
    <row r="51828" spans="2:2" s="221" customFormat="1" ht="12.75" x14ac:dyDescent="0.2">
      <c r="B51828" s="1168"/>
    </row>
    <row r="51829" spans="2:2" s="221" customFormat="1" ht="12.75" x14ac:dyDescent="0.2">
      <c r="B51829" s="1168"/>
    </row>
    <row r="51830" spans="2:2" s="221" customFormat="1" ht="12.75" x14ac:dyDescent="0.2">
      <c r="B51830" s="1168"/>
    </row>
    <row r="51831" spans="2:2" s="221" customFormat="1" ht="12.75" x14ac:dyDescent="0.2">
      <c r="B51831" s="1168"/>
    </row>
    <row r="51832" spans="2:2" s="221" customFormat="1" ht="12.75" x14ac:dyDescent="0.2">
      <c r="B51832" s="1168"/>
    </row>
    <row r="51833" spans="2:2" s="221" customFormat="1" ht="12.75" x14ac:dyDescent="0.2">
      <c r="B51833" s="1168"/>
    </row>
    <row r="51834" spans="2:2" s="221" customFormat="1" ht="12.75" x14ac:dyDescent="0.2">
      <c r="B51834" s="1168"/>
    </row>
    <row r="51835" spans="2:2" s="221" customFormat="1" ht="12.75" x14ac:dyDescent="0.2">
      <c r="B51835" s="1168"/>
    </row>
    <row r="51836" spans="2:2" s="221" customFormat="1" ht="12.75" x14ac:dyDescent="0.2">
      <c r="B51836" s="1168"/>
    </row>
    <row r="51837" spans="2:2" s="221" customFormat="1" ht="12.75" x14ac:dyDescent="0.2">
      <c r="B51837" s="1168"/>
    </row>
    <row r="51838" spans="2:2" s="221" customFormat="1" ht="12.75" x14ac:dyDescent="0.2">
      <c r="B51838" s="1168"/>
    </row>
    <row r="51839" spans="2:2" s="221" customFormat="1" ht="12.75" x14ac:dyDescent="0.2">
      <c r="B51839" s="1168"/>
    </row>
    <row r="51840" spans="2:2" s="221" customFormat="1" ht="12.75" x14ac:dyDescent="0.2">
      <c r="B51840" s="1168"/>
    </row>
    <row r="51841" spans="2:2" s="221" customFormat="1" ht="12.75" x14ac:dyDescent="0.2">
      <c r="B51841" s="1168"/>
    </row>
    <row r="51842" spans="2:2" s="221" customFormat="1" ht="12.75" x14ac:dyDescent="0.2">
      <c r="B51842" s="1168"/>
    </row>
    <row r="51843" spans="2:2" s="221" customFormat="1" ht="12.75" x14ac:dyDescent="0.2">
      <c r="B51843" s="1168"/>
    </row>
    <row r="51844" spans="2:2" s="221" customFormat="1" ht="12.75" x14ac:dyDescent="0.2">
      <c r="B51844" s="1168"/>
    </row>
    <row r="51845" spans="2:2" s="221" customFormat="1" ht="12.75" x14ac:dyDescent="0.2">
      <c r="B51845" s="1168"/>
    </row>
    <row r="51846" spans="2:2" s="221" customFormat="1" ht="12.75" x14ac:dyDescent="0.2">
      <c r="B51846" s="1168"/>
    </row>
    <row r="51847" spans="2:2" s="221" customFormat="1" ht="12.75" x14ac:dyDescent="0.2">
      <c r="B51847" s="1168"/>
    </row>
    <row r="51848" spans="2:2" s="221" customFormat="1" ht="12.75" x14ac:dyDescent="0.2">
      <c r="B51848" s="1168"/>
    </row>
    <row r="51849" spans="2:2" s="221" customFormat="1" ht="12.75" x14ac:dyDescent="0.2">
      <c r="B51849" s="1168"/>
    </row>
    <row r="51850" spans="2:2" s="221" customFormat="1" ht="12.75" x14ac:dyDescent="0.2">
      <c r="B51850" s="1168"/>
    </row>
    <row r="51851" spans="2:2" s="221" customFormat="1" ht="12.75" x14ac:dyDescent="0.2">
      <c r="B51851" s="1168"/>
    </row>
    <row r="51852" spans="2:2" s="221" customFormat="1" ht="12.75" x14ac:dyDescent="0.2">
      <c r="B51852" s="1168"/>
    </row>
    <row r="51853" spans="2:2" s="221" customFormat="1" ht="12.75" x14ac:dyDescent="0.2">
      <c r="B51853" s="1168"/>
    </row>
    <row r="51854" spans="2:2" s="221" customFormat="1" ht="12.75" x14ac:dyDescent="0.2">
      <c r="B51854" s="1168"/>
    </row>
    <row r="51855" spans="2:2" s="221" customFormat="1" ht="12.75" x14ac:dyDescent="0.2">
      <c r="B51855" s="1168"/>
    </row>
    <row r="51856" spans="2:2" s="221" customFormat="1" ht="12.75" x14ac:dyDescent="0.2">
      <c r="B51856" s="1168"/>
    </row>
    <row r="51857" spans="2:2" s="221" customFormat="1" ht="12.75" x14ac:dyDescent="0.2">
      <c r="B51857" s="1168"/>
    </row>
    <row r="51858" spans="2:2" s="221" customFormat="1" ht="12.75" x14ac:dyDescent="0.2">
      <c r="B51858" s="1168"/>
    </row>
    <row r="51859" spans="2:2" s="221" customFormat="1" ht="12.75" x14ac:dyDescent="0.2">
      <c r="B51859" s="1168"/>
    </row>
    <row r="51860" spans="2:2" s="221" customFormat="1" ht="12.75" x14ac:dyDescent="0.2">
      <c r="B51860" s="1168"/>
    </row>
    <row r="51861" spans="2:2" s="221" customFormat="1" ht="12.75" x14ac:dyDescent="0.2">
      <c r="B51861" s="1168"/>
    </row>
    <row r="51862" spans="2:2" s="221" customFormat="1" ht="12.75" x14ac:dyDescent="0.2">
      <c r="B51862" s="1168"/>
    </row>
    <row r="51863" spans="2:2" s="221" customFormat="1" ht="12.75" x14ac:dyDescent="0.2">
      <c r="B51863" s="1168"/>
    </row>
    <row r="51864" spans="2:2" s="221" customFormat="1" ht="12.75" x14ac:dyDescent="0.2">
      <c r="B51864" s="1168"/>
    </row>
    <row r="51865" spans="2:2" s="221" customFormat="1" ht="12.75" x14ac:dyDescent="0.2">
      <c r="B51865" s="1168"/>
    </row>
    <row r="51866" spans="2:2" s="221" customFormat="1" ht="12.75" x14ac:dyDescent="0.2">
      <c r="B51866" s="1168"/>
    </row>
    <row r="51867" spans="2:2" s="221" customFormat="1" ht="12.75" x14ac:dyDescent="0.2">
      <c r="B51867" s="1168"/>
    </row>
    <row r="51868" spans="2:2" s="221" customFormat="1" ht="12.75" x14ac:dyDescent="0.2">
      <c r="B51868" s="1168"/>
    </row>
    <row r="51869" spans="2:2" s="221" customFormat="1" ht="12.75" x14ac:dyDescent="0.2">
      <c r="B51869" s="1168"/>
    </row>
    <row r="51870" spans="2:2" s="221" customFormat="1" ht="12.75" x14ac:dyDescent="0.2">
      <c r="B51870" s="1168"/>
    </row>
    <row r="51871" spans="2:2" s="221" customFormat="1" ht="12.75" x14ac:dyDescent="0.2">
      <c r="B51871" s="1168"/>
    </row>
    <row r="51872" spans="2:2" s="221" customFormat="1" ht="12.75" x14ac:dyDescent="0.2">
      <c r="B51872" s="1168"/>
    </row>
    <row r="51873" spans="2:2" s="221" customFormat="1" ht="12.75" x14ac:dyDescent="0.2">
      <c r="B51873" s="1168"/>
    </row>
    <row r="51874" spans="2:2" s="221" customFormat="1" ht="12.75" x14ac:dyDescent="0.2">
      <c r="B51874" s="1168"/>
    </row>
    <row r="51875" spans="2:2" s="221" customFormat="1" ht="12.75" x14ac:dyDescent="0.2">
      <c r="B51875" s="1168"/>
    </row>
    <row r="51876" spans="2:2" s="221" customFormat="1" ht="12.75" x14ac:dyDescent="0.2">
      <c r="B51876" s="1168"/>
    </row>
    <row r="51877" spans="2:2" s="221" customFormat="1" ht="12.75" x14ac:dyDescent="0.2">
      <c r="B51877" s="1168"/>
    </row>
    <row r="51878" spans="2:2" s="221" customFormat="1" ht="12.75" x14ac:dyDescent="0.2">
      <c r="B51878" s="1168"/>
    </row>
    <row r="51879" spans="2:2" s="221" customFormat="1" ht="12.75" x14ac:dyDescent="0.2">
      <c r="B51879" s="1168"/>
    </row>
    <row r="51880" spans="2:2" s="221" customFormat="1" ht="12.75" x14ac:dyDescent="0.2">
      <c r="B51880" s="1168"/>
    </row>
    <row r="51881" spans="2:2" s="221" customFormat="1" ht="12.75" x14ac:dyDescent="0.2">
      <c r="B51881" s="1168"/>
    </row>
    <row r="51882" spans="2:2" s="221" customFormat="1" ht="12.75" x14ac:dyDescent="0.2">
      <c r="B51882" s="1168"/>
    </row>
    <row r="51883" spans="2:2" s="221" customFormat="1" ht="12.75" x14ac:dyDescent="0.2">
      <c r="B51883" s="1168"/>
    </row>
    <row r="51884" spans="2:2" s="221" customFormat="1" ht="12.75" x14ac:dyDescent="0.2">
      <c r="B51884" s="1168"/>
    </row>
    <row r="51885" spans="2:2" s="221" customFormat="1" ht="12.75" x14ac:dyDescent="0.2">
      <c r="B51885" s="1168"/>
    </row>
    <row r="51886" spans="2:2" s="221" customFormat="1" ht="12.75" x14ac:dyDescent="0.2">
      <c r="B51886" s="1168"/>
    </row>
    <row r="51887" spans="2:2" s="221" customFormat="1" ht="12.75" x14ac:dyDescent="0.2">
      <c r="B51887" s="1168"/>
    </row>
    <row r="51888" spans="2:2" s="221" customFormat="1" ht="12.75" x14ac:dyDescent="0.2">
      <c r="B51888" s="1168"/>
    </row>
    <row r="51889" spans="2:2" s="221" customFormat="1" ht="12.75" x14ac:dyDescent="0.2">
      <c r="B51889" s="1168"/>
    </row>
    <row r="51890" spans="2:2" s="221" customFormat="1" ht="12.75" x14ac:dyDescent="0.2">
      <c r="B51890" s="1168"/>
    </row>
    <row r="51891" spans="2:2" s="221" customFormat="1" ht="12.75" x14ac:dyDescent="0.2">
      <c r="B51891" s="1168"/>
    </row>
    <row r="51892" spans="2:2" s="221" customFormat="1" ht="12.75" x14ac:dyDescent="0.2">
      <c r="B51892" s="1168"/>
    </row>
    <row r="51893" spans="2:2" s="221" customFormat="1" ht="12.75" x14ac:dyDescent="0.2">
      <c r="B51893" s="1168"/>
    </row>
    <row r="51894" spans="2:2" s="221" customFormat="1" ht="12.75" x14ac:dyDescent="0.2">
      <c r="B51894" s="1168"/>
    </row>
    <row r="51895" spans="2:2" s="221" customFormat="1" ht="12.75" x14ac:dyDescent="0.2">
      <c r="B51895" s="1168"/>
    </row>
    <row r="51896" spans="2:2" s="221" customFormat="1" ht="12.75" x14ac:dyDescent="0.2">
      <c r="B51896" s="1168"/>
    </row>
    <row r="51897" spans="2:2" s="221" customFormat="1" ht="12.75" x14ac:dyDescent="0.2">
      <c r="B51897" s="1168"/>
    </row>
    <row r="51898" spans="2:2" s="221" customFormat="1" ht="12.75" x14ac:dyDescent="0.2">
      <c r="B51898" s="1168"/>
    </row>
    <row r="51899" spans="2:2" s="221" customFormat="1" ht="12.75" x14ac:dyDescent="0.2">
      <c r="B51899" s="1168"/>
    </row>
    <row r="51900" spans="2:2" s="221" customFormat="1" ht="12.75" x14ac:dyDescent="0.2">
      <c r="B51900" s="1168"/>
    </row>
    <row r="51901" spans="2:2" s="221" customFormat="1" ht="12.75" x14ac:dyDescent="0.2">
      <c r="B51901" s="1168"/>
    </row>
    <row r="51902" spans="2:2" s="221" customFormat="1" ht="12.75" x14ac:dyDescent="0.2">
      <c r="B51902" s="1168"/>
    </row>
    <row r="51903" spans="2:2" s="221" customFormat="1" ht="12.75" x14ac:dyDescent="0.2">
      <c r="B51903" s="1168"/>
    </row>
    <row r="51904" spans="2:2" s="221" customFormat="1" ht="12.75" x14ac:dyDescent="0.2">
      <c r="B51904" s="1168"/>
    </row>
    <row r="51905" spans="2:2" s="221" customFormat="1" ht="12.75" x14ac:dyDescent="0.2">
      <c r="B51905" s="1168"/>
    </row>
    <row r="51906" spans="2:2" s="221" customFormat="1" ht="12.75" x14ac:dyDescent="0.2">
      <c r="B51906" s="1168"/>
    </row>
    <row r="51907" spans="2:2" s="221" customFormat="1" ht="12.75" x14ac:dyDescent="0.2">
      <c r="B51907" s="1168"/>
    </row>
    <row r="51908" spans="2:2" s="221" customFormat="1" ht="12.75" x14ac:dyDescent="0.2">
      <c r="B51908" s="1168"/>
    </row>
    <row r="51909" spans="2:2" s="221" customFormat="1" ht="12.75" x14ac:dyDescent="0.2">
      <c r="B51909" s="1168"/>
    </row>
    <row r="51910" spans="2:2" s="221" customFormat="1" ht="12.75" x14ac:dyDescent="0.2">
      <c r="B51910" s="1168"/>
    </row>
    <row r="51911" spans="2:2" s="221" customFormat="1" ht="12.75" x14ac:dyDescent="0.2">
      <c r="B51911" s="1168"/>
    </row>
    <row r="51912" spans="2:2" s="221" customFormat="1" ht="12.75" x14ac:dyDescent="0.2">
      <c r="B51912" s="1168"/>
    </row>
    <row r="51913" spans="2:2" s="221" customFormat="1" ht="12.75" x14ac:dyDescent="0.2">
      <c r="B51913" s="1168"/>
    </row>
    <row r="51914" spans="2:2" s="221" customFormat="1" ht="12.75" x14ac:dyDescent="0.2">
      <c r="B51914" s="1168"/>
    </row>
    <row r="51915" spans="2:2" s="221" customFormat="1" ht="12.75" x14ac:dyDescent="0.2">
      <c r="B51915" s="1168"/>
    </row>
    <row r="51916" spans="2:2" s="221" customFormat="1" ht="12.75" x14ac:dyDescent="0.2">
      <c r="B51916" s="1168"/>
    </row>
    <row r="51917" spans="2:2" s="221" customFormat="1" ht="12.75" x14ac:dyDescent="0.2">
      <c r="B51917" s="1168"/>
    </row>
    <row r="51918" spans="2:2" s="221" customFormat="1" ht="12.75" x14ac:dyDescent="0.2">
      <c r="B51918" s="1168"/>
    </row>
    <row r="51919" spans="2:2" s="221" customFormat="1" ht="12.75" x14ac:dyDescent="0.2">
      <c r="B51919" s="1168"/>
    </row>
    <row r="51920" spans="2:2" s="221" customFormat="1" ht="12.75" x14ac:dyDescent="0.2">
      <c r="B51920" s="1168"/>
    </row>
    <row r="51921" spans="2:2" s="221" customFormat="1" ht="12.75" x14ac:dyDescent="0.2">
      <c r="B51921" s="1168"/>
    </row>
    <row r="51922" spans="2:2" s="221" customFormat="1" ht="12.75" x14ac:dyDescent="0.2">
      <c r="B51922" s="1168"/>
    </row>
    <row r="51923" spans="2:2" s="221" customFormat="1" ht="12.75" x14ac:dyDescent="0.2">
      <c r="B51923" s="1168"/>
    </row>
    <row r="51924" spans="2:2" s="221" customFormat="1" ht="12.75" x14ac:dyDescent="0.2">
      <c r="B51924" s="1168"/>
    </row>
    <row r="51925" spans="2:2" s="221" customFormat="1" ht="12.75" x14ac:dyDescent="0.2">
      <c r="B51925" s="1168"/>
    </row>
    <row r="51926" spans="2:2" s="221" customFormat="1" ht="12.75" x14ac:dyDescent="0.2">
      <c r="B51926" s="1168"/>
    </row>
    <row r="51927" spans="2:2" s="221" customFormat="1" ht="12.75" x14ac:dyDescent="0.2">
      <c r="B51927" s="1168"/>
    </row>
    <row r="51928" spans="2:2" s="221" customFormat="1" ht="12.75" x14ac:dyDescent="0.2">
      <c r="B51928" s="1168"/>
    </row>
    <row r="51929" spans="2:2" s="221" customFormat="1" ht="12.75" x14ac:dyDescent="0.2">
      <c r="B51929" s="1168"/>
    </row>
    <row r="51930" spans="2:2" s="221" customFormat="1" ht="12.75" x14ac:dyDescent="0.2">
      <c r="B51930" s="1168"/>
    </row>
    <row r="51931" spans="2:2" s="221" customFormat="1" ht="12.75" x14ac:dyDescent="0.2">
      <c r="B51931" s="1168"/>
    </row>
    <row r="51932" spans="2:2" s="221" customFormat="1" ht="12.75" x14ac:dyDescent="0.2">
      <c r="B51932" s="1168"/>
    </row>
    <row r="51933" spans="2:2" s="221" customFormat="1" ht="12.75" x14ac:dyDescent="0.2">
      <c r="B51933" s="1168"/>
    </row>
    <row r="51934" spans="2:2" s="221" customFormat="1" ht="12.75" x14ac:dyDescent="0.2">
      <c r="B51934" s="1168"/>
    </row>
    <row r="51935" spans="2:2" s="221" customFormat="1" ht="12.75" x14ac:dyDescent="0.2">
      <c r="B51935" s="1168"/>
    </row>
    <row r="51936" spans="2:2" s="221" customFormat="1" ht="12.75" x14ac:dyDescent="0.2">
      <c r="B51936" s="1168"/>
    </row>
    <row r="51937" spans="2:2" s="221" customFormat="1" ht="12.75" x14ac:dyDescent="0.2">
      <c r="B51937" s="1168"/>
    </row>
    <row r="51938" spans="2:2" s="221" customFormat="1" ht="12.75" x14ac:dyDescent="0.2">
      <c r="B51938" s="1168"/>
    </row>
    <row r="51939" spans="2:2" s="221" customFormat="1" ht="12.75" x14ac:dyDescent="0.2">
      <c r="B51939" s="1168"/>
    </row>
    <row r="51940" spans="2:2" s="221" customFormat="1" ht="12.75" x14ac:dyDescent="0.2">
      <c r="B51940" s="1168"/>
    </row>
    <row r="51941" spans="2:2" s="221" customFormat="1" ht="12.75" x14ac:dyDescent="0.2">
      <c r="B51941" s="1168"/>
    </row>
    <row r="51942" spans="2:2" s="221" customFormat="1" ht="12.75" x14ac:dyDescent="0.2">
      <c r="B51942" s="1168"/>
    </row>
    <row r="51943" spans="2:2" s="221" customFormat="1" ht="12.75" x14ac:dyDescent="0.2">
      <c r="B51943" s="1168"/>
    </row>
    <row r="51944" spans="2:2" s="221" customFormat="1" ht="12.75" x14ac:dyDescent="0.2">
      <c r="B51944" s="1168"/>
    </row>
    <row r="51945" spans="2:2" s="221" customFormat="1" ht="12.75" x14ac:dyDescent="0.2">
      <c r="B51945" s="1168"/>
    </row>
    <row r="51946" spans="2:2" s="221" customFormat="1" ht="12.75" x14ac:dyDescent="0.2">
      <c r="B51946" s="1168"/>
    </row>
    <row r="51947" spans="2:2" s="221" customFormat="1" ht="12.75" x14ac:dyDescent="0.2">
      <c r="B51947" s="1168"/>
    </row>
    <row r="51948" spans="2:2" s="221" customFormat="1" ht="12.75" x14ac:dyDescent="0.2">
      <c r="B51948" s="1168"/>
    </row>
    <row r="51949" spans="2:2" s="221" customFormat="1" ht="12.75" x14ac:dyDescent="0.2">
      <c r="B51949" s="1168"/>
    </row>
    <row r="51950" spans="2:2" s="221" customFormat="1" ht="12.75" x14ac:dyDescent="0.2">
      <c r="B51950" s="1168"/>
    </row>
    <row r="51951" spans="2:2" s="221" customFormat="1" ht="12.75" x14ac:dyDescent="0.2">
      <c r="B51951" s="1168"/>
    </row>
    <row r="51952" spans="2:2" s="221" customFormat="1" ht="12.75" x14ac:dyDescent="0.2">
      <c r="B51952" s="1168"/>
    </row>
    <row r="51953" spans="2:2" s="221" customFormat="1" ht="12.75" x14ac:dyDescent="0.2">
      <c r="B51953" s="1168"/>
    </row>
    <row r="51954" spans="2:2" s="221" customFormat="1" ht="12.75" x14ac:dyDescent="0.2">
      <c r="B51954" s="1168"/>
    </row>
    <row r="51955" spans="2:2" s="221" customFormat="1" ht="12.75" x14ac:dyDescent="0.2">
      <c r="B51955" s="1168"/>
    </row>
    <row r="51956" spans="2:2" s="221" customFormat="1" ht="12.75" x14ac:dyDescent="0.2">
      <c r="B51956" s="1168"/>
    </row>
    <row r="51957" spans="2:2" s="221" customFormat="1" ht="12.75" x14ac:dyDescent="0.2">
      <c r="B51957" s="1168"/>
    </row>
    <row r="51958" spans="2:2" s="221" customFormat="1" ht="12.75" x14ac:dyDescent="0.2">
      <c r="B51958" s="1168"/>
    </row>
    <row r="51959" spans="2:2" s="221" customFormat="1" ht="12.75" x14ac:dyDescent="0.2">
      <c r="B51959" s="1168"/>
    </row>
    <row r="51960" spans="2:2" s="221" customFormat="1" ht="12.75" x14ac:dyDescent="0.2">
      <c r="B51960" s="1168"/>
    </row>
    <row r="51961" spans="2:2" s="221" customFormat="1" ht="12.75" x14ac:dyDescent="0.2">
      <c r="B51961" s="1168"/>
    </row>
    <row r="51962" spans="2:2" s="221" customFormat="1" ht="12.75" x14ac:dyDescent="0.2">
      <c r="B51962" s="1168"/>
    </row>
    <row r="51963" spans="2:2" s="221" customFormat="1" ht="12.75" x14ac:dyDescent="0.2">
      <c r="B51963" s="1168"/>
    </row>
    <row r="51964" spans="2:2" s="221" customFormat="1" ht="12.75" x14ac:dyDescent="0.2">
      <c r="B51964" s="1168"/>
    </row>
    <row r="51965" spans="2:2" s="221" customFormat="1" ht="12.75" x14ac:dyDescent="0.2">
      <c r="B51965" s="1168"/>
    </row>
    <row r="51966" spans="2:2" s="221" customFormat="1" ht="12.75" x14ac:dyDescent="0.2">
      <c r="B51966" s="1168"/>
    </row>
    <row r="51967" spans="2:2" s="221" customFormat="1" ht="12.75" x14ac:dyDescent="0.2">
      <c r="B51967" s="1168"/>
    </row>
    <row r="51968" spans="2:2" s="221" customFormat="1" ht="12.75" x14ac:dyDescent="0.2">
      <c r="B51968" s="1168"/>
    </row>
    <row r="51969" spans="2:2" s="221" customFormat="1" ht="12.75" x14ac:dyDescent="0.2">
      <c r="B51969" s="1168"/>
    </row>
    <row r="51970" spans="2:2" s="221" customFormat="1" ht="12.75" x14ac:dyDescent="0.2">
      <c r="B51970" s="1168"/>
    </row>
    <row r="51971" spans="2:2" s="221" customFormat="1" ht="12.75" x14ac:dyDescent="0.2">
      <c r="B51971" s="1168"/>
    </row>
    <row r="51972" spans="2:2" s="221" customFormat="1" ht="12.75" x14ac:dyDescent="0.2">
      <c r="B51972" s="1168"/>
    </row>
    <row r="51973" spans="2:2" s="221" customFormat="1" ht="12.75" x14ac:dyDescent="0.2">
      <c r="B51973" s="1168"/>
    </row>
    <row r="51974" spans="2:2" s="221" customFormat="1" ht="12.75" x14ac:dyDescent="0.2">
      <c r="B51974" s="1168"/>
    </row>
    <row r="51975" spans="2:2" s="221" customFormat="1" ht="12.75" x14ac:dyDescent="0.2">
      <c r="B51975" s="1168"/>
    </row>
    <row r="51976" spans="2:2" s="221" customFormat="1" ht="12.75" x14ac:dyDescent="0.2">
      <c r="B51976" s="1168"/>
    </row>
    <row r="51977" spans="2:2" s="221" customFormat="1" ht="12.75" x14ac:dyDescent="0.2">
      <c r="B51977" s="1168"/>
    </row>
    <row r="51978" spans="2:2" s="221" customFormat="1" ht="12.75" x14ac:dyDescent="0.2">
      <c r="B51978" s="1168"/>
    </row>
    <row r="51979" spans="2:2" s="221" customFormat="1" ht="12.75" x14ac:dyDescent="0.2">
      <c r="B51979" s="1168"/>
    </row>
    <row r="51980" spans="2:2" s="221" customFormat="1" ht="12.75" x14ac:dyDescent="0.2">
      <c r="B51980" s="1168"/>
    </row>
    <row r="51981" spans="2:2" s="221" customFormat="1" ht="12.75" x14ac:dyDescent="0.2">
      <c r="B51981" s="1168"/>
    </row>
    <row r="51982" spans="2:2" s="221" customFormat="1" ht="12.75" x14ac:dyDescent="0.2">
      <c r="B51982" s="1168"/>
    </row>
    <row r="51983" spans="2:2" s="221" customFormat="1" ht="12.75" x14ac:dyDescent="0.2">
      <c r="B51983" s="1168"/>
    </row>
    <row r="51984" spans="2:2" s="221" customFormat="1" ht="12.75" x14ac:dyDescent="0.2">
      <c r="B51984" s="1168"/>
    </row>
    <row r="51985" spans="2:2" s="221" customFormat="1" ht="12.75" x14ac:dyDescent="0.2">
      <c r="B51985" s="1168"/>
    </row>
    <row r="51986" spans="2:2" s="221" customFormat="1" ht="12.75" x14ac:dyDescent="0.2">
      <c r="B51986" s="1168"/>
    </row>
    <row r="51987" spans="2:2" s="221" customFormat="1" ht="12.75" x14ac:dyDescent="0.2">
      <c r="B51987" s="1168"/>
    </row>
    <row r="51988" spans="2:2" s="221" customFormat="1" ht="12.75" x14ac:dyDescent="0.2">
      <c r="B51988" s="1168"/>
    </row>
    <row r="51989" spans="2:2" s="221" customFormat="1" ht="12.75" x14ac:dyDescent="0.2">
      <c r="B51989" s="1168"/>
    </row>
    <row r="51990" spans="2:2" s="221" customFormat="1" ht="12.75" x14ac:dyDescent="0.2">
      <c r="B51990" s="1168"/>
    </row>
    <row r="51991" spans="2:2" s="221" customFormat="1" ht="12.75" x14ac:dyDescent="0.2">
      <c r="B51991" s="1168"/>
    </row>
    <row r="51992" spans="2:2" s="221" customFormat="1" ht="12.75" x14ac:dyDescent="0.2">
      <c r="B51992" s="1168"/>
    </row>
    <row r="51993" spans="2:2" s="221" customFormat="1" ht="12.75" x14ac:dyDescent="0.2">
      <c r="B51993" s="1168"/>
    </row>
    <row r="51994" spans="2:2" s="221" customFormat="1" ht="12.75" x14ac:dyDescent="0.2">
      <c r="B51994" s="1168"/>
    </row>
    <row r="51995" spans="2:2" s="221" customFormat="1" ht="12.75" x14ac:dyDescent="0.2">
      <c r="B51995" s="1168"/>
    </row>
    <row r="51996" spans="2:2" s="221" customFormat="1" ht="12.75" x14ac:dyDescent="0.2">
      <c r="B51996" s="1168"/>
    </row>
    <row r="51997" spans="2:2" s="221" customFormat="1" ht="12.75" x14ac:dyDescent="0.2">
      <c r="B51997" s="1168"/>
    </row>
    <row r="51998" spans="2:2" s="221" customFormat="1" ht="12.75" x14ac:dyDescent="0.2">
      <c r="B51998" s="1168"/>
    </row>
    <row r="51999" spans="2:2" s="221" customFormat="1" ht="12.75" x14ac:dyDescent="0.2">
      <c r="B51999" s="1168"/>
    </row>
    <row r="52000" spans="2:2" s="221" customFormat="1" ht="12.75" x14ac:dyDescent="0.2">
      <c r="B52000" s="1168"/>
    </row>
    <row r="52001" spans="2:2" s="221" customFormat="1" ht="12.75" x14ac:dyDescent="0.2">
      <c r="B52001" s="1168"/>
    </row>
    <row r="52002" spans="2:2" s="221" customFormat="1" ht="12.75" x14ac:dyDescent="0.2">
      <c r="B52002" s="1168"/>
    </row>
    <row r="52003" spans="2:2" s="221" customFormat="1" ht="12.75" x14ac:dyDescent="0.2">
      <c r="B52003" s="1168"/>
    </row>
    <row r="52004" spans="2:2" s="221" customFormat="1" ht="12.75" x14ac:dyDescent="0.2">
      <c r="B52004" s="1168"/>
    </row>
    <row r="52005" spans="2:2" s="221" customFormat="1" ht="12.75" x14ac:dyDescent="0.2">
      <c r="B52005" s="1168"/>
    </row>
    <row r="52006" spans="2:2" s="221" customFormat="1" ht="12.75" x14ac:dyDescent="0.2">
      <c r="B52006" s="1168"/>
    </row>
    <row r="52007" spans="2:2" s="221" customFormat="1" ht="12.75" x14ac:dyDescent="0.2">
      <c r="B52007" s="1168"/>
    </row>
    <row r="52008" spans="2:2" s="221" customFormat="1" ht="12.75" x14ac:dyDescent="0.2">
      <c r="B52008" s="1168"/>
    </row>
    <row r="52009" spans="2:2" s="221" customFormat="1" ht="12.75" x14ac:dyDescent="0.2">
      <c r="B52009" s="1168"/>
    </row>
    <row r="52010" spans="2:2" s="221" customFormat="1" ht="12.75" x14ac:dyDescent="0.2">
      <c r="B52010" s="1168"/>
    </row>
    <row r="52011" spans="2:2" s="221" customFormat="1" ht="12.75" x14ac:dyDescent="0.2">
      <c r="B52011" s="1168"/>
    </row>
    <row r="52012" spans="2:2" s="221" customFormat="1" ht="12.75" x14ac:dyDescent="0.2">
      <c r="B52012" s="1168"/>
    </row>
    <row r="52013" spans="2:2" s="221" customFormat="1" ht="12.75" x14ac:dyDescent="0.2">
      <c r="B52013" s="1168"/>
    </row>
    <row r="52014" spans="2:2" s="221" customFormat="1" ht="12.75" x14ac:dyDescent="0.2">
      <c r="B52014" s="1168"/>
    </row>
    <row r="52015" spans="2:2" s="221" customFormat="1" ht="12.75" x14ac:dyDescent="0.2">
      <c r="B52015" s="1168"/>
    </row>
    <row r="52016" spans="2:2" s="221" customFormat="1" ht="12.75" x14ac:dyDescent="0.2">
      <c r="B52016" s="1168"/>
    </row>
    <row r="52017" spans="2:2" s="221" customFormat="1" ht="12.75" x14ac:dyDescent="0.2">
      <c r="B52017" s="1168"/>
    </row>
    <row r="52018" spans="2:2" s="221" customFormat="1" ht="12.75" x14ac:dyDescent="0.2">
      <c r="B52018" s="1168"/>
    </row>
    <row r="52019" spans="2:2" s="221" customFormat="1" ht="12.75" x14ac:dyDescent="0.2">
      <c r="B52019" s="1168"/>
    </row>
    <row r="52020" spans="2:2" s="221" customFormat="1" ht="12.75" x14ac:dyDescent="0.2">
      <c r="B52020" s="1168"/>
    </row>
    <row r="52021" spans="2:2" s="221" customFormat="1" ht="12.75" x14ac:dyDescent="0.2">
      <c r="B52021" s="1168"/>
    </row>
    <row r="52022" spans="2:2" s="221" customFormat="1" ht="12.75" x14ac:dyDescent="0.2">
      <c r="B52022" s="1168"/>
    </row>
    <row r="52023" spans="2:2" s="221" customFormat="1" ht="12.75" x14ac:dyDescent="0.2">
      <c r="B52023" s="1168"/>
    </row>
    <row r="52024" spans="2:2" s="221" customFormat="1" ht="12.75" x14ac:dyDescent="0.2">
      <c r="B52024" s="1168"/>
    </row>
    <row r="52025" spans="2:2" s="221" customFormat="1" ht="12.75" x14ac:dyDescent="0.2">
      <c r="B52025" s="1168"/>
    </row>
    <row r="52026" spans="2:2" s="221" customFormat="1" ht="12.75" x14ac:dyDescent="0.2">
      <c r="B52026" s="1168"/>
    </row>
    <row r="52027" spans="2:2" s="221" customFormat="1" ht="12.75" x14ac:dyDescent="0.2">
      <c r="B52027" s="1168"/>
    </row>
    <row r="52028" spans="2:2" s="221" customFormat="1" ht="12.75" x14ac:dyDescent="0.2">
      <c r="B52028" s="1168"/>
    </row>
    <row r="52029" spans="2:2" s="221" customFormat="1" ht="12.75" x14ac:dyDescent="0.2">
      <c r="B52029" s="1168"/>
    </row>
    <row r="52030" spans="2:2" s="221" customFormat="1" ht="12.75" x14ac:dyDescent="0.2">
      <c r="B52030" s="1168"/>
    </row>
    <row r="52031" spans="2:2" s="221" customFormat="1" ht="12.75" x14ac:dyDescent="0.2">
      <c r="B52031" s="1168"/>
    </row>
    <row r="52032" spans="2:2" s="221" customFormat="1" ht="12.75" x14ac:dyDescent="0.2">
      <c r="B52032" s="1168"/>
    </row>
    <row r="52033" spans="2:2" s="221" customFormat="1" ht="12.75" x14ac:dyDescent="0.2">
      <c r="B52033" s="1168"/>
    </row>
    <row r="52034" spans="2:2" s="221" customFormat="1" ht="12.75" x14ac:dyDescent="0.2">
      <c r="B52034" s="1168"/>
    </row>
    <row r="52035" spans="2:2" s="221" customFormat="1" ht="12.75" x14ac:dyDescent="0.2">
      <c r="B52035" s="1168"/>
    </row>
    <row r="52036" spans="2:2" s="221" customFormat="1" ht="12.75" x14ac:dyDescent="0.2">
      <c r="B52036" s="1168"/>
    </row>
    <row r="52037" spans="2:2" s="221" customFormat="1" ht="12.75" x14ac:dyDescent="0.2">
      <c r="B52037" s="1168"/>
    </row>
    <row r="52038" spans="2:2" s="221" customFormat="1" ht="12.75" x14ac:dyDescent="0.2">
      <c r="B52038" s="1168"/>
    </row>
    <row r="52039" spans="2:2" s="221" customFormat="1" ht="12.75" x14ac:dyDescent="0.2">
      <c r="B52039" s="1168"/>
    </row>
    <row r="52040" spans="2:2" s="221" customFormat="1" ht="12.75" x14ac:dyDescent="0.2">
      <c r="B52040" s="1168"/>
    </row>
    <row r="52041" spans="2:2" s="221" customFormat="1" ht="12.75" x14ac:dyDescent="0.2">
      <c r="B52041" s="1168"/>
    </row>
    <row r="52042" spans="2:2" s="221" customFormat="1" ht="12.75" x14ac:dyDescent="0.2">
      <c r="B52042" s="1168"/>
    </row>
    <row r="52043" spans="2:2" s="221" customFormat="1" ht="12.75" x14ac:dyDescent="0.2">
      <c r="B52043" s="1168"/>
    </row>
    <row r="52044" spans="2:2" s="221" customFormat="1" ht="12.75" x14ac:dyDescent="0.2">
      <c r="B52044" s="1168"/>
    </row>
    <row r="52045" spans="2:2" s="221" customFormat="1" ht="12.75" x14ac:dyDescent="0.2">
      <c r="B52045" s="1168"/>
    </row>
    <row r="52046" spans="2:2" s="221" customFormat="1" ht="12.75" x14ac:dyDescent="0.2">
      <c r="B52046" s="1168"/>
    </row>
    <row r="52047" spans="2:2" s="221" customFormat="1" ht="12.75" x14ac:dyDescent="0.2">
      <c r="B52047" s="1168"/>
    </row>
    <row r="52048" spans="2:2" s="221" customFormat="1" ht="12.75" x14ac:dyDescent="0.2">
      <c r="B52048" s="1168"/>
    </row>
    <row r="52049" spans="2:2" s="221" customFormat="1" ht="12.75" x14ac:dyDescent="0.2">
      <c r="B52049" s="1168"/>
    </row>
    <row r="52050" spans="2:2" s="221" customFormat="1" ht="12.75" x14ac:dyDescent="0.2">
      <c r="B52050" s="1168"/>
    </row>
    <row r="52051" spans="2:2" s="221" customFormat="1" ht="12.75" x14ac:dyDescent="0.2">
      <c r="B52051" s="1168"/>
    </row>
    <row r="52052" spans="2:2" s="221" customFormat="1" ht="12.75" x14ac:dyDescent="0.2">
      <c r="B52052" s="1168"/>
    </row>
    <row r="52053" spans="2:2" s="221" customFormat="1" ht="12.75" x14ac:dyDescent="0.2">
      <c r="B52053" s="1168"/>
    </row>
    <row r="52054" spans="2:2" s="221" customFormat="1" ht="12.75" x14ac:dyDescent="0.2">
      <c r="B52054" s="1168"/>
    </row>
    <row r="52055" spans="2:2" s="221" customFormat="1" ht="12.75" x14ac:dyDescent="0.2">
      <c r="B52055" s="1168"/>
    </row>
    <row r="52056" spans="2:2" s="221" customFormat="1" ht="12.75" x14ac:dyDescent="0.2">
      <c r="B52056" s="1168"/>
    </row>
    <row r="52057" spans="2:2" s="221" customFormat="1" ht="12.75" x14ac:dyDescent="0.2">
      <c r="B52057" s="1168"/>
    </row>
    <row r="52058" spans="2:2" s="221" customFormat="1" ht="12.75" x14ac:dyDescent="0.2">
      <c r="B52058" s="1168"/>
    </row>
    <row r="52059" spans="2:2" s="221" customFormat="1" ht="12.75" x14ac:dyDescent="0.2">
      <c r="B52059" s="1168"/>
    </row>
    <row r="52060" spans="2:2" s="221" customFormat="1" ht="12.75" x14ac:dyDescent="0.2">
      <c r="B52060" s="1168"/>
    </row>
    <row r="52061" spans="2:2" s="221" customFormat="1" ht="12.75" x14ac:dyDescent="0.2">
      <c r="B52061" s="1168"/>
    </row>
    <row r="52062" spans="2:2" s="221" customFormat="1" ht="12.75" x14ac:dyDescent="0.2">
      <c r="B52062" s="1168"/>
    </row>
    <row r="52063" spans="2:2" s="221" customFormat="1" ht="12.75" x14ac:dyDescent="0.2">
      <c r="B52063" s="1168"/>
    </row>
    <row r="52064" spans="2:2" s="221" customFormat="1" ht="12.75" x14ac:dyDescent="0.2">
      <c r="B52064" s="1168"/>
    </row>
    <row r="52065" spans="2:2" s="221" customFormat="1" ht="12.75" x14ac:dyDescent="0.2">
      <c r="B52065" s="1168"/>
    </row>
    <row r="52066" spans="2:2" s="221" customFormat="1" ht="12.75" x14ac:dyDescent="0.2">
      <c r="B52066" s="1168"/>
    </row>
    <row r="52067" spans="2:2" s="221" customFormat="1" ht="12.75" x14ac:dyDescent="0.2">
      <c r="B52067" s="1168"/>
    </row>
    <row r="52068" spans="2:2" s="221" customFormat="1" ht="12.75" x14ac:dyDescent="0.2">
      <c r="B52068" s="1168"/>
    </row>
    <row r="52069" spans="2:2" s="221" customFormat="1" ht="12.75" x14ac:dyDescent="0.2">
      <c r="B52069" s="1168"/>
    </row>
    <row r="52070" spans="2:2" s="221" customFormat="1" ht="12.75" x14ac:dyDescent="0.2">
      <c r="B52070" s="1168"/>
    </row>
    <row r="52071" spans="2:2" s="221" customFormat="1" ht="12.75" x14ac:dyDescent="0.2">
      <c r="B52071" s="1168"/>
    </row>
    <row r="52072" spans="2:2" s="221" customFormat="1" ht="12.75" x14ac:dyDescent="0.2">
      <c r="B52072" s="1168"/>
    </row>
    <row r="52073" spans="2:2" s="221" customFormat="1" ht="12.75" x14ac:dyDescent="0.2">
      <c r="B52073" s="1168"/>
    </row>
    <row r="52074" spans="2:2" s="221" customFormat="1" ht="12.75" x14ac:dyDescent="0.2">
      <c r="B52074" s="1168"/>
    </row>
    <row r="52075" spans="2:2" s="221" customFormat="1" ht="12.75" x14ac:dyDescent="0.2">
      <c r="B52075" s="1168"/>
    </row>
    <row r="52076" spans="2:2" s="221" customFormat="1" ht="12.75" x14ac:dyDescent="0.2">
      <c r="B52076" s="1168"/>
    </row>
    <row r="52077" spans="2:2" s="221" customFormat="1" ht="12.75" x14ac:dyDescent="0.2">
      <c r="B52077" s="1168"/>
    </row>
    <row r="52078" spans="2:2" s="221" customFormat="1" ht="12.75" x14ac:dyDescent="0.2">
      <c r="B52078" s="1168"/>
    </row>
    <row r="52079" spans="2:2" s="221" customFormat="1" ht="12.75" x14ac:dyDescent="0.2">
      <c r="B52079" s="1168"/>
    </row>
    <row r="52080" spans="2:2" s="221" customFormat="1" ht="12.75" x14ac:dyDescent="0.2">
      <c r="B52080" s="1168"/>
    </row>
    <row r="52081" spans="2:2" s="221" customFormat="1" ht="12.75" x14ac:dyDescent="0.2">
      <c r="B52081" s="1168"/>
    </row>
    <row r="52082" spans="2:2" s="221" customFormat="1" ht="12.75" x14ac:dyDescent="0.2">
      <c r="B52082" s="1168"/>
    </row>
    <row r="52083" spans="2:2" s="221" customFormat="1" ht="12.75" x14ac:dyDescent="0.2">
      <c r="B52083" s="1168"/>
    </row>
    <row r="52084" spans="2:2" s="221" customFormat="1" ht="12.75" x14ac:dyDescent="0.2">
      <c r="B52084" s="1168"/>
    </row>
    <row r="52085" spans="2:2" s="221" customFormat="1" ht="12.75" x14ac:dyDescent="0.2">
      <c r="B52085" s="1168"/>
    </row>
    <row r="52086" spans="2:2" s="221" customFormat="1" ht="12.75" x14ac:dyDescent="0.2">
      <c r="B52086" s="1168"/>
    </row>
    <row r="52087" spans="2:2" s="221" customFormat="1" ht="12.75" x14ac:dyDescent="0.2">
      <c r="B52087" s="1168"/>
    </row>
    <row r="52088" spans="2:2" s="221" customFormat="1" ht="12.75" x14ac:dyDescent="0.2">
      <c r="B52088" s="1168"/>
    </row>
    <row r="52089" spans="2:2" s="221" customFormat="1" ht="12.75" x14ac:dyDescent="0.2">
      <c r="B52089" s="1168"/>
    </row>
    <row r="52090" spans="2:2" s="221" customFormat="1" ht="12.75" x14ac:dyDescent="0.2">
      <c r="B52090" s="1168"/>
    </row>
    <row r="52091" spans="2:2" s="221" customFormat="1" ht="12.75" x14ac:dyDescent="0.2">
      <c r="B52091" s="1168"/>
    </row>
    <row r="52092" spans="2:2" s="221" customFormat="1" ht="12.75" x14ac:dyDescent="0.2">
      <c r="B52092" s="1168"/>
    </row>
    <row r="52093" spans="2:2" s="221" customFormat="1" ht="12.75" x14ac:dyDescent="0.2">
      <c r="B52093" s="1168"/>
    </row>
    <row r="52094" spans="2:2" s="221" customFormat="1" ht="12.75" x14ac:dyDescent="0.2">
      <c r="B52094" s="1168"/>
    </row>
    <row r="52095" spans="2:2" s="221" customFormat="1" ht="12.75" x14ac:dyDescent="0.2">
      <c r="B52095" s="1168"/>
    </row>
    <row r="52096" spans="2:2" s="221" customFormat="1" ht="12.75" x14ac:dyDescent="0.2">
      <c r="B52096" s="1168"/>
    </row>
    <row r="52097" spans="2:2" s="221" customFormat="1" ht="12.75" x14ac:dyDescent="0.2">
      <c r="B52097" s="1168"/>
    </row>
    <row r="52098" spans="2:2" s="221" customFormat="1" ht="12.75" x14ac:dyDescent="0.2">
      <c r="B52098" s="1168"/>
    </row>
    <row r="52099" spans="2:2" s="221" customFormat="1" ht="12.75" x14ac:dyDescent="0.2">
      <c r="B52099" s="1168"/>
    </row>
    <row r="52100" spans="2:2" s="221" customFormat="1" ht="12.75" x14ac:dyDescent="0.2">
      <c r="B52100" s="1168"/>
    </row>
    <row r="52101" spans="2:2" s="221" customFormat="1" ht="12.75" x14ac:dyDescent="0.2">
      <c r="B52101" s="1168"/>
    </row>
    <row r="52102" spans="2:2" s="221" customFormat="1" ht="12.75" x14ac:dyDescent="0.2">
      <c r="B52102" s="1168"/>
    </row>
    <row r="52103" spans="2:2" s="221" customFormat="1" ht="12.75" x14ac:dyDescent="0.2">
      <c r="B52103" s="1168"/>
    </row>
    <row r="52104" spans="2:2" s="221" customFormat="1" ht="12.75" x14ac:dyDescent="0.2">
      <c r="B52104" s="1168"/>
    </row>
    <row r="52105" spans="2:2" s="221" customFormat="1" ht="12.75" x14ac:dyDescent="0.2">
      <c r="B52105" s="1168"/>
    </row>
    <row r="52106" spans="2:2" s="221" customFormat="1" ht="12.75" x14ac:dyDescent="0.2">
      <c r="B52106" s="1168"/>
    </row>
    <row r="52107" spans="2:2" s="221" customFormat="1" ht="12.75" x14ac:dyDescent="0.2">
      <c r="B52107" s="1168"/>
    </row>
    <row r="52108" spans="2:2" s="221" customFormat="1" ht="12.75" x14ac:dyDescent="0.2">
      <c r="B52108" s="1168"/>
    </row>
    <row r="52109" spans="2:2" s="221" customFormat="1" ht="12.75" x14ac:dyDescent="0.2">
      <c r="B52109" s="1168"/>
    </row>
    <row r="52110" spans="2:2" s="221" customFormat="1" ht="12.75" x14ac:dyDescent="0.2">
      <c r="B52110" s="1168"/>
    </row>
    <row r="52111" spans="2:2" s="221" customFormat="1" ht="12.75" x14ac:dyDescent="0.2">
      <c r="B52111" s="1168"/>
    </row>
    <row r="52112" spans="2:2" s="221" customFormat="1" ht="12.75" x14ac:dyDescent="0.2">
      <c r="B52112" s="1168"/>
    </row>
    <row r="52113" spans="2:2" s="221" customFormat="1" ht="12.75" x14ac:dyDescent="0.2">
      <c r="B52113" s="1168"/>
    </row>
    <row r="52114" spans="2:2" s="221" customFormat="1" ht="12.75" x14ac:dyDescent="0.2">
      <c r="B52114" s="1168"/>
    </row>
    <row r="52115" spans="2:2" s="221" customFormat="1" ht="12.75" x14ac:dyDescent="0.2">
      <c r="B52115" s="1168"/>
    </row>
    <row r="52116" spans="2:2" s="221" customFormat="1" ht="12.75" x14ac:dyDescent="0.2">
      <c r="B52116" s="1168"/>
    </row>
    <row r="52117" spans="2:2" s="221" customFormat="1" ht="12.75" x14ac:dyDescent="0.2">
      <c r="B52117" s="1168"/>
    </row>
    <row r="52118" spans="2:2" s="221" customFormat="1" ht="12.75" x14ac:dyDescent="0.2">
      <c r="B52118" s="1168"/>
    </row>
    <row r="52119" spans="2:2" s="221" customFormat="1" ht="12.75" x14ac:dyDescent="0.2">
      <c r="B52119" s="1168"/>
    </row>
    <row r="52120" spans="2:2" s="221" customFormat="1" ht="12.75" x14ac:dyDescent="0.2">
      <c r="B52120" s="1168"/>
    </row>
    <row r="52121" spans="2:2" s="221" customFormat="1" ht="12.75" x14ac:dyDescent="0.2">
      <c r="B52121" s="1168"/>
    </row>
    <row r="52122" spans="2:2" s="221" customFormat="1" ht="12.75" x14ac:dyDescent="0.2">
      <c r="B52122" s="1168"/>
    </row>
    <row r="52123" spans="2:2" s="221" customFormat="1" ht="12.75" x14ac:dyDescent="0.2">
      <c r="B52123" s="1168"/>
    </row>
    <row r="52124" spans="2:2" s="221" customFormat="1" ht="12.75" x14ac:dyDescent="0.2">
      <c r="B52124" s="1168"/>
    </row>
    <row r="52125" spans="2:2" s="221" customFormat="1" ht="12.75" x14ac:dyDescent="0.2">
      <c r="B52125" s="1168"/>
    </row>
    <row r="52126" spans="2:2" s="221" customFormat="1" ht="12.75" x14ac:dyDescent="0.2">
      <c r="B52126" s="1168"/>
    </row>
    <row r="52127" spans="2:2" s="221" customFormat="1" ht="12.75" x14ac:dyDescent="0.2">
      <c r="B52127" s="1168"/>
    </row>
    <row r="52128" spans="2:2" s="221" customFormat="1" ht="12.75" x14ac:dyDescent="0.2">
      <c r="B52128" s="1168"/>
    </row>
    <row r="52129" spans="2:2" s="221" customFormat="1" ht="12.75" x14ac:dyDescent="0.2">
      <c r="B52129" s="1168"/>
    </row>
    <row r="52130" spans="2:2" s="221" customFormat="1" ht="12.75" x14ac:dyDescent="0.2">
      <c r="B52130" s="1168"/>
    </row>
    <row r="52131" spans="2:2" s="221" customFormat="1" ht="12.75" x14ac:dyDescent="0.2">
      <c r="B52131" s="1168"/>
    </row>
    <row r="52132" spans="2:2" s="221" customFormat="1" ht="12.75" x14ac:dyDescent="0.2">
      <c r="B52132" s="1168"/>
    </row>
    <row r="52133" spans="2:2" s="221" customFormat="1" ht="12.75" x14ac:dyDescent="0.2">
      <c r="B52133" s="1168"/>
    </row>
    <row r="52134" spans="2:2" s="221" customFormat="1" ht="12.75" x14ac:dyDescent="0.2">
      <c r="B52134" s="1168"/>
    </row>
    <row r="52135" spans="2:2" s="221" customFormat="1" ht="12.75" x14ac:dyDescent="0.2">
      <c r="B52135" s="1168"/>
    </row>
    <row r="52136" spans="2:2" s="221" customFormat="1" ht="12.75" x14ac:dyDescent="0.2">
      <c r="B52136" s="1168"/>
    </row>
    <row r="52137" spans="2:2" s="221" customFormat="1" ht="12.75" x14ac:dyDescent="0.2">
      <c r="B52137" s="1168"/>
    </row>
    <row r="52138" spans="2:2" s="221" customFormat="1" ht="12.75" x14ac:dyDescent="0.2">
      <c r="B52138" s="1168"/>
    </row>
    <row r="52139" spans="2:2" s="221" customFormat="1" ht="12.75" x14ac:dyDescent="0.2">
      <c r="B52139" s="1168"/>
    </row>
    <row r="52140" spans="2:2" s="221" customFormat="1" ht="12.75" x14ac:dyDescent="0.2">
      <c r="B52140" s="1168"/>
    </row>
    <row r="52141" spans="2:2" s="221" customFormat="1" ht="12.75" x14ac:dyDescent="0.2">
      <c r="B52141" s="1168"/>
    </row>
    <row r="52142" spans="2:2" s="221" customFormat="1" ht="12.75" x14ac:dyDescent="0.2">
      <c r="B52142" s="1168"/>
    </row>
    <row r="52143" spans="2:2" s="221" customFormat="1" ht="12.75" x14ac:dyDescent="0.2">
      <c r="B52143" s="1168"/>
    </row>
    <row r="52144" spans="2:2" s="221" customFormat="1" ht="12.75" x14ac:dyDescent="0.2">
      <c r="B52144" s="1168"/>
    </row>
    <row r="52145" spans="2:2" s="221" customFormat="1" ht="12.75" x14ac:dyDescent="0.2">
      <c r="B52145" s="1168"/>
    </row>
    <row r="52146" spans="2:2" s="221" customFormat="1" ht="12.75" x14ac:dyDescent="0.2">
      <c r="B52146" s="1168"/>
    </row>
    <row r="52147" spans="2:2" s="221" customFormat="1" ht="12.75" x14ac:dyDescent="0.2">
      <c r="B52147" s="1168"/>
    </row>
    <row r="52148" spans="2:2" s="221" customFormat="1" ht="12.75" x14ac:dyDescent="0.2">
      <c r="B52148" s="1168"/>
    </row>
    <row r="52149" spans="2:2" s="221" customFormat="1" ht="12.75" x14ac:dyDescent="0.2">
      <c r="B52149" s="1168"/>
    </row>
    <row r="52150" spans="2:2" s="221" customFormat="1" ht="12.75" x14ac:dyDescent="0.2">
      <c r="B52150" s="1168"/>
    </row>
    <row r="52151" spans="2:2" s="221" customFormat="1" ht="12.75" x14ac:dyDescent="0.2">
      <c r="B52151" s="1168"/>
    </row>
    <row r="52152" spans="2:2" s="221" customFormat="1" ht="12.75" x14ac:dyDescent="0.2">
      <c r="B52152" s="1168"/>
    </row>
    <row r="52153" spans="2:2" s="221" customFormat="1" ht="12.75" x14ac:dyDescent="0.2">
      <c r="B52153" s="1168"/>
    </row>
    <row r="52154" spans="2:2" s="221" customFormat="1" ht="12.75" x14ac:dyDescent="0.2">
      <c r="B52154" s="1168"/>
    </row>
    <row r="52155" spans="2:2" s="221" customFormat="1" ht="12.75" x14ac:dyDescent="0.2">
      <c r="B52155" s="1168"/>
    </row>
    <row r="52156" spans="2:2" s="221" customFormat="1" ht="12.75" x14ac:dyDescent="0.2">
      <c r="B52156" s="1168"/>
    </row>
    <row r="52157" spans="2:2" s="221" customFormat="1" ht="12.75" x14ac:dyDescent="0.2">
      <c r="B52157" s="1168"/>
    </row>
    <row r="52158" spans="2:2" s="221" customFormat="1" ht="12.75" x14ac:dyDescent="0.2">
      <c r="B52158" s="1168"/>
    </row>
    <row r="52159" spans="2:2" s="221" customFormat="1" ht="12.75" x14ac:dyDescent="0.2">
      <c r="B52159" s="1168"/>
    </row>
    <row r="52160" spans="2:2" s="221" customFormat="1" ht="12.75" x14ac:dyDescent="0.2">
      <c r="B52160" s="1168"/>
    </row>
    <row r="52161" spans="2:2" s="221" customFormat="1" ht="12.75" x14ac:dyDescent="0.2">
      <c r="B52161" s="1168"/>
    </row>
    <row r="52162" spans="2:2" s="221" customFormat="1" ht="12.75" x14ac:dyDescent="0.2">
      <c r="B52162" s="1168"/>
    </row>
    <row r="52163" spans="2:2" s="221" customFormat="1" ht="12.75" x14ac:dyDescent="0.2">
      <c r="B52163" s="1168"/>
    </row>
    <row r="52164" spans="2:2" s="221" customFormat="1" ht="12.75" x14ac:dyDescent="0.2">
      <c r="B52164" s="1168"/>
    </row>
    <row r="52165" spans="2:2" s="221" customFormat="1" ht="12.75" x14ac:dyDescent="0.2">
      <c r="B52165" s="1168"/>
    </row>
    <row r="52166" spans="2:2" s="221" customFormat="1" ht="12.75" x14ac:dyDescent="0.2">
      <c r="B52166" s="1168"/>
    </row>
    <row r="52167" spans="2:2" s="221" customFormat="1" ht="12.75" x14ac:dyDescent="0.2">
      <c r="B52167" s="1168"/>
    </row>
    <row r="52168" spans="2:2" s="221" customFormat="1" ht="12.75" x14ac:dyDescent="0.2">
      <c r="B52168" s="1168"/>
    </row>
    <row r="52169" spans="2:2" s="221" customFormat="1" ht="12.75" x14ac:dyDescent="0.2">
      <c r="B52169" s="1168"/>
    </row>
    <row r="52170" spans="2:2" s="221" customFormat="1" ht="12.75" x14ac:dyDescent="0.2">
      <c r="B52170" s="1168"/>
    </row>
    <row r="52171" spans="2:2" s="221" customFormat="1" ht="12.75" x14ac:dyDescent="0.2">
      <c r="B52171" s="1168"/>
    </row>
    <row r="52172" spans="2:2" s="221" customFormat="1" ht="12.75" x14ac:dyDescent="0.2">
      <c r="B52172" s="1168"/>
    </row>
    <row r="52173" spans="2:2" s="221" customFormat="1" ht="12.75" x14ac:dyDescent="0.2">
      <c r="B52173" s="1168"/>
    </row>
    <row r="52174" spans="2:2" s="221" customFormat="1" ht="12.75" x14ac:dyDescent="0.2">
      <c r="B52174" s="1168"/>
    </row>
    <row r="52175" spans="2:2" s="221" customFormat="1" ht="12.75" x14ac:dyDescent="0.2">
      <c r="B52175" s="1168"/>
    </row>
    <row r="52176" spans="2:2" s="221" customFormat="1" ht="12.75" x14ac:dyDescent="0.2">
      <c r="B52176" s="1168"/>
    </row>
    <row r="52177" spans="2:2" s="221" customFormat="1" ht="12.75" x14ac:dyDescent="0.2">
      <c r="B52177" s="1168"/>
    </row>
    <row r="52178" spans="2:2" s="221" customFormat="1" ht="12.75" x14ac:dyDescent="0.2">
      <c r="B52178" s="1168"/>
    </row>
    <row r="52179" spans="2:2" s="221" customFormat="1" ht="12.75" x14ac:dyDescent="0.2">
      <c r="B52179" s="1168"/>
    </row>
    <row r="52180" spans="2:2" s="221" customFormat="1" ht="12.75" x14ac:dyDescent="0.2">
      <c r="B52180" s="1168"/>
    </row>
    <row r="52181" spans="2:2" s="221" customFormat="1" ht="12.75" x14ac:dyDescent="0.2">
      <c r="B52181" s="1168"/>
    </row>
    <row r="52182" spans="2:2" s="221" customFormat="1" ht="12.75" x14ac:dyDescent="0.2">
      <c r="B52182" s="1168"/>
    </row>
    <row r="52183" spans="2:2" s="221" customFormat="1" ht="12.75" x14ac:dyDescent="0.2">
      <c r="B52183" s="1168"/>
    </row>
    <row r="52184" spans="2:2" s="221" customFormat="1" ht="12.75" x14ac:dyDescent="0.2">
      <c r="B52184" s="1168"/>
    </row>
    <row r="52185" spans="2:2" s="221" customFormat="1" ht="12.75" x14ac:dyDescent="0.2">
      <c r="B52185" s="1168"/>
    </row>
    <row r="52186" spans="2:2" s="221" customFormat="1" ht="12.75" x14ac:dyDescent="0.2">
      <c r="B52186" s="1168"/>
    </row>
    <row r="52187" spans="2:2" s="221" customFormat="1" ht="12.75" x14ac:dyDescent="0.2">
      <c r="B52187" s="1168"/>
    </row>
    <row r="52188" spans="2:2" s="221" customFormat="1" ht="12.75" x14ac:dyDescent="0.2">
      <c r="B52188" s="1168"/>
    </row>
    <row r="52189" spans="2:2" s="221" customFormat="1" ht="12.75" x14ac:dyDescent="0.2">
      <c r="B52189" s="1168"/>
    </row>
    <row r="52190" spans="2:2" s="221" customFormat="1" ht="12.75" x14ac:dyDescent="0.2">
      <c r="B52190" s="1168"/>
    </row>
    <row r="52191" spans="2:2" s="221" customFormat="1" ht="12.75" x14ac:dyDescent="0.2">
      <c r="B52191" s="1168"/>
    </row>
    <row r="52192" spans="2:2" s="221" customFormat="1" ht="12.75" x14ac:dyDescent="0.2">
      <c r="B52192" s="1168"/>
    </row>
    <row r="52193" spans="2:2" s="221" customFormat="1" ht="12.75" x14ac:dyDescent="0.2">
      <c r="B52193" s="1168"/>
    </row>
    <row r="52194" spans="2:2" s="221" customFormat="1" ht="12.75" x14ac:dyDescent="0.2">
      <c r="B52194" s="1168"/>
    </row>
    <row r="52195" spans="2:2" s="221" customFormat="1" ht="12.75" x14ac:dyDescent="0.2">
      <c r="B52195" s="1168"/>
    </row>
    <row r="52196" spans="2:2" s="221" customFormat="1" ht="12.75" x14ac:dyDescent="0.2">
      <c r="B52196" s="1168"/>
    </row>
    <row r="52197" spans="2:2" s="221" customFormat="1" ht="12.75" x14ac:dyDescent="0.2">
      <c r="B52197" s="1168"/>
    </row>
    <row r="52198" spans="2:2" s="221" customFormat="1" ht="12.75" x14ac:dyDescent="0.2">
      <c r="B52198" s="1168"/>
    </row>
    <row r="52199" spans="2:2" s="221" customFormat="1" ht="12.75" x14ac:dyDescent="0.2">
      <c r="B52199" s="1168"/>
    </row>
    <row r="52200" spans="2:2" s="221" customFormat="1" ht="12.75" x14ac:dyDescent="0.2">
      <c r="B52200" s="1168"/>
    </row>
    <row r="52201" spans="2:2" s="221" customFormat="1" ht="12.75" x14ac:dyDescent="0.2">
      <c r="B52201" s="1168"/>
    </row>
    <row r="52202" spans="2:2" s="221" customFormat="1" ht="12.75" x14ac:dyDescent="0.2">
      <c r="B52202" s="1168"/>
    </row>
    <row r="52203" spans="2:2" s="221" customFormat="1" ht="12.75" x14ac:dyDescent="0.2">
      <c r="B52203" s="1168"/>
    </row>
    <row r="52204" spans="2:2" s="221" customFormat="1" ht="12.75" x14ac:dyDescent="0.2">
      <c r="B52204" s="1168"/>
    </row>
    <row r="52205" spans="2:2" s="221" customFormat="1" ht="12.75" x14ac:dyDescent="0.2">
      <c r="B52205" s="1168"/>
    </row>
    <row r="52206" spans="2:2" s="221" customFormat="1" ht="12.75" x14ac:dyDescent="0.2">
      <c r="B52206" s="1168"/>
    </row>
    <row r="52207" spans="2:2" s="221" customFormat="1" ht="12.75" x14ac:dyDescent="0.2">
      <c r="B52207" s="1168"/>
    </row>
    <row r="52208" spans="2:2" s="221" customFormat="1" ht="12.75" x14ac:dyDescent="0.2">
      <c r="B52208" s="1168"/>
    </row>
    <row r="52209" spans="2:2" s="221" customFormat="1" ht="12.75" x14ac:dyDescent="0.2">
      <c r="B52209" s="1168"/>
    </row>
    <row r="52210" spans="2:2" s="221" customFormat="1" ht="12.75" x14ac:dyDescent="0.2">
      <c r="B52210" s="1168"/>
    </row>
    <row r="52211" spans="2:2" s="221" customFormat="1" ht="12.75" x14ac:dyDescent="0.2">
      <c r="B52211" s="1168"/>
    </row>
    <row r="52212" spans="2:2" s="221" customFormat="1" ht="12.75" x14ac:dyDescent="0.2">
      <c r="B52212" s="1168"/>
    </row>
    <row r="52213" spans="2:2" s="221" customFormat="1" ht="12.75" x14ac:dyDescent="0.2">
      <c r="B52213" s="1168"/>
    </row>
    <row r="52214" spans="2:2" s="221" customFormat="1" ht="12.75" x14ac:dyDescent="0.2">
      <c r="B52214" s="1168"/>
    </row>
    <row r="52215" spans="2:2" s="221" customFormat="1" ht="12.75" x14ac:dyDescent="0.2">
      <c r="B52215" s="1168"/>
    </row>
    <row r="52216" spans="2:2" s="221" customFormat="1" ht="12.75" x14ac:dyDescent="0.2">
      <c r="B52216" s="1168"/>
    </row>
    <row r="52217" spans="2:2" s="221" customFormat="1" ht="12.75" x14ac:dyDescent="0.2">
      <c r="B52217" s="1168"/>
    </row>
    <row r="52218" spans="2:2" s="221" customFormat="1" ht="12.75" x14ac:dyDescent="0.2">
      <c r="B52218" s="1168"/>
    </row>
    <row r="52219" spans="2:2" s="221" customFormat="1" ht="12.75" x14ac:dyDescent="0.2">
      <c r="B52219" s="1168"/>
    </row>
    <row r="52220" spans="2:2" s="221" customFormat="1" ht="12.75" x14ac:dyDescent="0.2">
      <c r="B52220" s="1168"/>
    </row>
    <row r="52221" spans="2:2" s="221" customFormat="1" ht="12.75" x14ac:dyDescent="0.2">
      <c r="B52221" s="1168"/>
    </row>
    <row r="52222" spans="2:2" s="221" customFormat="1" ht="12.75" x14ac:dyDescent="0.2">
      <c r="B52222" s="1168"/>
    </row>
    <row r="52223" spans="2:2" s="221" customFormat="1" ht="12.75" x14ac:dyDescent="0.2">
      <c r="B52223" s="1168"/>
    </row>
    <row r="52224" spans="2:2" s="221" customFormat="1" ht="12.75" x14ac:dyDescent="0.2">
      <c r="B52224" s="1168"/>
    </row>
    <row r="52225" spans="2:2" s="221" customFormat="1" ht="12.75" x14ac:dyDescent="0.2">
      <c r="B52225" s="1168"/>
    </row>
    <row r="52226" spans="2:2" s="221" customFormat="1" ht="12.75" x14ac:dyDescent="0.2">
      <c r="B52226" s="1168"/>
    </row>
    <row r="52227" spans="2:2" s="221" customFormat="1" ht="12.75" x14ac:dyDescent="0.2">
      <c r="B52227" s="1168"/>
    </row>
    <row r="52228" spans="2:2" s="221" customFormat="1" ht="12.75" x14ac:dyDescent="0.2">
      <c r="B52228" s="1168"/>
    </row>
    <row r="52229" spans="2:2" s="221" customFormat="1" ht="12.75" x14ac:dyDescent="0.2">
      <c r="B52229" s="1168"/>
    </row>
    <row r="52230" spans="2:2" s="221" customFormat="1" ht="12.75" x14ac:dyDescent="0.2">
      <c r="B52230" s="1168"/>
    </row>
    <row r="52231" spans="2:2" s="221" customFormat="1" ht="12.75" x14ac:dyDescent="0.2">
      <c r="B52231" s="1168"/>
    </row>
    <row r="52232" spans="2:2" s="221" customFormat="1" ht="12.75" x14ac:dyDescent="0.2">
      <c r="B52232" s="1168"/>
    </row>
    <row r="52233" spans="2:2" s="221" customFormat="1" ht="12.75" x14ac:dyDescent="0.2">
      <c r="B52233" s="1168"/>
    </row>
    <row r="52234" spans="2:2" s="221" customFormat="1" ht="12.75" x14ac:dyDescent="0.2">
      <c r="B52234" s="1168"/>
    </row>
    <row r="52235" spans="2:2" s="221" customFormat="1" ht="12.75" x14ac:dyDescent="0.2">
      <c r="B52235" s="1168"/>
    </row>
    <row r="52236" spans="2:2" s="221" customFormat="1" ht="12.75" x14ac:dyDescent="0.2">
      <c r="B52236" s="1168"/>
    </row>
    <row r="52237" spans="2:2" s="221" customFormat="1" ht="12.75" x14ac:dyDescent="0.2">
      <c r="B52237" s="1168"/>
    </row>
    <row r="52238" spans="2:2" s="221" customFormat="1" ht="12.75" x14ac:dyDescent="0.2">
      <c r="B52238" s="1168"/>
    </row>
    <row r="52239" spans="2:2" s="221" customFormat="1" ht="12.75" x14ac:dyDescent="0.2">
      <c r="B52239" s="1168"/>
    </row>
    <row r="52240" spans="2:2" s="221" customFormat="1" ht="12.75" x14ac:dyDescent="0.2">
      <c r="B52240" s="1168"/>
    </row>
    <row r="52241" spans="2:2" s="221" customFormat="1" ht="12.75" x14ac:dyDescent="0.2">
      <c r="B52241" s="1168"/>
    </row>
    <row r="52242" spans="2:2" s="221" customFormat="1" ht="12.75" x14ac:dyDescent="0.2">
      <c r="B52242" s="1168"/>
    </row>
    <row r="52243" spans="2:2" s="221" customFormat="1" ht="12.75" x14ac:dyDescent="0.2">
      <c r="B52243" s="1168"/>
    </row>
    <row r="52244" spans="2:2" s="221" customFormat="1" ht="12.75" x14ac:dyDescent="0.2">
      <c r="B52244" s="1168"/>
    </row>
    <row r="52245" spans="2:2" s="221" customFormat="1" ht="12.75" x14ac:dyDescent="0.2">
      <c r="B52245" s="1168"/>
    </row>
    <row r="52246" spans="2:2" s="221" customFormat="1" ht="12.75" x14ac:dyDescent="0.2">
      <c r="B52246" s="1168"/>
    </row>
    <row r="52247" spans="2:2" s="221" customFormat="1" ht="12.75" x14ac:dyDescent="0.2">
      <c r="B52247" s="1168"/>
    </row>
    <row r="52248" spans="2:2" s="221" customFormat="1" ht="12.75" x14ac:dyDescent="0.2">
      <c r="B52248" s="1168"/>
    </row>
    <row r="52249" spans="2:2" s="221" customFormat="1" ht="12.75" x14ac:dyDescent="0.2">
      <c r="B52249" s="1168"/>
    </row>
    <row r="52250" spans="2:2" s="221" customFormat="1" ht="12.75" x14ac:dyDescent="0.2">
      <c r="B52250" s="1168"/>
    </row>
    <row r="52251" spans="2:2" s="221" customFormat="1" ht="12.75" x14ac:dyDescent="0.2">
      <c r="B52251" s="1168"/>
    </row>
    <row r="52252" spans="2:2" s="221" customFormat="1" ht="12.75" x14ac:dyDescent="0.2">
      <c r="B52252" s="1168"/>
    </row>
    <row r="52253" spans="2:2" s="221" customFormat="1" ht="12.75" x14ac:dyDescent="0.2">
      <c r="B52253" s="1168"/>
    </row>
    <row r="52254" spans="2:2" s="221" customFormat="1" ht="12.75" x14ac:dyDescent="0.2">
      <c r="B52254" s="1168"/>
    </row>
    <row r="52255" spans="2:2" s="221" customFormat="1" ht="12.75" x14ac:dyDescent="0.2">
      <c r="B52255" s="1168"/>
    </row>
    <row r="52256" spans="2:2" s="221" customFormat="1" ht="12.75" x14ac:dyDescent="0.2">
      <c r="B52256" s="1168"/>
    </row>
    <row r="52257" spans="2:2" s="221" customFormat="1" ht="12.75" x14ac:dyDescent="0.2">
      <c r="B52257" s="1168"/>
    </row>
    <row r="52258" spans="2:2" s="221" customFormat="1" ht="12.75" x14ac:dyDescent="0.2">
      <c r="B52258" s="1168"/>
    </row>
    <row r="52259" spans="2:2" s="221" customFormat="1" ht="12.75" x14ac:dyDescent="0.2">
      <c r="B52259" s="1168"/>
    </row>
    <row r="52260" spans="2:2" s="221" customFormat="1" ht="12.75" x14ac:dyDescent="0.2">
      <c r="B52260" s="1168"/>
    </row>
    <row r="52261" spans="2:2" s="221" customFormat="1" ht="12.75" x14ac:dyDescent="0.2">
      <c r="B52261" s="1168"/>
    </row>
    <row r="52262" spans="2:2" s="221" customFormat="1" ht="12.75" x14ac:dyDescent="0.2">
      <c r="B52262" s="1168"/>
    </row>
    <row r="52263" spans="2:2" s="221" customFormat="1" ht="12.75" x14ac:dyDescent="0.2">
      <c r="B52263" s="1168"/>
    </row>
    <row r="52264" spans="2:2" s="221" customFormat="1" ht="12.75" x14ac:dyDescent="0.2">
      <c r="B52264" s="1168"/>
    </row>
    <row r="52265" spans="2:2" s="221" customFormat="1" ht="12.75" x14ac:dyDescent="0.2">
      <c r="B52265" s="1168"/>
    </row>
    <row r="52266" spans="2:2" s="221" customFormat="1" ht="12.75" x14ac:dyDescent="0.2">
      <c r="B52266" s="1168"/>
    </row>
    <row r="52267" spans="2:2" s="221" customFormat="1" ht="12.75" x14ac:dyDescent="0.2">
      <c r="B52267" s="1168"/>
    </row>
    <row r="52268" spans="2:2" s="221" customFormat="1" ht="12.75" x14ac:dyDescent="0.2">
      <c r="B52268" s="1168"/>
    </row>
    <row r="52269" spans="2:2" s="221" customFormat="1" ht="12.75" x14ac:dyDescent="0.2">
      <c r="B52269" s="1168"/>
    </row>
    <row r="52270" spans="2:2" s="221" customFormat="1" ht="12.75" x14ac:dyDescent="0.2">
      <c r="B52270" s="1168"/>
    </row>
    <row r="52271" spans="2:2" s="221" customFormat="1" ht="12.75" x14ac:dyDescent="0.2">
      <c r="B52271" s="1168"/>
    </row>
    <row r="52272" spans="2:2" s="221" customFormat="1" ht="12.75" x14ac:dyDescent="0.2">
      <c r="B52272" s="1168"/>
    </row>
    <row r="52273" spans="2:2" s="221" customFormat="1" ht="12.75" x14ac:dyDescent="0.2">
      <c r="B52273" s="1168"/>
    </row>
    <row r="52274" spans="2:2" s="221" customFormat="1" ht="12.75" x14ac:dyDescent="0.2">
      <c r="B52274" s="1168"/>
    </row>
    <row r="52275" spans="2:2" s="221" customFormat="1" ht="12.75" x14ac:dyDescent="0.2">
      <c r="B52275" s="1168"/>
    </row>
    <row r="52276" spans="2:2" s="221" customFormat="1" ht="12.75" x14ac:dyDescent="0.2">
      <c r="B52276" s="1168"/>
    </row>
    <row r="52277" spans="2:2" s="221" customFormat="1" ht="12.75" x14ac:dyDescent="0.2">
      <c r="B52277" s="1168"/>
    </row>
    <row r="52278" spans="2:2" s="221" customFormat="1" ht="12.75" x14ac:dyDescent="0.2">
      <c r="B52278" s="1168"/>
    </row>
    <row r="52279" spans="2:2" s="221" customFormat="1" ht="12.75" x14ac:dyDescent="0.2">
      <c r="B52279" s="1168"/>
    </row>
    <row r="52280" spans="2:2" s="221" customFormat="1" ht="12.75" x14ac:dyDescent="0.2">
      <c r="B52280" s="1168"/>
    </row>
    <row r="52281" spans="2:2" s="221" customFormat="1" ht="12.75" x14ac:dyDescent="0.2">
      <c r="B52281" s="1168"/>
    </row>
    <row r="52282" spans="2:2" s="221" customFormat="1" ht="12.75" x14ac:dyDescent="0.2">
      <c r="B52282" s="1168"/>
    </row>
    <row r="52283" spans="2:2" s="221" customFormat="1" ht="12.75" x14ac:dyDescent="0.2">
      <c r="B52283" s="1168"/>
    </row>
    <row r="52284" spans="2:2" s="221" customFormat="1" ht="12.75" x14ac:dyDescent="0.2">
      <c r="B52284" s="1168"/>
    </row>
    <row r="52285" spans="2:2" s="221" customFormat="1" ht="12.75" x14ac:dyDescent="0.2">
      <c r="B52285" s="1168"/>
    </row>
    <row r="52286" spans="2:2" s="221" customFormat="1" ht="12.75" x14ac:dyDescent="0.2">
      <c r="B52286" s="1168"/>
    </row>
    <row r="52287" spans="2:2" s="221" customFormat="1" ht="12.75" x14ac:dyDescent="0.2">
      <c r="B52287" s="1168"/>
    </row>
    <row r="52288" spans="2:2" s="221" customFormat="1" ht="12.75" x14ac:dyDescent="0.2">
      <c r="B52288" s="1168"/>
    </row>
    <row r="52289" spans="2:2" s="221" customFormat="1" ht="12.75" x14ac:dyDescent="0.2">
      <c r="B52289" s="1168"/>
    </row>
    <row r="52290" spans="2:2" s="221" customFormat="1" ht="12.75" x14ac:dyDescent="0.2">
      <c r="B52290" s="1168"/>
    </row>
    <row r="52291" spans="2:2" s="221" customFormat="1" ht="12.75" x14ac:dyDescent="0.2">
      <c r="B52291" s="1168"/>
    </row>
    <row r="52292" spans="2:2" s="221" customFormat="1" ht="12.75" x14ac:dyDescent="0.2">
      <c r="B52292" s="1168"/>
    </row>
    <row r="52293" spans="2:2" s="221" customFormat="1" ht="12.75" x14ac:dyDescent="0.2">
      <c r="B52293" s="1168"/>
    </row>
    <row r="52294" spans="2:2" s="221" customFormat="1" ht="12.75" x14ac:dyDescent="0.2">
      <c r="B52294" s="1168"/>
    </row>
    <row r="52295" spans="2:2" s="221" customFormat="1" ht="12.75" x14ac:dyDescent="0.2">
      <c r="B52295" s="1168"/>
    </row>
    <row r="52296" spans="2:2" s="221" customFormat="1" ht="12.75" x14ac:dyDescent="0.2">
      <c r="B52296" s="1168"/>
    </row>
    <row r="52297" spans="2:2" s="221" customFormat="1" ht="12.75" x14ac:dyDescent="0.2">
      <c r="B52297" s="1168"/>
    </row>
    <row r="52298" spans="2:2" s="221" customFormat="1" ht="12.75" x14ac:dyDescent="0.2">
      <c r="B52298" s="1168"/>
    </row>
    <row r="52299" spans="2:2" s="221" customFormat="1" ht="12.75" x14ac:dyDescent="0.2">
      <c r="B52299" s="1168"/>
    </row>
    <row r="52300" spans="2:2" s="221" customFormat="1" ht="12.75" x14ac:dyDescent="0.2">
      <c r="B52300" s="1168"/>
    </row>
    <row r="52301" spans="2:2" s="221" customFormat="1" ht="12.75" x14ac:dyDescent="0.2">
      <c r="B52301" s="1168"/>
    </row>
    <row r="52302" spans="2:2" s="221" customFormat="1" ht="12.75" x14ac:dyDescent="0.2">
      <c r="B52302" s="1168"/>
    </row>
    <row r="52303" spans="2:2" s="221" customFormat="1" ht="12.75" x14ac:dyDescent="0.2">
      <c r="B52303" s="1168"/>
    </row>
    <row r="52304" spans="2:2" s="221" customFormat="1" ht="12.75" x14ac:dyDescent="0.2">
      <c r="B52304" s="1168"/>
    </row>
    <row r="52305" spans="2:2" s="221" customFormat="1" ht="12.75" x14ac:dyDescent="0.2">
      <c r="B52305" s="1168"/>
    </row>
    <row r="52306" spans="2:2" s="221" customFormat="1" ht="12.75" x14ac:dyDescent="0.2">
      <c r="B52306" s="1168"/>
    </row>
    <row r="52307" spans="2:2" s="221" customFormat="1" ht="12.75" x14ac:dyDescent="0.2">
      <c r="B52307" s="1168"/>
    </row>
    <row r="52308" spans="2:2" s="221" customFormat="1" ht="12.75" x14ac:dyDescent="0.2">
      <c r="B52308" s="1168"/>
    </row>
    <row r="52309" spans="2:2" s="221" customFormat="1" ht="12.75" x14ac:dyDescent="0.2">
      <c r="B52309" s="1168"/>
    </row>
    <row r="52310" spans="2:2" s="221" customFormat="1" ht="12.75" x14ac:dyDescent="0.2">
      <c r="B52310" s="1168"/>
    </row>
    <row r="52311" spans="2:2" s="221" customFormat="1" ht="12.75" x14ac:dyDescent="0.2">
      <c r="B52311" s="1168"/>
    </row>
    <row r="52312" spans="2:2" s="221" customFormat="1" ht="12.75" x14ac:dyDescent="0.2">
      <c r="B52312" s="1168"/>
    </row>
    <row r="52313" spans="2:2" s="221" customFormat="1" ht="12.75" x14ac:dyDescent="0.2">
      <c r="B52313" s="1168"/>
    </row>
    <row r="52314" spans="2:2" s="221" customFormat="1" ht="12.75" x14ac:dyDescent="0.2">
      <c r="B52314" s="1168"/>
    </row>
    <row r="52315" spans="2:2" s="221" customFormat="1" ht="12.75" x14ac:dyDescent="0.2">
      <c r="B52315" s="1168"/>
    </row>
    <row r="52316" spans="2:2" s="221" customFormat="1" ht="12.75" x14ac:dyDescent="0.2">
      <c r="B52316" s="1168"/>
    </row>
    <row r="52317" spans="2:2" s="221" customFormat="1" ht="12.75" x14ac:dyDescent="0.2">
      <c r="B52317" s="1168"/>
    </row>
    <row r="52318" spans="2:2" s="221" customFormat="1" ht="12.75" x14ac:dyDescent="0.2">
      <c r="B52318" s="1168"/>
    </row>
    <row r="52319" spans="2:2" s="221" customFormat="1" ht="12.75" x14ac:dyDescent="0.2">
      <c r="B52319" s="1168"/>
    </row>
    <row r="52320" spans="2:2" s="221" customFormat="1" ht="12.75" x14ac:dyDescent="0.2">
      <c r="B52320" s="1168"/>
    </row>
    <row r="52321" spans="2:2" s="221" customFormat="1" ht="12.75" x14ac:dyDescent="0.2">
      <c r="B52321" s="1168"/>
    </row>
    <row r="52322" spans="2:2" s="221" customFormat="1" ht="12.75" x14ac:dyDescent="0.2">
      <c r="B52322" s="1168"/>
    </row>
    <row r="52323" spans="2:2" s="221" customFormat="1" ht="12.75" x14ac:dyDescent="0.2">
      <c r="B52323" s="1168"/>
    </row>
    <row r="52324" spans="2:2" s="221" customFormat="1" ht="12.75" x14ac:dyDescent="0.2">
      <c r="B52324" s="1168"/>
    </row>
    <row r="52325" spans="2:2" s="221" customFormat="1" ht="12.75" x14ac:dyDescent="0.2">
      <c r="B52325" s="1168"/>
    </row>
    <row r="52326" spans="2:2" s="221" customFormat="1" ht="12.75" x14ac:dyDescent="0.2">
      <c r="B52326" s="1168"/>
    </row>
    <row r="52327" spans="2:2" s="221" customFormat="1" ht="12.75" x14ac:dyDescent="0.2">
      <c r="B52327" s="1168"/>
    </row>
    <row r="52328" spans="2:2" s="221" customFormat="1" ht="12.75" x14ac:dyDescent="0.2">
      <c r="B52328" s="1168"/>
    </row>
    <row r="52329" spans="2:2" s="221" customFormat="1" ht="12.75" x14ac:dyDescent="0.2">
      <c r="B52329" s="1168"/>
    </row>
    <row r="52330" spans="2:2" s="221" customFormat="1" ht="12.75" x14ac:dyDescent="0.2">
      <c r="B52330" s="1168"/>
    </row>
    <row r="52331" spans="2:2" s="221" customFormat="1" ht="12.75" x14ac:dyDescent="0.2">
      <c r="B52331" s="1168"/>
    </row>
    <row r="52332" spans="2:2" s="221" customFormat="1" ht="12.75" x14ac:dyDescent="0.2">
      <c r="B52332" s="1168"/>
    </row>
    <row r="52333" spans="2:2" s="221" customFormat="1" ht="12.75" x14ac:dyDescent="0.2">
      <c r="B52333" s="1168"/>
    </row>
    <row r="52334" spans="2:2" s="221" customFormat="1" ht="12.75" x14ac:dyDescent="0.2">
      <c r="B52334" s="1168"/>
    </row>
    <row r="52335" spans="2:2" s="221" customFormat="1" ht="12.75" x14ac:dyDescent="0.2">
      <c r="B52335" s="1168"/>
    </row>
    <row r="52336" spans="2:2" s="221" customFormat="1" ht="12.75" x14ac:dyDescent="0.2">
      <c r="B52336" s="1168"/>
    </row>
    <row r="52337" spans="2:2" s="221" customFormat="1" ht="12.75" x14ac:dyDescent="0.2">
      <c r="B52337" s="1168"/>
    </row>
    <row r="52338" spans="2:2" s="221" customFormat="1" ht="12.75" x14ac:dyDescent="0.2">
      <c r="B52338" s="1168"/>
    </row>
    <row r="52339" spans="2:2" s="221" customFormat="1" ht="12.75" x14ac:dyDescent="0.2">
      <c r="B52339" s="1168"/>
    </row>
    <row r="52340" spans="2:2" s="221" customFormat="1" ht="12.75" x14ac:dyDescent="0.2">
      <c r="B52340" s="1168"/>
    </row>
    <row r="52341" spans="2:2" s="221" customFormat="1" ht="12.75" x14ac:dyDescent="0.2">
      <c r="B52341" s="1168"/>
    </row>
    <row r="52342" spans="2:2" s="221" customFormat="1" ht="12.75" x14ac:dyDescent="0.2">
      <c r="B52342" s="1168"/>
    </row>
    <row r="52343" spans="2:2" s="221" customFormat="1" ht="12.75" x14ac:dyDescent="0.2">
      <c r="B52343" s="1168"/>
    </row>
    <row r="52344" spans="2:2" s="221" customFormat="1" ht="12.75" x14ac:dyDescent="0.2">
      <c r="B52344" s="1168"/>
    </row>
    <row r="52345" spans="2:2" s="221" customFormat="1" ht="12.75" x14ac:dyDescent="0.2">
      <c r="B52345" s="1168"/>
    </row>
    <row r="52346" spans="2:2" s="221" customFormat="1" ht="12.75" x14ac:dyDescent="0.2">
      <c r="B52346" s="1168"/>
    </row>
    <row r="52347" spans="2:2" s="221" customFormat="1" ht="12.75" x14ac:dyDescent="0.2">
      <c r="B52347" s="1168"/>
    </row>
    <row r="52348" spans="2:2" s="221" customFormat="1" ht="12.75" x14ac:dyDescent="0.2">
      <c r="B52348" s="1168"/>
    </row>
    <row r="52349" spans="2:2" s="221" customFormat="1" ht="12.75" x14ac:dyDescent="0.2">
      <c r="B52349" s="1168"/>
    </row>
    <row r="52350" spans="2:2" s="221" customFormat="1" ht="12.75" x14ac:dyDescent="0.2">
      <c r="B52350" s="1168"/>
    </row>
    <row r="52351" spans="2:2" s="221" customFormat="1" ht="12.75" x14ac:dyDescent="0.2">
      <c r="B52351" s="1168"/>
    </row>
    <row r="52352" spans="2:2" s="221" customFormat="1" ht="12.75" x14ac:dyDescent="0.2">
      <c r="B52352" s="1168"/>
    </row>
    <row r="52353" spans="2:2" s="221" customFormat="1" ht="12.75" x14ac:dyDescent="0.2">
      <c r="B52353" s="1168"/>
    </row>
    <row r="52354" spans="2:2" s="221" customFormat="1" ht="12.75" x14ac:dyDescent="0.2">
      <c r="B52354" s="1168"/>
    </row>
    <row r="52355" spans="2:2" s="221" customFormat="1" ht="12.75" x14ac:dyDescent="0.2">
      <c r="B52355" s="1168"/>
    </row>
    <row r="52356" spans="2:2" s="221" customFormat="1" ht="12.75" x14ac:dyDescent="0.2">
      <c r="B52356" s="1168"/>
    </row>
    <row r="52357" spans="2:2" s="221" customFormat="1" ht="12.75" x14ac:dyDescent="0.2">
      <c r="B52357" s="1168"/>
    </row>
    <row r="52358" spans="2:2" s="221" customFormat="1" ht="12.75" x14ac:dyDescent="0.2">
      <c r="B52358" s="1168"/>
    </row>
    <row r="52359" spans="2:2" s="221" customFormat="1" ht="12.75" x14ac:dyDescent="0.2">
      <c r="B52359" s="1168"/>
    </row>
    <row r="52360" spans="2:2" s="221" customFormat="1" ht="12.75" x14ac:dyDescent="0.2">
      <c r="B52360" s="1168"/>
    </row>
    <row r="52361" spans="2:2" s="221" customFormat="1" ht="12.75" x14ac:dyDescent="0.2">
      <c r="B52361" s="1168"/>
    </row>
    <row r="52362" spans="2:2" s="221" customFormat="1" ht="12.75" x14ac:dyDescent="0.2">
      <c r="B52362" s="1168"/>
    </row>
    <row r="52363" spans="2:2" s="221" customFormat="1" ht="12.75" x14ac:dyDescent="0.2">
      <c r="B52363" s="1168"/>
    </row>
    <row r="52364" spans="2:2" s="221" customFormat="1" ht="12.75" x14ac:dyDescent="0.2">
      <c r="B52364" s="1168"/>
    </row>
    <row r="52365" spans="2:2" s="221" customFormat="1" ht="12.75" x14ac:dyDescent="0.2">
      <c r="B52365" s="1168"/>
    </row>
    <row r="52366" spans="2:2" s="221" customFormat="1" ht="12.75" x14ac:dyDescent="0.2">
      <c r="B52366" s="1168"/>
    </row>
    <row r="52367" spans="2:2" s="221" customFormat="1" ht="12.75" x14ac:dyDescent="0.2">
      <c r="B52367" s="1168"/>
    </row>
    <row r="52368" spans="2:2" s="221" customFormat="1" ht="12.75" x14ac:dyDescent="0.2">
      <c r="B52368" s="1168"/>
    </row>
    <row r="52369" spans="2:2" s="221" customFormat="1" ht="12.75" x14ac:dyDescent="0.2">
      <c r="B52369" s="1168"/>
    </row>
    <row r="52370" spans="2:2" s="221" customFormat="1" ht="12.75" x14ac:dyDescent="0.2">
      <c r="B52370" s="1168"/>
    </row>
    <row r="52371" spans="2:2" s="221" customFormat="1" ht="12.75" x14ac:dyDescent="0.2">
      <c r="B52371" s="1168"/>
    </row>
    <row r="52372" spans="2:2" s="221" customFormat="1" ht="12.75" x14ac:dyDescent="0.2">
      <c r="B52372" s="1168"/>
    </row>
    <row r="52373" spans="2:2" s="221" customFormat="1" ht="12.75" x14ac:dyDescent="0.2">
      <c r="B52373" s="1168"/>
    </row>
    <row r="52374" spans="2:2" s="221" customFormat="1" ht="12.75" x14ac:dyDescent="0.2">
      <c r="B52374" s="1168"/>
    </row>
    <row r="52375" spans="2:2" s="221" customFormat="1" ht="12.75" x14ac:dyDescent="0.2">
      <c r="B52375" s="1168"/>
    </row>
    <row r="52376" spans="2:2" s="221" customFormat="1" ht="12.75" x14ac:dyDescent="0.2">
      <c r="B52376" s="1168"/>
    </row>
    <row r="52377" spans="2:2" s="221" customFormat="1" ht="12.75" x14ac:dyDescent="0.2">
      <c r="B52377" s="1168"/>
    </row>
    <row r="52378" spans="2:2" s="221" customFormat="1" ht="12.75" x14ac:dyDescent="0.2">
      <c r="B52378" s="1168"/>
    </row>
    <row r="52379" spans="2:2" s="221" customFormat="1" ht="12.75" x14ac:dyDescent="0.2">
      <c r="B52379" s="1168"/>
    </row>
    <row r="52380" spans="2:2" s="221" customFormat="1" ht="12.75" x14ac:dyDescent="0.2">
      <c r="B52380" s="1168"/>
    </row>
    <row r="52381" spans="2:2" s="221" customFormat="1" ht="12.75" x14ac:dyDescent="0.2">
      <c r="B52381" s="1168"/>
    </row>
    <row r="52382" spans="2:2" s="221" customFormat="1" ht="12.75" x14ac:dyDescent="0.2">
      <c r="B52382" s="1168"/>
    </row>
    <row r="52383" spans="2:2" s="221" customFormat="1" ht="12.75" x14ac:dyDescent="0.2">
      <c r="B52383" s="1168"/>
    </row>
    <row r="52384" spans="2:2" s="221" customFormat="1" ht="12.75" x14ac:dyDescent="0.2">
      <c r="B52384" s="1168"/>
    </row>
    <row r="52385" spans="2:2" s="221" customFormat="1" ht="12.75" x14ac:dyDescent="0.2">
      <c r="B52385" s="1168"/>
    </row>
    <row r="52386" spans="2:2" s="221" customFormat="1" ht="12.75" x14ac:dyDescent="0.2">
      <c r="B52386" s="1168"/>
    </row>
    <row r="52387" spans="2:2" s="221" customFormat="1" ht="12.75" x14ac:dyDescent="0.2">
      <c r="B52387" s="1168"/>
    </row>
    <row r="52388" spans="2:2" s="221" customFormat="1" ht="12.75" x14ac:dyDescent="0.2">
      <c r="B52388" s="1168"/>
    </row>
    <row r="52389" spans="2:2" s="221" customFormat="1" ht="12.75" x14ac:dyDescent="0.2">
      <c r="B52389" s="1168"/>
    </row>
    <row r="52390" spans="2:2" s="221" customFormat="1" ht="12.75" x14ac:dyDescent="0.2">
      <c r="B52390" s="1168"/>
    </row>
    <row r="52391" spans="2:2" s="221" customFormat="1" ht="12.75" x14ac:dyDescent="0.2">
      <c r="B52391" s="1168"/>
    </row>
    <row r="52392" spans="2:2" s="221" customFormat="1" ht="12.75" x14ac:dyDescent="0.2">
      <c r="B52392" s="1168"/>
    </row>
    <row r="52393" spans="2:2" s="221" customFormat="1" ht="12.75" x14ac:dyDescent="0.2">
      <c r="B52393" s="1168"/>
    </row>
    <row r="52394" spans="2:2" s="221" customFormat="1" ht="12.75" x14ac:dyDescent="0.2">
      <c r="B52394" s="1168"/>
    </row>
    <row r="52395" spans="2:2" s="221" customFormat="1" ht="12.75" x14ac:dyDescent="0.2">
      <c r="B52395" s="1168"/>
    </row>
    <row r="52396" spans="2:2" s="221" customFormat="1" ht="12.75" x14ac:dyDescent="0.2">
      <c r="B52396" s="1168"/>
    </row>
    <row r="52397" spans="2:2" s="221" customFormat="1" ht="12.75" x14ac:dyDescent="0.2">
      <c r="B52397" s="1168"/>
    </row>
    <row r="52398" spans="2:2" s="221" customFormat="1" ht="12.75" x14ac:dyDescent="0.2">
      <c r="B52398" s="1168"/>
    </row>
    <row r="52399" spans="2:2" s="221" customFormat="1" ht="12.75" x14ac:dyDescent="0.2">
      <c r="B52399" s="1168"/>
    </row>
    <row r="52400" spans="2:2" s="221" customFormat="1" ht="12.75" x14ac:dyDescent="0.2">
      <c r="B52400" s="1168"/>
    </row>
    <row r="52401" spans="2:2" s="221" customFormat="1" ht="12.75" x14ac:dyDescent="0.2">
      <c r="B52401" s="1168"/>
    </row>
    <row r="52402" spans="2:2" s="221" customFormat="1" ht="12.75" x14ac:dyDescent="0.2">
      <c r="B52402" s="1168"/>
    </row>
    <row r="52403" spans="2:2" s="221" customFormat="1" ht="12.75" x14ac:dyDescent="0.2">
      <c r="B52403" s="1168"/>
    </row>
    <row r="52404" spans="2:2" s="221" customFormat="1" ht="12.75" x14ac:dyDescent="0.2">
      <c r="B52404" s="1168"/>
    </row>
    <row r="52405" spans="2:2" s="221" customFormat="1" ht="12.75" x14ac:dyDescent="0.2">
      <c r="B52405" s="1168"/>
    </row>
    <row r="52406" spans="2:2" s="221" customFormat="1" ht="12.75" x14ac:dyDescent="0.2">
      <c r="B52406" s="1168"/>
    </row>
    <row r="52407" spans="2:2" s="221" customFormat="1" ht="12.75" x14ac:dyDescent="0.2">
      <c r="B52407" s="1168"/>
    </row>
    <row r="52408" spans="2:2" s="221" customFormat="1" ht="12.75" x14ac:dyDescent="0.2">
      <c r="B52408" s="1168"/>
    </row>
    <row r="52409" spans="2:2" s="221" customFormat="1" ht="12.75" x14ac:dyDescent="0.2">
      <c r="B52409" s="1168"/>
    </row>
    <row r="52410" spans="2:2" s="221" customFormat="1" ht="12.75" x14ac:dyDescent="0.2">
      <c r="B52410" s="1168"/>
    </row>
    <row r="52411" spans="2:2" s="221" customFormat="1" ht="12.75" x14ac:dyDescent="0.2">
      <c r="B52411" s="1168"/>
    </row>
    <row r="52412" spans="2:2" s="221" customFormat="1" ht="12.75" x14ac:dyDescent="0.2">
      <c r="B52412" s="1168"/>
    </row>
    <row r="52413" spans="2:2" s="221" customFormat="1" ht="12.75" x14ac:dyDescent="0.2">
      <c r="B52413" s="1168"/>
    </row>
    <row r="52414" spans="2:2" s="221" customFormat="1" ht="12.75" x14ac:dyDescent="0.2">
      <c r="B52414" s="1168"/>
    </row>
    <row r="52415" spans="2:2" s="221" customFormat="1" ht="12.75" x14ac:dyDescent="0.2">
      <c r="B52415" s="1168"/>
    </row>
    <row r="52416" spans="2:2" s="221" customFormat="1" ht="12.75" x14ac:dyDescent="0.2">
      <c r="B52416" s="1168"/>
    </row>
    <row r="52417" spans="2:2" s="221" customFormat="1" ht="12.75" x14ac:dyDescent="0.2">
      <c r="B52417" s="1168"/>
    </row>
    <row r="52418" spans="2:2" s="221" customFormat="1" ht="12.75" x14ac:dyDescent="0.2">
      <c r="B52418" s="1168"/>
    </row>
    <row r="52419" spans="2:2" s="221" customFormat="1" ht="12.75" x14ac:dyDescent="0.2">
      <c r="B52419" s="1168"/>
    </row>
    <row r="52420" spans="2:2" s="221" customFormat="1" ht="12.75" x14ac:dyDescent="0.2">
      <c r="B52420" s="1168"/>
    </row>
    <row r="52421" spans="2:2" s="221" customFormat="1" ht="12.75" x14ac:dyDescent="0.2">
      <c r="B52421" s="1168"/>
    </row>
    <row r="52422" spans="2:2" s="221" customFormat="1" ht="12.75" x14ac:dyDescent="0.2">
      <c r="B52422" s="1168"/>
    </row>
    <row r="52423" spans="2:2" s="221" customFormat="1" ht="12.75" x14ac:dyDescent="0.2">
      <c r="B52423" s="1168"/>
    </row>
    <row r="52424" spans="2:2" s="221" customFormat="1" ht="12.75" x14ac:dyDescent="0.2">
      <c r="B52424" s="1168"/>
    </row>
    <row r="52425" spans="2:2" s="221" customFormat="1" ht="12.75" x14ac:dyDescent="0.2">
      <c r="B52425" s="1168"/>
    </row>
    <row r="52426" spans="2:2" s="221" customFormat="1" ht="12.75" x14ac:dyDescent="0.2">
      <c r="B52426" s="1168"/>
    </row>
    <row r="52427" spans="2:2" s="221" customFormat="1" ht="12.75" x14ac:dyDescent="0.2">
      <c r="B52427" s="1168"/>
    </row>
    <row r="52428" spans="2:2" s="221" customFormat="1" ht="12.75" x14ac:dyDescent="0.2">
      <c r="B52428" s="1168"/>
    </row>
    <row r="52429" spans="2:2" s="221" customFormat="1" ht="12.75" x14ac:dyDescent="0.2">
      <c r="B52429" s="1168"/>
    </row>
    <row r="52430" spans="2:2" s="221" customFormat="1" ht="12.75" x14ac:dyDescent="0.2">
      <c r="B52430" s="1168"/>
    </row>
    <row r="52431" spans="2:2" s="221" customFormat="1" ht="12.75" x14ac:dyDescent="0.2">
      <c r="B52431" s="1168"/>
    </row>
    <row r="52432" spans="2:2" s="221" customFormat="1" ht="12.75" x14ac:dyDescent="0.2">
      <c r="B52432" s="1168"/>
    </row>
    <row r="52433" spans="2:2" s="221" customFormat="1" ht="12.75" x14ac:dyDescent="0.2">
      <c r="B52433" s="1168"/>
    </row>
    <row r="52434" spans="2:2" s="221" customFormat="1" ht="12.75" x14ac:dyDescent="0.2">
      <c r="B52434" s="1168"/>
    </row>
    <row r="52435" spans="2:2" s="221" customFormat="1" ht="12.75" x14ac:dyDescent="0.2">
      <c r="B52435" s="1168"/>
    </row>
    <row r="52436" spans="2:2" s="221" customFormat="1" ht="12.75" x14ac:dyDescent="0.2">
      <c r="B52436" s="1168"/>
    </row>
    <row r="52437" spans="2:2" s="221" customFormat="1" ht="12.75" x14ac:dyDescent="0.2">
      <c r="B52437" s="1168"/>
    </row>
    <row r="52438" spans="2:2" s="221" customFormat="1" ht="12.75" x14ac:dyDescent="0.2">
      <c r="B52438" s="1168"/>
    </row>
    <row r="52439" spans="2:2" s="221" customFormat="1" ht="12.75" x14ac:dyDescent="0.2">
      <c r="B52439" s="1168"/>
    </row>
    <row r="52440" spans="2:2" s="221" customFormat="1" ht="12.75" x14ac:dyDescent="0.2">
      <c r="B52440" s="1168"/>
    </row>
    <row r="52441" spans="2:2" s="221" customFormat="1" ht="12.75" x14ac:dyDescent="0.2">
      <c r="B52441" s="1168"/>
    </row>
    <row r="52442" spans="2:2" s="221" customFormat="1" ht="12.75" x14ac:dyDescent="0.2">
      <c r="B52442" s="1168"/>
    </row>
    <row r="52443" spans="2:2" s="221" customFormat="1" ht="12.75" x14ac:dyDescent="0.2">
      <c r="B52443" s="1168"/>
    </row>
    <row r="52444" spans="2:2" s="221" customFormat="1" ht="12.75" x14ac:dyDescent="0.2">
      <c r="B52444" s="1168"/>
    </row>
    <row r="52445" spans="2:2" s="221" customFormat="1" ht="12.75" x14ac:dyDescent="0.2">
      <c r="B52445" s="1168"/>
    </row>
    <row r="52446" spans="2:2" s="221" customFormat="1" ht="12.75" x14ac:dyDescent="0.2">
      <c r="B52446" s="1168"/>
    </row>
    <row r="52447" spans="2:2" s="221" customFormat="1" ht="12.75" x14ac:dyDescent="0.2">
      <c r="B52447" s="1168"/>
    </row>
    <row r="52448" spans="2:2" s="221" customFormat="1" ht="12.75" x14ac:dyDescent="0.2">
      <c r="B52448" s="1168"/>
    </row>
    <row r="52449" spans="2:2" s="221" customFormat="1" ht="12.75" x14ac:dyDescent="0.2">
      <c r="B52449" s="1168"/>
    </row>
    <row r="52450" spans="2:2" s="221" customFormat="1" ht="12.75" x14ac:dyDescent="0.2">
      <c r="B52450" s="1168"/>
    </row>
    <row r="52451" spans="2:2" s="221" customFormat="1" ht="12.75" x14ac:dyDescent="0.2">
      <c r="B52451" s="1168"/>
    </row>
    <row r="52452" spans="2:2" s="221" customFormat="1" ht="12.75" x14ac:dyDescent="0.2">
      <c r="B52452" s="1168"/>
    </row>
    <row r="52453" spans="2:2" s="221" customFormat="1" ht="12.75" x14ac:dyDescent="0.2">
      <c r="B52453" s="1168"/>
    </row>
    <row r="52454" spans="2:2" s="221" customFormat="1" ht="12.75" x14ac:dyDescent="0.2">
      <c r="B52454" s="1168"/>
    </row>
    <row r="52455" spans="2:2" s="221" customFormat="1" ht="12.75" x14ac:dyDescent="0.2">
      <c r="B52455" s="1168"/>
    </row>
    <row r="52456" spans="2:2" s="221" customFormat="1" ht="12.75" x14ac:dyDescent="0.2">
      <c r="B52456" s="1168"/>
    </row>
    <row r="52457" spans="2:2" s="221" customFormat="1" ht="12.75" x14ac:dyDescent="0.2">
      <c r="B52457" s="1168"/>
    </row>
    <row r="52458" spans="2:2" s="221" customFormat="1" ht="12.75" x14ac:dyDescent="0.2">
      <c r="B52458" s="1168"/>
    </row>
    <row r="52459" spans="2:2" s="221" customFormat="1" ht="12.75" x14ac:dyDescent="0.2">
      <c r="B52459" s="1168"/>
    </row>
    <row r="52460" spans="2:2" s="221" customFormat="1" ht="12.75" x14ac:dyDescent="0.2">
      <c r="B52460" s="1168"/>
    </row>
    <row r="52461" spans="2:2" s="221" customFormat="1" ht="12.75" x14ac:dyDescent="0.2">
      <c r="B52461" s="1168"/>
    </row>
    <row r="52462" spans="2:2" s="221" customFormat="1" ht="12.75" x14ac:dyDescent="0.2">
      <c r="B52462" s="1168"/>
    </row>
    <row r="52463" spans="2:2" s="221" customFormat="1" ht="12.75" x14ac:dyDescent="0.2">
      <c r="B52463" s="1168"/>
    </row>
    <row r="52464" spans="2:2" s="221" customFormat="1" ht="12.75" x14ac:dyDescent="0.2">
      <c r="B52464" s="1168"/>
    </row>
    <row r="52465" spans="2:2" s="221" customFormat="1" ht="12.75" x14ac:dyDescent="0.2">
      <c r="B52465" s="1168"/>
    </row>
    <row r="52466" spans="2:2" s="221" customFormat="1" ht="12.75" x14ac:dyDescent="0.2">
      <c r="B52466" s="1168"/>
    </row>
    <row r="52467" spans="2:2" s="221" customFormat="1" ht="12.75" x14ac:dyDescent="0.2">
      <c r="B52467" s="1168"/>
    </row>
    <row r="52468" spans="2:2" s="221" customFormat="1" ht="12.75" x14ac:dyDescent="0.2">
      <c r="B52468" s="1168"/>
    </row>
    <row r="52469" spans="2:2" s="221" customFormat="1" ht="12.75" x14ac:dyDescent="0.2">
      <c r="B52469" s="1168"/>
    </row>
    <row r="52470" spans="2:2" s="221" customFormat="1" ht="12.75" x14ac:dyDescent="0.2">
      <c r="B52470" s="1168"/>
    </row>
    <row r="52471" spans="2:2" s="221" customFormat="1" ht="12.75" x14ac:dyDescent="0.2">
      <c r="B52471" s="1168"/>
    </row>
    <row r="52472" spans="2:2" s="221" customFormat="1" ht="12.75" x14ac:dyDescent="0.2">
      <c r="B52472" s="1168"/>
    </row>
    <row r="52473" spans="2:2" s="221" customFormat="1" ht="12.75" x14ac:dyDescent="0.2">
      <c r="B52473" s="1168"/>
    </row>
    <row r="52474" spans="2:2" s="221" customFormat="1" ht="12.75" x14ac:dyDescent="0.2">
      <c r="B52474" s="1168"/>
    </row>
    <row r="52475" spans="2:2" s="221" customFormat="1" ht="12.75" x14ac:dyDescent="0.2">
      <c r="B52475" s="1168"/>
    </row>
    <row r="52476" spans="2:2" s="221" customFormat="1" ht="12.75" x14ac:dyDescent="0.2">
      <c r="B52476" s="1168"/>
    </row>
    <row r="52477" spans="2:2" s="221" customFormat="1" ht="12.75" x14ac:dyDescent="0.2">
      <c r="B52477" s="1168"/>
    </row>
    <row r="52478" spans="2:2" s="221" customFormat="1" ht="12.75" x14ac:dyDescent="0.2">
      <c r="B52478" s="1168"/>
    </row>
    <row r="52479" spans="2:2" s="221" customFormat="1" ht="12.75" x14ac:dyDescent="0.2">
      <c r="B52479" s="1168"/>
    </row>
    <row r="52480" spans="2:2" s="221" customFormat="1" ht="12.75" x14ac:dyDescent="0.2">
      <c r="B52480" s="1168"/>
    </row>
    <row r="52481" spans="2:2" s="221" customFormat="1" ht="12.75" x14ac:dyDescent="0.2">
      <c r="B52481" s="1168"/>
    </row>
    <row r="52482" spans="2:2" s="221" customFormat="1" ht="12.75" x14ac:dyDescent="0.2">
      <c r="B52482" s="1168"/>
    </row>
    <row r="52483" spans="2:2" s="221" customFormat="1" ht="12.75" x14ac:dyDescent="0.2">
      <c r="B52483" s="1168"/>
    </row>
    <row r="52484" spans="2:2" s="221" customFormat="1" ht="12.75" x14ac:dyDescent="0.2">
      <c r="B52484" s="1168"/>
    </row>
    <row r="52485" spans="2:2" s="221" customFormat="1" ht="12.75" x14ac:dyDescent="0.2">
      <c r="B52485" s="1168"/>
    </row>
    <row r="52486" spans="2:2" s="221" customFormat="1" ht="12.75" x14ac:dyDescent="0.2">
      <c r="B52486" s="1168"/>
    </row>
    <row r="52487" spans="2:2" s="221" customFormat="1" ht="12.75" x14ac:dyDescent="0.2">
      <c r="B52487" s="1168"/>
    </row>
    <row r="52488" spans="2:2" s="221" customFormat="1" ht="12.75" x14ac:dyDescent="0.2">
      <c r="B52488" s="1168"/>
    </row>
    <row r="52489" spans="2:2" s="221" customFormat="1" ht="12.75" x14ac:dyDescent="0.2">
      <c r="B52489" s="1168"/>
    </row>
    <row r="52490" spans="2:2" s="221" customFormat="1" ht="12.75" x14ac:dyDescent="0.2">
      <c r="B52490" s="1168"/>
    </row>
    <row r="52491" spans="2:2" s="221" customFormat="1" ht="12.75" x14ac:dyDescent="0.2">
      <c r="B52491" s="1168"/>
    </row>
    <row r="52492" spans="2:2" s="221" customFormat="1" ht="12.75" x14ac:dyDescent="0.2">
      <c r="B52492" s="1168"/>
    </row>
    <row r="52493" spans="2:2" s="221" customFormat="1" ht="12.75" x14ac:dyDescent="0.2">
      <c r="B52493" s="1168"/>
    </row>
    <row r="52494" spans="2:2" s="221" customFormat="1" ht="12.75" x14ac:dyDescent="0.2">
      <c r="B52494" s="1168"/>
    </row>
    <row r="52495" spans="2:2" s="221" customFormat="1" ht="12.75" x14ac:dyDescent="0.2">
      <c r="B52495" s="1168"/>
    </row>
    <row r="52496" spans="2:2" s="221" customFormat="1" ht="12.75" x14ac:dyDescent="0.2">
      <c r="B52496" s="1168"/>
    </row>
    <row r="52497" spans="2:2" s="221" customFormat="1" ht="12.75" x14ac:dyDescent="0.2">
      <c r="B52497" s="1168"/>
    </row>
    <row r="52498" spans="2:2" s="221" customFormat="1" ht="12.75" x14ac:dyDescent="0.2">
      <c r="B52498" s="1168"/>
    </row>
    <row r="52499" spans="2:2" s="221" customFormat="1" ht="12.75" x14ac:dyDescent="0.2">
      <c r="B52499" s="1168"/>
    </row>
    <row r="52500" spans="2:2" s="221" customFormat="1" ht="12.75" x14ac:dyDescent="0.2">
      <c r="B52500" s="1168"/>
    </row>
    <row r="52501" spans="2:2" s="221" customFormat="1" ht="12.75" x14ac:dyDescent="0.2">
      <c r="B52501" s="1168"/>
    </row>
    <row r="52502" spans="2:2" s="221" customFormat="1" ht="12.75" x14ac:dyDescent="0.2">
      <c r="B52502" s="1168"/>
    </row>
    <row r="52503" spans="2:2" s="221" customFormat="1" ht="12.75" x14ac:dyDescent="0.2">
      <c r="B52503" s="1168"/>
    </row>
    <row r="52504" spans="2:2" s="221" customFormat="1" ht="12.75" x14ac:dyDescent="0.2">
      <c r="B52504" s="1168"/>
    </row>
    <row r="52505" spans="2:2" s="221" customFormat="1" ht="12.75" x14ac:dyDescent="0.2">
      <c r="B52505" s="1168"/>
    </row>
    <row r="52506" spans="2:2" s="221" customFormat="1" ht="12.75" x14ac:dyDescent="0.2">
      <c r="B52506" s="1168"/>
    </row>
    <row r="52507" spans="2:2" s="221" customFormat="1" ht="12.75" x14ac:dyDescent="0.2">
      <c r="B52507" s="1168"/>
    </row>
    <row r="52508" spans="2:2" s="221" customFormat="1" ht="12.75" x14ac:dyDescent="0.2">
      <c r="B52508" s="1168"/>
    </row>
    <row r="52509" spans="2:2" s="221" customFormat="1" ht="12.75" x14ac:dyDescent="0.2">
      <c r="B52509" s="1168"/>
    </row>
    <row r="52510" spans="2:2" s="221" customFormat="1" ht="12.75" x14ac:dyDescent="0.2">
      <c r="B52510" s="1168"/>
    </row>
    <row r="52511" spans="2:2" s="221" customFormat="1" ht="12.75" x14ac:dyDescent="0.2">
      <c r="B52511" s="1168"/>
    </row>
    <row r="52512" spans="2:2" s="221" customFormat="1" ht="12.75" x14ac:dyDescent="0.2">
      <c r="B52512" s="1168"/>
    </row>
    <row r="52513" spans="2:2" s="221" customFormat="1" ht="12.75" x14ac:dyDescent="0.2">
      <c r="B52513" s="1168"/>
    </row>
    <row r="52514" spans="2:2" s="221" customFormat="1" ht="12.75" x14ac:dyDescent="0.2">
      <c r="B52514" s="1168"/>
    </row>
    <row r="52515" spans="2:2" s="221" customFormat="1" ht="12.75" x14ac:dyDescent="0.2">
      <c r="B52515" s="1168"/>
    </row>
    <row r="52516" spans="2:2" s="221" customFormat="1" ht="12.75" x14ac:dyDescent="0.2">
      <c r="B52516" s="1168"/>
    </row>
    <row r="52517" spans="2:2" s="221" customFormat="1" ht="12.75" x14ac:dyDescent="0.2">
      <c r="B52517" s="1168"/>
    </row>
    <row r="52518" spans="2:2" s="221" customFormat="1" ht="12.75" x14ac:dyDescent="0.2">
      <c r="B52518" s="1168"/>
    </row>
    <row r="52519" spans="2:2" s="221" customFormat="1" ht="12.75" x14ac:dyDescent="0.2">
      <c r="B52519" s="1168"/>
    </row>
    <row r="52520" spans="2:2" s="221" customFormat="1" ht="12.75" x14ac:dyDescent="0.2">
      <c r="B52520" s="1168"/>
    </row>
    <row r="52521" spans="2:2" s="221" customFormat="1" ht="12.75" x14ac:dyDescent="0.2">
      <c r="B52521" s="1168"/>
    </row>
    <row r="52522" spans="2:2" s="221" customFormat="1" ht="12.75" x14ac:dyDescent="0.2">
      <c r="B52522" s="1168"/>
    </row>
    <row r="52523" spans="2:2" s="221" customFormat="1" ht="12.75" x14ac:dyDescent="0.2">
      <c r="B52523" s="1168"/>
    </row>
    <row r="52524" spans="2:2" s="221" customFormat="1" ht="12.75" x14ac:dyDescent="0.2">
      <c r="B52524" s="1168"/>
    </row>
    <row r="52525" spans="2:2" s="221" customFormat="1" ht="12.75" x14ac:dyDescent="0.2">
      <c r="B52525" s="1168"/>
    </row>
    <row r="52526" spans="2:2" s="221" customFormat="1" ht="12.75" x14ac:dyDescent="0.2">
      <c r="B52526" s="1168"/>
    </row>
    <row r="52527" spans="2:2" s="221" customFormat="1" ht="12.75" x14ac:dyDescent="0.2">
      <c r="B52527" s="1168"/>
    </row>
    <row r="52528" spans="2:2" s="221" customFormat="1" ht="12.75" x14ac:dyDescent="0.2">
      <c r="B52528" s="1168"/>
    </row>
    <row r="52529" spans="2:2" s="221" customFormat="1" ht="12.75" x14ac:dyDescent="0.2">
      <c r="B52529" s="1168"/>
    </row>
    <row r="52530" spans="2:2" s="221" customFormat="1" ht="12.75" x14ac:dyDescent="0.2">
      <c r="B52530" s="1168"/>
    </row>
    <row r="52531" spans="2:2" s="221" customFormat="1" ht="12.75" x14ac:dyDescent="0.2">
      <c r="B52531" s="1168"/>
    </row>
    <row r="52532" spans="2:2" s="221" customFormat="1" ht="12.75" x14ac:dyDescent="0.2">
      <c r="B52532" s="1168"/>
    </row>
    <row r="52533" spans="2:2" s="221" customFormat="1" ht="12.75" x14ac:dyDescent="0.2">
      <c r="B52533" s="1168"/>
    </row>
    <row r="52534" spans="2:2" s="221" customFormat="1" ht="12.75" x14ac:dyDescent="0.2">
      <c r="B52534" s="1168"/>
    </row>
    <row r="52535" spans="2:2" s="221" customFormat="1" ht="12.75" x14ac:dyDescent="0.2">
      <c r="B52535" s="1168"/>
    </row>
    <row r="52536" spans="2:2" s="221" customFormat="1" ht="12.75" x14ac:dyDescent="0.2">
      <c r="B52536" s="1168"/>
    </row>
    <row r="52537" spans="2:2" s="221" customFormat="1" ht="12.75" x14ac:dyDescent="0.2">
      <c r="B52537" s="1168"/>
    </row>
    <row r="52538" spans="2:2" s="221" customFormat="1" ht="12.75" x14ac:dyDescent="0.2">
      <c r="B52538" s="1168"/>
    </row>
    <row r="52539" spans="2:2" s="221" customFormat="1" ht="12.75" x14ac:dyDescent="0.2">
      <c r="B52539" s="1168"/>
    </row>
    <row r="52540" spans="2:2" s="221" customFormat="1" ht="12.75" x14ac:dyDescent="0.2">
      <c r="B52540" s="1168"/>
    </row>
    <row r="52541" spans="2:2" s="221" customFormat="1" ht="12.75" x14ac:dyDescent="0.2">
      <c r="B52541" s="1168"/>
    </row>
    <row r="52542" spans="2:2" s="221" customFormat="1" ht="12.75" x14ac:dyDescent="0.2">
      <c r="B52542" s="1168"/>
    </row>
    <row r="52543" spans="2:2" s="221" customFormat="1" ht="12.75" x14ac:dyDescent="0.2">
      <c r="B52543" s="1168"/>
    </row>
    <row r="52544" spans="2:2" s="221" customFormat="1" ht="12.75" x14ac:dyDescent="0.2">
      <c r="B52544" s="1168"/>
    </row>
    <row r="52545" spans="2:2" s="221" customFormat="1" ht="12.75" x14ac:dyDescent="0.2">
      <c r="B52545" s="1168"/>
    </row>
    <row r="52546" spans="2:2" s="221" customFormat="1" ht="12.75" x14ac:dyDescent="0.2">
      <c r="B52546" s="1168"/>
    </row>
    <row r="52547" spans="2:2" s="221" customFormat="1" ht="12.75" x14ac:dyDescent="0.2">
      <c r="B52547" s="1168"/>
    </row>
    <row r="52548" spans="2:2" s="221" customFormat="1" ht="12.75" x14ac:dyDescent="0.2">
      <c r="B52548" s="1168"/>
    </row>
    <row r="52549" spans="2:2" s="221" customFormat="1" ht="12.75" x14ac:dyDescent="0.2">
      <c r="B52549" s="1168"/>
    </row>
    <row r="52550" spans="2:2" s="221" customFormat="1" ht="12.75" x14ac:dyDescent="0.2">
      <c r="B52550" s="1168"/>
    </row>
    <row r="52551" spans="2:2" s="221" customFormat="1" ht="12.75" x14ac:dyDescent="0.2">
      <c r="B52551" s="1168"/>
    </row>
    <row r="52552" spans="2:2" s="221" customFormat="1" ht="12.75" x14ac:dyDescent="0.2">
      <c r="B52552" s="1168"/>
    </row>
    <row r="52553" spans="2:2" s="221" customFormat="1" ht="12.75" x14ac:dyDescent="0.2">
      <c r="B52553" s="1168"/>
    </row>
    <row r="52554" spans="2:2" s="221" customFormat="1" ht="12.75" x14ac:dyDescent="0.2">
      <c r="B52554" s="1168"/>
    </row>
    <row r="52555" spans="2:2" s="221" customFormat="1" ht="12.75" x14ac:dyDescent="0.2">
      <c r="B52555" s="1168"/>
    </row>
    <row r="52556" spans="2:2" s="221" customFormat="1" ht="12.75" x14ac:dyDescent="0.2">
      <c r="B52556" s="1168"/>
    </row>
    <row r="52557" spans="2:2" s="221" customFormat="1" ht="12.75" x14ac:dyDescent="0.2">
      <c r="B52557" s="1168"/>
    </row>
    <row r="52558" spans="2:2" s="221" customFormat="1" ht="12.75" x14ac:dyDescent="0.2">
      <c r="B52558" s="1168"/>
    </row>
    <row r="52559" spans="2:2" s="221" customFormat="1" ht="12.75" x14ac:dyDescent="0.2">
      <c r="B52559" s="1168"/>
    </row>
    <row r="52560" spans="2:2" s="221" customFormat="1" ht="12.75" x14ac:dyDescent="0.2">
      <c r="B52560" s="1168"/>
    </row>
    <row r="52561" spans="2:2" s="221" customFormat="1" ht="12.75" x14ac:dyDescent="0.2">
      <c r="B52561" s="1168"/>
    </row>
    <row r="52562" spans="2:2" s="221" customFormat="1" ht="12.75" x14ac:dyDescent="0.2">
      <c r="B52562" s="1168"/>
    </row>
    <row r="52563" spans="2:2" s="221" customFormat="1" ht="12.75" x14ac:dyDescent="0.2">
      <c r="B52563" s="1168"/>
    </row>
    <row r="52564" spans="2:2" s="221" customFormat="1" ht="12.75" x14ac:dyDescent="0.2">
      <c r="B52564" s="1168"/>
    </row>
    <row r="52565" spans="2:2" s="221" customFormat="1" ht="12.75" x14ac:dyDescent="0.2">
      <c r="B52565" s="1168"/>
    </row>
    <row r="52566" spans="2:2" s="221" customFormat="1" ht="12.75" x14ac:dyDescent="0.2">
      <c r="B52566" s="1168"/>
    </row>
    <row r="52567" spans="2:2" s="221" customFormat="1" ht="12.75" x14ac:dyDescent="0.2">
      <c r="B52567" s="1168"/>
    </row>
    <row r="52568" spans="2:2" s="221" customFormat="1" ht="12.75" x14ac:dyDescent="0.2">
      <c r="B52568" s="1168"/>
    </row>
    <row r="52569" spans="2:2" s="221" customFormat="1" ht="12.75" x14ac:dyDescent="0.2">
      <c r="B52569" s="1168"/>
    </row>
    <row r="52570" spans="2:2" s="221" customFormat="1" ht="12.75" x14ac:dyDescent="0.2">
      <c r="B52570" s="1168"/>
    </row>
    <row r="52571" spans="2:2" s="221" customFormat="1" ht="12.75" x14ac:dyDescent="0.2">
      <c r="B52571" s="1168"/>
    </row>
    <row r="52572" spans="2:2" s="221" customFormat="1" ht="12.75" x14ac:dyDescent="0.2">
      <c r="B52572" s="1168"/>
    </row>
    <row r="52573" spans="2:2" s="221" customFormat="1" ht="12.75" x14ac:dyDescent="0.2">
      <c r="B52573" s="1168"/>
    </row>
    <row r="52574" spans="2:2" s="221" customFormat="1" ht="12.75" x14ac:dyDescent="0.2">
      <c r="B52574" s="1168"/>
    </row>
    <row r="52575" spans="2:2" s="221" customFormat="1" ht="12.75" x14ac:dyDescent="0.2">
      <c r="B52575" s="1168"/>
    </row>
    <row r="52576" spans="2:2" s="221" customFormat="1" ht="12.75" x14ac:dyDescent="0.2">
      <c r="B52576" s="1168"/>
    </row>
    <row r="52577" spans="2:2" s="221" customFormat="1" ht="12.75" x14ac:dyDescent="0.2">
      <c r="B52577" s="1168"/>
    </row>
    <row r="52578" spans="2:2" s="221" customFormat="1" ht="12.75" x14ac:dyDescent="0.2">
      <c r="B52578" s="1168"/>
    </row>
    <row r="52579" spans="2:2" s="221" customFormat="1" ht="12.75" x14ac:dyDescent="0.2">
      <c r="B52579" s="1168"/>
    </row>
    <row r="52580" spans="2:2" s="221" customFormat="1" ht="12.75" x14ac:dyDescent="0.2">
      <c r="B52580" s="1168"/>
    </row>
    <row r="52581" spans="2:2" s="221" customFormat="1" ht="12.75" x14ac:dyDescent="0.2">
      <c r="B52581" s="1168"/>
    </row>
    <row r="52582" spans="2:2" s="221" customFormat="1" ht="12.75" x14ac:dyDescent="0.2">
      <c r="B52582" s="1168"/>
    </row>
    <row r="52583" spans="2:2" s="221" customFormat="1" ht="12.75" x14ac:dyDescent="0.2">
      <c r="B52583" s="1168"/>
    </row>
    <row r="52584" spans="2:2" s="221" customFormat="1" ht="12.75" x14ac:dyDescent="0.2">
      <c r="B52584" s="1168"/>
    </row>
    <row r="52585" spans="2:2" s="221" customFormat="1" ht="12.75" x14ac:dyDescent="0.2">
      <c r="B52585" s="1168"/>
    </row>
    <row r="52586" spans="2:2" s="221" customFormat="1" ht="12.75" x14ac:dyDescent="0.2">
      <c r="B52586" s="1168"/>
    </row>
    <row r="52587" spans="2:2" s="221" customFormat="1" ht="12.75" x14ac:dyDescent="0.2">
      <c r="B52587" s="1168"/>
    </row>
    <row r="52588" spans="2:2" s="221" customFormat="1" ht="12.75" x14ac:dyDescent="0.2">
      <c r="B52588" s="1168"/>
    </row>
    <row r="52589" spans="2:2" s="221" customFormat="1" ht="12.75" x14ac:dyDescent="0.2">
      <c r="B52589" s="1168"/>
    </row>
    <row r="52590" spans="2:2" s="221" customFormat="1" ht="12.75" x14ac:dyDescent="0.2">
      <c r="B52590" s="1168"/>
    </row>
    <row r="52591" spans="2:2" s="221" customFormat="1" ht="12.75" x14ac:dyDescent="0.2">
      <c r="B52591" s="1168"/>
    </row>
    <row r="52592" spans="2:2" s="221" customFormat="1" ht="12.75" x14ac:dyDescent="0.2">
      <c r="B52592" s="1168"/>
    </row>
    <row r="52593" spans="2:2" s="221" customFormat="1" ht="12.75" x14ac:dyDescent="0.2">
      <c r="B52593" s="1168"/>
    </row>
    <row r="52594" spans="2:2" s="221" customFormat="1" ht="12.75" x14ac:dyDescent="0.2">
      <c r="B52594" s="1168"/>
    </row>
    <row r="52595" spans="2:2" s="221" customFormat="1" ht="12.75" x14ac:dyDescent="0.2">
      <c r="B52595" s="1168"/>
    </row>
    <row r="52596" spans="2:2" s="221" customFormat="1" ht="12.75" x14ac:dyDescent="0.2">
      <c r="B52596" s="1168"/>
    </row>
    <row r="52597" spans="2:2" s="221" customFormat="1" ht="12.75" x14ac:dyDescent="0.2">
      <c r="B52597" s="1168"/>
    </row>
    <row r="52598" spans="2:2" s="221" customFormat="1" ht="12.75" x14ac:dyDescent="0.2">
      <c r="B52598" s="1168"/>
    </row>
    <row r="52599" spans="2:2" s="221" customFormat="1" ht="12.75" x14ac:dyDescent="0.2">
      <c r="B52599" s="1168"/>
    </row>
    <row r="52600" spans="2:2" s="221" customFormat="1" ht="12.75" x14ac:dyDescent="0.2">
      <c r="B52600" s="1168"/>
    </row>
    <row r="52601" spans="2:2" s="221" customFormat="1" ht="12.75" x14ac:dyDescent="0.2">
      <c r="B52601" s="1168"/>
    </row>
    <row r="52602" spans="2:2" s="221" customFormat="1" ht="12.75" x14ac:dyDescent="0.2">
      <c r="B52602" s="1168"/>
    </row>
    <row r="52603" spans="2:2" s="221" customFormat="1" ht="12.75" x14ac:dyDescent="0.2">
      <c r="B52603" s="1168"/>
    </row>
    <row r="52604" spans="2:2" s="221" customFormat="1" ht="12.75" x14ac:dyDescent="0.2">
      <c r="B52604" s="1168"/>
    </row>
    <row r="52605" spans="2:2" s="221" customFormat="1" ht="12.75" x14ac:dyDescent="0.2">
      <c r="B52605" s="1168"/>
    </row>
    <row r="52606" spans="2:2" s="221" customFormat="1" ht="12.75" x14ac:dyDescent="0.2">
      <c r="B52606" s="1168"/>
    </row>
    <row r="52607" spans="2:2" s="221" customFormat="1" ht="12.75" x14ac:dyDescent="0.2">
      <c r="B52607" s="1168"/>
    </row>
    <row r="52608" spans="2:2" s="221" customFormat="1" ht="12.75" x14ac:dyDescent="0.2">
      <c r="B52608" s="1168"/>
    </row>
    <row r="52609" spans="2:2" s="221" customFormat="1" ht="12.75" x14ac:dyDescent="0.2">
      <c r="B52609" s="1168"/>
    </row>
    <row r="52610" spans="2:2" s="221" customFormat="1" ht="12.75" x14ac:dyDescent="0.2">
      <c r="B52610" s="1168"/>
    </row>
    <row r="52611" spans="2:2" s="221" customFormat="1" ht="12.75" x14ac:dyDescent="0.2">
      <c r="B52611" s="1168"/>
    </row>
    <row r="52612" spans="2:2" s="221" customFormat="1" ht="12.75" x14ac:dyDescent="0.2">
      <c r="B52612" s="1168"/>
    </row>
    <row r="52613" spans="2:2" s="221" customFormat="1" ht="12.75" x14ac:dyDescent="0.2">
      <c r="B52613" s="1168"/>
    </row>
    <row r="52614" spans="2:2" s="221" customFormat="1" ht="12.75" x14ac:dyDescent="0.2">
      <c r="B52614" s="1168"/>
    </row>
    <row r="52615" spans="2:2" s="221" customFormat="1" ht="12.75" x14ac:dyDescent="0.2">
      <c r="B52615" s="1168"/>
    </row>
    <row r="52616" spans="2:2" s="221" customFormat="1" ht="12.75" x14ac:dyDescent="0.2">
      <c r="B52616" s="1168"/>
    </row>
    <row r="52617" spans="2:2" s="221" customFormat="1" ht="12.75" x14ac:dyDescent="0.2">
      <c r="B52617" s="1168"/>
    </row>
    <row r="52618" spans="2:2" s="221" customFormat="1" ht="12.75" x14ac:dyDescent="0.2">
      <c r="B52618" s="1168"/>
    </row>
    <row r="52619" spans="2:2" s="221" customFormat="1" ht="12.75" x14ac:dyDescent="0.2">
      <c r="B52619" s="1168"/>
    </row>
    <row r="52620" spans="2:2" s="221" customFormat="1" ht="12.75" x14ac:dyDescent="0.2">
      <c r="B52620" s="1168"/>
    </row>
    <row r="52621" spans="2:2" s="221" customFormat="1" ht="12.75" x14ac:dyDescent="0.2">
      <c r="B52621" s="1168"/>
    </row>
    <row r="52622" spans="2:2" s="221" customFormat="1" ht="12.75" x14ac:dyDescent="0.2">
      <c r="B52622" s="1168"/>
    </row>
    <row r="52623" spans="2:2" s="221" customFormat="1" ht="12.75" x14ac:dyDescent="0.2">
      <c r="B52623" s="1168"/>
    </row>
    <row r="52624" spans="2:2" s="221" customFormat="1" ht="12.75" x14ac:dyDescent="0.2">
      <c r="B52624" s="1168"/>
    </row>
    <row r="52625" spans="2:2" s="221" customFormat="1" ht="12.75" x14ac:dyDescent="0.2">
      <c r="B52625" s="1168"/>
    </row>
    <row r="52626" spans="2:2" s="221" customFormat="1" ht="12.75" x14ac:dyDescent="0.2">
      <c r="B52626" s="1168"/>
    </row>
    <row r="52627" spans="2:2" s="221" customFormat="1" ht="12.75" x14ac:dyDescent="0.2">
      <c r="B52627" s="1168"/>
    </row>
    <row r="52628" spans="2:2" s="221" customFormat="1" ht="12.75" x14ac:dyDescent="0.2">
      <c r="B52628" s="1168"/>
    </row>
    <row r="52629" spans="2:2" s="221" customFormat="1" ht="12.75" x14ac:dyDescent="0.2">
      <c r="B52629" s="1168"/>
    </row>
    <row r="52630" spans="2:2" s="221" customFormat="1" ht="12.75" x14ac:dyDescent="0.2">
      <c r="B52630" s="1168"/>
    </row>
    <row r="52631" spans="2:2" s="221" customFormat="1" ht="12.75" x14ac:dyDescent="0.2">
      <c r="B52631" s="1168"/>
    </row>
    <row r="52632" spans="2:2" s="221" customFormat="1" ht="12.75" x14ac:dyDescent="0.2">
      <c r="B52632" s="1168"/>
    </row>
    <row r="52633" spans="2:2" s="221" customFormat="1" ht="12.75" x14ac:dyDescent="0.2">
      <c r="B52633" s="1168"/>
    </row>
    <row r="52634" spans="2:2" s="221" customFormat="1" ht="12.75" x14ac:dyDescent="0.2">
      <c r="B52634" s="1168"/>
    </row>
    <row r="52635" spans="2:2" s="221" customFormat="1" ht="12.75" x14ac:dyDescent="0.2">
      <c r="B52635" s="1168"/>
    </row>
    <row r="52636" spans="2:2" s="221" customFormat="1" ht="12.75" x14ac:dyDescent="0.2">
      <c r="B52636" s="1168"/>
    </row>
    <row r="52637" spans="2:2" s="221" customFormat="1" ht="12.75" x14ac:dyDescent="0.2">
      <c r="B52637" s="1168"/>
    </row>
    <row r="52638" spans="2:2" s="221" customFormat="1" ht="12.75" x14ac:dyDescent="0.2">
      <c r="B52638" s="1168"/>
    </row>
    <row r="52639" spans="2:2" s="221" customFormat="1" ht="12.75" x14ac:dyDescent="0.2">
      <c r="B52639" s="1168"/>
    </row>
    <row r="52640" spans="2:2" s="221" customFormat="1" ht="12.75" x14ac:dyDescent="0.2">
      <c r="B52640" s="1168"/>
    </row>
    <row r="52641" spans="2:2" s="221" customFormat="1" ht="12.75" x14ac:dyDescent="0.2">
      <c r="B52641" s="1168"/>
    </row>
    <row r="52642" spans="2:2" s="221" customFormat="1" ht="12.75" x14ac:dyDescent="0.2">
      <c r="B52642" s="1168"/>
    </row>
    <row r="52643" spans="2:2" s="221" customFormat="1" ht="12.75" x14ac:dyDescent="0.2">
      <c r="B52643" s="1168"/>
    </row>
    <row r="52644" spans="2:2" s="221" customFormat="1" ht="12.75" x14ac:dyDescent="0.2">
      <c r="B52644" s="1168"/>
    </row>
    <row r="52645" spans="2:2" s="221" customFormat="1" ht="12.75" x14ac:dyDescent="0.2">
      <c r="B52645" s="1168"/>
    </row>
    <row r="52646" spans="2:2" s="221" customFormat="1" ht="12.75" x14ac:dyDescent="0.2">
      <c r="B52646" s="1168"/>
    </row>
    <row r="52647" spans="2:2" s="221" customFormat="1" ht="12.75" x14ac:dyDescent="0.2">
      <c r="B52647" s="1168"/>
    </row>
    <row r="52648" spans="2:2" s="221" customFormat="1" ht="12.75" x14ac:dyDescent="0.2">
      <c r="B52648" s="1168"/>
    </row>
    <row r="52649" spans="2:2" s="221" customFormat="1" ht="12.75" x14ac:dyDescent="0.2">
      <c r="B52649" s="1168"/>
    </row>
    <row r="52650" spans="2:2" s="221" customFormat="1" ht="12.75" x14ac:dyDescent="0.2">
      <c r="B52650" s="1168"/>
    </row>
    <row r="52651" spans="2:2" s="221" customFormat="1" ht="12.75" x14ac:dyDescent="0.2">
      <c r="B52651" s="1168"/>
    </row>
    <row r="52652" spans="2:2" s="221" customFormat="1" ht="12.75" x14ac:dyDescent="0.2">
      <c r="B52652" s="1168"/>
    </row>
    <row r="52653" spans="2:2" s="221" customFormat="1" ht="12.75" x14ac:dyDescent="0.2">
      <c r="B52653" s="1168"/>
    </row>
    <row r="52654" spans="2:2" s="221" customFormat="1" ht="12.75" x14ac:dyDescent="0.2">
      <c r="B52654" s="1168"/>
    </row>
    <row r="52655" spans="2:2" s="221" customFormat="1" ht="12.75" x14ac:dyDescent="0.2">
      <c r="B52655" s="1168"/>
    </row>
    <row r="52656" spans="2:2" s="221" customFormat="1" ht="12.75" x14ac:dyDescent="0.2">
      <c r="B52656" s="1168"/>
    </row>
    <row r="52657" spans="2:2" s="221" customFormat="1" ht="12.75" x14ac:dyDescent="0.2">
      <c r="B52657" s="1168"/>
    </row>
    <row r="52658" spans="2:2" s="221" customFormat="1" ht="12.75" x14ac:dyDescent="0.2">
      <c r="B52658" s="1168"/>
    </row>
    <row r="52659" spans="2:2" s="221" customFormat="1" ht="12.75" x14ac:dyDescent="0.2">
      <c r="B52659" s="1168"/>
    </row>
    <row r="52660" spans="2:2" s="221" customFormat="1" ht="12.75" x14ac:dyDescent="0.2">
      <c r="B52660" s="1168"/>
    </row>
    <row r="52661" spans="2:2" s="221" customFormat="1" ht="12.75" x14ac:dyDescent="0.2">
      <c r="B52661" s="1168"/>
    </row>
    <row r="52662" spans="2:2" s="221" customFormat="1" ht="12.75" x14ac:dyDescent="0.2">
      <c r="B52662" s="1168"/>
    </row>
    <row r="52663" spans="2:2" s="221" customFormat="1" ht="12.75" x14ac:dyDescent="0.2">
      <c r="B52663" s="1168"/>
    </row>
    <row r="52664" spans="2:2" s="221" customFormat="1" ht="12.75" x14ac:dyDescent="0.2">
      <c r="B52664" s="1168"/>
    </row>
    <row r="52665" spans="2:2" s="221" customFormat="1" ht="12.75" x14ac:dyDescent="0.2">
      <c r="B52665" s="1168"/>
    </row>
    <row r="52666" spans="2:2" s="221" customFormat="1" ht="12.75" x14ac:dyDescent="0.2">
      <c r="B52666" s="1168"/>
    </row>
    <row r="52667" spans="2:2" s="221" customFormat="1" ht="12.75" x14ac:dyDescent="0.2">
      <c r="B52667" s="1168"/>
    </row>
    <row r="52668" spans="2:2" s="221" customFormat="1" ht="12.75" x14ac:dyDescent="0.2">
      <c r="B52668" s="1168"/>
    </row>
    <row r="52669" spans="2:2" s="221" customFormat="1" ht="12.75" x14ac:dyDescent="0.2">
      <c r="B52669" s="1168"/>
    </row>
    <row r="52670" spans="2:2" s="221" customFormat="1" ht="12.75" x14ac:dyDescent="0.2">
      <c r="B52670" s="1168"/>
    </row>
    <row r="52671" spans="2:2" s="221" customFormat="1" ht="12.75" x14ac:dyDescent="0.2">
      <c r="B52671" s="1168"/>
    </row>
    <row r="52672" spans="2:2" s="221" customFormat="1" ht="12.75" x14ac:dyDescent="0.2">
      <c r="B52672" s="1168"/>
    </row>
    <row r="52673" spans="2:2" s="221" customFormat="1" ht="12.75" x14ac:dyDescent="0.2">
      <c r="B52673" s="1168"/>
    </row>
    <row r="52674" spans="2:2" s="221" customFormat="1" ht="12.75" x14ac:dyDescent="0.2">
      <c r="B52674" s="1168"/>
    </row>
    <row r="52675" spans="2:2" s="221" customFormat="1" ht="12.75" x14ac:dyDescent="0.2">
      <c r="B52675" s="1168"/>
    </row>
    <row r="52676" spans="2:2" s="221" customFormat="1" ht="12.75" x14ac:dyDescent="0.2">
      <c r="B52676" s="1168"/>
    </row>
    <row r="52677" spans="2:2" s="221" customFormat="1" ht="12.75" x14ac:dyDescent="0.2">
      <c r="B52677" s="1168"/>
    </row>
    <row r="52678" spans="2:2" s="221" customFormat="1" ht="12.75" x14ac:dyDescent="0.2">
      <c r="B52678" s="1168"/>
    </row>
    <row r="52679" spans="2:2" s="221" customFormat="1" ht="12.75" x14ac:dyDescent="0.2">
      <c r="B52679" s="1168"/>
    </row>
    <row r="52680" spans="2:2" s="221" customFormat="1" ht="12.75" x14ac:dyDescent="0.2">
      <c r="B52680" s="1168"/>
    </row>
    <row r="52681" spans="2:2" s="221" customFormat="1" ht="12.75" x14ac:dyDescent="0.2">
      <c r="B52681" s="1168"/>
    </row>
    <row r="52682" spans="2:2" s="221" customFormat="1" ht="12.75" x14ac:dyDescent="0.2">
      <c r="B52682" s="1168"/>
    </row>
    <row r="52683" spans="2:2" s="221" customFormat="1" ht="12.75" x14ac:dyDescent="0.2">
      <c r="B52683" s="1168"/>
    </row>
    <row r="52684" spans="2:2" s="221" customFormat="1" ht="12.75" x14ac:dyDescent="0.2">
      <c r="B52684" s="1168"/>
    </row>
    <row r="52685" spans="2:2" s="221" customFormat="1" ht="12.75" x14ac:dyDescent="0.2">
      <c r="B52685" s="1168"/>
    </row>
    <row r="52686" spans="2:2" s="221" customFormat="1" ht="12.75" x14ac:dyDescent="0.2">
      <c r="B52686" s="1168"/>
    </row>
    <row r="52687" spans="2:2" s="221" customFormat="1" ht="12.75" x14ac:dyDescent="0.2">
      <c r="B52687" s="1168"/>
    </row>
    <row r="52688" spans="2:2" s="221" customFormat="1" ht="12.75" x14ac:dyDescent="0.2">
      <c r="B52688" s="1168"/>
    </row>
    <row r="52689" spans="2:2" s="221" customFormat="1" ht="12.75" x14ac:dyDescent="0.2">
      <c r="B52689" s="1168"/>
    </row>
    <row r="52690" spans="2:2" s="221" customFormat="1" ht="12.75" x14ac:dyDescent="0.2">
      <c r="B52690" s="1168"/>
    </row>
    <row r="52691" spans="2:2" s="221" customFormat="1" ht="12.75" x14ac:dyDescent="0.2">
      <c r="B52691" s="1168"/>
    </row>
    <row r="52692" spans="2:2" s="221" customFormat="1" ht="12.75" x14ac:dyDescent="0.2">
      <c r="B52692" s="1168"/>
    </row>
    <row r="52693" spans="2:2" s="221" customFormat="1" ht="12.75" x14ac:dyDescent="0.2">
      <c r="B52693" s="1168"/>
    </row>
    <row r="52694" spans="2:2" s="221" customFormat="1" ht="12.75" x14ac:dyDescent="0.2">
      <c r="B52694" s="1168"/>
    </row>
    <row r="52695" spans="2:2" s="221" customFormat="1" ht="12.75" x14ac:dyDescent="0.2">
      <c r="B52695" s="1168"/>
    </row>
    <row r="52696" spans="2:2" s="221" customFormat="1" ht="12.75" x14ac:dyDescent="0.2">
      <c r="B52696" s="1168"/>
    </row>
    <row r="52697" spans="2:2" s="221" customFormat="1" ht="12.75" x14ac:dyDescent="0.2">
      <c r="B52697" s="1168"/>
    </row>
    <row r="52698" spans="2:2" s="221" customFormat="1" ht="12.75" x14ac:dyDescent="0.2">
      <c r="B52698" s="1168"/>
    </row>
    <row r="52699" spans="2:2" s="221" customFormat="1" ht="12.75" x14ac:dyDescent="0.2">
      <c r="B52699" s="1168"/>
    </row>
    <row r="52700" spans="2:2" s="221" customFormat="1" ht="12.75" x14ac:dyDescent="0.2">
      <c r="B52700" s="1168"/>
    </row>
    <row r="52701" spans="2:2" s="221" customFormat="1" ht="12.75" x14ac:dyDescent="0.2">
      <c r="B52701" s="1168"/>
    </row>
    <row r="52702" spans="2:2" s="221" customFormat="1" ht="12.75" x14ac:dyDescent="0.2">
      <c r="B52702" s="1168"/>
    </row>
    <row r="52703" spans="2:2" s="221" customFormat="1" ht="12.75" x14ac:dyDescent="0.2">
      <c r="B52703" s="1168"/>
    </row>
    <row r="52704" spans="2:2" s="221" customFormat="1" ht="12.75" x14ac:dyDescent="0.2">
      <c r="B52704" s="1168"/>
    </row>
    <row r="52705" spans="2:2" s="221" customFormat="1" ht="12.75" x14ac:dyDescent="0.2">
      <c r="B52705" s="1168"/>
    </row>
    <row r="52706" spans="2:2" s="221" customFormat="1" ht="12.75" x14ac:dyDescent="0.2">
      <c r="B52706" s="1168"/>
    </row>
    <row r="52707" spans="2:2" s="221" customFormat="1" ht="12.75" x14ac:dyDescent="0.2">
      <c r="B52707" s="1168"/>
    </row>
    <row r="52708" spans="2:2" s="221" customFormat="1" ht="12.75" x14ac:dyDescent="0.2">
      <c r="B52708" s="1168"/>
    </row>
    <row r="52709" spans="2:2" s="221" customFormat="1" ht="12.75" x14ac:dyDescent="0.2">
      <c r="B52709" s="1168"/>
    </row>
    <row r="52710" spans="2:2" s="221" customFormat="1" ht="12.75" x14ac:dyDescent="0.2">
      <c r="B52710" s="1168"/>
    </row>
    <row r="52711" spans="2:2" s="221" customFormat="1" ht="12.75" x14ac:dyDescent="0.2">
      <c r="B52711" s="1168"/>
    </row>
    <row r="52712" spans="2:2" s="221" customFormat="1" ht="12.75" x14ac:dyDescent="0.2">
      <c r="B52712" s="1168"/>
    </row>
    <row r="52713" spans="2:2" s="221" customFormat="1" ht="12.75" x14ac:dyDescent="0.2">
      <c r="B52713" s="1168"/>
    </row>
    <row r="52714" spans="2:2" s="221" customFormat="1" ht="12.75" x14ac:dyDescent="0.2">
      <c r="B52714" s="1168"/>
    </row>
    <row r="52715" spans="2:2" s="221" customFormat="1" ht="12.75" x14ac:dyDescent="0.2">
      <c r="B52715" s="1168"/>
    </row>
    <row r="52716" spans="2:2" s="221" customFormat="1" ht="12.75" x14ac:dyDescent="0.2">
      <c r="B52716" s="1168"/>
    </row>
    <row r="52717" spans="2:2" s="221" customFormat="1" ht="12.75" x14ac:dyDescent="0.2">
      <c r="B52717" s="1168"/>
    </row>
    <row r="52718" spans="2:2" s="221" customFormat="1" ht="12.75" x14ac:dyDescent="0.2">
      <c r="B52718" s="1168"/>
    </row>
    <row r="52719" spans="2:2" s="221" customFormat="1" ht="12.75" x14ac:dyDescent="0.2">
      <c r="B52719" s="1168"/>
    </row>
    <row r="52720" spans="2:2" s="221" customFormat="1" ht="12.75" x14ac:dyDescent="0.2">
      <c r="B52720" s="1168"/>
    </row>
    <row r="52721" spans="2:2" s="221" customFormat="1" ht="12.75" x14ac:dyDescent="0.2">
      <c r="B52721" s="1168"/>
    </row>
    <row r="52722" spans="2:2" s="221" customFormat="1" ht="12.75" x14ac:dyDescent="0.2">
      <c r="B52722" s="1168"/>
    </row>
    <row r="52723" spans="2:2" s="221" customFormat="1" ht="12.75" x14ac:dyDescent="0.2">
      <c r="B52723" s="1168"/>
    </row>
    <row r="52724" spans="2:2" s="221" customFormat="1" ht="12.75" x14ac:dyDescent="0.2">
      <c r="B52724" s="1168"/>
    </row>
    <row r="52725" spans="2:2" s="221" customFormat="1" ht="12.75" x14ac:dyDescent="0.2">
      <c r="B52725" s="1168"/>
    </row>
    <row r="52726" spans="2:2" s="221" customFormat="1" ht="12.75" x14ac:dyDescent="0.2">
      <c r="B52726" s="1168"/>
    </row>
    <row r="52727" spans="2:2" s="221" customFormat="1" ht="12.75" x14ac:dyDescent="0.2">
      <c r="B52727" s="1168"/>
    </row>
    <row r="52728" spans="2:2" s="221" customFormat="1" ht="12.75" x14ac:dyDescent="0.2">
      <c r="B52728" s="1168"/>
    </row>
    <row r="52729" spans="2:2" s="221" customFormat="1" ht="12.75" x14ac:dyDescent="0.2">
      <c r="B52729" s="1168"/>
    </row>
    <row r="52730" spans="2:2" s="221" customFormat="1" ht="12.75" x14ac:dyDescent="0.2">
      <c r="B52730" s="1168"/>
    </row>
    <row r="52731" spans="2:2" s="221" customFormat="1" ht="12.75" x14ac:dyDescent="0.2">
      <c r="B52731" s="1168"/>
    </row>
    <row r="52732" spans="2:2" s="221" customFormat="1" ht="12.75" x14ac:dyDescent="0.2">
      <c r="B52732" s="1168"/>
    </row>
    <row r="52733" spans="2:2" s="221" customFormat="1" ht="12.75" x14ac:dyDescent="0.2">
      <c r="B52733" s="1168"/>
    </row>
    <row r="52734" spans="2:2" s="221" customFormat="1" ht="12.75" x14ac:dyDescent="0.2">
      <c r="B52734" s="1168"/>
    </row>
    <row r="52735" spans="2:2" s="221" customFormat="1" ht="12.75" x14ac:dyDescent="0.2">
      <c r="B52735" s="1168"/>
    </row>
    <row r="52736" spans="2:2" s="221" customFormat="1" ht="12.75" x14ac:dyDescent="0.2">
      <c r="B52736" s="1168"/>
    </row>
    <row r="52737" spans="2:2" s="221" customFormat="1" ht="12.75" x14ac:dyDescent="0.2">
      <c r="B52737" s="1168"/>
    </row>
    <row r="52738" spans="2:2" s="221" customFormat="1" ht="12.75" x14ac:dyDescent="0.2">
      <c r="B52738" s="1168"/>
    </row>
    <row r="52739" spans="2:2" s="221" customFormat="1" ht="12.75" x14ac:dyDescent="0.2">
      <c r="B52739" s="1168"/>
    </row>
    <row r="52740" spans="2:2" s="221" customFormat="1" ht="12.75" x14ac:dyDescent="0.2">
      <c r="B52740" s="1168"/>
    </row>
    <row r="52741" spans="2:2" s="221" customFormat="1" ht="12.75" x14ac:dyDescent="0.2">
      <c r="B52741" s="1168"/>
    </row>
    <row r="52742" spans="2:2" s="221" customFormat="1" ht="12.75" x14ac:dyDescent="0.2">
      <c r="B52742" s="1168"/>
    </row>
    <row r="52743" spans="2:2" s="221" customFormat="1" ht="12.75" x14ac:dyDescent="0.2">
      <c r="B52743" s="1168"/>
    </row>
    <row r="52744" spans="2:2" s="221" customFormat="1" ht="12.75" x14ac:dyDescent="0.2">
      <c r="B52744" s="1168"/>
    </row>
    <row r="52745" spans="2:2" s="221" customFormat="1" ht="12.75" x14ac:dyDescent="0.2">
      <c r="B52745" s="1168"/>
    </row>
    <row r="52746" spans="2:2" s="221" customFormat="1" ht="12.75" x14ac:dyDescent="0.2">
      <c r="B52746" s="1168"/>
    </row>
    <row r="52747" spans="2:2" s="221" customFormat="1" ht="12.75" x14ac:dyDescent="0.2">
      <c r="B52747" s="1168"/>
    </row>
    <row r="52748" spans="2:2" s="221" customFormat="1" ht="12.75" x14ac:dyDescent="0.2">
      <c r="B52748" s="1168"/>
    </row>
    <row r="52749" spans="2:2" s="221" customFormat="1" ht="12.75" x14ac:dyDescent="0.2">
      <c r="B52749" s="1168"/>
    </row>
    <row r="52750" spans="2:2" s="221" customFormat="1" ht="12.75" x14ac:dyDescent="0.2">
      <c r="B52750" s="1168"/>
    </row>
    <row r="52751" spans="2:2" s="221" customFormat="1" ht="12.75" x14ac:dyDescent="0.2">
      <c r="B52751" s="1168"/>
    </row>
    <row r="52752" spans="2:2" s="221" customFormat="1" ht="12.75" x14ac:dyDescent="0.2">
      <c r="B52752" s="1168"/>
    </row>
    <row r="52753" spans="2:2" s="221" customFormat="1" ht="12.75" x14ac:dyDescent="0.2">
      <c r="B52753" s="1168"/>
    </row>
    <row r="52754" spans="2:2" s="221" customFormat="1" ht="12.75" x14ac:dyDescent="0.2">
      <c r="B52754" s="1168"/>
    </row>
    <row r="52755" spans="2:2" s="221" customFormat="1" ht="12.75" x14ac:dyDescent="0.2">
      <c r="B52755" s="1168"/>
    </row>
    <row r="52756" spans="2:2" s="221" customFormat="1" ht="12.75" x14ac:dyDescent="0.2">
      <c r="B52756" s="1168"/>
    </row>
    <row r="52757" spans="2:2" s="221" customFormat="1" ht="12.75" x14ac:dyDescent="0.2">
      <c r="B52757" s="1168"/>
    </row>
    <row r="52758" spans="2:2" s="221" customFormat="1" ht="12.75" x14ac:dyDescent="0.2">
      <c r="B52758" s="1168"/>
    </row>
    <row r="52759" spans="2:2" s="221" customFormat="1" ht="12.75" x14ac:dyDescent="0.2">
      <c r="B52759" s="1168"/>
    </row>
    <row r="52760" spans="2:2" s="221" customFormat="1" ht="12.75" x14ac:dyDescent="0.2">
      <c r="B52760" s="1168"/>
    </row>
    <row r="52761" spans="2:2" s="221" customFormat="1" ht="12.75" x14ac:dyDescent="0.2">
      <c r="B52761" s="1168"/>
    </row>
    <row r="52762" spans="2:2" s="221" customFormat="1" ht="12.75" x14ac:dyDescent="0.2">
      <c r="B52762" s="1168"/>
    </row>
    <row r="52763" spans="2:2" s="221" customFormat="1" ht="12.75" x14ac:dyDescent="0.2">
      <c r="B52763" s="1168"/>
    </row>
    <row r="52764" spans="2:2" s="221" customFormat="1" ht="12.75" x14ac:dyDescent="0.2">
      <c r="B52764" s="1168"/>
    </row>
    <row r="52765" spans="2:2" s="221" customFormat="1" ht="12.75" x14ac:dyDescent="0.2">
      <c r="B52765" s="1168"/>
    </row>
    <row r="52766" spans="2:2" s="221" customFormat="1" ht="12.75" x14ac:dyDescent="0.2">
      <c r="B52766" s="1168"/>
    </row>
    <row r="52767" spans="2:2" s="221" customFormat="1" ht="12.75" x14ac:dyDescent="0.2">
      <c r="B52767" s="1168"/>
    </row>
    <row r="52768" spans="2:2" s="221" customFormat="1" ht="12.75" x14ac:dyDescent="0.2">
      <c r="B52768" s="1168"/>
    </row>
    <row r="52769" spans="2:2" s="221" customFormat="1" ht="12.75" x14ac:dyDescent="0.2">
      <c r="B52769" s="1168"/>
    </row>
    <row r="52770" spans="2:2" s="221" customFormat="1" ht="12.75" x14ac:dyDescent="0.2">
      <c r="B52770" s="1168"/>
    </row>
    <row r="52771" spans="2:2" s="221" customFormat="1" ht="12.75" x14ac:dyDescent="0.2">
      <c r="B52771" s="1168"/>
    </row>
    <row r="52772" spans="2:2" s="221" customFormat="1" ht="12.75" x14ac:dyDescent="0.2">
      <c r="B52772" s="1168"/>
    </row>
    <row r="52773" spans="2:2" s="221" customFormat="1" ht="12.75" x14ac:dyDescent="0.2">
      <c r="B52773" s="1168"/>
    </row>
    <row r="52774" spans="2:2" s="221" customFormat="1" ht="12.75" x14ac:dyDescent="0.2">
      <c r="B52774" s="1168"/>
    </row>
    <row r="52775" spans="2:2" s="221" customFormat="1" ht="12.75" x14ac:dyDescent="0.2">
      <c r="B52775" s="1168"/>
    </row>
    <row r="52776" spans="2:2" s="221" customFormat="1" ht="12.75" x14ac:dyDescent="0.2">
      <c r="B52776" s="1168"/>
    </row>
    <row r="52777" spans="2:2" s="221" customFormat="1" ht="12.75" x14ac:dyDescent="0.2">
      <c r="B52777" s="1168"/>
    </row>
    <row r="52778" spans="2:2" s="221" customFormat="1" ht="12.75" x14ac:dyDescent="0.2">
      <c r="B52778" s="1168"/>
    </row>
    <row r="52779" spans="2:2" s="221" customFormat="1" ht="12.75" x14ac:dyDescent="0.2">
      <c r="B52779" s="1168"/>
    </row>
    <row r="52780" spans="2:2" s="221" customFormat="1" ht="12.75" x14ac:dyDescent="0.2">
      <c r="B52780" s="1168"/>
    </row>
    <row r="52781" spans="2:2" s="221" customFormat="1" ht="12.75" x14ac:dyDescent="0.2">
      <c r="B52781" s="1168"/>
    </row>
    <row r="52782" spans="2:2" s="221" customFormat="1" ht="12.75" x14ac:dyDescent="0.2">
      <c r="B52782" s="1168"/>
    </row>
    <row r="52783" spans="2:2" s="221" customFormat="1" ht="12.75" x14ac:dyDescent="0.2">
      <c r="B52783" s="1168"/>
    </row>
    <row r="52784" spans="2:2" s="221" customFormat="1" ht="12.75" x14ac:dyDescent="0.2">
      <c r="B52784" s="1168"/>
    </row>
    <row r="52785" spans="2:2" s="221" customFormat="1" ht="12.75" x14ac:dyDescent="0.2">
      <c r="B52785" s="1168"/>
    </row>
    <row r="52786" spans="2:2" s="221" customFormat="1" ht="12.75" x14ac:dyDescent="0.2">
      <c r="B52786" s="1168"/>
    </row>
    <row r="52787" spans="2:2" s="221" customFormat="1" ht="12.75" x14ac:dyDescent="0.2">
      <c r="B52787" s="1168"/>
    </row>
    <row r="52788" spans="2:2" s="221" customFormat="1" ht="12.75" x14ac:dyDescent="0.2">
      <c r="B52788" s="1168"/>
    </row>
    <row r="52789" spans="2:2" s="221" customFormat="1" ht="12.75" x14ac:dyDescent="0.2">
      <c r="B52789" s="1168"/>
    </row>
    <row r="52790" spans="2:2" s="221" customFormat="1" ht="12.75" x14ac:dyDescent="0.2">
      <c r="B52790" s="1168"/>
    </row>
    <row r="52791" spans="2:2" s="221" customFormat="1" ht="12.75" x14ac:dyDescent="0.2">
      <c r="B52791" s="1168"/>
    </row>
    <row r="52792" spans="2:2" s="221" customFormat="1" ht="12.75" x14ac:dyDescent="0.2">
      <c r="B52792" s="1168"/>
    </row>
    <row r="52793" spans="2:2" s="221" customFormat="1" ht="12.75" x14ac:dyDescent="0.2">
      <c r="B52793" s="1168"/>
    </row>
    <row r="52794" spans="2:2" s="221" customFormat="1" ht="12.75" x14ac:dyDescent="0.2">
      <c r="B52794" s="1168"/>
    </row>
    <row r="52795" spans="2:2" s="221" customFormat="1" ht="12.75" x14ac:dyDescent="0.2">
      <c r="B52795" s="1168"/>
    </row>
    <row r="52796" spans="2:2" s="221" customFormat="1" ht="12.75" x14ac:dyDescent="0.2">
      <c r="B52796" s="1168"/>
    </row>
    <row r="52797" spans="2:2" s="221" customFormat="1" ht="12.75" x14ac:dyDescent="0.2">
      <c r="B52797" s="1168"/>
    </row>
    <row r="52798" spans="2:2" s="221" customFormat="1" ht="12.75" x14ac:dyDescent="0.2">
      <c r="B52798" s="1168"/>
    </row>
    <row r="52799" spans="2:2" s="221" customFormat="1" ht="12.75" x14ac:dyDescent="0.2">
      <c r="B52799" s="1168"/>
    </row>
    <row r="52800" spans="2:2" s="221" customFormat="1" ht="12.75" x14ac:dyDescent="0.2">
      <c r="B52800" s="1168"/>
    </row>
    <row r="52801" spans="2:2" s="221" customFormat="1" ht="12.75" x14ac:dyDescent="0.2">
      <c r="B52801" s="1168"/>
    </row>
    <row r="52802" spans="2:2" s="221" customFormat="1" ht="12.75" x14ac:dyDescent="0.2">
      <c r="B52802" s="1168"/>
    </row>
    <row r="52803" spans="2:2" s="221" customFormat="1" ht="12.75" x14ac:dyDescent="0.2">
      <c r="B52803" s="1168"/>
    </row>
    <row r="52804" spans="2:2" s="221" customFormat="1" ht="12.75" x14ac:dyDescent="0.2">
      <c r="B52804" s="1168"/>
    </row>
    <row r="52805" spans="2:2" s="221" customFormat="1" ht="12.75" x14ac:dyDescent="0.2">
      <c r="B52805" s="1168"/>
    </row>
    <row r="52806" spans="2:2" s="221" customFormat="1" ht="12.75" x14ac:dyDescent="0.2">
      <c r="B52806" s="1168"/>
    </row>
    <row r="52807" spans="2:2" s="221" customFormat="1" ht="12.75" x14ac:dyDescent="0.2">
      <c r="B52807" s="1168"/>
    </row>
    <row r="52808" spans="2:2" s="221" customFormat="1" ht="12.75" x14ac:dyDescent="0.2">
      <c r="B52808" s="1168"/>
    </row>
    <row r="52809" spans="2:2" s="221" customFormat="1" ht="12.75" x14ac:dyDescent="0.2">
      <c r="B52809" s="1168"/>
    </row>
    <row r="52810" spans="2:2" s="221" customFormat="1" ht="12.75" x14ac:dyDescent="0.2">
      <c r="B52810" s="1168"/>
    </row>
    <row r="52811" spans="2:2" s="221" customFormat="1" ht="12.75" x14ac:dyDescent="0.2">
      <c r="B52811" s="1168"/>
    </row>
    <row r="52812" spans="2:2" s="221" customFormat="1" ht="12.75" x14ac:dyDescent="0.2">
      <c r="B52812" s="1168"/>
    </row>
    <row r="52813" spans="2:2" s="221" customFormat="1" ht="12.75" x14ac:dyDescent="0.2">
      <c r="B52813" s="1168"/>
    </row>
    <row r="52814" spans="2:2" s="221" customFormat="1" ht="12.75" x14ac:dyDescent="0.2">
      <c r="B52814" s="1168"/>
    </row>
    <row r="52815" spans="2:2" s="221" customFormat="1" ht="12.75" x14ac:dyDescent="0.2">
      <c r="B52815" s="1168"/>
    </row>
    <row r="52816" spans="2:2" s="221" customFormat="1" ht="12.75" x14ac:dyDescent="0.2">
      <c r="B52816" s="1168"/>
    </row>
    <row r="52817" spans="2:2" s="221" customFormat="1" ht="12.75" x14ac:dyDescent="0.2">
      <c r="B52817" s="1168"/>
    </row>
    <row r="52818" spans="2:2" s="221" customFormat="1" ht="12.75" x14ac:dyDescent="0.2">
      <c r="B52818" s="1168"/>
    </row>
    <row r="52819" spans="2:2" s="221" customFormat="1" ht="12.75" x14ac:dyDescent="0.2">
      <c r="B52819" s="1168"/>
    </row>
    <row r="52820" spans="2:2" s="221" customFormat="1" ht="12.75" x14ac:dyDescent="0.2">
      <c r="B52820" s="1168"/>
    </row>
    <row r="52821" spans="2:2" s="221" customFormat="1" ht="12.75" x14ac:dyDescent="0.2">
      <c r="B52821" s="1168"/>
    </row>
    <row r="52822" spans="2:2" s="221" customFormat="1" ht="12.75" x14ac:dyDescent="0.2">
      <c r="B52822" s="1168"/>
    </row>
    <row r="52823" spans="2:2" s="221" customFormat="1" ht="12.75" x14ac:dyDescent="0.2">
      <c r="B52823" s="1168"/>
    </row>
    <row r="52824" spans="2:2" s="221" customFormat="1" ht="12.75" x14ac:dyDescent="0.2">
      <c r="B52824" s="1168"/>
    </row>
    <row r="52825" spans="2:2" s="221" customFormat="1" ht="12.75" x14ac:dyDescent="0.2">
      <c r="B52825" s="1168"/>
    </row>
    <row r="52826" spans="2:2" s="221" customFormat="1" ht="12.75" x14ac:dyDescent="0.2">
      <c r="B52826" s="1168"/>
    </row>
    <row r="52827" spans="2:2" s="221" customFormat="1" ht="12.75" x14ac:dyDescent="0.2">
      <c r="B52827" s="1168"/>
    </row>
    <row r="52828" spans="2:2" s="221" customFormat="1" ht="12.75" x14ac:dyDescent="0.2">
      <c r="B52828" s="1168"/>
    </row>
    <row r="52829" spans="2:2" s="221" customFormat="1" ht="12.75" x14ac:dyDescent="0.2">
      <c r="B52829" s="1168"/>
    </row>
    <row r="52830" spans="2:2" s="221" customFormat="1" ht="12.75" x14ac:dyDescent="0.2">
      <c r="B52830" s="1168"/>
    </row>
    <row r="52831" spans="2:2" s="221" customFormat="1" ht="12.75" x14ac:dyDescent="0.2">
      <c r="B52831" s="1168"/>
    </row>
    <row r="52832" spans="2:2" s="221" customFormat="1" ht="12.75" x14ac:dyDescent="0.2">
      <c r="B52832" s="1168"/>
    </row>
    <row r="52833" spans="2:2" s="221" customFormat="1" ht="12.75" x14ac:dyDescent="0.2">
      <c r="B52833" s="1168"/>
    </row>
    <row r="52834" spans="2:2" s="221" customFormat="1" ht="12.75" x14ac:dyDescent="0.2">
      <c r="B52834" s="1168"/>
    </row>
    <row r="52835" spans="2:2" s="221" customFormat="1" ht="12.75" x14ac:dyDescent="0.2">
      <c r="B52835" s="1168"/>
    </row>
    <row r="52836" spans="2:2" s="221" customFormat="1" ht="12.75" x14ac:dyDescent="0.2">
      <c r="B52836" s="1168"/>
    </row>
    <row r="52837" spans="2:2" s="221" customFormat="1" ht="12.75" x14ac:dyDescent="0.2">
      <c r="B52837" s="1168"/>
    </row>
    <row r="52838" spans="2:2" s="221" customFormat="1" ht="12.75" x14ac:dyDescent="0.2">
      <c r="B52838" s="1168"/>
    </row>
    <row r="52839" spans="2:2" s="221" customFormat="1" ht="12.75" x14ac:dyDescent="0.2">
      <c r="B52839" s="1168"/>
    </row>
    <row r="52840" spans="2:2" s="221" customFormat="1" ht="12.75" x14ac:dyDescent="0.2">
      <c r="B52840" s="1168"/>
    </row>
    <row r="52841" spans="2:2" s="221" customFormat="1" ht="12.75" x14ac:dyDescent="0.2">
      <c r="B52841" s="1168"/>
    </row>
    <row r="52842" spans="2:2" s="221" customFormat="1" ht="12.75" x14ac:dyDescent="0.2">
      <c r="B52842" s="1168"/>
    </row>
    <row r="52843" spans="2:2" s="221" customFormat="1" ht="12.75" x14ac:dyDescent="0.2">
      <c r="B52843" s="1168"/>
    </row>
    <row r="52844" spans="2:2" s="221" customFormat="1" ht="12.75" x14ac:dyDescent="0.2">
      <c r="B52844" s="1168"/>
    </row>
    <row r="52845" spans="2:2" s="221" customFormat="1" ht="12.75" x14ac:dyDescent="0.2">
      <c r="B52845" s="1168"/>
    </row>
    <row r="52846" spans="2:2" s="221" customFormat="1" ht="12.75" x14ac:dyDescent="0.2">
      <c r="B52846" s="1168"/>
    </row>
    <row r="52847" spans="2:2" s="221" customFormat="1" ht="12.75" x14ac:dyDescent="0.2">
      <c r="B52847" s="1168"/>
    </row>
    <row r="52848" spans="2:2" s="221" customFormat="1" ht="12.75" x14ac:dyDescent="0.2">
      <c r="B52848" s="1168"/>
    </row>
    <row r="52849" spans="2:2" s="221" customFormat="1" ht="12.75" x14ac:dyDescent="0.2">
      <c r="B52849" s="1168"/>
    </row>
    <row r="52850" spans="2:2" s="221" customFormat="1" ht="12.75" x14ac:dyDescent="0.2">
      <c r="B52850" s="1168"/>
    </row>
    <row r="52851" spans="2:2" s="221" customFormat="1" ht="12.75" x14ac:dyDescent="0.2">
      <c r="B52851" s="1168"/>
    </row>
    <row r="52852" spans="2:2" s="221" customFormat="1" ht="12.75" x14ac:dyDescent="0.2">
      <c r="B52852" s="1168"/>
    </row>
    <row r="52853" spans="2:2" s="221" customFormat="1" ht="12.75" x14ac:dyDescent="0.2">
      <c r="B52853" s="1168"/>
    </row>
    <row r="52854" spans="2:2" s="221" customFormat="1" ht="12.75" x14ac:dyDescent="0.2">
      <c r="B52854" s="1168"/>
    </row>
    <row r="52855" spans="2:2" s="221" customFormat="1" ht="12.75" x14ac:dyDescent="0.2">
      <c r="B52855" s="1168"/>
    </row>
    <row r="52856" spans="2:2" s="221" customFormat="1" ht="12.75" x14ac:dyDescent="0.2">
      <c r="B52856" s="1168"/>
    </row>
    <row r="52857" spans="2:2" s="221" customFormat="1" ht="12.75" x14ac:dyDescent="0.2">
      <c r="B52857" s="1168"/>
    </row>
    <row r="52858" spans="2:2" s="221" customFormat="1" ht="12.75" x14ac:dyDescent="0.2">
      <c r="B52858" s="1168"/>
    </row>
    <row r="52859" spans="2:2" s="221" customFormat="1" ht="12.75" x14ac:dyDescent="0.2">
      <c r="B52859" s="1168"/>
    </row>
    <row r="52860" spans="2:2" s="221" customFormat="1" ht="12.75" x14ac:dyDescent="0.2">
      <c r="B52860" s="1168"/>
    </row>
    <row r="52861" spans="2:2" s="221" customFormat="1" ht="12.75" x14ac:dyDescent="0.2">
      <c r="B52861" s="1168"/>
    </row>
    <row r="52862" spans="2:2" s="221" customFormat="1" ht="12.75" x14ac:dyDescent="0.2">
      <c r="B52862" s="1168"/>
    </row>
    <row r="52863" spans="2:2" s="221" customFormat="1" ht="12.75" x14ac:dyDescent="0.2">
      <c r="B52863" s="1168"/>
    </row>
    <row r="52864" spans="2:2" s="221" customFormat="1" ht="12.75" x14ac:dyDescent="0.2">
      <c r="B52864" s="1168"/>
    </row>
    <row r="52865" spans="2:2" s="221" customFormat="1" ht="12.75" x14ac:dyDescent="0.2">
      <c r="B52865" s="1168"/>
    </row>
    <row r="52866" spans="2:2" s="221" customFormat="1" ht="12.75" x14ac:dyDescent="0.2">
      <c r="B52866" s="1168"/>
    </row>
    <row r="52867" spans="2:2" s="221" customFormat="1" ht="12.75" x14ac:dyDescent="0.2">
      <c r="B52867" s="1168"/>
    </row>
    <row r="52868" spans="2:2" s="221" customFormat="1" ht="12.75" x14ac:dyDescent="0.2">
      <c r="B52868" s="1168"/>
    </row>
    <row r="52869" spans="2:2" s="221" customFormat="1" ht="12.75" x14ac:dyDescent="0.2">
      <c r="B52869" s="1168"/>
    </row>
    <row r="52870" spans="2:2" s="221" customFormat="1" ht="12.75" x14ac:dyDescent="0.2">
      <c r="B52870" s="1168"/>
    </row>
    <row r="52871" spans="2:2" s="221" customFormat="1" ht="12.75" x14ac:dyDescent="0.2">
      <c r="B52871" s="1168"/>
    </row>
    <row r="52872" spans="2:2" s="221" customFormat="1" ht="12.75" x14ac:dyDescent="0.2">
      <c r="B52872" s="1168"/>
    </row>
    <row r="52873" spans="2:2" s="221" customFormat="1" ht="12.75" x14ac:dyDescent="0.2">
      <c r="B52873" s="1168"/>
    </row>
    <row r="52874" spans="2:2" s="221" customFormat="1" ht="12.75" x14ac:dyDescent="0.2">
      <c r="B52874" s="1168"/>
    </row>
    <row r="52875" spans="2:2" s="221" customFormat="1" ht="12.75" x14ac:dyDescent="0.2">
      <c r="B52875" s="1168"/>
    </row>
    <row r="52876" spans="2:2" s="221" customFormat="1" ht="12.75" x14ac:dyDescent="0.2">
      <c r="B52876" s="1168"/>
    </row>
    <row r="52877" spans="2:2" s="221" customFormat="1" ht="12.75" x14ac:dyDescent="0.2">
      <c r="B52877" s="1168"/>
    </row>
    <row r="52878" spans="2:2" s="221" customFormat="1" ht="12.75" x14ac:dyDescent="0.2">
      <c r="B52878" s="1168"/>
    </row>
    <row r="52879" spans="2:2" s="221" customFormat="1" ht="12.75" x14ac:dyDescent="0.2">
      <c r="B52879" s="1168"/>
    </row>
    <row r="52880" spans="2:2" s="221" customFormat="1" ht="12.75" x14ac:dyDescent="0.2">
      <c r="B52880" s="1168"/>
    </row>
    <row r="52881" spans="2:2" s="221" customFormat="1" ht="12.75" x14ac:dyDescent="0.2">
      <c r="B52881" s="1168"/>
    </row>
    <row r="52882" spans="2:2" s="221" customFormat="1" ht="12.75" x14ac:dyDescent="0.2">
      <c r="B52882" s="1168"/>
    </row>
    <row r="52883" spans="2:2" s="221" customFormat="1" ht="12.75" x14ac:dyDescent="0.2">
      <c r="B52883" s="1168"/>
    </row>
    <row r="52884" spans="2:2" s="221" customFormat="1" ht="12.75" x14ac:dyDescent="0.2">
      <c r="B52884" s="1168"/>
    </row>
    <row r="52885" spans="2:2" s="221" customFormat="1" ht="12.75" x14ac:dyDescent="0.2">
      <c r="B52885" s="1168"/>
    </row>
    <row r="52886" spans="2:2" s="221" customFormat="1" ht="12.75" x14ac:dyDescent="0.2">
      <c r="B52886" s="1168"/>
    </row>
    <row r="52887" spans="2:2" s="221" customFormat="1" ht="12.75" x14ac:dyDescent="0.2">
      <c r="B52887" s="1168"/>
    </row>
    <row r="52888" spans="2:2" s="221" customFormat="1" ht="12.75" x14ac:dyDescent="0.2">
      <c r="B52888" s="1168"/>
    </row>
    <row r="52889" spans="2:2" s="221" customFormat="1" ht="12.75" x14ac:dyDescent="0.2">
      <c r="B52889" s="1168"/>
    </row>
    <row r="52890" spans="2:2" s="221" customFormat="1" ht="12.75" x14ac:dyDescent="0.2">
      <c r="B52890" s="1168"/>
    </row>
    <row r="52891" spans="2:2" s="221" customFormat="1" ht="12.75" x14ac:dyDescent="0.2">
      <c r="B52891" s="1168"/>
    </row>
    <row r="52892" spans="2:2" s="221" customFormat="1" ht="12.75" x14ac:dyDescent="0.2">
      <c r="B52892" s="1168"/>
    </row>
    <row r="52893" spans="2:2" s="221" customFormat="1" ht="12.75" x14ac:dyDescent="0.2">
      <c r="B52893" s="1168"/>
    </row>
    <row r="52894" spans="2:2" s="221" customFormat="1" ht="12.75" x14ac:dyDescent="0.2">
      <c r="B52894" s="1168"/>
    </row>
    <row r="52895" spans="2:2" s="221" customFormat="1" ht="12.75" x14ac:dyDescent="0.2">
      <c r="B52895" s="1168"/>
    </row>
    <row r="52896" spans="2:2" s="221" customFormat="1" ht="12.75" x14ac:dyDescent="0.2">
      <c r="B52896" s="1168"/>
    </row>
    <row r="52897" spans="2:2" s="221" customFormat="1" ht="12.75" x14ac:dyDescent="0.2">
      <c r="B52897" s="1168"/>
    </row>
    <row r="52898" spans="2:2" s="221" customFormat="1" ht="12.75" x14ac:dyDescent="0.2">
      <c r="B52898" s="1168"/>
    </row>
    <row r="52899" spans="2:2" s="221" customFormat="1" ht="12.75" x14ac:dyDescent="0.2">
      <c r="B52899" s="1168"/>
    </row>
    <row r="52900" spans="2:2" s="221" customFormat="1" ht="12.75" x14ac:dyDescent="0.2">
      <c r="B52900" s="1168"/>
    </row>
    <row r="52901" spans="2:2" s="221" customFormat="1" ht="12.75" x14ac:dyDescent="0.2">
      <c r="B52901" s="1168"/>
    </row>
    <row r="52902" spans="2:2" s="221" customFormat="1" ht="12.75" x14ac:dyDescent="0.2">
      <c r="B52902" s="1168"/>
    </row>
    <row r="52903" spans="2:2" s="221" customFormat="1" ht="12.75" x14ac:dyDescent="0.2">
      <c r="B52903" s="1168"/>
    </row>
    <row r="52904" spans="2:2" s="221" customFormat="1" ht="12.75" x14ac:dyDescent="0.2">
      <c r="B52904" s="1168"/>
    </row>
    <row r="52905" spans="2:2" s="221" customFormat="1" ht="12.75" x14ac:dyDescent="0.2">
      <c r="B52905" s="1168"/>
    </row>
    <row r="52906" spans="2:2" s="221" customFormat="1" ht="12.75" x14ac:dyDescent="0.2">
      <c r="B52906" s="1168"/>
    </row>
    <row r="52907" spans="2:2" s="221" customFormat="1" ht="12.75" x14ac:dyDescent="0.2">
      <c r="B52907" s="1168"/>
    </row>
    <row r="52908" spans="2:2" s="221" customFormat="1" ht="12.75" x14ac:dyDescent="0.2">
      <c r="B52908" s="1168"/>
    </row>
    <row r="52909" spans="2:2" s="221" customFormat="1" ht="12.75" x14ac:dyDescent="0.2">
      <c r="B52909" s="1168"/>
    </row>
    <row r="52910" spans="2:2" s="221" customFormat="1" ht="12.75" x14ac:dyDescent="0.2">
      <c r="B52910" s="1168"/>
    </row>
    <row r="52911" spans="2:2" s="221" customFormat="1" ht="12.75" x14ac:dyDescent="0.2">
      <c r="B52911" s="1168"/>
    </row>
    <row r="52912" spans="2:2" s="221" customFormat="1" ht="12.75" x14ac:dyDescent="0.2">
      <c r="B52912" s="1168"/>
    </row>
    <row r="52913" spans="2:2" s="221" customFormat="1" ht="12.75" x14ac:dyDescent="0.2">
      <c r="B52913" s="1168"/>
    </row>
    <row r="52914" spans="2:2" s="221" customFormat="1" ht="12.75" x14ac:dyDescent="0.2">
      <c r="B52914" s="1168"/>
    </row>
    <row r="52915" spans="2:2" s="221" customFormat="1" ht="12.75" x14ac:dyDescent="0.2">
      <c r="B52915" s="1168"/>
    </row>
    <row r="52916" spans="2:2" s="221" customFormat="1" ht="12.75" x14ac:dyDescent="0.2">
      <c r="B52916" s="1168"/>
    </row>
    <row r="52917" spans="2:2" s="221" customFormat="1" ht="12.75" x14ac:dyDescent="0.2">
      <c r="B52917" s="1168"/>
    </row>
    <row r="52918" spans="2:2" s="221" customFormat="1" ht="12.75" x14ac:dyDescent="0.2">
      <c r="B52918" s="1168"/>
    </row>
    <row r="52919" spans="2:2" s="221" customFormat="1" ht="12.75" x14ac:dyDescent="0.2">
      <c r="B52919" s="1168"/>
    </row>
    <row r="52920" spans="2:2" s="221" customFormat="1" ht="12.75" x14ac:dyDescent="0.2">
      <c r="B52920" s="1168"/>
    </row>
    <row r="52921" spans="2:2" s="221" customFormat="1" ht="12.75" x14ac:dyDescent="0.2">
      <c r="B52921" s="1168"/>
    </row>
    <row r="52922" spans="2:2" s="221" customFormat="1" ht="12.75" x14ac:dyDescent="0.2">
      <c r="B52922" s="1168"/>
    </row>
    <row r="52923" spans="2:2" s="221" customFormat="1" ht="12.75" x14ac:dyDescent="0.2">
      <c r="B52923" s="1168"/>
    </row>
    <row r="52924" spans="2:2" s="221" customFormat="1" ht="12.75" x14ac:dyDescent="0.2">
      <c r="B52924" s="1168"/>
    </row>
    <row r="52925" spans="2:2" s="221" customFormat="1" ht="12.75" x14ac:dyDescent="0.2">
      <c r="B52925" s="1168"/>
    </row>
    <row r="52926" spans="2:2" s="221" customFormat="1" ht="12.75" x14ac:dyDescent="0.2">
      <c r="B52926" s="1168"/>
    </row>
    <row r="52927" spans="2:2" s="221" customFormat="1" ht="12.75" x14ac:dyDescent="0.2">
      <c r="B52927" s="1168"/>
    </row>
    <row r="52928" spans="2:2" s="221" customFormat="1" ht="12.75" x14ac:dyDescent="0.2">
      <c r="B52928" s="1168"/>
    </row>
    <row r="52929" spans="2:2" s="221" customFormat="1" ht="12.75" x14ac:dyDescent="0.2">
      <c r="B52929" s="1168"/>
    </row>
    <row r="52930" spans="2:2" s="221" customFormat="1" ht="12.75" x14ac:dyDescent="0.2">
      <c r="B52930" s="1168"/>
    </row>
    <row r="52931" spans="2:2" s="221" customFormat="1" ht="12.75" x14ac:dyDescent="0.2">
      <c r="B52931" s="1168"/>
    </row>
    <row r="52932" spans="2:2" s="221" customFormat="1" ht="12.75" x14ac:dyDescent="0.2">
      <c r="B52932" s="1168"/>
    </row>
    <row r="52933" spans="2:2" s="221" customFormat="1" ht="12.75" x14ac:dyDescent="0.2">
      <c r="B52933" s="1168"/>
    </row>
    <row r="52934" spans="2:2" s="221" customFormat="1" ht="12.75" x14ac:dyDescent="0.2">
      <c r="B52934" s="1168"/>
    </row>
    <row r="52935" spans="2:2" s="221" customFormat="1" ht="12.75" x14ac:dyDescent="0.2">
      <c r="B52935" s="1168"/>
    </row>
    <row r="52936" spans="2:2" s="221" customFormat="1" ht="12.75" x14ac:dyDescent="0.2">
      <c r="B52936" s="1168"/>
    </row>
    <row r="52937" spans="2:2" s="221" customFormat="1" ht="12.75" x14ac:dyDescent="0.2">
      <c r="B52937" s="1168"/>
    </row>
    <row r="52938" spans="2:2" s="221" customFormat="1" ht="12.75" x14ac:dyDescent="0.2">
      <c r="B52938" s="1168"/>
    </row>
    <row r="52939" spans="2:2" s="221" customFormat="1" ht="12.75" x14ac:dyDescent="0.2">
      <c r="B52939" s="1168"/>
    </row>
    <row r="52940" spans="2:2" s="221" customFormat="1" ht="12.75" x14ac:dyDescent="0.2">
      <c r="B52940" s="1168"/>
    </row>
    <row r="52941" spans="2:2" s="221" customFormat="1" ht="12.75" x14ac:dyDescent="0.2">
      <c r="B52941" s="1168"/>
    </row>
    <row r="52942" spans="2:2" s="221" customFormat="1" ht="12.75" x14ac:dyDescent="0.2">
      <c r="B52942" s="1168"/>
    </row>
    <row r="52943" spans="2:2" s="221" customFormat="1" ht="12.75" x14ac:dyDescent="0.2">
      <c r="B52943" s="1168"/>
    </row>
    <row r="52944" spans="2:2" s="221" customFormat="1" ht="12.75" x14ac:dyDescent="0.2">
      <c r="B52944" s="1168"/>
    </row>
    <row r="52945" spans="2:2" s="221" customFormat="1" ht="12.75" x14ac:dyDescent="0.2">
      <c r="B52945" s="1168"/>
    </row>
    <row r="52946" spans="2:2" s="221" customFormat="1" ht="12.75" x14ac:dyDescent="0.2">
      <c r="B52946" s="1168"/>
    </row>
    <row r="52947" spans="2:2" s="221" customFormat="1" ht="12.75" x14ac:dyDescent="0.2">
      <c r="B52947" s="1168"/>
    </row>
    <row r="52948" spans="2:2" s="221" customFormat="1" ht="12.75" x14ac:dyDescent="0.2">
      <c r="B52948" s="1168"/>
    </row>
    <row r="52949" spans="2:2" s="221" customFormat="1" ht="12.75" x14ac:dyDescent="0.2">
      <c r="B52949" s="1168"/>
    </row>
    <row r="52950" spans="2:2" s="221" customFormat="1" ht="12.75" x14ac:dyDescent="0.2">
      <c r="B52950" s="1168"/>
    </row>
    <row r="52951" spans="2:2" s="221" customFormat="1" ht="12.75" x14ac:dyDescent="0.2">
      <c r="B52951" s="1168"/>
    </row>
    <row r="52952" spans="2:2" s="221" customFormat="1" ht="12.75" x14ac:dyDescent="0.2">
      <c r="B52952" s="1168"/>
    </row>
    <row r="52953" spans="2:2" s="221" customFormat="1" ht="12.75" x14ac:dyDescent="0.2">
      <c r="B52953" s="1168"/>
    </row>
    <row r="52954" spans="2:2" s="221" customFormat="1" ht="12.75" x14ac:dyDescent="0.2">
      <c r="B52954" s="1168"/>
    </row>
    <row r="52955" spans="2:2" s="221" customFormat="1" ht="12.75" x14ac:dyDescent="0.2">
      <c r="B52955" s="1168"/>
    </row>
    <row r="52956" spans="2:2" s="221" customFormat="1" ht="12.75" x14ac:dyDescent="0.2">
      <c r="B52956" s="1168"/>
    </row>
    <row r="52957" spans="2:2" s="221" customFormat="1" ht="12.75" x14ac:dyDescent="0.2">
      <c r="B52957" s="1168"/>
    </row>
    <row r="52958" spans="2:2" s="221" customFormat="1" ht="12.75" x14ac:dyDescent="0.2">
      <c r="B52958" s="1168"/>
    </row>
    <row r="52959" spans="2:2" s="221" customFormat="1" ht="12.75" x14ac:dyDescent="0.2">
      <c r="B52959" s="1168"/>
    </row>
    <row r="52960" spans="2:2" s="221" customFormat="1" ht="12.75" x14ac:dyDescent="0.2">
      <c r="B52960" s="1168"/>
    </row>
    <row r="52961" spans="2:2" s="221" customFormat="1" ht="12.75" x14ac:dyDescent="0.2">
      <c r="B52961" s="1168"/>
    </row>
    <row r="52962" spans="2:2" s="221" customFormat="1" ht="12.75" x14ac:dyDescent="0.2">
      <c r="B52962" s="1168"/>
    </row>
    <row r="52963" spans="2:2" s="221" customFormat="1" ht="12.75" x14ac:dyDescent="0.2">
      <c r="B52963" s="1168"/>
    </row>
    <row r="52964" spans="2:2" s="221" customFormat="1" ht="12.75" x14ac:dyDescent="0.2">
      <c r="B52964" s="1168"/>
    </row>
    <row r="52965" spans="2:2" s="221" customFormat="1" ht="12.75" x14ac:dyDescent="0.2">
      <c r="B52965" s="1168"/>
    </row>
    <row r="52966" spans="2:2" s="221" customFormat="1" ht="12.75" x14ac:dyDescent="0.2">
      <c r="B52966" s="1168"/>
    </row>
    <row r="52967" spans="2:2" s="221" customFormat="1" ht="12.75" x14ac:dyDescent="0.2">
      <c r="B52967" s="1168"/>
    </row>
    <row r="52968" spans="2:2" s="221" customFormat="1" ht="12.75" x14ac:dyDescent="0.2">
      <c r="B52968" s="1168"/>
    </row>
    <row r="52969" spans="2:2" s="221" customFormat="1" ht="12.75" x14ac:dyDescent="0.2">
      <c r="B52969" s="1168"/>
    </row>
    <row r="52970" spans="2:2" s="221" customFormat="1" ht="12.75" x14ac:dyDescent="0.2">
      <c r="B52970" s="1168"/>
    </row>
    <row r="52971" spans="2:2" s="221" customFormat="1" ht="12.75" x14ac:dyDescent="0.2">
      <c r="B52971" s="1168"/>
    </row>
    <row r="52972" spans="2:2" s="221" customFormat="1" ht="12.75" x14ac:dyDescent="0.2">
      <c r="B52972" s="1168"/>
    </row>
    <row r="52973" spans="2:2" s="221" customFormat="1" ht="12.75" x14ac:dyDescent="0.2">
      <c r="B52973" s="1168"/>
    </row>
    <row r="52974" spans="2:2" s="221" customFormat="1" ht="12.75" x14ac:dyDescent="0.2">
      <c r="B52974" s="1168"/>
    </row>
    <row r="52975" spans="2:2" s="221" customFormat="1" ht="12.75" x14ac:dyDescent="0.2">
      <c r="B52975" s="1168"/>
    </row>
    <row r="52976" spans="2:2" s="221" customFormat="1" ht="12.75" x14ac:dyDescent="0.2">
      <c r="B52976" s="1168"/>
    </row>
    <row r="52977" spans="2:2" s="221" customFormat="1" ht="12.75" x14ac:dyDescent="0.2">
      <c r="B52977" s="1168"/>
    </row>
    <row r="52978" spans="2:2" s="221" customFormat="1" ht="12.75" x14ac:dyDescent="0.2">
      <c r="B52978" s="1168"/>
    </row>
    <row r="52979" spans="2:2" s="221" customFormat="1" ht="12.75" x14ac:dyDescent="0.2">
      <c r="B52979" s="1168"/>
    </row>
    <row r="52980" spans="2:2" s="221" customFormat="1" ht="12.75" x14ac:dyDescent="0.2">
      <c r="B52980" s="1168"/>
    </row>
    <row r="52981" spans="2:2" s="221" customFormat="1" ht="12.75" x14ac:dyDescent="0.2">
      <c r="B52981" s="1168"/>
    </row>
    <row r="52982" spans="2:2" s="221" customFormat="1" ht="12.75" x14ac:dyDescent="0.2">
      <c r="B52982" s="1168"/>
    </row>
    <row r="52983" spans="2:2" s="221" customFormat="1" ht="12.75" x14ac:dyDescent="0.2">
      <c r="B52983" s="1168"/>
    </row>
    <row r="52984" spans="2:2" s="221" customFormat="1" ht="12.75" x14ac:dyDescent="0.2">
      <c r="B52984" s="1168"/>
    </row>
    <row r="52985" spans="2:2" s="221" customFormat="1" ht="12.75" x14ac:dyDescent="0.2">
      <c r="B52985" s="1168"/>
    </row>
    <row r="52986" spans="2:2" s="221" customFormat="1" ht="12.75" x14ac:dyDescent="0.2">
      <c r="B52986" s="1168"/>
    </row>
    <row r="52987" spans="2:2" s="221" customFormat="1" ht="12.75" x14ac:dyDescent="0.2">
      <c r="B52987" s="1168"/>
    </row>
    <row r="52988" spans="2:2" s="221" customFormat="1" ht="12.75" x14ac:dyDescent="0.2">
      <c r="B52988" s="1168"/>
    </row>
    <row r="52989" spans="2:2" s="221" customFormat="1" ht="12.75" x14ac:dyDescent="0.2">
      <c r="B52989" s="1168"/>
    </row>
    <row r="52990" spans="2:2" s="221" customFormat="1" ht="12.75" x14ac:dyDescent="0.2">
      <c r="B52990" s="1168"/>
    </row>
    <row r="52991" spans="2:2" s="221" customFormat="1" ht="12.75" x14ac:dyDescent="0.2">
      <c r="B52991" s="1168"/>
    </row>
    <row r="52992" spans="2:2" s="221" customFormat="1" ht="12.75" x14ac:dyDescent="0.2">
      <c r="B52992" s="1168"/>
    </row>
    <row r="52993" spans="2:2" s="221" customFormat="1" ht="12.75" x14ac:dyDescent="0.2">
      <c r="B52993" s="1168"/>
    </row>
    <row r="52994" spans="2:2" s="221" customFormat="1" ht="12.75" x14ac:dyDescent="0.2">
      <c r="B52994" s="1168"/>
    </row>
    <row r="52995" spans="2:2" s="221" customFormat="1" ht="12.75" x14ac:dyDescent="0.2">
      <c r="B52995" s="1168"/>
    </row>
    <row r="52996" spans="2:2" s="221" customFormat="1" ht="12.75" x14ac:dyDescent="0.2">
      <c r="B52996" s="1168"/>
    </row>
    <row r="52997" spans="2:2" s="221" customFormat="1" ht="12.75" x14ac:dyDescent="0.2">
      <c r="B52997" s="1168"/>
    </row>
    <row r="52998" spans="2:2" s="221" customFormat="1" ht="12.75" x14ac:dyDescent="0.2">
      <c r="B52998" s="1168"/>
    </row>
    <row r="52999" spans="2:2" s="221" customFormat="1" ht="12.75" x14ac:dyDescent="0.2">
      <c r="B52999" s="1168"/>
    </row>
    <row r="53000" spans="2:2" s="221" customFormat="1" ht="12.75" x14ac:dyDescent="0.2">
      <c r="B53000" s="1168"/>
    </row>
    <row r="53001" spans="2:2" s="221" customFormat="1" ht="12.75" x14ac:dyDescent="0.2">
      <c r="B53001" s="1168"/>
    </row>
    <row r="53002" spans="2:2" s="221" customFormat="1" ht="12.75" x14ac:dyDescent="0.2">
      <c r="B53002" s="1168"/>
    </row>
    <row r="53003" spans="2:2" s="221" customFormat="1" ht="12.75" x14ac:dyDescent="0.2">
      <c r="B53003" s="1168"/>
    </row>
    <row r="53004" spans="2:2" s="221" customFormat="1" ht="12.75" x14ac:dyDescent="0.2">
      <c r="B53004" s="1168"/>
    </row>
    <row r="53005" spans="2:2" s="221" customFormat="1" ht="12.75" x14ac:dyDescent="0.2">
      <c r="B53005" s="1168"/>
    </row>
    <row r="53006" spans="2:2" s="221" customFormat="1" ht="12.75" x14ac:dyDescent="0.2">
      <c r="B53006" s="1168"/>
    </row>
    <row r="53007" spans="2:2" s="221" customFormat="1" ht="12.75" x14ac:dyDescent="0.2">
      <c r="B53007" s="1168"/>
    </row>
    <row r="53008" spans="2:2" s="221" customFormat="1" ht="12.75" x14ac:dyDescent="0.2">
      <c r="B53008" s="1168"/>
    </row>
    <row r="53009" spans="2:2" s="221" customFormat="1" ht="12.75" x14ac:dyDescent="0.2">
      <c r="B53009" s="1168"/>
    </row>
    <row r="53010" spans="2:2" s="221" customFormat="1" ht="12.75" x14ac:dyDescent="0.2">
      <c r="B53010" s="1168"/>
    </row>
    <row r="53011" spans="2:2" s="221" customFormat="1" ht="12.75" x14ac:dyDescent="0.2">
      <c r="B53011" s="1168"/>
    </row>
    <row r="53012" spans="2:2" s="221" customFormat="1" ht="12.75" x14ac:dyDescent="0.2">
      <c r="B53012" s="1168"/>
    </row>
    <row r="53013" spans="2:2" s="221" customFormat="1" ht="12.75" x14ac:dyDescent="0.2">
      <c r="B53013" s="1168"/>
    </row>
    <row r="53014" spans="2:2" s="221" customFormat="1" ht="12.75" x14ac:dyDescent="0.2">
      <c r="B53014" s="1168"/>
    </row>
    <row r="53015" spans="2:2" s="221" customFormat="1" ht="12.75" x14ac:dyDescent="0.2">
      <c r="B53015" s="1168"/>
    </row>
    <row r="53016" spans="2:2" s="221" customFormat="1" ht="12.75" x14ac:dyDescent="0.2">
      <c r="B53016" s="1168"/>
    </row>
    <row r="53017" spans="2:2" s="221" customFormat="1" ht="12.75" x14ac:dyDescent="0.2">
      <c r="B53017" s="1168"/>
    </row>
    <row r="53018" spans="2:2" s="221" customFormat="1" ht="12.75" x14ac:dyDescent="0.2">
      <c r="B53018" s="1168"/>
    </row>
    <row r="53019" spans="2:2" s="221" customFormat="1" ht="12.75" x14ac:dyDescent="0.2">
      <c r="B53019" s="1168"/>
    </row>
    <row r="53020" spans="2:2" s="221" customFormat="1" ht="12.75" x14ac:dyDescent="0.2">
      <c r="B53020" s="1168"/>
    </row>
    <row r="53021" spans="2:2" s="221" customFormat="1" ht="12.75" x14ac:dyDescent="0.2">
      <c r="B53021" s="1168"/>
    </row>
    <row r="53022" spans="2:2" s="221" customFormat="1" ht="12.75" x14ac:dyDescent="0.2">
      <c r="B53022" s="1168"/>
    </row>
    <row r="53023" spans="2:2" s="221" customFormat="1" ht="12.75" x14ac:dyDescent="0.2">
      <c r="B53023" s="1168"/>
    </row>
    <row r="53024" spans="2:2" s="221" customFormat="1" ht="12.75" x14ac:dyDescent="0.2">
      <c r="B53024" s="1168"/>
    </row>
    <row r="53025" spans="2:2" s="221" customFormat="1" ht="12.75" x14ac:dyDescent="0.2">
      <c r="B53025" s="1168"/>
    </row>
    <row r="53026" spans="2:2" s="221" customFormat="1" ht="12.75" x14ac:dyDescent="0.2">
      <c r="B53026" s="1168"/>
    </row>
    <row r="53027" spans="2:2" s="221" customFormat="1" ht="12.75" x14ac:dyDescent="0.2">
      <c r="B53027" s="1168"/>
    </row>
    <row r="53028" spans="2:2" s="221" customFormat="1" ht="12.75" x14ac:dyDescent="0.2">
      <c r="B53028" s="1168"/>
    </row>
    <row r="53029" spans="2:2" s="221" customFormat="1" ht="12.75" x14ac:dyDescent="0.2">
      <c r="B53029" s="1168"/>
    </row>
    <row r="53030" spans="2:2" s="221" customFormat="1" ht="12.75" x14ac:dyDescent="0.2">
      <c r="B53030" s="1168"/>
    </row>
    <row r="53031" spans="2:2" s="221" customFormat="1" ht="12.75" x14ac:dyDescent="0.2">
      <c r="B53031" s="1168"/>
    </row>
    <row r="53032" spans="2:2" s="221" customFormat="1" ht="12.75" x14ac:dyDescent="0.2">
      <c r="B53032" s="1168"/>
    </row>
    <row r="53033" spans="2:2" s="221" customFormat="1" ht="12.75" x14ac:dyDescent="0.2">
      <c r="B53033" s="1168"/>
    </row>
    <row r="53034" spans="2:2" s="221" customFormat="1" ht="12.75" x14ac:dyDescent="0.2">
      <c r="B53034" s="1168"/>
    </row>
    <row r="53035" spans="2:2" s="221" customFormat="1" ht="12.75" x14ac:dyDescent="0.2">
      <c r="B53035" s="1168"/>
    </row>
    <row r="53036" spans="2:2" s="221" customFormat="1" ht="12.75" x14ac:dyDescent="0.2">
      <c r="B53036" s="1168"/>
    </row>
    <row r="53037" spans="2:2" s="221" customFormat="1" ht="12.75" x14ac:dyDescent="0.2">
      <c r="B53037" s="1168"/>
    </row>
    <row r="53038" spans="2:2" s="221" customFormat="1" ht="12.75" x14ac:dyDescent="0.2">
      <c r="B53038" s="1168"/>
    </row>
    <row r="53039" spans="2:2" s="221" customFormat="1" ht="12.75" x14ac:dyDescent="0.2">
      <c r="B53039" s="1168"/>
    </row>
    <row r="53040" spans="2:2" s="221" customFormat="1" ht="12.75" x14ac:dyDescent="0.2">
      <c r="B53040" s="1168"/>
    </row>
    <row r="53041" spans="2:2" s="221" customFormat="1" ht="12.75" x14ac:dyDescent="0.2">
      <c r="B53041" s="1168"/>
    </row>
    <row r="53042" spans="2:2" s="221" customFormat="1" ht="12.75" x14ac:dyDescent="0.2">
      <c r="B53042" s="1168"/>
    </row>
    <row r="53043" spans="2:2" s="221" customFormat="1" ht="12.75" x14ac:dyDescent="0.2">
      <c r="B53043" s="1168"/>
    </row>
    <row r="53044" spans="2:2" s="221" customFormat="1" ht="12.75" x14ac:dyDescent="0.2">
      <c r="B53044" s="1168"/>
    </row>
    <row r="53045" spans="2:2" s="221" customFormat="1" ht="12.75" x14ac:dyDescent="0.2">
      <c r="B53045" s="1168"/>
    </row>
    <row r="53046" spans="2:2" s="221" customFormat="1" ht="12.75" x14ac:dyDescent="0.2">
      <c r="B53046" s="1168"/>
    </row>
    <row r="53047" spans="2:2" s="221" customFormat="1" ht="12.75" x14ac:dyDescent="0.2">
      <c r="B53047" s="1168"/>
    </row>
    <row r="53048" spans="2:2" s="221" customFormat="1" ht="12.75" x14ac:dyDescent="0.2">
      <c r="B53048" s="1168"/>
    </row>
    <row r="53049" spans="2:2" s="221" customFormat="1" ht="12.75" x14ac:dyDescent="0.2">
      <c r="B53049" s="1168"/>
    </row>
    <row r="53050" spans="2:2" s="221" customFormat="1" ht="12.75" x14ac:dyDescent="0.2">
      <c r="B53050" s="1168"/>
    </row>
    <row r="53051" spans="2:2" s="221" customFormat="1" ht="12.75" x14ac:dyDescent="0.2">
      <c r="B53051" s="1168"/>
    </row>
    <row r="53052" spans="2:2" s="221" customFormat="1" ht="12.75" x14ac:dyDescent="0.2">
      <c r="B53052" s="1168"/>
    </row>
    <row r="53053" spans="2:2" s="221" customFormat="1" ht="12.75" x14ac:dyDescent="0.2">
      <c r="B53053" s="1168"/>
    </row>
    <row r="53054" spans="2:2" s="221" customFormat="1" ht="12.75" x14ac:dyDescent="0.2">
      <c r="B53054" s="1168"/>
    </row>
    <row r="53055" spans="2:2" s="221" customFormat="1" ht="12.75" x14ac:dyDescent="0.2">
      <c r="B53055" s="1168"/>
    </row>
    <row r="53056" spans="2:2" s="221" customFormat="1" ht="12.75" x14ac:dyDescent="0.2">
      <c r="B53056" s="1168"/>
    </row>
    <row r="53057" spans="2:2" s="221" customFormat="1" ht="12.75" x14ac:dyDescent="0.2">
      <c r="B53057" s="1168"/>
    </row>
    <row r="53058" spans="2:2" s="221" customFormat="1" ht="12.75" x14ac:dyDescent="0.2">
      <c r="B53058" s="1168"/>
    </row>
    <row r="53059" spans="2:2" s="221" customFormat="1" ht="12.75" x14ac:dyDescent="0.2">
      <c r="B53059" s="1168"/>
    </row>
    <row r="53060" spans="2:2" s="221" customFormat="1" ht="12.75" x14ac:dyDescent="0.2">
      <c r="B53060" s="1168"/>
    </row>
    <row r="53061" spans="2:2" s="221" customFormat="1" ht="12.75" x14ac:dyDescent="0.2">
      <c r="B53061" s="1168"/>
    </row>
    <row r="53062" spans="2:2" s="221" customFormat="1" ht="12.75" x14ac:dyDescent="0.2">
      <c r="B53062" s="1168"/>
    </row>
    <row r="53063" spans="2:2" s="221" customFormat="1" ht="12.75" x14ac:dyDescent="0.2">
      <c r="B53063" s="1168"/>
    </row>
    <row r="53064" spans="2:2" s="221" customFormat="1" ht="12.75" x14ac:dyDescent="0.2">
      <c r="B53064" s="1168"/>
    </row>
    <row r="53065" spans="2:2" s="221" customFormat="1" ht="12.75" x14ac:dyDescent="0.2">
      <c r="B53065" s="1168"/>
    </row>
    <row r="53066" spans="2:2" s="221" customFormat="1" ht="12.75" x14ac:dyDescent="0.2">
      <c r="B53066" s="1168"/>
    </row>
    <row r="53067" spans="2:2" s="221" customFormat="1" ht="12.75" x14ac:dyDescent="0.2">
      <c r="B53067" s="1168"/>
    </row>
    <row r="53068" spans="2:2" s="221" customFormat="1" ht="12.75" x14ac:dyDescent="0.2">
      <c r="B53068" s="1168"/>
    </row>
    <row r="53069" spans="2:2" s="221" customFormat="1" ht="12.75" x14ac:dyDescent="0.2">
      <c r="B53069" s="1168"/>
    </row>
    <row r="53070" spans="2:2" s="221" customFormat="1" ht="12.75" x14ac:dyDescent="0.2">
      <c r="B53070" s="1168"/>
    </row>
    <row r="53071" spans="2:2" s="221" customFormat="1" ht="12.75" x14ac:dyDescent="0.2">
      <c r="B53071" s="1168"/>
    </row>
    <row r="53072" spans="2:2" s="221" customFormat="1" ht="12.75" x14ac:dyDescent="0.2">
      <c r="B53072" s="1168"/>
    </row>
    <row r="53073" spans="2:2" s="221" customFormat="1" ht="12.75" x14ac:dyDescent="0.2">
      <c r="B53073" s="1168"/>
    </row>
    <row r="53074" spans="2:2" s="221" customFormat="1" ht="12.75" x14ac:dyDescent="0.2">
      <c r="B53074" s="1168"/>
    </row>
    <row r="53075" spans="2:2" s="221" customFormat="1" ht="12.75" x14ac:dyDescent="0.2">
      <c r="B53075" s="1168"/>
    </row>
    <row r="53076" spans="2:2" s="221" customFormat="1" ht="12.75" x14ac:dyDescent="0.2">
      <c r="B53076" s="1168"/>
    </row>
    <row r="53077" spans="2:2" s="221" customFormat="1" ht="12.75" x14ac:dyDescent="0.2">
      <c r="B53077" s="1168"/>
    </row>
    <row r="53078" spans="2:2" s="221" customFormat="1" ht="12.75" x14ac:dyDescent="0.2">
      <c r="B53078" s="1168"/>
    </row>
    <row r="53079" spans="2:2" s="221" customFormat="1" ht="12.75" x14ac:dyDescent="0.2">
      <c r="B53079" s="1168"/>
    </row>
    <row r="53080" spans="2:2" s="221" customFormat="1" ht="12.75" x14ac:dyDescent="0.2">
      <c r="B53080" s="1168"/>
    </row>
    <row r="53081" spans="2:2" s="221" customFormat="1" ht="12.75" x14ac:dyDescent="0.2">
      <c r="B53081" s="1168"/>
    </row>
    <row r="53082" spans="2:2" s="221" customFormat="1" ht="12.75" x14ac:dyDescent="0.2">
      <c r="B53082" s="1168"/>
    </row>
    <row r="53083" spans="2:2" s="221" customFormat="1" ht="12.75" x14ac:dyDescent="0.2">
      <c r="B53083" s="1168"/>
    </row>
    <row r="53084" spans="2:2" s="221" customFormat="1" ht="12.75" x14ac:dyDescent="0.2">
      <c r="B53084" s="1168"/>
    </row>
    <row r="53085" spans="2:2" s="221" customFormat="1" ht="12.75" x14ac:dyDescent="0.2">
      <c r="B53085" s="1168"/>
    </row>
    <row r="53086" spans="2:2" s="221" customFormat="1" ht="12.75" x14ac:dyDescent="0.2">
      <c r="B53086" s="1168"/>
    </row>
    <row r="53087" spans="2:2" s="221" customFormat="1" ht="12.75" x14ac:dyDescent="0.2">
      <c r="B53087" s="1168"/>
    </row>
    <row r="53088" spans="2:2" s="221" customFormat="1" ht="12.75" x14ac:dyDescent="0.2">
      <c r="B53088" s="1168"/>
    </row>
    <row r="53089" spans="2:2" s="221" customFormat="1" ht="12.75" x14ac:dyDescent="0.2">
      <c r="B53089" s="1168"/>
    </row>
    <row r="53090" spans="2:2" s="221" customFormat="1" ht="12.75" x14ac:dyDescent="0.2">
      <c r="B53090" s="1168"/>
    </row>
    <row r="53091" spans="2:2" s="221" customFormat="1" ht="12.75" x14ac:dyDescent="0.2">
      <c r="B53091" s="1168"/>
    </row>
    <row r="53092" spans="2:2" s="221" customFormat="1" ht="12.75" x14ac:dyDescent="0.2">
      <c r="B53092" s="1168"/>
    </row>
    <row r="53093" spans="2:2" s="221" customFormat="1" ht="12.75" x14ac:dyDescent="0.2">
      <c r="B53093" s="1168"/>
    </row>
    <row r="53094" spans="2:2" s="221" customFormat="1" ht="12.75" x14ac:dyDescent="0.2">
      <c r="B53094" s="1168"/>
    </row>
    <row r="53095" spans="2:2" s="221" customFormat="1" ht="12.75" x14ac:dyDescent="0.2">
      <c r="B53095" s="1168"/>
    </row>
    <row r="53096" spans="2:2" s="221" customFormat="1" ht="12.75" x14ac:dyDescent="0.2">
      <c r="B53096" s="1168"/>
    </row>
    <row r="53097" spans="2:2" s="221" customFormat="1" ht="12.75" x14ac:dyDescent="0.2">
      <c r="B53097" s="1168"/>
    </row>
    <row r="53098" spans="2:2" s="221" customFormat="1" ht="12.75" x14ac:dyDescent="0.2">
      <c r="B53098" s="1168"/>
    </row>
    <row r="53099" spans="2:2" s="221" customFormat="1" ht="12.75" x14ac:dyDescent="0.2">
      <c r="B53099" s="1168"/>
    </row>
    <row r="53100" spans="2:2" s="221" customFormat="1" ht="12.75" x14ac:dyDescent="0.2">
      <c r="B53100" s="1168"/>
    </row>
    <row r="53101" spans="2:2" s="221" customFormat="1" ht="12.75" x14ac:dyDescent="0.2">
      <c r="B53101" s="1168"/>
    </row>
    <row r="53102" spans="2:2" s="221" customFormat="1" ht="12.75" x14ac:dyDescent="0.2">
      <c r="B53102" s="1168"/>
    </row>
    <row r="53103" spans="2:2" s="221" customFormat="1" ht="12.75" x14ac:dyDescent="0.2">
      <c r="B53103" s="1168"/>
    </row>
    <row r="53104" spans="2:2" s="221" customFormat="1" ht="12.75" x14ac:dyDescent="0.2">
      <c r="B53104" s="1168"/>
    </row>
    <row r="53105" spans="2:2" s="221" customFormat="1" ht="12.75" x14ac:dyDescent="0.2">
      <c r="B53105" s="1168"/>
    </row>
    <row r="53106" spans="2:2" s="221" customFormat="1" ht="12.75" x14ac:dyDescent="0.2">
      <c r="B53106" s="1168"/>
    </row>
    <row r="53107" spans="2:2" s="221" customFormat="1" ht="12.75" x14ac:dyDescent="0.2">
      <c r="B53107" s="1168"/>
    </row>
    <row r="53108" spans="2:2" s="221" customFormat="1" ht="12.75" x14ac:dyDescent="0.2">
      <c r="B53108" s="1168"/>
    </row>
    <row r="53109" spans="2:2" s="221" customFormat="1" ht="12.75" x14ac:dyDescent="0.2">
      <c r="B53109" s="1168"/>
    </row>
    <row r="53110" spans="2:2" s="221" customFormat="1" ht="12.75" x14ac:dyDescent="0.2">
      <c r="B53110" s="1168"/>
    </row>
    <row r="53111" spans="2:2" s="221" customFormat="1" ht="12.75" x14ac:dyDescent="0.2">
      <c r="B53111" s="1168"/>
    </row>
    <row r="53112" spans="2:2" s="221" customFormat="1" ht="12.75" x14ac:dyDescent="0.2">
      <c r="B53112" s="1168"/>
    </row>
    <row r="53113" spans="2:2" s="221" customFormat="1" ht="12.75" x14ac:dyDescent="0.2">
      <c r="B53113" s="1168"/>
    </row>
    <row r="53114" spans="2:2" s="221" customFormat="1" ht="12.75" x14ac:dyDescent="0.2">
      <c r="B53114" s="1168"/>
    </row>
    <row r="53115" spans="2:2" s="221" customFormat="1" ht="12.75" x14ac:dyDescent="0.2">
      <c r="B53115" s="1168"/>
    </row>
    <row r="53116" spans="2:2" s="221" customFormat="1" ht="12.75" x14ac:dyDescent="0.2">
      <c r="B53116" s="1168"/>
    </row>
    <row r="53117" spans="2:2" s="221" customFormat="1" ht="12.75" x14ac:dyDescent="0.2">
      <c r="B53117" s="1168"/>
    </row>
    <row r="53118" spans="2:2" s="221" customFormat="1" ht="12.75" x14ac:dyDescent="0.2">
      <c r="B53118" s="1168"/>
    </row>
    <row r="53119" spans="2:2" s="221" customFormat="1" ht="12.75" x14ac:dyDescent="0.2">
      <c r="B53119" s="1168"/>
    </row>
    <row r="53120" spans="2:2" s="221" customFormat="1" ht="12.75" x14ac:dyDescent="0.2">
      <c r="B53120" s="1168"/>
    </row>
    <row r="53121" spans="2:2" s="221" customFormat="1" ht="12.75" x14ac:dyDescent="0.2">
      <c r="B53121" s="1168"/>
    </row>
    <row r="53122" spans="2:2" s="221" customFormat="1" ht="12.75" x14ac:dyDescent="0.2">
      <c r="B53122" s="1168"/>
    </row>
    <row r="53123" spans="2:2" s="221" customFormat="1" ht="12.75" x14ac:dyDescent="0.2">
      <c r="B53123" s="1168"/>
    </row>
    <row r="53124" spans="2:2" s="221" customFormat="1" ht="12.75" x14ac:dyDescent="0.2">
      <c r="B53124" s="1168"/>
    </row>
    <row r="53125" spans="2:2" s="221" customFormat="1" ht="12.75" x14ac:dyDescent="0.2">
      <c r="B53125" s="1168"/>
    </row>
    <row r="53126" spans="2:2" s="221" customFormat="1" ht="12.75" x14ac:dyDescent="0.2">
      <c r="B53126" s="1168"/>
    </row>
    <row r="53127" spans="2:2" s="221" customFormat="1" ht="12.75" x14ac:dyDescent="0.2">
      <c r="B53127" s="1168"/>
    </row>
    <row r="53128" spans="2:2" s="221" customFormat="1" ht="12.75" x14ac:dyDescent="0.2">
      <c r="B53128" s="1168"/>
    </row>
    <row r="53129" spans="2:2" s="221" customFormat="1" ht="12.75" x14ac:dyDescent="0.2">
      <c r="B53129" s="1168"/>
    </row>
    <row r="53130" spans="2:2" s="221" customFormat="1" ht="12.75" x14ac:dyDescent="0.2">
      <c r="B53130" s="1168"/>
    </row>
    <row r="53131" spans="2:2" s="221" customFormat="1" ht="12.75" x14ac:dyDescent="0.2">
      <c r="B53131" s="1168"/>
    </row>
    <row r="53132" spans="2:2" s="221" customFormat="1" ht="12.75" x14ac:dyDescent="0.2">
      <c r="B53132" s="1168"/>
    </row>
    <row r="53133" spans="2:2" s="221" customFormat="1" ht="12.75" x14ac:dyDescent="0.2">
      <c r="B53133" s="1168"/>
    </row>
    <row r="53134" spans="2:2" s="221" customFormat="1" ht="12.75" x14ac:dyDescent="0.2">
      <c r="B53134" s="1168"/>
    </row>
    <row r="53135" spans="2:2" s="221" customFormat="1" ht="12.75" x14ac:dyDescent="0.2">
      <c r="B53135" s="1168"/>
    </row>
    <row r="53136" spans="2:2" s="221" customFormat="1" ht="12.75" x14ac:dyDescent="0.2">
      <c r="B53136" s="1168"/>
    </row>
    <row r="53137" spans="2:2" s="221" customFormat="1" ht="12.75" x14ac:dyDescent="0.2">
      <c r="B53137" s="1168"/>
    </row>
    <row r="53138" spans="2:2" s="221" customFormat="1" ht="12.75" x14ac:dyDescent="0.2">
      <c r="B53138" s="1168"/>
    </row>
    <row r="53139" spans="2:2" s="221" customFormat="1" ht="12.75" x14ac:dyDescent="0.2">
      <c r="B53139" s="1168"/>
    </row>
    <row r="53140" spans="2:2" s="221" customFormat="1" ht="12.75" x14ac:dyDescent="0.2">
      <c r="B53140" s="1168"/>
    </row>
    <row r="53141" spans="2:2" s="221" customFormat="1" ht="12.75" x14ac:dyDescent="0.2">
      <c r="B53141" s="1168"/>
    </row>
    <row r="53142" spans="2:2" s="221" customFormat="1" ht="12.75" x14ac:dyDescent="0.2">
      <c r="B53142" s="1168"/>
    </row>
    <row r="53143" spans="2:2" s="221" customFormat="1" ht="12.75" x14ac:dyDescent="0.2">
      <c r="B53143" s="1168"/>
    </row>
    <row r="53144" spans="2:2" s="221" customFormat="1" ht="12.75" x14ac:dyDescent="0.2">
      <c r="B53144" s="1168"/>
    </row>
    <row r="53145" spans="2:2" s="221" customFormat="1" ht="12.75" x14ac:dyDescent="0.2">
      <c r="B53145" s="1168"/>
    </row>
    <row r="53146" spans="2:2" s="221" customFormat="1" ht="12.75" x14ac:dyDescent="0.2">
      <c r="B53146" s="1168"/>
    </row>
    <row r="53147" spans="2:2" s="221" customFormat="1" ht="12.75" x14ac:dyDescent="0.2">
      <c r="B53147" s="1168"/>
    </row>
    <row r="53148" spans="2:2" s="221" customFormat="1" ht="12.75" x14ac:dyDescent="0.2">
      <c r="B53148" s="1168"/>
    </row>
    <row r="53149" spans="2:2" s="221" customFormat="1" ht="12.75" x14ac:dyDescent="0.2">
      <c r="B53149" s="1168"/>
    </row>
    <row r="53150" spans="2:2" s="221" customFormat="1" ht="12.75" x14ac:dyDescent="0.2">
      <c r="B53150" s="1168"/>
    </row>
    <row r="53151" spans="2:2" s="221" customFormat="1" ht="12.75" x14ac:dyDescent="0.2">
      <c r="B53151" s="1168"/>
    </row>
    <row r="53152" spans="2:2" s="221" customFormat="1" ht="12.75" x14ac:dyDescent="0.2">
      <c r="B53152" s="1168"/>
    </row>
    <row r="53153" spans="2:2" s="221" customFormat="1" ht="12.75" x14ac:dyDescent="0.2">
      <c r="B53153" s="1168"/>
    </row>
    <row r="53154" spans="2:2" s="221" customFormat="1" ht="12.75" x14ac:dyDescent="0.2">
      <c r="B53154" s="1168"/>
    </row>
    <row r="53155" spans="2:2" s="221" customFormat="1" ht="12.75" x14ac:dyDescent="0.2">
      <c r="B53155" s="1168"/>
    </row>
    <row r="53156" spans="2:2" s="221" customFormat="1" ht="12.75" x14ac:dyDescent="0.2">
      <c r="B53156" s="1168"/>
    </row>
    <row r="53157" spans="2:2" s="221" customFormat="1" ht="12.75" x14ac:dyDescent="0.2">
      <c r="B53157" s="1168"/>
    </row>
    <row r="53158" spans="2:2" s="221" customFormat="1" ht="12.75" x14ac:dyDescent="0.2">
      <c r="B53158" s="1168"/>
    </row>
    <row r="53159" spans="2:2" s="221" customFormat="1" ht="12.75" x14ac:dyDescent="0.2">
      <c r="B53159" s="1168"/>
    </row>
    <row r="53160" spans="2:2" s="221" customFormat="1" ht="12.75" x14ac:dyDescent="0.2">
      <c r="B53160" s="1168"/>
    </row>
    <row r="53161" spans="2:2" s="221" customFormat="1" ht="12.75" x14ac:dyDescent="0.2">
      <c r="B53161" s="1168"/>
    </row>
    <row r="53162" spans="2:2" s="221" customFormat="1" ht="12.75" x14ac:dyDescent="0.2">
      <c r="B53162" s="1168"/>
    </row>
    <row r="53163" spans="2:2" s="221" customFormat="1" ht="12.75" x14ac:dyDescent="0.2">
      <c r="B53163" s="1168"/>
    </row>
    <row r="53164" spans="2:2" s="221" customFormat="1" ht="12.75" x14ac:dyDescent="0.2">
      <c r="B53164" s="1168"/>
    </row>
    <row r="53165" spans="2:2" s="221" customFormat="1" ht="12.75" x14ac:dyDescent="0.2">
      <c r="B53165" s="1168"/>
    </row>
    <row r="53166" spans="2:2" s="221" customFormat="1" ht="12.75" x14ac:dyDescent="0.2">
      <c r="B53166" s="1168"/>
    </row>
    <row r="53167" spans="2:2" s="221" customFormat="1" ht="12.75" x14ac:dyDescent="0.2">
      <c r="B53167" s="1168"/>
    </row>
    <row r="53168" spans="2:2" s="221" customFormat="1" ht="12.75" x14ac:dyDescent="0.2">
      <c r="B53168" s="1168"/>
    </row>
    <row r="53169" spans="2:2" s="221" customFormat="1" ht="12.75" x14ac:dyDescent="0.2">
      <c r="B53169" s="1168"/>
    </row>
    <row r="53170" spans="2:2" s="221" customFormat="1" ht="12.75" x14ac:dyDescent="0.2">
      <c r="B53170" s="1168"/>
    </row>
    <row r="53171" spans="2:2" s="221" customFormat="1" ht="12.75" x14ac:dyDescent="0.2">
      <c r="B53171" s="1168"/>
    </row>
    <row r="53172" spans="2:2" s="221" customFormat="1" ht="12.75" x14ac:dyDescent="0.2">
      <c r="B53172" s="1168"/>
    </row>
    <row r="53173" spans="2:2" s="221" customFormat="1" ht="12.75" x14ac:dyDescent="0.2">
      <c r="B53173" s="1168"/>
    </row>
    <row r="53174" spans="2:2" s="221" customFormat="1" ht="12.75" x14ac:dyDescent="0.2">
      <c r="B53174" s="1168"/>
    </row>
    <row r="53175" spans="2:2" s="221" customFormat="1" ht="12.75" x14ac:dyDescent="0.2">
      <c r="B53175" s="1168"/>
    </row>
    <row r="53176" spans="2:2" s="221" customFormat="1" ht="12.75" x14ac:dyDescent="0.2">
      <c r="B53176" s="1168"/>
    </row>
    <row r="53177" spans="2:2" s="221" customFormat="1" ht="12.75" x14ac:dyDescent="0.2">
      <c r="B53177" s="1168"/>
    </row>
    <row r="53178" spans="2:2" s="221" customFormat="1" ht="12.75" x14ac:dyDescent="0.2">
      <c r="B53178" s="1168"/>
    </row>
    <row r="53179" spans="2:2" s="221" customFormat="1" ht="12.75" x14ac:dyDescent="0.2">
      <c r="B53179" s="1168"/>
    </row>
    <row r="53180" spans="2:2" s="221" customFormat="1" ht="12.75" x14ac:dyDescent="0.2">
      <c r="B53180" s="1168"/>
    </row>
    <row r="53181" spans="2:2" s="221" customFormat="1" ht="12.75" x14ac:dyDescent="0.2">
      <c r="B53181" s="1168"/>
    </row>
    <row r="53182" spans="2:2" s="221" customFormat="1" ht="12.75" x14ac:dyDescent="0.2">
      <c r="B53182" s="1168"/>
    </row>
    <row r="53183" spans="2:2" s="221" customFormat="1" ht="12.75" x14ac:dyDescent="0.2">
      <c r="B53183" s="1168"/>
    </row>
    <row r="53184" spans="2:2" s="221" customFormat="1" ht="12.75" x14ac:dyDescent="0.2">
      <c r="B53184" s="1168"/>
    </row>
    <row r="53185" spans="2:2" s="221" customFormat="1" ht="12.75" x14ac:dyDescent="0.2">
      <c r="B53185" s="1168"/>
    </row>
    <row r="53186" spans="2:2" s="221" customFormat="1" ht="12.75" x14ac:dyDescent="0.2">
      <c r="B53186" s="1168"/>
    </row>
    <row r="53187" spans="2:2" s="221" customFormat="1" ht="12.75" x14ac:dyDescent="0.2">
      <c r="B53187" s="1168"/>
    </row>
    <row r="53188" spans="2:2" s="221" customFormat="1" ht="12.75" x14ac:dyDescent="0.2">
      <c r="B53188" s="1168"/>
    </row>
    <row r="53189" spans="2:2" s="221" customFormat="1" ht="12.75" x14ac:dyDescent="0.2">
      <c r="B53189" s="1168"/>
    </row>
    <row r="53190" spans="2:2" s="221" customFormat="1" ht="12.75" x14ac:dyDescent="0.2">
      <c r="B53190" s="1168"/>
    </row>
    <row r="53191" spans="2:2" s="221" customFormat="1" ht="12.75" x14ac:dyDescent="0.2">
      <c r="B53191" s="1168"/>
    </row>
    <row r="53192" spans="2:2" s="221" customFormat="1" ht="12.75" x14ac:dyDescent="0.2">
      <c r="B53192" s="1168"/>
    </row>
    <row r="53193" spans="2:2" s="221" customFormat="1" ht="12.75" x14ac:dyDescent="0.2">
      <c r="B53193" s="1168"/>
    </row>
    <row r="53194" spans="2:2" s="221" customFormat="1" ht="12.75" x14ac:dyDescent="0.2">
      <c r="B53194" s="1168"/>
    </row>
    <row r="53195" spans="2:2" s="221" customFormat="1" ht="12.75" x14ac:dyDescent="0.2">
      <c r="B53195" s="1168"/>
    </row>
    <row r="53196" spans="2:2" s="221" customFormat="1" ht="12.75" x14ac:dyDescent="0.2">
      <c r="B53196" s="1168"/>
    </row>
    <row r="53197" spans="2:2" s="221" customFormat="1" ht="12.75" x14ac:dyDescent="0.2">
      <c r="B53197" s="1168"/>
    </row>
    <row r="53198" spans="2:2" s="221" customFormat="1" ht="12.75" x14ac:dyDescent="0.2">
      <c r="B53198" s="1168"/>
    </row>
    <row r="53199" spans="2:2" s="221" customFormat="1" ht="12.75" x14ac:dyDescent="0.2">
      <c r="B53199" s="1168"/>
    </row>
    <row r="53200" spans="2:2" s="221" customFormat="1" ht="12.75" x14ac:dyDescent="0.2">
      <c r="B53200" s="1168"/>
    </row>
    <row r="53201" spans="2:2" s="221" customFormat="1" ht="12.75" x14ac:dyDescent="0.2">
      <c r="B53201" s="1168"/>
    </row>
    <row r="53202" spans="2:2" s="221" customFormat="1" ht="12.75" x14ac:dyDescent="0.2">
      <c r="B53202" s="1168"/>
    </row>
    <row r="53203" spans="2:2" s="221" customFormat="1" ht="12.75" x14ac:dyDescent="0.2">
      <c r="B53203" s="1168"/>
    </row>
    <row r="53204" spans="2:2" s="221" customFormat="1" ht="12.75" x14ac:dyDescent="0.2">
      <c r="B53204" s="1168"/>
    </row>
    <row r="53205" spans="2:2" s="221" customFormat="1" ht="12.75" x14ac:dyDescent="0.2">
      <c r="B53205" s="1168"/>
    </row>
    <row r="53206" spans="2:2" s="221" customFormat="1" ht="12.75" x14ac:dyDescent="0.2">
      <c r="B53206" s="1168"/>
    </row>
    <row r="53207" spans="2:2" s="221" customFormat="1" ht="12.75" x14ac:dyDescent="0.2">
      <c r="B53207" s="1168"/>
    </row>
    <row r="53208" spans="2:2" s="221" customFormat="1" ht="12.75" x14ac:dyDescent="0.2">
      <c r="B53208" s="1168"/>
    </row>
    <row r="53209" spans="2:2" s="221" customFormat="1" ht="12.75" x14ac:dyDescent="0.2">
      <c r="B53209" s="1168"/>
    </row>
    <row r="53210" spans="2:2" s="221" customFormat="1" ht="12.75" x14ac:dyDescent="0.2">
      <c r="B53210" s="1168"/>
    </row>
    <row r="53211" spans="2:2" s="221" customFormat="1" ht="12.75" x14ac:dyDescent="0.2">
      <c r="B53211" s="1168"/>
    </row>
    <row r="53212" spans="2:2" s="221" customFormat="1" ht="12.75" x14ac:dyDescent="0.2">
      <c r="B53212" s="1168"/>
    </row>
    <row r="53213" spans="2:2" s="221" customFormat="1" ht="12.75" x14ac:dyDescent="0.2">
      <c r="B53213" s="1168"/>
    </row>
    <row r="53214" spans="2:2" s="221" customFormat="1" ht="12.75" x14ac:dyDescent="0.2">
      <c r="B53214" s="1168"/>
    </row>
    <row r="53215" spans="2:2" s="221" customFormat="1" ht="12.75" x14ac:dyDescent="0.2">
      <c r="B53215" s="1168"/>
    </row>
    <row r="53216" spans="2:2" s="221" customFormat="1" ht="12.75" x14ac:dyDescent="0.2">
      <c r="B53216" s="1168"/>
    </row>
    <row r="53217" spans="2:2" s="221" customFormat="1" ht="12.75" x14ac:dyDescent="0.2">
      <c r="B53217" s="1168"/>
    </row>
    <row r="53218" spans="2:2" s="221" customFormat="1" ht="12.75" x14ac:dyDescent="0.2">
      <c r="B53218" s="1168"/>
    </row>
    <row r="53219" spans="2:2" s="221" customFormat="1" ht="12.75" x14ac:dyDescent="0.2">
      <c r="B53219" s="1168"/>
    </row>
    <row r="53220" spans="2:2" s="221" customFormat="1" ht="12.75" x14ac:dyDescent="0.2">
      <c r="B53220" s="1168"/>
    </row>
    <row r="53221" spans="2:2" s="221" customFormat="1" ht="12.75" x14ac:dyDescent="0.2">
      <c r="B53221" s="1168"/>
    </row>
    <row r="53222" spans="2:2" s="221" customFormat="1" ht="12.75" x14ac:dyDescent="0.2">
      <c r="B53222" s="1168"/>
    </row>
    <row r="53223" spans="2:2" s="221" customFormat="1" ht="12.75" x14ac:dyDescent="0.2">
      <c r="B53223" s="1168"/>
    </row>
    <row r="53224" spans="2:2" s="221" customFormat="1" ht="12.75" x14ac:dyDescent="0.2">
      <c r="B53224" s="1168"/>
    </row>
    <row r="53225" spans="2:2" s="221" customFormat="1" ht="12.75" x14ac:dyDescent="0.2">
      <c r="B53225" s="1168"/>
    </row>
    <row r="53226" spans="2:2" s="221" customFormat="1" ht="12.75" x14ac:dyDescent="0.2">
      <c r="B53226" s="1168"/>
    </row>
    <row r="53227" spans="2:2" s="221" customFormat="1" ht="12.75" x14ac:dyDescent="0.2">
      <c r="B53227" s="1168"/>
    </row>
    <row r="53228" spans="2:2" s="221" customFormat="1" ht="12.75" x14ac:dyDescent="0.2">
      <c r="B53228" s="1168"/>
    </row>
    <row r="53229" spans="2:2" s="221" customFormat="1" ht="12.75" x14ac:dyDescent="0.2">
      <c r="B53229" s="1168"/>
    </row>
    <row r="53230" spans="2:2" s="221" customFormat="1" ht="12.75" x14ac:dyDescent="0.2">
      <c r="B53230" s="1168"/>
    </row>
    <row r="53231" spans="2:2" s="221" customFormat="1" ht="12.75" x14ac:dyDescent="0.2">
      <c r="B53231" s="1168"/>
    </row>
    <row r="53232" spans="2:2" s="221" customFormat="1" ht="12.75" x14ac:dyDescent="0.2">
      <c r="B53232" s="1168"/>
    </row>
    <row r="53233" spans="2:2" s="221" customFormat="1" ht="12.75" x14ac:dyDescent="0.2">
      <c r="B53233" s="1168"/>
    </row>
    <row r="53234" spans="2:2" s="221" customFormat="1" ht="12.75" x14ac:dyDescent="0.2">
      <c r="B53234" s="1168"/>
    </row>
    <row r="53235" spans="2:2" s="221" customFormat="1" ht="12.75" x14ac:dyDescent="0.2">
      <c r="B53235" s="1168"/>
    </row>
    <row r="53236" spans="2:2" s="221" customFormat="1" ht="12.75" x14ac:dyDescent="0.2">
      <c r="B53236" s="1168"/>
    </row>
    <row r="53237" spans="2:2" s="221" customFormat="1" ht="12.75" x14ac:dyDescent="0.2">
      <c r="B53237" s="1168"/>
    </row>
    <row r="53238" spans="2:2" s="221" customFormat="1" ht="12.75" x14ac:dyDescent="0.2">
      <c r="B53238" s="1168"/>
    </row>
    <row r="53239" spans="2:2" s="221" customFormat="1" ht="12.75" x14ac:dyDescent="0.2">
      <c r="B53239" s="1168"/>
    </row>
    <row r="53240" spans="2:2" s="221" customFormat="1" ht="12.75" x14ac:dyDescent="0.2">
      <c r="B53240" s="1168"/>
    </row>
    <row r="53241" spans="2:2" s="221" customFormat="1" ht="12.75" x14ac:dyDescent="0.2">
      <c r="B53241" s="1168"/>
    </row>
    <row r="53242" spans="2:2" s="221" customFormat="1" ht="12.75" x14ac:dyDescent="0.2">
      <c r="B53242" s="1168"/>
    </row>
    <row r="53243" spans="2:2" s="221" customFormat="1" ht="12.75" x14ac:dyDescent="0.2">
      <c r="B53243" s="1168"/>
    </row>
    <row r="53244" spans="2:2" s="221" customFormat="1" ht="12.75" x14ac:dyDescent="0.2">
      <c r="B53244" s="1168"/>
    </row>
    <row r="53245" spans="2:2" s="221" customFormat="1" ht="12.75" x14ac:dyDescent="0.2">
      <c r="B53245" s="1168"/>
    </row>
    <row r="53246" spans="2:2" s="221" customFormat="1" ht="12.75" x14ac:dyDescent="0.2">
      <c r="B53246" s="1168"/>
    </row>
    <row r="53247" spans="2:2" s="221" customFormat="1" ht="12.75" x14ac:dyDescent="0.2">
      <c r="B53247" s="1168"/>
    </row>
    <row r="53248" spans="2:2" s="221" customFormat="1" ht="12.75" x14ac:dyDescent="0.2">
      <c r="B53248" s="1168"/>
    </row>
    <row r="53249" spans="2:2" s="221" customFormat="1" ht="12.75" x14ac:dyDescent="0.2">
      <c r="B53249" s="1168"/>
    </row>
    <row r="53250" spans="2:2" s="221" customFormat="1" ht="12.75" x14ac:dyDescent="0.2">
      <c r="B53250" s="1168"/>
    </row>
    <row r="53251" spans="2:2" s="221" customFormat="1" ht="12.75" x14ac:dyDescent="0.2">
      <c r="B53251" s="1168"/>
    </row>
    <row r="53252" spans="2:2" s="221" customFormat="1" ht="12.75" x14ac:dyDescent="0.2">
      <c r="B53252" s="1168"/>
    </row>
    <row r="53253" spans="2:2" s="221" customFormat="1" ht="12.75" x14ac:dyDescent="0.2">
      <c r="B53253" s="1168"/>
    </row>
    <row r="53254" spans="2:2" s="221" customFormat="1" ht="12.75" x14ac:dyDescent="0.2">
      <c r="B53254" s="1168"/>
    </row>
    <row r="53255" spans="2:2" s="221" customFormat="1" ht="12.75" x14ac:dyDescent="0.2">
      <c r="B53255" s="1168"/>
    </row>
    <row r="53256" spans="2:2" s="221" customFormat="1" ht="12.75" x14ac:dyDescent="0.2">
      <c r="B53256" s="1168"/>
    </row>
    <row r="53257" spans="2:2" s="221" customFormat="1" ht="12.75" x14ac:dyDescent="0.2">
      <c r="B53257" s="1168"/>
    </row>
    <row r="53258" spans="2:2" s="221" customFormat="1" ht="12.75" x14ac:dyDescent="0.2">
      <c r="B53258" s="1168"/>
    </row>
    <row r="53259" spans="2:2" s="221" customFormat="1" ht="12.75" x14ac:dyDescent="0.2">
      <c r="B53259" s="1168"/>
    </row>
    <row r="53260" spans="2:2" s="221" customFormat="1" ht="12.75" x14ac:dyDescent="0.2">
      <c r="B53260" s="1168"/>
    </row>
    <row r="53261" spans="2:2" s="221" customFormat="1" ht="12.75" x14ac:dyDescent="0.2">
      <c r="B53261" s="1168"/>
    </row>
    <row r="53262" spans="2:2" s="221" customFormat="1" ht="12.75" x14ac:dyDescent="0.2">
      <c r="B53262" s="1168"/>
    </row>
    <row r="53263" spans="2:2" s="221" customFormat="1" ht="12.75" x14ac:dyDescent="0.2">
      <c r="B53263" s="1168"/>
    </row>
    <row r="53264" spans="2:2" s="221" customFormat="1" ht="12.75" x14ac:dyDescent="0.2">
      <c r="B53264" s="1168"/>
    </row>
    <row r="53265" spans="2:2" s="221" customFormat="1" ht="12.75" x14ac:dyDescent="0.2">
      <c r="B53265" s="1168"/>
    </row>
    <row r="53266" spans="2:2" s="221" customFormat="1" ht="12.75" x14ac:dyDescent="0.2">
      <c r="B53266" s="1168"/>
    </row>
    <row r="53267" spans="2:2" s="221" customFormat="1" ht="12.75" x14ac:dyDescent="0.2">
      <c r="B53267" s="1168"/>
    </row>
    <row r="53268" spans="2:2" s="221" customFormat="1" ht="12.75" x14ac:dyDescent="0.2">
      <c r="B53268" s="1168"/>
    </row>
    <row r="53269" spans="2:2" s="221" customFormat="1" ht="12.75" x14ac:dyDescent="0.2">
      <c r="B53269" s="1168"/>
    </row>
    <row r="53270" spans="2:2" s="221" customFormat="1" ht="12.75" x14ac:dyDescent="0.2">
      <c r="B53270" s="1168"/>
    </row>
    <row r="53271" spans="2:2" s="221" customFormat="1" ht="12.75" x14ac:dyDescent="0.2">
      <c r="B53271" s="1168"/>
    </row>
    <row r="53272" spans="2:2" s="221" customFormat="1" ht="12.75" x14ac:dyDescent="0.2">
      <c r="B53272" s="1168"/>
    </row>
    <row r="53273" spans="2:2" s="221" customFormat="1" ht="12.75" x14ac:dyDescent="0.2">
      <c r="B53273" s="1168"/>
    </row>
    <row r="53274" spans="2:2" s="221" customFormat="1" ht="12.75" x14ac:dyDescent="0.2">
      <c r="B53274" s="1168"/>
    </row>
    <row r="53275" spans="2:2" s="221" customFormat="1" ht="12.75" x14ac:dyDescent="0.2">
      <c r="B53275" s="1168"/>
    </row>
    <row r="53276" spans="2:2" s="221" customFormat="1" ht="12.75" x14ac:dyDescent="0.2">
      <c r="B53276" s="1168"/>
    </row>
    <row r="53277" spans="2:2" s="221" customFormat="1" ht="12.75" x14ac:dyDescent="0.2">
      <c r="B53277" s="1168"/>
    </row>
    <row r="53278" spans="2:2" s="221" customFormat="1" ht="12.75" x14ac:dyDescent="0.2">
      <c r="B53278" s="1168"/>
    </row>
    <row r="53279" spans="2:2" s="221" customFormat="1" ht="12.75" x14ac:dyDescent="0.2">
      <c r="B53279" s="1168"/>
    </row>
    <row r="53280" spans="2:2" s="221" customFormat="1" ht="12.75" x14ac:dyDescent="0.2">
      <c r="B53280" s="1168"/>
    </row>
    <row r="53281" spans="2:2" s="221" customFormat="1" ht="12.75" x14ac:dyDescent="0.2">
      <c r="B53281" s="1168"/>
    </row>
    <row r="53282" spans="2:2" s="221" customFormat="1" ht="12.75" x14ac:dyDescent="0.2">
      <c r="B53282" s="1168"/>
    </row>
    <row r="53283" spans="2:2" s="221" customFormat="1" ht="12.75" x14ac:dyDescent="0.2">
      <c r="B53283" s="1168"/>
    </row>
    <row r="53284" spans="2:2" s="221" customFormat="1" ht="12.75" x14ac:dyDescent="0.2">
      <c r="B53284" s="1168"/>
    </row>
    <row r="53285" spans="2:2" s="221" customFormat="1" ht="12.75" x14ac:dyDescent="0.2">
      <c r="B53285" s="1168"/>
    </row>
    <row r="53286" spans="2:2" s="221" customFormat="1" ht="12.75" x14ac:dyDescent="0.2">
      <c r="B53286" s="1168"/>
    </row>
    <row r="53287" spans="2:2" s="221" customFormat="1" ht="12.75" x14ac:dyDescent="0.2">
      <c r="B53287" s="1168"/>
    </row>
    <row r="53288" spans="2:2" s="221" customFormat="1" ht="12.75" x14ac:dyDescent="0.2">
      <c r="B53288" s="1168"/>
    </row>
    <row r="53289" spans="2:2" s="221" customFormat="1" ht="12.75" x14ac:dyDescent="0.2">
      <c r="B53289" s="1168"/>
    </row>
    <row r="53290" spans="2:2" s="221" customFormat="1" ht="12.75" x14ac:dyDescent="0.2">
      <c r="B53290" s="1168"/>
    </row>
    <row r="53291" spans="2:2" s="221" customFormat="1" ht="12.75" x14ac:dyDescent="0.2">
      <c r="B53291" s="1168"/>
    </row>
    <row r="53292" spans="2:2" s="221" customFormat="1" ht="12.75" x14ac:dyDescent="0.2">
      <c r="B53292" s="1168"/>
    </row>
    <row r="53293" spans="2:2" s="221" customFormat="1" ht="12.75" x14ac:dyDescent="0.2">
      <c r="B53293" s="1168"/>
    </row>
    <row r="53294" spans="2:2" s="221" customFormat="1" ht="12.75" x14ac:dyDescent="0.2">
      <c r="B53294" s="1168"/>
    </row>
    <row r="53295" spans="2:2" s="221" customFormat="1" ht="12.75" x14ac:dyDescent="0.2">
      <c r="B53295" s="1168"/>
    </row>
    <row r="53296" spans="2:2" s="221" customFormat="1" ht="12.75" x14ac:dyDescent="0.2">
      <c r="B53296" s="1168"/>
    </row>
    <row r="53297" spans="2:2" s="221" customFormat="1" ht="12.75" x14ac:dyDescent="0.2">
      <c r="B53297" s="1168"/>
    </row>
    <row r="53298" spans="2:2" s="221" customFormat="1" ht="12.75" x14ac:dyDescent="0.2">
      <c r="B53298" s="1168"/>
    </row>
    <row r="53299" spans="2:2" s="221" customFormat="1" ht="12.75" x14ac:dyDescent="0.2">
      <c r="B53299" s="1168"/>
    </row>
    <row r="53300" spans="2:2" s="221" customFormat="1" ht="12.75" x14ac:dyDescent="0.2">
      <c r="B53300" s="1168"/>
    </row>
    <row r="53301" spans="2:2" s="221" customFormat="1" ht="12.75" x14ac:dyDescent="0.2">
      <c r="B53301" s="1168"/>
    </row>
    <row r="53302" spans="2:2" s="221" customFormat="1" ht="12.75" x14ac:dyDescent="0.2">
      <c r="B53302" s="1168"/>
    </row>
    <row r="53303" spans="2:2" s="221" customFormat="1" ht="12.75" x14ac:dyDescent="0.2">
      <c r="B53303" s="1168"/>
    </row>
    <row r="53304" spans="2:2" s="221" customFormat="1" ht="12.75" x14ac:dyDescent="0.2">
      <c r="B53304" s="1168"/>
    </row>
    <row r="53305" spans="2:2" s="221" customFormat="1" ht="12.75" x14ac:dyDescent="0.2">
      <c r="B53305" s="1168"/>
    </row>
    <row r="53306" spans="2:2" s="221" customFormat="1" ht="12.75" x14ac:dyDescent="0.2">
      <c r="B53306" s="1168"/>
    </row>
    <row r="53307" spans="2:2" s="221" customFormat="1" ht="12.75" x14ac:dyDescent="0.2">
      <c r="B53307" s="1168"/>
    </row>
    <row r="53308" spans="2:2" s="221" customFormat="1" ht="12.75" x14ac:dyDescent="0.2">
      <c r="B53308" s="1168"/>
    </row>
    <row r="53309" spans="2:2" s="221" customFormat="1" ht="12.75" x14ac:dyDescent="0.2">
      <c r="B53309" s="1168"/>
    </row>
    <row r="53310" spans="2:2" s="221" customFormat="1" ht="12.75" x14ac:dyDescent="0.2">
      <c r="B53310" s="1168"/>
    </row>
    <row r="53311" spans="2:2" s="221" customFormat="1" ht="12.75" x14ac:dyDescent="0.2">
      <c r="B53311" s="1168"/>
    </row>
    <row r="53312" spans="2:2" s="221" customFormat="1" ht="12.75" x14ac:dyDescent="0.2">
      <c r="B53312" s="1168"/>
    </row>
    <row r="53313" spans="2:2" s="221" customFormat="1" ht="12.75" x14ac:dyDescent="0.2">
      <c r="B53313" s="1168"/>
    </row>
    <row r="53314" spans="2:2" s="221" customFormat="1" ht="12.75" x14ac:dyDescent="0.2">
      <c r="B53314" s="1168"/>
    </row>
    <row r="53315" spans="2:2" s="221" customFormat="1" ht="12.75" x14ac:dyDescent="0.2">
      <c r="B53315" s="1168"/>
    </row>
    <row r="53316" spans="2:2" s="221" customFormat="1" ht="12.75" x14ac:dyDescent="0.2">
      <c r="B53316" s="1168"/>
    </row>
    <row r="53317" spans="2:2" s="221" customFormat="1" ht="12.75" x14ac:dyDescent="0.2">
      <c r="B53317" s="1168"/>
    </row>
    <row r="53318" spans="2:2" s="221" customFormat="1" ht="12.75" x14ac:dyDescent="0.2">
      <c r="B53318" s="1168"/>
    </row>
    <row r="53319" spans="2:2" s="221" customFormat="1" ht="12.75" x14ac:dyDescent="0.2">
      <c r="B53319" s="1168"/>
    </row>
    <row r="53320" spans="2:2" s="221" customFormat="1" ht="12.75" x14ac:dyDescent="0.2">
      <c r="B53320" s="1168"/>
    </row>
    <row r="53321" spans="2:2" s="221" customFormat="1" ht="12.75" x14ac:dyDescent="0.2">
      <c r="B53321" s="1168"/>
    </row>
    <row r="53322" spans="2:2" s="221" customFormat="1" ht="12.75" x14ac:dyDescent="0.2">
      <c r="B53322" s="1168"/>
    </row>
    <row r="53323" spans="2:2" s="221" customFormat="1" ht="12.75" x14ac:dyDescent="0.2">
      <c r="B53323" s="1168"/>
    </row>
    <row r="53324" spans="2:2" s="221" customFormat="1" ht="12.75" x14ac:dyDescent="0.2">
      <c r="B53324" s="1168"/>
    </row>
    <row r="53325" spans="2:2" s="221" customFormat="1" ht="12.75" x14ac:dyDescent="0.2">
      <c r="B53325" s="1168"/>
    </row>
    <row r="53326" spans="2:2" s="221" customFormat="1" ht="12.75" x14ac:dyDescent="0.2">
      <c r="B53326" s="1168"/>
    </row>
    <row r="53327" spans="2:2" s="221" customFormat="1" ht="12.75" x14ac:dyDescent="0.2">
      <c r="B53327" s="1168"/>
    </row>
    <row r="53328" spans="2:2" s="221" customFormat="1" ht="12.75" x14ac:dyDescent="0.2">
      <c r="B53328" s="1168"/>
    </row>
    <row r="53329" spans="2:2" s="221" customFormat="1" ht="12.75" x14ac:dyDescent="0.2">
      <c r="B53329" s="1168"/>
    </row>
    <row r="53330" spans="2:2" s="221" customFormat="1" ht="12.75" x14ac:dyDescent="0.2">
      <c r="B53330" s="1168"/>
    </row>
    <row r="53331" spans="2:2" s="221" customFormat="1" ht="12.75" x14ac:dyDescent="0.2">
      <c r="B53331" s="1168"/>
    </row>
    <row r="53332" spans="2:2" s="221" customFormat="1" ht="12.75" x14ac:dyDescent="0.2">
      <c r="B53332" s="1168"/>
    </row>
    <row r="53333" spans="2:2" s="221" customFormat="1" ht="12.75" x14ac:dyDescent="0.2">
      <c r="B53333" s="1168"/>
    </row>
    <row r="53334" spans="2:2" s="221" customFormat="1" ht="12.75" x14ac:dyDescent="0.2">
      <c r="B53334" s="1168"/>
    </row>
    <row r="53335" spans="2:2" s="221" customFormat="1" ht="12.75" x14ac:dyDescent="0.2">
      <c r="B53335" s="1168"/>
    </row>
    <row r="53336" spans="2:2" s="221" customFormat="1" ht="12.75" x14ac:dyDescent="0.2">
      <c r="B53336" s="1168"/>
    </row>
    <row r="53337" spans="2:2" s="221" customFormat="1" ht="12.75" x14ac:dyDescent="0.2">
      <c r="B53337" s="1168"/>
    </row>
    <row r="53338" spans="2:2" s="221" customFormat="1" ht="12.75" x14ac:dyDescent="0.2">
      <c r="B53338" s="1168"/>
    </row>
    <row r="53339" spans="2:2" s="221" customFormat="1" ht="12.75" x14ac:dyDescent="0.2">
      <c r="B53339" s="1168"/>
    </row>
    <row r="53340" spans="2:2" s="221" customFormat="1" ht="12.75" x14ac:dyDescent="0.2">
      <c r="B53340" s="1168"/>
    </row>
    <row r="53341" spans="2:2" s="221" customFormat="1" ht="12.75" x14ac:dyDescent="0.2">
      <c r="B53341" s="1168"/>
    </row>
    <row r="53342" spans="2:2" s="221" customFormat="1" ht="12.75" x14ac:dyDescent="0.2">
      <c r="B53342" s="1168"/>
    </row>
    <row r="53343" spans="2:2" s="221" customFormat="1" ht="12.75" x14ac:dyDescent="0.2">
      <c r="B53343" s="1168"/>
    </row>
    <row r="53344" spans="2:2" s="221" customFormat="1" ht="12.75" x14ac:dyDescent="0.2">
      <c r="B53344" s="1168"/>
    </row>
    <row r="53345" spans="2:2" s="221" customFormat="1" ht="12.75" x14ac:dyDescent="0.2">
      <c r="B53345" s="1168"/>
    </row>
    <row r="53346" spans="2:2" s="221" customFormat="1" ht="12.75" x14ac:dyDescent="0.2">
      <c r="B53346" s="1168"/>
    </row>
    <row r="53347" spans="2:2" s="221" customFormat="1" ht="12.75" x14ac:dyDescent="0.2">
      <c r="B53347" s="1168"/>
    </row>
    <row r="53348" spans="2:2" s="221" customFormat="1" ht="12.75" x14ac:dyDescent="0.2">
      <c r="B53348" s="1168"/>
    </row>
    <row r="53349" spans="2:2" s="221" customFormat="1" ht="12.75" x14ac:dyDescent="0.2">
      <c r="B53349" s="1168"/>
    </row>
    <row r="53350" spans="2:2" s="221" customFormat="1" ht="12.75" x14ac:dyDescent="0.2">
      <c r="B53350" s="1168"/>
    </row>
    <row r="53351" spans="2:2" s="221" customFormat="1" ht="12.75" x14ac:dyDescent="0.2">
      <c r="B53351" s="1168"/>
    </row>
    <row r="53352" spans="2:2" s="221" customFormat="1" ht="12.75" x14ac:dyDescent="0.2">
      <c r="B53352" s="1168"/>
    </row>
    <row r="53353" spans="2:2" s="221" customFormat="1" ht="12.75" x14ac:dyDescent="0.2">
      <c r="B53353" s="1168"/>
    </row>
    <row r="53354" spans="2:2" s="221" customFormat="1" ht="12.75" x14ac:dyDescent="0.2">
      <c r="B53354" s="1168"/>
    </row>
    <row r="53355" spans="2:2" s="221" customFormat="1" ht="12.75" x14ac:dyDescent="0.2">
      <c r="B53355" s="1168"/>
    </row>
    <row r="53356" spans="2:2" s="221" customFormat="1" ht="12.75" x14ac:dyDescent="0.2">
      <c r="B53356" s="1168"/>
    </row>
    <row r="53357" spans="2:2" s="221" customFormat="1" ht="12.75" x14ac:dyDescent="0.2">
      <c r="B53357" s="1168"/>
    </row>
    <row r="53358" spans="2:2" s="221" customFormat="1" ht="12.75" x14ac:dyDescent="0.2">
      <c r="B53358" s="1168"/>
    </row>
    <row r="53359" spans="2:2" s="221" customFormat="1" ht="12.75" x14ac:dyDescent="0.2">
      <c r="B53359" s="1168"/>
    </row>
    <row r="53360" spans="2:2" s="221" customFormat="1" ht="12.75" x14ac:dyDescent="0.2">
      <c r="B53360" s="1168"/>
    </row>
    <row r="53361" spans="2:2" s="221" customFormat="1" ht="12.75" x14ac:dyDescent="0.2">
      <c r="B53361" s="1168"/>
    </row>
    <row r="53362" spans="2:2" s="221" customFormat="1" ht="12.75" x14ac:dyDescent="0.2">
      <c r="B53362" s="1168"/>
    </row>
    <row r="53363" spans="2:2" s="221" customFormat="1" ht="12.75" x14ac:dyDescent="0.2">
      <c r="B53363" s="1168"/>
    </row>
    <row r="53364" spans="2:2" s="221" customFormat="1" ht="12.75" x14ac:dyDescent="0.2">
      <c r="B53364" s="1168"/>
    </row>
    <row r="53365" spans="2:2" s="221" customFormat="1" ht="12.75" x14ac:dyDescent="0.2">
      <c r="B53365" s="1168"/>
    </row>
    <row r="53366" spans="2:2" s="221" customFormat="1" ht="12.75" x14ac:dyDescent="0.2">
      <c r="B53366" s="1168"/>
    </row>
    <row r="53367" spans="2:2" s="221" customFormat="1" ht="12.75" x14ac:dyDescent="0.2">
      <c r="B53367" s="1168"/>
    </row>
    <row r="53368" spans="2:2" s="221" customFormat="1" ht="12.75" x14ac:dyDescent="0.2">
      <c r="B53368" s="1168"/>
    </row>
    <row r="53369" spans="2:2" s="221" customFormat="1" ht="12.75" x14ac:dyDescent="0.2">
      <c r="B53369" s="1168"/>
    </row>
    <row r="53370" spans="2:2" s="221" customFormat="1" ht="12.75" x14ac:dyDescent="0.2">
      <c r="B53370" s="1168"/>
    </row>
    <row r="53371" spans="2:2" s="221" customFormat="1" ht="12.75" x14ac:dyDescent="0.2">
      <c r="B53371" s="1168"/>
    </row>
    <row r="53372" spans="2:2" s="221" customFormat="1" ht="12.75" x14ac:dyDescent="0.2">
      <c r="B53372" s="1168"/>
    </row>
    <row r="53373" spans="2:2" s="221" customFormat="1" ht="12.75" x14ac:dyDescent="0.2">
      <c r="B53373" s="1168"/>
    </row>
    <row r="53374" spans="2:2" s="221" customFormat="1" ht="12.75" x14ac:dyDescent="0.2">
      <c r="B53374" s="1168"/>
    </row>
    <row r="53375" spans="2:2" s="221" customFormat="1" ht="12.75" x14ac:dyDescent="0.2">
      <c r="B53375" s="1168"/>
    </row>
    <row r="53376" spans="2:2" s="221" customFormat="1" ht="12.75" x14ac:dyDescent="0.2">
      <c r="B53376" s="1168"/>
    </row>
    <row r="53377" spans="2:2" s="221" customFormat="1" ht="12.75" x14ac:dyDescent="0.2">
      <c r="B53377" s="1168"/>
    </row>
    <row r="53378" spans="2:2" s="221" customFormat="1" ht="12.75" x14ac:dyDescent="0.2">
      <c r="B53378" s="1168"/>
    </row>
    <row r="53379" spans="2:2" s="221" customFormat="1" ht="12.75" x14ac:dyDescent="0.2">
      <c r="B53379" s="1168"/>
    </row>
    <row r="53380" spans="2:2" s="221" customFormat="1" ht="12.75" x14ac:dyDescent="0.2">
      <c r="B53380" s="1168"/>
    </row>
    <row r="53381" spans="2:2" s="221" customFormat="1" ht="12.75" x14ac:dyDescent="0.2">
      <c r="B53381" s="1168"/>
    </row>
    <row r="53382" spans="2:2" s="221" customFormat="1" ht="12.75" x14ac:dyDescent="0.2">
      <c r="B53382" s="1168"/>
    </row>
    <row r="53383" spans="2:2" s="221" customFormat="1" ht="12.75" x14ac:dyDescent="0.2">
      <c r="B53383" s="1168"/>
    </row>
    <row r="53384" spans="2:2" s="221" customFormat="1" ht="12.75" x14ac:dyDescent="0.2">
      <c r="B53384" s="1168"/>
    </row>
    <row r="53385" spans="2:2" s="221" customFormat="1" ht="12.75" x14ac:dyDescent="0.2">
      <c r="B53385" s="1168"/>
    </row>
    <row r="53386" spans="2:2" s="221" customFormat="1" ht="12.75" x14ac:dyDescent="0.2">
      <c r="B53386" s="1168"/>
    </row>
    <row r="53387" spans="2:2" s="221" customFormat="1" ht="12.75" x14ac:dyDescent="0.2">
      <c r="B53387" s="1168"/>
    </row>
    <row r="53388" spans="2:2" s="221" customFormat="1" ht="12.75" x14ac:dyDescent="0.2">
      <c r="B53388" s="1168"/>
    </row>
    <row r="53389" spans="2:2" s="221" customFormat="1" ht="12.75" x14ac:dyDescent="0.2">
      <c r="B53389" s="1168"/>
    </row>
    <row r="53390" spans="2:2" s="221" customFormat="1" ht="12.75" x14ac:dyDescent="0.2">
      <c r="B53390" s="1168"/>
    </row>
    <row r="53391" spans="2:2" s="221" customFormat="1" ht="12.75" x14ac:dyDescent="0.2">
      <c r="B53391" s="1168"/>
    </row>
    <row r="53392" spans="2:2" s="221" customFormat="1" ht="12.75" x14ac:dyDescent="0.2">
      <c r="B53392" s="1168"/>
    </row>
    <row r="53393" spans="2:2" s="221" customFormat="1" ht="12.75" x14ac:dyDescent="0.2">
      <c r="B53393" s="1168"/>
    </row>
    <row r="53394" spans="2:2" s="221" customFormat="1" ht="12.75" x14ac:dyDescent="0.2">
      <c r="B53394" s="1168"/>
    </row>
    <row r="53395" spans="2:2" s="221" customFormat="1" ht="12.75" x14ac:dyDescent="0.2">
      <c r="B53395" s="1168"/>
    </row>
    <row r="53396" spans="2:2" s="221" customFormat="1" ht="12.75" x14ac:dyDescent="0.2">
      <c r="B53396" s="1168"/>
    </row>
    <row r="53397" spans="2:2" s="221" customFormat="1" ht="12.75" x14ac:dyDescent="0.2">
      <c r="B53397" s="1168"/>
    </row>
    <row r="53398" spans="2:2" s="221" customFormat="1" ht="12.75" x14ac:dyDescent="0.2">
      <c r="B53398" s="1168"/>
    </row>
    <row r="53399" spans="2:2" s="221" customFormat="1" ht="12.75" x14ac:dyDescent="0.2">
      <c r="B53399" s="1168"/>
    </row>
    <row r="53400" spans="2:2" s="221" customFormat="1" ht="12.75" x14ac:dyDescent="0.2">
      <c r="B53400" s="1168"/>
    </row>
    <row r="53401" spans="2:2" s="221" customFormat="1" ht="12.75" x14ac:dyDescent="0.2">
      <c r="B53401" s="1168"/>
    </row>
    <row r="53402" spans="2:2" s="221" customFormat="1" ht="12.75" x14ac:dyDescent="0.2">
      <c r="B53402" s="1168"/>
    </row>
    <row r="53403" spans="2:2" s="221" customFormat="1" ht="12.75" x14ac:dyDescent="0.2">
      <c r="B53403" s="1168"/>
    </row>
    <row r="53404" spans="2:2" s="221" customFormat="1" ht="12.75" x14ac:dyDescent="0.2">
      <c r="B53404" s="1168"/>
    </row>
    <row r="53405" spans="2:2" s="221" customFormat="1" ht="12.75" x14ac:dyDescent="0.2">
      <c r="B53405" s="1168"/>
    </row>
    <row r="53406" spans="2:2" s="221" customFormat="1" ht="12.75" x14ac:dyDescent="0.2">
      <c r="B53406" s="1168"/>
    </row>
    <row r="53407" spans="2:2" s="221" customFormat="1" ht="12.75" x14ac:dyDescent="0.2">
      <c r="B53407" s="1168"/>
    </row>
    <row r="53408" spans="2:2" s="221" customFormat="1" ht="12.75" x14ac:dyDescent="0.2">
      <c r="B53408" s="1168"/>
    </row>
    <row r="53409" spans="2:2" s="221" customFormat="1" ht="12.75" x14ac:dyDescent="0.2">
      <c r="B53409" s="1168"/>
    </row>
    <row r="53410" spans="2:2" s="221" customFormat="1" ht="12.75" x14ac:dyDescent="0.2">
      <c r="B53410" s="1168"/>
    </row>
    <row r="53411" spans="2:2" s="221" customFormat="1" ht="12.75" x14ac:dyDescent="0.2">
      <c r="B53411" s="1168"/>
    </row>
    <row r="53412" spans="2:2" s="221" customFormat="1" ht="12.75" x14ac:dyDescent="0.2">
      <c r="B53412" s="1168"/>
    </row>
    <row r="53413" spans="2:2" s="221" customFormat="1" ht="12.75" x14ac:dyDescent="0.2">
      <c r="B53413" s="1168"/>
    </row>
    <row r="53414" spans="2:2" s="221" customFormat="1" ht="12.75" x14ac:dyDescent="0.2">
      <c r="B53414" s="1168"/>
    </row>
    <row r="53415" spans="2:2" s="221" customFormat="1" ht="12.75" x14ac:dyDescent="0.2">
      <c r="B53415" s="1168"/>
    </row>
    <row r="53416" spans="2:2" s="221" customFormat="1" ht="12.75" x14ac:dyDescent="0.2">
      <c r="B53416" s="1168"/>
    </row>
    <row r="53417" spans="2:2" s="221" customFormat="1" ht="12.75" x14ac:dyDescent="0.2">
      <c r="B53417" s="1168"/>
    </row>
    <row r="53418" spans="2:2" s="221" customFormat="1" ht="12.75" x14ac:dyDescent="0.2">
      <c r="B53418" s="1168"/>
    </row>
    <row r="53419" spans="2:2" s="221" customFormat="1" ht="12.75" x14ac:dyDescent="0.2">
      <c r="B53419" s="1168"/>
    </row>
    <row r="53420" spans="2:2" s="221" customFormat="1" ht="12.75" x14ac:dyDescent="0.2">
      <c r="B53420" s="1168"/>
    </row>
    <row r="53421" spans="2:2" s="221" customFormat="1" ht="12.75" x14ac:dyDescent="0.2">
      <c r="B53421" s="1168"/>
    </row>
    <row r="53422" spans="2:2" s="221" customFormat="1" ht="12.75" x14ac:dyDescent="0.2">
      <c r="B53422" s="1168"/>
    </row>
    <row r="53423" spans="2:2" s="221" customFormat="1" ht="12.75" x14ac:dyDescent="0.2">
      <c r="B53423" s="1168"/>
    </row>
    <row r="53424" spans="2:2" s="221" customFormat="1" ht="12.75" x14ac:dyDescent="0.2">
      <c r="B53424" s="1168"/>
    </row>
    <row r="53425" spans="2:2" s="221" customFormat="1" ht="12.75" x14ac:dyDescent="0.2">
      <c r="B53425" s="1168"/>
    </row>
    <row r="53426" spans="2:2" s="221" customFormat="1" ht="12.75" x14ac:dyDescent="0.2">
      <c r="B53426" s="1168"/>
    </row>
    <row r="53427" spans="2:2" s="221" customFormat="1" ht="12.75" x14ac:dyDescent="0.2">
      <c r="B53427" s="1168"/>
    </row>
    <row r="53428" spans="2:2" s="221" customFormat="1" ht="12.75" x14ac:dyDescent="0.2">
      <c r="B53428" s="1168"/>
    </row>
    <row r="53429" spans="2:2" s="221" customFormat="1" ht="12.75" x14ac:dyDescent="0.2">
      <c r="B53429" s="1168"/>
    </row>
    <row r="53430" spans="2:2" s="221" customFormat="1" ht="12.75" x14ac:dyDescent="0.2">
      <c r="B53430" s="1168"/>
    </row>
    <row r="53431" spans="2:2" s="221" customFormat="1" ht="12.75" x14ac:dyDescent="0.2">
      <c r="B53431" s="1168"/>
    </row>
    <row r="53432" spans="2:2" s="221" customFormat="1" ht="12.75" x14ac:dyDescent="0.2">
      <c r="B53432" s="1168"/>
    </row>
    <row r="53433" spans="2:2" s="221" customFormat="1" ht="12.75" x14ac:dyDescent="0.2">
      <c r="B53433" s="1168"/>
    </row>
    <row r="53434" spans="2:2" s="221" customFormat="1" ht="12.75" x14ac:dyDescent="0.2">
      <c r="B53434" s="1168"/>
    </row>
    <row r="53435" spans="2:2" s="221" customFormat="1" ht="12.75" x14ac:dyDescent="0.2">
      <c r="B53435" s="1168"/>
    </row>
    <row r="53436" spans="2:2" s="221" customFormat="1" ht="12.75" x14ac:dyDescent="0.2">
      <c r="B53436" s="1168"/>
    </row>
    <row r="53437" spans="2:2" s="221" customFormat="1" ht="12.75" x14ac:dyDescent="0.2">
      <c r="B53437" s="1168"/>
    </row>
    <row r="53438" spans="2:2" s="221" customFormat="1" ht="12.75" x14ac:dyDescent="0.2">
      <c r="B53438" s="1168"/>
    </row>
    <row r="53439" spans="2:2" s="221" customFormat="1" ht="12.75" x14ac:dyDescent="0.2">
      <c r="B53439" s="1168"/>
    </row>
    <row r="53440" spans="2:2" s="221" customFormat="1" ht="12.75" x14ac:dyDescent="0.2">
      <c r="B53440" s="1168"/>
    </row>
    <row r="53441" spans="2:2" s="221" customFormat="1" ht="12.75" x14ac:dyDescent="0.2">
      <c r="B53441" s="1168"/>
    </row>
    <row r="53442" spans="2:2" s="221" customFormat="1" ht="12.75" x14ac:dyDescent="0.2">
      <c r="B53442" s="1168"/>
    </row>
    <row r="53443" spans="2:2" s="221" customFormat="1" ht="12.75" x14ac:dyDescent="0.2">
      <c r="B53443" s="1168"/>
    </row>
    <row r="53444" spans="2:2" s="221" customFormat="1" ht="12.75" x14ac:dyDescent="0.2">
      <c r="B53444" s="1168"/>
    </row>
    <row r="53445" spans="2:2" s="221" customFormat="1" ht="12.75" x14ac:dyDescent="0.2">
      <c r="B53445" s="1168"/>
    </row>
    <row r="53446" spans="2:2" s="221" customFormat="1" ht="12.75" x14ac:dyDescent="0.2">
      <c r="B53446" s="1168"/>
    </row>
    <row r="53447" spans="2:2" s="221" customFormat="1" ht="12.75" x14ac:dyDescent="0.2">
      <c r="B53447" s="1168"/>
    </row>
    <row r="53448" spans="2:2" s="221" customFormat="1" ht="12.75" x14ac:dyDescent="0.2">
      <c r="B53448" s="1168"/>
    </row>
    <row r="53449" spans="2:2" s="221" customFormat="1" ht="12.75" x14ac:dyDescent="0.2">
      <c r="B53449" s="1168"/>
    </row>
    <row r="53450" spans="2:2" s="221" customFormat="1" ht="12.75" x14ac:dyDescent="0.2">
      <c r="B53450" s="1168"/>
    </row>
    <row r="53451" spans="2:2" s="221" customFormat="1" ht="12.75" x14ac:dyDescent="0.2">
      <c r="B53451" s="1168"/>
    </row>
    <row r="53452" spans="2:2" s="221" customFormat="1" ht="12.75" x14ac:dyDescent="0.2">
      <c r="B53452" s="1168"/>
    </row>
    <row r="53453" spans="2:2" s="221" customFormat="1" ht="12.75" x14ac:dyDescent="0.2">
      <c r="B53453" s="1168"/>
    </row>
    <row r="53454" spans="2:2" s="221" customFormat="1" ht="12.75" x14ac:dyDescent="0.2">
      <c r="B53454" s="1168"/>
    </row>
    <row r="53455" spans="2:2" s="221" customFormat="1" ht="12.75" x14ac:dyDescent="0.2">
      <c r="B53455" s="1168"/>
    </row>
    <row r="53456" spans="2:2" s="221" customFormat="1" ht="12.75" x14ac:dyDescent="0.2">
      <c r="B53456" s="1168"/>
    </row>
    <row r="53457" spans="2:2" s="221" customFormat="1" ht="12.75" x14ac:dyDescent="0.2">
      <c r="B53457" s="1168"/>
    </row>
    <row r="53458" spans="2:2" s="221" customFormat="1" ht="12.75" x14ac:dyDescent="0.2">
      <c r="B53458" s="1168"/>
    </row>
    <row r="53459" spans="2:2" s="221" customFormat="1" ht="12.75" x14ac:dyDescent="0.2">
      <c r="B53459" s="1168"/>
    </row>
    <row r="53460" spans="2:2" s="221" customFormat="1" ht="12.75" x14ac:dyDescent="0.2">
      <c r="B53460" s="1168"/>
    </row>
    <row r="53461" spans="2:2" s="221" customFormat="1" ht="12.75" x14ac:dyDescent="0.2">
      <c r="B53461" s="1168"/>
    </row>
    <row r="53462" spans="2:2" s="221" customFormat="1" ht="12.75" x14ac:dyDescent="0.2">
      <c r="B53462" s="1168"/>
    </row>
    <row r="53463" spans="2:2" s="221" customFormat="1" ht="12.75" x14ac:dyDescent="0.2">
      <c r="B53463" s="1168"/>
    </row>
    <row r="53464" spans="2:2" s="221" customFormat="1" ht="12.75" x14ac:dyDescent="0.2">
      <c r="B53464" s="1168"/>
    </row>
    <row r="53465" spans="2:2" s="221" customFormat="1" ht="12.75" x14ac:dyDescent="0.2">
      <c r="B53465" s="1168"/>
    </row>
    <row r="53466" spans="2:2" s="221" customFormat="1" ht="12.75" x14ac:dyDescent="0.2">
      <c r="B53466" s="1168"/>
    </row>
    <row r="53467" spans="2:2" s="221" customFormat="1" ht="12.75" x14ac:dyDescent="0.2">
      <c r="B53467" s="1168"/>
    </row>
    <row r="53468" spans="2:2" s="221" customFormat="1" ht="12.75" x14ac:dyDescent="0.2">
      <c r="B53468" s="1168"/>
    </row>
    <row r="53469" spans="2:2" s="221" customFormat="1" ht="12.75" x14ac:dyDescent="0.2">
      <c r="B53469" s="1168"/>
    </row>
    <row r="53470" spans="2:2" s="221" customFormat="1" ht="12.75" x14ac:dyDescent="0.2">
      <c r="B53470" s="1168"/>
    </row>
    <row r="53471" spans="2:2" s="221" customFormat="1" ht="12.75" x14ac:dyDescent="0.2">
      <c r="B53471" s="1168"/>
    </row>
    <row r="53472" spans="2:2" s="221" customFormat="1" ht="12.75" x14ac:dyDescent="0.2">
      <c r="B53472" s="1168"/>
    </row>
    <row r="53473" spans="2:2" s="221" customFormat="1" ht="12.75" x14ac:dyDescent="0.2">
      <c r="B53473" s="1168"/>
    </row>
    <row r="53474" spans="2:2" s="221" customFormat="1" ht="12.75" x14ac:dyDescent="0.2">
      <c r="B53474" s="1168"/>
    </row>
    <row r="53475" spans="2:2" s="221" customFormat="1" ht="12.75" x14ac:dyDescent="0.2">
      <c r="B53475" s="1168"/>
    </row>
    <row r="53476" spans="2:2" s="221" customFormat="1" ht="12.75" x14ac:dyDescent="0.2">
      <c r="B53476" s="1168"/>
    </row>
    <row r="53477" spans="2:2" s="221" customFormat="1" ht="12.75" x14ac:dyDescent="0.2">
      <c r="B53477" s="1168"/>
    </row>
    <row r="53478" spans="2:2" s="221" customFormat="1" ht="12.75" x14ac:dyDescent="0.2">
      <c r="B53478" s="1168"/>
    </row>
    <row r="53479" spans="2:2" s="221" customFormat="1" ht="12.75" x14ac:dyDescent="0.2">
      <c r="B53479" s="1168"/>
    </row>
    <row r="53480" spans="2:2" s="221" customFormat="1" ht="12.75" x14ac:dyDescent="0.2">
      <c r="B53480" s="1168"/>
    </row>
    <row r="53481" spans="2:2" s="221" customFormat="1" ht="12.75" x14ac:dyDescent="0.2">
      <c r="B53481" s="1168"/>
    </row>
    <row r="53482" spans="2:2" s="221" customFormat="1" ht="12.75" x14ac:dyDescent="0.2">
      <c r="B53482" s="1168"/>
    </row>
    <row r="53483" spans="2:2" s="221" customFormat="1" ht="12.75" x14ac:dyDescent="0.2">
      <c r="B53483" s="1168"/>
    </row>
    <row r="53484" spans="2:2" s="221" customFormat="1" ht="12.75" x14ac:dyDescent="0.2">
      <c r="B53484" s="1168"/>
    </row>
    <row r="53485" spans="2:2" s="221" customFormat="1" ht="12.75" x14ac:dyDescent="0.2">
      <c r="B53485" s="1168"/>
    </row>
    <row r="53486" spans="2:2" s="221" customFormat="1" ht="12.75" x14ac:dyDescent="0.2">
      <c r="B53486" s="1168"/>
    </row>
    <row r="53487" spans="2:2" s="221" customFormat="1" ht="12.75" x14ac:dyDescent="0.2">
      <c r="B53487" s="1168"/>
    </row>
    <row r="53488" spans="2:2" s="221" customFormat="1" ht="12.75" x14ac:dyDescent="0.2">
      <c r="B53488" s="1168"/>
    </row>
    <row r="53489" spans="2:2" s="221" customFormat="1" ht="12.75" x14ac:dyDescent="0.2">
      <c r="B53489" s="1168"/>
    </row>
    <row r="53490" spans="2:2" s="221" customFormat="1" ht="12.75" x14ac:dyDescent="0.2">
      <c r="B53490" s="1168"/>
    </row>
    <row r="53491" spans="2:2" s="221" customFormat="1" ht="12.75" x14ac:dyDescent="0.2">
      <c r="B53491" s="1168"/>
    </row>
    <row r="53492" spans="2:2" s="221" customFormat="1" ht="12.75" x14ac:dyDescent="0.2">
      <c r="B53492" s="1168"/>
    </row>
    <row r="53493" spans="2:2" s="221" customFormat="1" ht="12.75" x14ac:dyDescent="0.2">
      <c r="B53493" s="1168"/>
    </row>
    <row r="53494" spans="2:2" s="221" customFormat="1" ht="12.75" x14ac:dyDescent="0.2">
      <c r="B53494" s="1168"/>
    </row>
    <row r="53495" spans="2:2" s="221" customFormat="1" ht="12.75" x14ac:dyDescent="0.2">
      <c r="B53495" s="1168"/>
    </row>
    <row r="53496" spans="2:2" s="221" customFormat="1" ht="12.75" x14ac:dyDescent="0.2">
      <c r="B53496" s="1168"/>
    </row>
    <row r="53497" spans="2:2" s="221" customFormat="1" ht="12.75" x14ac:dyDescent="0.2">
      <c r="B53497" s="1168"/>
    </row>
    <row r="53498" spans="2:2" s="221" customFormat="1" ht="12.75" x14ac:dyDescent="0.2">
      <c r="B53498" s="1168"/>
    </row>
    <row r="53499" spans="2:2" s="221" customFormat="1" ht="12.75" x14ac:dyDescent="0.2">
      <c r="B53499" s="1168"/>
    </row>
    <row r="53500" spans="2:2" s="221" customFormat="1" ht="12.75" x14ac:dyDescent="0.2">
      <c r="B53500" s="1168"/>
    </row>
    <row r="53501" spans="2:2" s="221" customFormat="1" ht="12.75" x14ac:dyDescent="0.2">
      <c r="B53501" s="1168"/>
    </row>
    <row r="53502" spans="2:2" s="221" customFormat="1" ht="12.75" x14ac:dyDescent="0.2">
      <c r="B53502" s="1168"/>
    </row>
    <row r="53503" spans="2:2" s="221" customFormat="1" ht="12.75" x14ac:dyDescent="0.2">
      <c r="B53503" s="1168"/>
    </row>
    <row r="53504" spans="2:2" s="221" customFormat="1" ht="12.75" x14ac:dyDescent="0.2">
      <c r="B53504" s="1168"/>
    </row>
    <row r="53505" spans="2:2" s="221" customFormat="1" ht="12.75" x14ac:dyDescent="0.2">
      <c r="B53505" s="1168"/>
    </row>
    <row r="53506" spans="2:2" s="221" customFormat="1" ht="12.75" x14ac:dyDescent="0.2">
      <c r="B53506" s="1168"/>
    </row>
    <row r="53507" spans="2:2" s="221" customFormat="1" ht="12.75" x14ac:dyDescent="0.2">
      <c r="B53507" s="1168"/>
    </row>
    <row r="53508" spans="2:2" s="221" customFormat="1" ht="12.75" x14ac:dyDescent="0.2">
      <c r="B53508" s="1168"/>
    </row>
    <row r="53509" spans="2:2" s="221" customFormat="1" ht="12.75" x14ac:dyDescent="0.2">
      <c r="B53509" s="1168"/>
    </row>
    <row r="53510" spans="2:2" s="221" customFormat="1" ht="12.75" x14ac:dyDescent="0.2">
      <c r="B53510" s="1168"/>
    </row>
    <row r="53511" spans="2:2" s="221" customFormat="1" ht="12.75" x14ac:dyDescent="0.2">
      <c r="B53511" s="1168"/>
    </row>
    <row r="53512" spans="2:2" s="221" customFormat="1" ht="12.75" x14ac:dyDescent="0.2">
      <c r="B53512" s="1168"/>
    </row>
    <row r="53513" spans="2:2" s="221" customFormat="1" ht="12.75" x14ac:dyDescent="0.2">
      <c r="B53513" s="1168"/>
    </row>
    <row r="53514" spans="2:2" s="221" customFormat="1" ht="12.75" x14ac:dyDescent="0.2">
      <c r="B53514" s="1168"/>
    </row>
    <row r="53515" spans="2:2" s="221" customFormat="1" ht="12.75" x14ac:dyDescent="0.2">
      <c r="B53515" s="1168"/>
    </row>
    <row r="53516" spans="2:2" s="221" customFormat="1" ht="12.75" x14ac:dyDescent="0.2">
      <c r="B53516" s="1168"/>
    </row>
    <row r="53517" spans="2:2" s="221" customFormat="1" ht="12.75" x14ac:dyDescent="0.2">
      <c r="B53517" s="1168"/>
    </row>
    <row r="53518" spans="2:2" s="221" customFormat="1" ht="12.75" x14ac:dyDescent="0.2">
      <c r="B53518" s="1168"/>
    </row>
    <row r="53519" spans="2:2" s="221" customFormat="1" ht="12.75" x14ac:dyDescent="0.2">
      <c r="B53519" s="1168"/>
    </row>
    <row r="53520" spans="2:2" s="221" customFormat="1" ht="12.75" x14ac:dyDescent="0.2">
      <c r="B53520" s="1168"/>
    </row>
    <row r="53521" spans="2:2" s="221" customFormat="1" ht="12.75" x14ac:dyDescent="0.2">
      <c r="B53521" s="1168"/>
    </row>
    <row r="53522" spans="2:2" s="221" customFormat="1" ht="12.75" x14ac:dyDescent="0.2">
      <c r="B53522" s="1168"/>
    </row>
    <row r="53523" spans="2:2" s="221" customFormat="1" ht="12.75" x14ac:dyDescent="0.2">
      <c r="B53523" s="1168"/>
    </row>
    <row r="53524" spans="2:2" s="221" customFormat="1" ht="12.75" x14ac:dyDescent="0.2">
      <c r="B53524" s="1168"/>
    </row>
    <row r="53525" spans="2:2" s="221" customFormat="1" ht="12.75" x14ac:dyDescent="0.2">
      <c r="B53525" s="1168"/>
    </row>
    <row r="53526" spans="2:2" s="221" customFormat="1" ht="12.75" x14ac:dyDescent="0.2">
      <c r="B53526" s="1168"/>
    </row>
    <row r="53527" spans="2:2" s="221" customFormat="1" ht="12.75" x14ac:dyDescent="0.2">
      <c r="B53527" s="1168"/>
    </row>
    <row r="53528" spans="2:2" s="221" customFormat="1" ht="12.75" x14ac:dyDescent="0.2">
      <c r="B53528" s="1168"/>
    </row>
    <row r="53529" spans="2:2" s="221" customFormat="1" ht="12.75" x14ac:dyDescent="0.2">
      <c r="B53529" s="1168"/>
    </row>
    <row r="53530" spans="2:2" s="221" customFormat="1" ht="12.75" x14ac:dyDescent="0.2">
      <c r="B53530" s="1168"/>
    </row>
    <row r="53531" spans="2:2" s="221" customFormat="1" ht="12.75" x14ac:dyDescent="0.2">
      <c r="B53531" s="1168"/>
    </row>
    <row r="53532" spans="2:2" s="221" customFormat="1" ht="12.75" x14ac:dyDescent="0.2">
      <c r="B53532" s="1168"/>
    </row>
    <row r="53533" spans="2:2" s="221" customFormat="1" ht="12.75" x14ac:dyDescent="0.2">
      <c r="B53533" s="1168"/>
    </row>
    <row r="53534" spans="2:2" s="221" customFormat="1" ht="12.75" x14ac:dyDescent="0.2">
      <c r="B53534" s="1168"/>
    </row>
    <row r="53535" spans="2:2" s="221" customFormat="1" ht="12.75" x14ac:dyDescent="0.2">
      <c r="B53535" s="1168"/>
    </row>
    <row r="53536" spans="2:2" s="221" customFormat="1" ht="12.75" x14ac:dyDescent="0.2">
      <c r="B53536" s="1168"/>
    </row>
    <row r="53537" spans="2:2" s="221" customFormat="1" ht="12.75" x14ac:dyDescent="0.2">
      <c r="B53537" s="1168"/>
    </row>
    <row r="53538" spans="2:2" s="221" customFormat="1" ht="12.75" x14ac:dyDescent="0.2">
      <c r="B53538" s="1168"/>
    </row>
    <row r="53539" spans="2:2" s="221" customFormat="1" ht="12.75" x14ac:dyDescent="0.2">
      <c r="B53539" s="1168"/>
    </row>
    <row r="53540" spans="2:2" s="221" customFormat="1" ht="12.75" x14ac:dyDescent="0.2">
      <c r="B53540" s="1168"/>
    </row>
    <row r="53541" spans="2:2" s="221" customFormat="1" ht="12.75" x14ac:dyDescent="0.2">
      <c r="B53541" s="1168"/>
    </row>
    <row r="53542" spans="2:2" s="221" customFormat="1" ht="12.75" x14ac:dyDescent="0.2">
      <c r="B53542" s="1168"/>
    </row>
    <row r="53543" spans="2:2" s="221" customFormat="1" ht="12.75" x14ac:dyDescent="0.2">
      <c r="B53543" s="1168"/>
    </row>
    <row r="53544" spans="2:2" s="221" customFormat="1" ht="12.75" x14ac:dyDescent="0.2">
      <c r="B53544" s="1168"/>
    </row>
    <row r="53545" spans="2:2" s="221" customFormat="1" ht="12.75" x14ac:dyDescent="0.2">
      <c r="B53545" s="1168"/>
    </row>
    <row r="53546" spans="2:2" s="221" customFormat="1" ht="12.75" x14ac:dyDescent="0.2">
      <c r="B53546" s="1168"/>
    </row>
    <row r="53547" spans="2:2" s="221" customFormat="1" ht="12.75" x14ac:dyDescent="0.2">
      <c r="B53547" s="1168"/>
    </row>
    <row r="53548" spans="2:2" s="221" customFormat="1" ht="12.75" x14ac:dyDescent="0.2">
      <c r="B53548" s="1168"/>
    </row>
    <row r="53549" spans="2:2" s="221" customFormat="1" ht="12.75" x14ac:dyDescent="0.2">
      <c r="B53549" s="1168"/>
    </row>
    <row r="53550" spans="2:2" s="221" customFormat="1" ht="12.75" x14ac:dyDescent="0.2">
      <c r="B53550" s="1168"/>
    </row>
    <row r="53551" spans="2:2" s="221" customFormat="1" ht="12.75" x14ac:dyDescent="0.2">
      <c r="B53551" s="1168"/>
    </row>
    <row r="53552" spans="2:2" s="221" customFormat="1" ht="12.75" x14ac:dyDescent="0.2">
      <c r="B53552" s="1168"/>
    </row>
    <row r="53553" spans="2:2" s="221" customFormat="1" ht="12.75" x14ac:dyDescent="0.2">
      <c r="B53553" s="1168"/>
    </row>
    <row r="53554" spans="2:2" s="221" customFormat="1" ht="12.75" x14ac:dyDescent="0.2">
      <c r="B53554" s="1168"/>
    </row>
    <row r="53555" spans="2:2" s="221" customFormat="1" ht="12.75" x14ac:dyDescent="0.2">
      <c r="B53555" s="1168"/>
    </row>
    <row r="53556" spans="2:2" s="221" customFormat="1" ht="12.75" x14ac:dyDescent="0.2">
      <c r="B53556" s="1168"/>
    </row>
    <row r="53557" spans="2:2" s="221" customFormat="1" ht="12.75" x14ac:dyDescent="0.2">
      <c r="B53557" s="1168"/>
    </row>
    <row r="53558" spans="2:2" s="221" customFormat="1" ht="12.75" x14ac:dyDescent="0.2">
      <c r="B53558" s="1168"/>
    </row>
    <row r="53559" spans="2:2" s="221" customFormat="1" ht="12.75" x14ac:dyDescent="0.2">
      <c r="B53559" s="1168"/>
    </row>
    <row r="53560" spans="2:2" s="221" customFormat="1" ht="12.75" x14ac:dyDescent="0.2">
      <c r="B53560" s="1168"/>
    </row>
    <row r="53561" spans="2:2" s="221" customFormat="1" ht="12.75" x14ac:dyDescent="0.2">
      <c r="B53561" s="1168"/>
    </row>
    <row r="53562" spans="2:2" s="221" customFormat="1" ht="12.75" x14ac:dyDescent="0.2">
      <c r="B53562" s="1168"/>
    </row>
    <row r="53563" spans="2:2" s="221" customFormat="1" ht="12.75" x14ac:dyDescent="0.2">
      <c r="B53563" s="1168"/>
    </row>
    <row r="53564" spans="2:2" s="221" customFormat="1" ht="12.75" x14ac:dyDescent="0.2">
      <c r="B53564" s="1168"/>
    </row>
    <row r="53565" spans="2:2" s="221" customFormat="1" ht="12.75" x14ac:dyDescent="0.2">
      <c r="B53565" s="1168"/>
    </row>
    <row r="53566" spans="2:2" s="221" customFormat="1" ht="12.75" x14ac:dyDescent="0.2">
      <c r="B53566" s="1168"/>
    </row>
    <row r="53567" spans="2:2" s="221" customFormat="1" ht="12.75" x14ac:dyDescent="0.2">
      <c r="B53567" s="1168"/>
    </row>
    <row r="53568" spans="2:2" s="221" customFormat="1" ht="12.75" x14ac:dyDescent="0.2">
      <c r="B53568" s="1168"/>
    </row>
    <row r="53569" spans="2:2" s="221" customFormat="1" ht="12.75" x14ac:dyDescent="0.2">
      <c r="B53569" s="1168"/>
    </row>
    <row r="53570" spans="2:2" s="221" customFormat="1" ht="12.75" x14ac:dyDescent="0.2">
      <c r="B53570" s="1168"/>
    </row>
    <row r="53571" spans="2:2" s="221" customFormat="1" ht="12.75" x14ac:dyDescent="0.2">
      <c r="B53571" s="1168"/>
    </row>
    <row r="53572" spans="2:2" s="221" customFormat="1" ht="12.75" x14ac:dyDescent="0.2">
      <c r="B53572" s="1168"/>
    </row>
    <row r="53573" spans="2:2" s="221" customFormat="1" ht="12.75" x14ac:dyDescent="0.2">
      <c r="B53573" s="1168"/>
    </row>
    <row r="53574" spans="2:2" s="221" customFormat="1" ht="12.75" x14ac:dyDescent="0.2">
      <c r="B53574" s="1168"/>
    </row>
    <row r="53575" spans="2:2" s="221" customFormat="1" ht="12.75" x14ac:dyDescent="0.2">
      <c r="B53575" s="1168"/>
    </row>
    <row r="53576" spans="2:2" s="221" customFormat="1" ht="12.75" x14ac:dyDescent="0.2">
      <c r="B53576" s="1168"/>
    </row>
    <row r="53577" spans="2:2" s="221" customFormat="1" ht="12.75" x14ac:dyDescent="0.2">
      <c r="B53577" s="1168"/>
    </row>
    <row r="53578" spans="2:2" s="221" customFormat="1" ht="12.75" x14ac:dyDescent="0.2">
      <c r="B53578" s="1168"/>
    </row>
    <row r="53579" spans="2:2" s="221" customFormat="1" ht="12.75" x14ac:dyDescent="0.2">
      <c r="B53579" s="1168"/>
    </row>
    <row r="53580" spans="2:2" s="221" customFormat="1" ht="12.75" x14ac:dyDescent="0.2">
      <c r="B53580" s="1168"/>
    </row>
    <row r="53581" spans="2:2" s="221" customFormat="1" ht="12.75" x14ac:dyDescent="0.2">
      <c r="B53581" s="1168"/>
    </row>
    <row r="53582" spans="2:2" s="221" customFormat="1" ht="12.75" x14ac:dyDescent="0.2">
      <c r="B53582" s="1168"/>
    </row>
    <row r="53583" spans="2:2" s="221" customFormat="1" ht="12.75" x14ac:dyDescent="0.2">
      <c r="B53583" s="1168"/>
    </row>
    <row r="53584" spans="2:2" s="221" customFormat="1" ht="12.75" x14ac:dyDescent="0.2">
      <c r="B53584" s="1168"/>
    </row>
    <row r="53585" spans="2:2" s="221" customFormat="1" ht="12.75" x14ac:dyDescent="0.2">
      <c r="B53585" s="1168"/>
    </row>
    <row r="53586" spans="2:2" s="221" customFormat="1" ht="12.75" x14ac:dyDescent="0.2">
      <c r="B53586" s="1168"/>
    </row>
    <row r="53587" spans="2:2" s="221" customFormat="1" ht="12.75" x14ac:dyDescent="0.2">
      <c r="B53587" s="1168"/>
    </row>
    <row r="53588" spans="2:2" s="221" customFormat="1" ht="12.75" x14ac:dyDescent="0.2">
      <c r="B53588" s="1168"/>
    </row>
    <row r="53589" spans="2:2" s="221" customFormat="1" ht="12.75" x14ac:dyDescent="0.2">
      <c r="B53589" s="1168"/>
    </row>
    <row r="53590" spans="2:2" s="221" customFormat="1" ht="12.75" x14ac:dyDescent="0.2">
      <c r="B53590" s="1168"/>
    </row>
    <row r="53591" spans="2:2" s="221" customFormat="1" ht="12.75" x14ac:dyDescent="0.2">
      <c r="B53591" s="1168"/>
    </row>
    <row r="53592" spans="2:2" s="221" customFormat="1" ht="12.75" x14ac:dyDescent="0.2">
      <c r="B53592" s="1168"/>
    </row>
    <row r="53593" spans="2:2" s="221" customFormat="1" ht="12.75" x14ac:dyDescent="0.2">
      <c r="B53593" s="1168"/>
    </row>
    <row r="53594" spans="2:2" s="221" customFormat="1" ht="12.75" x14ac:dyDescent="0.2">
      <c r="B53594" s="1168"/>
    </row>
    <row r="53595" spans="2:2" s="221" customFormat="1" ht="12.75" x14ac:dyDescent="0.2">
      <c r="B53595" s="1168"/>
    </row>
    <row r="53596" spans="2:2" s="221" customFormat="1" ht="12.75" x14ac:dyDescent="0.2">
      <c r="B53596" s="1168"/>
    </row>
    <row r="53597" spans="2:2" s="221" customFormat="1" ht="12.75" x14ac:dyDescent="0.2">
      <c r="B53597" s="1168"/>
    </row>
    <row r="53598" spans="2:2" s="221" customFormat="1" ht="12.75" x14ac:dyDescent="0.2">
      <c r="B53598" s="1168"/>
    </row>
    <row r="53599" spans="2:2" s="221" customFormat="1" ht="12.75" x14ac:dyDescent="0.2">
      <c r="B53599" s="1168"/>
    </row>
    <row r="53600" spans="2:2" s="221" customFormat="1" ht="12.75" x14ac:dyDescent="0.2">
      <c r="B53600" s="1168"/>
    </row>
    <row r="53601" spans="2:2" s="221" customFormat="1" ht="12.75" x14ac:dyDescent="0.2">
      <c r="B53601" s="1168"/>
    </row>
    <row r="53602" spans="2:2" s="221" customFormat="1" ht="12.75" x14ac:dyDescent="0.2">
      <c r="B53602" s="1168"/>
    </row>
    <row r="53603" spans="2:2" s="221" customFormat="1" ht="12.75" x14ac:dyDescent="0.2">
      <c r="B53603" s="1168"/>
    </row>
    <row r="53604" spans="2:2" s="221" customFormat="1" ht="12.75" x14ac:dyDescent="0.2">
      <c r="B53604" s="1168"/>
    </row>
    <row r="53605" spans="2:2" s="221" customFormat="1" ht="12.75" x14ac:dyDescent="0.2">
      <c r="B53605" s="1168"/>
    </row>
    <row r="53606" spans="2:2" s="221" customFormat="1" ht="12.75" x14ac:dyDescent="0.2">
      <c r="B53606" s="1168"/>
    </row>
    <row r="53607" spans="2:2" s="221" customFormat="1" ht="12.75" x14ac:dyDescent="0.2">
      <c r="B53607" s="1168"/>
    </row>
    <row r="53608" spans="2:2" s="221" customFormat="1" ht="12.75" x14ac:dyDescent="0.2">
      <c r="B53608" s="1168"/>
    </row>
    <row r="53609" spans="2:2" s="221" customFormat="1" ht="12.75" x14ac:dyDescent="0.2">
      <c r="B53609" s="1168"/>
    </row>
    <row r="53610" spans="2:2" s="221" customFormat="1" ht="12.75" x14ac:dyDescent="0.2">
      <c r="B53610" s="1168"/>
    </row>
    <row r="53611" spans="2:2" s="221" customFormat="1" ht="12.75" x14ac:dyDescent="0.2">
      <c r="B53611" s="1168"/>
    </row>
    <row r="53612" spans="2:2" s="221" customFormat="1" ht="12.75" x14ac:dyDescent="0.2">
      <c r="B53612" s="1168"/>
    </row>
    <row r="53613" spans="2:2" s="221" customFormat="1" ht="12.75" x14ac:dyDescent="0.2">
      <c r="B53613" s="1168"/>
    </row>
    <row r="53614" spans="2:2" s="221" customFormat="1" ht="12.75" x14ac:dyDescent="0.2">
      <c r="B53614" s="1168"/>
    </row>
    <row r="53615" spans="2:2" s="221" customFormat="1" ht="12.75" x14ac:dyDescent="0.2">
      <c r="B53615" s="1168"/>
    </row>
    <row r="53616" spans="2:2" s="221" customFormat="1" ht="12.75" x14ac:dyDescent="0.2">
      <c r="B53616" s="1168"/>
    </row>
    <row r="53617" spans="2:2" s="221" customFormat="1" ht="12.75" x14ac:dyDescent="0.2">
      <c r="B53617" s="1168"/>
    </row>
    <row r="53618" spans="2:2" s="221" customFormat="1" ht="12.75" x14ac:dyDescent="0.2">
      <c r="B53618" s="1168"/>
    </row>
    <row r="53619" spans="2:2" s="221" customFormat="1" ht="12.75" x14ac:dyDescent="0.2">
      <c r="B53619" s="1168"/>
    </row>
    <row r="53620" spans="2:2" s="221" customFormat="1" ht="12.75" x14ac:dyDescent="0.2">
      <c r="B53620" s="1168"/>
    </row>
    <row r="53621" spans="2:2" s="221" customFormat="1" ht="12.75" x14ac:dyDescent="0.2">
      <c r="B53621" s="1168"/>
    </row>
    <row r="53622" spans="2:2" s="221" customFormat="1" ht="12.75" x14ac:dyDescent="0.2">
      <c r="B53622" s="1168"/>
    </row>
    <row r="53623" spans="2:2" s="221" customFormat="1" ht="12.75" x14ac:dyDescent="0.2">
      <c r="B53623" s="1168"/>
    </row>
    <row r="53624" spans="2:2" s="221" customFormat="1" ht="12.75" x14ac:dyDescent="0.2">
      <c r="B53624" s="1168"/>
    </row>
    <row r="53625" spans="2:2" s="221" customFormat="1" ht="12.75" x14ac:dyDescent="0.2">
      <c r="B53625" s="1168"/>
    </row>
    <row r="53626" spans="2:2" s="221" customFormat="1" ht="12.75" x14ac:dyDescent="0.2">
      <c r="B53626" s="1168"/>
    </row>
    <row r="53627" spans="2:2" s="221" customFormat="1" ht="12.75" x14ac:dyDescent="0.2">
      <c r="B53627" s="1168"/>
    </row>
    <row r="53628" spans="2:2" s="221" customFormat="1" ht="12.75" x14ac:dyDescent="0.2">
      <c r="B53628" s="1168"/>
    </row>
    <row r="53629" spans="2:2" s="221" customFormat="1" ht="12.75" x14ac:dyDescent="0.2">
      <c r="B53629" s="1168"/>
    </row>
    <row r="53630" spans="2:2" s="221" customFormat="1" ht="12.75" x14ac:dyDescent="0.2">
      <c r="B53630" s="1168"/>
    </row>
    <row r="53631" spans="2:2" s="221" customFormat="1" ht="12.75" x14ac:dyDescent="0.2">
      <c r="B53631" s="1168"/>
    </row>
    <row r="53632" spans="2:2" s="221" customFormat="1" ht="12.75" x14ac:dyDescent="0.2">
      <c r="B53632" s="1168"/>
    </row>
    <row r="53633" spans="2:2" s="221" customFormat="1" ht="12.75" x14ac:dyDescent="0.2">
      <c r="B53633" s="1168"/>
    </row>
    <row r="53634" spans="2:2" s="221" customFormat="1" ht="12.75" x14ac:dyDescent="0.2">
      <c r="B53634" s="1168"/>
    </row>
    <row r="53635" spans="2:2" s="221" customFormat="1" ht="12.75" x14ac:dyDescent="0.2">
      <c r="B53635" s="1168"/>
    </row>
    <row r="53636" spans="2:2" s="221" customFormat="1" ht="12.75" x14ac:dyDescent="0.2">
      <c r="B53636" s="1168"/>
    </row>
    <row r="53637" spans="2:2" s="221" customFormat="1" ht="12.75" x14ac:dyDescent="0.2">
      <c r="B53637" s="1168"/>
    </row>
    <row r="53638" spans="2:2" s="221" customFormat="1" ht="12.75" x14ac:dyDescent="0.2">
      <c r="B53638" s="1168"/>
    </row>
    <row r="53639" spans="2:2" s="221" customFormat="1" ht="12.75" x14ac:dyDescent="0.2">
      <c r="B53639" s="1168"/>
    </row>
    <row r="53640" spans="2:2" s="221" customFormat="1" ht="12.75" x14ac:dyDescent="0.2">
      <c r="B53640" s="1168"/>
    </row>
    <row r="53641" spans="2:2" s="221" customFormat="1" ht="12.75" x14ac:dyDescent="0.2">
      <c r="B53641" s="1168"/>
    </row>
    <row r="53642" spans="2:2" s="221" customFormat="1" ht="12.75" x14ac:dyDescent="0.2">
      <c r="B53642" s="1168"/>
    </row>
    <row r="53643" spans="2:2" s="221" customFormat="1" ht="12.75" x14ac:dyDescent="0.2">
      <c r="B53643" s="1168"/>
    </row>
    <row r="53644" spans="2:2" s="221" customFormat="1" ht="12.75" x14ac:dyDescent="0.2">
      <c r="B53644" s="1168"/>
    </row>
    <row r="53645" spans="2:2" s="221" customFormat="1" ht="12.75" x14ac:dyDescent="0.2">
      <c r="B53645" s="1168"/>
    </row>
    <row r="53646" spans="2:2" s="221" customFormat="1" ht="12.75" x14ac:dyDescent="0.2">
      <c r="B53646" s="1168"/>
    </row>
    <row r="53647" spans="2:2" s="221" customFormat="1" ht="12.75" x14ac:dyDescent="0.2">
      <c r="B53647" s="1168"/>
    </row>
    <row r="53648" spans="2:2" s="221" customFormat="1" ht="12.75" x14ac:dyDescent="0.2">
      <c r="B53648" s="1168"/>
    </row>
    <row r="53649" spans="2:2" s="221" customFormat="1" ht="12.75" x14ac:dyDescent="0.2">
      <c r="B53649" s="1168"/>
    </row>
    <row r="53650" spans="2:2" s="221" customFormat="1" ht="12.75" x14ac:dyDescent="0.2">
      <c r="B53650" s="1168"/>
    </row>
    <row r="53651" spans="2:2" s="221" customFormat="1" ht="12.75" x14ac:dyDescent="0.2">
      <c r="B53651" s="1168"/>
    </row>
    <row r="53652" spans="2:2" s="221" customFormat="1" ht="12.75" x14ac:dyDescent="0.2">
      <c r="B53652" s="1168"/>
    </row>
    <row r="53653" spans="2:2" s="221" customFormat="1" ht="12.75" x14ac:dyDescent="0.2">
      <c r="B53653" s="1168"/>
    </row>
    <row r="53654" spans="2:2" s="221" customFormat="1" ht="12.75" x14ac:dyDescent="0.2">
      <c r="B53654" s="1168"/>
    </row>
    <row r="53655" spans="2:2" s="221" customFormat="1" ht="12.75" x14ac:dyDescent="0.2">
      <c r="B53655" s="1168"/>
    </row>
    <row r="53656" spans="2:2" s="221" customFormat="1" ht="12.75" x14ac:dyDescent="0.2">
      <c r="B53656" s="1168"/>
    </row>
    <row r="53657" spans="2:2" s="221" customFormat="1" ht="12.75" x14ac:dyDescent="0.2">
      <c r="B53657" s="1168"/>
    </row>
    <row r="53658" spans="2:2" s="221" customFormat="1" ht="12.75" x14ac:dyDescent="0.2">
      <c r="B53658" s="1168"/>
    </row>
    <row r="53659" spans="2:2" s="221" customFormat="1" ht="12.75" x14ac:dyDescent="0.2">
      <c r="B53659" s="1168"/>
    </row>
    <row r="53660" spans="2:2" s="221" customFormat="1" ht="12.75" x14ac:dyDescent="0.2">
      <c r="B53660" s="1168"/>
    </row>
    <row r="53661" spans="2:2" s="221" customFormat="1" ht="12.75" x14ac:dyDescent="0.2">
      <c r="B53661" s="1168"/>
    </row>
    <row r="53662" spans="2:2" s="221" customFormat="1" ht="12.75" x14ac:dyDescent="0.2">
      <c r="B53662" s="1168"/>
    </row>
    <row r="53663" spans="2:2" s="221" customFormat="1" ht="12.75" x14ac:dyDescent="0.2">
      <c r="B53663" s="1168"/>
    </row>
    <row r="53664" spans="2:2" s="221" customFormat="1" ht="12.75" x14ac:dyDescent="0.2">
      <c r="B53664" s="1168"/>
    </row>
    <row r="53665" spans="2:2" s="221" customFormat="1" ht="12.75" x14ac:dyDescent="0.2">
      <c r="B53665" s="1168"/>
    </row>
    <row r="53666" spans="2:2" s="221" customFormat="1" ht="12.75" x14ac:dyDescent="0.2">
      <c r="B53666" s="1168"/>
    </row>
    <row r="53667" spans="2:2" s="221" customFormat="1" ht="12.75" x14ac:dyDescent="0.2">
      <c r="B53667" s="1168"/>
    </row>
    <row r="53668" spans="2:2" s="221" customFormat="1" ht="12.75" x14ac:dyDescent="0.2">
      <c r="B53668" s="1168"/>
    </row>
    <row r="53669" spans="2:2" s="221" customFormat="1" ht="12.75" x14ac:dyDescent="0.2">
      <c r="B53669" s="1168"/>
    </row>
    <row r="53670" spans="2:2" s="221" customFormat="1" ht="12.75" x14ac:dyDescent="0.2">
      <c r="B53670" s="1168"/>
    </row>
    <row r="53671" spans="2:2" s="221" customFormat="1" ht="12.75" x14ac:dyDescent="0.2">
      <c r="B53671" s="1168"/>
    </row>
    <row r="53672" spans="2:2" s="221" customFormat="1" ht="12.75" x14ac:dyDescent="0.2">
      <c r="B53672" s="1168"/>
    </row>
    <row r="53673" spans="2:2" s="221" customFormat="1" ht="12.75" x14ac:dyDescent="0.2">
      <c r="B53673" s="1168"/>
    </row>
    <row r="53674" spans="2:2" s="221" customFormat="1" ht="12.75" x14ac:dyDescent="0.2">
      <c r="B53674" s="1168"/>
    </row>
    <row r="53675" spans="2:2" s="221" customFormat="1" ht="12.75" x14ac:dyDescent="0.2">
      <c r="B53675" s="1168"/>
    </row>
    <row r="53676" spans="2:2" s="221" customFormat="1" ht="12.75" x14ac:dyDescent="0.2">
      <c r="B53676" s="1168"/>
    </row>
    <row r="53677" spans="2:2" s="221" customFormat="1" ht="12.75" x14ac:dyDescent="0.2">
      <c r="B53677" s="1168"/>
    </row>
    <row r="53678" spans="2:2" s="221" customFormat="1" ht="12.75" x14ac:dyDescent="0.2">
      <c r="B53678" s="1168"/>
    </row>
    <row r="53679" spans="2:2" s="221" customFormat="1" ht="12.75" x14ac:dyDescent="0.2">
      <c r="B53679" s="1168"/>
    </row>
    <row r="53680" spans="2:2" s="221" customFormat="1" ht="12.75" x14ac:dyDescent="0.2">
      <c r="B53680" s="1168"/>
    </row>
    <row r="53681" spans="2:2" s="221" customFormat="1" ht="12.75" x14ac:dyDescent="0.2">
      <c r="B53681" s="1168"/>
    </row>
    <row r="53682" spans="2:2" s="221" customFormat="1" ht="12.75" x14ac:dyDescent="0.2">
      <c r="B53682" s="1168"/>
    </row>
    <row r="53683" spans="2:2" s="221" customFormat="1" ht="12.75" x14ac:dyDescent="0.2">
      <c r="B53683" s="1168"/>
    </row>
    <row r="53684" spans="2:2" s="221" customFormat="1" ht="12.75" x14ac:dyDescent="0.2">
      <c r="B53684" s="1168"/>
    </row>
    <row r="53685" spans="2:2" s="221" customFormat="1" ht="12.75" x14ac:dyDescent="0.2">
      <c r="B53685" s="1168"/>
    </row>
    <row r="53686" spans="2:2" s="221" customFormat="1" ht="12.75" x14ac:dyDescent="0.2">
      <c r="B53686" s="1168"/>
    </row>
    <row r="53687" spans="2:2" s="221" customFormat="1" ht="12.75" x14ac:dyDescent="0.2">
      <c r="B53687" s="1168"/>
    </row>
    <row r="53688" spans="2:2" s="221" customFormat="1" ht="12.75" x14ac:dyDescent="0.2">
      <c r="B53688" s="1168"/>
    </row>
    <row r="53689" spans="2:2" s="221" customFormat="1" ht="12.75" x14ac:dyDescent="0.2">
      <c r="B53689" s="1168"/>
    </row>
    <row r="53690" spans="2:2" s="221" customFormat="1" ht="12.75" x14ac:dyDescent="0.2">
      <c r="B53690" s="1168"/>
    </row>
    <row r="53691" spans="2:2" s="221" customFormat="1" ht="12.75" x14ac:dyDescent="0.2">
      <c r="B53691" s="1168"/>
    </row>
    <row r="53692" spans="2:2" s="221" customFormat="1" ht="12.75" x14ac:dyDescent="0.2">
      <c r="B53692" s="1168"/>
    </row>
    <row r="53693" spans="2:2" s="221" customFormat="1" ht="12.75" x14ac:dyDescent="0.2">
      <c r="B53693" s="1168"/>
    </row>
    <row r="53694" spans="2:2" s="221" customFormat="1" ht="12.75" x14ac:dyDescent="0.2">
      <c r="B53694" s="1168"/>
    </row>
    <row r="53695" spans="2:2" s="221" customFormat="1" ht="12.75" x14ac:dyDescent="0.2">
      <c r="B53695" s="1168"/>
    </row>
    <row r="53696" spans="2:2" s="221" customFormat="1" ht="12.75" x14ac:dyDescent="0.2">
      <c r="B53696" s="1168"/>
    </row>
    <row r="53697" spans="2:2" s="221" customFormat="1" ht="12.75" x14ac:dyDescent="0.2">
      <c r="B53697" s="1168"/>
    </row>
    <row r="53698" spans="2:2" s="221" customFormat="1" ht="12.75" x14ac:dyDescent="0.2">
      <c r="B53698" s="1168"/>
    </row>
    <row r="53699" spans="2:2" s="221" customFormat="1" ht="12.75" x14ac:dyDescent="0.2">
      <c r="B53699" s="1168"/>
    </row>
    <row r="53700" spans="2:2" s="221" customFormat="1" ht="12.75" x14ac:dyDescent="0.2">
      <c r="B53700" s="1168"/>
    </row>
    <row r="53701" spans="2:2" s="221" customFormat="1" ht="12.75" x14ac:dyDescent="0.2">
      <c r="B53701" s="1168"/>
    </row>
    <row r="53702" spans="2:2" s="221" customFormat="1" ht="12.75" x14ac:dyDescent="0.2">
      <c r="B53702" s="1168"/>
    </row>
    <row r="53703" spans="2:2" s="221" customFormat="1" ht="12.75" x14ac:dyDescent="0.2">
      <c r="B53703" s="1168"/>
    </row>
    <row r="53704" spans="2:2" s="221" customFormat="1" ht="12.75" x14ac:dyDescent="0.2">
      <c r="B53704" s="1168"/>
    </row>
    <row r="53705" spans="2:2" s="221" customFormat="1" ht="12.75" x14ac:dyDescent="0.2">
      <c r="B53705" s="1168"/>
    </row>
    <row r="53706" spans="2:2" s="221" customFormat="1" ht="12.75" x14ac:dyDescent="0.2">
      <c r="B53706" s="1168"/>
    </row>
    <row r="53707" spans="2:2" s="221" customFormat="1" ht="12.75" x14ac:dyDescent="0.2">
      <c r="B53707" s="1168"/>
    </row>
    <row r="53708" spans="2:2" s="221" customFormat="1" ht="12.75" x14ac:dyDescent="0.2">
      <c r="B53708" s="1168"/>
    </row>
    <row r="53709" spans="2:2" s="221" customFormat="1" ht="12.75" x14ac:dyDescent="0.2">
      <c r="B53709" s="1168"/>
    </row>
    <row r="53710" spans="2:2" s="221" customFormat="1" ht="12.75" x14ac:dyDescent="0.2">
      <c r="B53710" s="1168"/>
    </row>
    <row r="53711" spans="2:2" s="221" customFormat="1" ht="12.75" x14ac:dyDescent="0.2">
      <c r="B53711" s="1168"/>
    </row>
    <row r="53712" spans="2:2" s="221" customFormat="1" ht="12.75" x14ac:dyDescent="0.2">
      <c r="B53712" s="1168"/>
    </row>
    <row r="53713" spans="2:2" s="221" customFormat="1" ht="12.75" x14ac:dyDescent="0.2">
      <c r="B53713" s="1168"/>
    </row>
    <row r="53714" spans="2:2" s="221" customFormat="1" ht="12.75" x14ac:dyDescent="0.2">
      <c r="B53714" s="1168"/>
    </row>
    <row r="53715" spans="2:2" s="221" customFormat="1" ht="12.75" x14ac:dyDescent="0.2">
      <c r="B53715" s="1168"/>
    </row>
    <row r="53716" spans="2:2" s="221" customFormat="1" ht="12.75" x14ac:dyDescent="0.2">
      <c r="B53716" s="1168"/>
    </row>
    <row r="53717" spans="2:2" s="221" customFormat="1" ht="12.75" x14ac:dyDescent="0.2">
      <c r="B53717" s="1168"/>
    </row>
    <row r="53718" spans="2:2" s="221" customFormat="1" ht="12.75" x14ac:dyDescent="0.2">
      <c r="B53718" s="1168"/>
    </row>
    <row r="53719" spans="2:2" s="221" customFormat="1" ht="12.75" x14ac:dyDescent="0.2">
      <c r="B53719" s="1168"/>
    </row>
    <row r="53720" spans="2:2" s="221" customFormat="1" ht="12.75" x14ac:dyDescent="0.2">
      <c r="B53720" s="1168"/>
    </row>
    <row r="53721" spans="2:2" s="221" customFormat="1" ht="12.75" x14ac:dyDescent="0.2">
      <c r="B53721" s="1168"/>
    </row>
    <row r="53722" spans="2:2" s="221" customFormat="1" ht="12.75" x14ac:dyDescent="0.2">
      <c r="B53722" s="1168"/>
    </row>
    <row r="53723" spans="2:2" s="221" customFormat="1" ht="12.75" x14ac:dyDescent="0.2">
      <c r="B53723" s="1168"/>
    </row>
    <row r="53724" spans="2:2" s="221" customFormat="1" ht="12.75" x14ac:dyDescent="0.2">
      <c r="B53724" s="1168"/>
    </row>
    <row r="53725" spans="2:2" s="221" customFormat="1" ht="12.75" x14ac:dyDescent="0.2">
      <c r="B53725" s="1168"/>
    </row>
    <row r="53726" spans="2:2" s="221" customFormat="1" ht="12.75" x14ac:dyDescent="0.2">
      <c r="B53726" s="1168"/>
    </row>
    <row r="53727" spans="2:2" s="221" customFormat="1" ht="12.75" x14ac:dyDescent="0.2">
      <c r="B53727" s="1168"/>
    </row>
    <row r="53728" spans="2:2" s="221" customFormat="1" ht="12.75" x14ac:dyDescent="0.2">
      <c r="B53728" s="1168"/>
    </row>
    <row r="53729" spans="2:2" s="221" customFormat="1" ht="12.75" x14ac:dyDescent="0.2">
      <c r="B53729" s="1168"/>
    </row>
    <row r="53730" spans="2:2" s="221" customFormat="1" ht="12.75" x14ac:dyDescent="0.2">
      <c r="B53730" s="1168"/>
    </row>
    <row r="53731" spans="2:2" s="221" customFormat="1" ht="12.75" x14ac:dyDescent="0.2">
      <c r="B53731" s="1168"/>
    </row>
    <row r="53732" spans="2:2" s="221" customFormat="1" ht="12.75" x14ac:dyDescent="0.2">
      <c r="B53732" s="1168"/>
    </row>
    <row r="53733" spans="2:2" s="221" customFormat="1" ht="12.75" x14ac:dyDescent="0.2">
      <c r="B53733" s="1168"/>
    </row>
    <row r="53734" spans="2:2" s="221" customFormat="1" ht="12.75" x14ac:dyDescent="0.2">
      <c r="B53734" s="1168"/>
    </row>
    <row r="53735" spans="2:2" s="221" customFormat="1" ht="12.75" x14ac:dyDescent="0.2">
      <c r="B53735" s="1168"/>
    </row>
    <row r="53736" spans="2:2" s="221" customFormat="1" ht="12.75" x14ac:dyDescent="0.2">
      <c r="B53736" s="1168"/>
    </row>
    <row r="53737" spans="2:2" s="221" customFormat="1" ht="12.75" x14ac:dyDescent="0.2">
      <c r="B53737" s="1168"/>
    </row>
    <row r="53738" spans="2:2" s="221" customFormat="1" ht="12.75" x14ac:dyDescent="0.2">
      <c r="B53738" s="1168"/>
    </row>
    <row r="53739" spans="2:2" s="221" customFormat="1" ht="12.75" x14ac:dyDescent="0.2">
      <c r="B53739" s="1168"/>
    </row>
    <row r="53740" spans="2:2" s="221" customFormat="1" ht="12.75" x14ac:dyDescent="0.2">
      <c r="B53740" s="1168"/>
    </row>
    <row r="53741" spans="2:2" s="221" customFormat="1" ht="12.75" x14ac:dyDescent="0.2">
      <c r="B53741" s="1168"/>
    </row>
    <row r="53742" spans="2:2" s="221" customFormat="1" ht="12.75" x14ac:dyDescent="0.2">
      <c r="B53742" s="1168"/>
    </row>
    <row r="53743" spans="2:2" s="221" customFormat="1" ht="12.75" x14ac:dyDescent="0.2">
      <c r="B53743" s="1168"/>
    </row>
    <row r="53744" spans="2:2" s="221" customFormat="1" ht="12.75" x14ac:dyDescent="0.2">
      <c r="B53744" s="1168"/>
    </row>
    <row r="53745" spans="2:2" s="221" customFormat="1" ht="12.75" x14ac:dyDescent="0.2">
      <c r="B53745" s="1168"/>
    </row>
    <row r="53746" spans="2:2" s="221" customFormat="1" ht="12.75" x14ac:dyDescent="0.2">
      <c r="B53746" s="1168"/>
    </row>
    <row r="53747" spans="2:2" s="221" customFormat="1" ht="12.75" x14ac:dyDescent="0.2">
      <c r="B53747" s="1168"/>
    </row>
    <row r="53748" spans="2:2" s="221" customFormat="1" ht="12.75" x14ac:dyDescent="0.2">
      <c r="B53748" s="1168"/>
    </row>
    <row r="53749" spans="2:2" s="221" customFormat="1" ht="12.75" x14ac:dyDescent="0.2">
      <c r="B53749" s="1168"/>
    </row>
    <row r="53750" spans="2:2" s="221" customFormat="1" ht="12.75" x14ac:dyDescent="0.2">
      <c r="B53750" s="1168"/>
    </row>
    <row r="53751" spans="2:2" s="221" customFormat="1" ht="12.75" x14ac:dyDescent="0.2">
      <c r="B53751" s="1168"/>
    </row>
    <row r="53752" spans="2:2" s="221" customFormat="1" ht="12.75" x14ac:dyDescent="0.2">
      <c r="B53752" s="1168"/>
    </row>
    <row r="53753" spans="2:2" s="221" customFormat="1" ht="12.75" x14ac:dyDescent="0.2">
      <c r="B53753" s="1168"/>
    </row>
    <row r="53754" spans="2:2" s="221" customFormat="1" ht="12.75" x14ac:dyDescent="0.2">
      <c r="B53754" s="1168"/>
    </row>
    <row r="53755" spans="2:2" s="221" customFormat="1" ht="12.75" x14ac:dyDescent="0.2">
      <c r="B53755" s="1168"/>
    </row>
    <row r="53756" spans="2:2" s="221" customFormat="1" ht="12.75" x14ac:dyDescent="0.2">
      <c r="B53756" s="1168"/>
    </row>
    <row r="53757" spans="2:2" s="221" customFormat="1" ht="12.75" x14ac:dyDescent="0.2">
      <c r="B53757" s="1168"/>
    </row>
    <row r="53758" spans="2:2" s="221" customFormat="1" ht="12.75" x14ac:dyDescent="0.2">
      <c r="B53758" s="1168"/>
    </row>
    <row r="53759" spans="2:2" s="221" customFormat="1" ht="12.75" x14ac:dyDescent="0.2">
      <c r="B53759" s="1168"/>
    </row>
    <row r="53760" spans="2:2" s="221" customFormat="1" ht="12.75" x14ac:dyDescent="0.2">
      <c r="B53760" s="1168"/>
    </row>
    <row r="53761" spans="2:2" s="221" customFormat="1" ht="12.75" x14ac:dyDescent="0.2">
      <c r="B53761" s="1168"/>
    </row>
    <row r="53762" spans="2:2" s="221" customFormat="1" ht="12.75" x14ac:dyDescent="0.2">
      <c r="B53762" s="1168"/>
    </row>
    <row r="53763" spans="2:2" s="221" customFormat="1" ht="12.75" x14ac:dyDescent="0.2">
      <c r="B53763" s="1168"/>
    </row>
    <row r="53764" spans="2:2" s="221" customFormat="1" ht="12.75" x14ac:dyDescent="0.2">
      <c r="B53764" s="1168"/>
    </row>
    <row r="53765" spans="2:2" s="221" customFormat="1" ht="12.75" x14ac:dyDescent="0.2">
      <c r="B53765" s="1168"/>
    </row>
    <row r="53766" spans="2:2" s="221" customFormat="1" ht="12.75" x14ac:dyDescent="0.2">
      <c r="B53766" s="1168"/>
    </row>
    <row r="53767" spans="2:2" s="221" customFormat="1" ht="12.75" x14ac:dyDescent="0.2">
      <c r="B53767" s="1168"/>
    </row>
    <row r="53768" spans="2:2" s="221" customFormat="1" ht="12.75" x14ac:dyDescent="0.2">
      <c r="B53768" s="1168"/>
    </row>
    <row r="53769" spans="2:2" s="221" customFormat="1" ht="12.75" x14ac:dyDescent="0.2">
      <c r="B53769" s="1168"/>
    </row>
    <row r="53770" spans="2:2" s="221" customFormat="1" ht="12.75" x14ac:dyDescent="0.2">
      <c r="B53770" s="1168"/>
    </row>
    <row r="53771" spans="2:2" s="221" customFormat="1" ht="12.75" x14ac:dyDescent="0.2">
      <c r="B53771" s="1168"/>
    </row>
    <row r="53772" spans="2:2" s="221" customFormat="1" ht="12.75" x14ac:dyDescent="0.2">
      <c r="B53772" s="1168"/>
    </row>
    <row r="53773" spans="2:2" s="221" customFormat="1" ht="12.75" x14ac:dyDescent="0.2">
      <c r="B53773" s="1168"/>
    </row>
    <row r="53774" spans="2:2" s="221" customFormat="1" ht="12.75" x14ac:dyDescent="0.2">
      <c r="B53774" s="1168"/>
    </row>
    <row r="53775" spans="2:2" s="221" customFormat="1" ht="12.75" x14ac:dyDescent="0.2">
      <c r="B53775" s="1168"/>
    </row>
    <row r="53776" spans="2:2" s="221" customFormat="1" ht="12.75" x14ac:dyDescent="0.2">
      <c r="B53776" s="1168"/>
    </row>
    <row r="53777" spans="2:2" s="221" customFormat="1" ht="12.75" x14ac:dyDescent="0.2">
      <c r="B53777" s="1168"/>
    </row>
    <row r="53778" spans="2:2" s="221" customFormat="1" ht="12.75" x14ac:dyDescent="0.2">
      <c r="B53778" s="1168"/>
    </row>
    <row r="53779" spans="2:2" s="221" customFormat="1" ht="12.75" x14ac:dyDescent="0.2">
      <c r="B53779" s="1168"/>
    </row>
    <row r="53780" spans="2:2" s="221" customFormat="1" ht="12.75" x14ac:dyDescent="0.2">
      <c r="B53780" s="1168"/>
    </row>
    <row r="53781" spans="2:2" s="221" customFormat="1" ht="12.75" x14ac:dyDescent="0.2">
      <c r="B53781" s="1168"/>
    </row>
    <row r="53782" spans="2:2" s="221" customFormat="1" ht="12.75" x14ac:dyDescent="0.2">
      <c r="B53782" s="1168"/>
    </row>
    <row r="53783" spans="2:2" s="221" customFormat="1" ht="12.75" x14ac:dyDescent="0.2">
      <c r="B53783" s="1168"/>
    </row>
    <row r="53784" spans="2:2" s="221" customFormat="1" ht="12.75" x14ac:dyDescent="0.2">
      <c r="B53784" s="1168"/>
    </row>
    <row r="53785" spans="2:2" s="221" customFormat="1" ht="12.75" x14ac:dyDescent="0.2">
      <c r="B53785" s="1168"/>
    </row>
    <row r="53786" spans="2:2" s="221" customFormat="1" ht="12.75" x14ac:dyDescent="0.2">
      <c r="B53786" s="1168"/>
    </row>
    <row r="53787" spans="2:2" s="221" customFormat="1" ht="12.75" x14ac:dyDescent="0.2">
      <c r="B53787" s="1168"/>
    </row>
    <row r="53788" spans="2:2" s="221" customFormat="1" ht="12.75" x14ac:dyDescent="0.2">
      <c r="B53788" s="1168"/>
    </row>
    <row r="53789" spans="2:2" s="221" customFormat="1" ht="12.75" x14ac:dyDescent="0.2">
      <c r="B53789" s="1168"/>
    </row>
    <row r="53790" spans="2:2" s="221" customFormat="1" ht="12.75" x14ac:dyDescent="0.2">
      <c r="B53790" s="1168"/>
    </row>
    <row r="53791" spans="2:2" s="221" customFormat="1" ht="12.75" x14ac:dyDescent="0.2">
      <c r="B53791" s="1168"/>
    </row>
    <row r="53792" spans="2:2" s="221" customFormat="1" ht="12.75" x14ac:dyDescent="0.2">
      <c r="B53792" s="1168"/>
    </row>
    <row r="53793" spans="2:2" s="221" customFormat="1" ht="12.75" x14ac:dyDescent="0.2">
      <c r="B53793" s="1168"/>
    </row>
    <row r="53794" spans="2:2" s="221" customFormat="1" ht="12.75" x14ac:dyDescent="0.2">
      <c r="B53794" s="1168"/>
    </row>
    <row r="53795" spans="2:2" s="221" customFormat="1" ht="12.75" x14ac:dyDescent="0.2">
      <c r="B53795" s="1168"/>
    </row>
    <row r="53796" spans="2:2" s="221" customFormat="1" ht="12.75" x14ac:dyDescent="0.2">
      <c r="B53796" s="1168"/>
    </row>
    <row r="53797" spans="2:2" s="221" customFormat="1" ht="12.75" x14ac:dyDescent="0.2">
      <c r="B53797" s="1168"/>
    </row>
    <row r="53798" spans="2:2" s="221" customFormat="1" ht="12.75" x14ac:dyDescent="0.2">
      <c r="B53798" s="1168"/>
    </row>
    <row r="53799" spans="2:2" s="221" customFormat="1" ht="12.75" x14ac:dyDescent="0.2">
      <c r="B53799" s="1168"/>
    </row>
    <row r="53800" spans="2:2" s="221" customFormat="1" ht="12.75" x14ac:dyDescent="0.2">
      <c r="B53800" s="1168"/>
    </row>
    <row r="53801" spans="2:2" s="221" customFormat="1" ht="12.75" x14ac:dyDescent="0.2">
      <c r="B53801" s="1168"/>
    </row>
    <row r="53802" spans="2:2" s="221" customFormat="1" ht="12.75" x14ac:dyDescent="0.2">
      <c r="B53802" s="1168"/>
    </row>
    <row r="53803" spans="2:2" s="221" customFormat="1" ht="12.75" x14ac:dyDescent="0.2">
      <c r="B53803" s="1168"/>
    </row>
    <row r="53804" spans="2:2" s="221" customFormat="1" ht="12.75" x14ac:dyDescent="0.2">
      <c r="B53804" s="1168"/>
    </row>
    <row r="53805" spans="2:2" s="221" customFormat="1" ht="12.75" x14ac:dyDescent="0.2">
      <c r="B53805" s="1168"/>
    </row>
    <row r="53806" spans="2:2" s="221" customFormat="1" ht="12.75" x14ac:dyDescent="0.2">
      <c r="B53806" s="1168"/>
    </row>
    <row r="53807" spans="2:2" s="221" customFormat="1" ht="12.75" x14ac:dyDescent="0.2">
      <c r="B53807" s="1168"/>
    </row>
    <row r="53808" spans="2:2" s="221" customFormat="1" ht="12.75" x14ac:dyDescent="0.2">
      <c r="B53808" s="1168"/>
    </row>
    <row r="53809" spans="2:2" s="221" customFormat="1" ht="12.75" x14ac:dyDescent="0.2">
      <c r="B53809" s="1168"/>
    </row>
    <row r="53810" spans="2:2" s="221" customFormat="1" ht="12.75" x14ac:dyDescent="0.2">
      <c r="B53810" s="1168"/>
    </row>
    <row r="53811" spans="2:2" s="221" customFormat="1" ht="12.75" x14ac:dyDescent="0.2">
      <c r="B53811" s="1168"/>
    </row>
    <row r="53812" spans="2:2" s="221" customFormat="1" ht="12.75" x14ac:dyDescent="0.2">
      <c r="B53812" s="1168"/>
    </row>
    <row r="53813" spans="2:2" s="221" customFormat="1" ht="12.75" x14ac:dyDescent="0.2">
      <c r="B53813" s="1168"/>
    </row>
    <row r="53814" spans="2:2" s="221" customFormat="1" ht="12.75" x14ac:dyDescent="0.2">
      <c r="B53814" s="1168"/>
    </row>
    <row r="53815" spans="2:2" s="221" customFormat="1" ht="12.75" x14ac:dyDescent="0.2">
      <c r="B53815" s="1168"/>
    </row>
    <row r="53816" spans="2:2" s="221" customFormat="1" ht="12.75" x14ac:dyDescent="0.2">
      <c r="B53816" s="1168"/>
    </row>
    <row r="53817" spans="2:2" s="221" customFormat="1" ht="12.75" x14ac:dyDescent="0.2">
      <c r="B53817" s="1168"/>
    </row>
    <row r="53818" spans="2:2" s="221" customFormat="1" ht="12.75" x14ac:dyDescent="0.2">
      <c r="B53818" s="1168"/>
    </row>
    <row r="53819" spans="2:2" s="221" customFormat="1" ht="12.75" x14ac:dyDescent="0.2">
      <c r="B53819" s="1168"/>
    </row>
    <row r="53820" spans="2:2" s="221" customFormat="1" ht="12.75" x14ac:dyDescent="0.2">
      <c r="B53820" s="1168"/>
    </row>
    <row r="53821" spans="2:2" s="221" customFormat="1" ht="12.75" x14ac:dyDescent="0.2">
      <c r="B53821" s="1168"/>
    </row>
    <row r="53822" spans="2:2" s="221" customFormat="1" ht="12.75" x14ac:dyDescent="0.2">
      <c r="B53822" s="1168"/>
    </row>
    <row r="53823" spans="2:2" s="221" customFormat="1" ht="12.75" x14ac:dyDescent="0.2">
      <c r="B53823" s="1168"/>
    </row>
    <row r="53824" spans="2:2" s="221" customFormat="1" ht="12.75" x14ac:dyDescent="0.2">
      <c r="B53824" s="1168"/>
    </row>
    <row r="53825" spans="2:2" s="221" customFormat="1" ht="12.75" x14ac:dyDescent="0.2">
      <c r="B53825" s="1168"/>
    </row>
    <row r="53826" spans="2:2" s="221" customFormat="1" ht="12.75" x14ac:dyDescent="0.2">
      <c r="B53826" s="1168"/>
    </row>
    <row r="53827" spans="2:2" s="221" customFormat="1" ht="12.75" x14ac:dyDescent="0.2">
      <c r="B53827" s="1168"/>
    </row>
    <row r="53828" spans="2:2" s="221" customFormat="1" ht="12.75" x14ac:dyDescent="0.2">
      <c r="B53828" s="1168"/>
    </row>
    <row r="53829" spans="2:2" s="221" customFormat="1" ht="12.75" x14ac:dyDescent="0.2">
      <c r="B53829" s="1168"/>
    </row>
    <row r="53830" spans="2:2" s="221" customFormat="1" ht="12.75" x14ac:dyDescent="0.2">
      <c r="B53830" s="1168"/>
    </row>
    <row r="53831" spans="2:2" s="221" customFormat="1" ht="12.75" x14ac:dyDescent="0.2">
      <c r="B53831" s="1168"/>
    </row>
    <row r="53832" spans="2:2" s="221" customFormat="1" ht="12.75" x14ac:dyDescent="0.2">
      <c r="B53832" s="1168"/>
    </row>
    <row r="53833" spans="2:2" s="221" customFormat="1" ht="12.75" x14ac:dyDescent="0.2">
      <c r="B53833" s="1168"/>
    </row>
    <row r="53834" spans="2:2" s="221" customFormat="1" ht="12.75" x14ac:dyDescent="0.2">
      <c r="B53834" s="1168"/>
    </row>
    <row r="53835" spans="2:2" s="221" customFormat="1" ht="12.75" x14ac:dyDescent="0.2">
      <c r="B53835" s="1168"/>
    </row>
    <row r="53836" spans="2:2" s="221" customFormat="1" ht="12.75" x14ac:dyDescent="0.2">
      <c r="B53836" s="1168"/>
    </row>
    <row r="53837" spans="2:2" s="221" customFormat="1" ht="12.75" x14ac:dyDescent="0.2">
      <c r="B53837" s="1168"/>
    </row>
    <row r="53838" spans="2:2" s="221" customFormat="1" ht="12.75" x14ac:dyDescent="0.2">
      <c r="B53838" s="1168"/>
    </row>
    <row r="53839" spans="2:2" s="221" customFormat="1" ht="12.75" x14ac:dyDescent="0.2">
      <c r="B53839" s="1168"/>
    </row>
    <row r="53840" spans="2:2" s="221" customFormat="1" ht="12.75" x14ac:dyDescent="0.2">
      <c r="B53840" s="1168"/>
    </row>
    <row r="53841" spans="2:2" s="221" customFormat="1" ht="12.75" x14ac:dyDescent="0.2">
      <c r="B53841" s="1168"/>
    </row>
    <row r="53842" spans="2:2" s="221" customFormat="1" ht="12.75" x14ac:dyDescent="0.2">
      <c r="B53842" s="1168"/>
    </row>
    <row r="53843" spans="2:2" s="221" customFormat="1" ht="12.75" x14ac:dyDescent="0.2">
      <c r="B53843" s="1168"/>
    </row>
    <row r="53844" spans="2:2" s="221" customFormat="1" ht="12.75" x14ac:dyDescent="0.2">
      <c r="B53844" s="1168"/>
    </row>
    <row r="53845" spans="2:2" s="221" customFormat="1" ht="12.75" x14ac:dyDescent="0.2">
      <c r="B53845" s="1168"/>
    </row>
    <row r="53846" spans="2:2" s="221" customFormat="1" ht="12.75" x14ac:dyDescent="0.2">
      <c r="B53846" s="1168"/>
    </row>
    <row r="53847" spans="2:2" s="221" customFormat="1" ht="12.75" x14ac:dyDescent="0.2">
      <c r="B53847" s="1168"/>
    </row>
    <row r="53848" spans="2:2" s="221" customFormat="1" ht="12.75" x14ac:dyDescent="0.2">
      <c r="B53848" s="1168"/>
    </row>
    <row r="53849" spans="2:2" s="221" customFormat="1" ht="12.75" x14ac:dyDescent="0.2">
      <c r="B53849" s="1168"/>
    </row>
    <row r="53850" spans="2:2" s="221" customFormat="1" ht="12.75" x14ac:dyDescent="0.2">
      <c r="B53850" s="1168"/>
    </row>
    <row r="53851" spans="2:2" s="221" customFormat="1" ht="12.75" x14ac:dyDescent="0.2">
      <c r="B53851" s="1168"/>
    </row>
    <row r="53852" spans="2:2" s="221" customFormat="1" ht="12.75" x14ac:dyDescent="0.2">
      <c r="B53852" s="1168"/>
    </row>
    <row r="53853" spans="2:2" s="221" customFormat="1" ht="12.75" x14ac:dyDescent="0.2">
      <c r="B53853" s="1168"/>
    </row>
    <row r="53854" spans="2:2" s="221" customFormat="1" ht="12.75" x14ac:dyDescent="0.2">
      <c r="B53854" s="1168"/>
    </row>
    <row r="53855" spans="2:2" s="221" customFormat="1" ht="12.75" x14ac:dyDescent="0.2">
      <c r="B53855" s="1168"/>
    </row>
    <row r="53856" spans="2:2" s="221" customFormat="1" ht="12.75" x14ac:dyDescent="0.2">
      <c r="B53856" s="1168"/>
    </row>
    <row r="53857" spans="2:2" s="221" customFormat="1" ht="12.75" x14ac:dyDescent="0.2">
      <c r="B53857" s="1168"/>
    </row>
    <row r="53858" spans="2:2" s="221" customFormat="1" ht="12.75" x14ac:dyDescent="0.2">
      <c r="B53858" s="1168"/>
    </row>
    <row r="53859" spans="2:2" s="221" customFormat="1" ht="12.75" x14ac:dyDescent="0.2">
      <c r="B53859" s="1168"/>
    </row>
    <row r="53860" spans="2:2" s="221" customFormat="1" ht="12.75" x14ac:dyDescent="0.2">
      <c r="B53860" s="1168"/>
    </row>
    <row r="53861" spans="2:2" s="221" customFormat="1" ht="12.75" x14ac:dyDescent="0.2">
      <c r="B53861" s="1168"/>
    </row>
    <row r="53862" spans="2:2" s="221" customFormat="1" ht="12.75" x14ac:dyDescent="0.2">
      <c r="B53862" s="1168"/>
    </row>
    <row r="53863" spans="2:2" s="221" customFormat="1" ht="12.75" x14ac:dyDescent="0.2">
      <c r="B53863" s="1168"/>
    </row>
    <row r="53864" spans="2:2" s="221" customFormat="1" ht="12.75" x14ac:dyDescent="0.2">
      <c r="B53864" s="1168"/>
    </row>
    <row r="53865" spans="2:2" s="221" customFormat="1" ht="12.75" x14ac:dyDescent="0.2">
      <c r="B53865" s="1168"/>
    </row>
    <row r="53866" spans="2:2" s="221" customFormat="1" ht="12.75" x14ac:dyDescent="0.2">
      <c r="B53866" s="1168"/>
    </row>
    <row r="53867" spans="2:2" s="221" customFormat="1" ht="12.75" x14ac:dyDescent="0.2">
      <c r="B53867" s="1168"/>
    </row>
    <row r="53868" spans="2:2" s="221" customFormat="1" ht="12.75" x14ac:dyDescent="0.2">
      <c r="B53868" s="1168"/>
    </row>
    <row r="53869" spans="2:2" s="221" customFormat="1" ht="12.75" x14ac:dyDescent="0.2">
      <c r="B53869" s="1168"/>
    </row>
    <row r="53870" spans="2:2" s="221" customFormat="1" ht="12.75" x14ac:dyDescent="0.2">
      <c r="B53870" s="1168"/>
    </row>
    <row r="53871" spans="2:2" s="221" customFormat="1" ht="12.75" x14ac:dyDescent="0.2">
      <c r="B53871" s="1168"/>
    </row>
    <row r="53872" spans="2:2" s="221" customFormat="1" ht="12.75" x14ac:dyDescent="0.2">
      <c r="B53872" s="1168"/>
    </row>
    <row r="53873" spans="2:2" s="221" customFormat="1" ht="12.75" x14ac:dyDescent="0.2">
      <c r="B53873" s="1168"/>
    </row>
    <row r="53874" spans="2:2" s="221" customFormat="1" ht="12.75" x14ac:dyDescent="0.2">
      <c r="B53874" s="1168"/>
    </row>
    <row r="53875" spans="2:2" s="221" customFormat="1" ht="12.75" x14ac:dyDescent="0.2">
      <c r="B53875" s="1168"/>
    </row>
    <row r="53876" spans="2:2" s="221" customFormat="1" ht="12.75" x14ac:dyDescent="0.2">
      <c r="B53876" s="1168"/>
    </row>
    <row r="53877" spans="2:2" s="221" customFormat="1" ht="12.75" x14ac:dyDescent="0.2">
      <c r="B53877" s="1168"/>
    </row>
    <row r="53878" spans="2:2" s="221" customFormat="1" ht="12.75" x14ac:dyDescent="0.2">
      <c r="B53878" s="1168"/>
    </row>
    <row r="53879" spans="2:2" s="221" customFormat="1" ht="12.75" x14ac:dyDescent="0.2">
      <c r="B53879" s="1168"/>
    </row>
    <row r="53880" spans="2:2" s="221" customFormat="1" ht="12.75" x14ac:dyDescent="0.2">
      <c r="B53880" s="1168"/>
    </row>
    <row r="53881" spans="2:2" s="221" customFormat="1" ht="12.75" x14ac:dyDescent="0.2">
      <c r="B53881" s="1168"/>
    </row>
    <row r="53882" spans="2:2" s="221" customFormat="1" ht="12.75" x14ac:dyDescent="0.2">
      <c r="B53882" s="1168"/>
    </row>
    <row r="53883" spans="2:2" s="221" customFormat="1" ht="12.75" x14ac:dyDescent="0.2">
      <c r="B53883" s="1168"/>
    </row>
    <row r="53884" spans="2:2" s="221" customFormat="1" ht="12.75" x14ac:dyDescent="0.2">
      <c r="B53884" s="1168"/>
    </row>
    <row r="53885" spans="2:2" s="221" customFormat="1" ht="12.75" x14ac:dyDescent="0.2">
      <c r="B53885" s="1168"/>
    </row>
    <row r="53886" spans="2:2" s="221" customFormat="1" ht="12.75" x14ac:dyDescent="0.2">
      <c r="B53886" s="1168"/>
    </row>
    <row r="53887" spans="2:2" s="221" customFormat="1" ht="12.75" x14ac:dyDescent="0.2">
      <c r="B53887" s="1168"/>
    </row>
    <row r="53888" spans="2:2" s="221" customFormat="1" ht="12.75" x14ac:dyDescent="0.2">
      <c r="B53888" s="1168"/>
    </row>
    <row r="53889" spans="2:2" s="221" customFormat="1" ht="12.75" x14ac:dyDescent="0.2">
      <c r="B53889" s="1168"/>
    </row>
    <row r="53890" spans="2:2" s="221" customFormat="1" ht="12.75" x14ac:dyDescent="0.2">
      <c r="B53890" s="1168"/>
    </row>
    <row r="53891" spans="2:2" s="221" customFormat="1" ht="12.75" x14ac:dyDescent="0.2">
      <c r="B53891" s="1168"/>
    </row>
    <row r="53892" spans="2:2" s="221" customFormat="1" ht="12.75" x14ac:dyDescent="0.2">
      <c r="B53892" s="1168"/>
    </row>
    <row r="53893" spans="2:2" s="221" customFormat="1" ht="12.75" x14ac:dyDescent="0.2">
      <c r="B53893" s="1168"/>
    </row>
    <row r="53894" spans="2:2" s="221" customFormat="1" ht="12.75" x14ac:dyDescent="0.2">
      <c r="B53894" s="1168"/>
    </row>
    <row r="53895" spans="2:2" s="221" customFormat="1" ht="12.75" x14ac:dyDescent="0.2">
      <c r="B53895" s="1168"/>
    </row>
    <row r="53896" spans="2:2" s="221" customFormat="1" ht="12.75" x14ac:dyDescent="0.2">
      <c r="B53896" s="1168"/>
    </row>
    <row r="53897" spans="2:2" s="221" customFormat="1" ht="12.75" x14ac:dyDescent="0.2">
      <c r="B53897" s="1168"/>
    </row>
    <row r="53898" spans="2:2" s="221" customFormat="1" ht="12.75" x14ac:dyDescent="0.2">
      <c r="B53898" s="1168"/>
    </row>
    <row r="53899" spans="2:2" s="221" customFormat="1" ht="12.75" x14ac:dyDescent="0.2">
      <c r="B53899" s="1168"/>
    </row>
    <row r="53900" spans="2:2" s="221" customFormat="1" ht="12.75" x14ac:dyDescent="0.2">
      <c r="B53900" s="1168"/>
    </row>
    <row r="53901" spans="2:2" s="221" customFormat="1" ht="12.75" x14ac:dyDescent="0.2">
      <c r="B53901" s="1168"/>
    </row>
    <row r="53902" spans="2:2" s="221" customFormat="1" ht="12.75" x14ac:dyDescent="0.2">
      <c r="B53902" s="1168"/>
    </row>
    <row r="53903" spans="2:2" s="221" customFormat="1" ht="12.75" x14ac:dyDescent="0.2">
      <c r="B53903" s="1168"/>
    </row>
    <row r="53904" spans="2:2" s="221" customFormat="1" ht="12.75" x14ac:dyDescent="0.2">
      <c r="B53904" s="1168"/>
    </row>
    <row r="53905" spans="2:2" s="221" customFormat="1" ht="12.75" x14ac:dyDescent="0.2">
      <c r="B53905" s="1168"/>
    </row>
    <row r="53906" spans="2:2" s="221" customFormat="1" ht="12.75" x14ac:dyDescent="0.2">
      <c r="B53906" s="1168"/>
    </row>
    <row r="53907" spans="2:2" s="221" customFormat="1" ht="12.75" x14ac:dyDescent="0.2">
      <c r="B53907" s="1168"/>
    </row>
    <row r="53908" spans="2:2" s="221" customFormat="1" ht="12.75" x14ac:dyDescent="0.2">
      <c r="B53908" s="1168"/>
    </row>
    <row r="53909" spans="2:2" s="221" customFormat="1" ht="12.75" x14ac:dyDescent="0.2">
      <c r="B53909" s="1168"/>
    </row>
    <row r="53910" spans="2:2" s="221" customFormat="1" ht="12.75" x14ac:dyDescent="0.2">
      <c r="B53910" s="1168"/>
    </row>
    <row r="53911" spans="2:2" s="221" customFormat="1" ht="12.75" x14ac:dyDescent="0.2">
      <c r="B53911" s="1168"/>
    </row>
    <row r="53912" spans="2:2" s="221" customFormat="1" ht="12.75" x14ac:dyDescent="0.2">
      <c r="B53912" s="1168"/>
    </row>
    <row r="53913" spans="2:2" s="221" customFormat="1" ht="12.75" x14ac:dyDescent="0.2">
      <c r="B53913" s="1168"/>
    </row>
    <row r="53914" spans="2:2" s="221" customFormat="1" ht="12.75" x14ac:dyDescent="0.2">
      <c r="B53914" s="1168"/>
    </row>
    <row r="53915" spans="2:2" s="221" customFormat="1" ht="12.75" x14ac:dyDescent="0.2">
      <c r="B53915" s="1168"/>
    </row>
    <row r="53916" spans="2:2" s="221" customFormat="1" ht="12.75" x14ac:dyDescent="0.2">
      <c r="B53916" s="1168"/>
    </row>
    <row r="53917" spans="2:2" s="221" customFormat="1" ht="12.75" x14ac:dyDescent="0.2">
      <c r="B53917" s="1168"/>
    </row>
    <row r="53918" spans="2:2" s="221" customFormat="1" ht="12.75" x14ac:dyDescent="0.2">
      <c r="B53918" s="1168"/>
    </row>
    <row r="53919" spans="2:2" s="221" customFormat="1" ht="12.75" x14ac:dyDescent="0.2">
      <c r="B53919" s="1168"/>
    </row>
    <row r="53920" spans="2:2" s="221" customFormat="1" ht="12.75" x14ac:dyDescent="0.2">
      <c r="B53920" s="1168"/>
    </row>
    <row r="53921" spans="2:2" s="221" customFormat="1" ht="12.75" x14ac:dyDescent="0.2">
      <c r="B53921" s="1168"/>
    </row>
    <row r="53922" spans="2:2" s="221" customFormat="1" ht="12.75" x14ac:dyDescent="0.2">
      <c r="B53922" s="1168"/>
    </row>
    <row r="53923" spans="2:2" s="221" customFormat="1" ht="12.75" x14ac:dyDescent="0.2">
      <c r="B53923" s="1168"/>
    </row>
    <row r="53924" spans="2:2" s="221" customFormat="1" ht="12.75" x14ac:dyDescent="0.2">
      <c r="B53924" s="1168"/>
    </row>
    <row r="53925" spans="2:2" s="221" customFormat="1" ht="12.75" x14ac:dyDescent="0.2">
      <c r="B53925" s="1168"/>
    </row>
    <row r="53926" spans="2:2" s="221" customFormat="1" ht="12.75" x14ac:dyDescent="0.2">
      <c r="B53926" s="1168"/>
    </row>
    <row r="53927" spans="2:2" s="221" customFormat="1" ht="12.75" x14ac:dyDescent="0.2">
      <c r="B53927" s="1168"/>
    </row>
    <row r="53928" spans="2:2" s="221" customFormat="1" ht="12.75" x14ac:dyDescent="0.2">
      <c r="B53928" s="1168"/>
    </row>
    <row r="53929" spans="2:2" s="221" customFormat="1" ht="12.75" x14ac:dyDescent="0.2">
      <c r="B53929" s="1168"/>
    </row>
    <row r="53930" spans="2:2" s="221" customFormat="1" ht="12.75" x14ac:dyDescent="0.2">
      <c r="B53930" s="1168"/>
    </row>
    <row r="53931" spans="2:2" s="221" customFormat="1" ht="12.75" x14ac:dyDescent="0.2">
      <c r="B53931" s="1168"/>
    </row>
    <row r="53932" spans="2:2" s="221" customFormat="1" ht="12.75" x14ac:dyDescent="0.2">
      <c r="B53932" s="1168"/>
    </row>
    <row r="53933" spans="2:2" s="221" customFormat="1" ht="12.75" x14ac:dyDescent="0.2">
      <c r="B53933" s="1168"/>
    </row>
    <row r="53934" spans="2:2" s="221" customFormat="1" ht="12.75" x14ac:dyDescent="0.2">
      <c r="B53934" s="1168"/>
    </row>
    <row r="53935" spans="2:2" s="221" customFormat="1" ht="12.75" x14ac:dyDescent="0.2">
      <c r="B53935" s="1168"/>
    </row>
    <row r="53936" spans="2:2" s="221" customFormat="1" ht="12.75" x14ac:dyDescent="0.2">
      <c r="B53936" s="1168"/>
    </row>
    <row r="53937" spans="2:2" s="221" customFormat="1" ht="12.75" x14ac:dyDescent="0.2">
      <c r="B53937" s="1168"/>
    </row>
    <row r="53938" spans="2:2" s="221" customFormat="1" ht="12.75" x14ac:dyDescent="0.2">
      <c r="B53938" s="1168"/>
    </row>
    <row r="53939" spans="2:2" s="221" customFormat="1" ht="12.75" x14ac:dyDescent="0.2">
      <c r="B53939" s="1168"/>
    </row>
    <row r="53940" spans="2:2" s="221" customFormat="1" ht="12.75" x14ac:dyDescent="0.2">
      <c r="B53940" s="1168"/>
    </row>
    <row r="53941" spans="2:2" s="221" customFormat="1" ht="12.75" x14ac:dyDescent="0.2">
      <c r="B53941" s="1168"/>
    </row>
    <row r="53942" spans="2:2" s="221" customFormat="1" ht="12.75" x14ac:dyDescent="0.2">
      <c r="B53942" s="1168"/>
    </row>
    <row r="53943" spans="2:2" s="221" customFormat="1" ht="12.75" x14ac:dyDescent="0.2">
      <c r="B53943" s="1168"/>
    </row>
    <row r="53944" spans="2:2" s="221" customFormat="1" ht="12.75" x14ac:dyDescent="0.2">
      <c r="B53944" s="1168"/>
    </row>
    <row r="53945" spans="2:2" s="221" customFormat="1" ht="12.75" x14ac:dyDescent="0.2">
      <c r="B53945" s="1168"/>
    </row>
    <row r="53946" spans="2:2" s="221" customFormat="1" ht="12.75" x14ac:dyDescent="0.2">
      <c r="B53946" s="1168"/>
    </row>
    <row r="53947" spans="2:2" s="221" customFormat="1" ht="12.75" x14ac:dyDescent="0.2">
      <c r="B53947" s="1168"/>
    </row>
    <row r="53948" spans="2:2" s="221" customFormat="1" ht="12.75" x14ac:dyDescent="0.2">
      <c r="B53948" s="1168"/>
    </row>
    <row r="53949" spans="2:2" s="221" customFormat="1" ht="12.75" x14ac:dyDescent="0.2">
      <c r="B53949" s="1168"/>
    </row>
    <row r="53950" spans="2:2" s="221" customFormat="1" ht="12.75" x14ac:dyDescent="0.2">
      <c r="B53950" s="1168"/>
    </row>
    <row r="53951" spans="2:2" s="221" customFormat="1" ht="12.75" x14ac:dyDescent="0.2">
      <c r="B53951" s="1168"/>
    </row>
    <row r="53952" spans="2:2" s="221" customFormat="1" ht="12.75" x14ac:dyDescent="0.2">
      <c r="B53952" s="1168"/>
    </row>
    <row r="53953" spans="2:2" s="221" customFormat="1" ht="12.75" x14ac:dyDescent="0.2">
      <c r="B53953" s="1168"/>
    </row>
    <row r="53954" spans="2:2" s="221" customFormat="1" ht="12.75" x14ac:dyDescent="0.2">
      <c r="B53954" s="1168"/>
    </row>
    <row r="53955" spans="2:2" s="221" customFormat="1" ht="12.75" x14ac:dyDescent="0.2">
      <c r="B53955" s="1168"/>
    </row>
    <row r="53956" spans="2:2" s="221" customFormat="1" ht="12.75" x14ac:dyDescent="0.2">
      <c r="B53956" s="1168"/>
    </row>
    <row r="53957" spans="2:2" s="221" customFormat="1" ht="12.75" x14ac:dyDescent="0.2">
      <c r="B53957" s="1168"/>
    </row>
    <row r="53958" spans="2:2" s="221" customFormat="1" ht="12.75" x14ac:dyDescent="0.2">
      <c r="B53958" s="1168"/>
    </row>
    <row r="53959" spans="2:2" s="221" customFormat="1" ht="12.75" x14ac:dyDescent="0.2">
      <c r="B53959" s="1168"/>
    </row>
    <row r="53960" spans="2:2" s="221" customFormat="1" ht="12.75" x14ac:dyDescent="0.2">
      <c r="B53960" s="1168"/>
    </row>
    <row r="53961" spans="2:2" s="221" customFormat="1" ht="12.75" x14ac:dyDescent="0.2">
      <c r="B53961" s="1168"/>
    </row>
    <row r="53962" spans="2:2" s="221" customFormat="1" ht="12.75" x14ac:dyDescent="0.2">
      <c r="B53962" s="1168"/>
    </row>
    <row r="53963" spans="2:2" s="221" customFormat="1" ht="12.75" x14ac:dyDescent="0.2">
      <c r="B53963" s="1168"/>
    </row>
    <row r="53964" spans="2:2" s="221" customFormat="1" ht="12.75" x14ac:dyDescent="0.2">
      <c r="B53964" s="1168"/>
    </row>
    <row r="53965" spans="2:2" s="221" customFormat="1" ht="12.75" x14ac:dyDescent="0.2">
      <c r="B53965" s="1168"/>
    </row>
    <row r="53966" spans="2:2" s="221" customFormat="1" ht="12.75" x14ac:dyDescent="0.2">
      <c r="B53966" s="1168"/>
    </row>
    <row r="53967" spans="2:2" s="221" customFormat="1" ht="12.75" x14ac:dyDescent="0.2">
      <c r="B53967" s="1168"/>
    </row>
    <row r="53968" spans="2:2" s="221" customFormat="1" ht="12.75" x14ac:dyDescent="0.2">
      <c r="B53968" s="1168"/>
    </row>
    <row r="53969" spans="2:2" s="221" customFormat="1" ht="12.75" x14ac:dyDescent="0.2">
      <c r="B53969" s="1168"/>
    </row>
    <row r="53970" spans="2:2" s="221" customFormat="1" ht="12.75" x14ac:dyDescent="0.2">
      <c r="B53970" s="1168"/>
    </row>
    <row r="53971" spans="2:2" s="221" customFormat="1" ht="12.75" x14ac:dyDescent="0.2">
      <c r="B53971" s="1168"/>
    </row>
    <row r="53972" spans="2:2" s="221" customFormat="1" ht="12.75" x14ac:dyDescent="0.2">
      <c r="B53972" s="1168"/>
    </row>
    <row r="53973" spans="2:2" s="221" customFormat="1" ht="12.75" x14ac:dyDescent="0.2">
      <c r="B53973" s="1168"/>
    </row>
    <row r="53974" spans="2:2" s="221" customFormat="1" ht="12.75" x14ac:dyDescent="0.2">
      <c r="B53974" s="1168"/>
    </row>
    <row r="53975" spans="2:2" s="221" customFormat="1" ht="12.75" x14ac:dyDescent="0.2">
      <c r="B53975" s="1168"/>
    </row>
    <row r="53976" spans="2:2" s="221" customFormat="1" ht="12.75" x14ac:dyDescent="0.2">
      <c r="B53976" s="1168"/>
    </row>
    <row r="53977" spans="2:2" s="221" customFormat="1" ht="12.75" x14ac:dyDescent="0.2">
      <c r="B53977" s="1168"/>
    </row>
    <row r="53978" spans="2:2" s="221" customFormat="1" ht="12.75" x14ac:dyDescent="0.2">
      <c r="B53978" s="1168"/>
    </row>
    <row r="53979" spans="2:2" s="221" customFormat="1" ht="12.75" x14ac:dyDescent="0.2">
      <c r="B53979" s="1168"/>
    </row>
    <row r="53980" spans="2:2" s="221" customFormat="1" ht="12.75" x14ac:dyDescent="0.2">
      <c r="B53980" s="1168"/>
    </row>
    <row r="53981" spans="2:2" s="221" customFormat="1" ht="12.75" x14ac:dyDescent="0.2">
      <c r="B53981" s="1168"/>
    </row>
    <row r="53982" spans="2:2" s="221" customFormat="1" ht="12.75" x14ac:dyDescent="0.2">
      <c r="B53982" s="1168"/>
    </row>
    <row r="53983" spans="2:2" s="221" customFormat="1" ht="12.75" x14ac:dyDescent="0.2">
      <c r="B53983" s="1168"/>
    </row>
    <row r="53984" spans="2:2" s="221" customFormat="1" ht="12.75" x14ac:dyDescent="0.2">
      <c r="B53984" s="1168"/>
    </row>
    <row r="53985" spans="2:2" s="221" customFormat="1" ht="12.75" x14ac:dyDescent="0.2">
      <c r="B53985" s="1168"/>
    </row>
    <row r="53986" spans="2:2" s="221" customFormat="1" ht="12.75" x14ac:dyDescent="0.2">
      <c r="B53986" s="1168"/>
    </row>
    <row r="53987" spans="2:2" s="221" customFormat="1" ht="12.75" x14ac:dyDescent="0.2">
      <c r="B53987" s="1168"/>
    </row>
    <row r="53988" spans="2:2" s="221" customFormat="1" ht="12.75" x14ac:dyDescent="0.2">
      <c r="B53988" s="1168"/>
    </row>
    <row r="53989" spans="2:2" s="221" customFormat="1" ht="12.75" x14ac:dyDescent="0.2">
      <c r="B53989" s="1168"/>
    </row>
    <row r="53990" spans="2:2" s="221" customFormat="1" ht="12.75" x14ac:dyDescent="0.2">
      <c r="B53990" s="1168"/>
    </row>
    <row r="53991" spans="2:2" s="221" customFormat="1" ht="12.75" x14ac:dyDescent="0.2">
      <c r="B53991" s="1168"/>
    </row>
    <row r="53992" spans="2:2" s="221" customFormat="1" ht="12.75" x14ac:dyDescent="0.2">
      <c r="B53992" s="1168"/>
    </row>
    <row r="53993" spans="2:2" s="221" customFormat="1" ht="12.75" x14ac:dyDescent="0.2">
      <c r="B53993" s="1168"/>
    </row>
    <row r="53994" spans="2:2" s="221" customFormat="1" ht="12.75" x14ac:dyDescent="0.2">
      <c r="B53994" s="1168"/>
    </row>
    <row r="53995" spans="2:2" s="221" customFormat="1" ht="12.75" x14ac:dyDescent="0.2">
      <c r="B53995" s="1168"/>
    </row>
    <row r="53996" spans="2:2" s="221" customFormat="1" ht="12.75" x14ac:dyDescent="0.2">
      <c r="B53996" s="1168"/>
    </row>
    <row r="53997" spans="2:2" s="221" customFormat="1" ht="12.75" x14ac:dyDescent="0.2">
      <c r="B53997" s="1168"/>
    </row>
    <row r="53998" spans="2:2" s="221" customFormat="1" ht="12.75" x14ac:dyDescent="0.2">
      <c r="B53998" s="1168"/>
    </row>
    <row r="53999" spans="2:2" s="221" customFormat="1" ht="12.75" x14ac:dyDescent="0.2">
      <c r="B53999" s="1168"/>
    </row>
    <row r="54000" spans="2:2" s="221" customFormat="1" ht="12.75" x14ac:dyDescent="0.2">
      <c r="B54000" s="1168"/>
    </row>
    <row r="54001" spans="2:2" s="221" customFormat="1" ht="12.75" x14ac:dyDescent="0.2">
      <c r="B54001" s="1168"/>
    </row>
    <row r="54002" spans="2:2" s="221" customFormat="1" ht="12.75" x14ac:dyDescent="0.2">
      <c r="B54002" s="1168"/>
    </row>
    <row r="54003" spans="2:2" s="221" customFormat="1" ht="12.75" x14ac:dyDescent="0.2">
      <c r="B54003" s="1168"/>
    </row>
    <row r="54004" spans="2:2" s="221" customFormat="1" ht="12.75" x14ac:dyDescent="0.2">
      <c r="B54004" s="1168"/>
    </row>
    <row r="54005" spans="2:2" s="221" customFormat="1" ht="12.75" x14ac:dyDescent="0.2">
      <c r="B54005" s="1168"/>
    </row>
    <row r="54006" spans="2:2" s="221" customFormat="1" ht="12.75" x14ac:dyDescent="0.2">
      <c r="B54006" s="1168"/>
    </row>
    <row r="54007" spans="2:2" s="221" customFormat="1" ht="12.75" x14ac:dyDescent="0.2">
      <c r="B54007" s="1168"/>
    </row>
    <row r="54008" spans="2:2" s="221" customFormat="1" ht="12.75" x14ac:dyDescent="0.2">
      <c r="B54008" s="1168"/>
    </row>
    <row r="54009" spans="2:2" s="221" customFormat="1" ht="12.75" x14ac:dyDescent="0.2">
      <c r="B54009" s="1168"/>
    </row>
    <row r="54010" spans="2:2" s="221" customFormat="1" ht="12.75" x14ac:dyDescent="0.2">
      <c r="B54010" s="1168"/>
    </row>
    <row r="54011" spans="2:2" s="221" customFormat="1" ht="12.75" x14ac:dyDescent="0.2">
      <c r="B54011" s="1168"/>
    </row>
    <row r="54012" spans="2:2" s="221" customFormat="1" ht="12.75" x14ac:dyDescent="0.2">
      <c r="B54012" s="1168"/>
    </row>
    <row r="54013" spans="2:2" s="221" customFormat="1" ht="12.75" x14ac:dyDescent="0.2">
      <c r="B54013" s="1168"/>
    </row>
    <row r="54014" spans="2:2" s="221" customFormat="1" ht="12.75" x14ac:dyDescent="0.2">
      <c r="B54014" s="1168"/>
    </row>
    <row r="54015" spans="2:2" s="221" customFormat="1" ht="12.75" x14ac:dyDescent="0.2">
      <c r="B54015" s="1168"/>
    </row>
    <row r="54016" spans="2:2" s="221" customFormat="1" ht="12.75" x14ac:dyDescent="0.2">
      <c r="B54016" s="1168"/>
    </row>
    <row r="54017" spans="2:2" s="221" customFormat="1" ht="12.75" x14ac:dyDescent="0.2">
      <c r="B54017" s="1168"/>
    </row>
    <row r="54018" spans="2:2" s="221" customFormat="1" ht="12.75" x14ac:dyDescent="0.2">
      <c r="B54018" s="1168"/>
    </row>
    <row r="54019" spans="2:2" s="221" customFormat="1" ht="12.75" x14ac:dyDescent="0.2">
      <c r="B54019" s="1168"/>
    </row>
    <row r="54020" spans="2:2" s="221" customFormat="1" ht="12.75" x14ac:dyDescent="0.2">
      <c r="B54020" s="1168"/>
    </row>
    <row r="54021" spans="2:2" s="221" customFormat="1" ht="12.75" x14ac:dyDescent="0.2">
      <c r="B54021" s="1168"/>
    </row>
    <row r="54022" spans="2:2" s="221" customFormat="1" ht="12.75" x14ac:dyDescent="0.2">
      <c r="B54022" s="1168"/>
    </row>
    <row r="54023" spans="2:2" s="221" customFormat="1" ht="12.75" x14ac:dyDescent="0.2">
      <c r="B54023" s="1168"/>
    </row>
    <row r="54024" spans="2:2" s="221" customFormat="1" ht="12.75" x14ac:dyDescent="0.2">
      <c r="B54024" s="1168"/>
    </row>
    <row r="54025" spans="2:2" s="221" customFormat="1" ht="12.75" x14ac:dyDescent="0.2">
      <c r="B54025" s="1168"/>
    </row>
    <row r="54026" spans="2:2" s="221" customFormat="1" ht="12.75" x14ac:dyDescent="0.2">
      <c r="B54026" s="1168"/>
    </row>
    <row r="54027" spans="2:2" s="221" customFormat="1" ht="12.75" x14ac:dyDescent="0.2">
      <c r="B54027" s="1168"/>
    </row>
    <row r="54028" spans="2:2" s="221" customFormat="1" ht="12.75" x14ac:dyDescent="0.2">
      <c r="B54028" s="1168"/>
    </row>
    <row r="54029" spans="2:2" s="221" customFormat="1" ht="12.75" x14ac:dyDescent="0.2">
      <c r="B54029" s="1168"/>
    </row>
    <row r="54030" spans="2:2" s="221" customFormat="1" ht="12.75" x14ac:dyDescent="0.2">
      <c r="B54030" s="1168"/>
    </row>
    <row r="54031" spans="2:2" s="221" customFormat="1" ht="12.75" x14ac:dyDescent="0.2">
      <c r="B54031" s="1168"/>
    </row>
    <row r="54032" spans="2:2" s="221" customFormat="1" ht="12.75" x14ac:dyDescent="0.2">
      <c r="B54032" s="1168"/>
    </row>
    <row r="54033" spans="2:2" s="221" customFormat="1" ht="12.75" x14ac:dyDescent="0.2">
      <c r="B54033" s="1168"/>
    </row>
    <row r="54034" spans="2:2" s="221" customFormat="1" ht="12.75" x14ac:dyDescent="0.2">
      <c r="B54034" s="1168"/>
    </row>
    <row r="54035" spans="2:2" s="221" customFormat="1" ht="12.75" x14ac:dyDescent="0.2">
      <c r="B54035" s="1168"/>
    </row>
    <row r="54036" spans="2:2" s="221" customFormat="1" ht="12.75" x14ac:dyDescent="0.2">
      <c r="B54036" s="1168"/>
    </row>
    <row r="54037" spans="2:2" s="221" customFormat="1" ht="12.75" x14ac:dyDescent="0.2">
      <c r="B54037" s="1168"/>
    </row>
    <row r="54038" spans="2:2" s="221" customFormat="1" ht="12.75" x14ac:dyDescent="0.2">
      <c r="B54038" s="1168"/>
    </row>
    <row r="54039" spans="2:2" s="221" customFormat="1" ht="12.75" x14ac:dyDescent="0.2">
      <c r="B54039" s="1168"/>
    </row>
    <row r="54040" spans="2:2" s="221" customFormat="1" ht="12.75" x14ac:dyDescent="0.2">
      <c r="B54040" s="1168"/>
    </row>
    <row r="54041" spans="2:2" s="221" customFormat="1" ht="12.75" x14ac:dyDescent="0.2">
      <c r="B54041" s="1168"/>
    </row>
    <row r="54042" spans="2:2" s="221" customFormat="1" ht="12.75" x14ac:dyDescent="0.2">
      <c r="B54042" s="1168"/>
    </row>
    <row r="54043" spans="2:2" s="221" customFormat="1" ht="12.75" x14ac:dyDescent="0.2">
      <c r="B54043" s="1168"/>
    </row>
    <row r="54044" spans="2:2" s="221" customFormat="1" ht="12.75" x14ac:dyDescent="0.2">
      <c r="B54044" s="1168"/>
    </row>
    <row r="54045" spans="2:2" s="221" customFormat="1" ht="12.75" x14ac:dyDescent="0.2">
      <c r="B54045" s="1168"/>
    </row>
    <row r="54046" spans="2:2" s="221" customFormat="1" ht="12.75" x14ac:dyDescent="0.2">
      <c r="B54046" s="1168"/>
    </row>
    <row r="54047" spans="2:2" s="221" customFormat="1" ht="12.75" x14ac:dyDescent="0.2">
      <c r="B54047" s="1168"/>
    </row>
    <row r="54048" spans="2:2" s="221" customFormat="1" ht="12.75" x14ac:dyDescent="0.2">
      <c r="B54048" s="1168"/>
    </row>
    <row r="54049" spans="2:2" s="221" customFormat="1" ht="12.75" x14ac:dyDescent="0.2">
      <c r="B54049" s="1168"/>
    </row>
    <row r="54050" spans="2:2" s="221" customFormat="1" ht="12.75" x14ac:dyDescent="0.2">
      <c r="B54050" s="1168"/>
    </row>
    <row r="54051" spans="2:2" s="221" customFormat="1" ht="12.75" x14ac:dyDescent="0.2">
      <c r="B54051" s="1168"/>
    </row>
    <row r="54052" spans="2:2" s="221" customFormat="1" ht="12.75" x14ac:dyDescent="0.2">
      <c r="B54052" s="1168"/>
    </row>
    <row r="54053" spans="2:2" s="221" customFormat="1" ht="12.75" x14ac:dyDescent="0.2">
      <c r="B54053" s="1168"/>
    </row>
    <row r="54054" spans="2:2" s="221" customFormat="1" ht="12.75" x14ac:dyDescent="0.2">
      <c r="B54054" s="1168"/>
    </row>
    <row r="54055" spans="2:2" s="221" customFormat="1" ht="12.75" x14ac:dyDescent="0.2">
      <c r="B54055" s="1168"/>
    </row>
    <row r="54056" spans="2:2" s="221" customFormat="1" ht="12.75" x14ac:dyDescent="0.2">
      <c r="B54056" s="1168"/>
    </row>
    <row r="54057" spans="2:2" s="221" customFormat="1" ht="12.75" x14ac:dyDescent="0.2">
      <c r="B54057" s="1168"/>
    </row>
    <row r="54058" spans="2:2" s="221" customFormat="1" ht="12.75" x14ac:dyDescent="0.2">
      <c r="B54058" s="1168"/>
    </row>
    <row r="54059" spans="2:2" s="221" customFormat="1" ht="12.75" x14ac:dyDescent="0.2">
      <c r="B54059" s="1168"/>
    </row>
    <row r="54060" spans="2:2" s="221" customFormat="1" ht="12.75" x14ac:dyDescent="0.2">
      <c r="B54060" s="1168"/>
    </row>
    <row r="54061" spans="2:2" s="221" customFormat="1" ht="12.75" x14ac:dyDescent="0.2">
      <c r="B54061" s="1168"/>
    </row>
    <row r="54062" spans="2:2" s="221" customFormat="1" ht="12.75" x14ac:dyDescent="0.2">
      <c r="B54062" s="1168"/>
    </row>
    <row r="54063" spans="2:2" s="221" customFormat="1" ht="12.75" x14ac:dyDescent="0.2">
      <c r="B54063" s="1168"/>
    </row>
    <row r="54064" spans="2:2" s="221" customFormat="1" ht="12.75" x14ac:dyDescent="0.2">
      <c r="B54064" s="1168"/>
    </row>
    <row r="54065" spans="2:2" s="221" customFormat="1" ht="12.75" x14ac:dyDescent="0.2">
      <c r="B54065" s="1168"/>
    </row>
    <row r="54066" spans="2:2" s="221" customFormat="1" ht="12.75" x14ac:dyDescent="0.2">
      <c r="B54066" s="1168"/>
    </row>
    <row r="54067" spans="2:2" s="221" customFormat="1" ht="12.75" x14ac:dyDescent="0.2">
      <c r="B54067" s="1168"/>
    </row>
    <row r="54068" spans="2:2" s="221" customFormat="1" ht="12.75" x14ac:dyDescent="0.2">
      <c r="B54068" s="1168"/>
    </row>
    <row r="54069" spans="2:2" s="221" customFormat="1" ht="12.75" x14ac:dyDescent="0.2">
      <c r="B54069" s="1168"/>
    </row>
    <row r="54070" spans="2:2" s="221" customFormat="1" ht="12.75" x14ac:dyDescent="0.2">
      <c r="B54070" s="1168"/>
    </row>
    <row r="54071" spans="2:2" s="221" customFormat="1" ht="12.75" x14ac:dyDescent="0.2">
      <c r="B54071" s="1168"/>
    </row>
    <row r="54072" spans="2:2" s="221" customFormat="1" ht="12.75" x14ac:dyDescent="0.2">
      <c r="B54072" s="1168"/>
    </row>
    <row r="54073" spans="2:2" s="221" customFormat="1" ht="12.75" x14ac:dyDescent="0.2">
      <c r="B54073" s="1168"/>
    </row>
    <row r="54074" spans="2:2" s="221" customFormat="1" ht="12.75" x14ac:dyDescent="0.2">
      <c r="B54074" s="1168"/>
    </row>
    <row r="54075" spans="2:2" s="221" customFormat="1" ht="12.75" x14ac:dyDescent="0.2">
      <c r="B54075" s="1168"/>
    </row>
    <row r="54076" spans="2:2" s="221" customFormat="1" ht="12.75" x14ac:dyDescent="0.2">
      <c r="B54076" s="1168"/>
    </row>
    <row r="54077" spans="2:2" s="221" customFormat="1" ht="12.75" x14ac:dyDescent="0.2">
      <c r="B54077" s="1168"/>
    </row>
    <row r="54078" spans="2:2" s="221" customFormat="1" ht="12.75" x14ac:dyDescent="0.2">
      <c r="B54078" s="1168"/>
    </row>
    <row r="54079" spans="2:2" s="221" customFormat="1" ht="12.75" x14ac:dyDescent="0.2">
      <c r="B54079" s="1168"/>
    </row>
    <row r="54080" spans="2:2" s="221" customFormat="1" ht="12.75" x14ac:dyDescent="0.2">
      <c r="B54080" s="1168"/>
    </row>
    <row r="54081" spans="2:2" s="221" customFormat="1" ht="12.75" x14ac:dyDescent="0.2">
      <c r="B54081" s="1168"/>
    </row>
    <row r="54082" spans="2:2" s="221" customFormat="1" ht="12.75" x14ac:dyDescent="0.2">
      <c r="B54082" s="1168"/>
    </row>
    <row r="54083" spans="2:2" s="221" customFormat="1" ht="12.75" x14ac:dyDescent="0.2">
      <c r="B54083" s="1168"/>
    </row>
    <row r="54084" spans="2:2" s="221" customFormat="1" ht="12.75" x14ac:dyDescent="0.2">
      <c r="B54084" s="1168"/>
    </row>
    <row r="54085" spans="2:2" s="221" customFormat="1" ht="12.75" x14ac:dyDescent="0.2">
      <c r="B54085" s="1168"/>
    </row>
    <row r="54086" spans="2:2" s="221" customFormat="1" ht="12.75" x14ac:dyDescent="0.2">
      <c r="B54086" s="1168"/>
    </row>
    <row r="54087" spans="2:2" s="221" customFormat="1" ht="12.75" x14ac:dyDescent="0.2">
      <c r="B54087" s="1168"/>
    </row>
    <row r="54088" spans="2:2" s="221" customFormat="1" ht="12.75" x14ac:dyDescent="0.2">
      <c r="B54088" s="1168"/>
    </row>
    <row r="54089" spans="2:2" s="221" customFormat="1" ht="12.75" x14ac:dyDescent="0.2">
      <c r="B54089" s="1168"/>
    </row>
    <row r="54090" spans="2:2" s="221" customFormat="1" ht="12.75" x14ac:dyDescent="0.2">
      <c r="B54090" s="1168"/>
    </row>
    <row r="54091" spans="2:2" s="221" customFormat="1" ht="12.75" x14ac:dyDescent="0.2">
      <c r="B54091" s="1168"/>
    </row>
    <row r="54092" spans="2:2" s="221" customFormat="1" ht="12.75" x14ac:dyDescent="0.2">
      <c r="B54092" s="1168"/>
    </row>
    <row r="54093" spans="2:2" s="221" customFormat="1" ht="12.75" x14ac:dyDescent="0.2">
      <c r="B54093" s="1168"/>
    </row>
    <row r="54094" spans="2:2" s="221" customFormat="1" ht="12.75" x14ac:dyDescent="0.2">
      <c r="B54094" s="1168"/>
    </row>
    <row r="54095" spans="2:2" s="221" customFormat="1" ht="12.75" x14ac:dyDescent="0.2">
      <c r="B54095" s="1168"/>
    </row>
    <row r="54096" spans="2:2" s="221" customFormat="1" ht="12.75" x14ac:dyDescent="0.2">
      <c r="B54096" s="1168"/>
    </row>
    <row r="54097" spans="2:2" s="221" customFormat="1" ht="12.75" x14ac:dyDescent="0.2">
      <c r="B54097" s="1168"/>
    </row>
    <row r="54098" spans="2:2" s="221" customFormat="1" ht="12.75" x14ac:dyDescent="0.2">
      <c r="B54098" s="1168"/>
    </row>
    <row r="54099" spans="2:2" s="221" customFormat="1" ht="12.75" x14ac:dyDescent="0.2">
      <c r="B54099" s="1168"/>
    </row>
    <row r="54100" spans="2:2" s="221" customFormat="1" ht="12.75" x14ac:dyDescent="0.2">
      <c r="B54100" s="1168"/>
    </row>
    <row r="54101" spans="2:2" s="221" customFormat="1" ht="12.75" x14ac:dyDescent="0.2">
      <c r="B54101" s="1168"/>
    </row>
    <row r="54102" spans="2:2" s="221" customFormat="1" ht="12.75" x14ac:dyDescent="0.2">
      <c r="B54102" s="1168"/>
    </row>
    <row r="54103" spans="2:2" s="221" customFormat="1" ht="12.75" x14ac:dyDescent="0.2">
      <c r="B54103" s="1168"/>
    </row>
    <row r="54104" spans="2:2" s="221" customFormat="1" ht="12.75" x14ac:dyDescent="0.2">
      <c r="B54104" s="1168"/>
    </row>
    <row r="54105" spans="2:2" s="221" customFormat="1" ht="12.75" x14ac:dyDescent="0.2">
      <c r="B54105" s="1168"/>
    </row>
    <row r="54106" spans="2:2" s="221" customFormat="1" ht="12.75" x14ac:dyDescent="0.2">
      <c r="B54106" s="1168"/>
    </row>
    <row r="54107" spans="2:2" s="221" customFormat="1" ht="12.75" x14ac:dyDescent="0.2">
      <c r="B54107" s="1168"/>
    </row>
    <row r="54108" spans="2:2" s="221" customFormat="1" ht="12.75" x14ac:dyDescent="0.2">
      <c r="B54108" s="1168"/>
    </row>
    <row r="54109" spans="2:2" s="221" customFormat="1" ht="12.75" x14ac:dyDescent="0.2">
      <c r="B54109" s="1168"/>
    </row>
    <row r="54110" spans="2:2" s="221" customFormat="1" ht="12.75" x14ac:dyDescent="0.2">
      <c r="B54110" s="1168"/>
    </row>
    <row r="54111" spans="2:2" s="221" customFormat="1" ht="12.75" x14ac:dyDescent="0.2">
      <c r="B54111" s="1168"/>
    </row>
    <row r="54112" spans="2:2" s="221" customFormat="1" ht="12.75" x14ac:dyDescent="0.2">
      <c r="B54112" s="1168"/>
    </row>
    <row r="54113" spans="2:2" s="221" customFormat="1" ht="12.75" x14ac:dyDescent="0.2">
      <c r="B54113" s="1168"/>
    </row>
    <row r="54114" spans="2:2" s="221" customFormat="1" ht="12.75" x14ac:dyDescent="0.2">
      <c r="B54114" s="1168"/>
    </row>
    <row r="54115" spans="2:2" s="221" customFormat="1" ht="12.75" x14ac:dyDescent="0.2">
      <c r="B54115" s="1168"/>
    </row>
    <row r="54116" spans="2:2" s="221" customFormat="1" ht="12.75" x14ac:dyDescent="0.2">
      <c r="B54116" s="1168"/>
    </row>
    <row r="54117" spans="2:2" s="221" customFormat="1" ht="12.75" x14ac:dyDescent="0.2">
      <c r="B54117" s="1168"/>
    </row>
    <row r="54118" spans="2:2" s="221" customFormat="1" ht="12.75" x14ac:dyDescent="0.2">
      <c r="B54118" s="1168"/>
    </row>
    <row r="54119" spans="2:2" s="221" customFormat="1" ht="12.75" x14ac:dyDescent="0.2">
      <c r="B54119" s="1168"/>
    </row>
    <row r="54120" spans="2:2" s="221" customFormat="1" ht="12.75" x14ac:dyDescent="0.2">
      <c r="B54120" s="1168"/>
    </row>
    <row r="54121" spans="2:2" s="221" customFormat="1" ht="12.75" x14ac:dyDescent="0.2">
      <c r="B54121" s="1168"/>
    </row>
    <row r="54122" spans="2:2" s="221" customFormat="1" ht="12.75" x14ac:dyDescent="0.2">
      <c r="B54122" s="1168"/>
    </row>
    <row r="54123" spans="2:2" s="221" customFormat="1" ht="12.75" x14ac:dyDescent="0.2">
      <c r="B54123" s="1168"/>
    </row>
    <row r="54124" spans="2:2" s="221" customFormat="1" ht="12.75" x14ac:dyDescent="0.2">
      <c r="B54124" s="1168"/>
    </row>
    <row r="54125" spans="2:2" s="221" customFormat="1" ht="12.75" x14ac:dyDescent="0.2">
      <c r="B54125" s="1168"/>
    </row>
    <row r="54126" spans="2:2" s="221" customFormat="1" ht="12.75" x14ac:dyDescent="0.2">
      <c r="B54126" s="1168"/>
    </row>
    <row r="54127" spans="2:2" s="221" customFormat="1" ht="12.75" x14ac:dyDescent="0.2">
      <c r="B54127" s="1168"/>
    </row>
    <row r="54128" spans="2:2" s="221" customFormat="1" ht="12.75" x14ac:dyDescent="0.2">
      <c r="B54128" s="1168"/>
    </row>
    <row r="54129" spans="2:2" s="221" customFormat="1" ht="12.75" x14ac:dyDescent="0.2">
      <c r="B54129" s="1168"/>
    </row>
    <row r="54130" spans="2:2" s="221" customFormat="1" ht="12.75" x14ac:dyDescent="0.2">
      <c r="B54130" s="1168"/>
    </row>
    <row r="54131" spans="2:2" s="221" customFormat="1" ht="12.75" x14ac:dyDescent="0.2">
      <c r="B54131" s="1168"/>
    </row>
    <row r="54132" spans="2:2" s="221" customFormat="1" ht="12.75" x14ac:dyDescent="0.2">
      <c r="B54132" s="1168"/>
    </row>
    <row r="54133" spans="2:2" s="221" customFormat="1" ht="12.75" x14ac:dyDescent="0.2">
      <c r="B54133" s="1168"/>
    </row>
    <row r="54134" spans="2:2" s="221" customFormat="1" ht="12.75" x14ac:dyDescent="0.2">
      <c r="B54134" s="1168"/>
    </row>
    <row r="54135" spans="2:2" s="221" customFormat="1" ht="12.75" x14ac:dyDescent="0.2">
      <c r="B54135" s="1168"/>
    </row>
    <row r="54136" spans="2:2" s="221" customFormat="1" ht="12.75" x14ac:dyDescent="0.2">
      <c r="B54136" s="1168"/>
    </row>
    <row r="54137" spans="2:2" s="221" customFormat="1" ht="12.75" x14ac:dyDescent="0.2">
      <c r="B54137" s="1168"/>
    </row>
    <row r="54138" spans="2:2" s="221" customFormat="1" ht="12.75" x14ac:dyDescent="0.2">
      <c r="B54138" s="1168"/>
    </row>
    <row r="54139" spans="2:2" s="221" customFormat="1" ht="12.75" x14ac:dyDescent="0.2">
      <c r="B54139" s="1168"/>
    </row>
    <row r="54140" spans="2:2" s="221" customFormat="1" ht="12.75" x14ac:dyDescent="0.2">
      <c r="B54140" s="1168"/>
    </row>
    <row r="54141" spans="2:2" s="221" customFormat="1" ht="12.75" x14ac:dyDescent="0.2">
      <c r="B54141" s="1168"/>
    </row>
    <row r="54142" spans="2:2" s="221" customFormat="1" ht="12.75" x14ac:dyDescent="0.2">
      <c r="B54142" s="1168"/>
    </row>
    <row r="54143" spans="2:2" s="221" customFormat="1" ht="12.75" x14ac:dyDescent="0.2">
      <c r="B54143" s="1168"/>
    </row>
    <row r="54144" spans="2:2" s="221" customFormat="1" ht="12.75" x14ac:dyDescent="0.2">
      <c r="B54144" s="1168"/>
    </row>
    <row r="54145" spans="2:2" s="221" customFormat="1" ht="12.75" x14ac:dyDescent="0.2">
      <c r="B54145" s="1168"/>
    </row>
    <row r="54146" spans="2:2" s="221" customFormat="1" ht="12.75" x14ac:dyDescent="0.2">
      <c r="B54146" s="1168"/>
    </row>
    <row r="54147" spans="2:2" s="221" customFormat="1" ht="12.75" x14ac:dyDescent="0.2">
      <c r="B54147" s="1168"/>
    </row>
    <row r="54148" spans="2:2" s="221" customFormat="1" ht="12.75" x14ac:dyDescent="0.2">
      <c r="B54148" s="1168"/>
    </row>
    <row r="54149" spans="2:2" s="221" customFormat="1" ht="12.75" x14ac:dyDescent="0.2">
      <c r="B54149" s="1168"/>
    </row>
    <row r="54150" spans="2:2" s="221" customFormat="1" ht="12.75" x14ac:dyDescent="0.2">
      <c r="B54150" s="1168"/>
    </row>
    <row r="54151" spans="2:2" s="221" customFormat="1" ht="12.75" x14ac:dyDescent="0.2">
      <c r="B54151" s="1168"/>
    </row>
    <row r="54152" spans="2:2" s="221" customFormat="1" ht="12.75" x14ac:dyDescent="0.2">
      <c r="B54152" s="1168"/>
    </row>
    <row r="54153" spans="2:2" s="221" customFormat="1" ht="12.75" x14ac:dyDescent="0.2">
      <c r="B54153" s="1168"/>
    </row>
    <row r="54154" spans="2:2" s="221" customFormat="1" ht="12.75" x14ac:dyDescent="0.2">
      <c r="B54154" s="1168"/>
    </row>
    <row r="54155" spans="2:2" s="221" customFormat="1" ht="12.75" x14ac:dyDescent="0.2">
      <c r="B54155" s="1168"/>
    </row>
    <row r="54156" spans="2:2" s="221" customFormat="1" ht="12.75" x14ac:dyDescent="0.2">
      <c r="B54156" s="1168"/>
    </row>
    <row r="54157" spans="2:2" s="221" customFormat="1" ht="12.75" x14ac:dyDescent="0.2">
      <c r="B54157" s="1168"/>
    </row>
    <row r="54158" spans="2:2" s="221" customFormat="1" ht="12.75" x14ac:dyDescent="0.2">
      <c r="B54158" s="1168"/>
    </row>
    <row r="54159" spans="2:2" s="221" customFormat="1" ht="12.75" x14ac:dyDescent="0.2">
      <c r="B54159" s="1168"/>
    </row>
    <row r="54160" spans="2:2" s="221" customFormat="1" ht="12.75" x14ac:dyDescent="0.2">
      <c r="B54160" s="1168"/>
    </row>
    <row r="54161" spans="2:2" s="221" customFormat="1" ht="12.75" x14ac:dyDescent="0.2">
      <c r="B54161" s="1168"/>
    </row>
    <row r="54162" spans="2:2" s="221" customFormat="1" ht="12.75" x14ac:dyDescent="0.2">
      <c r="B54162" s="1168"/>
    </row>
    <row r="54163" spans="2:2" s="221" customFormat="1" ht="12.75" x14ac:dyDescent="0.2">
      <c r="B54163" s="1168"/>
    </row>
    <row r="54164" spans="2:2" s="221" customFormat="1" ht="12.75" x14ac:dyDescent="0.2">
      <c r="B54164" s="1168"/>
    </row>
    <row r="54165" spans="2:2" s="221" customFormat="1" ht="12.75" x14ac:dyDescent="0.2">
      <c r="B54165" s="1168"/>
    </row>
    <row r="54166" spans="2:2" s="221" customFormat="1" ht="12.75" x14ac:dyDescent="0.2">
      <c r="B54166" s="1168"/>
    </row>
    <row r="54167" spans="2:2" s="221" customFormat="1" ht="12.75" x14ac:dyDescent="0.2">
      <c r="B54167" s="1168"/>
    </row>
    <row r="54168" spans="2:2" s="221" customFormat="1" ht="12.75" x14ac:dyDescent="0.2">
      <c r="B54168" s="1168"/>
    </row>
    <row r="54169" spans="2:2" s="221" customFormat="1" ht="12.75" x14ac:dyDescent="0.2">
      <c r="B54169" s="1168"/>
    </row>
    <row r="54170" spans="2:2" s="221" customFormat="1" ht="12.75" x14ac:dyDescent="0.2">
      <c r="B54170" s="1168"/>
    </row>
    <row r="54171" spans="2:2" s="221" customFormat="1" ht="12.75" x14ac:dyDescent="0.2">
      <c r="B54171" s="1168"/>
    </row>
    <row r="54172" spans="2:2" s="221" customFormat="1" ht="12.75" x14ac:dyDescent="0.2">
      <c r="B54172" s="1168"/>
    </row>
    <row r="54173" spans="2:2" s="221" customFormat="1" ht="12.75" x14ac:dyDescent="0.2">
      <c r="B54173" s="1168"/>
    </row>
    <row r="54174" spans="2:2" s="221" customFormat="1" ht="12.75" x14ac:dyDescent="0.2">
      <c r="B54174" s="1168"/>
    </row>
    <row r="54175" spans="2:2" s="221" customFormat="1" ht="12.75" x14ac:dyDescent="0.2">
      <c r="B54175" s="1168"/>
    </row>
    <row r="54176" spans="2:2" s="221" customFormat="1" ht="12.75" x14ac:dyDescent="0.2">
      <c r="B54176" s="1168"/>
    </row>
    <row r="54177" spans="2:2" s="221" customFormat="1" ht="12.75" x14ac:dyDescent="0.2">
      <c r="B54177" s="1168"/>
    </row>
    <row r="54178" spans="2:2" s="221" customFormat="1" ht="12.75" x14ac:dyDescent="0.2">
      <c r="B54178" s="1168"/>
    </row>
    <row r="54179" spans="2:2" s="221" customFormat="1" ht="12.75" x14ac:dyDescent="0.2">
      <c r="B54179" s="1168"/>
    </row>
    <row r="54180" spans="2:2" s="221" customFormat="1" ht="12.75" x14ac:dyDescent="0.2">
      <c r="B54180" s="1168"/>
    </row>
    <row r="54181" spans="2:2" s="221" customFormat="1" ht="12.75" x14ac:dyDescent="0.2">
      <c r="B54181" s="1168"/>
    </row>
    <row r="54182" spans="2:2" s="221" customFormat="1" ht="12.75" x14ac:dyDescent="0.2">
      <c r="B54182" s="1168"/>
    </row>
    <row r="54183" spans="2:2" s="221" customFormat="1" ht="12.75" x14ac:dyDescent="0.2">
      <c r="B54183" s="1168"/>
    </row>
    <row r="54184" spans="2:2" s="221" customFormat="1" ht="12.75" x14ac:dyDescent="0.2">
      <c r="B54184" s="1168"/>
    </row>
    <row r="54185" spans="2:2" s="221" customFormat="1" ht="12.75" x14ac:dyDescent="0.2">
      <c r="B54185" s="1168"/>
    </row>
    <row r="54186" spans="2:2" s="221" customFormat="1" ht="12.75" x14ac:dyDescent="0.2">
      <c r="B54186" s="1168"/>
    </row>
    <row r="54187" spans="2:2" s="221" customFormat="1" ht="12.75" x14ac:dyDescent="0.2">
      <c r="B54187" s="1168"/>
    </row>
    <row r="54188" spans="2:2" s="221" customFormat="1" ht="12.75" x14ac:dyDescent="0.2">
      <c r="B54188" s="1168"/>
    </row>
    <row r="54189" spans="2:2" s="221" customFormat="1" ht="12.75" x14ac:dyDescent="0.2">
      <c r="B54189" s="1168"/>
    </row>
    <row r="54190" spans="2:2" s="221" customFormat="1" ht="12.75" x14ac:dyDescent="0.2">
      <c r="B54190" s="1168"/>
    </row>
    <row r="54191" spans="2:2" s="221" customFormat="1" ht="12.75" x14ac:dyDescent="0.2">
      <c r="B54191" s="1168"/>
    </row>
    <row r="54192" spans="2:2" s="221" customFormat="1" ht="12.75" x14ac:dyDescent="0.2">
      <c r="B54192" s="1168"/>
    </row>
    <row r="54193" spans="2:2" s="221" customFormat="1" ht="12.75" x14ac:dyDescent="0.2">
      <c r="B54193" s="1168"/>
    </row>
    <row r="54194" spans="2:2" s="221" customFormat="1" ht="12.75" x14ac:dyDescent="0.2">
      <c r="B54194" s="1168"/>
    </row>
    <row r="54195" spans="2:2" s="221" customFormat="1" ht="12.75" x14ac:dyDescent="0.2">
      <c r="B54195" s="1168"/>
    </row>
    <row r="54196" spans="2:2" s="221" customFormat="1" ht="12.75" x14ac:dyDescent="0.2">
      <c r="B54196" s="1168"/>
    </row>
    <row r="54197" spans="2:2" s="221" customFormat="1" ht="12.75" x14ac:dyDescent="0.2">
      <c r="B54197" s="1168"/>
    </row>
    <row r="54198" spans="2:2" s="221" customFormat="1" ht="12.75" x14ac:dyDescent="0.2">
      <c r="B54198" s="1168"/>
    </row>
    <row r="54199" spans="2:2" s="221" customFormat="1" ht="12.75" x14ac:dyDescent="0.2">
      <c r="B54199" s="1168"/>
    </row>
    <row r="54200" spans="2:2" s="221" customFormat="1" ht="12.75" x14ac:dyDescent="0.2">
      <c r="B54200" s="1168"/>
    </row>
    <row r="54201" spans="2:2" s="221" customFormat="1" ht="12.75" x14ac:dyDescent="0.2">
      <c r="B54201" s="1168"/>
    </row>
    <row r="54202" spans="2:2" s="221" customFormat="1" ht="12.75" x14ac:dyDescent="0.2">
      <c r="B54202" s="1168"/>
    </row>
    <row r="54203" spans="2:2" s="221" customFormat="1" ht="12.75" x14ac:dyDescent="0.2">
      <c r="B54203" s="1168"/>
    </row>
    <row r="54204" spans="2:2" s="221" customFormat="1" ht="12.75" x14ac:dyDescent="0.2">
      <c r="B54204" s="1168"/>
    </row>
    <row r="54205" spans="2:2" s="221" customFormat="1" ht="12.75" x14ac:dyDescent="0.2">
      <c r="B54205" s="1168"/>
    </row>
    <row r="54206" spans="2:2" s="221" customFormat="1" ht="12.75" x14ac:dyDescent="0.2">
      <c r="B54206" s="1168"/>
    </row>
    <row r="54207" spans="2:2" s="221" customFormat="1" ht="12.75" x14ac:dyDescent="0.2">
      <c r="B54207" s="1168"/>
    </row>
    <row r="54208" spans="2:2" s="221" customFormat="1" ht="12.75" x14ac:dyDescent="0.2">
      <c r="B54208" s="1168"/>
    </row>
    <row r="54209" spans="2:2" s="221" customFormat="1" ht="12.75" x14ac:dyDescent="0.2">
      <c r="B54209" s="1168"/>
    </row>
    <row r="54210" spans="2:2" s="221" customFormat="1" ht="12.75" x14ac:dyDescent="0.2">
      <c r="B54210" s="1168"/>
    </row>
    <row r="54211" spans="2:2" s="221" customFormat="1" ht="12.75" x14ac:dyDescent="0.2">
      <c r="B54211" s="1168"/>
    </row>
    <row r="54212" spans="2:2" s="221" customFormat="1" ht="12.75" x14ac:dyDescent="0.2">
      <c r="B54212" s="1168"/>
    </row>
    <row r="54213" spans="2:2" s="221" customFormat="1" ht="12.75" x14ac:dyDescent="0.2">
      <c r="B54213" s="1168"/>
    </row>
    <row r="54214" spans="2:2" s="221" customFormat="1" ht="12.75" x14ac:dyDescent="0.2">
      <c r="B54214" s="1168"/>
    </row>
    <row r="54215" spans="2:2" s="221" customFormat="1" ht="12.75" x14ac:dyDescent="0.2">
      <c r="B54215" s="1168"/>
    </row>
    <row r="54216" spans="2:2" s="221" customFormat="1" ht="12.75" x14ac:dyDescent="0.2">
      <c r="B54216" s="1168"/>
    </row>
    <row r="54217" spans="2:2" s="221" customFormat="1" ht="12.75" x14ac:dyDescent="0.2">
      <c r="B54217" s="1168"/>
    </row>
    <row r="54218" spans="2:2" s="221" customFormat="1" ht="12.75" x14ac:dyDescent="0.2">
      <c r="B54218" s="1168"/>
    </row>
    <row r="54219" spans="2:2" s="221" customFormat="1" ht="12.75" x14ac:dyDescent="0.2">
      <c r="B54219" s="1168"/>
    </row>
    <row r="54220" spans="2:2" s="221" customFormat="1" ht="12.75" x14ac:dyDescent="0.2">
      <c r="B54220" s="1168"/>
    </row>
    <row r="54221" spans="2:2" s="221" customFormat="1" ht="12.75" x14ac:dyDescent="0.2">
      <c r="B54221" s="1168"/>
    </row>
    <row r="54222" spans="2:2" s="221" customFormat="1" ht="12.75" x14ac:dyDescent="0.2">
      <c r="B54222" s="1168"/>
    </row>
    <row r="54223" spans="2:2" s="221" customFormat="1" ht="12.75" x14ac:dyDescent="0.2">
      <c r="B54223" s="1168"/>
    </row>
    <row r="54224" spans="2:2" s="221" customFormat="1" ht="12.75" x14ac:dyDescent="0.2">
      <c r="B54224" s="1168"/>
    </row>
    <row r="54225" spans="2:2" s="221" customFormat="1" ht="12.75" x14ac:dyDescent="0.2">
      <c r="B54225" s="1168"/>
    </row>
    <row r="54226" spans="2:2" s="221" customFormat="1" ht="12.75" x14ac:dyDescent="0.2">
      <c r="B54226" s="1168"/>
    </row>
    <row r="54227" spans="2:2" s="221" customFormat="1" ht="12.75" x14ac:dyDescent="0.2">
      <c r="B54227" s="1168"/>
    </row>
    <row r="54228" spans="2:2" s="221" customFormat="1" ht="12.75" x14ac:dyDescent="0.2">
      <c r="B54228" s="1168"/>
    </row>
    <row r="54229" spans="2:2" s="221" customFormat="1" ht="12.75" x14ac:dyDescent="0.2">
      <c r="B54229" s="1168"/>
    </row>
    <row r="54230" spans="2:2" s="221" customFormat="1" ht="12.75" x14ac:dyDescent="0.2">
      <c r="B54230" s="1168"/>
    </row>
    <row r="54231" spans="2:2" s="221" customFormat="1" ht="12.75" x14ac:dyDescent="0.2">
      <c r="B54231" s="1168"/>
    </row>
    <row r="54232" spans="2:2" s="221" customFormat="1" ht="12.75" x14ac:dyDescent="0.2">
      <c r="B54232" s="1168"/>
    </row>
    <row r="54233" spans="2:2" s="221" customFormat="1" ht="12.75" x14ac:dyDescent="0.2">
      <c r="B54233" s="1168"/>
    </row>
    <row r="54234" spans="2:2" s="221" customFormat="1" ht="12.75" x14ac:dyDescent="0.2">
      <c r="B54234" s="1168"/>
    </row>
    <row r="54235" spans="2:2" s="221" customFormat="1" ht="12.75" x14ac:dyDescent="0.2">
      <c r="B54235" s="1168"/>
    </row>
    <row r="54236" spans="2:2" s="221" customFormat="1" ht="12.75" x14ac:dyDescent="0.2">
      <c r="B54236" s="1168"/>
    </row>
    <row r="54237" spans="2:2" s="221" customFormat="1" ht="12.75" x14ac:dyDescent="0.2">
      <c r="B54237" s="1168"/>
    </row>
    <row r="54238" spans="2:2" s="221" customFormat="1" ht="12.75" x14ac:dyDescent="0.2">
      <c r="B54238" s="1168"/>
    </row>
    <row r="54239" spans="2:2" s="221" customFormat="1" ht="12.75" x14ac:dyDescent="0.2">
      <c r="B54239" s="1168"/>
    </row>
    <row r="54240" spans="2:2" s="221" customFormat="1" ht="12.75" x14ac:dyDescent="0.2">
      <c r="B54240" s="1168"/>
    </row>
    <row r="54241" spans="2:2" s="221" customFormat="1" ht="12.75" x14ac:dyDescent="0.2">
      <c r="B54241" s="1168"/>
    </row>
    <row r="54242" spans="2:2" s="221" customFormat="1" ht="12.75" x14ac:dyDescent="0.2">
      <c r="B54242" s="1168"/>
    </row>
    <row r="54243" spans="2:2" s="221" customFormat="1" ht="12.75" x14ac:dyDescent="0.2">
      <c r="B54243" s="1168"/>
    </row>
    <row r="54244" spans="2:2" s="221" customFormat="1" ht="12.75" x14ac:dyDescent="0.2">
      <c r="B54244" s="1168"/>
    </row>
    <row r="54245" spans="2:2" s="221" customFormat="1" ht="12.75" x14ac:dyDescent="0.2">
      <c r="B54245" s="1168"/>
    </row>
    <row r="54246" spans="2:2" s="221" customFormat="1" ht="12.75" x14ac:dyDescent="0.2">
      <c r="B54246" s="1168"/>
    </row>
    <row r="54247" spans="2:2" s="221" customFormat="1" ht="12.75" x14ac:dyDescent="0.2">
      <c r="B54247" s="1168"/>
    </row>
    <row r="54248" spans="2:2" s="221" customFormat="1" ht="12.75" x14ac:dyDescent="0.2">
      <c r="B54248" s="1168"/>
    </row>
    <row r="54249" spans="2:2" s="221" customFormat="1" ht="12.75" x14ac:dyDescent="0.2">
      <c r="B54249" s="1168"/>
    </row>
    <row r="54250" spans="2:2" s="221" customFormat="1" ht="12.75" x14ac:dyDescent="0.2">
      <c r="B54250" s="1168"/>
    </row>
    <row r="54251" spans="2:2" s="221" customFormat="1" ht="12.75" x14ac:dyDescent="0.2">
      <c r="B54251" s="1168"/>
    </row>
    <row r="54252" spans="2:2" s="221" customFormat="1" ht="12.75" x14ac:dyDescent="0.2">
      <c r="B54252" s="1168"/>
    </row>
    <row r="54253" spans="2:2" s="221" customFormat="1" ht="12.75" x14ac:dyDescent="0.2">
      <c r="B54253" s="1168"/>
    </row>
    <row r="54254" spans="2:2" s="221" customFormat="1" ht="12.75" x14ac:dyDescent="0.2">
      <c r="B54254" s="1168"/>
    </row>
    <row r="54255" spans="2:2" s="221" customFormat="1" ht="12.75" x14ac:dyDescent="0.2">
      <c r="B54255" s="1168"/>
    </row>
    <row r="54256" spans="2:2" s="221" customFormat="1" ht="12.75" x14ac:dyDescent="0.2">
      <c r="B54256" s="1168"/>
    </row>
    <row r="54257" spans="2:2" s="221" customFormat="1" ht="12.75" x14ac:dyDescent="0.2">
      <c r="B54257" s="1168"/>
    </row>
    <row r="54258" spans="2:2" s="221" customFormat="1" ht="12.75" x14ac:dyDescent="0.2">
      <c r="B54258" s="1168"/>
    </row>
    <row r="54259" spans="2:2" s="221" customFormat="1" ht="12.75" x14ac:dyDescent="0.2">
      <c r="B54259" s="1168"/>
    </row>
    <row r="54260" spans="2:2" s="221" customFormat="1" ht="12.75" x14ac:dyDescent="0.2">
      <c r="B54260" s="1168"/>
    </row>
    <row r="54261" spans="2:2" s="221" customFormat="1" ht="12.75" x14ac:dyDescent="0.2">
      <c r="B54261" s="1168"/>
    </row>
    <row r="54262" spans="2:2" s="221" customFormat="1" ht="12.75" x14ac:dyDescent="0.2">
      <c r="B54262" s="1168"/>
    </row>
    <row r="54263" spans="2:2" s="221" customFormat="1" ht="12.75" x14ac:dyDescent="0.2">
      <c r="B54263" s="1168"/>
    </row>
    <row r="54264" spans="2:2" s="221" customFormat="1" ht="12.75" x14ac:dyDescent="0.2">
      <c r="B54264" s="1168"/>
    </row>
    <row r="54265" spans="2:2" s="221" customFormat="1" ht="12.75" x14ac:dyDescent="0.2">
      <c r="B54265" s="1168"/>
    </row>
    <row r="54266" spans="2:2" s="221" customFormat="1" ht="12.75" x14ac:dyDescent="0.2">
      <c r="B54266" s="1168"/>
    </row>
    <row r="54267" spans="2:2" s="221" customFormat="1" ht="12.75" x14ac:dyDescent="0.2">
      <c r="B54267" s="1168"/>
    </row>
    <row r="54268" spans="2:2" s="221" customFormat="1" ht="12.75" x14ac:dyDescent="0.2">
      <c r="B54268" s="1168"/>
    </row>
    <row r="54269" spans="2:2" s="221" customFormat="1" ht="12.75" x14ac:dyDescent="0.2">
      <c r="B54269" s="1168"/>
    </row>
    <row r="54270" spans="2:2" s="221" customFormat="1" ht="12.75" x14ac:dyDescent="0.2">
      <c r="B54270" s="1168"/>
    </row>
    <row r="54271" spans="2:2" s="221" customFormat="1" ht="12.75" x14ac:dyDescent="0.2">
      <c r="B54271" s="1168"/>
    </row>
    <row r="54272" spans="2:2" s="221" customFormat="1" ht="12.75" x14ac:dyDescent="0.2">
      <c r="B54272" s="1168"/>
    </row>
    <row r="54273" spans="2:2" s="221" customFormat="1" ht="12.75" x14ac:dyDescent="0.2">
      <c r="B54273" s="1168"/>
    </row>
    <row r="54274" spans="2:2" s="221" customFormat="1" ht="12.75" x14ac:dyDescent="0.2">
      <c r="B54274" s="1168"/>
    </row>
    <row r="54275" spans="2:2" s="221" customFormat="1" ht="12.75" x14ac:dyDescent="0.2">
      <c r="B54275" s="1168"/>
    </row>
    <row r="54276" spans="2:2" s="221" customFormat="1" ht="12.75" x14ac:dyDescent="0.2">
      <c r="B54276" s="1168"/>
    </row>
    <row r="54277" spans="2:2" s="221" customFormat="1" ht="12.75" x14ac:dyDescent="0.2">
      <c r="B54277" s="1168"/>
    </row>
    <row r="54278" spans="2:2" s="221" customFormat="1" ht="12.75" x14ac:dyDescent="0.2">
      <c r="B54278" s="1168"/>
    </row>
    <row r="54279" spans="2:2" s="221" customFormat="1" ht="12.75" x14ac:dyDescent="0.2">
      <c r="B54279" s="1168"/>
    </row>
    <row r="54280" spans="2:2" s="221" customFormat="1" ht="12.75" x14ac:dyDescent="0.2">
      <c r="B54280" s="1168"/>
    </row>
    <row r="54281" spans="2:2" s="221" customFormat="1" ht="12.75" x14ac:dyDescent="0.2">
      <c r="B54281" s="1168"/>
    </row>
    <row r="54282" spans="2:2" s="221" customFormat="1" ht="12.75" x14ac:dyDescent="0.2">
      <c r="B54282" s="1168"/>
    </row>
    <row r="54283" spans="2:2" s="221" customFormat="1" ht="12.75" x14ac:dyDescent="0.2">
      <c r="B54283" s="1168"/>
    </row>
    <row r="54284" spans="2:2" s="221" customFormat="1" ht="12.75" x14ac:dyDescent="0.2">
      <c r="B54284" s="1168"/>
    </row>
    <row r="54285" spans="2:2" s="221" customFormat="1" ht="12.75" x14ac:dyDescent="0.2">
      <c r="B54285" s="1168"/>
    </row>
    <row r="54286" spans="2:2" s="221" customFormat="1" ht="12.75" x14ac:dyDescent="0.2">
      <c r="B54286" s="1168"/>
    </row>
    <row r="54287" spans="2:2" s="221" customFormat="1" ht="12.75" x14ac:dyDescent="0.2">
      <c r="B54287" s="1168"/>
    </row>
    <row r="54288" spans="2:2" s="221" customFormat="1" ht="12.75" x14ac:dyDescent="0.2">
      <c r="B54288" s="1168"/>
    </row>
    <row r="54289" spans="2:2" s="221" customFormat="1" ht="12.75" x14ac:dyDescent="0.2">
      <c r="B54289" s="1168"/>
    </row>
    <row r="54290" spans="2:2" s="221" customFormat="1" ht="12.75" x14ac:dyDescent="0.2">
      <c r="B54290" s="1168"/>
    </row>
    <row r="54291" spans="2:2" s="221" customFormat="1" ht="12.75" x14ac:dyDescent="0.2">
      <c r="B54291" s="1168"/>
    </row>
    <row r="54292" spans="2:2" s="221" customFormat="1" ht="12.75" x14ac:dyDescent="0.2">
      <c r="B54292" s="1168"/>
    </row>
    <row r="54293" spans="2:2" s="221" customFormat="1" ht="12.75" x14ac:dyDescent="0.2">
      <c r="B54293" s="1168"/>
    </row>
    <row r="54294" spans="2:2" s="221" customFormat="1" ht="12.75" x14ac:dyDescent="0.2">
      <c r="B54294" s="1168"/>
    </row>
    <row r="54295" spans="2:2" s="221" customFormat="1" ht="12.75" x14ac:dyDescent="0.2">
      <c r="B54295" s="1168"/>
    </row>
    <row r="54296" spans="2:2" s="221" customFormat="1" ht="12.75" x14ac:dyDescent="0.2">
      <c r="B54296" s="1168"/>
    </row>
    <row r="54297" spans="2:2" s="221" customFormat="1" ht="12.75" x14ac:dyDescent="0.2">
      <c r="B54297" s="1168"/>
    </row>
    <row r="54298" spans="2:2" s="221" customFormat="1" ht="12.75" x14ac:dyDescent="0.2">
      <c r="B54298" s="1168"/>
    </row>
    <row r="54299" spans="2:2" s="221" customFormat="1" ht="12.75" x14ac:dyDescent="0.2">
      <c r="B54299" s="1168"/>
    </row>
    <row r="54300" spans="2:2" s="221" customFormat="1" ht="12.75" x14ac:dyDescent="0.2">
      <c r="B54300" s="1168"/>
    </row>
    <row r="54301" spans="2:2" s="221" customFormat="1" ht="12.75" x14ac:dyDescent="0.2">
      <c r="B54301" s="1168"/>
    </row>
    <row r="54302" spans="2:2" s="221" customFormat="1" ht="12.75" x14ac:dyDescent="0.2">
      <c r="B54302" s="1168"/>
    </row>
    <row r="54303" spans="2:2" s="221" customFormat="1" ht="12.75" x14ac:dyDescent="0.2">
      <c r="B54303" s="1168"/>
    </row>
    <row r="54304" spans="2:2" s="221" customFormat="1" ht="12.75" x14ac:dyDescent="0.2">
      <c r="B54304" s="1168"/>
    </row>
    <row r="54305" spans="2:2" s="221" customFormat="1" ht="12.75" x14ac:dyDescent="0.2">
      <c r="B54305" s="1168"/>
    </row>
    <row r="54306" spans="2:2" s="221" customFormat="1" ht="12.75" x14ac:dyDescent="0.2">
      <c r="B54306" s="1168"/>
    </row>
    <row r="54307" spans="2:2" s="221" customFormat="1" ht="12.75" x14ac:dyDescent="0.2">
      <c r="B54307" s="1168"/>
    </row>
    <row r="54308" spans="2:2" s="221" customFormat="1" ht="12.75" x14ac:dyDescent="0.2">
      <c r="B54308" s="1168"/>
    </row>
    <row r="54309" spans="2:2" s="221" customFormat="1" ht="12.75" x14ac:dyDescent="0.2">
      <c r="B54309" s="1168"/>
    </row>
    <row r="54310" spans="2:2" s="221" customFormat="1" ht="12.75" x14ac:dyDescent="0.2">
      <c r="B54310" s="1168"/>
    </row>
    <row r="54311" spans="2:2" s="221" customFormat="1" ht="12.75" x14ac:dyDescent="0.2">
      <c r="B54311" s="1168"/>
    </row>
    <row r="54312" spans="2:2" s="221" customFormat="1" ht="12.75" x14ac:dyDescent="0.2">
      <c r="B54312" s="1168"/>
    </row>
    <row r="54313" spans="2:2" s="221" customFormat="1" ht="12.75" x14ac:dyDescent="0.2">
      <c r="B54313" s="1168"/>
    </row>
    <row r="54314" spans="2:2" s="221" customFormat="1" ht="12.75" x14ac:dyDescent="0.2">
      <c r="B54314" s="1168"/>
    </row>
    <row r="54315" spans="2:2" s="221" customFormat="1" ht="12.75" x14ac:dyDescent="0.2">
      <c r="B54315" s="1168"/>
    </row>
    <row r="54316" spans="2:2" s="221" customFormat="1" ht="12.75" x14ac:dyDescent="0.2">
      <c r="B54316" s="1168"/>
    </row>
    <row r="54317" spans="2:2" s="221" customFormat="1" ht="12.75" x14ac:dyDescent="0.2">
      <c r="B54317" s="1168"/>
    </row>
    <row r="54318" spans="2:2" s="221" customFormat="1" ht="12.75" x14ac:dyDescent="0.2">
      <c r="B54318" s="1168"/>
    </row>
    <row r="54319" spans="2:2" s="221" customFormat="1" ht="12.75" x14ac:dyDescent="0.2">
      <c r="B54319" s="1168"/>
    </row>
    <row r="54320" spans="2:2" s="221" customFormat="1" ht="12.75" x14ac:dyDescent="0.2">
      <c r="B54320" s="1168"/>
    </row>
    <row r="54321" spans="2:2" s="221" customFormat="1" ht="12.75" x14ac:dyDescent="0.2">
      <c r="B54321" s="1168"/>
    </row>
    <row r="54322" spans="2:2" s="221" customFormat="1" ht="12.75" x14ac:dyDescent="0.2">
      <c r="B54322" s="1168"/>
    </row>
    <row r="54323" spans="2:2" s="221" customFormat="1" ht="12.75" x14ac:dyDescent="0.2">
      <c r="B54323" s="1168"/>
    </row>
    <row r="54324" spans="2:2" s="221" customFormat="1" ht="12.75" x14ac:dyDescent="0.2">
      <c r="B54324" s="1168"/>
    </row>
    <row r="54325" spans="2:2" s="221" customFormat="1" ht="12.75" x14ac:dyDescent="0.2">
      <c r="B54325" s="1168"/>
    </row>
    <row r="54326" spans="2:2" s="221" customFormat="1" ht="12.75" x14ac:dyDescent="0.2">
      <c r="B54326" s="1168"/>
    </row>
    <row r="54327" spans="2:2" s="221" customFormat="1" ht="12.75" x14ac:dyDescent="0.2">
      <c r="B54327" s="1168"/>
    </row>
    <row r="54328" spans="2:2" s="221" customFormat="1" ht="12.75" x14ac:dyDescent="0.2">
      <c r="B54328" s="1168"/>
    </row>
    <row r="54329" spans="2:2" s="221" customFormat="1" ht="12.75" x14ac:dyDescent="0.2">
      <c r="B54329" s="1168"/>
    </row>
    <row r="54330" spans="2:2" s="221" customFormat="1" ht="12.75" x14ac:dyDescent="0.2">
      <c r="B54330" s="1168"/>
    </row>
    <row r="54331" spans="2:2" s="221" customFormat="1" ht="12.75" x14ac:dyDescent="0.2">
      <c r="B54331" s="1168"/>
    </row>
    <row r="54332" spans="2:2" s="221" customFormat="1" ht="12.75" x14ac:dyDescent="0.2">
      <c r="B54332" s="1168"/>
    </row>
    <row r="54333" spans="2:2" s="221" customFormat="1" ht="12.75" x14ac:dyDescent="0.2">
      <c r="B54333" s="1168"/>
    </row>
    <row r="54334" spans="2:2" s="221" customFormat="1" ht="12.75" x14ac:dyDescent="0.2">
      <c r="B54334" s="1168"/>
    </row>
    <row r="54335" spans="2:2" s="221" customFormat="1" ht="12.75" x14ac:dyDescent="0.2">
      <c r="B54335" s="1168"/>
    </row>
    <row r="54336" spans="2:2" s="221" customFormat="1" ht="12.75" x14ac:dyDescent="0.2">
      <c r="B54336" s="1168"/>
    </row>
    <row r="54337" spans="2:2" s="221" customFormat="1" ht="12.75" x14ac:dyDescent="0.2">
      <c r="B54337" s="1168"/>
    </row>
    <row r="54338" spans="2:2" s="221" customFormat="1" ht="12.75" x14ac:dyDescent="0.2">
      <c r="B54338" s="1168"/>
    </row>
    <row r="54339" spans="2:2" s="221" customFormat="1" ht="12.75" x14ac:dyDescent="0.2">
      <c r="B54339" s="1168"/>
    </row>
    <row r="54340" spans="2:2" s="221" customFormat="1" ht="12.75" x14ac:dyDescent="0.2">
      <c r="B54340" s="1168"/>
    </row>
    <row r="54341" spans="2:2" s="221" customFormat="1" ht="12.75" x14ac:dyDescent="0.2">
      <c r="B54341" s="1168"/>
    </row>
    <row r="54342" spans="2:2" s="221" customFormat="1" ht="12.75" x14ac:dyDescent="0.2">
      <c r="B54342" s="1168"/>
    </row>
    <row r="54343" spans="2:2" s="221" customFormat="1" ht="12.75" x14ac:dyDescent="0.2">
      <c r="B54343" s="1168"/>
    </row>
    <row r="54344" spans="2:2" s="221" customFormat="1" ht="12.75" x14ac:dyDescent="0.2">
      <c r="B54344" s="1168"/>
    </row>
    <row r="54345" spans="2:2" s="221" customFormat="1" ht="12.75" x14ac:dyDescent="0.2">
      <c r="B54345" s="1168"/>
    </row>
    <row r="54346" spans="2:2" s="221" customFormat="1" ht="12.75" x14ac:dyDescent="0.2">
      <c r="B54346" s="1168"/>
    </row>
    <row r="54347" spans="2:2" s="221" customFormat="1" ht="12.75" x14ac:dyDescent="0.2">
      <c r="B54347" s="1168"/>
    </row>
    <row r="54348" spans="2:2" s="221" customFormat="1" ht="12.75" x14ac:dyDescent="0.2">
      <c r="B54348" s="1168"/>
    </row>
    <row r="54349" spans="2:2" s="221" customFormat="1" ht="12.75" x14ac:dyDescent="0.2">
      <c r="B54349" s="1168"/>
    </row>
    <row r="54350" spans="2:2" s="221" customFormat="1" ht="12.75" x14ac:dyDescent="0.2">
      <c r="B54350" s="1168"/>
    </row>
    <row r="54351" spans="2:2" s="221" customFormat="1" ht="12.75" x14ac:dyDescent="0.2">
      <c r="B54351" s="1168"/>
    </row>
    <row r="54352" spans="2:2" s="221" customFormat="1" ht="12.75" x14ac:dyDescent="0.2">
      <c r="B54352" s="1168"/>
    </row>
    <row r="54353" spans="2:2" s="221" customFormat="1" ht="12.75" x14ac:dyDescent="0.2">
      <c r="B54353" s="1168"/>
    </row>
    <row r="54354" spans="2:2" s="221" customFormat="1" ht="12.75" x14ac:dyDescent="0.2">
      <c r="B54354" s="1168"/>
    </row>
    <row r="54355" spans="2:2" s="221" customFormat="1" ht="12.75" x14ac:dyDescent="0.2">
      <c r="B54355" s="1168"/>
    </row>
    <row r="54356" spans="2:2" s="221" customFormat="1" ht="12.75" x14ac:dyDescent="0.2">
      <c r="B54356" s="1168"/>
    </row>
    <row r="54357" spans="2:2" s="221" customFormat="1" ht="12.75" x14ac:dyDescent="0.2">
      <c r="B54357" s="1168"/>
    </row>
    <row r="54358" spans="2:2" s="221" customFormat="1" ht="12.75" x14ac:dyDescent="0.2">
      <c r="B54358" s="1168"/>
    </row>
    <row r="54359" spans="2:2" s="221" customFormat="1" ht="12.75" x14ac:dyDescent="0.2">
      <c r="B54359" s="1168"/>
    </row>
    <row r="54360" spans="2:2" s="221" customFormat="1" ht="12.75" x14ac:dyDescent="0.2">
      <c r="B54360" s="1168"/>
    </row>
    <row r="54361" spans="2:2" s="221" customFormat="1" ht="12.75" x14ac:dyDescent="0.2">
      <c r="B54361" s="1168"/>
    </row>
    <row r="54362" spans="2:2" s="221" customFormat="1" ht="12.75" x14ac:dyDescent="0.2">
      <c r="B54362" s="1168"/>
    </row>
    <row r="54363" spans="2:2" s="221" customFormat="1" ht="12.75" x14ac:dyDescent="0.2">
      <c r="B54363" s="1168"/>
    </row>
    <row r="54364" spans="2:2" s="221" customFormat="1" ht="12.75" x14ac:dyDescent="0.2">
      <c r="B54364" s="1168"/>
    </row>
    <row r="54365" spans="2:2" s="221" customFormat="1" ht="12.75" x14ac:dyDescent="0.2">
      <c r="B54365" s="1168"/>
    </row>
    <row r="54366" spans="2:2" s="221" customFormat="1" ht="12.75" x14ac:dyDescent="0.2">
      <c r="B54366" s="1168"/>
    </row>
    <row r="54367" spans="2:2" s="221" customFormat="1" ht="12.75" x14ac:dyDescent="0.2">
      <c r="B54367" s="1168"/>
    </row>
    <row r="54368" spans="2:2" s="221" customFormat="1" ht="12.75" x14ac:dyDescent="0.2">
      <c r="B54368" s="1168"/>
    </row>
    <row r="54369" spans="2:2" s="221" customFormat="1" ht="12.75" x14ac:dyDescent="0.2">
      <c r="B54369" s="1168"/>
    </row>
    <row r="54370" spans="2:2" s="221" customFormat="1" ht="12.75" x14ac:dyDescent="0.2">
      <c r="B54370" s="1168"/>
    </row>
    <row r="54371" spans="2:2" s="221" customFormat="1" ht="12.75" x14ac:dyDescent="0.2">
      <c r="B54371" s="1168"/>
    </row>
    <row r="54372" spans="2:2" s="221" customFormat="1" ht="12.75" x14ac:dyDescent="0.2">
      <c r="B54372" s="1168"/>
    </row>
    <row r="54373" spans="2:2" s="221" customFormat="1" ht="12.75" x14ac:dyDescent="0.2">
      <c r="B54373" s="1168"/>
    </row>
    <row r="54374" spans="2:2" s="221" customFormat="1" ht="12.75" x14ac:dyDescent="0.2">
      <c r="B54374" s="1168"/>
    </row>
    <row r="54375" spans="2:2" s="221" customFormat="1" ht="12.75" x14ac:dyDescent="0.2">
      <c r="B54375" s="1168"/>
    </row>
    <row r="54376" spans="2:2" s="221" customFormat="1" ht="12.75" x14ac:dyDescent="0.2">
      <c r="B54376" s="1168"/>
    </row>
    <row r="54377" spans="2:2" s="221" customFormat="1" ht="12.75" x14ac:dyDescent="0.2">
      <c r="B54377" s="1168"/>
    </row>
    <row r="54378" spans="2:2" s="221" customFormat="1" ht="12.75" x14ac:dyDescent="0.2">
      <c r="B54378" s="1168"/>
    </row>
    <row r="54379" spans="2:2" s="221" customFormat="1" ht="12.75" x14ac:dyDescent="0.2">
      <c r="B54379" s="1168"/>
    </row>
    <row r="54380" spans="2:2" s="221" customFormat="1" ht="12.75" x14ac:dyDescent="0.2">
      <c r="B54380" s="1168"/>
    </row>
    <row r="54381" spans="2:2" s="221" customFormat="1" ht="12.75" x14ac:dyDescent="0.2">
      <c r="B54381" s="1168"/>
    </row>
    <row r="54382" spans="2:2" s="221" customFormat="1" ht="12.75" x14ac:dyDescent="0.2">
      <c r="B54382" s="1168"/>
    </row>
    <row r="54383" spans="2:2" s="221" customFormat="1" ht="12.75" x14ac:dyDescent="0.2">
      <c r="B54383" s="1168"/>
    </row>
    <row r="54384" spans="2:2" s="221" customFormat="1" ht="12.75" x14ac:dyDescent="0.2">
      <c r="B54384" s="1168"/>
    </row>
    <row r="54385" spans="2:2" s="221" customFormat="1" ht="12.75" x14ac:dyDescent="0.2">
      <c r="B54385" s="1168"/>
    </row>
    <row r="54386" spans="2:2" s="221" customFormat="1" ht="12.75" x14ac:dyDescent="0.2">
      <c r="B54386" s="1168"/>
    </row>
    <row r="54387" spans="2:2" s="221" customFormat="1" ht="12.75" x14ac:dyDescent="0.2">
      <c r="B54387" s="1168"/>
    </row>
    <row r="54388" spans="2:2" s="221" customFormat="1" ht="12.75" x14ac:dyDescent="0.2">
      <c r="B54388" s="1168"/>
    </row>
    <row r="54389" spans="2:2" s="221" customFormat="1" ht="12.75" x14ac:dyDescent="0.2">
      <c r="B54389" s="1168"/>
    </row>
    <row r="54390" spans="2:2" s="221" customFormat="1" ht="12.75" x14ac:dyDescent="0.2">
      <c r="B54390" s="1168"/>
    </row>
    <row r="54391" spans="2:2" s="221" customFormat="1" ht="12.75" x14ac:dyDescent="0.2">
      <c r="B54391" s="1168"/>
    </row>
    <row r="54392" spans="2:2" s="221" customFormat="1" ht="12.75" x14ac:dyDescent="0.2">
      <c r="B54392" s="1168"/>
    </row>
    <row r="54393" spans="2:2" s="221" customFormat="1" ht="12.75" x14ac:dyDescent="0.2">
      <c r="B54393" s="1168"/>
    </row>
    <row r="54394" spans="2:2" s="221" customFormat="1" ht="12.75" x14ac:dyDescent="0.2">
      <c r="B54394" s="1168"/>
    </row>
    <row r="54395" spans="2:2" s="221" customFormat="1" ht="12.75" x14ac:dyDescent="0.2">
      <c r="B54395" s="1168"/>
    </row>
    <row r="54396" spans="2:2" s="221" customFormat="1" ht="12.75" x14ac:dyDescent="0.2">
      <c r="B54396" s="1168"/>
    </row>
    <row r="54397" spans="2:2" s="221" customFormat="1" ht="12.75" x14ac:dyDescent="0.2">
      <c r="B54397" s="1168"/>
    </row>
    <row r="54398" spans="2:2" s="221" customFormat="1" ht="12.75" x14ac:dyDescent="0.2">
      <c r="B54398" s="1168"/>
    </row>
    <row r="54399" spans="2:2" s="221" customFormat="1" ht="12.75" x14ac:dyDescent="0.2">
      <c r="B54399" s="1168"/>
    </row>
    <row r="54400" spans="2:2" s="221" customFormat="1" ht="12.75" x14ac:dyDescent="0.2">
      <c r="B54400" s="1168"/>
    </row>
    <row r="54401" spans="2:2" s="221" customFormat="1" ht="12.75" x14ac:dyDescent="0.2">
      <c r="B54401" s="1168"/>
    </row>
    <row r="54402" spans="2:2" s="221" customFormat="1" ht="12.75" x14ac:dyDescent="0.2">
      <c r="B54402" s="1168"/>
    </row>
    <row r="54403" spans="2:2" s="221" customFormat="1" ht="12.75" x14ac:dyDescent="0.2">
      <c r="B54403" s="1168"/>
    </row>
    <row r="54404" spans="2:2" s="221" customFormat="1" ht="12.75" x14ac:dyDescent="0.2">
      <c r="B54404" s="1168"/>
    </row>
    <row r="54405" spans="2:2" s="221" customFormat="1" ht="12.75" x14ac:dyDescent="0.2">
      <c r="B54405" s="1168"/>
    </row>
    <row r="54406" spans="2:2" s="221" customFormat="1" ht="12.75" x14ac:dyDescent="0.2">
      <c r="B54406" s="1168"/>
    </row>
    <row r="54407" spans="2:2" s="221" customFormat="1" ht="12.75" x14ac:dyDescent="0.2">
      <c r="B54407" s="1168"/>
    </row>
    <row r="54408" spans="2:2" s="221" customFormat="1" ht="12.75" x14ac:dyDescent="0.2">
      <c r="B54408" s="1168"/>
    </row>
    <row r="54409" spans="2:2" s="221" customFormat="1" ht="12.75" x14ac:dyDescent="0.2">
      <c r="B54409" s="1168"/>
    </row>
    <row r="54410" spans="2:2" s="221" customFormat="1" ht="12.75" x14ac:dyDescent="0.2">
      <c r="B54410" s="1168"/>
    </row>
    <row r="54411" spans="2:2" s="221" customFormat="1" ht="12.75" x14ac:dyDescent="0.2">
      <c r="B54411" s="1168"/>
    </row>
    <row r="54412" spans="2:2" s="221" customFormat="1" ht="12.75" x14ac:dyDescent="0.2">
      <c r="B54412" s="1168"/>
    </row>
    <row r="54413" spans="2:2" s="221" customFormat="1" ht="12.75" x14ac:dyDescent="0.2">
      <c r="B54413" s="1168"/>
    </row>
    <row r="54414" spans="2:2" s="221" customFormat="1" ht="12.75" x14ac:dyDescent="0.2">
      <c r="B54414" s="1168"/>
    </row>
    <row r="54415" spans="2:2" s="221" customFormat="1" ht="12.75" x14ac:dyDescent="0.2">
      <c r="B54415" s="1168"/>
    </row>
    <row r="54416" spans="2:2" s="221" customFormat="1" ht="12.75" x14ac:dyDescent="0.2">
      <c r="B54416" s="1168"/>
    </row>
    <row r="54417" spans="2:2" s="221" customFormat="1" ht="12.75" x14ac:dyDescent="0.2">
      <c r="B54417" s="1168"/>
    </row>
    <row r="54418" spans="2:2" s="221" customFormat="1" ht="12.75" x14ac:dyDescent="0.2">
      <c r="B54418" s="1168"/>
    </row>
    <row r="54419" spans="2:2" s="221" customFormat="1" ht="12.75" x14ac:dyDescent="0.2">
      <c r="B54419" s="1168"/>
    </row>
    <row r="54420" spans="2:2" s="221" customFormat="1" ht="12.75" x14ac:dyDescent="0.2">
      <c r="B54420" s="1168"/>
    </row>
    <row r="54421" spans="2:2" s="221" customFormat="1" ht="12.75" x14ac:dyDescent="0.2">
      <c r="B54421" s="1168"/>
    </row>
    <row r="54422" spans="2:2" s="221" customFormat="1" ht="12.75" x14ac:dyDescent="0.2">
      <c r="B54422" s="1168"/>
    </row>
    <row r="54423" spans="2:2" s="221" customFormat="1" ht="12.75" x14ac:dyDescent="0.2">
      <c r="B54423" s="1168"/>
    </row>
    <row r="54424" spans="2:2" s="221" customFormat="1" ht="12.75" x14ac:dyDescent="0.2">
      <c r="B54424" s="1168"/>
    </row>
    <row r="54425" spans="2:2" s="221" customFormat="1" ht="12.75" x14ac:dyDescent="0.2">
      <c r="B54425" s="1168"/>
    </row>
    <row r="54426" spans="2:2" s="221" customFormat="1" ht="12.75" x14ac:dyDescent="0.2">
      <c r="B54426" s="1168"/>
    </row>
    <row r="54427" spans="2:2" s="221" customFormat="1" ht="12.75" x14ac:dyDescent="0.2">
      <c r="B54427" s="1168"/>
    </row>
    <row r="54428" spans="2:2" s="221" customFormat="1" ht="12.75" x14ac:dyDescent="0.2">
      <c r="B54428" s="1168"/>
    </row>
    <row r="54429" spans="2:2" s="221" customFormat="1" ht="12.75" x14ac:dyDescent="0.2">
      <c r="B54429" s="1168"/>
    </row>
    <row r="54430" spans="2:2" s="221" customFormat="1" ht="12.75" x14ac:dyDescent="0.2">
      <c r="B54430" s="1168"/>
    </row>
    <row r="54431" spans="2:2" s="221" customFormat="1" ht="12.75" x14ac:dyDescent="0.2">
      <c r="B54431" s="1168"/>
    </row>
    <row r="54432" spans="2:2" s="221" customFormat="1" ht="12.75" x14ac:dyDescent="0.2">
      <c r="B54432" s="1168"/>
    </row>
    <row r="54433" spans="2:2" s="221" customFormat="1" ht="12.75" x14ac:dyDescent="0.2">
      <c r="B54433" s="1168"/>
    </row>
    <row r="54434" spans="2:2" s="221" customFormat="1" ht="12.75" x14ac:dyDescent="0.2">
      <c r="B54434" s="1168"/>
    </row>
    <row r="54435" spans="2:2" s="221" customFormat="1" ht="12.75" x14ac:dyDescent="0.2">
      <c r="B54435" s="1168"/>
    </row>
    <row r="54436" spans="2:2" s="221" customFormat="1" ht="12.75" x14ac:dyDescent="0.2">
      <c r="B54436" s="1168"/>
    </row>
    <row r="54437" spans="2:2" s="221" customFormat="1" ht="12.75" x14ac:dyDescent="0.2">
      <c r="B54437" s="1168"/>
    </row>
    <row r="54438" spans="2:2" s="221" customFormat="1" ht="12.75" x14ac:dyDescent="0.2">
      <c r="B54438" s="1168"/>
    </row>
    <row r="54439" spans="2:2" s="221" customFormat="1" ht="12.75" x14ac:dyDescent="0.2">
      <c r="B54439" s="1168"/>
    </row>
    <row r="54440" spans="2:2" s="221" customFormat="1" ht="12.75" x14ac:dyDescent="0.2">
      <c r="B54440" s="1168"/>
    </row>
    <row r="54441" spans="2:2" s="221" customFormat="1" ht="12.75" x14ac:dyDescent="0.2">
      <c r="B54441" s="1168"/>
    </row>
    <row r="54442" spans="2:2" s="221" customFormat="1" ht="12.75" x14ac:dyDescent="0.2">
      <c r="B54442" s="1168"/>
    </row>
    <row r="54443" spans="2:2" s="221" customFormat="1" ht="12.75" x14ac:dyDescent="0.2">
      <c r="B54443" s="1168"/>
    </row>
    <row r="54444" spans="2:2" s="221" customFormat="1" ht="12.75" x14ac:dyDescent="0.2">
      <c r="B54444" s="1168"/>
    </row>
    <row r="54445" spans="2:2" s="221" customFormat="1" ht="12.75" x14ac:dyDescent="0.2">
      <c r="B54445" s="1168"/>
    </row>
    <row r="54446" spans="2:2" s="221" customFormat="1" ht="12.75" x14ac:dyDescent="0.2">
      <c r="B54446" s="1168"/>
    </row>
    <row r="54447" spans="2:2" s="221" customFormat="1" ht="12.75" x14ac:dyDescent="0.2">
      <c r="B54447" s="1168"/>
    </row>
    <row r="54448" spans="2:2" s="221" customFormat="1" ht="12.75" x14ac:dyDescent="0.2">
      <c r="B54448" s="1168"/>
    </row>
    <row r="54449" spans="2:2" s="221" customFormat="1" ht="12.75" x14ac:dyDescent="0.2">
      <c r="B54449" s="1168"/>
    </row>
    <row r="54450" spans="2:2" s="221" customFormat="1" ht="12.75" x14ac:dyDescent="0.2">
      <c r="B54450" s="1168"/>
    </row>
    <row r="54451" spans="2:2" s="221" customFormat="1" ht="12.75" x14ac:dyDescent="0.2">
      <c r="B54451" s="1168"/>
    </row>
    <row r="54452" spans="2:2" s="221" customFormat="1" ht="12.75" x14ac:dyDescent="0.2">
      <c r="B54452" s="1168"/>
    </row>
    <row r="54453" spans="2:2" s="221" customFormat="1" ht="12.75" x14ac:dyDescent="0.2">
      <c r="B54453" s="1168"/>
    </row>
    <row r="54454" spans="2:2" s="221" customFormat="1" ht="12.75" x14ac:dyDescent="0.2">
      <c r="B54454" s="1168"/>
    </row>
    <row r="54455" spans="2:2" s="221" customFormat="1" ht="12.75" x14ac:dyDescent="0.2">
      <c r="B54455" s="1168"/>
    </row>
    <row r="54456" spans="2:2" s="221" customFormat="1" ht="12.75" x14ac:dyDescent="0.2">
      <c r="B54456" s="1168"/>
    </row>
    <row r="54457" spans="2:2" s="221" customFormat="1" ht="12.75" x14ac:dyDescent="0.2">
      <c r="B54457" s="1168"/>
    </row>
    <row r="54458" spans="2:2" s="221" customFormat="1" ht="12.75" x14ac:dyDescent="0.2">
      <c r="B54458" s="1168"/>
    </row>
    <row r="54459" spans="2:2" s="221" customFormat="1" ht="12.75" x14ac:dyDescent="0.2">
      <c r="B54459" s="1168"/>
    </row>
    <row r="54460" spans="2:2" s="221" customFormat="1" ht="12.75" x14ac:dyDescent="0.2">
      <c r="B54460" s="1168"/>
    </row>
    <row r="54461" spans="2:2" s="221" customFormat="1" ht="12.75" x14ac:dyDescent="0.2">
      <c r="B54461" s="1168"/>
    </row>
    <row r="54462" spans="2:2" s="221" customFormat="1" ht="12.75" x14ac:dyDescent="0.2">
      <c r="B54462" s="1168"/>
    </row>
    <row r="54463" spans="2:2" s="221" customFormat="1" ht="12.75" x14ac:dyDescent="0.2">
      <c r="B54463" s="1168"/>
    </row>
    <row r="54464" spans="2:2" s="221" customFormat="1" ht="12.75" x14ac:dyDescent="0.2">
      <c r="B54464" s="1168"/>
    </row>
    <row r="54465" spans="2:2" s="221" customFormat="1" ht="12.75" x14ac:dyDescent="0.2">
      <c r="B54465" s="1168"/>
    </row>
    <row r="54466" spans="2:2" s="221" customFormat="1" ht="12.75" x14ac:dyDescent="0.2">
      <c r="B54466" s="1168"/>
    </row>
    <row r="54467" spans="2:2" s="221" customFormat="1" ht="12.75" x14ac:dyDescent="0.2">
      <c r="B54467" s="1168"/>
    </row>
    <row r="54468" spans="2:2" s="221" customFormat="1" ht="12.75" x14ac:dyDescent="0.2">
      <c r="B54468" s="1168"/>
    </row>
    <row r="54469" spans="2:2" s="221" customFormat="1" ht="12.75" x14ac:dyDescent="0.2">
      <c r="B54469" s="1168"/>
    </row>
    <row r="54470" spans="2:2" s="221" customFormat="1" ht="12.75" x14ac:dyDescent="0.2">
      <c r="B54470" s="1168"/>
    </row>
    <row r="54471" spans="2:2" s="221" customFormat="1" ht="12.75" x14ac:dyDescent="0.2">
      <c r="B54471" s="1168"/>
    </row>
    <row r="54472" spans="2:2" s="221" customFormat="1" ht="12.75" x14ac:dyDescent="0.2">
      <c r="B54472" s="1168"/>
    </row>
    <row r="54473" spans="2:2" s="221" customFormat="1" ht="12.75" x14ac:dyDescent="0.2">
      <c r="B54473" s="1168"/>
    </row>
    <row r="54474" spans="2:2" s="221" customFormat="1" ht="12.75" x14ac:dyDescent="0.2">
      <c r="B54474" s="1168"/>
    </row>
    <row r="54475" spans="2:2" s="221" customFormat="1" ht="12.75" x14ac:dyDescent="0.2">
      <c r="B54475" s="1168"/>
    </row>
    <row r="54476" spans="2:2" s="221" customFormat="1" ht="12.75" x14ac:dyDescent="0.2">
      <c r="B54476" s="1168"/>
    </row>
    <row r="54477" spans="2:2" s="221" customFormat="1" ht="12.75" x14ac:dyDescent="0.2">
      <c r="B54477" s="1168"/>
    </row>
    <row r="54478" spans="2:2" s="221" customFormat="1" ht="12.75" x14ac:dyDescent="0.2">
      <c r="B54478" s="1168"/>
    </row>
    <row r="54479" spans="2:2" s="221" customFormat="1" ht="12.75" x14ac:dyDescent="0.2">
      <c r="B54479" s="1168"/>
    </row>
    <row r="54480" spans="2:2" s="221" customFormat="1" ht="12.75" x14ac:dyDescent="0.2">
      <c r="B54480" s="1168"/>
    </row>
    <row r="54481" spans="2:2" s="221" customFormat="1" ht="12.75" x14ac:dyDescent="0.2">
      <c r="B54481" s="1168"/>
    </row>
    <row r="54482" spans="2:2" s="221" customFormat="1" ht="12.75" x14ac:dyDescent="0.2">
      <c r="B54482" s="1168"/>
    </row>
    <row r="54483" spans="2:2" s="221" customFormat="1" ht="12.75" x14ac:dyDescent="0.2">
      <c r="B54483" s="1168"/>
    </row>
    <row r="54484" spans="2:2" s="221" customFormat="1" ht="12.75" x14ac:dyDescent="0.2">
      <c r="B54484" s="1168"/>
    </row>
    <row r="54485" spans="2:2" s="221" customFormat="1" ht="12.75" x14ac:dyDescent="0.2">
      <c r="B54485" s="1168"/>
    </row>
    <row r="54486" spans="2:2" s="221" customFormat="1" ht="12.75" x14ac:dyDescent="0.2">
      <c r="B54486" s="1168"/>
    </row>
    <row r="54487" spans="2:2" s="221" customFormat="1" ht="12.75" x14ac:dyDescent="0.2">
      <c r="B54487" s="1168"/>
    </row>
    <row r="54488" spans="2:2" s="221" customFormat="1" ht="12.75" x14ac:dyDescent="0.2">
      <c r="B54488" s="1168"/>
    </row>
    <row r="54489" spans="2:2" s="221" customFormat="1" ht="12.75" x14ac:dyDescent="0.2">
      <c r="B54489" s="1168"/>
    </row>
    <row r="54490" spans="2:2" s="221" customFormat="1" ht="12.75" x14ac:dyDescent="0.2">
      <c r="B54490" s="1168"/>
    </row>
    <row r="54491" spans="2:2" s="221" customFormat="1" ht="12.75" x14ac:dyDescent="0.2">
      <c r="B54491" s="1168"/>
    </row>
    <row r="54492" spans="2:2" s="221" customFormat="1" ht="12.75" x14ac:dyDescent="0.2">
      <c r="B54492" s="1168"/>
    </row>
    <row r="54493" spans="2:2" s="221" customFormat="1" ht="12.75" x14ac:dyDescent="0.2">
      <c r="B54493" s="1168"/>
    </row>
    <row r="54494" spans="2:2" s="221" customFormat="1" ht="12.75" x14ac:dyDescent="0.2">
      <c r="B54494" s="1168"/>
    </row>
    <row r="54495" spans="2:2" s="221" customFormat="1" ht="12.75" x14ac:dyDescent="0.2">
      <c r="B54495" s="1168"/>
    </row>
    <row r="54496" spans="2:2" s="221" customFormat="1" ht="12.75" x14ac:dyDescent="0.2">
      <c r="B54496" s="1168"/>
    </row>
    <row r="54497" spans="2:2" s="221" customFormat="1" ht="12.75" x14ac:dyDescent="0.2">
      <c r="B54497" s="1168"/>
    </row>
    <row r="54498" spans="2:2" s="221" customFormat="1" ht="12.75" x14ac:dyDescent="0.2">
      <c r="B54498" s="1168"/>
    </row>
    <row r="54499" spans="2:2" s="221" customFormat="1" ht="12.75" x14ac:dyDescent="0.2">
      <c r="B54499" s="1168"/>
    </row>
    <row r="54500" spans="2:2" s="221" customFormat="1" ht="12.75" x14ac:dyDescent="0.2">
      <c r="B54500" s="1168"/>
    </row>
    <row r="54501" spans="2:2" s="221" customFormat="1" ht="12.75" x14ac:dyDescent="0.2">
      <c r="B54501" s="1168"/>
    </row>
    <row r="54502" spans="2:2" s="221" customFormat="1" ht="12.75" x14ac:dyDescent="0.2">
      <c r="B54502" s="1168"/>
    </row>
    <row r="54503" spans="2:2" s="221" customFormat="1" ht="12.75" x14ac:dyDescent="0.2">
      <c r="B54503" s="1168"/>
    </row>
    <row r="54504" spans="2:2" s="221" customFormat="1" ht="12.75" x14ac:dyDescent="0.2">
      <c r="B54504" s="1168"/>
    </row>
    <row r="54505" spans="2:2" s="221" customFormat="1" ht="12.75" x14ac:dyDescent="0.2">
      <c r="B54505" s="1168"/>
    </row>
    <row r="54506" spans="2:2" s="221" customFormat="1" ht="12.75" x14ac:dyDescent="0.2">
      <c r="B54506" s="1168"/>
    </row>
    <row r="54507" spans="2:2" s="221" customFormat="1" ht="12.75" x14ac:dyDescent="0.2">
      <c r="B54507" s="1168"/>
    </row>
    <row r="54508" spans="2:2" s="221" customFormat="1" ht="12.75" x14ac:dyDescent="0.2">
      <c r="B54508" s="1168"/>
    </row>
    <row r="54509" spans="2:2" s="221" customFormat="1" ht="12.75" x14ac:dyDescent="0.2">
      <c r="B54509" s="1168"/>
    </row>
    <row r="54510" spans="2:2" s="221" customFormat="1" ht="12.75" x14ac:dyDescent="0.2">
      <c r="B54510" s="1168"/>
    </row>
    <row r="54511" spans="2:2" s="221" customFormat="1" ht="12.75" x14ac:dyDescent="0.2">
      <c r="B54511" s="1168"/>
    </row>
    <row r="54512" spans="2:2" s="221" customFormat="1" ht="12.75" x14ac:dyDescent="0.2">
      <c r="B54512" s="1168"/>
    </row>
    <row r="54513" spans="2:2" s="221" customFormat="1" ht="12.75" x14ac:dyDescent="0.2">
      <c r="B54513" s="1168"/>
    </row>
    <row r="54514" spans="2:2" s="221" customFormat="1" ht="12.75" x14ac:dyDescent="0.2">
      <c r="B54514" s="1168"/>
    </row>
    <row r="54515" spans="2:2" s="221" customFormat="1" ht="12.75" x14ac:dyDescent="0.2">
      <c r="B54515" s="1168"/>
    </row>
    <row r="54516" spans="2:2" s="221" customFormat="1" ht="12.75" x14ac:dyDescent="0.2">
      <c r="B54516" s="1168"/>
    </row>
    <row r="54517" spans="2:2" s="221" customFormat="1" ht="12.75" x14ac:dyDescent="0.2">
      <c r="B54517" s="1168"/>
    </row>
    <row r="54518" spans="2:2" s="221" customFormat="1" ht="12.75" x14ac:dyDescent="0.2">
      <c r="B54518" s="1168"/>
    </row>
    <row r="54519" spans="2:2" s="221" customFormat="1" ht="12.75" x14ac:dyDescent="0.2">
      <c r="B54519" s="1168"/>
    </row>
    <row r="54520" spans="2:2" s="221" customFormat="1" ht="12.75" x14ac:dyDescent="0.2">
      <c r="B54520" s="1168"/>
    </row>
    <row r="54521" spans="2:2" s="221" customFormat="1" ht="12.75" x14ac:dyDescent="0.2">
      <c r="B54521" s="1168"/>
    </row>
    <row r="54522" spans="2:2" s="221" customFormat="1" ht="12.75" x14ac:dyDescent="0.2">
      <c r="B54522" s="1168"/>
    </row>
    <row r="54523" spans="2:2" s="221" customFormat="1" ht="12.75" x14ac:dyDescent="0.2">
      <c r="B54523" s="1168"/>
    </row>
    <row r="54524" spans="2:2" s="221" customFormat="1" ht="12.75" x14ac:dyDescent="0.2">
      <c r="B54524" s="1168"/>
    </row>
    <row r="54525" spans="2:2" s="221" customFormat="1" ht="12.75" x14ac:dyDescent="0.2">
      <c r="B54525" s="1168"/>
    </row>
    <row r="54526" spans="2:2" s="221" customFormat="1" ht="12.75" x14ac:dyDescent="0.2">
      <c r="B54526" s="1168"/>
    </row>
    <row r="54527" spans="2:2" s="221" customFormat="1" ht="12.75" x14ac:dyDescent="0.2">
      <c r="B54527" s="1168"/>
    </row>
    <row r="54528" spans="2:2" s="221" customFormat="1" ht="12.75" x14ac:dyDescent="0.2">
      <c r="B54528" s="1168"/>
    </row>
    <row r="54529" spans="2:2" s="221" customFormat="1" ht="12.75" x14ac:dyDescent="0.2">
      <c r="B54529" s="1168"/>
    </row>
    <row r="54530" spans="2:2" s="221" customFormat="1" ht="12.75" x14ac:dyDescent="0.2">
      <c r="B54530" s="1168"/>
    </row>
    <row r="54531" spans="2:2" s="221" customFormat="1" ht="12.75" x14ac:dyDescent="0.2">
      <c r="B54531" s="1168"/>
    </row>
    <row r="54532" spans="2:2" s="221" customFormat="1" ht="12.75" x14ac:dyDescent="0.2">
      <c r="B54532" s="1168"/>
    </row>
    <row r="54533" spans="2:2" s="221" customFormat="1" ht="12.75" x14ac:dyDescent="0.2">
      <c r="B54533" s="1168"/>
    </row>
    <row r="54534" spans="2:2" s="221" customFormat="1" ht="12.75" x14ac:dyDescent="0.2">
      <c r="B54534" s="1168"/>
    </row>
    <row r="54535" spans="2:2" s="221" customFormat="1" ht="12.75" x14ac:dyDescent="0.2">
      <c r="B54535" s="1168"/>
    </row>
    <row r="54536" spans="2:2" s="221" customFormat="1" ht="12.75" x14ac:dyDescent="0.2">
      <c r="B54536" s="1168"/>
    </row>
    <row r="54537" spans="2:2" s="221" customFormat="1" ht="12.75" x14ac:dyDescent="0.2">
      <c r="B54537" s="1168"/>
    </row>
    <row r="54538" spans="2:2" s="221" customFormat="1" ht="12.75" x14ac:dyDescent="0.2">
      <c r="B54538" s="1168"/>
    </row>
    <row r="54539" spans="2:2" s="221" customFormat="1" ht="12.75" x14ac:dyDescent="0.2">
      <c r="B54539" s="1168"/>
    </row>
    <row r="54540" spans="2:2" s="221" customFormat="1" ht="12.75" x14ac:dyDescent="0.2">
      <c r="B54540" s="1168"/>
    </row>
    <row r="54541" spans="2:2" s="221" customFormat="1" ht="12.75" x14ac:dyDescent="0.2">
      <c r="B54541" s="1168"/>
    </row>
    <row r="54542" spans="2:2" s="221" customFormat="1" ht="12.75" x14ac:dyDescent="0.2">
      <c r="B54542" s="1168"/>
    </row>
    <row r="54543" spans="2:2" s="221" customFormat="1" ht="12.75" x14ac:dyDescent="0.2">
      <c r="B54543" s="1168"/>
    </row>
    <row r="54544" spans="2:2" s="221" customFormat="1" ht="12.75" x14ac:dyDescent="0.2">
      <c r="B54544" s="1168"/>
    </row>
    <row r="54545" spans="2:2" s="221" customFormat="1" ht="12.75" x14ac:dyDescent="0.2">
      <c r="B54545" s="1168"/>
    </row>
    <row r="54546" spans="2:2" s="221" customFormat="1" ht="12.75" x14ac:dyDescent="0.2">
      <c r="B54546" s="1168"/>
    </row>
    <row r="54547" spans="2:2" s="221" customFormat="1" ht="12.75" x14ac:dyDescent="0.2">
      <c r="B54547" s="1168"/>
    </row>
    <row r="54548" spans="2:2" s="221" customFormat="1" ht="12.75" x14ac:dyDescent="0.2">
      <c r="B54548" s="1168"/>
    </row>
    <row r="54549" spans="2:2" s="221" customFormat="1" ht="12.75" x14ac:dyDescent="0.2">
      <c r="B54549" s="1168"/>
    </row>
    <row r="54550" spans="2:2" s="221" customFormat="1" ht="12.75" x14ac:dyDescent="0.2">
      <c r="B54550" s="1168"/>
    </row>
    <row r="54551" spans="2:2" s="221" customFormat="1" ht="12.75" x14ac:dyDescent="0.2">
      <c r="B54551" s="1168"/>
    </row>
    <row r="54552" spans="2:2" s="221" customFormat="1" ht="12.75" x14ac:dyDescent="0.2">
      <c r="B54552" s="1168"/>
    </row>
    <row r="54553" spans="2:2" s="221" customFormat="1" ht="12.75" x14ac:dyDescent="0.2">
      <c r="B54553" s="1168"/>
    </row>
    <row r="54554" spans="2:2" s="221" customFormat="1" ht="12.75" x14ac:dyDescent="0.2">
      <c r="B54554" s="1168"/>
    </row>
    <row r="54555" spans="2:2" s="221" customFormat="1" ht="12.75" x14ac:dyDescent="0.2">
      <c r="B54555" s="1168"/>
    </row>
    <row r="54556" spans="2:2" s="221" customFormat="1" ht="12.75" x14ac:dyDescent="0.2">
      <c r="B54556" s="1168"/>
    </row>
    <row r="54557" spans="2:2" s="221" customFormat="1" ht="12.75" x14ac:dyDescent="0.2">
      <c r="B54557" s="1168"/>
    </row>
    <row r="54558" spans="2:2" s="221" customFormat="1" ht="12.75" x14ac:dyDescent="0.2">
      <c r="B54558" s="1168"/>
    </row>
    <row r="54559" spans="2:2" s="221" customFormat="1" ht="12.75" x14ac:dyDescent="0.2">
      <c r="B54559" s="1168"/>
    </row>
    <row r="54560" spans="2:2" s="221" customFormat="1" ht="12.75" x14ac:dyDescent="0.2">
      <c r="B54560" s="1168"/>
    </row>
    <row r="54561" spans="2:2" s="221" customFormat="1" ht="12.75" x14ac:dyDescent="0.2">
      <c r="B54561" s="1168"/>
    </row>
    <row r="54562" spans="2:2" s="221" customFormat="1" ht="12.75" x14ac:dyDescent="0.2">
      <c r="B54562" s="1168"/>
    </row>
    <row r="54563" spans="2:2" s="221" customFormat="1" ht="12.75" x14ac:dyDescent="0.2">
      <c r="B54563" s="1168"/>
    </row>
    <row r="54564" spans="2:2" s="221" customFormat="1" ht="12.75" x14ac:dyDescent="0.2">
      <c r="B54564" s="1168"/>
    </row>
    <row r="54565" spans="2:2" s="221" customFormat="1" ht="12.75" x14ac:dyDescent="0.2">
      <c r="B54565" s="1168"/>
    </row>
    <row r="54566" spans="2:2" s="221" customFormat="1" ht="12.75" x14ac:dyDescent="0.2">
      <c r="B54566" s="1168"/>
    </row>
    <row r="54567" spans="2:2" s="221" customFormat="1" ht="12.75" x14ac:dyDescent="0.2">
      <c r="B54567" s="1168"/>
    </row>
    <row r="54568" spans="2:2" s="221" customFormat="1" ht="12.75" x14ac:dyDescent="0.2">
      <c r="B54568" s="1168"/>
    </row>
    <row r="54569" spans="2:2" s="221" customFormat="1" ht="12.75" x14ac:dyDescent="0.2">
      <c r="B54569" s="1168"/>
    </row>
    <row r="54570" spans="2:2" s="221" customFormat="1" ht="12.75" x14ac:dyDescent="0.2">
      <c r="B54570" s="1168"/>
    </row>
    <row r="54571" spans="2:2" s="221" customFormat="1" ht="12.75" x14ac:dyDescent="0.2">
      <c r="B54571" s="1168"/>
    </row>
    <row r="54572" spans="2:2" s="221" customFormat="1" ht="12.75" x14ac:dyDescent="0.2">
      <c r="B54572" s="1168"/>
    </row>
    <row r="54573" spans="2:2" s="221" customFormat="1" ht="12.75" x14ac:dyDescent="0.2">
      <c r="B54573" s="1168"/>
    </row>
    <row r="54574" spans="2:2" s="221" customFormat="1" ht="12.75" x14ac:dyDescent="0.2">
      <c r="B54574" s="1168"/>
    </row>
    <row r="54575" spans="2:2" s="221" customFormat="1" ht="12.75" x14ac:dyDescent="0.2">
      <c r="B54575" s="1168"/>
    </row>
    <row r="54576" spans="2:2" s="221" customFormat="1" ht="12.75" x14ac:dyDescent="0.2">
      <c r="B54576" s="1168"/>
    </row>
    <row r="54577" spans="2:2" s="221" customFormat="1" ht="12.75" x14ac:dyDescent="0.2">
      <c r="B54577" s="1168"/>
    </row>
    <row r="54578" spans="2:2" s="221" customFormat="1" ht="12.75" x14ac:dyDescent="0.2">
      <c r="B54578" s="1168"/>
    </row>
    <row r="54579" spans="2:2" s="221" customFormat="1" ht="12.75" x14ac:dyDescent="0.2">
      <c r="B54579" s="1168"/>
    </row>
    <row r="54580" spans="2:2" s="221" customFormat="1" ht="12.75" x14ac:dyDescent="0.2">
      <c r="B54580" s="1168"/>
    </row>
    <row r="54581" spans="2:2" s="221" customFormat="1" ht="12.75" x14ac:dyDescent="0.2">
      <c r="B54581" s="1168"/>
    </row>
    <row r="54582" spans="2:2" s="221" customFormat="1" ht="12.75" x14ac:dyDescent="0.2">
      <c r="B54582" s="1168"/>
    </row>
    <row r="54583" spans="2:2" s="221" customFormat="1" ht="12.75" x14ac:dyDescent="0.2">
      <c r="B54583" s="1168"/>
    </row>
    <row r="54584" spans="2:2" s="221" customFormat="1" ht="12.75" x14ac:dyDescent="0.2">
      <c r="B54584" s="1168"/>
    </row>
    <row r="54585" spans="2:2" s="221" customFormat="1" ht="12.75" x14ac:dyDescent="0.2">
      <c r="B54585" s="1168"/>
    </row>
    <row r="54586" spans="2:2" s="221" customFormat="1" ht="12.75" x14ac:dyDescent="0.2">
      <c r="B54586" s="1168"/>
    </row>
    <row r="54587" spans="2:2" s="221" customFormat="1" ht="12.75" x14ac:dyDescent="0.2">
      <c r="B54587" s="1168"/>
    </row>
    <row r="54588" spans="2:2" s="221" customFormat="1" ht="12.75" x14ac:dyDescent="0.2">
      <c r="B54588" s="1168"/>
    </row>
    <row r="54589" spans="2:2" s="221" customFormat="1" ht="12.75" x14ac:dyDescent="0.2">
      <c r="B54589" s="1168"/>
    </row>
    <row r="54590" spans="2:2" s="221" customFormat="1" ht="12.75" x14ac:dyDescent="0.2">
      <c r="B54590" s="1168"/>
    </row>
    <row r="54591" spans="2:2" s="221" customFormat="1" ht="12.75" x14ac:dyDescent="0.2">
      <c r="B54591" s="1168"/>
    </row>
    <row r="54592" spans="2:2" s="221" customFormat="1" ht="12.75" x14ac:dyDescent="0.2">
      <c r="B54592" s="1168"/>
    </row>
    <row r="54593" spans="2:2" s="221" customFormat="1" ht="12.75" x14ac:dyDescent="0.2">
      <c r="B54593" s="1168"/>
    </row>
    <row r="54594" spans="2:2" s="221" customFormat="1" ht="12.75" x14ac:dyDescent="0.2">
      <c r="B54594" s="1168"/>
    </row>
    <row r="54595" spans="2:2" s="221" customFormat="1" ht="12.75" x14ac:dyDescent="0.2">
      <c r="B54595" s="1168"/>
    </row>
    <row r="54596" spans="2:2" s="221" customFormat="1" ht="12.75" x14ac:dyDescent="0.2">
      <c r="B54596" s="1168"/>
    </row>
    <row r="54597" spans="2:2" s="221" customFormat="1" ht="12.75" x14ac:dyDescent="0.2">
      <c r="B54597" s="1168"/>
    </row>
    <row r="54598" spans="2:2" s="221" customFormat="1" ht="12.75" x14ac:dyDescent="0.2">
      <c r="B54598" s="1168"/>
    </row>
    <row r="54599" spans="2:2" s="221" customFormat="1" ht="12.75" x14ac:dyDescent="0.2">
      <c r="B54599" s="1168"/>
    </row>
    <row r="54600" spans="2:2" s="221" customFormat="1" ht="12.75" x14ac:dyDescent="0.2">
      <c r="B54600" s="1168"/>
    </row>
    <row r="54601" spans="2:2" s="221" customFormat="1" ht="12.75" x14ac:dyDescent="0.2">
      <c r="B54601" s="1168"/>
    </row>
    <row r="54602" spans="2:2" s="221" customFormat="1" ht="12.75" x14ac:dyDescent="0.2">
      <c r="B54602" s="1168"/>
    </row>
    <row r="54603" spans="2:2" s="221" customFormat="1" ht="12.75" x14ac:dyDescent="0.2">
      <c r="B54603" s="1168"/>
    </row>
    <row r="54604" spans="2:2" s="221" customFormat="1" ht="12.75" x14ac:dyDescent="0.2">
      <c r="B54604" s="1168"/>
    </row>
    <row r="54605" spans="2:2" s="221" customFormat="1" ht="12.75" x14ac:dyDescent="0.2">
      <c r="B54605" s="1168"/>
    </row>
    <row r="54606" spans="2:2" s="221" customFormat="1" ht="12.75" x14ac:dyDescent="0.2">
      <c r="B54606" s="1168"/>
    </row>
    <row r="54607" spans="2:2" s="221" customFormat="1" ht="12.75" x14ac:dyDescent="0.2">
      <c r="B54607" s="1168"/>
    </row>
    <row r="54608" spans="2:2" s="221" customFormat="1" ht="12.75" x14ac:dyDescent="0.2">
      <c r="B54608" s="1168"/>
    </row>
    <row r="54609" spans="2:2" s="221" customFormat="1" ht="12.75" x14ac:dyDescent="0.2">
      <c r="B54609" s="1168"/>
    </row>
    <row r="54610" spans="2:2" s="221" customFormat="1" ht="12.75" x14ac:dyDescent="0.2">
      <c r="B54610" s="1168"/>
    </row>
    <row r="54611" spans="2:2" s="221" customFormat="1" ht="12.75" x14ac:dyDescent="0.2">
      <c r="B54611" s="1168"/>
    </row>
    <row r="54612" spans="2:2" s="221" customFormat="1" ht="12.75" x14ac:dyDescent="0.2">
      <c r="B54612" s="1168"/>
    </row>
    <row r="54613" spans="2:2" s="221" customFormat="1" ht="12.75" x14ac:dyDescent="0.2">
      <c r="B54613" s="1168"/>
    </row>
    <row r="54614" spans="2:2" s="221" customFormat="1" ht="12.75" x14ac:dyDescent="0.2">
      <c r="B54614" s="1168"/>
    </row>
    <row r="54615" spans="2:2" s="221" customFormat="1" ht="12.75" x14ac:dyDescent="0.2">
      <c r="B54615" s="1168"/>
    </row>
    <row r="54616" spans="2:2" s="221" customFormat="1" ht="12.75" x14ac:dyDescent="0.2">
      <c r="B54616" s="1168"/>
    </row>
    <row r="54617" spans="2:2" s="221" customFormat="1" ht="12.75" x14ac:dyDescent="0.2">
      <c r="B54617" s="1168"/>
    </row>
    <row r="54618" spans="2:2" s="221" customFormat="1" ht="12.75" x14ac:dyDescent="0.2">
      <c r="B54618" s="1168"/>
    </row>
    <row r="54619" spans="2:2" s="221" customFormat="1" ht="12.75" x14ac:dyDescent="0.2">
      <c r="B54619" s="1168"/>
    </row>
    <row r="54620" spans="2:2" s="221" customFormat="1" ht="12.75" x14ac:dyDescent="0.2">
      <c r="B54620" s="1168"/>
    </row>
    <row r="54621" spans="2:2" s="221" customFormat="1" ht="12.75" x14ac:dyDescent="0.2">
      <c r="B54621" s="1168"/>
    </row>
    <row r="54622" spans="2:2" s="221" customFormat="1" ht="12.75" x14ac:dyDescent="0.2">
      <c r="B54622" s="1168"/>
    </row>
    <row r="54623" spans="2:2" s="221" customFormat="1" ht="12.75" x14ac:dyDescent="0.2">
      <c r="B54623" s="1168"/>
    </row>
    <row r="54624" spans="2:2" s="221" customFormat="1" ht="12.75" x14ac:dyDescent="0.2">
      <c r="B54624" s="1168"/>
    </row>
    <row r="54625" spans="2:2" s="221" customFormat="1" ht="12.75" x14ac:dyDescent="0.2">
      <c r="B54625" s="1168"/>
    </row>
    <row r="54626" spans="2:2" s="221" customFormat="1" ht="12.75" x14ac:dyDescent="0.2">
      <c r="B54626" s="1168"/>
    </row>
    <row r="54627" spans="2:2" s="221" customFormat="1" ht="12.75" x14ac:dyDescent="0.2">
      <c r="B54627" s="1168"/>
    </row>
    <row r="54628" spans="2:2" s="221" customFormat="1" ht="12.75" x14ac:dyDescent="0.2">
      <c r="B54628" s="1168"/>
    </row>
    <row r="54629" spans="2:2" s="221" customFormat="1" ht="12.75" x14ac:dyDescent="0.2">
      <c r="B54629" s="1168"/>
    </row>
    <row r="54630" spans="2:2" s="221" customFormat="1" ht="12.75" x14ac:dyDescent="0.2">
      <c r="B54630" s="1168"/>
    </row>
    <row r="54631" spans="2:2" s="221" customFormat="1" ht="12.75" x14ac:dyDescent="0.2">
      <c r="B54631" s="1168"/>
    </row>
    <row r="54632" spans="2:2" s="221" customFormat="1" ht="12.75" x14ac:dyDescent="0.2">
      <c r="B54632" s="1168"/>
    </row>
    <row r="54633" spans="2:2" s="221" customFormat="1" ht="12.75" x14ac:dyDescent="0.2">
      <c r="B54633" s="1168"/>
    </row>
    <row r="54634" spans="2:2" s="221" customFormat="1" ht="12.75" x14ac:dyDescent="0.2">
      <c r="B54634" s="1168"/>
    </row>
    <row r="54635" spans="2:2" s="221" customFormat="1" ht="12.75" x14ac:dyDescent="0.2">
      <c r="B54635" s="1168"/>
    </row>
    <row r="54636" spans="2:2" s="221" customFormat="1" ht="12.75" x14ac:dyDescent="0.2">
      <c r="B54636" s="1168"/>
    </row>
    <row r="54637" spans="2:2" s="221" customFormat="1" ht="12.75" x14ac:dyDescent="0.2">
      <c r="B54637" s="1168"/>
    </row>
    <row r="54638" spans="2:2" s="221" customFormat="1" ht="12.75" x14ac:dyDescent="0.2">
      <c r="B54638" s="1168"/>
    </row>
    <row r="54639" spans="2:2" s="221" customFormat="1" ht="12.75" x14ac:dyDescent="0.2">
      <c r="B54639" s="1168"/>
    </row>
    <row r="54640" spans="2:2" s="221" customFormat="1" ht="12.75" x14ac:dyDescent="0.2">
      <c r="B54640" s="1168"/>
    </row>
    <row r="54641" spans="2:2" s="221" customFormat="1" ht="12.75" x14ac:dyDescent="0.2">
      <c r="B54641" s="1168"/>
    </row>
    <row r="54642" spans="2:2" s="221" customFormat="1" ht="12.75" x14ac:dyDescent="0.2">
      <c r="B54642" s="1168"/>
    </row>
    <row r="54643" spans="2:2" s="221" customFormat="1" ht="12.75" x14ac:dyDescent="0.2">
      <c r="B54643" s="1168"/>
    </row>
    <row r="54644" spans="2:2" s="221" customFormat="1" ht="12.75" x14ac:dyDescent="0.2">
      <c r="B54644" s="1168"/>
    </row>
    <row r="54645" spans="2:2" s="221" customFormat="1" ht="12.75" x14ac:dyDescent="0.2">
      <c r="B54645" s="1168"/>
    </row>
    <row r="54646" spans="2:2" s="221" customFormat="1" ht="12.75" x14ac:dyDescent="0.2">
      <c r="B54646" s="1168"/>
    </row>
    <row r="54647" spans="2:2" s="221" customFormat="1" ht="12.75" x14ac:dyDescent="0.2">
      <c r="B54647" s="1168"/>
    </row>
    <row r="54648" spans="2:2" s="221" customFormat="1" ht="12.75" x14ac:dyDescent="0.2">
      <c r="B54648" s="1168"/>
    </row>
    <row r="54649" spans="2:2" s="221" customFormat="1" ht="12.75" x14ac:dyDescent="0.2">
      <c r="B54649" s="1168"/>
    </row>
    <row r="54650" spans="2:2" s="221" customFormat="1" ht="12.75" x14ac:dyDescent="0.2">
      <c r="B54650" s="1168"/>
    </row>
    <row r="54651" spans="2:2" s="221" customFormat="1" ht="12.75" x14ac:dyDescent="0.2">
      <c r="B54651" s="1168"/>
    </row>
    <row r="54652" spans="2:2" s="221" customFormat="1" ht="12.75" x14ac:dyDescent="0.2">
      <c r="B54652" s="1168"/>
    </row>
    <row r="54653" spans="2:2" s="221" customFormat="1" ht="12.75" x14ac:dyDescent="0.2">
      <c r="B54653" s="1168"/>
    </row>
    <row r="54654" spans="2:2" s="221" customFormat="1" ht="12.75" x14ac:dyDescent="0.2">
      <c r="B54654" s="1168"/>
    </row>
    <row r="54655" spans="2:2" s="221" customFormat="1" ht="12.75" x14ac:dyDescent="0.2">
      <c r="B54655" s="1168"/>
    </row>
    <row r="54656" spans="2:2" s="221" customFormat="1" ht="12.75" x14ac:dyDescent="0.2">
      <c r="B54656" s="1168"/>
    </row>
    <row r="54657" spans="2:2" s="221" customFormat="1" ht="12.75" x14ac:dyDescent="0.2">
      <c r="B54657" s="1168"/>
    </row>
    <row r="54658" spans="2:2" s="221" customFormat="1" ht="12.75" x14ac:dyDescent="0.2">
      <c r="B54658" s="1168"/>
    </row>
    <row r="54659" spans="2:2" s="221" customFormat="1" ht="12.75" x14ac:dyDescent="0.2">
      <c r="B54659" s="1168"/>
    </row>
    <row r="54660" spans="2:2" s="221" customFormat="1" ht="12.75" x14ac:dyDescent="0.2">
      <c r="B54660" s="1168"/>
    </row>
    <row r="54661" spans="2:2" s="221" customFormat="1" ht="12.75" x14ac:dyDescent="0.2">
      <c r="B54661" s="1168"/>
    </row>
    <row r="54662" spans="2:2" s="221" customFormat="1" ht="12.75" x14ac:dyDescent="0.2">
      <c r="B54662" s="1168"/>
    </row>
    <row r="54663" spans="2:2" s="221" customFormat="1" ht="12.75" x14ac:dyDescent="0.2">
      <c r="B54663" s="1168"/>
    </row>
    <row r="54664" spans="2:2" s="221" customFormat="1" ht="12.75" x14ac:dyDescent="0.2">
      <c r="B54664" s="1168"/>
    </row>
    <row r="54665" spans="2:2" s="221" customFormat="1" ht="12.75" x14ac:dyDescent="0.2">
      <c r="B54665" s="1168"/>
    </row>
    <row r="54666" spans="2:2" s="221" customFormat="1" ht="12.75" x14ac:dyDescent="0.2">
      <c r="B54666" s="1168"/>
    </row>
    <row r="54667" spans="2:2" s="221" customFormat="1" ht="12.75" x14ac:dyDescent="0.2">
      <c r="B54667" s="1168"/>
    </row>
    <row r="54668" spans="2:2" s="221" customFormat="1" ht="12.75" x14ac:dyDescent="0.2">
      <c r="B54668" s="1168"/>
    </row>
    <row r="54669" spans="2:2" s="221" customFormat="1" ht="12.75" x14ac:dyDescent="0.2">
      <c r="B54669" s="1168"/>
    </row>
    <row r="54670" spans="2:2" s="221" customFormat="1" ht="12.75" x14ac:dyDescent="0.2">
      <c r="B54670" s="1168"/>
    </row>
    <row r="54671" spans="2:2" s="221" customFormat="1" ht="12.75" x14ac:dyDescent="0.2">
      <c r="B54671" s="1168"/>
    </row>
    <row r="54672" spans="2:2" s="221" customFormat="1" ht="12.75" x14ac:dyDescent="0.2">
      <c r="B54672" s="1168"/>
    </row>
    <row r="54673" spans="2:2" s="221" customFormat="1" ht="12.75" x14ac:dyDescent="0.2">
      <c r="B54673" s="1168"/>
    </row>
    <row r="54674" spans="2:2" s="221" customFormat="1" ht="12.75" x14ac:dyDescent="0.2">
      <c r="B54674" s="1168"/>
    </row>
    <row r="54675" spans="2:2" s="221" customFormat="1" ht="12.75" x14ac:dyDescent="0.2">
      <c r="B54675" s="1168"/>
    </row>
    <row r="54676" spans="2:2" s="221" customFormat="1" ht="12.75" x14ac:dyDescent="0.2">
      <c r="B54676" s="1168"/>
    </row>
    <row r="54677" spans="2:2" s="221" customFormat="1" ht="12.75" x14ac:dyDescent="0.2">
      <c r="B54677" s="1168"/>
    </row>
    <row r="54678" spans="2:2" s="221" customFormat="1" ht="12.75" x14ac:dyDescent="0.2">
      <c r="B54678" s="1168"/>
    </row>
    <row r="54679" spans="2:2" s="221" customFormat="1" ht="12.75" x14ac:dyDescent="0.2">
      <c r="B54679" s="1168"/>
    </row>
    <row r="54680" spans="2:2" s="221" customFormat="1" ht="12.75" x14ac:dyDescent="0.2">
      <c r="B54680" s="1168"/>
    </row>
    <row r="54681" spans="2:2" s="221" customFormat="1" ht="12.75" x14ac:dyDescent="0.2">
      <c r="B54681" s="1168"/>
    </row>
    <row r="54682" spans="2:2" s="221" customFormat="1" ht="12.75" x14ac:dyDescent="0.2">
      <c r="B54682" s="1168"/>
    </row>
    <row r="54683" spans="2:2" s="221" customFormat="1" ht="12.75" x14ac:dyDescent="0.2">
      <c r="B54683" s="1168"/>
    </row>
    <row r="54684" spans="2:2" s="221" customFormat="1" ht="12.75" x14ac:dyDescent="0.2">
      <c r="B54684" s="1168"/>
    </row>
    <row r="54685" spans="2:2" s="221" customFormat="1" ht="12.75" x14ac:dyDescent="0.2">
      <c r="B54685" s="1168"/>
    </row>
    <row r="54686" spans="2:2" s="221" customFormat="1" ht="12.75" x14ac:dyDescent="0.2">
      <c r="B54686" s="1168"/>
    </row>
    <row r="54687" spans="2:2" s="221" customFormat="1" ht="12.75" x14ac:dyDescent="0.2">
      <c r="B54687" s="1168"/>
    </row>
    <row r="54688" spans="2:2" s="221" customFormat="1" ht="12.75" x14ac:dyDescent="0.2">
      <c r="B54688" s="1168"/>
    </row>
    <row r="54689" spans="2:2" s="221" customFormat="1" ht="12.75" x14ac:dyDescent="0.2">
      <c r="B54689" s="1168"/>
    </row>
    <row r="54690" spans="2:2" s="221" customFormat="1" ht="12.75" x14ac:dyDescent="0.2">
      <c r="B54690" s="1168"/>
    </row>
    <row r="54691" spans="2:2" s="221" customFormat="1" ht="12.75" x14ac:dyDescent="0.2">
      <c r="B54691" s="1168"/>
    </row>
    <row r="54692" spans="2:2" s="221" customFormat="1" ht="12.75" x14ac:dyDescent="0.2">
      <c r="B54692" s="1168"/>
    </row>
    <row r="54693" spans="2:2" s="221" customFormat="1" ht="12.75" x14ac:dyDescent="0.2">
      <c r="B54693" s="1168"/>
    </row>
    <row r="54694" spans="2:2" s="221" customFormat="1" ht="12.75" x14ac:dyDescent="0.2">
      <c r="B54694" s="1168"/>
    </row>
    <row r="54695" spans="2:2" s="221" customFormat="1" ht="12.75" x14ac:dyDescent="0.2">
      <c r="B54695" s="1168"/>
    </row>
    <row r="54696" spans="2:2" s="221" customFormat="1" ht="12.75" x14ac:dyDescent="0.2">
      <c r="B54696" s="1168"/>
    </row>
    <row r="54697" spans="2:2" s="221" customFormat="1" ht="12.75" x14ac:dyDescent="0.2">
      <c r="B54697" s="1168"/>
    </row>
    <row r="54698" spans="2:2" s="221" customFormat="1" ht="12.75" x14ac:dyDescent="0.2">
      <c r="B54698" s="1168"/>
    </row>
    <row r="54699" spans="2:2" s="221" customFormat="1" ht="12.75" x14ac:dyDescent="0.2">
      <c r="B54699" s="1168"/>
    </row>
    <row r="54700" spans="2:2" s="221" customFormat="1" ht="12.75" x14ac:dyDescent="0.2">
      <c r="B54700" s="1168"/>
    </row>
    <row r="54701" spans="2:2" s="221" customFormat="1" ht="12.75" x14ac:dyDescent="0.2">
      <c r="B54701" s="1168"/>
    </row>
    <row r="54702" spans="2:2" s="221" customFormat="1" ht="12.75" x14ac:dyDescent="0.2">
      <c r="B54702" s="1168"/>
    </row>
    <row r="54703" spans="2:2" s="221" customFormat="1" ht="12.75" x14ac:dyDescent="0.2">
      <c r="B54703" s="1168"/>
    </row>
    <row r="54704" spans="2:2" s="221" customFormat="1" ht="12.75" x14ac:dyDescent="0.2">
      <c r="B54704" s="1168"/>
    </row>
    <row r="54705" spans="2:2" s="221" customFormat="1" ht="12.75" x14ac:dyDescent="0.2">
      <c r="B54705" s="1168"/>
    </row>
    <row r="54706" spans="2:2" s="221" customFormat="1" ht="12.75" x14ac:dyDescent="0.2">
      <c r="B54706" s="1168"/>
    </row>
    <row r="54707" spans="2:2" s="221" customFormat="1" ht="12.75" x14ac:dyDescent="0.2">
      <c r="B54707" s="1168"/>
    </row>
    <row r="54708" spans="2:2" s="221" customFormat="1" ht="12.75" x14ac:dyDescent="0.2">
      <c r="B54708" s="1168"/>
    </row>
    <row r="54709" spans="2:2" s="221" customFormat="1" ht="12.75" x14ac:dyDescent="0.2">
      <c r="B54709" s="1168"/>
    </row>
    <row r="54710" spans="2:2" s="221" customFormat="1" ht="12.75" x14ac:dyDescent="0.2">
      <c r="B54710" s="1168"/>
    </row>
    <row r="54711" spans="2:2" s="221" customFormat="1" ht="12.75" x14ac:dyDescent="0.2">
      <c r="B54711" s="1168"/>
    </row>
    <row r="54712" spans="2:2" s="221" customFormat="1" ht="12.75" x14ac:dyDescent="0.2">
      <c r="B54712" s="1168"/>
    </row>
    <row r="54713" spans="2:2" s="221" customFormat="1" ht="12.75" x14ac:dyDescent="0.2">
      <c r="B54713" s="1168"/>
    </row>
    <row r="54714" spans="2:2" s="221" customFormat="1" ht="12.75" x14ac:dyDescent="0.2">
      <c r="B54714" s="1168"/>
    </row>
    <row r="54715" spans="2:2" s="221" customFormat="1" ht="12.75" x14ac:dyDescent="0.2">
      <c r="B54715" s="1168"/>
    </row>
    <row r="54716" spans="2:2" s="221" customFormat="1" ht="12.75" x14ac:dyDescent="0.2">
      <c r="B54716" s="1168"/>
    </row>
    <row r="54717" spans="2:2" s="221" customFormat="1" ht="12.75" x14ac:dyDescent="0.2">
      <c r="B54717" s="1168"/>
    </row>
    <row r="54718" spans="2:2" s="221" customFormat="1" ht="12.75" x14ac:dyDescent="0.2">
      <c r="B54718" s="1168"/>
    </row>
    <row r="54719" spans="2:2" s="221" customFormat="1" ht="12.75" x14ac:dyDescent="0.2">
      <c r="B54719" s="1168"/>
    </row>
    <row r="54720" spans="2:2" s="221" customFormat="1" ht="12.75" x14ac:dyDescent="0.2">
      <c r="B54720" s="1168"/>
    </row>
    <row r="54721" spans="2:2" s="221" customFormat="1" ht="12.75" x14ac:dyDescent="0.2">
      <c r="B54721" s="1168"/>
    </row>
    <row r="54722" spans="2:2" s="221" customFormat="1" ht="12.75" x14ac:dyDescent="0.2">
      <c r="B54722" s="1168"/>
    </row>
    <row r="54723" spans="2:2" s="221" customFormat="1" ht="12.75" x14ac:dyDescent="0.2">
      <c r="B54723" s="1168"/>
    </row>
    <row r="54724" spans="2:2" s="221" customFormat="1" ht="12.75" x14ac:dyDescent="0.2">
      <c r="B54724" s="1168"/>
    </row>
    <row r="54725" spans="2:2" s="221" customFormat="1" ht="12.75" x14ac:dyDescent="0.2">
      <c r="B54725" s="1168"/>
    </row>
    <row r="54726" spans="2:2" s="221" customFormat="1" ht="12.75" x14ac:dyDescent="0.2">
      <c r="B54726" s="1168"/>
    </row>
    <row r="54727" spans="2:2" s="221" customFormat="1" ht="12.75" x14ac:dyDescent="0.2">
      <c r="B54727" s="1168"/>
    </row>
    <row r="54728" spans="2:2" s="221" customFormat="1" ht="12.75" x14ac:dyDescent="0.2">
      <c r="B54728" s="1168"/>
    </row>
    <row r="54729" spans="2:2" s="221" customFormat="1" ht="12.75" x14ac:dyDescent="0.2">
      <c r="B54729" s="1168"/>
    </row>
    <row r="54730" spans="2:2" s="221" customFormat="1" ht="12.75" x14ac:dyDescent="0.2">
      <c r="B54730" s="1168"/>
    </row>
    <row r="54731" spans="2:2" s="221" customFormat="1" ht="12.75" x14ac:dyDescent="0.2">
      <c r="B54731" s="1168"/>
    </row>
    <row r="54732" spans="2:2" s="221" customFormat="1" ht="12.75" x14ac:dyDescent="0.2">
      <c r="B54732" s="1168"/>
    </row>
    <row r="54733" spans="2:2" s="221" customFormat="1" ht="12.75" x14ac:dyDescent="0.2">
      <c r="B54733" s="1168"/>
    </row>
    <row r="54734" spans="2:2" s="221" customFormat="1" ht="12.75" x14ac:dyDescent="0.2">
      <c r="B54734" s="1168"/>
    </row>
    <row r="54735" spans="2:2" s="221" customFormat="1" ht="12.75" x14ac:dyDescent="0.2">
      <c r="B54735" s="1168"/>
    </row>
    <row r="54736" spans="2:2" s="221" customFormat="1" ht="12.75" x14ac:dyDescent="0.2">
      <c r="B54736" s="1168"/>
    </row>
    <row r="54737" spans="2:2" s="221" customFormat="1" ht="12.75" x14ac:dyDescent="0.2">
      <c r="B54737" s="1168"/>
    </row>
    <row r="54738" spans="2:2" s="221" customFormat="1" ht="12.75" x14ac:dyDescent="0.2">
      <c r="B54738" s="1168"/>
    </row>
    <row r="54739" spans="2:2" s="221" customFormat="1" ht="12.75" x14ac:dyDescent="0.2">
      <c r="B54739" s="1168"/>
    </row>
    <row r="54740" spans="2:2" s="221" customFormat="1" ht="12.75" x14ac:dyDescent="0.2">
      <c r="B54740" s="1168"/>
    </row>
    <row r="54741" spans="2:2" s="221" customFormat="1" ht="12.75" x14ac:dyDescent="0.2">
      <c r="B54741" s="1168"/>
    </row>
    <row r="54742" spans="2:2" s="221" customFormat="1" ht="12.75" x14ac:dyDescent="0.2">
      <c r="B54742" s="1168"/>
    </row>
    <row r="54743" spans="2:2" s="221" customFormat="1" ht="12.75" x14ac:dyDescent="0.2">
      <c r="B54743" s="1168"/>
    </row>
    <row r="54744" spans="2:2" s="221" customFormat="1" ht="12.75" x14ac:dyDescent="0.2">
      <c r="B54744" s="1168"/>
    </row>
    <row r="54745" spans="2:2" s="221" customFormat="1" ht="12.75" x14ac:dyDescent="0.2">
      <c r="B54745" s="1168"/>
    </row>
    <row r="54746" spans="2:2" s="221" customFormat="1" ht="12.75" x14ac:dyDescent="0.2">
      <c r="B54746" s="1168"/>
    </row>
    <row r="54747" spans="2:2" s="221" customFormat="1" ht="12.75" x14ac:dyDescent="0.2">
      <c r="B54747" s="1168"/>
    </row>
    <row r="54748" spans="2:2" s="221" customFormat="1" ht="12.75" x14ac:dyDescent="0.2">
      <c r="B54748" s="1168"/>
    </row>
    <row r="54749" spans="2:2" s="221" customFormat="1" ht="12.75" x14ac:dyDescent="0.2">
      <c r="B54749" s="1168"/>
    </row>
    <row r="54750" spans="2:2" s="221" customFormat="1" ht="12.75" x14ac:dyDescent="0.2">
      <c r="B54750" s="1168"/>
    </row>
    <row r="54751" spans="2:2" s="221" customFormat="1" ht="12.75" x14ac:dyDescent="0.2">
      <c r="B54751" s="1168"/>
    </row>
    <row r="54752" spans="2:2" s="221" customFormat="1" ht="12.75" x14ac:dyDescent="0.2">
      <c r="B54752" s="1168"/>
    </row>
    <row r="54753" spans="2:2" s="221" customFormat="1" ht="12.75" x14ac:dyDescent="0.2">
      <c r="B54753" s="1168"/>
    </row>
    <row r="54754" spans="2:2" s="221" customFormat="1" ht="12.75" x14ac:dyDescent="0.2">
      <c r="B54754" s="1168"/>
    </row>
    <row r="54755" spans="2:2" s="221" customFormat="1" ht="12.75" x14ac:dyDescent="0.2">
      <c r="B54755" s="1168"/>
    </row>
    <row r="54756" spans="2:2" s="221" customFormat="1" ht="12.75" x14ac:dyDescent="0.2">
      <c r="B54756" s="1168"/>
    </row>
    <row r="54757" spans="2:2" s="221" customFormat="1" ht="12.75" x14ac:dyDescent="0.2">
      <c r="B54757" s="1168"/>
    </row>
    <row r="54758" spans="2:2" s="221" customFormat="1" ht="12.75" x14ac:dyDescent="0.2">
      <c r="B54758" s="1168"/>
    </row>
    <row r="54759" spans="2:2" s="221" customFormat="1" ht="12.75" x14ac:dyDescent="0.2">
      <c r="B54759" s="1168"/>
    </row>
    <row r="54760" spans="2:2" s="221" customFormat="1" ht="12.75" x14ac:dyDescent="0.2">
      <c r="B54760" s="1168"/>
    </row>
    <row r="54761" spans="2:2" s="221" customFormat="1" ht="12.75" x14ac:dyDescent="0.2">
      <c r="B54761" s="1168"/>
    </row>
    <row r="54762" spans="2:2" s="221" customFormat="1" ht="12.75" x14ac:dyDescent="0.2">
      <c r="B54762" s="1168"/>
    </row>
    <row r="54763" spans="2:2" s="221" customFormat="1" ht="12.75" x14ac:dyDescent="0.2">
      <c r="B54763" s="1168"/>
    </row>
    <row r="54764" spans="2:2" s="221" customFormat="1" ht="12.75" x14ac:dyDescent="0.2">
      <c r="B54764" s="1168"/>
    </row>
    <row r="54765" spans="2:2" s="221" customFormat="1" ht="12.75" x14ac:dyDescent="0.2">
      <c r="B54765" s="1168"/>
    </row>
    <row r="54766" spans="2:2" s="221" customFormat="1" ht="12.75" x14ac:dyDescent="0.2">
      <c r="B54766" s="1168"/>
    </row>
    <row r="54767" spans="2:2" s="221" customFormat="1" ht="12.75" x14ac:dyDescent="0.2">
      <c r="B54767" s="1168"/>
    </row>
    <row r="54768" spans="2:2" s="221" customFormat="1" ht="12.75" x14ac:dyDescent="0.2">
      <c r="B54768" s="1168"/>
    </row>
    <row r="54769" spans="2:2" s="221" customFormat="1" ht="12.75" x14ac:dyDescent="0.2">
      <c r="B54769" s="1168"/>
    </row>
    <row r="54770" spans="2:2" s="221" customFormat="1" ht="12.75" x14ac:dyDescent="0.2">
      <c r="B54770" s="1168"/>
    </row>
    <row r="54771" spans="2:2" s="221" customFormat="1" ht="12.75" x14ac:dyDescent="0.2">
      <c r="B54771" s="1168"/>
    </row>
    <row r="54772" spans="2:2" s="221" customFormat="1" ht="12.75" x14ac:dyDescent="0.2">
      <c r="B54772" s="1168"/>
    </row>
    <row r="54773" spans="2:2" s="221" customFormat="1" ht="12.75" x14ac:dyDescent="0.2">
      <c r="B54773" s="1168"/>
    </row>
    <row r="54774" spans="2:2" s="221" customFormat="1" ht="12.75" x14ac:dyDescent="0.2">
      <c r="B54774" s="1168"/>
    </row>
    <row r="54775" spans="2:2" s="221" customFormat="1" ht="12.75" x14ac:dyDescent="0.2">
      <c r="B54775" s="1168"/>
    </row>
    <row r="54776" spans="2:2" s="221" customFormat="1" ht="12.75" x14ac:dyDescent="0.2">
      <c r="B54776" s="1168"/>
    </row>
    <row r="54777" spans="2:2" s="221" customFormat="1" ht="12.75" x14ac:dyDescent="0.2">
      <c r="B54777" s="1168"/>
    </row>
    <row r="54778" spans="2:2" s="221" customFormat="1" ht="12.75" x14ac:dyDescent="0.2">
      <c r="B54778" s="1168"/>
    </row>
    <row r="54779" spans="2:2" s="221" customFormat="1" ht="12.75" x14ac:dyDescent="0.2">
      <c r="B54779" s="1168"/>
    </row>
    <row r="54780" spans="2:2" s="221" customFormat="1" ht="12.75" x14ac:dyDescent="0.2">
      <c r="B54780" s="1168"/>
    </row>
    <row r="54781" spans="2:2" s="221" customFormat="1" ht="12.75" x14ac:dyDescent="0.2">
      <c r="B54781" s="1168"/>
    </row>
    <row r="54782" spans="2:2" s="221" customFormat="1" ht="12.75" x14ac:dyDescent="0.2">
      <c r="B54782" s="1168"/>
    </row>
    <row r="54783" spans="2:2" s="221" customFormat="1" ht="12.75" x14ac:dyDescent="0.2">
      <c r="B54783" s="1168"/>
    </row>
    <row r="54784" spans="2:2" s="221" customFormat="1" ht="12.75" x14ac:dyDescent="0.2">
      <c r="B54784" s="1168"/>
    </row>
    <row r="54785" spans="2:2" s="221" customFormat="1" ht="12.75" x14ac:dyDescent="0.2">
      <c r="B54785" s="1168"/>
    </row>
    <row r="54786" spans="2:2" s="221" customFormat="1" ht="12.75" x14ac:dyDescent="0.2">
      <c r="B54786" s="1168"/>
    </row>
    <row r="54787" spans="2:2" s="221" customFormat="1" ht="12.75" x14ac:dyDescent="0.2">
      <c r="B54787" s="1168"/>
    </row>
    <row r="54788" spans="2:2" s="221" customFormat="1" ht="12.75" x14ac:dyDescent="0.2">
      <c r="B54788" s="1168"/>
    </row>
    <row r="54789" spans="2:2" s="221" customFormat="1" ht="12.75" x14ac:dyDescent="0.2">
      <c r="B54789" s="1168"/>
    </row>
    <row r="54790" spans="2:2" s="221" customFormat="1" ht="12.75" x14ac:dyDescent="0.2">
      <c r="B54790" s="1168"/>
    </row>
    <row r="54791" spans="2:2" s="221" customFormat="1" ht="12.75" x14ac:dyDescent="0.2">
      <c r="B54791" s="1168"/>
    </row>
    <row r="54792" spans="2:2" s="221" customFormat="1" ht="12.75" x14ac:dyDescent="0.2">
      <c r="B54792" s="1168"/>
    </row>
    <row r="54793" spans="2:2" s="221" customFormat="1" ht="12.75" x14ac:dyDescent="0.2">
      <c r="B54793" s="1168"/>
    </row>
    <row r="54794" spans="2:2" s="221" customFormat="1" ht="12.75" x14ac:dyDescent="0.2">
      <c r="B54794" s="1168"/>
    </row>
    <row r="54795" spans="2:2" s="221" customFormat="1" ht="12.75" x14ac:dyDescent="0.2">
      <c r="B54795" s="1168"/>
    </row>
    <row r="54796" spans="2:2" s="221" customFormat="1" ht="12.75" x14ac:dyDescent="0.2">
      <c r="B54796" s="1168"/>
    </row>
    <row r="54797" spans="2:2" s="221" customFormat="1" ht="12.75" x14ac:dyDescent="0.2">
      <c r="B54797" s="1168"/>
    </row>
    <row r="54798" spans="2:2" s="221" customFormat="1" ht="12.75" x14ac:dyDescent="0.2">
      <c r="B54798" s="1168"/>
    </row>
    <row r="54799" spans="2:2" s="221" customFormat="1" ht="12.75" x14ac:dyDescent="0.2">
      <c r="B54799" s="1168"/>
    </row>
    <row r="54800" spans="2:2" s="221" customFormat="1" ht="12.75" x14ac:dyDescent="0.2">
      <c r="B54800" s="1168"/>
    </row>
    <row r="54801" spans="2:2" s="221" customFormat="1" ht="12.75" x14ac:dyDescent="0.2">
      <c r="B54801" s="1168"/>
    </row>
    <row r="54802" spans="2:2" s="221" customFormat="1" ht="12.75" x14ac:dyDescent="0.2">
      <c r="B54802" s="1168"/>
    </row>
    <row r="54803" spans="2:2" s="221" customFormat="1" ht="12.75" x14ac:dyDescent="0.2">
      <c r="B54803" s="1168"/>
    </row>
    <row r="54804" spans="2:2" s="221" customFormat="1" ht="12.75" x14ac:dyDescent="0.2">
      <c r="B54804" s="1168"/>
    </row>
    <row r="54805" spans="2:2" s="221" customFormat="1" ht="12.75" x14ac:dyDescent="0.2">
      <c r="B54805" s="1168"/>
    </row>
    <row r="54806" spans="2:2" s="221" customFormat="1" ht="12.75" x14ac:dyDescent="0.2">
      <c r="B54806" s="1168"/>
    </row>
    <row r="54807" spans="2:2" s="221" customFormat="1" ht="12.75" x14ac:dyDescent="0.2">
      <c r="B54807" s="1168"/>
    </row>
    <row r="54808" spans="2:2" s="221" customFormat="1" ht="12.75" x14ac:dyDescent="0.2">
      <c r="B54808" s="1168"/>
    </row>
    <row r="54809" spans="2:2" s="221" customFormat="1" ht="12.75" x14ac:dyDescent="0.2">
      <c r="B54809" s="1168"/>
    </row>
    <row r="54810" spans="2:2" s="221" customFormat="1" ht="12.75" x14ac:dyDescent="0.2">
      <c r="B54810" s="1168"/>
    </row>
    <row r="54811" spans="2:2" s="221" customFormat="1" ht="12.75" x14ac:dyDescent="0.2">
      <c r="B54811" s="1168"/>
    </row>
    <row r="54812" spans="2:2" s="221" customFormat="1" ht="12.75" x14ac:dyDescent="0.2">
      <c r="B54812" s="1168"/>
    </row>
    <row r="54813" spans="2:2" s="221" customFormat="1" ht="12.75" x14ac:dyDescent="0.2">
      <c r="B54813" s="1168"/>
    </row>
    <row r="54814" spans="2:2" s="221" customFormat="1" ht="12.75" x14ac:dyDescent="0.2">
      <c r="B54814" s="1168"/>
    </row>
    <row r="54815" spans="2:2" s="221" customFormat="1" ht="12.75" x14ac:dyDescent="0.2">
      <c r="B54815" s="1168"/>
    </row>
    <row r="54816" spans="2:2" s="221" customFormat="1" ht="12.75" x14ac:dyDescent="0.2">
      <c r="B54816" s="1168"/>
    </row>
    <row r="54817" spans="2:2" s="221" customFormat="1" ht="12.75" x14ac:dyDescent="0.2">
      <c r="B54817" s="1168"/>
    </row>
    <row r="54818" spans="2:2" s="221" customFormat="1" ht="12.75" x14ac:dyDescent="0.2">
      <c r="B54818" s="1168"/>
    </row>
    <row r="54819" spans="2:2" s="221" customFormat="1" ht="12.75" x14ac:dyDescent="0.2">
      <c r="B54819" s="1168"/>
    </row>
    <row r="54820" spans="2:2" s="221" customFormat="1" ht="12.75" x14ac:dyDescent="0.2">
      <c r="B54820" s="1168"/>
    </row>
    <row r="54821" spans="2:2" s="221" customFormat="1" ht="12.75" x14ac:dyDescent="0.2">
      <c r="B54821" s="1168"/>
    </row>
    <row r="54822" spans="2:2" s="221" customFormat="1" ht="12.75" x14ac:dyDescent="0.2">
      <c r="B54822" s="1168"/>
    </row>
    <row r="54823" spans="2:2" s="221" customFormat="1" ht="12.75" x14ac:dyDescent="0.2">
      <c r="B54823" s="1168"/>
    </row>
    <row r="54824" spans="2:2" s="221" customFormat="1" ht="12.75" x14ac:dyDescent="0.2">
      <c r="B54824" s="1168"/>
    </row>
    <row r="54825" spans="2:2" s="221" customFormat="1" ht="12.75" x14ac:dyDescent="0.2">
      <c r="B54825" s="1168"/>
    </row>
    <row r="54826" spans="2:2" s="221" customFormat="1" ht="12.75" x14ac:dyDescent="0.2">
      <c r="B54826" s="1168"/>
    </row>
    <row r="54827" spans="2:2" s="221" customFormat="1" ht="12.75" x14ac:dyDescent="0.2">
      <c r="B54827" s="1168"/>
    </row>
    <row r="54828" spans="2:2" s="221" customFormat="1" ht="12.75" x14ac:dyDescent="0.2">
      <c r="B54828" s="1168"/>
    </row>
    <row r="54829" spans="2:2" s="221" customFormat="1" ht="12.75" x14ac:dyDescent="0.2">
      <c r="B54829" s="1168"/>
    </row>
    <row r="54830" spans="2:2" s="221" customFormat="1" ht="12.75" x14ac:dyDescent="0.2">
      <c r="B54830" s="1168"/>
    </row>
    <row r="54831" spans="2:2" s="221" customFormat="1" ht="12.75" x14ac:dyDescent="0.2">
      <c r="B54831" s="1168"/>
    </row>
    <row r="54832" spans="2:2" s="221" customFormat="1" ht="12.75" x14ac:dyDescent="0.2">
      <c r="B54832" s="1168"/>
    </row>
    <row r="54833" spans="2:2" s="221" customFormat="1" ht="12.75" x14ac:dyDescent="0.2">
      <c r="B54833" s="1168"/>
    </row>
    <row r="54834" spans="2:2" s="221" customFormat="1" ht="12.75" x14ac:dyDescent="0.2">
      <c r="B54834" s="1168"/>
    </row>
    <row r="54835" spans="2:2" s="221" customFormat="1" ht="12.75" x14ac:dyDescent="0.2">
      <c r="B54835" s="1168"/>
    </row>
    <row r="54836" spans="2:2" s="221" customFormat="1" ht="12.75" x14ac:dyDescent="0.2">
      <c r="B54836" s="1168"/>
    </row>
    <row r="54837" spans="2:2" s="221" customFormat="1" ht="12.75" x14ac:dyDescent="0.2">
      <c r="B54837" s="1168"/>
    </row>
    <row r="54838" spans="2:2" s="221" customFormat="1" ht="12.75" x14ac:dyDescent="0.2">
      <c r="B54838" s="1168"/>
    </row>
    <row r="54839" spans="2:2" s="221" customFormat="1" ht="12.75" x14ac:dyDescent="0.2">
      <c r="B54839" s="1168"/>
    </row>
    <row r="54840" spans="2:2" s="221" customFormat="1" ht="12.75" x14ac:dyDescent="0.2">
      <c r="B54840" s="1168"/>
    </row>
    <row r="54841" spans="2:2" s="221" customFormat="1" ht="12.75" x14ac:dyDescent="0.2">
      <c r="B54841" s="1168"/>
    </row>
    <row r="54842" spans="2:2" s="221" customFormat="1" ht="12.75" x14ac:dyDescent="0.2">
      <c r="B54842" s="1168"/>
    </row>
    <row r="54843" spans="2:2" s="221" customFormat="1" ht="12.75" x14ac:dyDescent="0.2">
      <c r="B54843" s="1168"/>
    </row>
    <row r="54844" spans="2:2" s="221" customFormat="1" ht="12.75" x14ac:dyDescent="0.2">
      <c r="B54844" s="1168"/>
    </row>
    <row r="54845" spans="2:2" s="221" customFormat="1" ht="12.75" x14ac:dyDescent="0.2">
      <c r="B54845" s="1168"/>
    </row>
    <row r="54846" spans="2:2" s="221" customFormat="1" ht="12.75" x14ac:dyDescent="0.2">
      <c r="B54846" s="1168"/>
    </row>
    <row r="54847" spans="2:2" s="221" customFormat="1" ht="12.75" x14ac:dyDescent="0.2">
      <c r="B54847" s="1168"/>
    </row>
    <row r="54848" spans="2:2" s="221" customFormat="1" ht="12.75" x14ac:dyDescent="0.2">
      <c r="B54848" s="1168"/>
    </row>
    <row r="54849" spans="2:2" s="221" customFormat="1" ht="12.75" x14ac:dyDescent="0.2">
      <c r="B54849" s="1168"/>
    </row>
    <row r="54850" spans="2:2" s="221" customFormat="1" ht="12.75" x14ac:dyDescent="0.2">
      <c r="B54850" s="1168"/>
    </row>
    <row r="54851" spans="2:2" s="221" customFormat="1" ht="12.75" x14ac:dyDescent="0.2">
      <c r="B54851" s="1168"/>
    </row>
    <row r="54852" spans="2:2" s="221" customFormat="1" ht="12.75" x14ac:dyDescent="0.2">
      <c r="B54852" s="1168"/>
    </row>
    <row r="54853" spans="2:2" s="221" customFormat="1" ht="12.75" x14ac:dyDescent="0.2">
      <c r="B54853" s="1168"/>
    </row>
    <row r="54854" spans="2:2" s="221" customFormat="1" ht="12.75" x14ac:dyDescent="0.2">
      <c r="B54854" s="1168"/>
    </row>
    <row r="54855" spans="2:2" s="221" customFormat="1" ht="12.75" x14ac:dyDescent="0.2">
      <c r="B54855" s="1168"/>
    </row>
    <row r="54856" spans="2:2" s="221" customFormat="1" ht="12.75" x14ac:dyDescent="0.2">
      <c r="B54856" s="1168"/>
    </row>
    <row r="54857" spans="2:2" s="221" customFormat="1" ht="12.75" x14ac:dyDescent="0.2">
      <c r="B54857" s="1168"/>
    </row>
    <row r="54858" spans="2:2" s="221" customFormat="1" ht="12.75" x14ac:dyDescent="0.2">
      <c r="B54858" s="1168"/>
    </row>
    <row r="54859" spans="2:2" s="221" customFormat="1" ht="12.75" x14ac:dyDescent="0.2">
      <c r="B54859" s="1168"/>
    </row>
    <row r="54860" spans="2:2" s="221" customFormat="1" ht="12.75" x14ac:dyDescent="0.2">
      <c r="B54860" s="1168"/>
    </row>
    <row r="54861" spans="2:2" s="221" customFormat="1" ht="12.75" x14ac:dyDescent="0.2">
      <c r="B54861" s="1168"/>
    </row>
    <row r="54862" spans="2:2" s="221" customFormat="1" ht="12.75" x14ac:dyDescent="0.2">
      <c r="B54862" s="1168"/>
    </row>
    <row r="54863" spans="2:2" s="221" customFormat="1" ht="12.75" x14ac:dyDescent="0.2">
      <c r="B54863" s="1168"/>
    </row>
    <row r="54864" spans="2:2" s="221" customFormat="1" ht="12.75" x14ac:dyDescent="0.2">
      <c r="B54864" s="1168"/>
    </row>
    <row r="54865" spans="2:2" s="221" customFormat="1" ht="12.75" x14ac:dyDescent="0.2">
      <c r="B54865" s="1168"/>
    </row>
    <row r="54866" spans="2:2" s="221" customFormat="1" ht="12.75" x14ac:dyDescent="0.2">
      <c r="B54866" s="1168"/>
    </row>
    <row r="54867" spans="2:2" s="221" customFormat="1" ht="12.75" x14ac:dyDescent="0.2">
      <c r="B54867" s="1168"/>
    </row>
    <row r="54868" spans="2:2" s="221" customFormat="1" ht="12.75" x14ac:dyDescent="0.2">
      <c r="B54868" s="1168"/>
    </row>
    <row r="54869" spans="2:2" s="221" customFormat="1" ht="12.75" x14ac:dyDescent="0.2">
      <c r="B54869" s="1168"/>
    </row>
    <row r="54870" spans="2:2" s="221" customFormat="1" ht="12.75" x14ac:dyDescent="0.2">
      <c r="B54870" s="1168"/>
    </row>
    <row r="54871" spans="2:2" s="221" customFormat="1" ht="12.75" x14ac:dyDescent="0.2">
      <c r="B54871" s="1168"/>
    </row>
    <row r="54872" spans="2:2" s="221" customFormat="1" ht="12.75" x14ac:dyDescent="0.2">
      <c r="B54872" s="1168"/>
    </row>
    <row r="54873" spans="2:2" s="221" customFormat="1" ht="12.75" x14ac:dyDescent="0.2">
      <c r="B54873" s="1168"/>
    </row>
    <row r="54874" spans="2:2" s="221" customFormat="1" ht="12.75" x14ac:dyDescent="0.2">
      <c r="B54874" s="1168"/>
    </row>
    <row r="54875" spans="2:2" s="221" customFormat="1" ht="12.75" x14ac:dyDescent="0.2">
      <c r="B54875" s="1168"/>
    </row>
    <row r="54876" spans="2:2" s="221" customFormat="1" ht="12.75" x14ac:dyDescent="0.2">
      <c r="B54876" s="1168"/>
    </row>
    <row r="54877" spans="2:2" s="221" customFormat="1" ht="12.75" x14ac:dyDescent="0.2">
      <c r="B54877" s="1168"/>
    </row>
    <row r="54878" spans="2:2" s="221" customFormat="1" ht="12.75" x14ac:dyDescent="0.2">
      <c r="B54878" s="1168"/>
    </row>
    <row r="54879" spans="2:2" s="221" customFormat="1" ht="12.75" x14ac:dyDescent="0.2">
      <c r="B54879" s="1168"/>
    </row>
    <row r="54880" spans="2:2" s="221" customFormat="1" ht="12.75" x14ac:dyDescent="0.2">
      <c r="B54880" s="1168"/>
    </row>
    <row r="54881" spans="2:2" s="221" customFormat="1" ht="12.75" x14ac:dyDescent="0.2">
      <c r="B54881" s="1168"/>
    </row>
    <row r="54882" spans="2:2" s="221" customFormat="1" ht="12.75" x14ac:dyDescent="0.2">
      <c r="B54882" s="1168"/>
    </row>
    <row r="54883" spans="2:2" s="221" customFormat="1" ht="12.75" x14ac:dyDescent="0.2">
      <c r="B54883" s="1168"/>
    </row>
    <row r="54884" spans="2:2" s="221" customFormat="1" ht="12.75" x14ac:dyDescent="0.2">
      <c r="B54884" s="1168"/>
    </row>
    <row r="54885" spans="2:2" s="221" customFormat="1" ht="12.75" x14ac:dyDescent="0.2">
      <c r="B54885" s="1168"/>
    </row>
    <row r="54886" spans="2:2" s="221" customFormat="1" ht="12.75" x14ac:dyDescent="0.2">
      <c r="B54886" s="1168"/>
    </row>
    <row r="54887" spans="2:2" s="221" customFormat="1" ht="12.75" x14ac:dyDescent="0.2">
      <c r="B54887" s="1168"/>
    </row>
    <row r="54888" spans="2:2" s="221" customFormat="1" ht="12.75" x14ac:dyDescent="0.2">
      <c r="B54888" s="1168"/>
    </row>
    <row r="54889" spans="2:2" s="221" customFormat="1" ht="12.75" x14ac:dyDescent="0.2">
      <c r="B54889" s="1168"/>
    </row>
    <row r="54890" spans="2:2" s="221" customFormat="1" ht="12.75" x14ac:dyDescent="0.2">
      <c r="B54890" s="1168"/>
    </row>
    <row r="54891" spans="2:2" s="221" customFormat="1" ht="12.75" x14ac:dyDescent="0.2">
      <c r="B54891" s="1168"/>
    </row>
    <row r="54892" spans="2:2" s="221" customFormat="1" ht="12.75" x14ac:dyDescent="0.2">
      <c r="B54892" s="1168"/>
    </row>
    <row r="54893" spans="2:2" s="221" customFormat="1" ht="12.75" x14ac:dyDescent="0.2">
      <c r="B54893" s="1168"/>
    </row>
    <row r="54894" spans="2:2" s="221" customFormat="1" ht="12.75" x14ac:dyDescent="0.2">
      <c r="B54894" s="1168"/>
    </row>
    <row r="54895" spans="2:2" s="221" customFormat="1" ht="12.75" x14ac:dyDescent="0.2">
      <c r="B54895" s="1168"/>
    </row>
    <row r="54896" spans="2:2" s="221" customFormat="1" ht="12.75" x14ac:dyDescent="0.2">
      <c r="B54896" s="1168"/>
    </row>
    <row r="54897" spans="2:2" s="221" customFormat="1" ht="12.75" x14ac:dyDescent="0.2">
      <c r="B54897" s="1168"/>
    </row>
    <row r="54898" spans="2:2" s="221" customFormat="1" ht="12.75" x14ac:dyDescent="0.2">
      <c r="B54898" s="1168"/>
    </row>
    <row r="54899" spans="2:2" s="221" customFormat="1" ht="12.75" x14ac:dyDescent="0.2">
      <c r="B54899" s="1168"/>
    </row>
    <row r="54900" spans="2:2" s="221" customFormat="1" ht="12.75" x14ac:dyDescent="0.2">
      <c r="B54900" s="1168"/>
    </row>
    <row r="54901" spans="2:2" s="221" customFormat="1" ht="12.75" x14ac:dyDescent="0.2">
      <c r="B54901" s="1168"/>
    </row>
    <row r="54902" spans="2:2" s="221" customFormat="1" ht="12.75" x14ac:dyDescent="0.2">
      <c r="B54902" s="1168"/>
    </row>
    <row r="54903" spans="2:2" s="221" customFormat="1" ht="12.75" x14ac:dyDescent="0.2">
      <c r="B54903" s="1168"/>
    </row>
    <row r="54904" spans="2:2" s="221" customFormat="1" ht="12.75" x14ac:dyDescent="0.2">
      <c r="B54904" s="1168"/>
    </row>
    <row r="54905" spans="2:2" s="221" customFormat="1" ht="12.75" x14ac:dyDescent="0.2">
      <c r="B54905" s="1168"/>
    </row>
    <row r="54906" spans="2:2" s="221" customFormat="1" ht="12.75" x14ac:dyDescent="0.2">
      <c r="B54906" s="1168"/>
    </row>
    <row r="54907" spans="2:2" s="221" customFormat="1" ht="12.75" x14ac:dyDescent="0.2">
      <c r="B54907" s="1168"/>
    </row>
    <row r="54908" spans="2:2" s="221" customFormat="1" ht="12.75" x14ac:dyDescent="0.2">
      <c r="B54908" s="1168"/>
    </row>
    <row r="54909" spans="2:2" s="221" customFormat="1" ht="12.75" x14ac:dyDescent="0.2">
      <c r="B54909" s="1168"/>
    </row>
    <row r="54910" spans="2:2" s="221" customFormat="1" ht="12.75" x14ac:dyDescent="0.2">
      <c r="B54910" s="1168"/>
    </row>
    <row r="54911" spans="2:2" s="221" customFormat="1" ht="12.75" x14ac:dyDescent="0.2">
      <c r="B54911" s="1168"/>
    </row>
    <row r="54912" spans="2:2" s="221" customFormat="1" ht="12.75" x14ac:dyDescent="0.2">
      <c r="B54912" s="1168"/>
    </row>
    <row r="54913" spans="2:2" s="221" customFormat="1" ht="12.75" x14ac:dyDescent="0.2">
      <c r="B54913" s="1168"/>
    </row>
    <row r="54914" spans="2:2" s="221" customFormat="1" ht="12.75" x14ac:dyDescent="0.2">
      <c r="B54914" s="1168"/>
    </row>
    <row r="54915" spans="2:2" s="221" customFormat="1" ht="12.75" x14ac:dyDescent="0.2">
      <c r="B54915" s="1168"/>
    </row>
    <row r="54916" spans="2:2" s="221" customFormat="1" ht="12.75" x14ac:dyDescent="0.2">
      <c r="B54916" s="1168"/>
    </row>
    <row r="54917" spans="2:2" s="221" customFormat="1" ht="12.75" x14ac:dyDescent="0.2">
      <c r="B54917" s="1168"/>
    </row>
    <row r="54918" spans="2:2" s="221" customFormat="1" ht="12.75" x14ac:dyDescent="0.2">
      <c r="B54918" s="1168"/>
    </row>
    <row r="54919" spans="2:2" s="221" customFormat="1" ht="12.75" x14ac:dyDescent="0.2">
      <c r="B54919" s="1168"/>
    </row>
    <row r="54920" spans="2:2" s="221" customFormat="1" ht="12.75" x14ac:dyDescent="0.2">
      <c r="B54920" s="1168"/>
    </row>
    <row r="54921" spans="2:2" s="221" customFormat="1" ht="12.75" x14ac:dyDescent="0.2">
      <c r="B54921" s="1168"/>
    </row>
    <row r="54922" spans="2:2" s="221" customFormat="1" ht="12.75" x14ac:dyDescent="0.2">
      <c r="B54922" s="1168"/>
    </row>
    <row r="54923" spans="2:2" s="221" customFormat="1" ht="12.75" x14ac:dyDescent="0.2">
      <c r="B54923" s="1168"/>
    </row>
    <row r="54924" spans="2:2" s="221" customFormat="1" ht="12.75" x14ac:dyDescent="0.2">
      <c r="B54924" s="1168"/>
    </row>
    <row r="54925" spans="2:2" s="221" customFormat="1" ht="12.75" x14ac:dyDescent="0.2">
      <c r="B54925" s="1168"/>
    </row>
    <row r="54926" spans="2:2" s="221" customFormat="1" ht="12.75" x14ac:dyDescent="0.2">
      <c r="B54926" s="1168"/>
    </row>
    <row r="54927" spans="2:2" s="221" customFormat="1" ht="12.75" x14ac:dyDescent="0.2">
      <c r="B54927" s="1168"/>
    </row>
    <row r="54928" spans="2:2" s="221" customFormat="1" ht="12.75" x14ac:dyDescent="0.2">
      <c r="B54928" s="1168"/>
    </row>
    <row r="54929" spans="2:2" s="221" customFormat="1" ht="12.75" x14ac:dyDescent="0.2">
      <c r="B54929" s="1168"/>
    </row>
    <row r="54930" spans="2:2" s="221" customFormat="1" ht="12.75" x14ac:dyDescent="0.2">
      <c r="B54930" s="1168"/>
    </row>
    <row r="54931" spans="2:2" s="221" customFormat="1" ht="12.75" x14ac:dyDescent="0.2">
      <c r="B54931" s="1168"/>
    </row>
    <row r="54932" spans="2:2" s="221" customFormat="1" ht="12.75" x14ac:dyDescent="0.2">
      <c r="B54932" s="1168"/>
    </row>
    <row r="54933" spans="2:2" s="221" customFormat="1" ht="12.75" x14ac:dyDescent="0.2">
      <c r="B54933" s="1168"/>
    </row>
    <row r="54934" spans="2:2" s="221" customFormat="1" ht="12.75" x14ac:dyDescent="0.2">
      <c r="B54934" s="1168"/>
    </row>
    <row r="54935" spans="2:2" s="221" customFormat="1" ht="12.75" x14ac:dyDescent="0.2">
      <c r="B54935" s="1168"/>
    </row>
    <row r="54936" spans="2:2" s="221" customFormat="1" ht="12.75" x14ac:dyDescent="0.2">
      <c r="B54936" s="1168"/>
    </row>
    <row r="54937" spans="2:2" s="221" customFormat="1" ht="12.75" x14ac:dyDescent="0.2">
      <c r="B54937" s="1168"/>
    </row>
    <row r="54938" spans="2:2" s="221" customFormat="1" ht="12.75" x14ac:dyDescent="0.2">
      <c r="B54938" s="1168"/>
    </row>
    <row r="54939" spans="2:2" s="221" customFormat="1" ht="12.75" x14ac:dyDescent="0.2">
      <c r="B54939" s="1168"/>
    </row>
    <row r="54940" spans="2:2" s="221" customFormat="1" ht="12.75" x14ac:dyDescent="0.2">
      <c r="B54940" s="1168"/>
    </row>
    <row r="54941" spans="2:2" s="221" customFormat="1" ht="12.75" x14ac:dyDescent="0.2">
      <c r="B54941" s="1168"/>
    </row>
    <row r="54942" spans="2:2" s="221" customFormat="1" ht="12.75" x14ac:dyDescent="0.2">
      <c r="B54942" s="1168"/>
    </row>
    <row r="54943" spans="2:2" s="221" customFormat="1" ht="12.75" x14ac:dyDescent="0.2">
      <c r="B54943" s="1168"/>
    </row>
    <row r="54944" spans="2:2" s="221" customFormat="1" ht="12.75" x14ac:dyDescent="0.2">
      <c r="B54944" s="1168"/>
    </row>
    <row r="54945" spans="2:2" s="221" customFormat="1" ht="12.75" x14ac:dyDescent="0.2">
      <c r="B54945" s="1168"/>
    </row>
    <row r="54946" spans="2:2" s="221" customFormat="1" ht="12.75" x14ac:dyDescent="0.2">
      <c r="B54946" s="1168"/>
    </row>
    <row r="54947" spans="2:2" s="221" customFormat="1" ht="12.75" x14ac:dyDescent="0.2">
      <c r="B54947" s="1168"/>
    </row>
    <row r="54948" spans="2:2" s="221" customFormat="1" ht="12.75" x14ac:dyDescent="0.2">
      <c r="B54948" s="1168"/>
    </row>
    <row r="54949" spans="2:2" s="221" customFormat="1" ht="12.75" x14ac:dyDescent="0.2">
      <c r="B54949" s="1168"/>
    </row>
    <row r="54950" spans="2:2" s="221" customFormat="1" ht="12.75" x14ac:dyDescent="0.2">
      <c r="B54950" s="1168"/>
    </row>
    <row r="54951" spans="2:2" s="221" customFormat="1" ht="12.75" x14ac:dyDescent="0.2">
      <c r="B54951" s="1168"/>
    </row>
    <row r="54952" spans="2:2" s="221" customFormat="1" ht="12.75" x14ac:dyDescent="0.2">
      <c r="B54952" s="1168"/>
    </row>
    <row r="54953" spans="2:2" s="221" customFormat="1" ht="12.75" x14ac:dyDescent="0.2">
      <c r="B54953" s="1168"/>
    </row>
    <row r="54954" spans="2:2" s="221" customFormat="1" ht="12.75" x14ac:dyDescent="0.2">
      <c r="B54954" s="1168"/>
    </row>
    <row r="54955" spans="2:2" s="221" customFormat="1" ht="12.75" x14ac:dyDescent="0.2">
      <c r="B54955" s="1168"/>
    </row>
    <row r="54956" spans="2:2" s="221" customFormat="1" ht="12.75" x14ac:dyDescent="0.2">
      <c r="B54956" s="1168"/>
    </row>
    <row r="54957" spans="2:2" s="221" customFormat="1" ht="12.75" x14ac:dyDescent="0.2">
      <c r="B54957" s="1168"/>
    </row>
    <row r="54958" spans="2:2" s="221" customFormat="1" ht="12.75" x14ac:dyDescent="0.2">
      <c r="B54958" s="1168"/>
    </row>
    <row r="54959" spans="2:2" s="221" customFormat="1" ht="12.75" x14ac:dyDescent="0.2">
      <c r="B54959" s="1168"/>
    </row>
    <row r="54960" spans="2:2" s="221" customFormat="1" ht="12.75" x14ac:dyDescent="0.2">
      <c r="B54960" s="1168"/>
    </row>
    <row r="54961" spans="2:2" s="221" customFormat="1" ht="12.75" x14ac:dyDescent="0.2">
      <c r="B54961" s="1168"/>
    </row>
    <row r="54962" spans="2:2" s="221" customFormat="1" ht="12.75" x14ac:dyDescent="0.2">
      <c r="B54962" s="1168"/>
    </row>
    <row r="54963" spans="2:2" s="221" customFormat="1" ht="12.75" x14ac:dyDescent="0.2">
      <c r="B54963" s="1168"/>
    </row>
    <row r="54964" spans="2:2" s="221" customFormat="1" ht="12.75" x14ac:dyDescent="0.2">
      <c r="B54964" s="1168"/>
    </row>
    <row r="54965" spans="2:2" s="221" customFormat="1" ht="12.75" x14ac:dyDescent="0.2">
      <c r="B54965" s="1168"/>
    </row>
    <row r="54966" spans="2:2" s="221" customFormat="1" ht="12.75" x14ac:dyDescent="0.2">
      <c r="B54966" s="1168"/>
    </row>
    <row r="54967" spans="2:2" s="221" customFormat="1" ht="12.75" x14ac:dyDescent="0.2">
      <c r="B54967" s="1168"/>
    </row>
    <row r="54968" spans="2:2" s="221" customFormat="1" ht="12.75" x14ac:dyDescent="0.2">
      <c r="B54968" s="1168"/>
    </row>
    <row r="54969" spans="2:2" s="221" customFormat="1" ht="12.75" x14ac:dyDescent="0.2">
      <c r="B54969" s="1168"/>
    </row>
    <row r="54970" spans="2:2" s="221" customFormat="1" ht="12.75" x14ac:dyDescent="0.2">
      <c r="B54970" s="1168"/>
    </row>
    <row r="54971" spans="2:2" s="221" customFormat="1" ht="12.75" x14ac:dyDescent="0.2">
      <c r="B54971" s="1168"/>
    </row>
    <row r="54972" spans="2:2" s="221" customFormat="1" ht="12.75" x14ac:dyDescent="0.2">
      <c r="B54972" s="1168"/>
    </row>
    <row r="54973" spans="2:2" s="221" customFormat="1" ht="12.75" x14ac:dyDescent="0.2">
      <c r="B54973" s="1168"/>
    </row>
    <row r="54974" spans="2:2" s="221" customFormat="1" ht="12.75" x14ac:dyDescent="0.2">
      <c r="B54974" s="1168"/>
    </row>
    <row r="54975" spans="2:2" s="221" customFormat="1" ht="12.75" x14ac:dyDescent="0.2">
      <c r="B54975" s="1168"/>
    </row>
    <row r="54976" spans="2:2" s="221" customFormat="1" ht="12.75" x14ac:dyDescent="0.2">
      <c r="B54976" s="1168"/>
    </row>
    <row r="54977" spans="2:2" s="221" customFormat="1" ht="12.75" x14ac:dyDescent="0.2">
      <c r="B54977" s="1168"/>
    </row>
    <row r="54978" spans="2:2" s="221" customFormat="1" ht="12.75" x14ac:dyDescent="0.2">
      <c r="B54978" s="1168"/>
    </row>
    <row r="54979" spans="2:2" s="221" customFormat="1" ht="12.75" x14ac:dyDescent="0.2">
      <c r="B54979" s="1168"/>
    </row>
    <row r="54980" spans="2:2" s="221" customFormat="1" ht="12.75" x14ac:dyDescent="0.2">
      <c r="B54980" s="1168"/>
    </row>
    <row r="54981" spans="2:2" s="221" customFormat="1" ht="12.75" x14ac:dyDescent="0.2">
      <c r="B54981" s="1168"/>
    </row>
    <row r="54982" spans="2:2" s="221" customFormat="1" ht="12.75" x14ac:dyDescent="0.2">
      <c r="B54982" s="1168"/>
    </row>
    <row r="54983" spans="2:2" s="221" customFormat="1" ht="12.75" x14ac:dyDescent="0.2">
      <c r="B54983" s="1168"/>
    </row>
    <row r="54984" spans="2:2" s="221" customFormat="1" ht="12.75" x14ac:dyDescent="0.2">
      <c r="B54984" s="1168"/>
    </row>
    <row r="54985" spans="2:2" s="221" customFormat="1" ht="12.75" x14ac:dyDescent="0.2">
      <c r="B54985" s="1168"/>
    </row>
    <row r="54986" spans="2:2" s="221" customFormat="1" ht="12.75" x14ac:dyDescent="0.2">
      <c r="B54986" s="1168"/>
    </row>
    <row r="54987" spans="2:2" s="221" customFormat="1" ht="12.75" x14ac:dyDescent="0.2">
      <c r="B54987" s="1168"/>
    </row>
    <row r="54988" spans="2:2" s="221" customFormat="1" ht="12.75" x14ac:dyDescent="0.2">
      <c r="B54988" s="1168"/>
    </row>
    <row r="54989" spans="2:2" s="221" customFormat="1" ht="12.75" x14ac:dyDescent="0.2">
      <c r="B54989" s="1168"/>
    </row>
    <row r="54990" spans="2:2" s="221" customFormat="1" ht="12.75" x14ac:dyDescent="0.2">
      <c r="B54990" s="1168"/>
    </row>
    <row r="54991" spans="2:2" s="221" customFormat="1" ht="12.75" x14ac:dyDescent="0.2">
      <c r="B54991" s="1168"/>
    </row>
    <row r="54992" spans="2:2" s="221" customFormat="1" ht="12.75" x14ac:dyDescent="0.2">
      <c r="B54992" s="1168"/>
    </row>
    <row r="54993" spans="2:2" s="221" customFormat="1" ht="12.75" x14ac:dyDescent="0.2">
      <c r="B54993" s="1168"/>
    </row>
    <row r="54994" spans="2:2" s="221" customFormat="1" ht="12.75" x14ac:dyDescent="0.2">
      <c r="B54994" s="1168"/>
    </row>
    <row r="54995" spans="2:2" s="221" customFormat="1" ht="12.75" x14ac:dyDescent="0.2">
      <c r="B54995" s="1168"/>
    </row>
    <row r="54996" spans="2:2" s="221" customFormat="1" ht="12.75" x14ac:dyDescent="0.2">
      <c r="B54996" s="1168"/>
    </row>
    <row r="54997" spans="2:2" s="221" customFormat="1" ht="12.75" x14ac:dyDescent="0.2">
      <c r="B54997" s="1168"/>
    </row>
    <row r="54998" spans="2:2" s="221" customFormat="1" ht="12.75" x14ac:dyDescent="0.2">
      <c r="B54998" s="1168"/>
    </row>
    <row r="54999" spans="2:2" s="221" customFormat="1" ht="12.75" x14ac:dyDescent="0.2">
      <c r="B54999" s="1168"/>
    </row>
    <row r="55000" spans="2:2" s="221" customFormat="1" ht="12.75" x14ac:dyDescent="0.2">
      <c r="B55000" s="1168"/>
    </row>
    <row r="55001" spans="2:2" s="221" customFormat="1" ht="12.75" x14ac:dyDescent="0.2">
      <c r="B55001" s="1168"/>
    </row>
    <row r="55002" spans="2:2" s="221" customFormat="1" ht="12.75" x14ac:dyDescent="0.2">
      <c r="B55002" s="1168"/>
    </row>
    <row r="55003" spans="2:2" s="221" customFormat="1" ht="12.75" x14ac:dyDescent="0.2">
      <c r="B55003" s="1168"/>
    </row>
    <row r="55004" spans="2:2" s="221" customFormat="1" ht="12.75" x14ac:dyDescent="0.2">
      <c r="B55004" s="1168"/>
    </row>
    <row r="55005" spans="2:2" s="221" customFormat="1" ht="12.75" x14ac:dyDescent="0.2">
      <c r="B55005" s="1168"/>
    </row>
    <row r="55006" spans="2:2" s="221" customFormat="1" ht="12.75" x14ac:dyDescent="0.2">
      <c r="B55006" s="1168"/>
    </row>
    <row r="55007" spans="2:2" s="221" customFormat="1" ht="12.75" x14ac:dyDescent="0.2">
      <c r="B55007" s="1168"/>
    </row>
    <row r="55008" spans="2:2" s="221" customFormat="1" ht="12.75" x14ac:dyDescent="0.2">
      <c r="B55008" s="1168"/>
    </row>
    <row r="55009" spans="2:2" s="221" customFormat="1" ht="12.75" x14ac:dyDescent="0.2">
      <c r="B55009" s="1168"/>
    </row>
    <row r="55010" spans="2:2" s="221" customFormat="1" ht="12.75" x14ac:dyDescent="0.2">
      <c r="B55010" s="1168"/>
    </row>
    <row r="55011" spans="2:2" s="221" customFormat="1" ht="12.75" x14ac:dyDescent="0.2">
      <c r="B55011" s="1168"/>
    </row>
    <row r="55012" spans="2:2" s="221" customFormat="1" ht="12.75" x14ac:dyDescent="0.2">
      <c r="B55012" s="1168"/>
    </row>
    <row r="55013" spans="2:2" s="221" customFormat="1" ht="12.75" x14ac:dyDescent="0.2">
      <c r="B55013" s="1168"/>
    </row>
    <row r="55014" spans="2:2" s="221" customFormat="1" ht="12.75" x14ac:dyDescent="0.2">
      <c r="B55014" s="1168"/>
    </row>
    <row r="55015" spans="2:2" s="221" customFormat="1" ht="12.75" x14ac:dyDescent="0.2">
      <c r="B55015" s="1168"/>
    </row>
    <row r="55016" spans="2:2" s="221" customFormat="1" ht="12.75" x14ac:dyDescent="0.2">
      <c r="B55016" s="1168"/>
    </row>
    <row r="55017" spans="2:2" s="221" customFormat="1" ht="12.75" x14ac:dyDescent="0.2">
      <c r="B55017" s="1168"/>
    </row>
    <row r="55018" spans="2:2" s="221" customFormat="1" ht="12.75" x14ac:dyDescent="0.2">
      <c r="B55018" s="1168"/>
    </row>
    <row r="55019" spans="2:2" s="221" customFormat="1" ht="12.75" x14ac:dyDescent="0.2">
      <c r="B55019" s="1168"/>
    </row>
    <row r="55020" spans="2:2" s="221" customFormat="1" ht="12.75" x14ac:dyDescent="0.2">
      <c r="B55020" s="1168"/>
    </row>
    <row r="55021" spans="2:2" s="221" customFormat="1" ht="12.75" x14ac:dyDescent="0.2">
      <c r="B55021" s="1168"/>
    </row>
    <row r="55022" spans="2:2" s="221" customFormat="1" ht="12.75" x14ac:dyDescent="0.2">
      <c r="B55022" s="1168"/>
    </row>
    <row r="55023" spans="2:2" s="221" customFormat="1" ht="12.75" x14ac:dyDescent="0.2">
      <c r="B55023" s="1168"/>
    </row>
    <row r="55024" spans="2:2" s="221" customFormat="1" ht="12.75" x14ac:dyDescent="0.2">
      <c r="B55024" s="1168"/>
    </row>
    <row r="55025" spans="2:2" s="221" customFormat="1" ht="12.75" x14ac:dyDescent="0.2">
      <c r="B55025" s="1168"/>
    </row>
    <row r="55026" spans="2:2" s="221" customFormat="1" ht="12.75" x14ac:dyDescent="0.2">
      <c r="B55026" s="1168"/>
    </row>
    <row r="55027" spans="2:2" s="221" customFormat="1" ht="12.75" x14ac:dyDescent="0.2">
      <c r="B55027" s="1168"/>
    </row>
    <row r="55028" spans="2:2" s="221" customFormat="1" ht="12.75" x14ac:dyDescent="0.2">
      <c r="B55028" s="1168"/>
    </row>
    <row r="55029" spans="2:2" s="221" customFormat="1" ht="12.75" x14ac:dyDescent="0.2">
      <c r="B55029" s="1168"/>
    </row>
    <row r="55030" spans="2:2" s="221" customFormat="1" ht="12.75" x14ac:dyDescent="0.2">
      <c r="B55030" s="1168"/>
    </row>
    <row r="55031" spans="2:2" s="221" customFormat="1" ht="12.75" x14ac:dyDescent="0.2">
      <c r="B55031" s="1168"/>
    </row>
    <row r="55032" spans="2:2" s="221" customFormat="1" ht="12.75" x14ac:dyDescent="0.2">
      <c r="B55032" s="1168"/>
    </row>
    <row r="55033" spans="2:2" s="221" customFormat="1" ht="12.75" x14ac:dyDescent="0.2">
      <c r="B55033" s="1168"/>
    </row>
    <row r="55034" spans="2:2" s="221" customFormat="1" ht="12.75" x14ac:dyDescent="0.2">
      <c r="B55034" s="1168"/>
    </row>
    <row r="55035" spans="2:2" s="221" customFormat="1" ht="12.75" x14ac:dyDescent="0.2">
      <c r="B55035" s="1168"/>
    </row>
    <row r="55036" spans="2:2" s="221" customFormat="1" ht="12.75" x14ac:dyDescent="0.2">
      <c r="B55036" s="1168"/>
    </row>
    <row r="55037" spans="2:2" s="221" customFormat="1" ht="12.75" x14ac:dyDescent="0.2">
      <c r="B55037" s="1168"/>
    </row>
    <row r="55038" spans="2:2" s="221" customFormat="1" ht="12.75" x14ac:dyDescent="0.2">
      <c r="B55038" s="1168"/>
    </row>
    <row r="55039" spans="2:2" s="221" customFormat="1" ht="12.75" x14ac:dyDescent="0.2">
      <c r="B55039" s="1168"/>
    </row>
    <row r="55040" spans="2:2" s="221" customFormat="1" ht="12.75" x14ac:dyDescent="0.2">
      <c r="B55040" s="1168"/>
    </row>
    <row r="55041" spans="2:2" s="221" customFormat="1" ht="12.75" x14ac:dyDescent="0.2">
      <c r="B55041" s="1168"/>
    </row>
    <row r="55042" spans="2:2" s="221" customFormat="1" ht="12.75" x14ac:dyDescent="0.2">
      <c r="B55042" s="1168"/>
    </row>
    <row r="55043" spans="2:2" s="221" customFormat="1" ht="12.75" x14ac:dyDescent="0.2">
      <c r="B55043" s="1168"/>
    </row>
    <row r="55044" spans="2:2" s="221" customFormat="1" ht="12.75" x14ac:dyDescent="0.2">
      <c r="B55044" s="1168"/>
    </row>
    <row r="55045" spans="2:2" s="221" customFormat="1" ht="12.75" x14ac:dyDescent="0.2">
      <c r="B55045" s="1168"/>
    </row>
    <row r="55046" spans="2:2" s="221" customFormat="1" ht="12.75" x14ac:dyDescent="0.2">
      <c r="B55046" s="1168"/>
    </row>
    <row r="55047" spans="2:2" s="221" customFormat="1" ht="12.75" x14ac:dyDescent="0.2">
      <c r="B55047" s="1168"/>
    </row>
    <row r="55048" spans="2:2" s="221" customFormat="1" ht="12.75" x14ac:dyDescent="0.2">
      <c r="B55048" s="1168"/>
    </row>
    <row r="55049" spans="2:2" s="221" customFormat="1" ht="12.75" x14ac:dyDescent="0.2">
      <c r="B55049" s="1168"/>
    </row>
    <row r="55050" spans="2:2" s="221" customFormat="1" ht="12.75" x14ac:dyDescent="0.2">
      <c r="B55050" s="1168"/>
    </row>
    <row r="55051" spans="2:2" s="221" customFormat="1" ht="12.75" x14ac:dyDescent="0.2">
      <c r="B55051" s="1168"/>
    </row>
    <row r="55052" spans="2:2" s="221" customFormat="1" ht="12.75" x14ac:dyDescent="0.2">
      <c r="B55052" s="1168"/>
    </row>
    <row r="55053" spans="2:2" s="221" customFormat="1" ht="12.75" x14ac:dyDescent="0.2">
      <c r="B55053" s="1168"/>
    </row>
    <row r="55054" spans="2:2" s="221" customFormat="1" ht="12.75" x14ac:dyDescent="0.2">
      <c r="B55054" s="1168"/>
    </row>
    <row r="55055" spans="2:2" s="221" customFormat="1" ht="12.75" x14ac:dyDescent="0.2">
      <c r="B55055" s="1168"/>
    </row>
    <row r="55056" spans="2:2" s="221" customFormat="1" ht="12.75" x14ac:dyDescent="0.2">
      <c r="B55056" s="1168"/>
    </row>
    <row r="55057" spans="2:2" s="221" customFormat="1" ht="12.75" x14ac:dyDescent="0.2">
      <c r="B55057" s="1168"/>
    </row>
    <row r="55058" spans="2:2" s="221" customFormat="1" ht="12.75" x14ac:dyDescent="0.2">
      <c r="B55058" s="1168"/>
    </row>
    <row r="55059" spans="2:2" s="221" customFormat="1" ht="12.75" x14ac:dyDescent="0.2">
      <c r="B55059" s="1168"/>
    </row>
    <row r="55060" spans="2:2" s="221" customFormat="1" ht="12.75" x14ac:dyDescent="0.2">
      <c r="B55060" s="1168"/>
    </row>
    <row r="55061" spans="2:2" s="221" customFormat="1" ht="12.75" x14ac:dyDescent="0.2">
      <c r="B55061" s="1168"/>
    </row>
    <row r="55062" spans="2:2" s="221" customFormat="1" ht="12.75" x14ac:dyDescent="0.2">
      <c r="B55062" s="1168"/>
    </row>
    <row r="55063" spans="2:2" s="221" customFormat="1" ht="12.75" x14ac:dyDescent="0.2">
      <c r="B55063" s="1168"/>
    </row>
    <row r="55064" spans="2:2" s="221" customFormat="1" ht="12.75" x14ac:dyDescent="0.2">
      <c r="B55064" s="1168"/>
    </row>
    <row r="55065" spans="2:2" s="221" customFormat="1" ht="12.75" x14ac:dyDescent="0.2">
      <c r="B55065" s="1168"/>
    </row>
    <row r="55066" spans="2:2" s="221" customFormat="1" ht="12.75" x14ac:dyDescent="0.2">
      <c r="B55066" s="1168"/>
    </row>
    <row r="55067" spans="2:2" s="221" customFormat="1" ht="12.75" x14ac:dyDescent="0.2">
      <c r="B55067" s="1168"/>
    </row>
    <row r="55068" spans="2:2" s="221" customFormat="1" ht="12.75" x14ac:dyDescent="0.2">
      <c r="B55068" s="1168"/>
    </row>
    <row r="55069" spans="2:2" s="221" customFormat="1" ht="12.75" x14ac:dyDescent="0.2">
      <c r="B55069" s="1168"/>
    </row>
    <row r="55070" spans="2:2" s="221" customFormat="1" ht="12.75" x14ac:dyDescent="0.2">
      <c r="B55070" s="1168"/>
    </row>
    <row r="55071" spans="2:2" s="221" customFormat="1" ht="12.75" x14ac:dyDescent="0.2">
      <c r="B55071" s="1168"/>
    </row>
    <row r="55072" spans="2:2" s="221" customFormat="1" ht="12.75" x14ac:dyDescent="0.2">
      <c r="B55072" s="1168"/>
    </row>
    <row r="55073" spans="2:2" s="221" customFormat="1" ht="12.75" x14ac:dyDescent="0.2">
      <c r="B55073" s="1168"/>
    </row>
    <row r="55074" spans="2:2" s="221" customFormat="1" ht="12.75" x14ac:dyDescent="0.2">
      <c r="B55074" s="1168"/>
    </row>
    <row r="55075" spans="2:2" s="221" customFormat="1" ht="12.75" x14ac:dyDescent="0.2">
      <c r="B55075" s="1168"/>
    </row>
    <row r="55076" spans="2:2" s="221" customFormat="1" ht="12.75" x14ac:dyDescent="0.2">
      <c r="B55076" s="1168"/>
    </row>
    <row r="55077" spans="2:2" s="221" customFormat="1" ht="12.75" x14ac:dyDescent="0.2">
      <c r="B55077" s="1168"/>
    </row>
    <row r="55078" spans="2:2" s="221" customFormat="1" ht="12.75" x14ac:dyDescent="0.2">
      <c r="B55078" s="1168"/>
    </row>
    <row r="55079" spans="2:2" s="221" customFormat="1" ht="12.75" x14ac:dyDescent="0.2">
      <c r="B55079" s="1168"/>
    </row>
    <row r="55080" spans="2:2" s="221" customFormat="1" ht="12.75" x14ac:dyDescent="0.2">
      <c r="B55080" s="1168"/>
    </row>
    <row r="55081" spans="2:2" s="221" customFormat="1" ht="12.75" x14ac:dyDescent="0.2">
      <c r="B55081" s="1168"/>
    </row>
    <row r="55082" spans="2:2" s="221" customFormat="1" ht="12.75" x14ac:dyDescent="0.2">
      <c r="B55082" s="1168"/>
    </row>
    <row r="55083" spans="2:2" s="221" customFormat="1" ht="12.75" x14ac:dyDescent="0.2">
      <c r="B55083" s="1168"/>
    </row>
    <row r="55084" spans="2:2" s="221" customFormat="1" ht="12.75" x14ac:dyDescent="0.2">
      <c r="B55084" s="1168"/>
    </row>
    <row r="55085" spans="2:2" s="221" customFormat="1" ht="12.75" x14ac:dyDescent="0.2">
      <c r="B55085" s="1168"/>
    </row>
    <row r="55086" spans="2:2" s="221" customFormat="1" ht="12.75" x14ac:dyDescent="0.2">
      <c r="B55086" s="1168"/>
    </row>
    <row r="55087" spans="2:2" s="221" customFormat="1" ht="12.75" x14ac:dyDescent="0.2">
      <c r="B55087" s="1168"/>
    </row>
    <row r="55088" spans="2:2" s="221" customFormat="1" ht="12.75" x14ac:dyDescent="0.2">
      <c r="B55088" s="1168"/>
    </row>
    <row r="55089" spans="2:2" s="221" customFormat="1" ht="12.75" x14ac:dyDescent="0.2">
      <c r="B55089" s="1168"/>
    </row>
    <row r="55090" spans="2:2" s="221" customFormat="1" ht="12.75" x14ac:dyDescent="0.2">
      <c r="B55090" s="1168"/>
    </row>
    <row r="55091" spans="2:2" s="221" customFormat="1" ht="12.75" x14ac:dyDescent="0.2">
      <c r="B55091" s="1168"/>
    </row>
    <row r="55092" spans="2:2" s="221" customFormat="1" ht="12.75" x14ac:dyDescent="0.2">
      <c r="B55092" s="1168"/>
    </row>
    <row r="55093" spans="2:2" s="221" customFormat="1" ht="12.75" x14ac:dyDescent="0.2">
      <c r="B55093" s="1168"/>
    </row>
    <row r="55094" spans="2:2" s="221" customFormat="1" ht="12.75" x14ac:dyDescent="0.2">
      <c r="B55094" s="1168"/>
    </row>
    <row r="55095" spans="2:2" s="221" customFormat="1" ht="12.75" x14ac:dyDescent="0.2">
      <c r="B55095" s="1168"/>
    </row>
    <row r="55096" spans="2:2" s="221" customFormat="1" ht="12.75" x14ac:dyDescent="0.2">
      <c r="B55096" s="1168"/>
    </row>
    <row r="55097" spans="2:2" s="221" customFormat="1" ht="12.75" x14ac:dyDescent="0.2">
      <c r="B55097" s="1168"/>
    </row>
    <row r="55098" spans="2:2" s="221" customFormat="1" ht="12.75" x14ac:dyDescent="0.2">
      <c r="B55098" s="1168"/>
    </row>
    <row r="55099" spans="2:2" s="221" customFormat="1" ht="12.75" x14ac:dyDescent="0.2">
      <c r="B55099" s="1168"/>
    </row>
    <row r="55100" spans="2:2" s="221" customFormat="1" ht="12.75" x14ac:dyDescent="0.2">
      <c r="B55100" s="1168"/>
    </row>
    <row r="55101" spans="2:2" s="221" customFormat="1" ht="12.75" x14ac:dyDescent="0.2">
      <c r="B55101" s="1168"/>
    </row>
    <row r="55102" spans="2:2" s="221" customFormat="1" ht="12.75" x14ac:dyDescent="0.2">
      <c r="B55102" s="1168"/>
    </row>
    <row r="55103" spans="2:2" s="221" customFormat="1" ht="12.75" x14ac:dyDescent="0.2">
      <c r="B55103" s="1168"/>
    </row>
    <row r="55104" spans="2:2" s="221" customFormat="1" ht="12.75" x14ac:dyDescent="0.2">
      <c r="B55104" s="1168"/>
    </row>
    <row r="55105" spans="2:2" s="221" customFormat="1" ht="12.75" x14ac:dyDescent="0.2">
      <c r="B55105" s="1168"/>
    </row>
    <row r="55106" spans="2:2" s="221" customFormat="1" ht="12.75" x14ac:dyDescent="0.2">
      <c r="B55106" s="1168"/>
    </row>
    <row r="55107" spans="2:2" s="221" customFormat="1" ht="12.75" x14ac:dyDescent="0.2">
      <c r="B55107" s="1168"/>
    </row>
    <row r="55108" spans="2:2" s="221" customFormat="1" ht="12.75" x14ac:dyDescent="0.2">
      <c r="B55108" s="1168"/>
    </row>
    <row r="55109" spans="2:2" s="221" customFormat="1" ht="12.75" x14ac:dyDescent="0.2">
      <c r="B55109" s="1168"/>
    </row>
    <row r="55110" spans="2:2" s="221" customFormat="1" ht="12.75" x14ac:dyDescent="0.2">
      <c r="B55110" s="1168"/>
    </row>
    <row r="55111" spans="2:2" s="221" customFormat="1" ht="12.75" x14ac:dyDescent="0.2">
      <c r="B55111" s="1168"/>
    </row>
    <row r="55112" spans="2:2" s="221" customFormat="1" ht="12.75" x14ac:dyDescent="0.2">
      <c r="B55112" s="1168"/>
    </row>
    <row r="55113" spans="2:2" s="221" customFormat="1" ht="12.75" x14ac:dyDescent="0.2">
      <c r="B55113" s="1168"/>
    </row>
    <row r="55114" spans="2:2" s="221" customFormat="1" ht="12.75" x14ac:dyDescent="0.2">
      <c r="B55114" s="1168"/>
    </row>
    <row r="55115" spans="2:2" s="221" customFormat="1" ht="12.75" x14ac:dyDescent="0.2">
      <c r="B55115" s="1168"/>
    </row>
    <row r="55116" spans="2:2" s="221" customFormat="1" ht="12.75" x14ac:dyDescent="0.2">
      <c r="B55116" s="1168"/>
    </row>
    <row r="55117" spans="2:2" s="221" customFormat="1" ht="12.75" x14ac:dyDescent="0.2">
      <c r="B55117" s="1168"/>
    </row>
    <row r="55118" spans="2:2" s="221" customFormat="1" ht="12.75" x14ac:dyDescent="0.2">
      <c r="B55118" s="1168"/>
    </row>
    <row r="55119" spans="2:2" s="221" customFormat="1" ht="12.75" x14ac:dyDescent="0.2">
      <c r="B55119" s="1168"/>
    </row>
    <row r="55120" spans="2:2" s="221" customFormat="1" ht="12.75" x14ac:dyDescent="0.2">
      <c r="B55120" s="1168"/>
    </row>
    <row r="55121" spans="2:2" s="221" customFormat="1" ht="12.75" x14ac:dyDescent="0.2">
      <c r="B55121" s="1168"/>
    </row>
    <row r="55122" spans="2:2" s="221" customFormat="1" ht="12.75" x14ac:dyDescent="0.2">
      <c r="B55122" s="1168"/>
    </row>
    <row r="55123" spans="2:2" s="221" customFormat="1" ht="12.75" x14ac:dyDescent="0.2">
      <c r="B55123" s="1168"/>
    </row>
    <row r="55124" spans="2:2" s="221" customFormat="1" ht="12.75" x14ac:dyDescent="0.2">
      <c r="B55124" s="1168"/>
    </row>
    <row r="55125" spans="2:2" s="221" customFormat="1" ht="12.75" x14ac:dyDescent="0.2">
      <c r="B55125" s="1168"/>
    </row>
    <row r="55126" spans="2:2" s="221" customFormat="1" ht="12.75" x14ac:dyDescent="0.2">
      <c r="B55126" s="1168"/>
    </row>
    <row r="55127" spans="2:2" s="221" customFormat="1" ht="12.75" x14ac:dyDescent="0.2">
      <c r="B55127" s="1168"/>
    </row>
    <row r="55128" spans="2:2" s="221" customFormat="1" ht="12.75" x14ac:dyDescent="0.2">
      <c r="B55128" s="1168"/>
    </row>
    <row r="55129" spans="2:2" s="221" customFormat="1" ht="12.75" x14ac:dyDescent="0.2">
      <c r="B55129" s="1168"/>
    </row>
    <row r="55130" spans="2:2" s="221" customFormat="1" ht="12.75" x14ac:dyDescent="0.2">
      <c r="B55130" s="1168"/>
    </row>
    <row r="55131" spans="2:2" s="221" customFormat="1" ht="12.75" x14ac:dyDescent="0.2">
      <c r="B55131" s="1168"/>
    </row>
    <row r="55132" spans="2:2" s="221" customFormat="1" ht="12.75" x14ac:dyDescent="0.2">
      <c r="B55132" s="1168"/>
    </row>
    <row r="55133" spans="2:2" s="221" customFormat="1" ht="12.75" x14ac:dyDescent="0.2">
      <c r="B55133" s="1168"/>
    </row>
    <row r="55134" spans="2:2" s="221" customFormat="1" ht="12.75" x14ac:dyDescent="0.2">
      <c r="B55134" s="1168"/>
    </row>
    <row r="55135" spans="2:2" s="221" customFormat="1" ht="12.75" x14ac:dyDescent="0.2">
      <c r="B55135" s="1168"/>
    </row>
    <row r="55136" spans="2:2" s="221" customFormat="1" ht="12.75" x14ac:dyDescent="0.2">
      <c r="B55136" s="1168"/>
    </row>
    <row r="55137" spans="2:2" s="221" customFormat="1" ht="12.75" x14ac:dyDescent="0.2">
      <c r="B55137" s="1168"/>
    </row>
    <row r="55138" spans="2:2" s="221" customFormat="1" ht="12.75" x14ac:dyDescent="0.2">
      <c r="B55138" s="1168"/>
    </row>
    <row r="55139" spans="2:2" s="221" customFormat="1" ht="12.75" x14ac:dyDescent="0.2">
      <c r="B55139" s="1168"/>
    </row>
    <row r="55140" spans="2:2" s="221" customFormat="1" ht="12.75" x14ac:dyDescent="0.2">
      <c r="B55140" s="1168"/>
    </row>
    <row r="55141" spans="2:2" s="221" customFormat="1" ht="12.75" x14ac:dyDescent="0.2">
      <c r="B55141" s="1168"/>
    </row>
    <row r="55142" spans="2:2" s="221" customFormat="1" ht="12.75" x14ac:dyDescent="0.2">
      <c r="B55142" s="1168"/>
    </row>
    <row r="55143" spans="2:2" s="221" customFormat="1" ht="12.75" x14ac:dyDescent="0.2">
      <c r="B55143" s="1168"/>
    </row>
    <row r="55144" spans="2:2" s="221" customFormat="1" ht="12.75" x14ac:dyDescent="0.2">
      <c r="B55144" s="1168"/>
    </row>
    <row r="55145" spans="2:2" s="221" customFormat="1" ht="12.75" x14ac:dyDescent="0.2">
      <c r="B55145" s="1168"/>
    </row>
    <row r="55146" spans="2:2" s="221" customFormat="1" ht="12.75" x14ac:dyDescent="0.2">
      <c r="B55146" s="1168"/>
    </row>
    <row r="55147" spans="2:2" s="221" customFormat="1" ht="12.75" x14ac:dyDescent="0.2">
      <c r="B55147" s="1168"/>
    </row>
    <row r="55148" spans="2:2" s="221" customFormat="1" ht="12.75" x14ac:dyDescent="0.2">
      <c r="B55148" s="1168"/>
    </row>
    <row r="55149" spans="2:2" s="221" customFormat="1" ht="12.75" x14ac:dyDescent="0.2">
      <c r="B55149" s="1168"/>
    </row>
    <row r="55150" spans="2:2" s="221" customFormat="1" ht="12.75" x14ac:dyDescent="0.2">
      <c r="B55150" s="1168"/>
    </row>
    <row r="55151" spans="2:2" s="221" customFormat="1" ht="12.75" x14ac:dyDescent="0.2">
      <c r="B55151" s="1168"/>
    </row>
    <row r="55152" spans="2:2" s="221" customFormat="1" ht="12.75" x14ac:dyDescent="0.2">
      <c r="B55152" s="1168"/>
    </row>
    <row r="55153" spans="2:2" s="221" customFormat="1" ht="12.75" x14ac:dyDescent="0.2">
      <c r="B55153" s="1168"/>
    </row>
    <row r="55154" spans="2:2" s="221" customFormat="1" ht="12.75" x14ac:dyDescent="0.2">
      <c r="B55154" s="1168"/>
    </row>
    <row r="55155" spans="2:2" s="221" customFormat="1" ht="12.75" x14ac:dyDescent="0.2">
      <c r="B55155" s="1168"/>
    </row>
    <row r="55156" spans="2:2" s="221" customFormat="1" ht="12.75" x14ac:dyDescent="0.2">
      <c r="B55156" s="1168"/>
    </row>
    <row r="55157" spans="2:2" s="221" customFormat="1" ht="12.75" x14ac:dyDescent="0.2">
      <c r="B55157" s="1168"/>
    </row>
    <row r="55158" spans="2:2" s="221" customFormat="1" ht="12.75" x14ac:dyDescent="0.2">
      <c r="B55158" s="1168"/>
    </row>
    <row r="55159" spans="2:2" s="221" customFormat="1" ht="12.75" x14ac:dyDescent="0.2">
      <c r="B55159" s="1168"/>
    </row>
    <row r="55160" spans="2:2" s="221" customFormat="1" ht="12.75" x14ac:dyDescent="0.2">
      <c r="B55160" s="1168"/>
    </row>
    <row r="55161" spans="2:2" s="221" customFormat="1" ht="12.75" x14ac:dyDescent="0.2">
      <c r="B55161" s="1168"/>
    </row>
    <row r="55162" spans="2:2" s="221" customFormat="1" ht="12.75" x14ac:dyDescent="0.2">
      <c r="B55162" s="1168"/>
    </row>
    <row r="55163" spans="2:2" s="221" customFormat="1" ht="12.75" x14ac:dyDescent="0.2">
      <c r="B55163" s="1168"/>
    </row>
    <row r="55164" spans="2:2" s="221" customFormat="1" ht="12.75" x14ac:dyDescent="0.2">
      <c r="B55164" s="1168"/>
    </row>
    <row r="55165" spans="2:2" s="221" customFormat="1" ht="12.75" x14ac:dyDescent="0.2">
      <c r="B55165" s="1168"/>
    </row>
    <row r="55166" spans="2:2" s="221" customFormat="1" ht="12.75" x14ac:dyDescent="0.2">
      <c r="B55166" s="1168"/>
    </row>
    <row r="55167" spans="2:2" s="221" customFormat="1" ht="12.75" x14ac:dyDescent="0.2">
      <c r="B55167" s="1168"/>
    </row>
    <row r="55168" spans="2:2" s="221" customFormat="1" ht="12.75" x14ac:dyDescent="0.2">
      <c r="B55168" s="1168"/>
    </row>
    <row r="55169" spans="2:2" s="221" customFormat="1" ht="12.75" x14ac:dyDescent="0.2">
      <c r="B55169" s="1168"/>
    </row>
    <row r="55170" spans="2:2" s="221" customFormat="1" ht="12.75" x14ac:dyDescent="0.2">
      <c r="B55170" s="1168"/>
    </row>
    <row r="55171" spans="2:2" s="221" customFormat="1" ht="12.75" x14ac:dyDescent="0.2">
      <c r="B55171" s="1168"/>
    </row>
    <row r="55172" spans="2:2" s="221" customFormat="1" ht="12.75" x14ac:dyDescent="0.2">
      <c r="B55172" s="1168"/>
    </row>
    <row r="55173" spans="2:2" s="221" customFormat="1" ht="12.75" x14ac:dyDescent="0.2">
      <c r="B55173" s="1168"/>
    </row>
    <row r="55174" spans="2:2" s="221" customFormat="1" ht="12.75" x14ac:dyDescent="0.2">
      <c r="B55174" s="1168"/>
    </row>
    <row r="55175" spans="2:2" s="221" customFormat="1" ht="12.75" x14ac:dyDescent="0.2">
      <c r="B55175" s="1168"/>
    </row>
    <row r="55176" spans="2:2" s="221" customFormat="1" ht="12.75" x14ac:dyDescent="0.2">
      <c r="B55176" s="1168"/>
    </row>
    <row r="55177" spans="2:2" s="221" customFormat="1" ht="12.75" x14ac:dyDescent="0.2">
      <c r="B55177" s="1168"/>
    </row>
    <row r="55178" spans="2:2" s="221" customFormat="1" ht="12.75" x14ac:dyDescent="0.2">
      <c r="B55178" s="1168"/>
    </row>
    <row r="55179" spans="2:2" s="221" customFormat="1" ht="12.75" x14ac:dyDescent="0.2">
      <c r="B55179" s="1168"/>
    </row>
    <row r="55180" spans="2:2" s="221" customFormat="1" ht="12.75" x14ac:dyDescent="0.2">
      <c r="B55180" s="1168"/>
    </row>
    <row r="55181" spans="2:2" s="221" customFormat="1" ht="12.75" x14ac:dyDescent="0.2">
      <c r="B55181" s="1168"/>
    </row>
    <row r="55182" spans="2:2" s="221" customFormat="1" ht="12.75" x14ac:dyDescent="0.2">
      <c r="B55182" s="1168"/>
    </row>
    <row r="55183" spans="2:2" s="221" customFormat="1" ht="12.75" x14ac:dyDescent="0.2">
      <c r="B55183" s="1168"/>
    </row>
    <row r="55184" spans="2:2" s="221" customFormat="1" ht="12.75" x14ac:dyDescent="0.2">
      <c r="B55184" s="1168"/>
    </row>
    <row r="55185" spans="2:2" s="221" customFormat="1" ht="12.75" x14ac:dyDescent="0.2">
      <c r="B55185" s="1168"/>
    </row>
    <row r="55186" spans="2:2" s="221" customFormat="1" ht="12.75" x14ac:dyDescent="0.2">
      <c r="B55186" s="1168"/>
    </row>
    <row r="55187" spans="2:2" s="221" customFormat="1" ht="12.75" x14ac:dyDescent="0.2">
      <c r="B55187" s="1168"/>
    </row>
    <row r="55188" spans="2:2" s="221" customFormat="1" ht="12.75" x14ac:dyDescent="0.2">
      <c r="B55188" s="1168"/>
    </row>
    <row r="55189" spans="2:2" s="221" customFormat="1" ht="12.75" x14ac:dyDescent="0.2">
      <c r="B55189" s="1168"/>
    </row>
    <row r="55190" spans="2:2" s="221" customFormat="1" ht="12.75" x14ac:dyDescent="0.2">
      <c r="B55190" s="1168"/>
    </row>
    <row r="55191" spans="2:2" s="221" customFormat="1" ht="12.75" x14ac:dyDescent="0.2">
      <c r="B55191" s="1168"/>
    </row>
    <row r="55192" spans="2:2" s="221" customFormat="1" ht="12.75" x14ac:dyDescent="0.2">
      <c r="B55192" s="1168"/>
    </row>
    <row r="55193" spans="2:2" s="221" customFormat="1" ht="12.75" x14ac:dyDescent="0.2">
      <c r="B55193" s="1168"/>
    </row>
    <row r="55194" spans="2:2" s="221" customFormat="1" ht="12.75" x14ac:dyDescent="0.2">
      <c r="B55194" s="1168"/>
    </row>
    <row r="55195" spans="2:2" s="221" customFormat="1" ht="12.75" x14ac:dyDescent="0.2">
      <c r="B55195" s="1168"/>
    </row>
    <row r="55196" spans="2:2" s="221" customFormat="1" ht="12.75" x14ac:dyDescent="0.2">
      <c r="B55196" s="1168"/>
    </row>
    <row r="55197" spans="2:2" s="221" customFormat="1" ht="12.75" x14ac:dyDescent="0.2">
      <c r="B55197" s="1168"/>
    </row>
    <row r="55198" spans="2:2" s="221" customFormat="1" ht="12.75" x14ac:dyDescent="0.2">
      <c r="B55198" s="1168"/>
    </row>
    <row r="55199" spans="2:2" s="221" customFormat="1" ht="12.75" x14ac:dyDescent="0.2">
      <c r="B55199" s="1168"/>
    </row>
    <row r="55200" spans="2:2" s="221" customFormat="1" ht="12.75" x14ac:dyDescent="0.2">
      <c r="B55200" s="1168"/>
    </row>
    <row r="55201" spans="2:2" s="221" customFormat="1" ht="12.75" x14ac:dyDescent="0.2">
      <c r="B55201" s="1168"/>
    </row>
    <row r="55202" spans="2:2" s="221" customFormat="1" ht="12.75" x14ac:dyDescent="0.2">
      <c r="B55202" s="1168"/>
    </row>
    <row r="55203" spans="2:2" s="221" customFormat="1" ht="12.75" x14ac:dyDescent="0.2">
      <c r="B55203" s="1168"/>
    </row>
    <row r="55204" spans="2:2" s="221" customFormat="1" ht="12.75" x14ac:dyDescent="0.2">
      <c r="B55204" s="1168"/>
    </row>
    <row r="55205" spans="2:2" s="221" customFormat="1" ht="12.75" x14ac:dyDescent="0.2">
      <c r="B55205" s="1168"/>
    </row>
    <row r="55206" spans="2:2" s="221" customFormat="1" ht="12.75" x14ac:dyDescent="0.2">
      <c r="B55206" s="1168"/>
    </row>
    <row r="55207" spans="2:2" s="221" customFormat="1" ht="12.75" x14ac:dyDescent="0.2">
      <c r="B55207" s="1168"/>
    </row>
    <row r="55208" spans="2:2" s="221" customFormat="1" ht="12.75" x14ac:dyDescent="0.2">
      <c r="B55208" s="1168"/>
    </row>
    <row r="55209" spans="2:2" s="221" customFormat="1" ht="12.75" x14ac:dyDescent="0.2">
      <c r="B55209" s="1168"/>
    </row>
    <row r="55210" spans="2:2" s="221" customFormat="1" ht="12.75" x14ac:dyDescent="0.2">
      <c r="B55210" s="1168"/>
    </row>
    <row r="55211" spans="2:2" s="221" customFormat="1" ht="12.75" x14ac:dyDescent="0.2">
      <c r="B55211" s="1168"/>
    </row>
    <row r="55212" spans="2:2" s="221" customFormat="1" ht="12.75" x14ac:dyDescent="0.2">
      <c r="B55212" s="1168"/>
    </row>
    <row r="55213" spans="2:2" s="221" customFormat="1" ht="12.75" x14ac:dyDescent="0.2">
      <c r="B55213" s="1168"/>
    </row>
    <row r="55214" spans="2:2" s="221" customFormat="1" ht="12.75" x14ac:dyDescent="0.2">
      <c r="B55214" s="1168"/>
    </row>
    <row r="55215" spans="2:2" s="221" customFormat="1" ht="12.75" x14ac:dyDescent="0.2">
      <c r="B55215" s="1168"/>
    </row>
    <row r="55216" spans="2:2" s="221" customFormat="1" ht="12.75" x14ac:dyDescent="0.2">
      <c r="B55216" s="1168"/>
    </row>
    <row r="55217" spans="2:2" s="221" customFormat="1" ht="12.75" x14ac:dyDescent="0.2">
      <c r="B55217" s="1168"/>
    </row>
    <row r="55218" spans="2:2" s="221" customFormat="1" ht="12.75" x14ac:dyDescent="0.2">
      <c r="B55218" s="1168"/>
    </row>
    <row r="55219" spans="2:2" s="221" customFormat="1" ht="12.75" x14ac:dyDescent="0.2">
      <c r="B55219" s="1168"/>
    </row>
    <row r="55220" spans="2:2" s="221" customFormat="1" ht="12.75" x14ac:dyDescent="0.2">
      <c r="B55220" s="1168"/>
    </row>
    <row r="55221" spans="2:2" s="221" customFormat="1" ht="12.75" x14ac:dyDescent="0.2">
      <c r="B55221" s="1168"/>
    </row>
    <row r="55222" spans="2:2" s="221" customFormat="1" ht="12.75" x14ac:dyDescent="0.2">
      <c r="B55222" s="1168"/>
    </row>
    <row r="55223" spans="2:2" s="221" customFormat="1" ht="12.75" x14ac:dyDescent="0.2">
      <c r="B55223" s="1168"/>
    </row>
    <row r="55224" spans="2:2" s="221" customFormat="1" ht="12.75" x14ac:dyDescent="0.2">
      <c r="B55224" s="1168"/>
    </row>
    <row r="55225" spans="2:2" s="221" customFormat="1" ht="12.75" x14ac:dyDescent="0.2">
      <c r="B55225" s="1168"/>
    </row>
    <row r="55226" spans="2:2" s="221" customFormat="1" ht="12.75" x14ac:dyDescent="0.2">
      <c r="B55226" s="1168"/>
    </row>
    <row r="55227" spans="2:2" s="221" customFormat="1" ht="12.75" x14ac:dyDescent="0.2">
      <c r="B55227" s="1168"/>
    </row>
    <row r="55228" spans="2:2" s="221" customFormat="1" ht="12.75" x14ac:dyDescent="0.2">
      <c r="B55228" s="1168"/>
    </row>
    <row r="55229" spans="2:2" s="221" customFormat="1" ht="12.75" x14ac:dyDescent="0.2">
      <c r="B55229" s="1168"/>
    </row>
    <row r="55230" spans="2:2" s="221" customFormat="1" ht="12.75" x14ac:dyDescent="0.2">
      <c r="B55230" s="1168"/>
    </row>
    <row r="55231" spans="2:2" s="221" customFormat="1" ht="12.75" x14ac:dyDescent="0.2">
      <c r="B55231" s="1168"/>
    </row>
    <row r="55232" spans="2:2" s="221" customFormat="1" ht="12.75" x14ac:dyDescent="0.2">
      <c r="B55232" s="1168"/>
    </row>
    <row r="55233" spans="2:2" s="221" customFormat="1" ht="12.75" x14ac:dyDescent="0.2">
      <c r="B55233" s="1168"/>
    </row>
    <row r="55234" spans="2:2" s="221" customFormat="1" ht="12.75" x14ac:dyDescent="0.2">
      <c r="B55234" s="1168"/>
    </row>
    <row r="55235" spans="2:2" s="221" customFormat="1" ht="12.75" x14ac:dyDescent="0.2">
      <c r="B55235" s="1168"/>
    </row>
    <row r="55236" spans="2:2" s="221" customFormat="1" ht="12.75" x14ac:dyDescent="0.2">
      <c r="B55236" s="1168"/>
    </row>
    <row r="55237" spans="2:2" s="221" customFormat="1" ht="12.75" x14ac:dyDescent="0.2">
      <c r="B55237" s="1168"/>
    </row>
    <row r="55238" spans="2:2" s="221" customFormat="1" ht="12.75" x14ac:dyDescent="0.2">
      <c r="B55238" s="1168"/>
    </row>
    <row r="55239" spans="2:2" s="221" customFormat="1" ht="12.75" x14ac:dyDescent="0.2">
      <c r="B55239" s="1168"/>
    </row>
    <row r="55240" spans="2:2" s="221" customFormat="1" ht="12.75" x14ac:dyDescent="0.2">
      <c r="B55240" s="1168"/>
    </row>
    <row r="55241" spans="2:2" s="221" customFormat="1" ht="12.75" x14ac:dyDescent="0.2">
      <c r="B55241" s="1168"/>
    </row>
    <row r="55242" spans="2:2" s="221" customFormat="1" ht="12.75" x14ac:dyDescent="0.2">
      <c r="B55242" s="1168"/>
    </row>
    <row r="55243" spans="2:2" s="221" customFormat="1" ht="12.75" x14ac:dyDescent="0.2">
      <c r="B55243" s="1168"/>
    </row>
    <row r="55244" spans="2:2" s="221" customFormat="1" ht="12.75" x14ac:dyDescent="0.2">
      <c r="B55244" s="1168"/>
    </row>
    <row r="55245" spans="2:2" s="221" customFormat="1" ht="12.75" x14ac:dyDescent="0.2">
      <c r="B55245" s="1168"/>
    </row>
    <row r="55246" spans="2:2" s="221" customFormat="1" ht="12.75" x14ac:dyDescent="0.2">
      <c r="B55246" s="1168"/>
    </row>
    <row r="55247" spans="2:2" s="221" customFormat="1" ht="12.75" x14ac:dyDescent="0.2">
      <c r="B55247" s="1168"/>
    </row>
    <row r="55248" spans="2:2" s="221" customFormat="1" ht="12.75" x14ac:dyDescent="0.2">
      <c r="B55248" s="1168"/>
    </row>
    <row r="55249" spans="2:2" s="221" customFormat="1" ht="12.75" x14ac:dyDescent="0.2">
      <c r="B55249" s="1168"/>
    </row>
    <row r="55250" spans="2:2" s="221" customFormat="1" ht="12.75" x14ac:dyDescent="0.2">
      <c r="B55250" s="1168"/>
    </row>
    <row r="55251" spans="2:2" s="221" customFormat="1" ht="12.75" x14ac:dyDescent="0.2">
      <c r="B55251" s="1168"/>
    </row>
    <row r="55252" spans="2:2" s="221" customFormat="1" ht="12.75" x14ac:dyDescent="0.2">
      <c r="B55252" s="1168"/>
    </row>
    <row r="55253" spans="2:2" s="221" customFormat="1" ht="12.75" x14ac:dyDescent="0.2">
      <c r="B55253" s="1168"/>
    </row>
    <row r="55254" spans="2:2" s="221" customFormat="1" ht="12.75" x14ac:dyDescent="0.2">
      <c r="B55254" s="1168"/>
    </row>
    <row r="55255" spans="2:2" s="221" customFormat="1" ht="12.75" x14ac:dyDescent="0.2">
      <c r="B55255" s="1168"/>
    </row>
    <row r="55256" spans="2:2" s="221" customFormat="1" ht="12.75" x14ac:dyDescent="0.2">
      <c r="B55256" s="1168"/>
    </row>
    <row r="55257" spans="2:2" s="221" customFormat="1" ht="12.75" x14ac:dyDescent="0.2">
      <c r="B55257" s="1168"/>
    </row>
    <row r="55258" spans="2:2" s="221" customFormat="1" ht="12.75" x14ac:dyDescent="0.2">
      <c r="B55258" s="1168"/>
    </row>
    <row r="55259" spans="2:2" s="221" customFormat="1" ht="12.75" x14ac:dyDescent="0.2">
      <c r="B55259" s="1168"/>
    </row>
    <row r="55260" spans="2:2" s="221" customFormat="1" ht="12.75" x14ac:dyDescent="0.2">
      <c r="B55260" s="1168"/>
    </row>
    <row r="55261" spans="2:2" s="221" customFormat="1" ht="12.75" x14ac:dyDescent="0.2">
      <c r="B55261" s="1168"/>
    </row>
    <row r="55262" spans="2:2" s="221" customFormat="1" ht="12.75" x14ac:dyDescent="0.2">
      <c r="B55262" s="1168"/>
    </row>
    <row r="55263" spans="2:2" s="221" customFormat="1" ht="12.75" x14ac:dyDescent="0.2">
      <c r="B55263" s="1168"/>
    </row>
    <row r="55264" spans="2:2" s="221" customFormat="1" ht="12.75" x14ac:dyDescent="0.2">
      <c r="B55264" s="1168"/>
    </row>
    <row r="55265" spans="2:2" s="221" customFormat="1" ht="12.75" x14ac:dyDescent="0.2">
      <c r="B55265" s="1168"/>
    </row>
    <row r="55266" spans="2:2" s="221" customFormat="1" ht="12.75" x14ac:dyDescent="0.2">
      <c r="B55266" s="1168"/>
    </row>
    <row r="55267" spans="2:2" s="221" customFormat="1" ht="12.75" x14ac:dyDescent="0.2">
      <c r="B55267" s="1168"/>
    </row>
    <row r="55268" spans="2:2" s="221" customFormat="1" ht="12.75" x14ac:dyDescent="0.2">
      <c r="B55268" s="1168"/>
    </row>
    <row r="55269" spans="2:2" s="221" customFormat="1" ht="12.75" x14ac:dyDescent="0.2">
      <c r="B55269" s="1168"/>
    </row>
    <row r="55270" spans="2:2" s="221" customFormat="1" ht="12.75" x14ac:dyDescent="0.2">
      <c r="B55270" s="1168"/>
    </row>
    <row r="55271" spans="2:2" s="221" customFormat="1" ht="12.75" x14ac:dyDescent="0.2">
      <c r="B55271" s="1168"/>
    </row>
    <row r="55272" spans="2:2" s="221" customFormat="1" ht="12.75" x14ac:dyDescent="0.2">
      <c r="B55272" s="1168"/>
    </row>
    <row r="55273" spans="2:2" s="221" customFormat="1" ht="12.75" x14ac:dyDescent="0.2">
      <c r="B55273" s="1168"/>
    </row>
    <row r="55274" spans="2:2" s="221" customFormat="1" ht="12.75" x14ac:dyDescent="0.2">
      <c r="B55274" s="1168"/>
    </row>
    <row r="55275" spans="2:2" s="221" customFormat="1" ht="12.75" x14ac:dyDescent="0.2">
      <c r="B55275" s="1168"/>
    </row>
    <row r="55276" spans="2:2" s="221" customFormat="1" ht="12.75" x14ac:dyDescent="0.2">
      <c r="B55276" s="1168"/>
    </row>
    <row r="55277" spans="2:2" s="221" customFormat="1" ht="12.75" x14ac:dyDescent="0.2">
      <c r="B55277" s="1168"/>
    </row>
    <row r="55278" spans="2:2" s="221" customFormat="1" ht="12.75" x14ac:dyDescent="0.2">
      <c r="B55278" s="1168"/>
    </row>
    <row r="55279" spans="2:2" s="221" customFormat="1" ht="12.75" x14ac:dyDescent="0.2">
      <c r="B55279" s="1168"/>
    </row>
    <row r="55280" spans="2:2" s="221" customFormat="1" ht="12.75" x14ac:dyDescent="0.2">
      <c r="B55280" s="1168"/>
    </row>
    <row r="55281" spans="2:2" s="221" customFormat="1" ht="12.75" x14ac:dyDescent="0.2">
      <c r="B55281" s="1168"/>
    </row>
    <row r="55282" spans="2:2" s="221" customFormat="1" ht="12.75" x14ac:dyDescent="0.2">
      <c r="B55282" s="1168"/>
    </row>
    <row r="55283" spans="2:2" s="221" customFormat="1" ht="12.75" x14ac:dyDescent="0.2">
      <c r="B55283" s="1168"/>
    </row>
    <row r="55284" spans="2:2" s="221" customFormat="1" ht="12.75" x14ac:dyDescent="0.2">
      <c r="B55284" s="1168"/>
    </row>
    <row r="55285" spans="2:2" s="221" customFormat="1" ht="12.75" x14ac:dyDescent="0.2">
      <c r="B55285" s="1168"/>
    </row>
    <row r="55286" spans="2:2" s="221" customFormat="1" ht="12.75" x14ac:dyDescent="0.2">
      <c r="B55286" s="1168"/>
    </row>
    <row r="55287" spans="2:2" s="221" customFormat="1" ht="12.75" x14ac:dyDescent="0.2">
      <c r="B55287" s="1168"/>
    </row>
    <row r="55288" spans="2:2" s="221" customFormat="1" ht="12.75" x14ac:dyDescent="0.2">
      <c r="B55288" s="1168"/>
    </row>
    <row r="55289" spans="2:2" s="221" customFormat="1" ht="12.75" x14ac:dyDescent="0.2">
      <c r="B55289" s="1168"/>
    </row>
    <row r="55290" spans="2:2" s="221" customFormat="1" ht="12.75" x14ac:dyDescent="0.2">
      <c r="B55290" s="1168"/>
    </row>
    <row r="55291" spans="2:2" s="221" customFormat="1" ht="12.75" x14ac:dyDescent="0.2">
      <c r="B55291" s="1168"/>
    </row>
    <row r="55292" spans="2:2" s="221" customFormat="1" ht="12.75" x14ac:dyDescent="0.2">
      <c r="B55292" s="1168"/>
    </row>
    <row r="55293" spans="2:2" s="221" customFormat="1" ht="12.75" x14ac:dyDescent="0.2">
      <c r="B55293" s="1168"/>
    </row>
    <row r="55294" spans="2:2" s="221" customFormat="1" ht="12.75" x14ac:dyDescent="0.2">
      <c r="B55294" s="1168"/>
    </row>
    <row r="55295" spans="2:2" s="221" customFormat="1" ht="12.75" x14ac:dyDescent="0.2">
      <c r="B55295" s="1168"/>
    </row>
    <row r="55296" spans="2:2" s="221" customFormat="1" ht="12.75" x14ac:dyDescent="0.2">
      <c r="B55296" s="1168"/>
    </row>
    <row r="55297" spans="2:2" s="221" customFormat="1" ht="12.75" x14ac:dyDescent="0.2">
      <c r="B55297" s="1168"/>
    </row>
    <row r="55298" spans="2:2" s="221" customFormat="1" ht="12.75" x14ac:dyDescent="0.2">
      <c r="B55298" s="1168"/>
    </row>
    <row r="55299" spans="2:2" s="221" customFormat="1" ht="12.75" x14ac:dyDescent="0.2">
      <c r="B55299" s="1168"/>
    </row>
    <row r="55300" spans="2:2" s="221" customFormat="1" ht="12.75" x14ac:dyDescent="0.2">
      <c r="B55300" s="1168"/>
    </row>
    <row r="55301" spans="2:2" s="221" customFormat="1" ht="12.75" x14ac:dyDescent="0.2">
      <c r="B55301" s="1168"/>
    </row>
    <row r="55302" spans="2:2" s="221" customFormat="1" ht="12.75" x14ac:dyDescent="0.2">
      <c r="B55302" s="1168"/>
    </row>
    <row r="55303" spans="2:2" s="221" customFormat="1" ht="12.75" x14ac:dyDescent="0.2">
      <c r="B55303" s="1168"/>
    </row>
    <row r="55304" spans="2:2" s="221" customFormat="1" ht="12.75" x14ac:dyDescent="0.2">
      <c r="B55304" s="1168"/>
    </row>
    <row r="55305" spans="2:2" s="221" customFormat="1" ht="12.75" x14ac:dyDescent="0.2">
      <c r="B55305" s="1168"/>
    </row>
    <row r="55306" spans="2:2" s="221" customFormat="1" ht="12.75" x14ac:dyDescent="0.2">
      <c r="B55306" s="1168"/>
    </row>
    <row r="55307" spans="2:2" s="221" customFormat="1" ht="12.75" x14ac:dyDescent="0.2">
      <c r="B55307" s="1168"/>
    </row>
    <row r="55308" spans="2:2" s="221" customFormat="1" ht="12.75" x14ac:dyDescent="0.2">
      <c r="B55308" s="1168"/>
    </row>
    <row r="55309" spans="2:2" s="221" customFormat="1" ht="12.75" x14ac:dyDescent="0.2">
      <c r="B55309" s="1168"/>
    </row>
    <row r="55310" spans="2:2" s="221" customFormat="1" ht="12.75" x14ac:dyDescent="0.2">
      <c r="B55310" s="1168"/>
    </row>
    <row r="55311" spans="2:2" s="221" customFormat="1" ht="12.75" x14ac:dyDescent="0.2">
      <c r="B55311" s="1168"/>
    </row>
    <row r="55312" spans="2:2" s="221" customFormat="1" ht="12.75" x14ac:dyDescent="0.2">
      <c r="B55312" s="1168"/>
    </row>
    <row r="55313" spans="2:2" s="221" customFormat="1" ht="12.75" x14ac:dyDescent="0.2">
      <c r="B55313" s="1168"/>
    </row>
    <row r="55314" spans="2:2" s="221" customFormat="1" ht="12.75" x14ac:dyDescent="0.2">
      <c r="B55314" s="1168"/>
    </row>
    <row r="55315" spans="2:2" s="221" customFormat="1" ht="12.75" x14ac:dyDescent="0.2">
      <c r="B55315" s="1168"/>
    </row>
    <row r="55316" spans="2:2" s="221" customFormat="1" ht="12.75" x14ac:dyDescent="0.2">
      <c r="B55316" s="1168"/>
    </row>
    <row r="55317" spans="2:2" s="221" customFormat="1" ht="12.75" x14ac:dyDescent="0.2">
      <c r="B55317" s="1168"/>
    </row>
    <row r="55318" spans="2:2" s="221" customFormat="1" ht="12.75" x14ac:dyDescent="0.2">
      <c r="B55318" s="1168"/>
    </row>
    <row r="55319" spans="2:2" s="221" customFormat="1" ht="12.75" x14ac:dyDescent="0.2">
      <c r="B55319" s="1168"/>
    </row>
    <row r="55320" spans="2:2" s="221" customFormat="1" ht="12.75" x14ac:dyDescent="0.2">
      <c r="B55320" s="1168"/>
    </row>
    <row r="55321" spans="2:2" s="221" customFormat="1" ht="12.75" x14ac:dyDescent="0.2">
      <c r="B55321" s="1168"/>
    </row>
    <row r="55322" spans="2:2" s="221" customFormat="1" ht="12.75" x14ac:dyDescent="0.2">
      <c r="B55322" s="1168"/>
    </row>
    <row r="55323" spans="2:2" s="221" customFormat="1" ht="12.75" x14ac:dyDescent="0.2">
      <c r="B55323" s="1168"/>
    </row>
    <row r="55324" spans="2:2" s="221" customFormat="1" ht="12.75" x14ac:dyDescent="0.2">
      <c r="B55324" s="1168"/>
    </row>
    <row r="55325" spans="2:2" s="221" customFormat="1" ht="12.75" x14ac:dyDescent="0.2">
      <c r="B55325" s="1168"/>
    </row>
    <row r="55326" spans="2:2" s="221" customFormat="1" ht="12.75" x14ac:dyDescent="0.2">
      <c r="B55326" s="1168"/>
    </row>
    <row r="55327" spans="2:2" s="221" customFormat="1" ht="12.75" x14ac:dyDescent="0.2">
      <c r="B55327" s="1168"/>
    </row>
    <row r="55328" spans="2:2" s="221" customFormat="1" ht="12.75" x14ac:dyDescent="0.2">
      <c r="B55328" s="1168"/>
    </row>
    <row r="55329" spans="2:2" s="221" customFormat="1" ht="12.75" x14ac:dyDescent="0.2">
      <c r="B55329" s="1168"/>
    </row>
    <row r="55330" spans="2:2" s="221" customFormat="1" ht="12.75" x14ac:dyDescent="0.2">
      <c r="B55330" s="1168"/>
    </row>
    <row r="55331" spans="2:2" s="221" customFormat="1" ht="12.75" x14ac:dyDescent="0.2">
      <c r="B55331" s="1168"/>
    </row>
    <row r="55332" spans="2:2" s="221" customFormat="1" ht="12.75" x14ac:dyDescent="0.2">
      <c r="B55332" s="1168"/>
    </row>
    <row r="55333" spans="2:2" s="221" customFormat="1" ht="12.75" x14ac:dyDescent="0.2">
      <c r="B55333" s="1168"/>
    </row>
    <row r="55334" spans="2:2" s="221" customFormat="1" ht="12.75" x14ac:dyDescent="0.2">
      <c r="B55334" s="1168"/>
    </row>
    <row r="55335" spans="2:2" s="221" customFormat="1" ht="12.75" x14ac:dyDescent="0.2">
      <c r="B55335" s="1168"/>
    </row>
    <row r="55336" spans="2:2" s="221" customFormat="1" ht="12.75" x14ac:dyDescent="0.2">
      <c r="B55336" s="1168"/>
    </row>
    <row r="55337" spans="2:2" s="221" customFormat="1" ht="12.75" x14ac:dyDescent="0.2">
      <c r="B55337" s="1168"/>
    </row>
    <row r="55338" spans="2:2" s="221" customFormat="1" ht="12.75" x14ac:dyDescent="0.2">
      <c r="B55338" s="1168"/>
    </row>
    <row r="55339" spans="2:2" s="221" customFormat="1" ht="12.75" x14ac:dyDescent="0.2">
      <c r="B55339" s="1168"/>
    </row>
    <row r="55340" spans="2:2" s="221" customFormat="1" ht="12.75" x14ac:dyDescent="0.2">
      <c r="B55340" s="1168"/>
    </row>
    <row r="55341" spans="2:2" s="221" customFormat="1" ht="12.75" x14ac:dyDescent="0.2">
      <c r="B55341" s="1168"/>
    </row>
    <row r="55342" spans="2:2" s="221" customFormat="1" ht="12.75" x14ac:dyDescent="0.2">
      <c r="B55342" s="1168"/>
    </row>
    <row r="55343" spans="2:2" s="221" customFormat="1" ht="12.75" x14ac:dyDescent="0.2">
      <c r="B55343" s="1168"/>
    </row>
    <row r="55344" spans="2:2" s="221" customFormat="1" ht="12.75" x14ac:dyDescent="0.2">
      <c r="B55344" s="1168"/>
    </row>
    <row r="55345" spans="2:2" s="221" customFormat="1" ht="12.75" x14ac:dyDescent="0.2">
      <c r="B55345" s="1168"/>
    </row>
    <row r="55346" spans="2:2" s="221" customFormat="1" ht="12.75" x14ac:dyDescent="0.2">
      <c r="B55346" s="1168"/>
    </row>
    <row r="55347" spans="2:2" s="221" customFormat="1" ht="12.75" x14ac:dyDescent="0.2">
      <c r="B55347" s="1168"/>
    </row>
    <row r="55348" spans="2:2" s="221" customFormat="1" ht="12.75" x14ac:dyDescent="0.2">
      <c r="B55348" s="1168"/>
    </row>
    <row r="55349" spans="2:2" s="221" customFormat="1" ht="12.75" x14ac:dyDescent="0.2">
      <c r="B55349" s="1168"/>
    </row>
    <row r="55350" spans="2:2" s="221" customFormat="1" ht="12.75" x14ac:dyDescent="0.2">
      <c r="B55350" s="1168"/>
    </row>
    <row r="55351" spans="2:2" s="221" customFormat="1" ht="12.75" x14ac:dyDescent="0.2">
      <c r="B55351" s="1168"/>
    </row>
    <row r="55352" spans="2:2" s="221" customFormat="1" ht="12.75" x14ac:dyDescent="0.2">
      <c r="B55352" s="1168"/>
    </row>
    <row r="55353" spans="2:2" s="221" customFormat="1" ht="12.75" x14ac:dyDescent="0.2">
      <c r="B55353" s="1168"/>
    </row>
    <row r="55354" spans="2:2" s="221" customFormat="1" ht="12.75" x14ac:dyDescent="0.2">
      <c r="B55354" s="1168"/>
    </row>
    <row r="55355" spans="2:2" s="221" customFormat="1" ht="12.75" x14ac:dyDescent="0.2">
      <c r="B55355" s="1168"/>
    </row>
    <row r="55356" spans="2:2" s="221" customFormat="1" ht="12.75" x14ac:dyDescent="0.2">
      <c r="B55356" s="1168"/>
    </row>
    <row r="55357" spans="2:2" s="221" customFormat="1" ht="12.75" x14ac:dyDescent="0.2">
      <c r="B55357" s="1168"/>
    </row>
    <row r="55358" spans="2:2" s="221" customFormat="1" ht="12.75" x14ac:dyDescent="0.2">
      <c r="B55358" s="1168"/>
    </row>
    <row r="55359" spans="2:2" s="221" customFormat="1" ht="12.75" x14ac:dyDescent="0.2">
      <c r="B55359" s="1168"/>
    </row>
    <row r="55360" spans="2:2" s="221" customFormat="1" ht="12.75" x14ac:dyDescent="0.2">
      <c r="B55360" s="1168"/>
    </row>
    <row r="55361" spans="2:2" s="221" customFormat="1" ht="12.75" x14ac:dyDescent="0.2">
      <c r="B55361" s="1168"/>
    </row>
    <row r="55362" spans="2:2" s="221" customFormat="1" ht="12.75" x14ac:dyDescent="0.2">
      <c r="B55362" s="1168"/>
    </row>
    <row r="55363" spans="2:2" s="221" customFormat="1" ht="12.75" x14ac:dyDescent="0.2">
      <c r="B55363" s="1168"/>
    </row>
    <row r="55364" spans="2:2" s="221" customFormat="1" ht="12.75" x14ac:dyDescent="0.2">
      <c r="B55364" s="1168"/>
    </row>
    <row r="55365" spans="2:2" s="221" customFormat="1" ht="12.75" x14ac:dyDescent="0.2">
      <c r="B55365" s="1168"/>
    </row>
    <row r="55366" spans="2:2" s="221" customFormat="1" ht="12.75" x14ac:dyDescent="0.2">
      <c r="B55366" s="1168"/>
    </row>
    <row r="55367" spans="2:2" s="221" customFormat="1" ht="12.75" x14ac:dyDescent="0.2">
      <c r="B55367" s="1168"/>
    </row>
    <row r="55368" spans="2:2" s="221" customFormat="1" ht="12.75" x14ac:dyDescent="0.2">
      <c r="B55368" s="1168"/>
    </row>
    <row r="55369" spans="2:2" s="221" customFormat="1" ht="12.75" x14ac:dyDescent="0.2">
      <c r="B55369" s="1168"/>
    </row>
    <row r="55370" spans="2:2" s="221" customFormat="1" ht="12.75" x14ac:dyDescent="0.2">
      <c r="B55370" s="1168"/>
    </row>
    <row r="55371" spans="2:2" s="221" customFormat="1" ht="12.75" x14ac:dyDescent="0.2">
      <c r="B55371" s="1168"/>
    </row>
    <row r="55372" spans="2:2" s="221" customFormat="1" ht="12.75" x14ac:dyDescent="0.2">
      <c r="B55372" s="1168"/>
    </row>
    <row r="55373" spans="2:2" s="221" customFormat="1" ht="12.75" x14ac:dyDescent="0.2">
      <c r="B55373" s="1168"/>
    </row>
    <row r="55374" spans="2:2" s="221" customFormat="1" ht="12.75" x14ac:dyDescent="0.2">
      <c r="B55374" s="1168"/>
    </row>
    <row r="55375" spans="2:2" s="221" customFormat="1" ht="12.75" x14ac:dyDescent="0.2">
      <c r="B55375" s="1168"/>
    </row>
    <row r="55376" spans="2:2" s="221" customFormat="1" ht="12.75" x14ac:dyDescent="0.2">
      <c r="B55376" s="1168"/>
    </row>
    <row r="55377" spans="2:2" s="221" customFormat="1" ht="12.75" x14ac:dyDescent="0.2">
      <c r="B55377" s="1168"/>
    </row>
    <row r="55378" spans="2:2" s="221" customFormat="1" ht="12.75" x14ac:dyDescent="0.2">
      <c r="B55378" s="1168"/>
    </row>
    <row r="55379" spans="2:2" s="221" customFormat="1" ht="12.75" x14ac:dyDescent="0.2">
      <c r="B55379" s="1168"/>
    </row>
    <row r="55380" spans="2:2" s="221" customFormat="1" ht="12.75" x14ac:dyDescent="0.2">
      <c r="B55380" s="1168"/>
    </row>
    <row r="55381" spans="2:2" s="221" customFormat="1" ht="12.75" x14ac:dyDescent="0.2">
      <c r="B55381" s="1168"/>
    </row>
    <row r="55382" spans="2:2" s="221" customFormat="1" ht="12.75" x14ac:dyDescent="0.2">
      <c r="B55382" s="1168"/>
    </row>
    <row r="55383" spans="2:2" s="221" customFormat="1" ht="12.75" x14ac:dyDescent="0.2">
      <c r="B55383" s="1168"/>
    </row>
    <row r="55384" spans="2:2" s="221" customFormat="1" ht="12.75" x14ac:dyDescent="0.2">
      <c r="B55384" s="1168"/>
    </row>
    <row r="55385" spans="2:2" s="221" customFormat="1" ht="12.75" x14ac:dyDescent="0.2">
      <c r="B55385" s="1168"/>
    </row>
    <row r="55386" spans="2:2" s="221" customFormat="1" ht="12.75" x14ac:dyDescent="0.2">
      <c r="B55386" s="1168"/>
    </row>
    <row r="55387" spans="2:2" s="221" customFormat="1" ht="12.75" x14ac:dyDescent="0.2">
      <c r="B55387" s="1168"/>
    </row>
    <row r="55388" spans="2:2" s="221" customFormat="1" ht="12.75" x14ac:dyDescent="0.2">
      <c r="B55388" s="1168"/>
    </row>
    <row r="55389" spans="2:2" s="221" customFormat="1" ht="12.75" x14ac:dyDescent="0.2">
      <c r="B55389" s="1168"/>
    </row>
    <row r="55390" spans="2:2" s="221" customFormat="1" ht="12.75" x14ac:dyDescent="0.2">
      <c r="B55390" s="1168"/>
    </row>
    <row r="55391" spans="2:2" s="221" customFormat="1" ht="12.75" x14ac:dyDescent="0.2">
      <c r="B55391" s="1168"/>
    </row>
    <row r="55392" spans="2:2" s="221" customFormat="1" ht="12.75" x14ac:dyDescent="0.2">
      <c r="B55392" s="1168"/>
    </row>
    <row r="55393" spans="2:2" s="221" customFormat="1" ht="12.75" x14ac:dyDescent="0.2">
      <c r="B55393" s="1168"/>
    </row>
    <row r="55394" spans="2:2" s="221" customFormat="1" ht="12.75" x14ac:dyDescent="0.2">
      <c r="B55394" s="1168"/>
    </row>
    <row r="55395" spans="2:2" s="221" customFormat="1" ht="12.75" x14ac:dyDescent="0.2">
      <c r="B55395" s="1168"/>
    </row>
    <row r="55396" spans="2:2" s="221" customFormat="1" ht="12.75" x14ac:dyDescent="0.2">
      <c r="B55396" s="1168"/>
    </row>
    <row r="55397" spans="2:2" s="221" customFormat="1" ht="12.75" x14ac:dyDescent="0.2">
      <c r="B55397" s="1168"/>
    </row>
    <row r="55398" spans="2:2" s="221" customFormat="1" ht="12.75" x14ac:dyDescent="0.2">
      <c r="B55398" s="1168"/>
    </row>
    <row r="55399" spans="2:2" s="221" customFormat="1" ht="12.75" x14ac:dyDescent="0.2">
      <c r="B55399" s="1168"/>
    </row>
    <row r="55400" spans="2:2" s="221" customFormat="1" ht="12.75" x14ac:dyDescent="0.2">
      <c r="B55400" s="1168"/>
    </row>
    <row r="55401" spans="2:2" s="221" customFormat="1" ht="12.75" x14ac:dyDescent="0.2">
      <c r="B55401" s="1168"/>
    </row>
    <row r="55402" spans="2:2" s="221" customFormat="1" ht="12.75" x14ac:dyDescent="0.2">
      <c r="B55402" s="1168"/>
    </row>
    <row r="55403" spans="2:2" s="221" customFormat="1" ht="12.75" x14ac:dyDescent="0.2">
      <c r="B55403" s="1168"/>
    </row>
    <row r="55404" spans="2:2" s="221" customFormat="1" ht="12.75" x14ac:dyDescent="0.2">
      <c r="B55404" s="1168"/>
    </row>
    <row r="55405" spans="2:2" s="221" customFormat="1" ht="12.75" x14ac:dyDescent="0.2">
      <c r="B55405" s="1168"/>
    </row>
    <row r="55406" spans="2:2" s="221" customFormat="1" ht="12.75" x14ac:dyDescent="0.2">
      <c r="B55406" s="1168"/>
    </row>
    <row r="55407" spans="2:2" s="221" customFormat="1" ht="12.75" x14ac:dyDescent="0.2">
      <c r="B55407" s="1168"/>
    </row>
    <row r="55408" spans="2:2" s="221" customFormat="1" ht="12.75" x14ac:dyDescent="0.2">
      <c r="B55408" s="1168"/>
    </row>
    <row r="55409" spans="2:2" s="221" customFormat="1" ht="12.75" x14ac:dyDescent="0.2">
      <c r="B55409" s="1168"/>
    </row>
    <row r="55410" spans="2:2" s="221" customFormat="1" ht="12.75" x14ac:dyDescent="0.2">
      <c r="B55410" s="1168"/>
    </row>
    <row r="55411" spans="2:2" s="221" customFormat="1" ht="12.75" x14ac:dyDescent="0.2">
      <c r="B55411" s="1168"/>
    </row>
    <row r="55412" spans="2:2" s="221" customFormat="1" ht="12.75" x14ac:dyDescent="0.2">
      <c r="B55412" s="1168"/>
    </row>
    <row r="55413" spans="2:2" s="221" customFormat="1" ht="12.75" x14ac:dyDescent="0.2">
      <c r="B55413" s="1168"/>
    </row>
    <row r="55414" spans="2:2" s="221" customFormat="1" ht="12.75" x14ac:dyDescent="0.2">
      <c r="B55414" s="1168"/>
    </row>
    <row r="55415" spans="2:2" s="221" customFormat="1" ht="12.75" x14ac:dyDescent="0.2">
      <c r="B55415" s="1168"/>
    </row>
    <row r="55416" spans="2:2" s="221" customFormat="1" ht="12.75" x14ac:dyDescent="0.2">
      <c r="B55416" s="1168"/>
    </row>
    <row r="55417" spans="2:2" s="221" customFormat="1" ht="12.75" x14ac:dyDescent="0.2">
      <c r="B55417" s="1168"/>
    </row>
    <row r="55418" spans="2:2" s="221" customFormat="1" ht="12.75" x14ac:dyDescent="0.2">
      <c r="B55418" s="1168"/>
    </row>
    <row r="55419" spans="2:2" s="221" customFormat="1" ht="12.75" x14ac:dyDescent="0.2">
      <c r="B55419" s="1168"/>
    </row>
    <row r="55420" spans="2:2" s="221" customFormat="1" ht="12.75" x14ac:dyDescent="0.2">
      <c r="B55420" s="1168"/>
    </row>
    <row r="55421" spans="2:2" s="221" customFormat="1" ht="12.75" x14ac:dyDescent="0.2">
      <c r="B55421" s="1168"/>
    </row>
    <row r="55422" spans="2:2" s="221" customFormat="1" ht="12.75" x14ac:dyDescent="0.2">
      <c r="B55422" s="1168"/>
    </row>
    <row r="55423" spans="2:2" s="221" customFormat="1" ht="12.75" x14ac:dyDescent="0.2">
      <c r="B55423" s="1168"/>
    </row>
    <row r="55424" spans="2:2" s="221" customFormat="1" ht="12.75" x14ac:dyDescent="0.2">
      <c r="B55424" s="1168"/>
    </row>
    <row r="55425" spans="2:2" s="221" customFormat="1" ht="12.75" x14ac:dyDescent="0.2">
      <c r="B55425" s="1168"/>
    </row>
    <row r="55426" spans="2:2" s="221" customFormat="1" ht="12.75" x14ac:dyDescent="0.2">
      <c r="B55426" s="1168"/>
    </row>
    <row r="55427" spans="2:2" s="221" customFormat="1" ht="12.75" x14ac:dyDescent="0.2">
      <c r="B55427" s="1168"/>
    </row>
    <row r="55428" spans="2:2" s="221" customFormat="1" ht="12.75" x14ac:dyDescent="0.2">
      <c r="B55428" s="1168"/>
    </row>
    <row r="55429" spans="2:2" s="221" customFormat="1" ht="12.75" x14ac:dyDescent="0.2">
      <c r="B55429" s="1168"/>
    </row>
    <row r="55430" spans="2:2" s="221" customFormat="1" ht="12.75" x14ac:dyDescent="0.2">
      <c r="B55430" s="1168"/>
    </row>
    <row r="55431" spans="2:2" s="221" customFormat="1" ht="12.75" x14ac:dyDescent="0.2">
      <c r="B55431" s="1168"/>
    </row>
    <row r="55432" spans="2:2" s="221" customFormat="1" ht="12.75" x14ac:dyDescent="0.2">
      <c r="B55432" s="1168"/>
    </row>
    <row r="55433" spans="2:2" s="221" customFormat="1" ht="12.75" x14ac:dyDescent="0.2">
      <c r="B55433" s="1168"/>
    </row>
    <row r="55434" spans="2:2" s="221" customFormat="1" ht="12.75" x14ac:dyDescent="0.2">
      <c r="B55434" s="1168"/>
    </row>
    <row r="55435" spans="2:2" s="221" customFormat="1" ht="12.75" x14ac:dyDescent="0.2">
      <c r="B55435" s="1168"/>
    </row>
    <row r="55436" spans="2:2" s="221" customFormat="1" ht="12.75" x14ac:dyDescent="0.2">
      <c r="B55436" s="1168"/>
    </row>
    <row r="55437" spans="2:2" s="221" customFormat="1" ht="12.75" x14ac:dyDescent="0.2">
      <c r="B55437" s="1168"/>
    </row>
    <row r="55438" spans="2:2" s="221" customFormat="1" ht="12.75" x14ac:dyDescent="0.2">
      <c r="B55438" s="1168"/>
    </row>
    <row r="55439" spans="2:2" s="221" customFormat="1" ht="12.75" x14ac:dyDescent="0.2">
      <c r="B55439" s="1168"/>
    </row>
    <row r="55440" spans="2:2" s="221" customFormat="1" ht="12.75" x14ac:dyDescent="0.2">
      <c r="B55440" s="1168"/>
    </row>
    <row r="55441" spans="2:2" s="221" customFormat="1" ht="12.75" x14ac:dyDescent="0.2">
      <c r="B55441" s="1168"/>
    </row>
    <row r="55442" spans="2:2" s="221" customFormat="1" ht="12.75" x14ac:dyDescent="0.2">
      <c r="B55442" s="1168"/>
    </row>
    <row r="55443" spans="2:2" s="221" customFormat="1" ht="12.75" x14ac:dyDescent="0.2">
      <c r="B55443" s="1168"/>
    </row>
    <row r="55444" spans="2:2" s="221" customFormat="1" ht="12.75" x14ac:dyDescent="0.2">
      <c r="B55444" s="1168"/>
    </row>
    <row r="55445" spans="2:2" s="221" customFormat="1" ht="12.75" x14ac:dyDescent="0.2">
      <c r="B55445" s="1168"/>
    </row>
    <row r="55446" spans="2:2" s="221" customFormat="1" ht="12.75" x14ac:dyDescent="0.2">
      <c r="B55446" s="1168"/>
    </row>
    <row r="55447" spans="2:2" s="221" customFormat="1" ht="12.75" x14ac:dyDescent="0.2">
      <c r="B55447" s="1168"/>
    </row>
    <row r="55448" spans="2:2" s="221" customFormat="1" ht="12.75" x14ac:dyDescent="0.2">
      <c r="B55448" s="1168"/>
    </row>
    <row r="55449" spans="2:2" s="221" customFormat="1" ht="12.75" x14ac:dyDescent="0.2">
      <c r="B55449" s="1168"/>
    </row>
    <row r="55450" spans="2:2" s="221" customFormat="1" ht="12.75" x14ac:dyDescent="0.2">
      <c r="B55450" s="1168"/>
    </row>
    <row r="55451" spans="2:2" s="221" customFormat="1" ht="12.75" x14ac:dyDescent="0.2">
      <c r="B55451" s="1168"/>
    </row>
    <row r="55452" spans="2:2" s="221" customFormat="1" ht="12.75" x14ac:dyDescent="0.2">
      <c r="B55452" s="1168"/>
    </row>
    <row r="55453" spans="2:2" s="221" customFormat="1" ht="12.75" x14ac:dyDescent="0.2">
      <c r="B55453" s="1168"/>
    </row>
    <row r="55454" spans="2:2" s="221" customFormat="1" ht="12.75" x14ac:dyDescent="0.2">
      <c r="B55454" s="1168"/>
    </row>
    <row r="55455" spans="2:2" s="221" customFormat="1" ht="12.75" x14ac:dyDescent="0.2">
      <c r="B55455" s="1168"/>
    </row>
    <row r="55456" spans="2:2" s="221" customFormat="1" ht="12.75" x14ac:dyDescent="0.2">
      <c r="B55456" s="1168"/>
    </row>
    <row r="55457" spans="2:2" s="221" customFormat="1" ht="12.75" x14ac:dyDescent="0.2">
      <c r="B55457" s="1168"/>
    </row>
    <row r="55458" spans="2:2" s="221" customFormat="1" ht="12.75" x14ac:dyDescent="0.2">
      <c r="B55458" s="1168"/>
    </row>
    <row r="55459" spans="2:2" s="221" customFormat="1" ht="12.75" x14ac:dyDescent="0.2">
      <c r="B55459" s="1168"/>
    </row>
    <row r="55460" spans="2:2" s="221" customFormat="1" ht="12.75" x14ac:dyDescent="0.2">
      <c r="B55460" s="1168"/>
    </row>
    <row r="55461" spans="2:2" s="221" customFormat="1" ht="12.75" x14ac:dyDescent="0.2">
      <c r="B55461" s="1168"/>
    </row>
    <row r="55462" spans="2:2" s="221" customFormat="1" ht="12.75" x14ac:dyDescent="0.2">
      <c r="B55462" s="1168"/>
    </row>
    <row r="55463" spans="2:2" s="221" customFormat="1" ht="12.75" x14ac:dyDescent="0.2">
      <c r="B55463" s="1168"/>
    </row>
    <row r="55464" spans="2:2" s="221" customFormat="1" ht="12.75" x14ac:dyDescent="0.2">
      <c r="B55464" s="1168"/>
    </row>
    <row r="55465" spans="2:2" s="221" customFormat="1" ht="12.75" x14ac:dyDescent="0.2">
      <c r="B55465" s="1168"/>
    </row>
    <row r="55466" spans="2:2" s="221" customFormat="1" ht="12.75" x14ac:dyDescent="0.2">
      <c r="B55466" s="1168"/>
    </row>
    <row r="55467" spans="2:2" s="221" customFormat="1" ht="12.75" x14ac:dyDescent="0.2">
      <c r="B55467" s="1168"/>
    </row>
    <row r="55468" spans="2:2" s="221" customFormat="1" ht="12.75" x14ac:dyDescent="0.2">
      <c r="B55468" s="1168"/>
    </row>
    <row r="55469" spans="2:2" s="221" customFormat="1" ht="12.75" x14ac:dyDescent="0.2">
      <c r="B55469" s="1168"/>
    </row>
    <row r="55470" spans="2:2" s="221" customFormat="1" ht="12.75" x14ac:dyDescent="0.2">
      <c r="B55470" s="1168"/>
    </row>
    <row r="55471" spans="2:2" s="221" customFormat="1" ht="12.75" x14ac:dyDescent="0.2">
      <c r="B55471" s="1168"/>
    </row>
    <row r="55472" spans="2:2" s="221" customFormat="1" ht="12.75" x14ac:dyDescent="0.2">
      <c r="B55472" s="1168"/>
    </row>
    <row r="55473" spans="2:2" s="221" customFormat="1" ht="12.75" x14ac:dyDescent="0.2">
      <c r="B55473" s="1168"/>
    </row>
    <row r="55474" spans="2:2" s="221" customFormat="1" ht="12.75" x14ac:dyDescent="0.2">
      <c r="B55474" s="1168"/>
    </row>
    <row r="55475" spans="2:2" s="221" customFormat="1" ht="12.75" x14ac:dyDescent="0.2">
      <c r="B55475" s="1168"/>
    </row>
    <row r="55476" spans="2:2" s="221" customFormat="1" ht="12.75" x14ac:dyDescent="0.2">
      <c r="B55476" s="1168"/>
    </row>
    <row r="55477" spans="2:2" s="221" customFormat="1" ht="12.75" x14ac:dyDescent="0.2">
      <c r="B55477" s="1168"/>
    </row>
    <row r="55478" spans="2:2" s="221" customFormat="1" ht="12.75" x14ac:dyDescent="0.2">
      <c r="B55478" s="1168"/>
    </row>
    <row r="55479" spans="2:2" s="221" customFormat="1" ht="12.75" x14ac:dyDescent="0.2">
      <c r="B55479" s="1168"/>
    </row>
    <row r="55480" spans="2:2" s="221" customFormat="1" ht="12.75" x14ac:dyDescent="0.2">
      <c r="B55480" s="1168"/>
    </row>
    <row r="55481" spans="2:2" s="221" customFormat="1" ht="12.75" x14ac:dyDescent="0.2">
      <c r="B55481" s="1168"/>
    </row>
    <row r="55482" spans="2:2" s="221" customFormat="1" ht="12.75" x14ac:dyDescent="0.2">
      <c r="B55482" s="1168"/>
    </row>
    <row r="55483" spans="2:2" s="221" customFormat="1" ht="12.75" x14ac:dyDescent="0.2">
      <c r="B55483" s="1168"/>
    </row>
    <row r="55484" spans="2:2" s="221" customFormat="1" ht="12.75" x14ac:dyDescent="0.2">
      <c r="B55484" s="1168"/>
    </row>
    <row r="55485" spans="2:2" s="221" customFormat="1" ht="12.75" x14ac:dyDescent="0.2">
      <c r="B55485" s="1168"/>
    </row>
    <row r="55486" spans="2:2" s="221" customFormat="1" ht="12.75" x14ac:dyDescent="0.2">
      <c r="B55486" s="1168"/>
    </row>
    <row r="55487" spans="2:2" s="221" customFormat="1" ht="12.75" x14ac:dyDescent="0.2">
      <c r="B55487" s="1168"/>
    </row>
    <row r="55488" spans="2:2" s="221" customFormat="1" ht="12.75" x14ac:dyDescent="0.2">
      <c r="B55488" s="1168"/>
    </row>
    <row r="55489" spans="2:2" s="221" customFormat="1" ht="12.75" x14ac:dyDescent="0.2">
      <c r="B55489" s="1168"/>
    </row>
    <row r="55490" spans="2:2" s="221" customFormat="1" ht="12.75" x14ac:dyDescent="0.2">
      <c r="B55490" s="1168"/>
    </row>
    <row r="55491" spans="2:2" s="221" customFormat="1" ht="12.75" x14ac:dyDescent="0.2">
      <c r="B55491" s="1168"/>
    </row>
    <row r="55492" spans="2:2" s="221" customFormat="1" ht="12.75" x14ac:dyDescent="0.2">
      <c r="B55492" s="1168"/>
    </row>
    <row r="55493" spans="2:2" s="221" customFormat="1" ht="12.75" x14ac:dyDescent="0.2">
      <c r="B55493" s="1168"/>
    </row>
    <row r="55494" spans="2:2" s="221" customFormat="1" ht="12.75" x14ac:dyDescent="0.2">
      <c r="B55494" s="1168"/>
    </row>
    <row r="55495" spans="2:2" s="221" customFormat="1" ht="12.75" x14ac:dyDescent="0.2">
      <c r="B55495" s="1168"/>
    </row>
    <row r="55496" spans="2:2" s="221" customFormat="1" ht="12.75" x14ac:dyDescent="0.2">
      <c r="B55496" s="1168"/>
    </row>
    <row r="55497" spans="2:2" s="221" customFormat="1" ht="12.75" x14ac:dyDescent="0.2">
      <c r="B55497" s="1168"/>
    </row>
    <row r="55498" spans="2:2" s="221" customFormat="1" ht="12.75" x14ac:dyDescent="0.2">
      <c r="B55498" s="1168"/>
    </row>
    <row r="55499" spans="2:2" s="221" customFormat="1" ht="12.75" x14ac:dyDescent="0.2">
      <c r="B55499" s="1168"/>
    </row>
    <row r="55500" spans="2:2" s="221" customFormat="1" ht="12.75" x14ac:dyDescent="0.2">
      <c r="B55500" s="1168"/>
    </row>
    <row r="55501" spans="2:2" s="221" customFormat="1" ht="12.75" x14ac:dyDescent="0.2">
      <c r="B55501" s="1168"/>
    </row>
    <row r="55502" spans="2:2" s="221" customFormat="1" ht="12.75" x14ac:dyDescent="0.2">
      <c r="B55502" s="1168"/>
    </row>
    <row r="55503" spans="2:2" s="221" customFormat="1" ht="12.75" x14ac:dyDescent="0.2">
      <c r="B55503" s="1168"/>
    </row>
    <row r="55504" spans="2:2" s="221" customFormat="1" ht="12.75" x14ac:dyDescent="0.2">
      <c r="B55504" s="1168"/>
    </row>
    <row r="55505" spans="2:2" s="221" customFormat="1" ht="12.75" x14ac:dyDescent="0.2">
      <c r="B55505" s="1168"/>
    </row>
    <row r="55506" spans="2:2" s="221" customFormat="1" ht="12.75" x14ac:dyDescent="0.2">
      <c r="B55506" s="1168"/>
    </row>
    <row r="55507" spans="2:2" s="221" customFormat="1" ht="12.75" x14ac:dyDescent="0.2">
      <c r="B55507" s="1168"/>
    </row>
    <row r="55508" spans="2:2" s="221" customFormat="1" ht="12.75" x14ac:dyDescent="0.2">
      <c r="B55508" s="1168"/>
    </row>
    <row r="55509" spans="2:2" s="221" customFormat="1" ht="12.75" x14ac:dyDescent="0.2">
      <c r="B55509" s="1168"/>
    </row>
    <row r="55510" spans="2:2" s="221" customFormat="1" ht="12.75" x14ac:dyDescent="0.2">
      <c r="B55510" s="1168"/>
    </row>
    <row r="55511" spans="2:2" s="221" customFormat="1" ht="12.75" x14ac:dyDescent="0.2">
      <c r="B55511" s="1168"/>
    </row>
    <row r="55512" spans="2:2" s="221" customFormat="1" ht="12.75" x14ac:dyDescent="0.2">
      <c r="B55512" s="1168"/>
    </row>
    <row r="55513" spans="2:2" s="221" customFormat="1" ht="12.75" x14ac:dyDescent="0.2">
      <c r="B55513" s="1168"/>
    </row>
    <row r="55514" spans="2:2" s="221" customFormat="1" ht="12.75" x14ac:dyDescent="0.2">
      <c r="B55514" s="1168"/>
    </row>
    <row r="55515" spans="2:2" s="221" customFormat="1" ht="12.75" x14ac:dyDescent="0.2">
      <c r="B55515" s="1168"/>
    </row>
    <row r="55516" spans="2:2" s="221" customFormat="1" ht="12.75" x14ac:dyDescent="0.2">
      <c r="B55516" s="1168"/>
    </row>
    <row r="55517" spans="2:2" s="221" customFormat="1" ht="12.75" x14ac:dyDescent="0.2">
      <c r="B55517" s="1168"/>
    </row>
    <row r="55518" spans="2:2" s="221" customFormat="1" ht="12.75" x14ac:dyDescent="0.2">
      <c r="B55518" s="1168"/>
    </row>
    <row r="55519" spans="2:2" s="221" customFormat="1" ht="12.75" x14ac:dyDescent="0.2">
      <c r="B55519" s="1168"/>
    </row>
    <row r="55520" spans="2:2" s="221" customFormat="1" ht="12.75" x14ac:dyDescent="0.2">
      <c r="B55520" s="1168"/>
    </row>
    <row r="55521" spans="2:2" s="221" customFormat="1" ht="12.75" x14ac:dyDescent="0.2">
      <c r="B55521" s="1168"/>
    </row>
    <row r="55522" spans="2:2" s="221" customFormat="1" ht="12.75" x14ac:dyDescent="0.2">
      <c r="B55522" s="1168"/>
    </row>
    <row r="55523" spans="2:2" s="221" customFormat="1" ht="12.75" x14ac:dyDescent="0.2">
      <c r="B55523" s="1168"/>
    </row>
    <row r="55524" spans="2:2" s="221" customFormat="1" ht="12.75" x14ac:dyDescent="0.2">
      <c r="B55524" s="1168"/>
    </row>
    <row r="55525" spans="2:2" s="221" customFormat="1" ht="12.75" x14ac:dyDescent="0.2">
      <c r="B55525" s="1168"/>
    </row>
    <row r="55526" spans="2:2" s="221" customFormat="1" ht="12.75" x14ac:dyDescent="0.2">
      <c r="B55526" s="1168"/>
    </row>
    <row r="55527" spans="2:2" s="221" customFormat="1" ht="12.75" x14ac:dyDescent="0.2">
      <c r="B55527" s="1168"/>
    </row>
    <row r="55528" spans="2:2" s="221" customFormat="1" ht="12.75" x14ac:dyDescent="0.2">
      <c r="B55528" s="1168"/>
    </row>
    <row r="55529" spans="2:2" s="221" customFormat="1" ht="12.75" x14ac:dyDescent="0.2">
      <c r="B55529" s="1168"/>
    </row>
    <row r="55530" spans="2:2" s="221" customFormat="1" ht="12.75" x14ac:dyDescent="0.2">
      <c r="B55530" s="1168"/>
    </row>
    <row r="55531" spans="2:2" s="221" customFormat="1" ht="12.75" x14ac:dyDescent="0.2">
      <c r="B55531" s="1168"/>
    </row>
    <row r="55532" spans="2:2" s="221" customFormat="1" ht="12.75" x14ac:dyDescent="0.2">
      <c r="B55532" s="1168"/>
    </row>
    <row r="55533" spans="2:2" s="221" customFormat="1" ht="12.75" x14ac:dyDescent="0.2">
      <c r="B55533" s="1168"/>
    </row>
    <row r="55534" spans="2:2" s="221" customFormat="1" ht="12.75" x14ac:dyDescent="0.2">
      <c r="B55534" s="1168"/>
    </row>
    <row r="55535" spans="2:2" s="221" customFormat="1" ht="12.75" x14ac:dyDescent="0.2">
      <c r="B55535" s="1168"/>
    </row>
    <row r="55536" spans="2:2" s="221" customFormat="1" ht="12.75" x14ac:dyDescent="0.2">
      <c r="B55536" s="1168"/>
    </row>
    <row r="55537" spans="2:2" s="221" customFormat="1" ht="12.75" x14ac:dyDescent="0.2">
      <c r="B55537" s="1168"/>
    </row>
    <row r="55538" spans="2:2" s="221" customFormat="1" ht="12.75" x14ac:dyDescent="0.2">
      <c r="B55538" s="1168"/>
    </row>
    <row r="55539" spans="2:2" s="221" customFormat="1" ht="12.75" x14ac:dyDescent="0.2">
      <c r="B55539" s="1168"/>
    </row>
    <row r="55540" spans="2:2" s="221" customFormat="1" ht="12.75" x14ac:dyDescent="0.2">
      <c r="B55540" s="1168"/>
    </row>
    <row r="55541" spans="2:2" s="221" customFormat="1" ht="12.75" x14ac:dyDescent="0.2">
      <c r="B55541" s="1168"/>
    </row>
    <row r="55542" spans="2:2" s="221" customFormat="1" ht="12.75" x14ac:dyDescent="0.2">
      <c r="B55542" s="1168"/>
    </row>
    <row r="55543" spans="2:2" s="221" customFormat="1" ht="12.75" x14ac:dyDescent="0.2">
      <c r="B55543" s="1168"/>
    </row>
    <row r="55544" spans="2:2" s="221" customFormat="1" ht="12.75" x14ac:dyDescent="0.2">
      <c r="B55544" s="1168"/>
    </row>
    <row r="55545" spans="2:2" s="221" customFormat="1" ht="12.75" x14ac:dyDescent="0.2">
      <c r="B55545" s="1168"/>
    </row>
    <row r="55546" spans="2:2" s="221" customFormat="1" ht="12.75" x14ac:dyDescent="0.2">
      <c r="B55546" s="1168"/>
    </row>
    <row r="55547" spans="2:2" s="221" customFormat="1" ht="12.75" x14ac:dyDescent="0.2">
      <c r="B55547" s="1168"/>
    </row>
    <row r="55548" spans="2:2" s="221" customFormat="1" ht="12.75" x14ac:dyDescent="0.2">
      <c r="B55548" s="1168"/>
    </row>
    <row r="55549" spans="2:2" s="221" customFormat="1" ht="12.75" x14ac:dyDescent="0.2">
      <c r="B55549" s="1168"/>
    </row>
    <row r="55550" spans="2:2" s="221" customFormat="1" ht="12.75" x14ac:dyDescent="0.2">
      <c r="B55550" s="1168"/>
    </row>
    <row r="55551" spans="2:2" s="221" customFormat="1" ht="12.75" x14ac:dyDescent="0.2">
      <c r="B55551" s="1168"/>
    </row>
    <row r="55552" spans="2:2" s="221" customFormat="1" ht="12.75" x14ac:dyDescent="0.2">
      <c r="B55552" s="1168"/>
    </row>
    <row r="55553" spans="2:2" s="221" customFormat="1" ht="12.75" x14ac:dyDescent="0.2">
      <c r="B55553" s="1168"/>
    </row>
    <row r="55554" spans="2:2" s="221" customFormat="1" ht="12.75" x14ac:dyDescent="0.2">
      <c r="B55554" s="1168"/>
    </row>
    <row r="55555" spans="2:2" s="221" customFormat="1" ht="12.75" x14ac:dyDescent="0.2">
      <c r="B55555" s="1168"/>
    </row>
    <row r="55556" spans="2:2" s="221" customFormat="1" ht="12.75" x14ac:dyDescent="0.2">
      <c r="B55556" s="1168"/>
    </row>
    <row r="55557" spans="2:2" s="221" customFormat="1" ht="12.75" x14ac:dyDescent="0.2">
      <c r="B55557" s="1168"/>
    </row>
    <row r="55558" spans="2:2" s="221" customFormat="1" ht="12.75" x14ac:dyDescent="0.2">
      <c r="B55558" s="1168"/>
    </row>
    <row r="55559" spans="2:2" s="221" customFormat="1" ht="12.75" x14ac:dyDescent="0.2">
      <c r="B55559" s="1168"/>
    </row>
    <row r="55560" spans="2:2" s="221" customFormat="1" ht="12.75" x14ac:dyDescent="0.2">
      <c r="B55560" s="1168"/>
    </row>
    <row r="55561" spans="2:2" s="221" customFormat="1" ht="12.75" x14ac:dyDescent="0.2">
      <c r="B55561" s="1168"/>
    </row>
    <row r="55562" spans="2:2" s="221" customFormat="1" ht="12.75" x14ac:dyDescent="0.2">
      <c r="B55562" s="1168"/>
    </row>
    <row r="55563" spans="2:2" s="221" customFormat="1" ht="12.75" x14ac:dyDescent="0.2">
      <c r="B55563" s="1168"/>
    </row>
    <row r="55564" spans="2:2" s="221" customFormat="1" ht="12.75" x14ac:dyDescent="0.2">
      <c r="B55564" s="1168"/>
    </row>
    <row r="55565" spans="2:2" s="221" customFormat="1" ht="12.75" x14ac:dyDescent="0.2">
      <c r="B55565" s="1168"/>
    </row>
    <row r="55566" spans="2:2" s="221" customFormat="1" ht="12.75" x14ac:dyDescent="0.2">
      <c r="B55566" s="1168"/>
    </row>
    <row r="55567" spans="2:2" s="221" customFormat="1" ht="12.75" x14ac:dyDescent="0.2">
      <c r="B55567" s="1168"/>
    </row>
    <row r="55568" spans="2:2" s="221" customFormat="1" ht="12.75" x14ac:dyDescent="0.2">
      <c r="B55568" s="1168"/>
    </row>
    <row r="55569" spans="2:2" s="221" customFormat="1" ht="12.75" x14ac:dyDescent="0.2">
      <c r="B55569" s="1168"/>
    </row>
    <row r="55570" spans="2:2" s="221" customFormat="1" ht="12.75" x14ac:dyDescent="0.2">
      <c r="B55570" s="1168"/>
    </row>
    <row r="55571" spans="2:2" s="221" customFormat="1" ht="12.75" x14ac:dyDescent="0.2">
      <c r="B55571" s="1168"/>
    </row>
    <row r="55572" spans="2:2" s="221" customFormat="1" ht="12.75" x14ac:dyDescent="0.2">
      <c r="B55572" s="1168"/>
    </row>
    <row r="55573" spans="2:2" s="221" customFormat="1" ht="12.75" x14ac:dyDescent="0.2">
      <c r="B55573" s="1168"/>
    </row>
    <row r="55574" spans="2:2" s="221" customFormat="1" ht="12.75" x14ac:dyDescent="0.2">
      <c r="B55574" s="1168"/>
    </row>
    <row r="55575" spans="2:2" s="221" customFormat="1" ht="12.75" x14ac:dyDescent="0.2">
      <c r="B55575" s="1168"/>
    </row>
    <row r="55576" spans="2:2" s="221" customFormat="1" ht="12.75" x14ac:dyDescent="0.2">
      <c r="B55576" s="1168"/>
    </row>
    <row r="55577" spans="2:2" s="221" customFormat="1" ht="12.75" x14ac:dyDescent="0.2">
      <c r="B55577" s="1168"/>
    </row>
    <row r="55578" spans="2:2" s="221" customFormat="1" ht="12.75" x14ac:dyDescent="0.2">
      <c r="B55578" s="1168"/>
    </row>
    <row r="55579" spans="2:2" s="221" customFormat="1" ht="12.75" x14ac:dyDescent="0.2">
      <c r="B55579" s="1168"/>
    </row>
    <row r="55580" spans="2:2" s="221" customFormat="1" ht="12.75" x14ac:dyDescent="0.2">
      <c r="B55580" s="1168"/>
    </row>
    <row r="55581" spans="2:2" s="221" customFormat="1" ht="12.75" x14ac:dyDescent="0.2">
      <c r="B55581" s="1168"/>
    </row>
    <row r="55582" spans="2:2" s="221" customFormat="1" ht="12.75" x14ac:dyDescent="0.2">
      <c r="B55582" s="1168"/>
    </row>
    <row r="55583" spans="2:2" s="221" customFormat="1" ht="12.75" x14ac:dyDescent="0.2">
      <c r="B55583" s="1168"/>
    </row>
    <row r="55584" spans="2:2" s="221" customFormat="1" ht="12.75" x14ac:dyDescent="0.2">
      <c r="B55584" s="1168"/>
    </row>
    <row r="55585" spans="2:2" s="221" customFormat="1" ht="12.75" x14ac:dyDescent="0.2">
      <c r="B55585" s="1168"/>
    </row>
    <row r="55586" spans="2:2" s="221" customFormat="1" ht="12.75" x14ac:dyDescent="0.2">
      <c r="B55586" s="1168"/>
    </row>
    <row r="55587" spans="2:2" s="221" customFormat="1" ht="12.75" x14ac:dyDescent="0.2">
      <c r="B55587" s="1168"/>
    </row>
    <row r="55588" spans="2:2" s="221" customFormat="1" ht="12.75" x14ac:dyDescent="0.2">
      <c r="B55588" s="1168"/>
    </row>
    <row r="55589" spans="2:2" s="221" customFormat="1" ht="12.75" x14ac:dyDescent="0.2">
      <c r="B55589" s="1168"/>
    </row>
    <row r="55590" spans="2:2" s="221" customFormat="1" ht="12.75" x14ac:dyDescent="0.2">
      <c r="B55590" s="1168"/>
    </row>
    <row r="55591" spans="2:2" s="221" customFormat="1" ht="12.75" x14ac:dyDescent="0.2">
      <c r="B55591" s="1168"/>
    </row>
    <row r="55592" spans="2:2" s="221" customFormat="1" ht="12.75" x14ac:dyDescent="0.2">
      <c r="B55592" s="1168"/>
    </row>
    <row r="55593" spans="2:2" s="221" customFormat="1" ht="12.75" x14ac:dyDescent="0.2">
      <c r="B55593" s="1168"/>
    </row>
    <row r="55594" spans="2:2" s="221" customFormat="1" ht="12.75" x14ac:dyDescent="0.2">
      <c r="B55594" s="1168"/>
    </row>
    <row r="55595" spans="2:2" s="221" customFormat="1" ht="12.75" x14ac:dyDescent="0.2">
      <c r="B55595" s="1168"/>
    </row>
    <row r="55596" spans="2:2" s="221" customFormat="1" ht="12.75" x14ac:dyDescent="0.2">
      <c r="B55596" s="1168"/>
    </row>
    <row r="55597" spans="2:2" s="221" customFormat="1" ht="12.75" x14ac:dyDescent="0.2">
      <c r="B55597" s="1168"/>
    </row>
    <row r="55598" spans="2:2" s="221" customFormat="1" ht="12.75" x14ac:dyDescent="0.2">
      <c r="B55598" s="1168"/>
    </row>
    <row r="55599" spans="2:2" s="221" customFormat="1" ht="12.75" x14ac:dyDescent="0.2">
      <c r="B55599" s="1168"/>
    </row>
    <row r="55600" spans="2:2" s="221" customFormat="1" ht="12.75" x14ac:dyDescent="0.2">
      <c r="B55600" s="1168"/>
    </row>
    <row r="55601" spans="2:2" s="221" customFormat="1" ht="12.75" x14ac:dyDescent="0.2">
      <c r="B55601" s="1168"/>
    </row>
    <row r="55602" spans="2:2" s="221" customFormat="1" ht="12.75" x14ac:dyDescent="0.2">
      <c r="B55602" s="1168"/>
    </row>
    <row r="55603" spans="2:2" s="221" customFormat="1" ht="12.75" x14ac:dyDescent="0.2">
      <c r="B55603" s="1168"/>
    </row>
    <row r="55604" spans="2:2" s="221" customFormat="1" ht="12.75" x14ac:dyDescent="0.2">
      <c r="B55604" s="1168"/>
    </row>
    <row r="55605" spans="2:2" s="221" customFormat="1" ht="12.75" x14ac:dyDescent="0.2">
      <c r="B55605" s="1168"/>
    </row>
    <row r="55606" spans="2:2" s="221" customFormat="1" ht="12.75" x14ac:dyDescent="0.2">
      <c r="B55606" s="1168"/>
    </row>
    <row r="55607" spans="2:2" s="221" customFormat="1" ht="12.75" x14ac:dyDescent="0.2">
      <c r="B55607" s="1168"/>
    </row>
    <row r="55608" spans="2:2" s="221" customFormat="1" ht="12.75" x14ac:dyDescent="0.2">
      <c r="B55608" s="1168"/>
    </row>
    <row r="55609" spans="2:2" s="221" customFormat="1" ht="12.75" x14ac:dyDescent="0.2">
      <c r="B55609" s="1168"/>
    </row>
    <row r="55610" spans="2:2" s="221" customFormat="1" ht="12.75" x14ac:dyDescent="0.2">
      <c r="B55610" s="1168"/>
    </row>
    <row r="55611" spans="2:2" s="221" customFormat="1" ht="12.75" x14ac:dyDescent="0.2">
      <c r="B55611" s="1168"/>
    </row>
    <row r="55612" spans="2:2" s="221" customFormat="1" ht="12.75" x14ac:dyDescent="0.2">
      <c r="B55612" s="1168"/>
    </row>
    <row r="55613" spans="2:2" s="221" customFormat="1" ht="12.75" x14ac:dyDescent="0.2">
      <c r="B55613" s="1168"/>
    </row>
    <row r="55614" spans="2:2" s="221" customFormat="1" ht="12.75" x14ac:dyDescent="0.2">
      <c r="B55614" s="1168"/>
    </row>
    <row r="55615" spans="2:2" s="221" customFormat="1" ht="12.75" x14ac:dyDescent="0.2">
      <c r="B55615" s="1168"/>
    </row>
    <row r="55616" spans="2:2" s="221" customFormat="1" ht="12.75" x14ac:dyDescent="0.2">
      <c r="B55616" s="1168"/>
    </row>
    <row r="55617" spans="2:2" s="221" customFormat="1" ht="12.75" x14ac:dyDescent="0.2">
      <c r="B55617" s="1168"/>
    </row>
    <row r="55618" spans="2:2" s="221" customFormat="1" ht="12.75" x14ac:dyDescent="0.2">
      <c r="B55618" s="1168"/>
    </row>
    <row r="55619" spans="2:2" s="221" customFormat="1" ht="12.75" x14ac:dyDescent="0.2">
      <c r="B55619" s="1168"/>
    </row>
    <row r="55620" spans="2:2" s="221" customFormat="1" ht="12.75" x14ac:dyDescent="0.2">
      <c r="B55620" s="1168"/>
    </row>
    <row r="55621" spans="2:2" s="221" customFormat="1" ht="12.75" x14ac:dyDescent="0.2">
      <c r="B55621" s="1168"/>
    </row>
    <row r="55622" spans="2:2" s="221" customFormat="1" ht="12.75" x14ac:dyDescent="0.2">
      <c r="B55622" s="1168"/>
    </row>
    <row r="55623" spans="2:2" s="221" customFormat="1" ht="12.75" x14ac:dyDescent="0.2">
      <c r="B55623" s="1168"/>
    </row>
    <row r="55624" spans="2:2" s="221" customFormat="1" ht="12.75" x14ac:dyDescent="0.2">
      <c r="B55624" s="1168"/>
    </row>
    <row r="55625" spans="2:2" s="221" customFormat="1" ht="12.75" x14ac:dyDescent="0.2">
      <c r="B55625" s="1168"/>
    </row>
    <row r="55626" spans="2:2" s="221" customFormat="1" ht="12.75" x14ac:dyDescent="0.2">
      <c r="B55626" s="1168"/>
    </row>
    <row r="55627" spans="2:2" s="221" customFormat="1" ht="12.75" x14ac:dyDescent="0.2">
      <c r="B55627" s="1168"/>
    </row>
    <row r="55628" spans="2:2" s="221" customFormat="1" ht="12.75" x14ac:dyDescent="0.2">
      <c r="B55628" s="1168"/>
    </row>
    <row r="55629" spans="2:2" s="221" customFormat="1" ht="12.75" x14ac:dyDescent="0.2">
      <c r="B55629" s="1168"/>
    </row>
    <row r="55630" spans="2:2" s="221" customFormat="1" ht="12.75" x14ac:dyDescent="0.2">
      <c r="B55630" s="1168"/>
    </row>
    <row r="55631" spans="2:2" s="221" customFormat="1" ht="12.75" x14ac:dyDescent="0.2">
      <c r="B55631" s="1168"/>
    </row>
    <row r="55632" spans="2:2" s="221" customFormat="1" ht="12.75" x14ac:dyDescent="0.2">
      <c r="B55632" s="1168"/>
    </row>
    <row r="55633" spans="2:2" s="221" customFormat="1" ht="12.75" x14ac:dyDescent="0.2">
      <c r="B55633" s="1168"/>
    </row>
    <row r="55634" spans="2:2" s="221" customFormat="1" ht="12.75" x14ac:dyDescent="0.2">
      <c r="B55634" s="1168"/>
    </row>
    <row r="55635" spans="2:2" s="221" customFormat="1" ht="12.75" x14ac:dyDescent="0.2">
      <c r="B55635" s="1168"/>
    </row>
    <row r="55636" spans="2:2" s="221" customFormat="1" ht="12.75" x14ac:dyDescent="0.2">
      <c r="B55636" s="1168"/>
    </row>
    <row r="55637" spans="2:2" s="221" customFormat="1" ht="12.75" x14ac:dyDescent="0.2">
      <c r="B55637" s="1168"/>
    </row>
    <row r="55638" spans="2:2" s="221" customFormat="1" ht="12.75" x14ac:dyDescent="0.2">
      <c r="B55638" s="1168"/>
    </row>
    <row r="55639" spans="2:2" s="221" customFormat="1" ht="12.75" x14ac:dyDescent="0.2">
      <c r="B55639" s="1168"/>
    </row>
    <row r="55640" spans="2:2" s="221" customFormat="1" ht="12.75" x14ac:dyDescent="0.2">
      <c r="B55640" s="1168"/>
    </row>
    <row r="55641" spans="2:2" s="221" customFormat="1" ht="12.75" x14ac:dyDescent="0.2">
      <c r="B55641" s="1168"/>
    </row>
    <row r="55642" spans="2:2" s="221" customFormat="1" ht="12.75" x14ac:dyDescent="0.2">
      <c r="B55642" s="1168"/>
    </row>
    <row r="55643" spans="2:2" s="221" customFormat="1" ht="12.75" x14ac:dyDescent="0.2">
      <c r="B55643" s="1168"/>
    </row>
    <row r="55644" spans="2:2" s="221" customFormat="1" ht="12.75" x14ac:dyDescent="0.2">
      <c r="B55644" s="1168"/>
    </row>
    <row r="55645" spans="2:2" s="221" customFormat="1" ht="12.75" x14ac:dyDescent="0.2">
      <c r="B55645" s="1168"/>
    </row>
    <row r="55646" spans="2:2" s="221" customFormat="1" ht="12.75" x14ac:dyDescent="0.2">
      <c r="B55646" s="1168"/>
    </row>
    <row r="55647" spans="2:2" s="221" customFormat="1" ht="12.75" x14ac:dyDescent="0.2">
      <c r="B55647" s="1168"/>
    </row>
    <row r="55648" spans="2:2" s="221" customFormat="1" ht="12.75" x14ac:dyDescent="0.2">
      <c r="B55648" s="1168"/>
    </row>
    <row r="55649" spans="2:2" s="221" customFormat="1" ht="12.75" x14ac:dyDescent="0.2">
      <c r="B55649" s="1168"/>
    </row>
    <row r="55650" spans="2:2" s="221" customFormat="1" ht="12.75" x14ac:dyDescent="0.2">
      <c r="B55650" s="1168"/>
    </row>
    <row r="55651" spans="2:2" s="221" customFormat="1" ht="12.75" x14ac:dyDescent="0.2">
      <c r="B55651" s="1168"/>
    </row>
    <row r="55652" spans="2:2" s="221" customFormat="1" ht="12.75" x14ac:dyDescent="0.2">
      <c r="B55652" s="1168"/>
    </row>
    <row r="55653" spans="2:2" s="221" customFormat="1" ht="12.75" x14ac:dyDescent="0.2">
      <c r="B55653" s="1168"/>
    </row>
    <row r="55654" spans="2:2" s="221" customFormat="1" ht="12.75" x14ac:dyDescent="0.2">
      <c r="B55654" s="1168"/>
    </row>
    <row r="55655" spans="2:2" s="221" customFormat="1" ht="12.75" x14ac:dyDescent="0.2">
      <c r="B55655" s="1168"/>
    </row>
    <row r="55656" spans="2:2" s="221" customFormat="1" ht="12.75" x14ac:dyDescent="0.2">
      <c r="B55656" s="1168"/>
    </row>
    <row r="55657" spans="2:2" s="221" customFormat="1" ht="12.75" x14ac:dyDescent="0.2">
      <c r="B55657" s="1168"/>
    </row>
    <row r="55658" spans="2:2" s="221" customFormat="1" ht="12.75" x14ac:dyDescent="0.2">
      <c r="B55658" s="1168"/>
    </row>
    <row r="55659" spans="2:2" s="221" customFormat="1" ht="12.75" x14ac:dyDescent="0.2">
      <c r="B55659" s="1168"/>
    </row>
    <row r="55660" spans="2:2" s="221" customFormat="1" ht="12.75" x14ac:dyDescent="0.2">
      <c r="B55660" s="1168"/>
    </row>
    <row r="55661" spans="2:2" s="221" customFormat="1" ht="12.75" x14ac:dyDescent="0.2">
      <c r="B55661" s="1168"/>
    </row>
    <row r="55662" spans="2:2" s="221" customFormat="1" ht="12.75" x14ac:dyDescent="0.2">
      <c r="B55662" s="1168"/>
    </row>
    <row r="55663" spans="2:2" s="221" customFormat="1" ht="12.75" x14ac:dyDescent="0.2">
      <c r="B55663" s="1168"/>
    </row>
    <row r="55664" spans="2:2" s="221" customFormat="1" ht="12.75" x14ac:dyDescent="0.2">
      <c r="B55664" s="1168"/>
    </row>
    <row r="55665" spans="2:2" s="221" customFormat="1" ht="12.75" x14ac:dyDescent="0.2">
      <c r="B55665" s="1168"/>
    </row>
    <row r="55666" spans="2:2" s="221" customFormat="1" ht="12.75" x14ac:dyDescent="0.2">
      <c r="B55666" s="1168"/>
    </row>
    <row r="55667" spans="2:2" s="221" customFormat="1" ht="12.75" x14ac:dyDescent="0.2">
      <c r="B55667" s="1168"/>
    </row>
    <row r="55668" spans="2:2" s="221" customFormat="1" ht="12.75" x14ac:dyDescent="0.2">
      <c r="B55668" s="1168"/>
    </row>
    <row r="55669" spans="2:2" s="221" customFormat="1" ht="12.75" x14ac:dyDescent="0.2">
      <c r="B55669" s="1168"/>
    </row>
    <row r="55670" spans="2:2" s="221" customFormat="1" ht="12.75" x14ac:dyDescent="0.2">
      <c r="B55670" s="1168"/>
    </row>
    <row r="55671" spans="2:2" s="221" customFormat="1" ht="12.75" x14ac:dyDescent="0.2">
      <c r="B55671" s="1168"/>
    </row>
    <row r="55672" spans="2:2" s="221" customFormat="1" ht="12.75" x14ac:dyDescent="0.2">
      <c r="B55672" s="1168"/>
    </row>
    <row r="55673" spans="2:2" s="221" customFormat="1" ht="12.75" x14ac:dyDescent="0.2">
      <c r="B55673" s="1168"/>
    </row>
    <row r="55674" spans="2:2" s="221" customFormat="1" ht="12.75" x14ac:dyDescent="0.2">
      <c r="B55674" s="1168"/>
    </row>
    <row r="55675" spans="2:2" s="221" customFormat="1" ht="12.75" x14ac:dyDescent="0.2">
      <c r="B55675" s="1168"/>
    </row>
    <row r="55676" spans="2:2" s="221" customFormat="1" ht="12.75" x14ac:dyDescent="0.2">
      <c r="B55676" s="1168"/>
    </row>
    <row r="55677" spans="2:2" s="221" customFormat="1" ht="12.75" x14ac:dyDescent="0.2">
      <c r="B55677" s="1168"/>
    </row>
    <row r="55678" spans="2:2" s="221" customFormat="1" ht="12.75" x14ac:dyDescent="0.2">
      <c r="B55678" s="1168"/>
    </row>
    <row r="55679" spans="2:2" s="221" customFormat="1" ht="12.75" x14ac:dyDescent="0.2">
      <c r="B55679" s="1168"/>
    </row>
    <row r="55680" spans="2:2" s="221" customFormat="1" ht="12.75" x14ac:dyDescent="0.2">
      <c r="B55680" s="1168"/>
    </row>
    <row r="55681" spans="2:2" s="221" customFormat="1" ht="12.75" x14ac:dyDescent="0.2">
      <c r="B55681" s="1168"/>
    </row>
    <row r="55682" spans="2:2" s="221" customFormat="1" ht="12.75" x14ac:dyDescent="0.2">
      <c r="B55682" s="1168"/>
    </row>
    <row r="55683" spans="2:2" s="221" customFormat="1" ht="12.75" x14ac:dyDescent="0.2">
      <c r="B55683" s="1168"/>
    </row>
    <row r="55684" spans="2:2" s="221" customFormat="1" ht="12.75" x14ac:dyDescent="0.2">
      <c r="B55684" s="1168"/>
    </row>
    <row r="55685" spans="2:2" s="221" customFormat="1" ht="12.75" x14ac:dyDescent="0.2">
      <c r="B55685" s="1168"/>
    </row>
    <row r="55686" spans="2:2" s="221" customFormat="1" ht="12.75" x14ac:dyDescent="0.2">
      <c r="B55686" s="1168"/>
    </row>
    <row r="55687" spans="2:2" s="221" customFormat="1" ht="12.75" x14ac:dyDescent="0.2">
      <c r="B55687" s="1168"/>
    </row>
    <row r="55688" spans="2:2" s="221" customFormat="1" ht="12.75" x14ac:dyDescent="0.2">
      <c r="B55688" s="1168"/>
    </row>
    <row r="55689" spans="2:2" s="221" customFormat="1" ht="12.75" x14ac:dyDescent="0.2">
      <c r="B55689" s="1168"/>
    </row>
    <row r="55690" spans="2:2" s="221" customFormat="1" ht="12.75" x14ac:dyDescent="0.2">
      <c r="B55690" s="1168"/>
    </row>
    <row r="55691" spans="2:2" s="221" customFormat="1" ht="12.75" x14ac:dyDescent="0.2">
      <c r="B55691" s="1168"/>
    </row>
    <row r="55692" spans="2:2" s="221" customFormat="1" ht="12.75" x14ac:dyDescent="0.2">
      <c r="B55692" s="1168"/>
    </row>
    <row r="55693" spans="2:2" s="221" customFormat="1" ht="12.75" x14ac:dyDescent="0.2">
      <c r="B55693" s="1168"/>
    </row>
    <row r="55694" spans="2:2" s="221" customFormat="1" ht="12.75" x14ac:dyDescent="0.2">
      <c r="B55694" s="1168"/>
    </row>
    <row r="55695" spans="2:2" s="221" customFormat="1" ht="12.75" x14ac:dyDescent="0.2">
      <c r="B55695" s="1168"/>
    </row>
    <row r="55696" spans="2:2" s="221" customFormat="1" ht="12.75" x14ac:dyDescent="0.2">
      <c r="B55696" s="1168"/>
    </row>
    <row r="55697" spans="2:2" s="221" customFormat="1" ht="12.75" x14ac:dyDescent="0.2">
      <c r="B55697" s="1168"/>
    </row>
    <row r="55698" spans="2:2" s="221" customFormat="1" ht="12.75" x14ac:dyDescent="0.2">
      <c r="B55698" s="1168"/>
    </row>
    <row r="55699" spans="2:2" s="221" customFormat="1" ht="12.75" x14ac:dyDescent="0.2">
      <c r="B55699" s="1168"/>
    </row>
    <row r="55700" spans="2:2" s="221" customFormat="1" ht="12.75" x14ac:dyDescent="0.2">
      <c r="B55700" s="1168"/>
    </row>
    <row r="55701" spans="2:2" s="221" customFormat="1" ht="12.75" x14ac:dyDescent="0.2">
      <c r="B55701" s="1168"/>
    </row>
    <row r="55702" spans="2:2" s="221" customFormat="1" ht="12.75" x14ac:dyDescent="0.2">
      <c r="B55702" s="1168"/>
    </row>
    <row r="55703" spans="2:2" s="221" customFormat="1" ht="12.75" x14ac:dyDescent="0.2">
      <c r="B55703" s="1168"/>
    </row>
    <row r="55704" spans="2:2" s="221" customFormat="1" ht="12.75" x14ac:dyDescent="0.2">
      <c r="B55704" s="1168"/>
    </row>
    <row r="55705" spans="2:2" s="221" customFormat="1" ht="12.75" x14ac:dyDescent="0.2">
      <c r="B55705" s="1168"/>
    </row>
    <row r="55706" spans="2:2" s="221" customFormat="1" ht="12.75" x14ac:dyDescent="0.2">
      <c r="B55706" s="1168"/>
    </row>
    <row r="55707" spans="2:2" s="221" customFormat="1" ht="12.75" x14ac:dyDescent="0.2">
      <c r="B55707" s="1168"/>
    </row>
    <row r="55708" spans="2:2" s="221" customFormat="1" ht="12.75" x14ac:dyDescent="0.2">
      <c r="B55708" s="1168"/>
    </row>
    <row r="55709" spans="2:2" s="221" customFormat="1" ht="12.75" x14ac:dyDescent="0.2">
      <c r="B55709" s="1168"/>
    </row>
    <row r="55710" spans="2:2" s="221" customFormat="1" ht="12.75" x14ac:dyDescent="0.2">
      <c r="B55710" s="1168"/>
    </row>
    <row r="55711" spans="2:2" s="221" customFormat="1" ht="12.75" x14ac:dyDescent="0.2">
      <c r="B55711" s="1168"/>
    </row>
    <row r="55712" spans="2:2" s="221" customFormat="1" ht="12.75" x14ac:dyDescent="0.2">
      <c r="B55712" s="1168"/>
    </row>
    <row r="55713" spans="2:2" s="221" customFormat="1" ht="12.75" x14ac:dyDescent="0.2">
      <c r="B55713" s="1168"/>
    </row>
    <row r="55714" spans="2:2" s="221" customFormat="1" ht="12.75" x14ac:dyDescent="0.2">
      <c r="B55714" s="1168"/>
    </row>
    <row r="55715" spans="2:2" s="221" customFormat="1" ht="12.75" x14ac:dyDescent="0.2">
      <c r="B55715" s="1168"/>
    </row>
    <row r="55716" spans="2:2" s="221" customFormat="1" ht="12.75" x14ac:dyDescent="0.2">
      <c r="B55716" s="1168"/>
    </row>
    <row r="55717" spans="2:2" s="221" customFormat="1" ht="12.75" x14ac:dyDescent="0.2">
      <c r="B55717" s="1168"/>
    </row>
    <row r="55718" spans="2:2" s="221" customFormat="1" ht="12.75" x14ac:dyDescent="0.2">
      <c r="B55718" s="1168"/>
    </row>
    <row r="55719" spans="2:2" s="221" customFormat="1" ht="12.75" x14ac:dyDescent="0.2">
      <c r="B55719" s="1168"/>
    </row>
    <row r="55720" spans="2:2" s="221" customFormat="1" ht="12.75" x14ac:dyDescent="0.2">
      <c r="B55720" s="1168"/>
    </row>
    <row r="55721" spans="2:2" s="221" customFormat="1" ht="12.75" x14ac:dyDescent="0.2">
      <c r="B55721" s="1168"/>
    </row>
    <row r="55722" spans="2:2" s="221" customFormat="1" ht="12.75" x14ac:dyDescent="0.2">
      <c r="B55722" s="1168"/>
    </row>
    <row r="55723" spans="2:2" s="221" customFormat="1" ht="12.75" x14ac:dyDescent="0.2">
      <c r="B55723" s="1168"/>
    </row>
    <row r="55724" spans="2:2" s="221" customFormat="1" ht="12.75" x14ac:dyDescent="0.2">
      <c r="B55724" s="1168"/>
    </row>
    <row r="55725" spans="2:2" s="221" customFormat="1" ht="12.75" x14ac:dyDescent="0.2">
      <c r="B55725" s="1168"/>
    </row>
    <row r="55726" spans="2:2" s="221" customFormat="1" ht="12.75" x14ac:dyDescent="0.2">
      <c r="B55726" s="1168"/>
    </row>
    <row r="55727" spans="2:2" s="221" customFormat="1" ht="12.75" x14ac:dyDescent="0.2">
      <c r="B55727" s="1168"/>
    </row>
    <row r="55728" spans="2:2" s="221" customFormat="1" ht="12.75" x14ac:dyDescent="0.2">
      <c r="B55728" s="1168"/>
    </row>
    <row r="55729" spans="2:2" s="221" customFormat="1" ht="12.75" x14ac:dyDescent="0.2">
      <c r="B55729" s="1168"/>
    </row>
    <row r="55730" spans="2:2" s="221" customFormat="1" ht="12.75" x14ac:dyDescent="0.2">
      <c r="B55730" s="1168"/>
    </row>
    <row r="55731" spans="2:2" s="221" customFormat="1" ht="12.75" x14ac:dyDescent="0.2">
      <c r="B55731" s="1168"/>
    </row>
    <row r="55732" spans="2:2" s="221" customFormat="1" ht="12.75" x14ac:dyDescent="0.2">
      <c r="B55732" s="1168"/>
    </row>
    <row r="55733" spans="2:2" s="221" customFormat="1" ht="12.75" x14ac:dyDescent="0.2">
      <c r="B55733" s="1168"/>
    </row>
    <row r="55734" spans="2:2" s="221" customFormat="1" ht="12.75" x14ac:dyDescent="0.2">
      <c r="B55734" s="1168"/>
    </row>
    <row r="55735" spans="2:2" s="221" customFormat="1" ht="12.75" x14ac:dyDescent="0.2">
      <c r="B55735" s="1168"/>
    </row>
    <row r="55736" spans="2:2" s="221" customFormat="1" ht="12.75" x14ac:dyDescent="0.2">
      <c r="B55736" s="1168"/>
    </row>
    <row r="55737" spans="2:2" s="221" customFormat="1" ht="12.75" x14ac:dyDescent="0.2">
      <c r="B55737" s="1168"/>
    </row>
    <row r="55738" spans="2:2" s="221" customFormat="1" ht="12.75" x14ac:dyDescent="0.2">
      <c r="B55738" s="1168"/>
    </row>
    <row r="55739" spans="2:2" s="221" customFormat="1" ht="12.75" x14ac:dyDescent="0.2">
      <c r="B55739" s="1168"/>
    </row>
    <row r="55740" spans="2:2" s="221" customFormat="1" ht="12.75" x14ac:dyDescent="0.2">
      <c r="B55740" s="1168"/>
    </row>
    <row r="55741" spans="2:2" s="221" customFormat="1" ht="12.75" x14ac:dyDescent="0.2">
      <c r="B55741" s="1168"/>
    </row>
    <row r="55742" spans="2:2" s="221" customFormat="1" ht="12.75" x14ac:dyDescent="0.2">
      <c r="B55742" s="1168"/>
    </row>
    <row r="55743" spans="2:2" s="221" customFormat="1" ht="12.75" x14ac:dyDescent="0.2">
      <c r="B55743" s="1168"/>
    </row>
    <row r="55744" spans="2:2" s="221" customFormat="1" ht="12.75" x14ac:dyDescent="0.2">
      <c r="B55744" s="1168"/>
    </row>
    <row r="55745" spans="2:2" s="221" customFormat="1" ht="12.75" x14ac:dyDescent="0.2">
      <c r="B55745" s="1168"/>
    </row>
    <row r="55746" spans="2:2" s="221" customFormat="1" ht="12.75" x14ac:dyDescent="0.2">
      <c r="B55746" s="1168"/>
    </row>
    <row r="55747" spans="2:2" s="221" customFormat="1" ht="12.75" x14ac:dyDescent="0.2">
      <c r="B55747" s="1168"/>
    </row>
    <row r="55748" spans="2:2" s="221" customFormat="1" ht="12.75" x14ac:dyDescent="0.2">
      <c r="B55748" s="1168"/>
    </row>
    <row r="55749" spans="2:2" s="221" customFormat="1" ht="12.75" x14ac:dyDescent="0.2">
      <c r="B55749" s="1168"/>
    </row>
    <row r="55750" spans="2:2" s="221" customFormat="1" ht="12.75" x14ac:dyDescent="0.2">
      <c r="B55750" s="1168"/>
    </row>
    <row r="55751" spans="2:2" s="221" customFormat="1" ht="12.75" x14ac:dyDescent="0.2">
      <c r="B55751" s="1168"/>
    </row>
    <row r="55752" spans="2:2" s="221" customFormat="1" ht="12.75" x14ac:dyDescent="0.2">
      <c r="B55752" s="1168"/>
    </row>
    <row r="55753" spans="2:2" s="221" customFormat="1" ht="12.75" x14ac:dyDescent="0.2">
      <c r="B55753" s="1168"/>
    </row>
    <row r="55754" spans="2:2" s="221" customFormat="1" ht="12.75" x14ac:dyDescent="0.2">
      <c r="B55754" s="1168"/>
    </row>
    <row r="55755" spans="2:2" s="221" customFormat="1" ht="12.75" x14ac:dyDescent="0.2">
      <c r="B55755" s="1168"/>
    </row>
    <row r="55756" spans="2:2" s="221" customFormat="1" ht="12.75" x14ac:dyDescent="0.2">
      <c r="B55756" s="1168"/>
    </row>
    <row r="55757" spans="2:2" s="221" customFormat="1" ht="12.75" x14ac:dyDescent="0.2">
      <c r="B55757" s="1168"/>
    </row>
    <row r="55758" spans="2:2" s="221" customFormat="1" ht="12.75" x14ac:dyDescent="0.2">
      <c r="B55758" s="1168"/>
    </row>
    <row r="55759" spans="2:2" s="221" customFormat="1" ht="12.75" x14ac:dyDescent="0.2">
      <c r="B55759" s="1168"/>
    </row>
    <row r="55760" spans="2:2" s="221" customFormat="1" ht="12.75" x14ac:dyDescent="0.2">
      <c r="B55760" s="1168"/>
    </row>
    <row r="55761" spans="2:2" s="221" customFormat="1" ht="12.75" x14ac:dyDescent="0.2">
      <c r="B55761" s="1168"/>
    </row>
    <row r="55762" spans="2:2" s="221" customFormat="1" ht="12.75" x14ac:dyDescent="0.2">
      <c r="B55762" s="1168"/>
    </row>
    <row r="55763" spans="2:2" s="221" customFormat="1" ht="12.75" x14ac:dyDescent="0.2">
      <c r="B55763" s="1168"/>
    </row>
    <row r="55764" spans="2:2" s="221" customFormat="1" ht="12.75" x14ac:dyDescent="0.2">
      <c r="B55764" s="1168"/>
    </row>
    <row r="55765" spans="2:2" s="221" customFormat="1" ht="12.75" x14ac:dyDescent="0.2">
      <c r="B55765" s="1168"/>
    </row>
    <row r="55766" spans="2:2" s="221" customFormat="1" ht="12.75" x14ac:dyDescent="0.2">
      <c r="B55766" s="1168"/>
    </row>
    <row r="55767" spans="2:2" s="221" customFormat="1" ht="12.75" x14ac:dyDescent="0.2">
      <c r="B55767" s="1168"/>
    </row>
    <row r="55768" spans="2:2" s="221" customFormat="1" ht="12.75" x14ac:dyDescent="0.2">
      <c r="B55768" s="1168"/>
    </row>
    <row r="55769" spans="2:2" s="221" customFormat="1" ht="12.75" x14ac:dyDescent="0.2">
      <c r="B55769" s="1168"/>
    </row>
    <row r="55770" spans="2:2" s="221" customFormat="1" ht="12.75" x14ac:dyDescent="0.2">
      <c r="B55770" s="1168"/>
    </row>
    <row r="55771" spans="2:2" s="221" customFormat="1" ht="12.75" x14ac:dyDescent="0.2">
      <c r="B55771" s="1168"/>
    </row>
    <row r="55772" spans="2:2" s="221" customFormat="1" ht="12.75" x14ac:dyDescent="0.2">
      <c r="B55772" s="1168"/>
    </row>
    <row r="55773" spans="2:2" s="221" customFormat="1" ht="12.75" x14ac:dyDescent="0.2">
      <c r="B55773" s="1168"/>
    </row>
    <row r="55774" spans="2:2" s="221" customFormat="1" ht="12.75" x14ac:dyDescent="0.2">
      <c r="B55774" s="1168"/>
    </row>
    <row r="55775" spans="2:2" s="221" customFormat="1" ht="12.75" x14ac:dyDescent="0.2">
      <c r="B55775" s="1168"/>
    </row>
    <row r="55776" spans="2:2" s="221" customFormat="1" ht="12.75" x14ac:dyDescent="0.2">
      <c r="B55776" s="1168"/>
    </row>
    <row r="55777" spans="2:2" s="221" customFormat="1" ht="12.75" x14ac:dyDescent="0.2">
      <c r="B55777" s="1168"/>
    </row>
    <row r="55778" spans="2:2" s="221" customFormat="1" ht="12.75" x14ac:dyDescent="0.2">
      <c r="B55778" s="1168"/>
    </row>
    <row r="55779" spans="2:2" s="221" customFormat="1" ht="12.75" x14ac:dyDescent="0.2">
      <c r="B55779" s="1168"/>
    </row>
    <row r="55780" spans="2:2" s="221" customFormat="1" ht="12.75" x14ac:dyDescent="0.2">
      <c r="B55780" s="1168"/>
    </row>
    <row r="55781" spans="2:2" s="221" customFormat="1" ht="12.75" x14ac:dyDescent="0.2">
      <c r="B55781" s="1168"/>
    </row>
    <row r="55782" spans="2:2" s="221" customFormat="1" ht="12.75" x14ac:dyDescent="0.2">
      <c r="B55782" s="1168"/>
    </row>
    <row r="55783" spans="2:2" s="221" customFormat="1" ht="12.75" x14ac:dyDescent="0.2">
      <c r="B55783" s="1168"/>
    </row>
    <row r="55784" spans="2:2" s="221" customFormat="1" ht="12.75" x14ac:dyDescent="0.2">
      <c r="B55784" s="1168"/>
    </row>
    <row r="55785" spans="2:2" s="221" customFormat="1" ht="12.75" x14ac:dyDescent="0.2">
      <c r="B55785" s="1168"/>
    </row>
    <row r="55786" spans="2:2" s="221" customFormat="1" ht="12.75" x14ac:dyDescent="0.2">
      <c r="B55786" s="1168"/>
    </row>
    <row r="55787" spans="2:2" s="221" customFormat="1" ht="12.75" x14ac:dyDescent="0.2">
      <c r="B55787" s="1168"/>
    </row>
    <row r="55788" spans="2:2" s="221" customFormat="1" ht="12.75" x14ac:dyDescent="0.2">
      <c r="B55788" s="1168"/>
    </row>
    <row r="55789" spans="2:2" s="221" customFormat="1" ht="12.75" x14ac:dyDescent="0.2">
      <c r="B55789" s="1168"/>
    </row>
    <row r="55790" spans="2:2" s="221" customFormat="1" ht="12.75" x14ac:dyDescent="0.2">
      <c r="B55790" s="1168"/>
    </row>
    <row r="55791" spans="2:2" s="221" customFormat="1" ht="12.75" x14ac:dyDescent="0.2">
      <c r="B55791" s="1168"/>
    </row>
    <row r="55792" spans="2:2" s="221" customFormat="1" ht="12.75" x14ac:dyDescent="0.2">
      <c r="B55792" s="1168"/>
    </row>
    <row r="55793" spans="2:2" s="221" customFormat="1" ht="12.75" x14ac:dyDescent="0.2">
      <c r="B55793" s="1168"/>
    </row>
    <row r="55794" spans="2:2" s="221" customFormat="1" ht="12.75" x14ac:dyDescent="0.2">
      <c r="B55794" s="1168"/>
    </row>
    <row r="55795" spans="2:2" s="221" customFormat="1" ht="12.75" x14ac:dyDescent="0.2">
      <c r="B55795" s="1168"/>
    </row>
    <row r="55796" spans="2:2" s="221" customFormat="1" ht="12.75" x14ac:dyDescent="0.2">
      <c r="B55796" s="1168"/>
    </row>
    <row r="55797" spans="2:2" s="221" customFormat="1" ht="12.75" x14ac:dyDescent="0.2">
      <c r="B55797" s="1168"/>
    </row>
    <row r="55798" spans="2:2" s="221" customFormat="1" ht="12.75" x14ac:dyDescent="0.2">
      <c r="B55798" s="1168"/>
    </row>
    <row r="55799" spans="2:2" s="221" customFormat="1" ht="12.75" x14ac:dyDescent="0.2">
      <c r="B55799" s="1168"/>
    </row>
    <row r="55800" spans="2:2" s="221" customFormat="1" ht="12.75" x14ac:dyDescent="0.2">
      <c r="B55800" s="1168"/>
    </row>
    <row r="55801" spans="2:2" s="221" customFormat="1" ht="12.75" x14ac:dyDescent="0.2">
      <c r="B55801" s="1168"/>
    </row>
    <row r="55802" spans="2:2" s="221" customFormat="1" ht="12.75" x14ac:dyDescent="0.2">
      <c r="B55802" s="1168"/>
    </row>
    <row r="55803" spans="2:2" s="221" customFormat="1" ht="12.75" x14ac:dyDescent="0.2">
      <c r="B55803" s="1168"/>
    </row>
    <row r="55804" spans="2:2" s="221" customFormat="1" ht="12.75" x14ac:dyDescent="0.2">
      <c r="B55804" s="1168"/>
    </row>
    <row r="55805" spans="2:2" s="221" customFormat="1" ht="12.75" x14ac:dyDescent="0.2">
      <c r="B55805" s="1168"/>
    </row>
    <row r="55806" spans="2:2" s="221" customFormat="1" ht="12.75" x14ac:dyDescent="0.2">
      <c r="B55806" s="1168"/>
    </row>
    <row r="55807" spans="2:2" s="221" customFormat="1" ht="12.75" x14ac:dyDescent="0.2">
      <c r="B55807" s="1168"/>
    </row>
    <row r="55808" spans="2:2" s="221" customFormat="1" ht="12.75" x14ac:dyDescent="0.2">
      <c r="B55808" s="1168"/>
    </row>
    <row r="55809" spans="2:2" s="221" customFormat="1" ht="12.75" x14ac:dyDescent="0.2">
      <c r="B55809" s="1168"/>
    </row>
    <row r="55810" spans="2:2" s="221" customFormat="1" ht="12.75" x14ac:dyDescent="0.2">
      <c r="B55810" s="1168"/>
    </row>
    <row r="55811" spans="2:2" s="221" customFormat="1" ht="12.75" x14ac:dyDescent="0.2">
      <c r="B55811" s="1168"/>
    </row>
    <row r="55812" spans="2:2" s="221" customFormat="1" ht="12.75" x14ac:dyDescent="0.2">
      <c r="B55812" s="1168"/>
    </row>
    <row r="55813" spans="2:2" s="221" customFormat="1" ht="12.75" x14ac:dyDescent="0.2">
      <c r="B55813" s="1168"/>
    </row>
    <row r="55814" spans="2:2" s="221" customFormat="1" ht="12.75" x14ac:dyDescent="0.2">
      <c r="B55814" s="1168"/>
    </row>
    <row r="55815" spans="2:2" s="221" customFormat="1" ht="12.75" x14ac:dyDescent="0.2">
      <c r="B55815" s="1168"/>
    </row>
    <row r="55816" spans="2:2" s="221" customFormat="1" ht="12.75" x14ac:dyDescent="0.2">
      <c r="B55816" s="1168"/>
    </row>
    <row r="55817" spans="2:2" s="221" customFormat="1" ht="12.75" x14ac:dyDescent="0.2">
      <c r="B55817" s="1168"/>
    </row>
    <row r="55818" spans="2:2" s="221" customFormat="1" ht="12.75" x14ac:dyDescent="0.2">
      <c r="B55818" s="1168"/>
    </row>
    <row r="55819" spans="2:2" s="221" customFormat="1" ht="12.75" x14ac:dyDescent="0.2">
      <c r="B55819" s="1168"/>
    </row>
    <row r="55820" spans="2:2" s="221" customFormat="1" ht="12.75" x14ac:dyDescent="0.2">
      <c r="B55820" s="1168"/>
    </row>
    <row r="55821" spans="2:2" s="221" customFormat="1" ht="12.75" x14ac:dyDescent="0.2">
      <c r="B55821" s="1168"/>
    </row>
    <row r="55822" spans="2:2" s="221" customFormat="1" ht="12.75" x14ac:dyDescent="0.2">
      <c r="B55822" s="1168"/>
    </row>
    <row r="55823" spans="2:2" s="221" customFormat="1" ht="12.75" x14ac:dyDescent="0.2">
      <c r="B55823" s="1168"/>
    </row>
    <row r="55824" spans="2:2" s="221" customFormat="1" ht="12.75" x14ac:dyDescent="0.2">
      <c r="B55824" s="1168"/>
    </row>
    <row r="55825" spans="2:2" s="221" customFormat="1" ht="12.75" x14ac:dyDescent="0.2">
      <c r="B55825" s="1168"/>
    </row>
    <row r="55826" spans="2:2" s="221" customFormat="1" ht="12.75" x14ac:dyDescent="0.2">
      <c r="B55826" s="1168"/>
    </row>
    <row r="55827" spans="2:2" s="221" customFormat="1" ht="12.75" x14ac:dyDescent="0.2">
      <c r="B55827" s="1168"/>
    </row>
    <row r="55828" spans="2:2" s="221" customFormat="1" ht="12.75" x14ac:dyDescent="0.2">
      <c r="B55828" s="1168"/>
    </row>
    <row r="55829" spans="2:2" s="221" customFormat="1" ht="12.75" x14ac:dyDescent="0.2">
      <c r="B55829" s="1168"/>
    </row>
    <row r="55830" spans="2:2" s="221" customFormat="1" ht="12.75" x14ac:dyDescent="0.2">
      <c r="B55830" s="1168"/>
    </row>
    <row r="55831" spans="2:2" s="221" customFormat="1" ht="12.75" x14ac:dyDescent="0.2">
      <c r="B55831" s="1168"/>
    </row>
    <row r="55832" spans="2:2" s="221" customFormat="1" ht="12.75" x14ac:dyDescent="0.2">
      <c r="B55832" s="1168"/>
    </row>
    <row r="55833" spans="2:2" s="221" customFormat="1" ht="12.75" x14ac:dyDescent="0.2">
      <c r="B55833" s="1168"/>
    </row>
    <row r="55834" spans="2:2" s="221" customFormat="1" ht="12.75" x14ac:dyDescent="0.2">
      <c r="B55834" s="1168"/>
    </row>
    <row r="55835" spans="2:2" s="221" customFormat="1" ht="12.75" x14ac:dyDescent="0.2">
      <c r="B55835" s="1168"/>
    </row>
    <row r="55836" spans="2:2" s="221" customFormat="1" ht="12.75" x14ac:dyDescent="0.2">
      <c r="B55836" s="1168"/>
    </row>
    <row r="55837" spans="2:2" s="221" customFormat="1" ht="12.75" x14ac:dyDescent="0.2">
      <c r="B55837" s="1168"/>
    </row>
    <row r="55838" spans="2:2" s="221" customFormat="1" ht="12.75" x14ac:dyDescent="0.2">
      <c r="B55838" s="1168"/>
    </row>
    <row r="55839" spans="2:2" s="221" customFormat="1" ht="12.75" x14ac:dyDescent="0.2">
      <c r="B55839" s="1168"/>
    </row>
    <row r="55840" spans="2:2" s="221" customFormat="1" ht="12.75" x14ac:dyDescent="0.2">
      <c r="B55840" s="1168"/>
    </row>
    <row r="55841" spans="2:2" s="221" customFormat="1" ht="12.75" x14ac:dyDescent="0.2">
      <c r="B55841" s="1168"/>
    </row>
    <row r="55842" spans="2:2" s="221" customFormat="1" ht="12.75" x14ac:dyDescent="0.2">
      <c r="B55842" s="1168"/>
    </row>
    <row r="55843" spans="2:2" s="221" customFormat="1" ht="12.75" x14ac:dyDescent="0.2">
      <c r="B55843" s="1168"/>
    </row>
    <row r="55844" spans="2:2" s="221" customFormat="1" ht="12.75" x14ac:dyDescent="0.2">
      <c r="B55844" s="1168"/>
    </row>
    <row r="55845" spans="2:2" s="221" customFormat="1" ht="12.75" x14ac:dyDescent="0.2">
      <c r="B55845" s="1168"/>
    </row>
    <row r="55846" spans="2:2" s="221" customFormat="1" ht="12.75" x14ac:dyDescent="0.2">
      <c r="B55846" s="1168"/>
    </row>
    <row r="55847" spans="2:2" s="221" customFormat="1" ht="12.75" x14ac:dyDescent="0.2">
      <c r="B55847" s="1168"/>
    </row>
    <row r="55848" spans="2:2" s="221" customFormat="1" ht="12.75" x14ac:dyDescent="0.2">
      <c r="B55848" s="1168"/>
    </row>
    <row r="55849" spans="2:2" s="221" customFormat="1" ht="12.75" x14ac:dyDescent="0.2">
      <c r="B55849" s="1168"/>
    </row>
    <row r="55850" spans="2:2" s="221" customFormat="1" ht="12.75" x14ac:dyDescent="0.2">
      <c r="B55850" s="1168"/>
    </row>
    <row r="55851" spans="2:2" s="221" customFormat="1" ht="12.75" x14ac:dyDescent="0.2">
      <c r="B55851" s="1168"/>
    </row>
    <row r="55852" spans="2:2" s="221" customFormat="1" ht="12.75" x14ac:dyDescent="0.2">
      <c r="B55852" s="1168"/>
    </row>
    <row r="55853" spans="2:2" s="221" customFormat="1" ht="12.75" x14ac:dyDescent="0.2">
      <c r="B55853" s="1168"/>
    </row>
    <row r="55854" spans="2:2" s="221" customFormat="1" ht="12.75" x14ac:dyDescent="0.2">
      <c r="B55854" s="1168"/>
    </row>
    <row r="55855" spans="2:2" s="221" customFormat="1" ht="12.75" x14ac:dyDescent="0.2">
      <c r="B55855" s="1168"/>
    </row>
    <row r="55856" spans="2:2" s="221" customFormat="1" ht="12.75" x14ac:dyDescent="0.2">
      <c r="B55856" s="1168"/>
    </row>
    <row r="55857" spans="2:2" s="221" customFormat="1" ht="12.75" x14ac:dyDescent="0.2">
      <c r="B55857" s="1168"/>
    </row>
    <row r="55858" spans="2:2" s="221" customFormat="1" ht="12.75" x14ac:dyDescent="0.2">
      <c r="B55858" s="1168"/>
    </row>
    <row r="55859" spans="2:2" s="221" customFormat="1" ht="12.75" x14ac:dyDescent="0.2">
      <c r="B55859" s="1168"/>
    </row>
    <row r="55860" spans="2:2" s="221" customFormat="1" ht="12.75" x14ac:dyDescent="0.2">
      <c r="B55860" s="1168"/>
    </row>
    <row r="55861" spans="2:2" s="221" customFormat="1" ht="12.75" x14ac:dyDescent="0.2">
      <c r="B55861" s="1168"/>
    </row>
    <row r="55862" spans="2:2" s="221" customFormat="1" ht="12.75" x14ac:dyDescent="0.2">
      <c r="B55862" s="1168"/>
    </row>
    <row r="55863" spans="2:2" s="221" customFormat="1" ht="12.75" x14ac:dyDescent="0.2">
      <c r="B55863" s="1168"/>
    </row>
    <row r="55864" spans="2:2" s="221" customFormat="1" ht="12.75" x14ac:dyDescent="0.2">
      <c r="B55864" s="1168"/>
    </row>
    <row r="55865" spans="2:2" s="221" customFormat="1" ht="12.75" x14ac:dyDescent="0.2">
      <c r="B55865" s="1168"/>
    </row>
    <row r="55866" spans="2:2" s="221" customFormat="1" ht="12.75" x14ac:dyDescent="0.2">
      <c r="B55866" s="1168"/>
    </row>
    <row r="55867" spans="2:2" s="221" customFormat="1" ht="12.75" x14ac:dyDescent="0.2">
      <c r="B55867" s="1168"/>
    </row>
    <row r="55868" spans="2:2" s="221" customFormat="1" ht="12.75" x14ac:dyDescent="0.2">
      <c r="B55868" s="1168"/>
    </row>
    <row r="55869" spans="2:2" s="221" customFormat="1" ht="12.75" x14ac:dyDescent="0.2">
      <c r="B55869" s="1168"/>
    </row>
    <row r="55870" spans="2:2" s="221" customFormat="1" ht="12.75" x14ac:dyDescent="0.2">
      <c r="B55870" s="1168"/>
    </row>
    <row r="55871" spans="2:2" s="221" customFormat="1" ht="12.75" x14ac:dyDescent="0.2">
      <c r="B55871" s="1168"/>
    </row>
    <row r="55872" spans="2:2" s="221" customFormat="1" ht="12.75" x14ac:dyDescent="0.2">
      <c r="B55872" s="1168"/>
    </row>
    <row r="55873" spans="2:2" s="221" customFormat="1" ht="12.75" x14ac:dyDescent="0.2">
      <c r="B55873" s="1168"/>
    </row>
    <row r="55874" spans="2:2" s="221" customFormat="1" ht="12.75" x14ac:dyDescent="0.2">
      <c r="B55874" s="1168"/>
    </row>
    <row r="55875" spans="2:2" s="221" customFormat="1" ht="12.75" x14ac:dyDescent="0.2">
      <c r="B55875" s="1168"/>
    </row>
    <row r="55876" spans="2:2" s="221" customFormat="1" ht="12.75" x14ac:dyDescent="0.2">
      <c r="B55876" s="1168"/>
    </row>
    <row r="55877" spans="2:2" s="221" customFormat="1" ht="12.75" x14ac:dyDescent="0.2">
      <c r="B55877" s="1168"/>
    </row>
    <row r="55878" spans="2:2" s="221" customFormat="1" ht="12.75" x14ac:dyDescent="0.2">
      <c r="B55878" s="1168"/>
    </row>
    <row r="55879" spans="2:2" s="221" customFormat="1" ht="12.75" x14ac:dyDescent="0.2">
      <c r="B55879" s="1168"/>
    </row>
    <row r="55880" spans="2:2" s="221" customFormat="1" ht="12.75" x14ac:dyDescent="0.2">
      <c r="B55880" s="1168"/>
    </row>
    <row r="55881" spans="2:2" s="221" customFormat="1" ht="12.75" x14ac:dyDescent="0.2">
      <c r="B55881" s="1168"/>
    </row>
    <row r="55882" spans="2:2" s="221" customFormat="1" ht="12.75" x14ac:dyDescent="0.2">
      <c r="B55882" s="1168"/>
    </row>
    <row r="55883" spans="2:2" s="221" customFormat="1" ht="12.75" x14ac:dyDescent="0.2">
      <c r="B55883" s="1168"/>
    </row>
    <row r="55884" spans="2:2" s="221" customFormat="1" ht="12.75" x14ac:dyDescent="0.2">
      <c r="B55884" s="1168"/>
    </row>
    <row r="55885" spans="2:2" s="221" customFormat="1" ht="12.75" x14ac:dyDescent="0.2">
      <c r="B55885" s="1168"/>
    </row>
    <row r="55886" spans="2:2" s="221" customFormat="1" ht="12.75" x14ac:dyDescent="0.2">
      <c r="B55886" s="1168"/>
    </row>
    <row r="55887" spans="2:2" s="221" customFormat="1" ht="12.75" x14ac:dyDescent="0.2">
      <c r="B55887" s="1168"/>
    </row>
    <row r="55888" spans="2:2" s="221" customFormat="1" ht="12.75" x14ac:dyDescent="0.2">
      <c r="B55888" s="1168"/>
    </row>
    <row r="55889" spans="2:2" s="221" customFormat="1" ht="12.75" x14ac:dyDescent="0.2">
      <c r="B55889" s="1168"/>
    </row>
    <row r="55890" spans="2:2" s="221" customFormat="1" ht="12.75" x14ac:dyDescent="0.2">
      <c r="B55890" s="1168"/>
    </row>
    <row r="55891" spans="2:2" s="221" customFormat="1" ht="12.75" x14ac:dyDescent="0.2">
      <c r="B55891" s="1168"/>
    </row>
    <row r="55892" spans="2:2" s="221" customFormat="1" ht="12.75" x14ac:dyDescent="0.2">
      <c r="B55892" s="1168"/>
    </row>
    <row r="55893" spans="2:2" s="221" customFormat="1" ht="12.75" x14ac:dyDescent="0.2">
      <c r="B55893" s="1168"/>
    </row>
    <row r="55894" spans="2:2" s="221" customFormat="1" ht="12.75" x14ac:dyDescent="0.2">
      <c r="B55894" s="1168"/>
    </row>
    <row r="55895" spans="2:2" s="221" customFormat="1" ht="12.75" x14ac:dyDescent="0.2">
      <c r="B55895" s="1168"/>
    </row>
    <row r="55896" spans="2:2" s="221" customFormat="1" ht="12.75" x14ac:dyDescent="0.2">
      <c r="B55896" s="1168"/>
    </row>
    <row r="55897" spans="2:2" s="221" customFormat="1" ht="12.75" x14ac:dyDescent="0.2">
      <c r="B55897" s="1168"/>
    </row>
    <row r="55898" spans="2:2" s="221" customFormat="1" ht="12.75" x14ac:dyDescent="0.2">
      <c r="B55898" s="1168"/>
    </row>
    <row r="55899" spans="2:2" s="221" customFormat="1" ht="12.75" x14ac:dyDescent="0.2">
      <c r="B55899" s="1168"/>
    </row>
    <row r="55900" spans="2:2" s="221" customFormat="1" ht="12.75" x14ac:dyDescent="0.2">
      <c r="B55900" s="1168"/>
    </row>
    <row r="55901" spans="2:2" s="221" customFormat="1" ht="12.75" x14ac:dyDescent="0.2">
      <c r="B55901" s="1168"/>
    </row>
    <row r="55902" spans="2:2" s="221" customFormat="1" ht="12.75" x14ac:dyDescent="0.2">
      <c r="B55902" s="1168"/>
    </row>
    <row r="55903" spans="2:2" s="221" customFormat="1" ht="12.75" x14ac:dyDescent="0.2">
      <c r="B55903" s="1168"/>
    </row>
    <row r="55904" spans="2:2" s="221" customFormat="1" ht="12.75" x14ac:dyDescent="0.2">
      <c r="B55904" s="1168"/>
    </row>
    <row r="55905" spans="2:2" s="221" customFormat="1" ht="12.75" x14ac:dyDescent="0.2">
      <c r="B55905" s="1168"/>
    </row>
    <row r="55906" spans="2:2" s="221" customFormat="1" ht="12.75" x14ac:dyDescent="0.2">
      <c r="B55906" s="1168"/>
    </row>
    <row r="55907" spans="2:2" s="221" customFormat="1" ht="12.75" x14ac:dyDescent="0.2">
      <c r="B55907" s="1168"/>
    </row>
    <row r="55908" spans="2:2" s="221" customFormat="1" ht="12.75" x14ac:dyDescent="0.2">
      <c r="B55908" s="1168"/>
    </row>
    <row r="55909" spans="2:2" s="221" customFormat="1" ht="12.75" x14ac:dyDescent="0.2">
      <c r="B55909" s="1168"/>
    </row>
    <row r="55910" spans="2:2" s="221" customFormat="1" ht="12.75" x14ac:dyDescent="0.2">
      <c r="B55910" s="1168"/>
    </row>
    <row r="55911" spans="2:2" s="221" customFormat="1" ht="12.75" x14ac:dyDescent="0.2">
      <c r="B55911" s="1168"/>
    </row>
    <row r="55912" spans="2:2" s="221" customFormat="1" ht="12.75" x14ac:dyDescent="0.2">
      <c r="B55912" s="1168"/>
    </row>
    <row r="55913" spans="2:2" s="221" customFormat="1" ht="12.75" x14ac:dyDescent="0.2">
      <c r="B55913" s="1168"/>
    </row>
    <row r="55914" spans="2:2" s="221" customFormat="1" ht="12.75" x14ac:dyDescent="0.2">
      <c r="B55914" s="1168"/>
    </row>
    <row r="55915" spans="2:2" s="221" customFormat="1" ht="12.75" x14ac:dyDescent="0.2">
      <c r="B55915" s="1168"/>
    </row>
    <row r="55916" spans="2:2" s="221" customFormat="1" ht="12.75" x14ac:dyDescent="0.2">
      <c r="B55916" s="1168"/>
    </row>
    <row r="55917" spans="2:2" s="221" customFormat="1" ht="12.75" x14ac:dyDescent="0.2">
      <c r="B55917" s="1168"/>
    </row>
    <row r="55918" spans="2:2" s="221" customFormat="1" ht="12.75" x14ac:dyDescent="0.2">
      <c r="B55918" s="1168"/>
    </row>
    <row r="55919" spans="2:2" s="221" customFormat="1" ht="12.75" x14ac:dyDescent="0.2">
      <c r="B55919" s="1168"/>
    </row>
    <row r="55920" spans="2:2" s="221" customFormat="1" ht="12.75" x14ac:dyDescent="0.2">
      <c r="B55920" s="1168"/>
    </row>
    <row r="55921" spans="2:2" s="221" customFormat="1" ht="12.75" x14ac:dyDescent="0.2">
      <c r="B55921" s="1168"/>
    </row>
    <row r="55922" spans="2:2" s="221" customFormat="1" ht="12.75" x14ac:dyDescent="0.2">
      <c r="B55922" s="1168"/>
    </row>
    <row r="55923" spans="2:2" s="221" customFormat="1" ht="12.75" x14ac:dyDescent="0.2">
      <c r="B55923" s="1168"/>
    </row>
    <row r="55924" spans="2:2" s="221" customFormat="1" ht="12.75" x14ac:dyDescent="0.2">
      <c r="B55924" s="1168"/>
    </row>
    <row r="55925" spans="2:2" s="221" customFormat="1" ht="12.75" x14ac:dyDescent="0.2">
      <c r="B55925" s="1168"/>
    </row>
    <row r="55926" spans="2:2" s="221" customFormat="1" ht="12.75" x14ac:dyDescent="0.2">
      <c r="B55926" s="1168"/>
    </row>
    <row r="55927" spans="2:2" s="221" customFormat="1" ht="12.75" x14ac:dyDescent="0.2">
      <c r="B55927" s="1168"/>
    </row>
    <row r="55928" spans="2:2" s="221" customFormat="1" ht="12.75" x14ac:dyDescent="0.2">
      <c r="B55928" s="1168"/>
    </row>
    <row r="55929" spans="2:2" s="221" customFormat="1" ht="12.75" x14ac:dyDescent="0.2">
      <c r="B55929" s="1168"/>
    </row>
    <row r="55930" spans="2:2" s="221" customFormat="1" ht="12.75" x14ac:dyDescent="0.2">
      <c r="B55930" s="1168"/>
    </row>
    <row r="55931" spans="2:2" s="221" customFormat="1" ht="12.75" x14ac:dyDescent="0.2">
      <c r="B55931" s="1168"/>
    </row>
    <row r="55932" spans="2:2" s="221" customFormat="1" ht="12.75" x14ac:dyDescent="0.2">
      <c r="B55932" s="1168"/>
    </row>
    <row r="55933" spans="2:2" s="221" customFormat="1" ht="12.75" x14ac:dyDescent="0.2">
      <c r="B55933" s="1168"/>
    </row>
    <row r="55934" spans="2:2" s="221" customFormat="1" ht="12.75" x14ac:dyDescent="0.2">
      <c r="B55934" s="1168"/>
    </row>
    <row r="55935" spans="2:2" s="221" customFormat="1" ht="12.75" x14ac:dyDescent="0.2">
      <c r="B55935" s="1168"/>
    </row>
    <row r="55936" spans="2:2" s="221" customFormat="1" ht="12.75" x14ac:dyDescent="0.2">
      <c r="B55936" s="1168"/>
    </row>
    <row r="55937" spans="2:2" s="221" customFormat="1" ht="12.75" x14ac:dyDescent="0.2">
      <c r="B55937" s="1168"/>
    </row>
    <row r="55938" spans="2:2" s="221" customFormat="1" ht="12.75" x14ac:dyDescent="0.2">
      <c r="B55938" s="1168"/>
    </row>
    <row r="55939" spans="2:2" s="221" customFormat="1" ht="12.75" x14ac:dyDescent="0.2">
      <c r="B55939" s="1168"/>
    </row>
    <row r="55940" spans="2:2" s="221" customFormat="1" ht="12.75" x14ac:dyDescent="0.2">
      <c r="B55940" s="1168"/>
    </row>
    <row r="55941" spans="2:2" s="221" customFormat="1" ht="12.75" x14ac:dyDescent="0.2">
      <c r="B55941" s="1168"/>
    </row>
    <row r="55942" spans="2:2" s="221" customFormat="1" ht="12.75" x14ac:dyDescent="0.2">
      <c r="B55942" s="1168"/>
    </row>
    <row r="55943" spans="2:2" s="221" customFormat="1" ht="12.75" x14ac:dyDescent="0.2">
      <c r="B55943" s="1168"/>
    </row>
    <row r="55944" spans="2:2" s="221" customFormat="1" ht="12.75" x14ac:dyDescent="0.2">
      <c r="B55944" s="1168"/>
    </row>
    <row r="55945" spans="2:2" s="221" customFormat="1" ht="12.75" x14ac:dyDescent="0.2">
      <c r="B55945" s="1168"/>
    </row>
    <row r="55946" spans="2:2" s="221" customFormat="1" ht="12.75" x14ac:dyDescent="0.2">
      <c r="B55946" s="1168"/>
    </row>
    <row r="55947" spans="2:2" s="221" customFormat="1" ht="12.75" x14ac:dyDescent="0.2">
      <c r="B55947" s="1168"/>
    </row>
    <row r="55948" spans="2:2" s="221" customFormat="1" ht="12.75" x14ac:dyDescent="0.2">
      <c r="B55948" s="1168"/>
    </row>
    <row r="55949" spans="2:2" s="221" customFormat="1" ht="12.75" x14ac:dyDescent="0.2">
      <c r="B55949" s="1168"/>
    </row>
    <row r="55950" spans="2:2" s="221" customFormat="1" ht="12.75" x14ac:dyDescent="0.2">
      <c r="B55950" s="1168"/>
    </row>
    <row r="55951" spans="2:2" s="221" customFormat="1" ht="12.75" x14ac:dyDescent="0.2">
      <c r="B55951" s="1168"/>
    </row>
    <row r="55952" spans="2:2" s="221" customFormat="1" ht="12.75" x14ac:dyDescent="0.2">
      <c r="B55952" s="1168"/>
    </row>
    <row r="55953" spans="2:2" s="221" customFormat="1" ht="12.75" x14ac:dyDescent="0.2">
      <c r="B55953" s="1168"/>
    </row>
    <row r="55954" spans="2:2" s="221" customFormat="1" ht="12.75" x14ac:dyDescent="0.2">
      <c r="B55954" s="1168"/>
    </row>
    <row r="55955" spans="2:2" s="221" customFormat="1" ht="12.75" x14ac:dyDescent="0.2">
      <c r="B55955" s="1168"/>
    </row>
    <row r="55956" spans="2:2" s="221" customFormat="1" ht="12.75" x14ac:dyDescent="0.2">
      <c r="B55956" s="1168"/>
    </row>
    <row r="55957" spans="2:2" s="221" customFormat="1" ht="12.75" x14ac:dyDescent="0.2">
      <c r="B55957" s="1168"/>
    </row>
    <row r="55958" spans="2:2" s="221" customFormat="1" ht="12.75" x14ac:dyDescent="0.2">
      <c r="B55958" s="1168"/>
    </row>
    <row r="55959" spans="2:2" s="221" customFormat="1" ht="12.75" x14ac:dyDescent="0.2">
      <c r="B55959" s="1168"/>
    </row>
    <row r="55960" spans="2:2" s="221" customFormat="1" ht="12.75" x14ac:dyDescent="0.2">
      <c r="B55960" s="1168"/>
    </row>
    <row r="55961" spans="2:2" s="221" customFormat="1" ht="12.75" x14ac:dyDescent="0.2">
      <c r="B55961" s="1168"/>
    </row>
    <row r="55962" spans="2:2" s="221" customFormat="1" ht="12.75" x14ac:dyDescent="0.2">
      <c r="B55962" s="1168"/>
    </row>
    <row r="55963" spans="2:2" s="221" customFormat="1" ht="12.75" x14ac:dyDescent="0.2">
      <c r="B55963" s="1168"/>
    </row>
    <row r="55964" spans="2:2" s="221" customFormat="1" ht="12.75" x14ac:dyDescent="0.2">
      <c r="B55964" s="1168"/>
    </row>
    <row r="55965" spans="2:2" s="221" customFormat="1" ht="12.75" x14ac:dyDescent="0.2">
      <c r="B55965" s="1168"/>
    </row>
    <row r="55966" spans="2:2" s="221" customFormat="1" ht="12.75" x14ac:dyDescent="0.2">
      <c r="B55966" s="1168"/>
    </row>
    <row r="55967" spans="2:2" s="221" customFormat="1" ht="12.75" x14ac:dyDescent="0.2">
      <c r="B55967" s="1168"/>
    </row>
    <row r="55968" spans="2:2" s="221" customFormat="1" ht="12.75" x14ac:dyDescent="0.2">
      <c r="B55968" s="1168"/>
    </row>
    <row r="55969" spans="2:2" s="221" customFormat="1" ht="12.75" x14ac:dyDescent="0.2">
      <c r="B55969" s="1168"/>
    </row>
    <row r="55970" spans="2:2" s="221" customFormat="1" ht="12.75" x14ac:dyDescent="0.2">
      <c r="B55970" s="1168"/>
    </row>
    <row r="55971" spans="2:2" s="221" customFormat="1" ht="12.75" x14ac:dyDescent="0.2">
      <c r="B55971" s="1168"/>
    </row>
    <row r="55972" spans="2:2" s="221" customFormat="1" ht="12.75" x14ac:dyDescent="0.2">
      <c r="B55972" s="1168"/>
    </row>
    <row r="55973" spans="2:2" s="221" customFormat="1" ht="12.75" x14ac:dyDescent="0.2">
      <c r="B55973" s="1168"/>
    </row>
    <row r="55974" spans="2:2" s="221" customFormat="1" ht="12.75" x14ac:dyDescent="0.2">
      <c r="B55974" s="1168"/>
    </row>
    <row r="55975" spans="2:2" s="221" customFormat="1" ht="12.75" x14ac:dyDescent="0.2">
      <c r="B55975" s="1168"/>
    </row>
    <row r="55976" spans="2:2" s="221" customFormat="1" ht="12.75" x14ac:dyDescent="0.2">
      <c r="B55976" s="1168"/>
    </row>
    <row r="55977" spans="2:2" s="221" customFormat="1" ht="12.75" x14ac:dyDescent="0.2">
      <c r="B55977" s="1168"/>
    </row>
    <row r="55978" spans="2:2" s="221" customFormat="1" ht="12.75" x14ac:dyDescent="0.2">
      <c r="B55978" s="1168"/>
    </row>
    <row r="55979" spans="2:2" s="221" customFormat="1" ht="12.75" x14ac:dyDescent="0.2">
      <c r="B55979" s="1168"/>
    </row>
    <row r="55980" spans="2:2" s="221" customFormat="1" ht="12.75" x14ac:dyDescent="0.2">
      <c r="B55980" s="1168"/>
    </row>
    <row r="55981" spans="2:2" s="221" customFormat="1" ht="12.75" x14ac:dyDescent="0.2">
      <c r="B55981" s="1168"/>
    </row>
    <row r="55982" spans="2:2" s="221" customFormat="1" ht="12.75" x14ac:dyDescent="0.2">
      <c r="B55982" s="1168"/>
    </row>
    <row r="55983" spans="2:2" s="221" customFormat="1" ht="12.75" x14ac:dyDescent="0.2">
      <c r="B55983" s="1168"/>
    </row>
    <row r="55984" spans="2:2" s="221" customFormat="1" ht="12.75" x14ac:dyDescent="0.2">
      <c r="B55984" s="1168"/>
    </row>
    <row r="55985" spans="2:2" s="221" customFormat="1" ht="12.75" x14ac:dyDescent="0.2">
      <c r="B55985" s="1168"/>
    </row>
    <row r="55986" spans="2:2" s="221" customFormat="1" ht="12.75" x14ac:dyDescent="0.2">
      <c r="B55986" s="1168"/>
    </row>
    <row r="55987" spans="2:2" s="221" customFormat="1" ht="12.75" x14ac:dyDescent="0.2">
      <c r="B55987" s="1168"/>
    </row>
    <row r="55988" spans="2:2" s="221" customFormat="1" ht="12.75" x14ac:dyDescent="0.2">
      <c r="B55988" s="1168"/>
    </row>
    <row r="55989" spans="2:2" s="221" customFormat="1" ht="12.75" x14ac:dyDescent="0.2">
      <c r="B55989" s="1168"/>
    </row>
    <row r="55990" spans="2:2" s="221" customFormat="1" ht="12.75" x14ac:dyDescent="0.2">
      <c r="B55990" s="1168"/>
    </row>
    <row r="55991" spans="2:2" s="221" customFormat="1" ht="12.75" x14ac:dyDescent="0.2">
      <c r="B55991" s="1168"/>
    </row>
    <row r="55992" spans="2:2" s="221" customFormat="1" ht="12.75" x14ac:dyDescent="0.2">
      <c r="B55992" s="1168"/>
    </row>
    <row r="55993" spans="2:2" s="221" customFormat="1" ht="12.75" x14ac:dyDescent="0.2">
      <c r="B55993" s="1168"/>
    </row>
    <row r="55994" spans="2:2" s="221" customFormat="1" ht="12.75" x14ac:dyDescent="0.2">
      <c r="B55994" s="1168"/>
    </row>
    <row r="55995" spans="2:2" s="221" customFormat="1" ht="12.75" x14ac:dyDescent="0.2">
      <c r="B55995" s="1168"/>
    </row>
    <row r="55996" spans="2:2" s="221" customFormat="1" ht="12.75" x14ac:dyDescent="0.2">
      <c r="B55996" s="1168"/>
    </row>
    <row r="55997" spans="2:2" s="221" customFormat="1" ht="12.75" x14ac:dyDescent="0.2">
      <c r="B55997" s="1168"/>
    </row>
    <row r="55998" spans="2:2" s="221" customFormat="1" ht="12.75" x14ac:dyDescent="0.2">
      <c r="B55998" s="1168"/>
    </row>
    <row r="55999" spans="2:2" s="221" customFormat="1" ht="12.75" x14ac:dyDescent="0.2">
      <c r="B55999" s="1168"/>
    </row>
    <row r="56000" spans="2:2" s="221" customFormat="1" ht="12.75" x14ac:dyDescent="0.2">
      <c r="B56000" s="1168"/>
    </row>
    <row r="56001" spans="2:2" s="221" customFormat="1" ht="12.75" x14ac:dyDescent="0.2">
      <c r="B56001" s="1168"/>
    </row>
    <row r="56002" spans="2:2" s="221" customFormat="1" ht="12.75" x14ac:dyDescent="0.2">
      <c r="B56002" s="1168"/>
    </row>
    <row r="56003" spans="2:2" s="221" customFormat="1" ht="12.75" x14ac:dyDescent="0.2">
      <c r="B56003" s="1168"/>
    </row>
    <row r="56004" spans="2:2" s="221" customFormat="1" ht="12.75" x14ac:dyDescent="0.2">
      <c r="B56004" s="1168"/>
    </row>
    <row r="56005" spans="2:2" s="221" customFormat="1" ht="12.75" x14ac:dyDescent="0.2">
      <c r="B56005" s="1168"/>
    </row>
    <row r="56006" spans="2:2" s="221" customFormat="1" ht="12.75" x14ac:dyDescent="0.2">
      <c r="B56006" s="1168"/>
    </row>
    <row r="56007" spans="2:2" s="221" customFormat="1" ht="12.75" x14ac:dyDescent="0.2">
      <c r="B56007" s="1168"/>
    </row>
    <row r="56008" spans="2:2" s="221" customFormat="1" ht="12.75" x14ac:dyDescent="0.2">
      <c r="B56008" s="1168"/>
    </row>
    <row r="56009" spans="2:2" s="221" customFormat="1" ht="12.75" x14ac:dyDescent="0.2">
      <c r="B56009" s="1168"/>
    </row>
    <row r="56010" spans="2:2" s="221" customFormat="1" ht="12.75" x14ac:dyDescent="0.2">
      <c r="B56010" s="1168"/>
    </row>
    <row r="56011" spans="2:2" s="221" customFormat="1" ht="12.75" x14ac:dyDescent="0.2">
      <c r="B56011" s="1168"/>
    </row>
    <row r="56012" spans="2:2" s="221" customFormat="1" ht="12.75" x14ac:dyDescent="0.2">
      <c r="B56012" s="1168"/>
    </row>
    <row r="56013" spans="2:2" s="221" customFormat="1" ht="12.75" x14ac:dyDescent="0.2">
      <c r="B56013" s="1168"/>
    </row>
    <row r="56014" spans="2:2" s="221" customFormat="1" ht="12.75" x14ac:dyDescent="0.2">
      <c r="B56014" s="1168"/>
    </row>
    <row r="56015" spans="2:2" s="221" customFormat="1" ht="12.75" x14ac:dyDescent="0.2">
      <c r="B56015" s="1168"/>
    </row>
    <row r="56016" spans="2:2" s="221" customFormat="1" ht="12.75" x14ac:dyDescent="0.2">
      <c r="B56016" s="1168"/>
    </row>
    <row r="56017" spans="2:2" s="221" customFormat="1" ht="12.75" x14ac:dyDescent="0.2">
      <c r="B56017" s="1168"/>
    </row>
    <row r="56018" spans="2:2" s="221" customFormat="1" ht="12.75" x14ac:dyDescent="0.2">
      <c r="B56018" s="1168"/>
    </row>
    <row r="56019" spans="2:2" s="221" customFormat="1" ht="12.75" x14ac:dyDescent="0.2">
      <c r="B56019" s="1168"/>
    </row>
    <row r="56020" spans="2:2" s="221" customFormat="1" ht="12.75" x14ac:dyDescent="0.2">
      <c r="B56020" s="1168"/>
    </row>
    <row r="56021" spans="2:2" s="221" customFormat="1" ht="12.75" x14ac:dyDescent="0.2">
      <c r="B56021" s="1168"/>
    </row>
    <row r="56022" spans="2:2" s="221" customFormat="1" ht="12.75" x14ac:dyDescent="0.2">
      <c r="B56022" s="1168"/>
    </row>
    <row r="56023" spans="2:2" s="221" customFormat="1" ht="12.75" x14ac:dyDescent="0.2">
      <c r="B56023" s="1168"/>
    </row>
    <row r="56024" spans="2:2" s="221" customFormat="1" ht="12.75" x14ac:dyDescent="0.2">
      <c r="B56024" s="1168"/>
    </row>
    <row r="56025" spans="2:2" s="221" customFormat="1" ht="12.75" x14ac:dyDescent="0.2">
      <c r="B56025" s="1168"/>
    </row>
    <row r="56026" spans="2:2" s="221" customFormat="1" ht="12.75" x14ac:dyDescent="0.2">
      <c r="B56026" s="1168"/>
    </row>
    <row r="56027" spans="2:2" s="221" customFormat="1" ht="12.75" x14ac:dyDescent="0.2">
      <c r="B56027" s="1168"/>
    </row>
    <row r="56028" spans="2:2" s="221" customFormat="1" ht="12.75" x14ac:dyDescent="0.2">
      <c r="B56028" s="1168"/>
    </row>
    <row r="56029" spans="2:2" s="221" customFormat="1" ht="12.75" x14ac:dyDescent="0.2">
      <c r="B56029" s="1168"/>
    </row>
    <row r="56030" spans="2:2" s="221" customFormat="1" ht="12.75" x14ac:dyDescent="0.2">
      <c r="B56030" s="1168"/>
    </row>
    <row r="56031" spans="2:2" s="221" customFormat="1" ht="12.75" x14ac:dyDescent="0.2">
      <c r="B56031" s="1168"/>
    </row>
    <row r="56032" spans="2:2" s="221" customFormat="1" ht="12.75" x14ac:dyDescent="0.2">
      <c r="B56032" s="1168"/>
    </row>
    <row r="56033" spans="2:2" s="221" customFormat="1" ht="12.75" x14ac:dyDescent="0.2">
      <c r="B56033" s="1168"/>
    </row>
    <row r="56034" spans="2:2" s="221" customFormat="1" ht="12.75" x14ac:dyDescent="0.2">
      <c r="B56034" s="1168"/>
    </row>
    <row r="56035" spans="2:2" s="221" customFormat="1" ht="12.75" x14ac:dyDescent="0.2">
      <c r="B56035" s="1168"/>
    </row>
    <row r="56036" spans="2:2" s="221" customFormat="1" ht="12.75" x14ac:dyDescent="0.2">
      <c r="B56036" s="1168"/>
    </row>
    <row r="56037" spans="2:2" s="221" customFormat="1" ht="12.75" x14ac:dyDescent="0.2">
      <c r="B56037" s="1168"/>
    </row>
    <row r="56038" spans="2:2" s="221" customFormat="1" ht="12.75" x14ac:dyDescent="0.2">
      <c r="B56038" s="1168"/>
    </row>
    <row r="56039" spans="2:2" s="221" customFormat="1" ht="12.75" x14ac:dyDescent="0.2">
      <c r="B56039" s="1168"/>
    </row>
    <row r="56040" spans="2:2" s="221" customFormat="1" ht="12.75" x14ac:dyDescent="0.2">
      <c r="B56040" s="1168"/>
    </row>
    <row r="56041" spans="2:2" s="221" customFormat="1" ht="12.75" x14ac:dyDescent="0.2">
      <c r="B56041" s="1168"/>
    </row>
    <row r="56042" spans="2:2" s="221" customFormat="1" ht="12.75" x14ac:dyDescent="0.2">
      <c r="B56042" s="1168"/>
    </row>
    <row r="56043" spans="2:2" s="221" customFormat="1" ht="12.75" x14ac:dyDescent="0.2">
      <c r="B56043" s="1168"/>
    </row>
    <row r="56044" spans="2:2" s="221" customFormat="1" ht="12.75" x14ac:dyDescent="0.2">
      <c r="B56044" s="1168"/>
    </row>
    <row r="56045" spans="2:2" s="221" customFormat="1" ht="12.75" x14ac:dyDescent="0.2">
      <c r="B56045" s="1168"/>
    </row>
    <row r="56046" spans="2:2" s="221" customFormat="1" ht="12.75" x14ac:dyDescent="0.2">
      <c r="B56046" s="1168"/>
    </row>
    <row r="56047" spans="2:2" s="221" customFormat="1" ht="12.75" x14ac:dyDescent="0.2">
      <c r="B56047" s="1168"/>
    </row>
    <row r="56048" spans="2:2" s="221" customFormat="1" ht="12.75" x14ac:dyDescent="0.2">
      <c r="B56048" s="1168"/>
    </row>
    <row r="56049" spans="2:2" s="221" customFormat="1" ht="12.75" x14ac:dyDescent="0.2">
      <c r="B56049" s="1168"/>
    </row>
    <row r="56050" spans="2:2" s="221" customFormat="1" ht="12.75" x14ac:dyDescent="0.2">
      <c r="B56050" s="1168"/>
    </row>
    <row r="56051" spans="2:2" s="221" customFormat="1" ht="12.75" x14ac:dyDescent="0.2">
      <c r="B56051" s="1168"/>
    </row>
    <row r="56052" spans="2:2" s="221" customFormat="1" ht="12.75" x14ac:dyDescent="0.2">
      <c r="B56052" s="1168"/>
    </row>
    <row r="56053" spans="2:2" s="221" customFormat="1" ht="12.75" x14ac:dyDescent="0.2">
      <c r="B56053" s="1168"/>
    </row>
    <row r="56054" spans="2:2" s="221" customFormat="1" ht="12.75" x14ac:dyDescent="0.2">
      <c r="B56054" s="1168"/>
    </row>
    <row r="56055" spans="2:2" s="221" customFormat="1" ht="12.75" x14ac:dyDescent="0.2">
      <c r="B56055" s="1168"/>
    </row>
    <row r="56056" spans="2:2" s="221" customFormat="1" ht="12.75" x14ac:dyDescent="0.2">
      <c r="B56056" s="1168"/>
    </row>
    <row r="56057" spans="2:2" s="221" customFormat="1" ht="12.75" x14ac:dyDescent="0.2">
      <c r="B56057" s="1168"/>
    </row>
    <row r="56058" spans="2:2" s="221" customFormat="1" ht="12.75" x14ac:dyDescent="0.2">
      <c r="B56058" s="1168"/>
    </row>
    <row r="56059" spans="2:2" s="221" customFormat="1" ht="12.75" x14ac:dyDescent="0.2">
      <c r="B56059" s="1168"/>
    </row>
    <row r="56060" spans="2:2" s="221" customFormat="1" ht="12.75" x14ac:dyDescent="0.2">
      <c r="B56060" s="1168"/>
    </row>
    <row r="56061" spans="2:2" s="221" customFormat="1" ht="12.75" x14ac:dyDescent="0.2">
      <c r="B56061" s="1168"/>
    </row>
    <row r="56062" spans="2:2" s="221" customFormat="1" ht="12.75" x14ac:dyDescent="0.2">
      <c r="B56062" s="1168"/>
    </row>
    <row r="56063" spans="2:2" s="221" customFormat="1" ht="12.75" x14ac:dyDescent="0.2">
      <c r="B56063" s="1168"/>
    </row>
    <row r="56064" spans="2:2" s="221" customFormat="1" ht="12.75" x14ac:dyDescent="0.2">
      <c r="B56064" s="1168"/>
    </row>
    <row r="56065" spans="2:2" s="221" customFormat="1" ht="12.75" x14ac:dyDescent="0.2">
      <c r="B56065" s="1168"/>
    </row>
    <row r="56066" spans="2:2" s="221" customFormat="1" ht="12.75" x14ac:dyDescent="0.2">
      <c r="B56066" s="1168"/>
    </row>
    <row r="56067" spans="2:2" s="221" customFormat="1" ht="12.75" x14ac:dyDescent="0.2">
      <c r="B56067" s="1168"/>
    </row>
    <row r="56068" spans="2:2" s="221" customFormat="1" ht="12.75" x14ac:dyDescent="0.2">
      <c r="B56068" s="1168"/>
    </row>
    <row r="56069" spans="2:2" s="221" customFormat="1" ht="12.75" x14ac:dyDescent="0.2">
      <c r="B56069" s="1168"/>
    </row>
    <row r="56070" spans="2:2" s="221" customFormat="1" ht="12.75" x14ac:dyDescent="0.2">
      <c r="B56070" s="1168"/>
    </row>
    <row r="56071" spans="2:2" s="221" customFormat="1" ht="12.75" x14ac:dyDescent="0.2">
      <c r="B56071" s="1168"/>
    </row>
    <row r="56072" spans="2:2" s="221" customFormat="1" ht="12.75" x14ac:dyDescent="0.2">
      <c r="B56072" s="1168"/>
    </row>
    <row r="56073" spans="2:2" s="221" customFormat="1" ht="12.75" x14ac:dyDescent="0.2">
      <c r="B56073" s="1168"/>
    </row>
    <row r="56074" spans="2:2" s="221" customFormat="1" ht="12.75" x14ac:dyDescent="0.2">
      <c r="B56074" s="1168"/>
    </row>
    <row r="56075" spans="2:2" s="221" customFormat="1" ht="12.75" x14ac:dyDescent="0.2">
      <c r="B56075" s="1168"/>
    </row>
    <row r="56076" spans="2:2" s="221" customFormat="1" ht="12.75" x14ac:dyDescent="0.2">
      <c r="B56076" s="1168"/>
    </row>
    <row r="56077" spans="2:2" s="221" customFormat="1" ht="12.75" x14ac:dyDescent="0.2">
      <c r="B56077" s="1168"/>
    </row>
    <row r="56078" spans="2:2" s="221" customFormat="1" ht="12.75" x14ac:dyDescent="0.2">
      <c r="B56078" s="1168"/>
    </row>
    <row r="56079" spans="2:2" s="221" customFormat="1" ht="12.75" x14ac:dyDescent="0.2">
      <c r="B56079" s="1168"/>
    </row>
    <row r="56080" spans="2:2" s="221" customFormat="1" ht="12.75" x14ac:dyDescent="0.2">
      <c r="B56080" s="1168"/>
    </row>
    <row r="56081" spans="2:2" s="221" customFormat="1" ht="12.75" x14ac:dyDescent="0.2">
      <c r="B56081" s="1168"/>
    </row>
    <row r="56082" spans="2:2" s="221" customFormat="1" ht="12.75" x14ac:dyDescent="0.2">
      <c r="B56082" s="1168"/>
    </row>
    <row r="56083" spans="2:2" s="221" customFormat="1" ht="12.75" x14ac:dyDescent="0.2">
      <c r="B56083" s="1168"/>
    </row>
    <row r="56084" spans="2:2" s="221" customFormat="1" ht="12.75" x14ac:dyDescent="0.2">
      <c r="B56084" s="1168"/>
    </row>
    <row r="56085" spans="2:2" s="221" customFormat="1" ht="12.75" x14ac:dyDescent="0.2">
      <c r="B56085" s="1168"/>
    </row>
    <row r="56086" spans="2:2" s="221" customFormat="1" ht="12.75" x14ac:dyDescent="0.2">
      <c r="B56086" s="1168"/>
    </row>
    <row r="56087" spans="2:2" s="221" customFormat="1" ht="12.75" x14ac:dyDescent="0.2">
      <c r="B56087" s="1168"/>
    </row>
    <row r="56088" spans="2:2" s="221" customFormat="1" ht="12.75" x14ac:dyDescent="0.2">
      <c r="B56088" s="1168"/>
    </row>
    <row r="56089" spans="2:2" s="221" customFormat="1" ht="12.75" x14ac:dyDescent="0.2">
      <c r="B56089" s="1168"/>
    </row>
    <row r="56090" spans="2:2" s="221" customFormat="1" ht="12.75" x14ac:dyDescent="0.2">
      <c r="B56090" s="1168"/>
    </row>
    <row r="56091" spans="2:2" s="221" customFormat="1" ht="12.75" x14ac:dyDescent="0.2">
      <c r="B56091" s="1168"/>
    </row>
    <row r="56092" spans="2:2" s="221" customFormat="1" ht="12.75" x14ac:dyDescent="0.2">
      <c r="B56092" s="1168"/>
    </row>
    <row r="56093" spans="2:2" s="221" customFormat="1" ht="12.75" x14ac:dyDescent="0.2">
      <c r="B56093" s="1168"/>
    </row>
    <row r="56094" spans="2:2" s="221" customFormat="1" ht="12.75" x14ac:dyDescent="0.2">
      <c r="B56094" s="1168"/>
    </row>
    <row r="56095" spans="2:2" s="221" customFormat="1" ht="12.75" x14ac:dyDescent="0.2">
      <c r="B56095" s="1168"/>
    </row>
    <row r="56096" spans="2:2" s="221" customFormat="1" ht="12.75" x14ac:dyDescent="0.2">
      <c r="B56096" s="1168"/>
    </row>
    <row r="56097" spans="2:2" s="221" customFormat="1" ht="12.75" x14ac:dyDescent="0.2">
      <c r="B56097" s="1168"/>
    </row>
    <row r="56098" spans="2:2" s="221" customFormat="1" ht="12.75" x14ac:dyDescent="0.2">
      <c r="B56098" s="1168"/>
    </row>
    <row r="56099" spans="2:2" s="221" customFormat="1" ht="12.75" x14ac:dyDescent="0.2">
      <c r="B56099" s="1168"/>
    </row>
    <row r="56100" spans="2:2" s="221" customFormat="1" ht="12.75" x14ac:dyDescent="0.2">
      <c r="B56100" s="1168"/>
    </row>
    <row r="56101" spans="2:2" s="221" customFormat="1" ht="12.75" x14ac:dyDescent="0.2">
      <c r="B56101" s="1168"/>
    </row>
    <row r="56102" spans="2:2" s="221" customFormat="1" ht="12.75" x14ac:dyDescent="0.2">
      <c r="B56102" s="1168"/>
    </row>
    <row r="56103" spans="2:2" s="221" customFormat="1" ht="12.75" x14ac:dyDescent="0.2">
      <c r="B56103" s="1168"/>
    </row>
    <row r="56104" spans="2:2" s="221" customFormat="1" ht="12.75" x14ac:dyDescent="0.2">
      <c r="B56104" s="1168"/>
    </row>
    <row r="56105" spans="2:2" s="221" customFormat="1" ht="12.75" x14ac:dyDescent="0.2">
      <c r="B56105" s="1168"/>
    </row>
    <row r="56106" spans="2:2" s="221" customFormat="1" ht="12.75" x14ac:dyDescent="0.2">
      <c r="B56106" s="1168"/>
    </row>
    <row r="56107" spans="2:2" s="221" customFormat="1" ht="12.75" x14ac:dyDescent="0.2">
      <c r="B56107" s="1168"/>
    </row>
    <row r="56108" spans="2:2" s="221" customFormat="1" ht="12.75" x14ac:dyDescent="0.2">
      <c r="B56108" s="1168"/>
    </row>
    <row r="56109" spans="2:2" s="221" customFormat="1" ht="12.75" x14ac:dyDescent="0.2">
      <c r="B56109" s="1168"/>
    </row>
    <row r="56110" spans="2:2" s="221" customFormat="1" ht="12.75" x14ac:dyDescent="0.2">
      <c r="B56110" s="1168"/>
    </row>
    <row r="56111" spans="2:2" s="221" customFormat="1" ht="12.75" x14ac:dyDescent="0.2">
      <c r="B56111" s="1168"/>
    </row>
    <row r="56112" spans="2:2" s="221" customFormat="1" ht="12.75" x14ac:dyDescent="0.2">
      <c r="B56112" s="1168"/>
    </row>
    <row r="56113" spans="2:2" s="221" customFormat="1" ht="12.75" x14ac:dyDescent="0.2">
      <c r="B56113" s="1168"/>
    </row>
    <row r="56114" spans="2:2" s="221" customFormat="1" ht="12.75" x14ac:dyDescent="0.2">
      <c r="B56114" s="1168"/>
    </row>
    <row r="56115" spans="2:2" s="221" customFormat="1" ht="12.75" x14ac:dyDescent="0.2">
      <c r="B56115" s="1168"/>
    </row>
    <row r="56116" spans="2:2" s="221" customFormat="1" ht="12.75" x14ac:dyDescent="0.2">
      <c r="B56116" s="1168"/>
    </row>
    <row r="56117" spans="2:2" s="221" customFormat="1" ht="12.75" x14ac:dyDescent="0.2">
      <c r="B56117" s="1168"/>
    </row>
    <row r="56118" spans="2:2" s="221" customFormat="1" ht="12.75" x14ac:dyDescent="0.2">
      <c r="B56118" s="1168"/>
    </row>
    <row r="56119" spans="2:2" s="221" customFormat="1" ht="12.75" x14ac:dyDescent="0.2">
      <c r="B56119" s="1168"/>
    </row>
    <row r="56120" spans="2:2" s="221" customFormat="1" ht="12.75" x14ac:dyDescent="0.2">
      <c r="B56120" s="1168"/>
    </row>
    <row r="56121" spans="2:2" s="221" customFormat="1" ht="12.75" x14ac:dyDescent="0.2">
      <c r="B56121" s="1168"/>
    </row>
    <row r="56122" spans="2:2" s="221" customFormat="1" ht="12.75" x14ac:dyDescent="0.2">
      <c r="B56122" s="1168"/>
    </row>
    <row r="56123" spans="2:2" s="221" customFormat="1" ht="12.75" x14ac:dyDescent="0.2">
      <c r="B56123" s="1168"/>
    </row>
    <row r="56124" spans="2:2" s="221" customFormat="1" ht="12.75" x14ac:dyDescent="0.2">
      <c r="B56124" s="1168"/>
    </row>
    <row r="56125" spans="2:2" s="221" customFormat="1" ht="12.75" x14ac:dyDescent="0.2">
      <c r="B56125" s="1168"/>
    </row>
    <row r="56126" spans="2:2" s="221" customFormat="1" ht="12.75" x14ac:dyDescent="0.2">
      <c r="B56126" s="1168"/>
    </row>
    <row r="56127" spans="2:2" s="221" customFormat="1" ht="12.75" x14ac:dyDescent="0.2">
      <c r="B56127" s="1168"/>
    </row>
    <row r="56128" spans="2:2" s="221" customFormat="1" ht="12.75" x14ac:dyDescent="0.2">
      <c r="B56128" s="1168"/>
    </row>
    <row r="56129" spans="2:2" s="221" customFormat="1" ht="12.75" x14ac:dyDescent="0.2">
      <c r="B56129" s="1168"/>
    </row>
    <row r="56130" spans="2:2" s="221" customFormat="1" ht="12.75" x14ac:dyDescent="0.2">
      <c r="B56130" s="1168"/>
    </row>
    <row r="56131" spans="2:2" s="221" customFormat="1" ht="12.75" x14ac:dyDescent="0.2">
      <c r="B56131" s="1168"/>
    </row>
    <row r="56132" spans="2:2" s="221" customFormat="1" ht="12.75" x14ac:dyDescent="0.2">
      <c r="B56132" s="1168"/>
    </row>
    <row r="56133" spans="2:2" s="221" customFormat="1" ht="12.75" x14ac:dyDescent="0.2">
      <c r="B56133" s="1168"/>
    </row>
    <row r="56134" spans="2:2" s="221" customFormat="1" ht="12.75" x14ac:dyDescent="0.2">
      <c r="B56134" s="1168"/>
    </row>
    <row r="56135" spans="2:2" s="221" customFormat="1" ht="12.75" x14ac:dyDescent="0.2">
      <c r="B56135" s="1168"/>
    </row>
    <row r="56136" spans="2:2" s="221" customFormat="1" ht="12.75" x14ac:dyDescent="0.2">
      <c r="B56136" s="1168"/>
    </row>
    <row r="56137" spans="2:2" s="221" customFormat="1" ht="12.75" x14ac:dyDescent="0.2">
      <c r="B56137" s="1168"/>
    </row>
    <row r="56138" spans="2:2" s="221" customFormat="1" ht="12.75" x14ac:dyDescent="0.2">
      <c r="B56138" s="1168"/>
    </row>
    <row r="56139" spans="2:2" s="221" customFormat="1" ht="12.75" x14ac:dyDescent="0.2">
      <c r="B56139" s="1168"/>
    </row>
    <row r="56140" spans="2:2" s="221" customFormat="1" ht="12.75" x14ac:dyDescent="0.2">
      <c r="B56140" s="1168"/>
    </row>
    <row r="56141" spans="2:2" s="221" customFormat="1" ht="12.75" x14ac:dyDescent="0.2">
      <c r="B56141" s="1168"/>
    </row>
    <row r="56142" spans="2:2" s="221" customFormat="1" ht="12.75" x14ac:dyDescent="0.2">
      <c r="B56142" s="1168"/>
    </row>
    <row r="56143" spans="2:2" s="221" customFormat="1" ht="12.75" x14ac:dyDescent="0.2">
      <c r="B56143" s="1168"/>
    </row>
    <row r="56144" spans="2:2" s="221" customFormat="1" ht="12.75" x14ac:dyDescent="0.2">
      <c r="B56144" s="1168"/>
    </row>
    <row r="56145" spans="2:2" s="221" customFormat="1" ht="12.75" x14ac:dyDescent="0.2">
      <c r="B56145" s="1168"/>
    </row>
    <row r="56146" spans="2:2" s="221" customFormat="1" ht="12.75" x14ac:dyDescent="0.2">
      <c r="B56146" s="1168"/>
    </row>
    <row r="56147" spans="2:2" s="221" customFormat="1" ht="12.75" x14ac:dyDescent="0.2">
      <c r="B56147" s="1168"/>
    </row>
    <row r="56148" spans="2:2" s="221" customFormat="1" ht="12.75" x14ac:dyDescent="0.2">
      <c r="B56148" s="1168"/>
    </row>
    <row r="56149" spans="2:2" s="221" customFormat="1" ht="12.75" x14ac:dyDescent="0.2">
      <c r="B56149" s="1168"/>
    </row>
    <row r="56150" spans="2:2" s="221" customFormat="1" ht="12.75" x14ac:dyDescent="0.2">
      <c r="B56150" s="1168"/>
    </row>
    <row r="56151" spans="2:2" s="221" customFormat="1" ht="12.75" x14ac:dyDescent="0.2">
      <c r="B56151" s="1168"/>
    </row>
    <row r="56152" spans="2:2" s="221" customFormat="1" ht="12.75" x14ac:dyDescent="0.2">
      <c r="B56152" s="1168"/>
    </row>
    <row r="56153" spans="2:2" s="221" customFormat="1" ht="12.75" x14ac:dyDescent="0.2">
      <c r="B56153" s="1168"/>
    </row>
    <row r="56154" spans="2:2" s="221" customFormat="1" ht="12.75" x14ac:dyDescent="0.2">
      <c r="B56154" s="1168"/>
    </row>
    <row r="56155" spans="2:2" s="221" customFormat="1" ht="12.75" x14ac:dyDescent="0.2">
      <c r="B56155" s="1168"/>
    </row>
    <row r="56156" spans="2:2" s="221" customFormat="1" ht="12.75" x14ac:dyDescent="0.2">
      <c r="B56156" s="1168"/>
    </row>
    <row r="56157" spans="2:2" s="221" customFormat="1" ht="12.75" x14ac:dyDescent="0.2">
      <c r="B56157" s="1168"/>
    </row>
    <row r="56158" spans="2:2" s="221" customFormat="1" ht="12.75" x14ac:dyDescent="0.2">
      <c r="B56158" s="1168"/>
    </row>
    <row r="56159" spans="2:2" s="221" customFormat="1" ht="12.75" x14ac:dyDescent="0.2">
      <c r="B56159" s="1168"/>
    </row>
    <row r="56160" spans="2:2" s="221" customFormat="1" ht="12.75" x14ac:dyDescent="0.2">
      <c r="B56160" s="1168"/>
    </row>
    <row r="56161" spans="2:2" s="221" customFormat="1" ht="12.75" x14ac:dyDescent="0.2">
      <c r="B56161" s="1168"/>
    </row>
    <row r="56162" spans="2:2" s="221" customFormat="1" ht="12.75" x14ac:dyDescent="0.2">
      <c r="B56162" s="1168"/>
    </row>
    <row r="56163" spans="2:2" s="221" customFormat="1" ht="12.75" x14ac:dyDescent="0.2">
      <c r="B56163" s="1168"/>
    </row>
    <row r="56164" spans="2:2" s="221" customFormat="1" ht="12.75" x14ac:dyDescent="0.2">
      <c r="B56164" s="1168"/>
    </row>
    <row r="56165" spans="2:2" s="221" customFormat="1" ht="12.75" x14ac:dyDescent="0.2">
      <c r="B56165" s="1168"/>
    </row>
    <row r="56166" spans="2:2" s="221" customFormat="1" ht="12.75" x14ac:dyDescent="0.2">
      <c r="B56166" s="1168"/>
    </row>
    <row r="56167" spans="2:2" s="221" customFormat="1" ht="12.75" x14ac:dyDescent="0.2">
      <c r="B56167" s="1168"/>
    </row>
    <row r="56168" spans="2:2" s="221" customFormat="1" ht="12.75" x14ac:dyDescent="0.2">
      <c r="B56168" s="1168"/>
    </row>
    <row r="56169" spans="2:2" s="221" customFormat="1" ht="12.75" x14ac:dyDescent="0.2">
      <c r="B56169" s="1168"/>
    </row>
    <row r="56170" spans="2:2" s="221" customFormat="1" ht="12.75" x14ac:dyDescent="0.2">
      <c r="B56170" s="1168"/>
    </row>
    <row r="56171" spans="2:2" s="221" customFormat="1" ht="12.75" x14ac:dyDescent="0.2">
      <c r="B56171" s="1168"/>
    </row>
    <row r="56172" spans="2:2" s="221" customFormat="1" ht="12.75" x14ac:dyDescent="0.2">
      <c r="B56172" s="1168"/>
    </row>
    <row r="56173" spans="2:2" s="221" customFormat="1" ht="12.75" x14ac:dyDescent="0.2">
      <c r="B56173" s="1168"/>
    </row>
    <row r="56174" spans="2:2" s="221" customFormat="1" ht="12.75" x14ac:dyDescent="0.2">
      <c r="B56174" s="1168"/>
    </row>
    <row r="56175" spans="2:2" s="221" customFormat="1" ht="12.75" x14ac:dyDescent="0.2">
      <c r="B56175" s="1168"/>
    </row>
    <row r="56176" spans="2:2" s="221" customFormat="1" ht="12.75" x14ac:dyDescent="0.2">
      <c r="B56176" s="1168"/>
    </row>
    <row r="56177" spans="2:2" s="221" customFormat="1" ht="12.75" x14ac:dyDescent="0.2">
      <c r="B56177" s="1168"/>
    </row>
    <row r="56178" spans="2:2" s="221" customFormat="1" ht="12.75" x14ac:dyDescent="0.2">
      <c r="B56178" s="1168"/>
    </row>
    <row r="56179" spans="2:2" s="221" customFormat="1" ht="12.75" x14ac:dyDescent="0.2">
      <c r="B56179" s="1168"/>
    </row>
    <row r="56180" spans="2:2" s="221" customFormat="1" ht="12.75" x14ac:dyDescent="0.2">
      <c r="B56180" s="1168"/>
    </row>
    <row r="56181" spans="2:2" s="221" customFormat="1" ht="12.75" x14ac:dyDescent="0.2">
      <c r="B56181" s="1168"/>
    </row>
    <row r="56182" spans="2:2" s="221" customFormat="1" ht="12.75" x14ac:dyDescent="0.2">
      <c r="B56182" s="1168"/>
    </row>
    <row r="56183" spans="2:2" s="221" customFormat="1" ht="12.75" x14ac:dyDescent="0.2">
      <c r="B56183" s="1168"/>
    </row>
    <row r="56184" spans="2:2" s="221" customFormat="1" ht="12.75" x14ac:dyDescent="0.2">
      <c r="B56184" s="1168"/>
    </row>
    <row r="56185" spans="2:2" s="221" customFormat="1" ht="12.75" x14ac:dyDescent="0.2">
      <c r="B56185" s="1168"/>
    </row>
    <row r="56186" spans="2:2" s="221" customFormat="1" ht="12.75" x14ac:dyDescent="0.2">
      <c r="B56186" s="1168"/>
    </row>
    <row r="56187" spans="2:2" s="221" customFormat="1" ht="12.75" x14ac:dyDescent="0.2">
      <c r="B56187" s="1168"/>
    </row>
    <row r="56188" spans="2:2" s="221" customFormat="1" ht="12.75" x14ac:dyDescent="0.2">
      <c r="B56188" s="1168"/>
    </row>
    <row r="56189" spans="2:2" s="221" customFormat="1" ht="12.75" x14ac:dyDescent="0.2">
      <c r="B56189" s="1168"/>
    </row>
    <row r="56190" spans="2:2" s="221" customFormat="1" ht="12.75" x14ac:dyDescent="0.2">
      <c r="B56190" s="1168"/>
    </row>
    <row r="56191" spans="2:2" s="221" customFormat="1" ht="12.75" x14ac:dyDescent="0.2">
      <c r="B56191" s="1168"/>
    </row>
    <row r="56192" spans="2:2" s="221" customFormat="1" ht="12.75" x14ac:dyDescent="0.2">
      <c r="B56192" s="1168"/>
    </row>
    <row r="56193" spans="2:2" s="221" customFormat="1" ht="12.75" x14ac:dyDescent="0.2">
      <c r="B56193" s="1168"/>
    </row>
    <row r="56194" spans="2:2" s="221" customFormat="1" ht="12.75" x14ac:dyDescent="0.2">
      <c r="B56194" s="1168"/>
    </row>
    <row r="56195" spans="2:2" s="221" customFormat="1" ht="12.75" x14ac:dyDescent="0.2">
      <c r="B56195" s="1168"/>
    </row>
    <row r="56196" spans="2:2" s="221" customFormat="1" ht="12.75" x14ac:dyDescent="0.2">
      <c r="B56196" s="1168"/>
    </row>
    <row r="56197" spans="2:2" s="221" customFormat="1" ht="12.75" x14ac:dyDescent="0.2">
      <c r="B56197" s="1168"/>
    </row>
    <row r="56198" spans="2:2" s="221" customFormat="1" ht="12.75" x14ac:dyDescent="0.2">
      <c r="B56198" s="1168"/>
    </row>
    <row r="56199" spans="2:2" s="221" customFormat="1" ht="12.75" x14ac:dyDescent="0.2">
      <c r="B56199" s="1168"/>
    </row>
    <row r="56200" spans="2:2" s="221" customFormat="1" ht="12.75" x14ac:dyDescent="0.2">
      <c r="B56200" s="1168"/>
    </row>
    <row r="56201" spans="2:2" s="221" customFormat="1" ht="12.75" x14ac:dyDescent="0.2">
      <c r="B56201" s="1168"/>
    </row>
    <row r="56202" spans="2:2" s="221" customFormat="1" ht="12.75" x14ac:dyDescent="0.2">
      <c r="B56202" s="1168"/>
    </row>
    <row r="56203" spans="2:2" s="221" customFormat="1" ht="12.75" x14ac:dyDescent="0.2">
      <c r="B56203" s="1168"/>
    </row>
    <row r="56204" spans="2:2" s="221" customFormat="1" ht="12.75" x14ac:dyDescent="0.2">
      <c r="B56204" s="1168"/>
    </row>
    <row r="56205" spans="2:2" s="221" customFormat="1" ht="12.75" x14ac:dyDescent="0.2">
      <c r="B56205" s="1168"/>
    </row>
    <row r="56206" spans="2:2" s="221" customFormat="1" ht="12.75" x14ac:dyDescent="0.2">
      <c r="B56206" s="1168"/>
    </row>
    <row r="56207" spans="2:2" s="221" customFormat="1" ht="12.75" x14ac:dyDescent="0.2">
      <c r="B56207" s="1168"/>
    </row>
    <row r="56208" spans="2:2" s="221" customFormat="1" ht="12.75" x14ac:dyDescent="0.2">
      <c r="B56208" s="1168"/>
    </row>
    <row r="56209" spans="2:2" s="221" customFormat="1" ht="12.75" x14ac:dyDescent="0.2">
      <c r="B56209" s="1168"/>
    </row>
    <row r="56210" spans="2:2" s="221" customFormat="1" ht="12.75" x14ac:dyDescent="0.2">
      <c r="B56210" s="1168"/>
    </row>
    <row r="56211" spans="2:2" s="221" customFormat="1" ht="12.75" x14ac:dyDescent="0.2">
      <c r="B56211" s="1168"/>
    </row>
    <row r="56212" spans="2:2" s="221" customFormat="1" ht="12.75" x14ac:dyDescent="0.2">
      <c r="B56212" s="1168"/>
    </row>
    <row r="56213" spans="2:2" s="221" customFormat="1" ht="12.75" x14ac:dyDescent="0.2">
      <c r="B56213" s="1168"/>
    </row>
    <row r="56214" spans="2:2" s="221" customFormat="1" ht="12.75" x14ac:dyDescent="0.2">
      <c r="B56214" s="1168"/>
    </row>
    <row r="56215" spans="2:2" s="221" customFormat="1" ht="12.75" x14ac:dyDescent="0.2">
      <c r="B56215" s="1168"/>
    </row>
    <row r="56216" spans="2:2" s="221" customFormat="1" ht="12.75" x14ac:dyDescent="0.2">
      <c r="B56216" s="1168"/>
    </row>
    <row r="56217" spans="2:2" s="221" customFormat="1" ht="12.75" x14ac:dyDescent="0.2">
      <c r="B56217" s="1168"/>
    </row>
    <row r="56218" spans="2:2" s="221" customFormat="1" ht="12.75" x14ac:dyDescent="0.2">
      <c r="B56218" s="1168"/>
    </row>
    <row r="56219" spans="2:2" s="221" customFormat="1" ht="12.75" x14ac:dyDescent="0.2">
      <c r="B56219" s="1168"/>
    </row>
    <row r="56220" spans="2:2" s="221" customFormat="1" ht="12.75" x14ac:dyDescent="0.2">
      <c r="B56220" s="1168"/>
    </row>
    <row r="56221" spans="2:2" s="221" customFormat="1" ht="12.75" x14ac:dyDescent="0.2">
      <c r="B56221" s="1168"/>
    </row>
    <row r="56222" spans="2:2" s="221" customFormat="1" ht="12.75" x14ac:dyDescent="0.2">
      <c r="B56222" s="1168"/>
    </row>
    <row r="56223" spans="2:2" s="221" customFormat="1" ht="12.75" x14ac:dyDescent="0.2">
      <c r="B56223" s="1168"/>
    </row>
    <row r="56224" spans="2:2" s="221" customFormat="1" ht="12.75" x14ac:dyDescent="0.2">
      <c r="B56224" s="1168"/>
    </row>
    <row r="56225" spans="2:2" s="221" customFormat="1" ht="12.75" x14ac:dyDescent="0.2">
      <c r="B56225" s="1168"/>
    </row>
    <row r="56226" spans="2:2" s="221" customFormat="1" ht="12.75" x14ac:dyDescent="0.2">
      <c r="B56226" s="1168"/>
    </row>
    <row r="56227" spans="2:2" s="221" customFormat="1" ht="12.75" x14ac:dyDescent="0.2">
      <c r="B56227" s="1168"/>
    </row>
    <row r="56228" spans="2:2" s="221" customFormat="1" ht="12.75" x14ac:dyDescent="0.2">
      <c r="B56228" s="1168"/>
    </row>
    <row r="56229" spans="2:2" s="221" customFormat="1" ht="12.75" x14ac:dyDescent="0.2">
      <c r="B56229" s="1168"/>
    </row>
    <row r="56230" spans="2:2" s="221" customFormat="1" ht="12.75" x14ac:dyDescent="0.2">
      <c r="B56230" s="1168"/>
    </row>
    <row r="56231" spans="2:2" s="221" customFormat="1" ht="12.75" x14ac:dyDescent="0.2">
      <c r="B56231" s="1168"/>
    </row>
    <row r="56232" spans="2:2" s="221" customFormat="1" ht="12.75" x14ac:dyDescent="0.2">
      <c r="B56232" s="1168"/>
    </row>
    <row r="56233" spans="2:2" s="221" customFormat="1" ht="12.75" x14ac:dyDescent="0.2">
      <c r="B56233" s="1168"/>
    </row>
    <row r="56234" spans="2:2" s="221" customFormat="1" ht="12.75" x14ac:dyDescent="0.2">
      <c r="B56234" s="1168"/>
    </row>
    <row r="56235" spans="2:2" s="221" customFormat="1" ht="12.75" x14ac:dyDescent="0.2">
      <c r="B56235" s="1168"/>
    </row>
    <row r="56236" spans="2:2" s="221" customFormat="1" ht="12.75" x14ac:dyDescent="0.2">
      <c r="B56236" s="1168"/>
    </row>
    <row r="56237" spans="2:2" s="221" customFormat="1" ht="12.75" x14ac:dyDescent="0.2">
      <c r="B56237" s="1168"/>
    </row>
    <row r="56238" spans="2:2" s="221" customFormat="1" ht="12.75" x14ac:dyDescent="0.2">
      <c r="B56238" s="1168"/>
    </row>
    <row r="56239" spans="2:2" s="221" customFormat="1" ht="12.75" x14ac:dyDescent="0.2">
      <c r="B56239" s="1168"/>
    </row>
    <row r="56240" spans="2:2" s="221" customFormat="1" ht="12.75" x14ac:dyDescent="0.2">
      <c r="B56240" s="1168"/>
    </row>
    <row r="56241" spans="2:2" s="221" customFormat="1" ht="12.75" x14ac:dyDescent="0.2">
      <c r="B56241" s="1168"/>
    </row>
    <row r="56242" spans="2:2" s="221" customFormat="1" ht="12.75" x14ac:dyDescent="0.2">
      <c r="B56242" s="1168"/>
    </row>
    <row r="56243" spans="2:2" s="221" customFormat="1" ht="12.75" x14ac:dyDescent="0.2">
      <c r="B56243" s="1168"/>
    </row>
    <row r="56244" spans="2:2" s="221" customFormat="1" ht="12.75" x14ac:dyDescent="0.2">
      <c r="B56244" s="1168"/>
    </row>
    <row r="56245" spans="2:2" s="221" customFormat="1" ht="12.75" x14ac:dyDescent="0.2">
      <c r="B56245" s="1168"/>
    </row>
    <row r="56246" spans="2:2" s="221" customFormat="1" ht="12.75" x14ac:dyDescent="0.2">
      <c r="B56246" s="1168"/>
    </row>
    <row r="56247" spans="2:2" s="221" customFormat="1" ht="12.75" x14ac:dyDescent="0.2">
      <c r="B56247" s="1168"/>
    </row>
    <row r="56248" spans="2:2" s="221" customFormat="1" ht="12.75" x14ac:dyDescent="0.2">
      <c r="B56248" s="1168"/>
    </row>
    <row r="56249" spans="2:2" s="221" customFormat="1" ht="12.75" x14ac:dyDescent="0.2">
      <c r="B56249" s="1168"/>
    </row>
    <row r="56250" spans="2:2" s="221" customFormat="1" ht="12.75" x14ac:dyDescent="0.2">
      <c r="B56250" s="1168"/>
    </row>
    <row r="56251" spans="2:2" s="221" customFormat="1" ht="12.75" x14ac:dyDescent="0.2">
      <c r="B56251" s="1168"/>
    </row>
    <row r="56252" spans="2:2" s="221" customFormat="1" ht="12.75" x14ac:dyDescent="0.2">
      <c r="B56252" s="1168"/>
    </row>
    <row r="56253" spans="2:2" s="221" customFormat="1" ht="12.75" x14ac:dyDescent="0.2">
      <c r="B56253" s="1168"/>
    </row>
    <row r="56254" spans="2:2" s="221" customFormat="1" ht="12.75" x14ac:dyDescent="0.2">
      <c r="B56254" s="1168"/>
    </row>
    <row r="56255" spans="2:2" s="221" customFormat="1" ht="12.75" x14ac:dyDescent="0.2">
      <c r="B56255" s="1168"/>
    </row>
    <row r="56256" spans="2:2" s="221" customFormat="1" ht="12.75" x14ac:dyDescent="0.2">
      <c r="B56256" s="1168"/>
    </row>
    <row r="56257" spans="2:2" s="221" customFormat="1" ht="12.75" x14ac:dyDescent="0.2">
      <c r="B56257" s="1168"/>
    </row>
    <row r="56258" spans="2:2" s="221" customFormat="1" ht="12.75" x14ac:dyDescent="0.2">
      <c r="B56258" s="1168"/>
    </row>
    <row r="56259" spans="2:2" s="221" customFormat="1" ht="12.75" x14ac:dyDescent="0.2">
      <c r="B56259" s="1168"/>
    </row>
    <row r="56260" spans="2:2" s="221" customFormat="1" ht="12.75" x14ac:dyDescent="0.2">
      <c r="B56260" s="1168"/>
    </row>
    <row r="56261" spans="2:2" s="221" customFormat="1" ht="12.75" x14ac:dyDescent="0.2">
      <c r="B56261" s="1168"/>
    </row>
    <row r="56262" spans="2:2" s="221" customFormat="1" ht="12.75" x14ac:dyDescent="0.2">
      <c r="B56262" s="1168"/>
    </row>
    <row r="56263" spans="2:2" s="221" customFormat="1" ht="12.75" x14ac:dyDescent="0.2">
      <c r="B56263" s="1168"/>
    </row>
    <row r="56264" spans="2:2" s="221" customFormat="1" ht="12.75" x14ac:dyDescent="0.2">
      <c r="B56264" s="1168"/>
    </row>
    <row r="56265" spans="2:2" s="221" customFormat="1" ht="12.75" x14ac:dyDescent="0.2">
      <c r="B56265" s="1168"/>
    </row>
    <row r="56266" spans="2:2" s="221" customFormat="1" ht="12.75" x14ac:dyDescent="0.2">
      <c r="B56266" s="1168"/>
    </row>
    <row r="56267" spans="2:2" s="221" customFormat="1" ht="12.75" x14ac:dyDescent="0.2">
      <c r="B56267" s="1168"/>
    </row>
    <row r="56268" spans="2:2" s="221" customFormat="1" ht="12.75" x14ac:dyDescent="0.2">
      <c r="B56268" s="1168"/>
    </row>
    <row r="56269" spans="2:2" s="221" customFormat="1" ht="12.75" x14ac:dyDescent="0.2">
      <c r="B56269" s="1168"/>
    </row>
    <row r="56270" spans="2:2" s="221" customFormat="1" ht="12.75" x14ac:dyDescent="0.2">
      <c r="B56270" s="1168"/>
    </row>
    <row r="56271" spans="2:2" s="221" customFormat="1" ht="12.75" x14ac:dyDescent="0.2">
      <c r="B56271" s="1168"/>
    </row>
    <row r="56272" spans="2:2" s="221" customFormat="1" ht="12.75" x14ac:dyDescent="0.2">
      <c r="B56272" s="1168"/>
    </row>
    <row r="56273" spans="2:2" s="221" customFormat="1" ht="12.75" x14ac:dyDescent="0.2">
      <c r="B56273" s="1168"/>
    </row>
    <row r="56274" spans="2:2" s="221" customFormat="1" ht="12.75" x14ac:dyDescent="0.2">
      <c r="B56274" s="1168"/>
    </row>
    <row r="56275" spans="2:2" s="221" customFormat="1" ht="12.75" x14ac:dyDescent="0.2">
      <c r="B56275" s="1168"/>
    </row>
    <row r="56276" spans="2:2" s="221" customFormat="1" ht="12.75" x14ac:dyDescent="0.2">
      <c r="B56276" s="1168"/>
    </row>
    <row r="56277" spans="2:2" s="221" customFormat="1" ht="12.75" x14ac:dyDescent="0.2">
      <c r="B56277" s="1168"/>
    </row>
    <row r="56278" spans="2:2" s="221" customFormat="1" ht="12.75" x14ac:dyDescent="0.2">
      <c r="B56278" s="1168"/>
    </row>
    <row r="56279" spans="2:2" s="221" customFormat="1" ht="12.75" x14ac:dyDescent="0.2">
      <c r="B56279" s="1168"/>
    </row>
    <row r="56280" spans="2:2" s="221" customFormat="1" ht="12.75" x14ac:dyDescent="0.2">
      <c r="B56280" s="1168"/>
    </row>
    <row r="56281" spans="2:2" s="221" customFormat="1" ht="12.75" x14ac:dyDescent="0.2">
      <c r="B56281" s="1168"/>
    </row>
    <row r="56282" spans="2:2" s="221" customFormat="1" ht="12.75" x14ac:dyDescent="0.2">
      <c r="B56282" s="1168"/>
    </row>
    <row r="56283" spans="2:2" s="221" customFormat="1" ht="12.75" x14ac:dyDescent="0.2">
      <c r="B56283" s="1168"/>
    </row>
    <row r="56284" spans="2:2" s="221" customFormat="1" ht="12.75" x14ac:dyDescent="0.2">
      <c r="B56284" s="1168"/>
    </row>
    <row r="56285" spans="2:2" s="221" customFormat="1" ht="12.75" x14ac:dyDescent="0.2">
      <c r="B56285" s="1168"/>
    </row>
    <row r="56286" spans="2:2" s="221" customFormat="1" ht="12.75" x14ac:dyDescent="0.2">
      <c r="B56286" s="1168"/>
    </row>
    <row r="56287" spans="2:2" s="221" customFormat="1" ht="12.75" x14ac:dyDescent="0.2">
      <c r="B56287" s="1168"/>
    </row>
    <row r="56288" spans="2:2" s="221" customFormat="1" ht="12.75" x14ac:dyDescent="0.2">
      <c r="B56288" s="1168"/>
    </row>
    <row r="56289" spans="2:2" s="221" customFormat="1" ht="12.75" x14ac:dyDescent="0.2">
      <c r="B56289" s="1168"/>
    </row>
    <row r="56290" spans="2:2" s="221" customFormat="1" ht="12.75" x14ac:dyDescent="0.2">
      <c r="B56290" s="1168"/>
    </row>
    <row r="56291" spans="2:2" s="221" customFormat="1" ht="12.75" x14ac:dyDescent="0.2">
      <c r="B56291" s="1168"/>
    </row>
    <row r="56292" spans="2:2" s="221" customFormat="1" ht="12.75" x14ac:dyDescent="0.2">
      <c r="B56292" s="1168"/>
    </row>
    <row r="56293" spans="2:2" s="221" customFormat="1" ht="12.75" x14ac:dyDescent="0.2">
      <c r="B56293" s="1168"/>
    </row>
    <row r="56294" spans="2:2" s="221" customFormat="1" ht="12.75" x14ac:dyDescent="0.2">
      <c r="B56294" s="1168"/>
    </row>
    <row r="56295" spans="2:2" s="221" customFormat="1" ht="12.75" x14ac:dyDescent="0.2">
      <c r="B56295" s="1168"/>
    </row>
    <row r="56296" spans="2:2" s="221" customFormat="1" ht="12.75" x14ac:dyDescent="0.2">
      <c r="B56296" s="1168"/>
    </row>
    <row r="56297" spans="2:2" s="221" customFormat="1" ht="12.75" x14ac:dyDescent="0.2">
      <c r="B56297" s="1168"/>
    </row>
    <row r="56298" spans="2:2" s="221" customFormat="1" ht="12.75" x14ac:dyDescent="0.2">
      <c r="B56298" s="1168"/>
    </row>
    <row r="56299" spans="2:2" s="221" customFormat="1" ht="12.75" x14ac:dyDescent="0.2">
      <c r="B56299" s="1168"/>
    </row>
    <row r="56300" spans="2:2" s="221" customFormat="1" ht="12.75" x14ac:dyDescent="0.2">
      <c r="B56300" s="1168"/>
    </row>
    <row r="56301" spans="2:2" s="221" customFormat="1" ht="12.75" x14ac:dyDescent="0.2">
      <c r="B56301" s="1168"/>
    </row>
    <row r="56302" spans="2:2" s="221" customFormat="1" ht="12.75" x14ac:dyDescent="0.2">
      <c r="B56302" s="1168"/>
    </row>
    <row r="56303" spans="2:2" s="221" customFormat="1" ht="12.75" x14ac:dyDescent="0.2">
      <c r="B56303" s="1168"/>
    </row>
    <row r="56304" spans="2:2" s="221" customFormat="1" ht="12.75" x14ac:dyDescent="0.2">
      <c r="B56304" s="1168"/>
    </row>
    <row r="56305" spans="2:2" s="221" customFormat="1" ht="12.75" x14ac:dyDescent="0.2">
      <c r="B56305" s="1168"/>
    </row>
    <row r="56306" spans="2:2" s="221" customFormat="1" ht="12.75" x14ac:dyDescent="0.2">
      <c r="B56306" s="1168"/>
    </row>
    <row r="56307" spans="2:2" s="221" customFormat="1" ht="12.75" x14ac:dyDescent="0.2">
      <c r="B56307" s="1168"/>
    </row>
    <row r="56308" spans="2:2" s="221" customFormat="1" ht="12.75" x14ac:dyDescent="0.2">
      <c r="B56308" s="1168"/>
    </row>
    <row r="56309" spans="2:2" s="221" customFormat="1" ht="12.75" x14ac:dyDescent="0.2">
      <c r="B56309" s="1168"/>
    </row>
    <row r="56310" spans="2:2" s="221" customFormat="1" ht="12.75" x14ac:dyDescent="0.2">
      <c r="B56310" s="1168"/>
    </row>
    <row r="56311" spans="2:2" s="221" customFormat="1" ht="12.75" x14ac:dyDescent="0.2">
      <c r="B56311" s="1168"/>
    </row>
    <row r="56312" spans="2:2" s="221" customFormat="1" ht="12.75" x14ac:dyDescent="0.2">
      <c r="B56312" s="1168"/>
    </row>
    <row r="56313" spans="2:2" s="221" customFormat="1" ht="12.75" x14ac:dyDescent="0.2">
      <c r="B56313" s="1168"/>
    </row>
    <row r="56314" spans="2:2" s="221" customFormat="1" ht="12.75" x14ac:dyDescent="0.2">
      <c r="B56314" s="1168"/>
    </row>
    <row r="56315" spans="2:2" s="221" customFormat="1" ht="12.75" x14ac:dyDescent="0.2">
      <c r="B56315" s="1168"/>
    </row>
    <row r="56316" spans="2:2" s="221" customFormat="1" ht="12.75" x14ac:dyDescent="0.2">
      <c r="B56316" s="1168"/>
    </row>
    <row r="56317" spans="2:2" s="221" customFormat="1" ht="12.75" x14ac:dyDescent="0.2">
      <c r="B56317" s="1168"/>
    </row>
    <row r="56318" spans="2:2" s="221" customFormat="1" ht="12.75" x14ac:dyDescent="0.2">
      <c r="B56318" s="1168"/>
    </row>
    <row r="56319" spans="2:2" s="221" customFormat="1" ht="12.75" x14ac:dyDescent="0.2">
      <c r="B56319" s="1168"/>
    </row>
    <row r="56320" spans="2:2" s="221" customFormat="1" ht="12.75" x14ac:dyDescent="0.2">
      <c r="B56320" s="1168"/>
    </row>
    <row r="56321" spans="2:2" s="221" customFormat="1" ht="12.75" x14ac:dyDescent="0.2">
      <c r="B56321" s="1168"/>
    </row>
    <row r="56322" spans="2:2" s="221" customFormat="1" ht="12.75" x14ac:dyDescent="0.2">
      <c r="B56322" s="1168"/>
    </row>
    <row r="56323" spans="2:2" s="221" customFormat="1" ht="12.75" x14ac:dyDescent="0.2">
      <c r="B56323" s="1168"/>
    </row>
    <row r="56324" spans="2:2" s="221" customFormat="1" ht="12.75" x14ac:dyDescent="0.2">
      <c r="B56324" s="1168"/>
    </row>
    <row r="56325" spans="2:2" s="221" customFormat="1" ht="12.75" x14ac:dyDescent="0.2">
      <c r="B56325" s="1168"/>
    </row>
    <row r="56326" spans="2:2" s="221" customFormat="1" ht="12.75" x14ac:dyDescent="0.2">
      <c r="B56326" s="1168"/>
    </row>
    <row r="56327" spans="2:2" s="221" customFormat="1" ht="12.75" x14ac:dyDescent="0.2">
      <c r="B56327" s="1168"/>
    </row>
    <row r="56328" spans="2:2" s="221" customFormat="1" ht="12.75" x14ac:dyDescent="0.2">
      <c r="B56328" s="1168"/>
    </row>
    <row r="56329" spans="2:2" s="221" customFormat="1" ht="12.75" x14ac:dyDescent="0.2">
      <c r="B56329" s="1168"/>
    </row>
    <row r="56330" spans="2:2" s="221" customFormat="1" ht="12.75" x14ac:dyDescent="0.2">
      <c r="B56330" s="1168"/>
    </row>
    <row r="56331" spans="2:2" s="221" customFormat="1" ht="12.75" x14ac:dyDescent="0.2">
      <c r="B56331" s="1168"/>
    </row>
    <row r="56332" spans="2:2" s="221" customFormat="1" ht="12.75" x14ac:dyDescent="0.2">
      <c r="B56332" s="1168"/>
    </row>
    <row r="56333" spans="2:2" s="221" customFormat="1" ht="12.75" x14ac:dyDescent="0.2">
      <c r="B56333" s="1168"/>
    </row>
    <row r="56334" spans="2:2" s="221" customFormat="1" ht="12.75" x14ac:dyDescent="0.2">
      <c r="B56334" s="1168"/>
    </row>
    <row r="56335" spans="2:2" s="221" customFormat="1" ht="12.75" x14ac:dyDescent="0.2">
      <c r="B56335" s="1168"/>
    </row>
    <row r="56336" spans="2:2" s="221" customFormat="1" ht="12.75" x14ac:dyDescent="0.2">
      <c r="B56336" s="1168"/>
    </row>
    <row r="56337" spans="2:2" s="221" customFormat="1" ht="12.75" x14ac:dyDescent="0.2">
      <c r="B56337" s="1168"/>
    </row>
    <row r="56338" spans="2:2" s="221" customFormat="1" ht="12.75" x14ac:dyDescent="0.2">
      <c r="B56338" s="1168"/>
    </row>
    <row r="56339" spans="2:2" s="221" customFormat="1" ht="12.75" x14ac:dyDescent="0.2">
      <c r="B56339" s="1168"/>
    </row>
    <row r="56340" spans="2:2" s="221" customFormat="1" ht="12.75" x14ac:dyDescent="0.2">
      <c r="B56340" s="1168"/>
    </row>
    <row r="56341" spans="2:2" s="221" customFormat="1" ht="12.75" x14ac:dyDescent="0.2">
      <c r="B56341" s="1168"/>
    </row>
    <row r="56342" spans="2:2" s="221" customFormat="1" ht="12.75" x14ac:dyDescent="0.2">
      <c r="B56342" s="1168"/>
    </row>
    <row r="56343" spans="2:2" s="221" customFormat="1" ht="12.75" x14ac:dyDescent="0.2">
      <c r="B56343" s="1168"/>
    </row>
    <row r="56344" spans="2:2" s="221" customFormat="1" ht="12.75" x14ac:dyDescent="0.2">
      <c r="B56344" s="1168"/>
    </row>
    <row r="56345" spans="2:2" s="221" customFormat="1" ht="12.75" x14ac:dyDescent="0.2">
      <c r="B56345" s="1168"/>
    </row>
    <row r="56346" spans="2:2" s="221" customFormat="1" ht="12.75" x14ac:dyDescent="0.2">
      <c r="B56346" s="1168"/>
    </row>
    <row r="56347" spans="2:2" s="221" customFormat="1" ht="12.75" x14ac:dyDescent="0.2">
      <c r="B56347" s="1168"/>
    </row>
    <row r="56348" spans="2:2" s="221" customFormat="1" ht="12.75" x14ac:dyDescent="0.2">
      <c r="B56348" s="1168"/>
    </row>
    <row r="56349" spans="2:2" s="221" customFormat="1" ht="12.75" x14ac:dyDescent="0.2">
      <c r="B56349" s="1168"/>
    </row>
    <row r="56350" spans="2:2" s="221" customFormat="1" ht="12.75" x14ac:dyDescent="0.2">
      <c r="B56350" s="1168"/>
    </row>
    <row r="56351" spans="2:2" s="221" customFormat="1" ht="12.75" x14ac:dyDescent="0.2">
      <c r="B56351" s="1168"/>
    </row>
    <row r="56352" spans="2:2" s="221" customFormat="1" ht="12.75" x14ac:dyDescent="0.2">
      <c r="B56352" s="1168"/>
    </row>
    <row r="56353" spans="2:2" s="221" customFormat="1" ht="12.75" x14ac:dyDescent="0.2">
      <c r="B56353" s="1168"/>
    </row>
    <row r="56354" spans="2:2" s="221" customFormat="1" ht="12.75" x14ac:dyDescent="0.2">
      <c r="B56354" s="1168"/>
    </row>
    <row r="56355" spans="2:2" s="221" customFormat="1" ht="12.75" x14ac:dyDescent="0.2">
      <c r="B56355" s="1168"/>
    </row>
    <row r="56356" spans="2:2" s="221" customFormat="1" ht="12.75" x14ac:dyDescent="0.2">
      <c r="B56356" s="1168"/>
    </row>
    <row r="56357" spans="2:2" s="221" customFormat="1" ht="12.75" x14ac:dyDescent="0.2">
      <c r="B56357" s="1168"/>
    </row>
    <row r="56358" spans="2:2" s="221" customFormat="1" ht="12.75" x14ac:dyDescent="0.2">
      <c r="B56358" s="1168"/>
    </row>
    <row r="56359" spans="2:2" s="221" customFormat="1" ht="12.75" x14ac:dyDescent="0.2">
      <c r="B56359" s="1168"/>
    </row>
    <row r="56360" spans="2:2" s="221" customFormat="1" ht="12.75" x14ac:dyDescent="0.2">
      <c r="B56360" s="1168"/>
    </row>
    <row r="56361" spans="2:2" s="221" customFormat="1" ht="12.75" x14ac:dyDescent="0.2">
      <c r="B56361" s="1168"/>
    </row>
    <row r="56362" spans="2:2" s="221" customFormat="1" ht="12.75" x14ac:dyDescent="0.2">
      <c r="B56362" s="1168"/>
    </row>
    <row r="56363" spans="2:2" s="221" customFormat="1" ht="12.75" x14ac:dyDescent="0.2">
      <c r="B56363" s="1168"/>
    </row>
    <row r="56364" spans="2:2" s="221" customFormat="1" ht="12.75" x14ac:dyDescent="0.2">
      <c r="B56364" s="1168"/>
    </row>
    <row r="56365" spans="2:2" s="221" customFormat="1" ht="12.75" x14ac:dyDescent="0.2">
      <c r="B56365" s="1168"/>
    </row>
    <row r="56366" spans="2:2" s="221" customFormat="1" ht="12.75" x14ac:dyDescent="0.2">
      <c r="B56366" s="1168"/>
    </row>
    <row r="56367" spans="2:2" s="221" customFormat="1" ht="12.75" x14ac:dyDescent="0.2">
      <c r="B56367" s="1168"/>
    </row>
    <row r="56368" spans="2:2" s="221" customFormat="1" ht="12.75" x14ac:dyDescent="0.2">
      <c r="B56368" s="1168"/>
    </row>
    <row r="56369" spans="2:2" s="221" customFormat="1" ht="12.75" x14ac:dyDescent="0.2">
      <c r="B56369" s="1168"/>
    </row>
    <row r="56370" spans="2:2" s="221" customFormat="1" ht="12.75" x14ac:dyDescent="0.2">
      <c r="B56370" s="1168"/>
    </row>
    <row r="56371" spans="2:2" s="221" customFormat="1" ht="12.75" x14ac:dyDescent="0.2">
      <c r="B56371" s="1168"/>
    </row>
    <row r="56372" spans="2:2" s="221" customFormat="1" ht="12.75" x14ac:dyDescent="0.2">
      <c r="B56372" s="1168"/>
    </row>
    <row r="56373" spans="2:2" s="221" customFormat="1" ht="12.75" x14ac:dyDescent="0.2">
      <c r="B56373" s="1168"/>
    </row>
    <row r="56374" spans="2:2" s="221" customFormat="1" ht="12.75" x14ac:dyDescent="0.2">
      <c r="B56374" s="1168"/>
    </row>
    <row r="56375" spans="2:2" s="221" customFormat="1" ht="12.75" x14ac:dyDescent="0.2">
      <c r="B56375" s="1168"/>
    </row>
    <row r="56376" spans="2:2" s="221" customFormat="1" ht="12.75" x14ac:dyDescent="0.2">
      <c r="B56376" s="1168"/>
    </row>
    <row r="56377" spans="2:2" s="221" customFormat="1" ht="12.75" x14ac:dyDescent="0.2">
      <c r="B56377" s="1168"/>
    </row>
    <row r="56378" spans="2:2" s="221" customFormat="1" ht="12.75" x14ac:dyDescent="0.2">
      <c r="B56378" s="1168"/>
    </row>
    <row r="56379" spans="2:2" s="221" customFormat="1" ht="12.75" x14ac:dyDescent="0.2">
      <c r="B56379" s="1168"/>
    </row>
    <row r="56380" spans="2:2" s="221" customFormat="1" ht="12.75" x14ac:dyDescent="0.2">
      <c r="B56380" s="1168"/>
    </row>
    <row r="56381" spans="2:2" s="221" customFormat="1" ht="12.75" x14ac:dyDescent="0.2">
      <c r="B56381" s="1168"/>
    </row>
    <row r="56382" spans="2:2" s="221" customFormat="1" ht="12.75" x14ac:dyDescent="0.2">
      <c r="B56382" s="1168"/>
    </row>
    <row r="56383" spans="2:2" s="221" customFormat="1" ht="12.75" x14ac:dyDescent="0.2">
      <c r="B56383" s="1168"/>
    </row>
    <row r="56384" spans="2:2" s="221" customFormat="1" ht="12.75" x14ac:dyDescent="0.2">
      <c r="B56384" s="1168"/>
    </row>
    <row r="56385" spans="2:2" s="221" customFormat="1" ht="12.75" x14ac:dyDescent="0.2">
      <c r="B56385" s="1168"/>
    </row>
    <row r="56386" spans="2:2" s="221" customFormat="1" ht="12.75" x14ac:dyDescent="0.2">
      <c r="B56386" s="1168"/>
    </row>
    <row r="56387" spans="2:2" s="221" customFormat="1" ht="12.75" x14ac:dyDescent="0.2">
      <c r="B56387" s="1168"/>
    </row>
    <row r="56388" spans="2:2" s="221" customFormat="1" ht="12.75" x14ac:dyDescent="0.2">
      <c r="B56388" s="1168"/>
    </row>
    <row r="56389" spans="2:2" s="221" customFormat="1" ht="12.75" x14ac:dyDescent="0.2">
      <c r="B56389" s="1168"/>
    </row>
    <row r="56390" spans="2:2" s="221" customFormat="1" ht="12.75" x14ac:dyDescent="0.2">
      <c r="B56390" s="1168"/>
    </row>
    <row r="56391" spans="2:2" s="221" customFormat="1" ht="12.75" x14ac:dyDescent="0.2">
      <c r="B56391" s="1168"/>
    </row>
    <row r="56392" spans="2:2" s="221" customFormat="1" ht="12.75" x14ac:dyDescent="0.2">
      <c r="B56392" s="1168"/>
    </row>
    <row r="56393" spans="2:2" s="221" customFormat="1" ht="12.75" x14ac:dyDescent="0.2">
      <c r="B56393" s="1168"/>
    </row>
    <row r="56394" spans="2:2" s="221" customFormat="1" ht="12.75" x14ac:dyDescent="0.2">
      <c r="B56394" s="1168"/>
    </row>
    <row r="56395" spans="2:2" s="221" customFormat="1" ht="12.75" x14ac:dyDescent="0.2">
      <c r="B56395" s="1168"/>
    </row>
    <row r="56396" spans="2:2" s="221" customFormat="1" ht="12.75" x14ac:dyDescent="0.2">
      <c r="B56396" s="1168"/>
    </row>
    <row r="56397" spans="2:2" s="221" customFormat="1" ht="12.75" x14ac:dyDescent="0.2">
      <c r="B56397" s="1168"/>
    </row>
    <row r="56398" spans="2:2" s="221" customFormat="1" ht="12.75" x14ac:dyDescent="0.2">
      <c r="B56398" s="1168"/>
    </row>
    <row r="56399" spans="2:2" s="221" customFormat="1" ht="12.75" x14ac:dyDescent="0.2">
      <c r="B56399" s="1168"/>
    </row>
    <row r="56400" spans="2:2" s="221" customFormat="1" ht="12.75" x14ac:dyDescent="0.2">
      <c r="B56400" s="1168"/>
    </row>
    <row r="56401" spans="2:2" s="221" customFormat="1" ht="12.75" x14ac:dyDescent="0.2">
      <c r="B56401" s="1168"/>
    </row>
    <row r="56402" spans="2:2" s="221" customFormat="1" ht="12.75" x14ac:dyDescent="0.2">
      <c r="B56402" s="1168"/>
    </row>
    <row r="56403" spans="2:2" s="221" customFormat="1" ht="12.75" x14ac:dyDescent="0.2">
      <c r="B56403" s="1168"/>
    </row>
    <row r="56404" spans="2:2" s="221" customFormat="1" ht="12.75" x14ac:dyDescent="0.2">
      <c r="B56404" s="1168"/>
    </row>
    <row r="56405" spans="2:2" s="221" customFormat="1" ht="12.75" x14ac:dyDescent="0.2">
      <c r="B56405" s="1168"/>
    </row>
    <row r="56406" spans="2:2" s="221" customFormat="1" ht="12.75" x14ac:dyDescent="0.2">
      <c r="B56406" s="1168"/>
    </row>
    <row r="56407" spans="2:2" s="221" customFormat="1" ht="12.75" x14ac:dyDescent="0.2">
      <c r="B56407" s="1168"/>
    </row>
    <row r="56408" spans="2:2" s="221" customFormat="1" ht="12.75" x14ac:dyDescent="0.2">
      <c r="B56408" s="1168"/>
    </row>
    <row r="56409" spans="2:2" s="221" customFormat="1" ht="12.75" x14ac:dyDescent="0.2">
      <c r="B56409" s="1168"/>
    </row>
    <row r="56410" spans="2:2" s="221" customFormat="1" ht="12.75" x14ac:dyDescent="0.2">
      <c r="B56410" s="1168"/>
    </row>
    <row r="56411" spans="2:2" s="221" customFormat="1" ht="12.75" x14ac:dyDescent="0.2">
      <c r="B56411" s="1168"/>
    </row>
    <row r="56412" spans="2:2" s="221" customFormat="1" ht="12.75" x14ac:dyDescent="0.2">
      <c r="B56412" s="1168"/>
    </row>
    <row r="56413" spans="2:2" s="221" customFormat="1" ht="12.75" x14ac:dyDescent="0.2">
      <c r="B56413" s="1168"/>
    </row>
    <row r="56414" spans="2:2" s="221" customFormat="1" ht="12.75" x14ac:dyDescent="0.2">
      <c r="B56414" s="1168"/>
    </row>
    <row r="56415" spans="2:2" s="221" customFormat="1" ht="12.75" x14ac:dyDescent="0.2">
      <c r="B56415" s="1168"/>
    </row>
    <row r="56416" spans="2:2" s="221" customFormat="1" ht="12.75" x14ac:dyDescent="0.2">
      <c r="B56416" s="1168"/>
    </row>
    <row r="56417" spans="2:2" s="221" customFormat="1" ht="12.75" x14ac:dyDescent="0.2">
      <c r="B56417" s="1168"/>
    </row>
    <row r="56418" spans="2:2" s="221" customFormat="1" ht="12.75" x14ac:dyDescent="0.2">
      <c r="B56418" s="1168"/>
    </row>
    <row r="56419" spans="2:2" s="221" customFormat="1" ht="12.75" x14ac:dyDescent="0.2">
      <c r="B56419" s="1168"/>
    </row>
    <row r="56420" spans="2:2" s="221" customFormat="1" ht="12.75" x14ac:dyDescent="0.2">
      <c r="B56420" s="1168"/>
    </row>
    <row r="56421" spans="2:2" s="221" customFormat="1" ht="12.75" x14ac:dyDescent="0.2">
      <c r="B56421" s="1168"/>
    </row>
    <row r="56422" spans="2:2" s="221" customFormat="1" ht="12.75" x14ac:dyDescent="0.2">
      <c r="B56422" s="1168"/>
    </row>
    <row r="56423" spans="2:2" s="221" customFormat="1" ht="12.75" x14ac:dyDescent="0.2">
      <c r="B56423" s="1168"/>
    </row>
    <row r="56424" spans="2:2" s="221" customFormat="1" ht="12.75" x14ac:dyDescent="0.2">
      <c r="B56424" s="1168"/>
    </row>
    <row r="56425" spans="2:2" s="221" customFormat="1" ht="12.75" x14ac:dyDescent="0.2">
      <c r="B56425" s="1168"/>
    </row>
    <row r="56426" spans="2:2" s="221" customFormat="1" ht="12.75" x14ac:dyDescent="0.2">
      <c r="B56426" s="1168"/>
    </row>
    <row r="56427" spans="2:2" s="221" customFormat="1" ht="12.75" x14ac:dyDescent="0.2">
      <c r="B56427" s="1168"/>
    </row>
    <row r="56428" spans="2:2" s="221" customFormat="1" ht="12.75" x14ac:dyDescent="0.2">
      <c r="B56428" s="1168"/>
    </row>
    <row r="56429" spans="2:2" s="221" customFormat="1" ht="12.75" x14ac:dyDescent="0.2">
      <c r="B56429" s="1168"/>
    </row>
    <row r="56430" spans="2:2" s="221" customFormat="1" ht="12.75" x14ac:dyDescent="0.2">
      <c r="B56430" s="1168"/>
    </row>
    <row r="56431" spans="2:2" s="221" customFormat="1" ht="12.75" x14ac:dyDescent="0.2">
      <c r="B56431" s="1168"/>
    </row>
    <row r="56432" spans="2:2" s="221" customFormat="1" ht="12.75" x14ac:dyDescent="0.2">
      <c r="B56432" s="1168"/>
    </row>
    <row r="56433" spans="2:2" s="221" customFormat="1" ht="12.75" x14ac:dyDescent="0.2">
      <c r="B56433" s="1168"/>
    </row>
    <row r="56434" spans="2:2" s="221" customFormat="1" ht="12.75" x14ac:dyDescent="0.2">
      <c r="B56434" s="1168"/>
    </row>
    <row r="56435" spans="2:2" s="221" customFormat="1" ht="12.75" x14ac:dyDescent="0.2">
      <c r="B56435" s="1168"/>
    </row>
    <row r="56436" spans="2:2" s="221" customFormat="1" ht="12.75" x14ac:dyDescent="0.2">
      <c r="B56436" s="1168"/>
    </row>
    <row r="56437" spans="2:2" s="221" customFormat="1" ht="12.75" x14ac:dyDescent="0.2">
      <c r="B56437" s="1168"/>
    </row>
    <row r="56438" spans="2:2" s="221" customFormat="1" ht="12.75" x14ac:dyDescent="0.2">
      <c r="B56438" s="1168"/>
    </row>
    <row r="56439" spans="2:2" s="221" customFormat="1" ht="12.75" x14ac:dyDescent="0.2">
      <c r="B56439" s="1168"/>
    </row>
    <row r="56440" spans="2:2" s="221" customFormat="1" ht="12.75" x14ac:dyDescent="0.2">
      <c r="B56440" s="1168"/>
    </row>
    <row r="56441" spans="2:2" s="221" customFormat="1" ht="12.75" x14ac:dyDescent="0.2">
      <c r="B56441" s="1168"/>
    </row>
    <row r="56442" spans="2:2" s="221" customFormat="1" ht="12.75" x14ac:dyDescent="0.2">
      <c r="B56442" s="1168"/>
    </row>
    <row r="56443" spans="2:2" s="221" customFormat="1" ht="12.75" x14ac:dyDescent="0.2">
      <c r="B56443" s="1168"/>
    </row>
    <row r="56444" spans="2:2" s="221" customFormat="1" ht="12.75" x14ac:dyDescent="0.2">
      <c r="B56444" s="1168"/>
    </row>
    <row r="56445" spans="2:2" s="221" customFormat="1" ht="12.75" x14ac:dyDescent="0.2">
      <c r="B56445" s="1168"/>
    </row>
    <row r="56446" spans="2:2" s="221" customFormat="1" ht="12.75" x14ac:dyDescent="0.2">
      <c r="B56446" s="1168"/>
    </row>
    <row r="56447" spans="2:2" s="221" customFormat="1" ht="12.75" x14ac:dyDescent="0.2">
      <c r="B56447" s="1168"/>
    </row>
    <row r="56448" spans="2:2" s="221" customFormat="1" ht="12.75" x14ac:dyDescent="0.2">
      <c r="B56448" s="1168"/>
    </row>
    <row r="56449" spans="2:2" s="221" customFormat="1" ht="12.75" x14ac:dyDescent="0.2">
      <c r="B56449" s="1168"/>
    </row>
    <row r="56450" spans="2:2" s="221" customFormat="1" ht="12.75" x14ac:dyDescent="0.2">
      <c r="B56450" s="1168"/>
    </row>
    <row r="56451" spans="2:2" s="221" customFormat="1" ht="12.75" x14ac:dyDescent="0.2">
      <c r="B56451" s="1168"/>
    </row>
    <row r="56452" spans="2:2" s="221" customFormat="1" ht="12.75" x14ac:dyDescent="0.2">
      <c r="B56452" s="1168"/>
    </row>
    <row r="56453" spans="2:2" s="221" customFormat="1" ht="12.75" x14ac:dyDescent="0.2">
      <c r="B56453" s="1168"/>
    </row>
    <row r="56454" spans="2:2" s="221" customFormat="1" ht="12.75" x14ac:dyDescent="0.2">
      <c r="B56454" s="1168"/>
    </row>
    <row r="56455" spans="2:2" s="221" customFormat="1" ht="12.75" x14ac:dyDescent="0.2">
      <c r="B56455" s="1168"/>
    </row>
    <row r="56456" spans="2:2" s="221" customFormat="1" ht="12.75" x14ac:dyDescent="0.2">
      <c r="B56456" s="1168"/>
    </row>
    <row r="56457" spans="2:2" s="221" customFormat="1" ht="12.75" x14ac:dyDescent="0.2">
      <c r="B56457" s="1168"/>
    </row>
    <row r="56458" spans="2:2" s="221" customFormat="1" ht="12.75" x14ac:dyDescent="0.2">
      <c r="B56458" s="1168"/>
    </row>
    <row r="56459" spans="2:2" s="221" customFormat="1" ht="12.75" x14ac:dyDescent="0.2">
      <c r="B56459" s="1168"/>
    </row>
    <row r="56460" spans="2:2" s="221" customFormat="1" ht="12.75" x14ac:dyDescent="0.2">
      <c r="B56460" s="1168"/>
    </row>
    <row r="56461" spans="2:2" s="221" customFormat="1" ht="12.75" x14ac:dyDescent="0.2">
      <c r="B56461" s="1168"/>
    </row>
    <row r="56462" spans="2:2" s="221" customFormat="1" ht="12.75" x14ac:dyDescent="0.2">
      <c r="B56462" s="1168"/>
    </row>
    <row r="56463" spans="2:2" s="221" customFormat="1" ht="12.75" x14ac:dyDescent="0.2">
      <c r="B56463" s="1168"/>
    </row>
    <row r="56464" spans="2:2" s="221" customFormat="1" ht="12.75" x14ac:dyDescent="0.2">
      <c r="B56464" s="1168"/>
    </row>
    <row r="56465" spans="2:2" s="221" customFormat="1" ht="12.75" x14ac:dyDescent="0.2">
      <c r="B56465" s="1168"/>
    </row>
    <row r="56466" spans="2:2" s="221" customFormat="1" ht="12.75" x14ac:dyDescent="0.2">
      <c r="B56466" s="1168"/>
    </row>
    <row r="56467" spans="2:2" s="221" customFormat="1" ht="12.75" x14ac:dyDescent="0.2">
      <c r="B56467" s="1168"/>
    </row>
    <row r="56468" spans="2:2" s="221" customFormat="1" ht="12.75" x14ac:dyDescent="0.2">
      <c r="B56468" s="1168"/>
    </row>
    <row r="56469" spans="2:2" s="221" customFormat="1" ht="12.75" x14ac:dyDescent="0.2">
      <c r="B56469" s="1168"/>
    </row>
    <row r="56470" spans="2:2" s="221" customFormat="1" ht="12.75" x14ac:dyDescent="0.2">
      <c r="B56470" s="1168"/>
    </row>
    <row r="56471" spans="2:2" s="221" customFormat="1" ht="12.75" x14ac:dyDescent="0.2">
      <c r="B56471" s="1168"/>
    </row>
    <row r="56472" spans="2:2" s="221" customFormat="1" ht="12.75" x14ac:dyDescent="0.2">
      <c r="B56472" s="1168"/>
    </row>
    <row r="56473" spans="2:2" s="221" customFormat="1" ht="12.75" x14ac:dyDescent="0.2">
      <c r="B56473" s="1168"/>
    </row>
    <row r="56474" spans="2:2" s="221" customFormat="1" ht="12.75" x14ac:dyDescent="0.2">
      <c r="B56474" s="1168"/>
    </row>
    <row r="56475" spans="2:2" s="221" customFormat="1" ht="12.75" x14ac:dyDescent="0.2">
      <c r="B56475" s="1168"/>
    </row>
    <row r="56476" spans="2:2" s="221" customFormat="1" ht="12.75" x14ac:dyDescent="0.2">
      <c r="B56476" s="1168"/>
    </row>
    <row r="56477" spans="2:2" s="221" customFormat="1" ht="12.75" x14ac:dyDescent="0.2">
      <c r="B56477" s="1168"/>
    </row>
    <row r="56478" spans="2:2" s="221" customFormat="1" ht="12.75" x14ac:dyDescent="0.2">
      <c r="B56478" s="1168"/>
    </row>
    <row r="56479" spans="2:2" s="221" customFormat="1" ht="12.75" x14ac:dyDescent="0.2">
      <c r="B56479" s="1168"/>
    </row>
    <row r="56480" spans="2:2" s="221" customFormat="1" ht="12.75" x14ac:dyDescent="0.2">
      <c r="B56480" s="1168"/>
    </row>
    <row r="56481" spans="2:2" s="221" customFormat="1" ht="12.75" x14ac:dyDescent="0.2">
      <c r="B56481" s="1168"/>
    </row>
    <row r="56482" spans="2:2" s="221" customFormat="1" ht="12.75" x14ac:dyDescent="0.2">
      <c r="B56482" s="1168"/>
    </row>
    <row r="56483" spans="2:2" s="221" customFormat="1" ht="12.75" x14ac:dyDescent="0.2">
      <c r="B56483" s="1168"/>
    </row>
    <row r="56484" spans="2:2" s="221" customFormat="1" ht="12.75" x14ac:dyDescent="0.2">
      <c r="B56484" s="1168"/>
    </row>
    <row r="56485" spans="2:2" s="221" customFormat="1" ht="12.75" x14ac:dyDescent="0.2">
      <c r="B56485" s="1168"/>
    </row>
    <row r="56486" spans="2:2" s="221" customFormat="1" ht="12.75" x14ac:dyDescent="0.2">
      <c r="B56486" s="1168"/>
    </row>
    <row r="56487" spans="2:2" s="221" customFormat="1" ht="12.75" x14ac:dyDescent="0.2">
      <c r="B56487" s="1168"/>
    </row>
    <row r="56488" spans="2:2" s="221" customFormat="1" ht="12.75" x14ac:dyDescent="0.2">
      <c r="B56488" s="1168"/>
    </row>
    <row r="56489" spans="2:2" s="221" customFormat="1" ht="12.75" x14ac:dyDescent="0.2">
      <c r="B56489" s="1168"/>
    </row>
    <row r="56490" spans="2:2" s="221" customFormat="1" ht="12.75" x14ac:dyDescent="0.2">
      <c r="B56490" s="1168"/>
    </row>
    <row r="56491" spans="2:2" s="221" customFormat="1" ht="12.75" x14ac:dyDescent="0.2">
      <c r="B56491" s="1168"/>
    </row>
    <row r="56492" spans="2:2" s="221" customFormat="1" ht="12.75" x14ac:dyDescent="0.2">
      <c r="B56492" s="1168"/>
    </row>
    <row r="56493" spans="2:2" s="221" customFormat="1" ht="12.75" x14ac:dyDescent="0.2">
      <c r="B56493" s="1168"/>
    </row>
    <row r="56494" spans="2:2" s="221" customFormat="1" ht="12.75" x14ac:dyDescent="0.2">
      <c r="B56494" s="1168"/>
    </row>
    <row r="56495" spans="2:2" s="221" customFormat="1" ht="12.75" x14ac:dyDescent="0.2">
      <c r="B56495" s="1168"/>
    </row>
    <row r="56496" spans="2:2" s="221" customFormat="1" ht="12.75" x14ac:dyDescent="0.2">
      <c r="B56496" s="1168"/>
    </row>
    <row r="56497" spans="2:2" s="221" customFormat="1" ht="12.75" x14ac:dyDescent="0.2">
      <c r="B56497" s="1168"/>
    </row>
    <row r="56498" spans="2:2" s="221" customFormat="1" ht="12.75" x14ac:dyDescent="0.2">
      <c r="B56498" s="1168"/>
    </row>
    <row r="56499" spans="2:2" s="221" customFormat="1" ht="12.75" x14ac:dyDescent="0.2">
      <c r="B56499" s="1168"/>
    </row>
    <row r="56500" spans="2:2" s="221" customFormat="1" ht="12.75" x14ac:dyDescent="0.2">
      <c r="B56500" s="1168"/>
    </row>
    <row r="56501" spans="2:2" s="221" customFormat="1" ht="12.75" x14ac:dyDescent="0.2">
      <c r="B56501" s="1168"/>
    </row>
    <row r="56502" spans="2:2" s="221" customFormat="1" ht="12.75" x14ac:dyDescent="0.2">
      <c r="B56502" s="1168"/>
    </row>
    <row r="56503" spans="2:2" s="221" customFormat="1" ht="12.75" x14ac:dyDescent="0.2">
      <c r="B56503" s="1168"/>
    </row>
    <row r="56504" spans="2:2" s="221" customFormat="1" ht="12.75" x14ac:dyDescent="0.2">
      <c r="B56504" s="1168"/>
    </row>
    <row r="56505" spans="2:2" s="221" customFormat="1" ht="12.75" x14ac:dyDescent="0.2">
      <c r="B56505" s="1168"/>
    </row>
    <row r="56506" spans="2:2" s="221" customFormat="1" ht="12.75" x14ac:dyDescent="0.2">
      <c r="B56506" s="1168"/>
    </row>
    <row r="56507" spans="2:2" s="221" customFormat="1" ht="12.75" x14ac:dyDescent="0.2">
      <c r="B56507" s="1168"/>
    </row>
    <row r="56508" spans="2:2" s="221" customFormat="1" ht="12.75" x14ac:dyDescent="0.2">
      <c r="B56508" s="1168"/>
    </row>
    <row r="56509" spans="2:2" s="221" customFormat="1" ht="12.75" x14ac:dyDescent="0.2">
      <c r="B56509" s="1168"/>
    </row>
    <row r="56510" spans="2:2" s="221" customFormat="1" ht="12.75" x14ac:dyDescent="0.2">
      <c r="B56510" s="1168"/>
    </row>
    <row r="56511" spans="2:2" s="221" customFormat="1" ht="12.75" x14ac:dyDescent="0.2">
      <c r="B56511" s="1168"/>
    </row>
    <row r="56512" spans="2:2" s="221" customFormat="1" ht="12.75" x14ac:dyDescent="0.2">
      <c r="B56512" s="1168"/>
    </row>
    <row r="56513" spans="2:2" s="221" customFormat="1" ht="12.75" x14ac:dyDescent="0.2">
      <c r="B56513" s="1168"/>
    </row>
    <row r="56514" spans="2:2" s="221" customFormat="1" ht="12.75" x14ac:dyDescent="0.2">
      <c r="B56514" s="1168"/>
    </row>
    <row r="56515" spans="2:2" s="221" customFormat="1" ht="12.75" x14ac:dyDescent="0.2">
      <c r="B56515" s="1168"/>
    </row>
    <row r="56516" spans="2:2" s="221" customFormat="1" ht="12.75" x14ac:dyDescent="0.2">
      <c r="B56516" s="1168"/>
    </row>
    <row r="56517" spans="2:2" s="221" customFormat="1" ht="12.75" x14ac:dyDescent="0.2">
      <c r="B56517" s="1168"/>
    </row>
    <row r="56518" spans="2:2" s="221" customFormat="1" ht="12.75" x14ac:dyDescent="0.2">
      <c r="B56518" s="1168"/>
    </row>
    <row r="56519" spans="2:2" s="221" customFormat="1" ht="12.75" x14ac:dyDescent="0.2">
      <c r="B56519" s="1168"/>
    </row>
    <row r="56520" spans="2:2" s="221" customFormat="1" ht="12.75" x14ac:dyDescent="0.2">
      <c r="B56520" s="1168"/>
    </row>
    <row r="56521" spans="2:2" s="221" customFormat="1" ht="12.75" x14ac:dyDescent="0.2">
      <c r="B56521" s="1168"/>
    </row>
    <row r="56522" spans="2:2" s="221" customFormat="1" ht="12.75" x14ac:dyDescent="0.2">
      <c r="B56522" s="1168"/>
    </row>
    <row r="56523" spans="2:2" s="221" customFormat="1" ht="12.75" x14ac:dyDescent="0.2">
      <c r="B56523" s="1168"/>
    </row>
    <row r="56524" spans="2:2" s="221" customFormat="1" ht="12.75" x14ac:dyDescent="0.2">
      <c r="B56524" s="1168"/>
    </row>
    <row r="56525" spans="2:2" s="221" customFormat="1" ht="12.75" x14ac:dyDescent="0.2">
      <c r="B56525" s="1168"/>
    </row>
    <row r="56526" spans="2:2" s="221" customFormat="1" ht="12.75" x14ac:dyDescent="0.2">
      <c r="B56526" s="1168"/>
    </row>
    <row r="56527" spans="2:2" s="221" customFormat="1" ht="12.75" x14ac:dyDescent="0.2">
      <c r="B56527" s="1168"/>
    </row>
    <row r="56528" spans="2:2" s="221" customFormat="1" ht="12.75" x14ac:dyDescent="0.2">
      <c r="B56528" s="1168"/>
    </row>
    <row r="56529" spans="2:2" s="221" customFormat="1" ht="12.75" x14ac:dyDescent="0.2">
      <c r="B56529" s="1168"/>
    </row>
    <row r="56530" spans="2:2" s="221" customFormat="1" ht="12.75" x14ac:dyDescent="0.2">
      <c r="B56530" s="1168"/>
    </row>
    <row r="56531" spans="2:2" s="221" customFormat="1" ht="12.75" x14ac:dyDescent="0.2">
      <c r="B56531" s="1168"/>
    </row>
    <row r="56532" spans="2:2" s="221" customFormat="1" ht="12.75" x14ac:dyDescent="0.2">
      <c r="B56532" s="1168"/>
    </row>
    <row r="56533" spans="2:2" s="221" customFormat="1" ht="12.75" x14ac:dyDescent="0.2">
      <c r="B56533" s="1168"/>
    </row>
    <row r="56534" spans="2:2" s="221" customFormat="1" ht="12.75" x14ac:dyDescent="0.2">
      <c r="B56534" s="1168"/>
    </row>
    <row r="56535" spans="2:2" s="221" customFormat="1" ht="12.75" x14ac:dyDescent="0.2">
      <c r="B56535" s="1168"/>
    </row>
    <row r="56536" spans="2:2" s="221" customFormat="1" ht="12.75" x14ac:dyDescent="0.2">
      <c r="B56536" s="1168"/>
    </row>
    <row r="56537" spans="2:2" s="221" customFormat="1" ht="12.75" x14ac:dyDescent="0.2">
      <c r="B56537" s="1168"/>
    </row>
    <row r="56538" spans="2:2" s="221" customFormat="1" ht="12.75" x14ac:dyDescent="0.2">
      <c r="B56538" s="1168"/>
    </row>
    <row r="56539" spans="2:2" s="221" customFormat="1" ht="12.75" x14ac:dyDescent="0.2">
      <c r="B56539" s="1168"/>
    </row>
    <row r="56540" spans="2:2" s="221" customFormat="1" ht="12.75" x14ac:dyDescent="0.2">
      <c r="B56540" s="1168"/>
    </row>
    <row r="56541" spans="2:2" s="221" customFormat="1" ht="12.75" x14ac:dyDescent="0.2">
      <c r="B56541" s="1168"/>
    </row>
    <row r="56542" spans="2:2" s="221" customFormat="1" ht="12.75" x14ac:dyDescent="0.2">
      <c r="B56542" s="1168"/>
    </row>
    <row r="56543" spans="2:2" s="221" customFormat="1" ht="12.75" x14ac:dyDescent="0.2">
      <c r="B56543" s="1168"/>
    </row>
    <row r="56544" spans="2:2" s="221" customFormat="1" ht="12.75" x14ac:dyDescent="0.2">
      <c r="B56544" s="1168"/>
    </row>
    <row r="56545" spans="2:2" s="221" customFormat="1" ht="12.75" x14ac:dyDescent="0.2">
      <c r="B56545" s="1168"/>
    </row>
    <row r="56546" spans="2:2" s="221" customFormat="1" ht="12.75" x14ac:dyDescent="0.2">
      <c r="B56546" s="1168"/>
    </row>
    <row r="56547" spans="2:2" s="221" customFormat="1" ht="12.75" x14ac:dyDescent="0.2">
      <c r="B56547" s="1168"/>
    </row>
    <row r="56548" spans="2:2" s="221" customFormat="1" ht="12.75" x14ac:dyDescent="0.2">
      <c r="B56548" s="1168"/>
    </row>
    <row r="56549" spans="2:2" s="221" customFormat="1" ht="12.75" x14ac:dyDescent="0.2">
      <c r="B56549" s="1168"/>
    </row>
    <row r="56550" spans="2:2" s="221" customFormat="1" ht="12.75" x14ac:dyDescent="0.2">
      <c r="B56550" s="1168"/>
    </row>
    <row r="56551" spans="2:2" s="221" customFormat="1" ht="12.75" x14ac:dyDescent="0.2">
      <c r="B56551" s="1168"/>
    </row>
    <row r="56552" spans="2:2" s="221" customFormat="1" ht="12.75" x14ac:dyDescent="0.2">
      <c r="B56552" s="1168"/>
    </row>
    <row r="56553" spans="2:2" s="221" customFormat="1" ht="12.75" x14ac:dyDescent="0.2">
      <c r="B56553" s="1168"/>
    </row>
    <row r="56554" spans="2:2" s="221" customFormat="1" ht="12.75" x14ac:dyDescent="0.2">
      <c r="B56554" s="1168"/>
    </row>
    <row r="56555" spans="2:2" s="221" customFormat="1" ht="12.75" x14ac:dyDescent="0.2">
      <c r="B56555" s="1168"/>
    </row>
    <row r="56556" spans="2:2" s="221" customFormat="1" ht="12.75" x14ac:dyDescent="0.2">
      <c r="B56556" s="1168"/>
    </row>
    <row r="56557" spans="2:2" s="221" customFormat="1" ht="12.75" x14ac:dyDescent="0.2">
      <c r="B56557" s="1168"/>
    </row>
    <row r="56558" spans="2:2" s="221" customFormat="1" ht="12.75" x14ac:dyDescent="0.2">
      <c r="B56558" s="1168"/>
    </row>
    <row r="56559" spans="2:2" s="221" customFormat="1" ht="12.75" x14ac:dyDescent="0.2">
      <c r="B56559" s="1168"/>
    </row>
    <row r="56560" spans="2:2" s="221" customFormat="1" ht="12.75" x14ac:dyDescent="0.2">
      <c r="B56560" s="1168"/>
    </row>
    <row r="56561" spans="2:2" s="221" customFormat="1" ht="12.75" x14ac:dyDescent="0.2">
      <c r="B56561" s="1168"/>
    </row>
    <row r="56562" spans="2:2" s="221" customFormat="1" ht="12.75" x14ac:dyDescent="0.2">
      <c r="B56562" s="1168"/>
    </row>
    <row r="56563" spans="2:2" s="221" customFormat="1" ht="12.75" x14ac:dyDescent="0.2">
      <c r="B56563" s="1168"/>
    </row>
    <row r="56564" spans="2:2" s="221" customFormat="1" ht="12.75" x14ac:dyDescent="0.2">
      <c r="B56564" s="1168"/>
    </row>
    <row r="56565" spans="2:2" s="221" customFormat="1" ht="12.75" x14ac:dyDescent="0.2">
      <c r="B56565" s="1168"/>
    </row>
    <row r="56566" spans="2:2" s="221" customFormat="1" ht="12.75" x14ac:dyDescent="0.2">
      <c r="B56566" s="1168"/>
    </row>
    <row r="56567" spans="2:2" s="221" customFormat="1" ht="12.75" x14ac:dyDescent="0.2">
      <c r="B56567" s="1168"/>
    </row>
    <row r="56568" spans="2:2" s="221" customFormat="1" ht="12.75" x14ac:dyDescent="0.2">
      <c r="B56568" s="1168"/>
    </row>
    <row r="56569" spans="2:2" s="221" customFormat="1" ht="12.75" x14ac:dyDescent="0.2">
      <c r="B56569" s="1168"/>
    </row>
    <row r="56570" spans="2:2" s="221" customFormat="1" ht="12.75" x14ac:dyDescent="0.2">
      <c r="B56570" s="1168"/>
    </row>
    <row r="56571" spans="2:2" s="221" customFormat="1" ht="12.75" x14ac:dyDescent="0.2">
      <c r="B56571" s="1168"/>
    </row>
    <row r="56572" spans="2:2" s="221" customFormat="1" ht="12.75" x14ac:dyDescent="0.2">
      <c r="B56572" s="1168"/>
    </row>
    <row r="56573" spans="2:2" s="221" customFormat="1" ht="12.75" x14ac:dyDescent="0.2">
      <c r="B56573" s="1168"/>
    </row>
    <row r="56574" spans="2:2" s="221" customFormat="1" ht="12.75" x14ac:dyDescent="0.2">
      <c r="B56574" s="1168"/>
    </row>
    <row r="56575" spans="2:2" s="221" customFormat="1" ht="12.75" x14ac:dyDescent="0.2">
      <c r="B56575" s="1168"/>
    </row>
    <row r="56576" spans="2:2" s="221" customFormat="1" ht="12.75" x14ac:dyDescent="0.2">
      <c r="B56576" s="1168"/>
    </row>
    <row r="56577" spans="2:2" s="221" customFormat="1" ht="12.75" x14ac:dyDescent="0.2">
      <c r="B56577" s="1168"/>
    </row>
    <row r="56578" spans="2:2" s="221" customFormat="1" ht="12.75" x14ac:dyDescent="0.2">
      <c r="B56578" s="1168"/>
    </row>
    <row r="56579" spans="2:2" s="221" customFormat="1" ht="12.75" x14ac:dyDescent="0.2">
      <c r="B56579" s="1168"/>
    </row>
    <row r="56580" spans="2:2" s="221" customFormat="1" ht="12.75" x14ac:dyDescent="0.2">
      <c r="B56580" s="1168"/>
    </row>
    <row r="56581" spans="2:2" s="221" customFormat="1" ht="12.75" x14ac:dyDescent="0.2">
      <c r="B56581" s="1168"/>
    </row>
    <row r="56582" spans="2:2" s="221" customFormat="1" ht="12.75" x14ac:dyDescent="0.2">
      <c r="B56582" s="1168"/>
    </row>
    <row r="56583" spans="2:2" s="221" customFormat="1" ht="12.75" x14ac:dyDescent="0.2">
      <c r="B56583" s="1168"/>
    </row>
    <row r="56584" spans="2:2" s="221" customFormat="1" ht="12.75" x14ac:dyDescent="0.2">
      <c r="B56584" s="1168"/>
    </row>
    <row r="56585" spans="2:2" s="221" customFormat="1" ht="12.75" x14ac:dyDescent="0.2">
      <c r="B56585" s="1168"/>
    </row>
    <row r="56586" spans="2:2" s="221" customFormat="1" ht="12.75" x14ac:dyDescent="0.2">
      <c r="B56586" s="1168"/>
    </row>
    <row r="56587" spans="2:2" s="221" customFormat="1" ht="12.75" x14ac:dyDescent="0.2">
      <c r="B56587" s="1168"/>
    </row>
    <row r="56588" spans="2:2" s="221" customFormat="1" ht="12.75" x14ac:dyDescent="0.2">
      <c r="B56588" s="1168"/>
    </row>
    <row r="56589" spans="2:2" s="221" customFormat="1" ht="12.75" x14ac:dyDescent="0.2">
      <c r="B56589" s="1168"/>
    </row>
    <row r="56590" spans="2:2" s="221" customFormat="1" ht="12.75" x14ac:dyDescent="0.2">
      <c r="B56590" s="1168"/>
    </row>
    <row r="56591" spans="2:2" s="221" customFormat="1" ht="12.75" x14ac:dyDescent="0.2">
      <c r="B56591" s="1168"/>
    </row>
    <row r="56592" spans="2:2" s="221" customFormat="1" ht="12.75" x14ac:dyDescent="0.2">
      <c r="B56592" s="1168"/>
    </row>
    <row r="56593" spans="2:2" s="221" customFormat="1" ht="12.75" x14ac:dyDescent="0.2">
      <c r="B56593" s="1168"/>
    </row>
    <row r="56594" spans="2:2" s="221" customFormat="1" ht="12.75" x14ac:dyDescent="0.2">
      <c r="B56594" s="1168"/>
    </row>
    <row r="56595" spans="2:2" s="221" customFormat="1" ht="12.75" x14ac:dyDescent="0.2">
      <c r="B56595" s="1168"/>
    </row>
    <row r="56596" spans="2:2" s="221" customFormat="1" ht="12.75" x14ac:dyDescent="0.2">
      <c r="B56596" s="1168"/>
    </row>
    <row r="56597" spans="2:2" s="221" customFormat="1" ht="12.75" x14ac:dyDescent="0.2">
      <c r="B56597" s="1168"/>
    </row>
    <row r="56598" spans="2:2" s="221" customFormat="1" ht="12.75" x14ac:dyDescent="0.2">
      <c r="B56598" s="1168"/>
    </row>
    <row r="56599" spans="2:2" s="221" customFormat="1" ht="12.75" x14ac:dyDescent="0.2">
      <c r="B56599" s="1168"/>
    </row>
    <row r="56600" spans="2:2" s="221" customFormat="1" ht="12.75" x14ac:dyDescent="0.2">
      <c r="B56600" s="1168"/>
    </row>
    <row r="56601" spans="2:2" s="221" customFormat="1" ht="12.75" x14ac:dyDescent="0.2">
      <c r="B56601" s="1168"/>
    </row>
    <row r="56602" spans="2:2" s="221" customFormat="1" ht="12.75" x14ac:dyDescent="0.2">
      <c r="B56602" s="1168"/>
    </row>
    <row r="56603" spans="2:2" s="221" customFormat="1" ht="12.75" x14ac:dyDescent="0.2">
      <c r="B56603" s="1168"/>
    </row>
    <row r="56604" spans="2:2" s="221" customFormat="1" ht="12.75" x14ac:dyDescent="0.2">
      <c r="B56604" s="1168"/>
    </row>
    <row r="56605" spans="2:2" s="221" customFormat="1" ht="12.75" x14ac:dyDescent="0.2">
      <c r="B56605" s="1168"/>
    </row>
    <row r="56606" spans="2:2" s="221" customFormat="1" ht="12.75" x14ac:dyDescent="0.2">
      <c r="B56606" s="1168"/>
    </row>
    <row r="56607" spans="2:2" s="221" customFormat="1" ht="12.75" x14ac:dyDescent="0.2">
      <c r="B56607" s="1168"/>
    </row>
    <row r="56608" spans="2:2" s="221" customFormat="1" ht="12.75" x14ac:dyDescent="0.2">
      <c r="B56608" s="1168"/>
    </row>
    <row r="56609" spans="2:2" s="221" customFormat="1" ht="12.75" x14ac:dyDescent="0.2">
      <c r="B56609" s="1168"/>
    </row>
    <row r="56610" spans="2:2" s="221" customFormat="1" ht="12.75" x14ac:dyDescent="0.2">
      <c r="B56610" s="1168"/>
    </row>
    <row r="56611" spans="2:2" s="221" customFormat="1" ht="12.75" x14ac:dyDescent="0.2">
      <c r="B56611" s="1168"/>
    </row>
    <row r="56612" spans="2:2" s="221" customFormat="1" ht="12.75" x14ac:dyDescent="0.2">
      <c r="B56612" s="1168"/>
    </row>
    <row r="56613" spans="2:2" s="221" customFormat="1" ht="12.75" x14ac:dyDescent="0.2">
      <c r="B56613" s="1168"/>
    </row>
    <row r="56614" spans="2:2" s="221" customFormat="1" ht="12.75" x14ac:dyDescent="0.2">
      <c r="B56614" s="1168"/>
    </row>
    <row r="56615" spans="2:2" s="221" customFormat="1" ht="12.75" x14ac:dyDescent="0.2">
      <c r="B56615" s="1168"/>
    </row>
    <row r="56616" spans="2:2" s="221" customFormat="1" ht="12.75" x14ac:dyDescent="0.2">
      <c r="B56616" s="1168"/>
    </row>
    <row r="56617" spans="2:2" s="221" customFormat="1" ht="12.75" x14ac:dyDescent="0.2">
      <c r="B56617" s="1168"/>
    </row>
    <row r="56618" spans="2:2" s="221" customFormat="1" ht="12.75" x14ac:dyDescent="0.2">
      <c r="B56618" s="1168"/>
    </row>
    <row r="56619" spans="2:2" s="221" customFormat="1" ht="12.75" x14ac:dyDescent="0.2">
      <c r="B56619" s="1168"/>
    </row>
    <row r="56620" spans="2:2" s="221" customFormat="1" ht="12.75" x14ac:dyDescent="0.2">
      <c r="B56620" s="1168"/>
    </row>
    <row r="56621" spans="2:2" s="221" customFormat="1" ht="12.75" x14ac:dyDescent="0.2">
      <c r="B56621" s="1168"/>
    </row>
    <row r="56622" spans="2:2" s="221" customFormat="1" ht="12.75" x14ac:dyDescent="0.2">
      <c r="B56622" s="1168"/>
    </row>
    <row r="56623" spans="2:2" s="221" customFormat="1" ht="12.75" x14ac:dyDescent="0.2">
      <c r="B56623" s="1168"/>
    </row>
    <row r="56624" spans="2:2" s="221" customFormat="1" ht="12.75" x14ac:dyDescent="0.2">
      <c r="B56624" s="1168"/>
    </row>
    <row r="56625" spans="2:2" s="221" customFormat="1" ht="12.75" x14ac:dyDescent="0.2">
      <c r="B56625" s="1168"/>
    </row>
    <row r="56626" spans="2:2" s="221" customFormat="1" ht="12.75" x14ac:dyDescent="0.2">
      <c r="B56626" s="1168"/>
    </row>
    <row r="56627" spans="2:2" s="221" customFormat="1" ht="12.75" x14ac:dyDescent="0.2">
      <c r="B56627" s="1168"/>
    </row>
    <row r="56628" spans="2:2" s="221" customFormat="1" ht="12.75" x14ac:dyDescent="0.2">
      <c r="B56628" s="1168"/>
    </row>
    <row r="56629" spans="2:2" s="221" customFormat="1" ht="12.75" x14ac:dyDescent="0.2">
      <c r="B56629" s="1168"/>
    </row>
    <row r="56630" spans="2:2" s="221" customFormat="1" ht="12.75" x14ac:dyDescent="0.2">
      <c r="B56630" s="1168"/>
    </row>
    <row r="56631" spans="2:2" s="221" customFormat="1" ht="12.75" x14ac:dyDescent="0.2">
      <c r="B56631" s="1168"/>
    </row>
    <row r="56632" spans="2:2" s="221" customFormat="1" ht="12.75" x14ac:dyDescent="0.2">
      <c r="B56632" s="1168"/>
    </row>
    <row r="56633" spans="2:2" s="221" customFormat="1" ht="12.75" x14ac:dyDescent="0.2">
      <c r="B56633" s="1168"/>
    </row>
    <row r="56634" spans="2:2" s="221" customFormat="1" ht="12.75" x14ac:dyDescent="0.2">
      <c r="B56634" s="1168"/>
    </row>
    <row r="56635" spans="2:2" s="221" customFormat="1" ht="12.75" x14ac:dyDescent="0.2">
      <c r="B56635" s="1168"/>
    </row>
    <row r="56636" spans="2:2" s="221" customFormat="1" ht="12.75" x14ac:dyDescent="0.2">
      <c r="B56636" s="1168"/>
    </row>
    <row r="56637" spans="2:2" s="221" customFormat="1" ht="12.75" x14ac:dyDescent="0.2">
      <c r="B56637" s="1168"/>
    </row>
    <row r="56638" spans="2:2" s="221" customFormat="1" ht="12.75" x14ac:dyDescent="0.2">
      <c r="B56638" s="1168"/>
    </row>
    <row r="56639" spans="2:2" s="221" customFormat="1" ht="12.75" x14ac:dyDescent="0.2">
      <c r="B56639" s="1168"/>
    </row>
    <row r="56640" spans="2:2" s="221" customFormat="1" ht="12.75" x14ac:dyDescent="0.2">
      <c r="B56640" s="1168"/>
    </row>
    <row r="56641" spans="2:2" s="221" customFormat="1" ht="12.75" x14ac:dyDescent="0.2">
      <c r="B56641" s="1168"/>
    </row>
    <row r="56642" spans="2:2" s="221" customFormat="1" ht="12.75" x14ac:dyDescent="0.2">
      <c r="B56642" s="1168"/>
    </row>
    <row r="56643" spans="2:2" s="221" customFormat="1" ht="12.75" x14ac:dyDescent="0.2">
      <c r="B56643" s="1168"/>
    </row>
    <row r="56644" spans="2:2" s="221" customFormat="1" ht="12.75" x14ac:dyDescent="0.2">
      <c r="B56644" s="1168"/>
    </row>
    <row r="56645" spans="2:2" s="221" customFormat="1" ht="12.75" x14ac:dyDescent="0.2">
      <c r="B56645" s="1168"/>
    </row>
    <row r="56646" spans="2:2" s="221" customFormat="1" ht="12.75" x14ac:dyDescent="0.2">
      <c r="B56646" s="1168"/>
    </row>
    <row r="56647" spans="2:2" s="221" customFormat="1" ht="12.75" x14ac:dyDescent="0.2">
      <c r="B56647" s="1168"/>
    </row>
    <row r="56648" spans="2:2" s="221" customFormat="1" ht="12.75" x14ac:dyDescent="0.2">
      <c r="B56648" s="1168"/>
    </row>
    <row r="56649" spans="2:2" s="221" customFormat="1" ht="12.75" x14ac:dyDescent="0.2">
      <c r="B56649" s="1168"/>
    </row>
    <row r="56650" spans="2:2" s="221" customFormat="1" ht="12.75" x14ac:dyDescent="0.2">
      <c r="B56650" s="1168"/>
    </row>
    <row r="56651" spans="2:2" s="221" customFormat="1" ht="12.75" x14ac:dyDescent="0.2">
      <c r="B56651" s="1168"/>
    </row>
    <row r="56652" spans="2:2" s="221" customFormat="1" ht="12.75" x14ac:dyDescent="0.2">
      <c r="B56652" s="1168"/>
    </row>
    <row r="56653" spans="2:2" s="221" customFormat="1" ht="12.75" x14ac:dyDescent="0.2">
      <c r="B56653" s="1168"/>
    </row>
    <row r="56654" spans="2:2" s="221" customFormat="1" ht="12.75" x14ac:dyDescent="0.2">
      <c r="B56654" s="1168"/>
    </row>
    <row r="56655" spans="2:2" s="221" customFormat="1" ht="12.75" x14ac:dyDescent="0.2">
      <c r="B56655" s="1168"/>
    </row>
    <row r="56656" spans="2:2" s="221" customFormat="1" ht="12.75" x14ac:dyDescent="0.2">
      <c r="B56656" s="1168"/>
    </row>
    <row r="56657" spans="2:2" s="221" customFormat="1" ht="12.75" x14ac:dyDescent="0.2">
      <c r="B56657" s="1168"/>
    </row>
    <row r="56658" spans="2:2" s="221" customFormat="1" ht="12.75" x14ac:dyDescent="0.2">
      <c r="B56658" s="1168"/>
    </row>
    <row r="56659" spans="2:2" s="221" customFormat="1" ht="12.75" x14ac:dyDescent="0.2">
      <c r="B56659" s="1168"/>
    </row>
    <row r="56660" spans="2:2" s="221" customFormat="1" ht="12.75" x14ac:dyDescent="0.2">
      <c r="B56660" s="1168"/>
    </row>
    <row r="56661" spans="2:2" s="221" customFormat="1" ht="12.75" x14ac:dyDescent="0.2">
      <c r="B56661" s="1168"/>
    </row>
    <row r="56662" spans="2:2" s="221" customFormat="1" ht="12.75" x14ac:dyDescent="0.2">
      <c r="B56662" s="1168"/>
    </row>
    <row r="56663" spans="2:2" s="221" customFormat="1" ht="12.75" x14ac:dyDescent="0.2">
      <c r="B56663" s="1168"/>
    </row>
    <row r="56664" spans="2:2" s="221" customFormat="1" ht="12.75" x14ac:dyDescent="0.2">
      <c r="B56664" s="1168"/>
    </row>
    <row r="56665" spans="2:2" s="221" customFormat="1" ht="12.75" x14ac:dyDescent="0.2">
      <c r="B56665" s="1168"/>
    </row>
    <row r="56666" spans="2:2" s="221" customFormat="1" ht="12.75" x14ac:dyDescent="0.2">
      <c r="B56666" s="1168"/>
    </row>
    <row r="56667" spans="2:2" s="221" customFormat="1" ht="12.75" x14ac:dyDescent="0.2">
      <c r="B56667" s="1168"/>
    </row>
    <row r="56668" spans="2:2" s="221" customFormat="1" ht="12.75" x14ac:dyDescent="0.2">
      <c r="B56668" s="1168"/>
    </row>
    <row r="56669" spans="2:2" s="221" customFormat="1" ht="12.75" x14ac:dyDescent="0.2">
      <c r="B56669" s="1168"/>
    </row>
    <row r="56670" spans="2:2" s="221" customFormat="1" ht="12.75" x14ac:dyDescent="0.2">
      <c r="B56670" s="1168"/>
    </row>
    <row r="56671" spans="2:2" s="221" customFormat="1" ht="12.75" x14ac:dyDescent="0.2">
      <c r="B56671" s="1168"/>
    </row>
    <row r="56672" spans="2:2" s="221" customFormat="1" ht="12.75" x14ac:dyDescent="0.2">
      <c r="B56672" s="1168"/>
    </row>
    <row r="56673" spans="2:2" s="221" customFormat="1" ht="12.75" x14ac:dyDescent="0.2">
      <c r="B56673" s="1168"/>
    </row>
    <row r="56674" spans="2:2" s="221" customFormat="1" ht="12.75" x14ac:dyDescent="0.2">
      <c r="B56674" s="1168"/>
    </row>
    <row r="56675" spans="2:2" s="221" customFormat="1" ht="12.75" x14ac:dyDescent="0.2">
      <c r="B56675" s="1168"/>
    </row>
    <row r="56676" spans="2:2" s="221" customFormat="1" ht="12.75" x14ac:dyDescent="0.2">
      <c r="B56676" s="1168"/>
    </row>
    <row r="56677" spans="2:2" s="221" customFormat="1" ht="12.75" x14ac:dyDescent="0.2">
      <c r="B56677" s="1168"/>
    </row>
    <row r="56678" spans="2:2" s="221" customFormat="1" ht="12.75" x14ac:dyDescent="0.2">
      <c r="B56678" s="1168"/>
    </row>
    <row r="56679" spans="2:2" s="221" customFormat="1" ht="12.75" x14ac:dyDescent="0.2">
      <c r="B56679" s="1168"/>
    </row>
    <row r="56680" spans="2:2" s="221" customFormat="1" ht="12.75" x14ac:dyDescent="0.2">
      <c r="B56680" s="1168"/>
    </row>
    <row r="56681" spans="2:2" s="221" customFormat="1" ht="12.75" x14ac:dyDescent="0.2">
      <c r="B56681" s="1168"/>
    </row>
    <row r="56682" spans="2:2" s="221" customFormat="1" ht="12.75" x14ac:dyDescent="0.2">
      <c r="B56682" s="1168"/>
    </row>
    <row r="56683" spans="2:2" s="221" customFormat="1" ht="12.75" x14ac:dyDescent="0.2">
      <c r="B56683" s="1168"/>
    </row>
    <row r="56684" spans="2:2" s="221" customFormat="1" ht="12.75" x14ac:dyDescent="0.2">
      <c r="B56684" s="1168"/>
    </row>
    <row r="56685" spans="2:2" s="221" customFormat="1" ht="12.75" x14ac:dyDescent="0.2">
      <c r="B56685" s="1168"/>
    </row>
    <row r="56686" spans="2:2" s="221" customFormat="1" ht="12.75" x14ac:dyDescent="0.2">
      <c r="B56686" s="1168"/>
    </row>
    <row r="56687" spans="2:2" s="221" customFormat="1" ht="12.75" x14ac:dyDescent="0.2">
      <c r="B56687" s="1168"/>
    </row>
    <row r="56688" spans="2:2" s="221" customFormat="1" ht="12.75" x14ac:dyDescent="0.2">
      <c r="B56688" s="1168"/>
    </row>
    <row r="56689" spans="2:2" s="221" customFormat="1" ht="12.75" x14ac:dyDescent="0.2">
      <c r="B56689" s="1168"/>
    </row>
    <row r="56690" spans="2:2" s="221" customFormat="1" ht="12.75" x14ac:dyDescent="0.2">
      <c r="B56690" s="1168"/>
    </row>
    <row r="56691" spans="2:2" s="221" customFormat="1" ht="12.75" x14ac:dyDescent="0.2">
      <c r="B56691" s="1168"/>
    </row>
    <row r="56692" spans="2:2" s="221" customFormat="1" ht="12.75" x14ac:dyDescent="0.2">
      <c r="B56692" s="1168"/>
    </row>
    <row r="56693" spans="2:2" s="221" customFormat="1" ht="12.75" x14ac:dyDescent="0.2">
      <c r="B56693" s="1168"/>
    </row>
    <row r="56694" spans="2:2" s="221" customFormat="1" ht="12.75" x14ac:dyDescent="0.2">
      <c r="B56694" s="1168"/>
    </row>
    <row r="56695" spans="2:2" s="221" customFormat="1" ht="12.75" x14ac:dyDescent="0.2">
      <c r="B56695" s="1168"/>
    </row>
    <row r="56696" spans="2:2" s="221" customFormat="1" ht="12.75" x14ac:dyDescent="0.2">
      <c r="B56696" s="1168"/>
    </row>
    <row r="56697" spans="2:2" s="221" customFormat="1" ht="12.75" x14ac:dyDescent="0.2">
      <c r="B56697" s="1168"/>
    </row>
    <row r="56698" spans="2:2" s="221" customFormat="1" ht="12.75" x14ac:dyDescent="0.2">
      <c r="B56698" s="1168"/>
    </row>
    <row r="56699" spans="2:2" s="221" customFormat="1" ht="12.75" x14ac:dyDescent="0.2">
      <c r="B56699" s="1168"/>
    </row>
    <row r="56700" spans="2:2" s="221" customFormat="1" ht="12.75" x14ac:dyDescent="0.2">
      <c r="B56700" s="1168"/>
    </row>
    <row r="56701" spans="2:2" s="221" customFormat="1" ht="12.75" x14ac:dyDescent="0.2">
      <c r="B56701" s="1168"/>
    </row>
    <row r="56702" spans="2:2" s="221" customFormat="1" ht="12.75" x14ac:dyDescent="0.2">
      <c r="B56702" s="1168"/>
    </row>
    <row r="56703" spans="2:2" s="221" customFormat="1" ht="12.75" x14ac:dyDescent="0.2">
      <c r="B56703" s="1168"/>
    </row>
    <row r="56704" spans="2:2" s="221" customFormat="1" ht="12.75" x14ac:dyDescent="0.2">
      <c r="B56704" s="1168"/>
    </row>
    <row r="56705" spans="2:2" s="221" customFormat="1" ht="12.75" x14ac:dyDescent="0.2">
      <c r="B56705" s="1168"/>
    </row>
    <row r="56706" spans="2:2" s="221" customFormat="1" ht="12.75" x14ac:dyDescent="0.2">
      <c r="B56706" s="1168"/>
    </row>
    <row r="56707" spans="2:2" s="221" customFormat="1" ht="12.75" x14ac:dyDescent="0.2">
      <c r="B56707" s="1168"/>
    </row>
    <row r="56708" spans="2:2" s="221" customFormat="1" ht="12.75" x14ac:dyDescent="0.2">
      <c r="B56708" s="1168"/>
    </row>
    <row r="56709" spans="2:2" s="221" customFormat="1" ht="12.75" x14ac:dyDescent="0.2">
      <c r="B56709" s="1168"/>
    </row>
    <row r="56710" spans="2:2" s="221" customFormat="1" ht="12.75" x14ac:dyDescent="0.2">
      <c r="B56710" s="1168"/>
    </row>
    <row r="56711" spans="2:2" s="221" customFormat="1" ht="12.75" x14ac:dyDescent="0.2">
      <c r="B56711" s="1168"/>
    </row>
    <row r="56712" spans="2:2" s="221" customFormat="1" ht="12.75" x14ac:dyDescent="0.2">
      <c r="B56712" s="1168"/>
    </row>
    <row r="56713" spans="2:2" s="221" customFormat="1" ht="12.75" x14ac:dyDescent="0.2">
      <c r="B56713" s="1168"/>
    </row>
    <row r="56714" spans="2:2" s="221" customFormat="1" ht="12.75" x14ac:dyDescent="0.2">
      <c r="B56714" s="1168"/>
    </row>
    <row r="56715" spans="2:2" s="221" customFormat="1" ht="12.75" x14ac:dyDescent="0.2">
      <c r="B56715" s="1168"/>
    </row>
    <row r="56716" spans="2:2" s="221" customFormat="1" ht="12.75" x14ac:dyDescent="0.2">
      <c r="B56716" s="1168"/>
    </row>
    <row r="56717" spans="2:2" s="221" customFormat="1" ht="12.75" x14ac:dyDescent="0.2">
      <c r="B56717" s="1168"/>
    </row>
    <row r="56718" spans="2:2" s="221" customFormat="1" ht="12.75" x14ac:dyDescent="0.2">
      <c r="B56718" s="1168"/>
    </row>
    <row r="56719" spans="2:2" s="221" customFormat="1" ht="12.75" x14ac:dyDescent="0.2">
      <c r="B56719" s="1168"/>
    </row>
    <row r="56720" spans="2:2" s="221" customFormat="1" ht="12.75" x14ac:dyDescent="0.2">
      <c r="B56720" s="1168"/>
    </row>
    <row r="56721" spans="2:2" s="221" customFormat="1" ht="12.75" x14ac:dyDescent="0.2">
      <c r="B56721" s="1168"/>
    </row>
    <row r="56722" spans="2:2" s="221" customFormat="1" ht="12.75" x14ac:dyDescent="0.2">
      <c r="B56722" s="1168"/>
    </row>
    <row r="56723" spans="2:2" s="221" customFormat="1" ht="12.75" x14ac:dyDescent="0.2">
      <c r="B56723" s="1168"/>
    </row>
    <row r="56724" spans="2:2" s="221" customFormat="1" ht="12.75" x14ac:dyDescent="0.2">
      <c r="B56724" s="1168"/>
    </row>
    <row r="56725" spans="2:2" s="221" customFormat="1" ht="12.75" x14ac:dyDescent="0.2">
      <c r="B56725" s="1168"/>
    </row>
    <row r="56726" spans="2:2" s="221" customFormat="1" ht="12.75" x14ac:dyDescent="0.2">
      <c r="B56726" s="1168"/>
    </row>
    <row r="56727" spans="2:2" s="221" customFormat="1" ht="12.75" x14ac:dyDescent="0.2">
      <c r="B56727" s="1168"/>
    </row>
    <row r="56728" spans="2:2" s="221" customFormat="1" ht="12.75" x14ac:dyDescent="0.2">
      <c r="B56728" s="1168"/>
    </row>
    <row r="56729" spans="2:2" s="221" customFormat="1" ht="12.75" x14ac:dyDescent="0.2">
      <c r="B56729" s="1168"/>
    </row>
    <row r="56730" spans="2:2" s="221" customFormat="1" ht="12.75" x14ac:dyDescent="0.2">
      <c r="B56730" s="1168"/>
    </row>
    <row r="56731" spans="2:2" s="221" customFormat="1" ht="12.75" x14ac:dyDescent="0.2">
      <c r="B56731" s="1168"/>
    </row>
    <row r="56732" spans="2:2" s="221" customFormat="1" ht="12.75" x14ac:dyDescent="0.2">
      <c r="B56732" s="1168"/>
    </row>
    <row r="56733" spans="2:2" s="221" customFormat="1" ht="12.75" x14ac:dyDescent="0.2">
      <c r="B56733" s="1168"/>
    </row>
    <row r="56734" spans="2:2" s="221" customFormat="1" ht="12.75" x14ac:dyDescent="0.2">
      <c r="B56734" s="1168"/>
    </row>
    <row r="56735" spans="2:2" s="221" customFormat="1" ht="12.75" x14ac:dyDescent="0.2">
      <c r="B56735" s="1168"/>
    </row>
    <row r="56736" spans="2:2" s="221" customFormat="1" ht="12.75" x14ac:dyDescent="0.2">
      <c r="B56736" s="1168"/>
    </row>
    <row r="56737" spans="2:2" s="221" customFormat="1" ht="12.75" x14ac:dyDescent="0.2">
      <c r="B56737" s="1168"/>
    </row>
    <row r="56738" spans="2:2" s="221" customFormat="1" ht="12.75" x14ac:dyDescent="0.2">
      <c r="B56738" s="1168"/>
    </row>
    <row r="56739" spans="2:2" s="221" customFormat="1" ht="12.75" x14ac:dyDescent="0.2">
      <c r="B56739" s="1168"/>
    </row>
    <row r="56740" spans="2:2" s="221" customFormat="1" ht="12.75" x14ac:dyDescent="0.2">
      <c r="B56740" s="1168"/>
    </row>
    <row r="56741" spans="2:2" s="221" customFormat="1" ht="12.75" x14ac:dyDescent="0.2">
      <c r="B56741" s="1168"/>
    </row>
    <row r="56742" spans="2:2" s="221" customFormat="1" ht="12.75" x14ac:dyDescent="0.2">
      <c r="B56742" s="1168"/>
    </row>
    <row r="56743" spans="2:2" s="221" customFormat="1" ht="12.75" x14ac:dyDescent="0.2">
      <c r="B56743" s="1168"/>
    </row>
    <row r="56744" spans="2:2" s="221" customFormat="1" ht="12.75" x14ac:dyDescent="0.2">
      <c r="B56744" s="1168"/>
    </row>
    <row r="56745" spans="2:2" s="221" customFormat="1" ht="12.75" x14ac:dyDescent="0.2">
      <c r="B56745" s="1168"/>
    </row>
    <row r="56746" spans="2:2" s="221" customFormat="1" ht="12.75" x14ac:dyDescent="0.2">
      <c r="B56746" s="1168"/>
    </row>
    <row r="56747" spans="2:2" s="221" customFormat="1" ht="12.75" x14ac:dyDescent="0.2">
      <c r="B56747" s="1168"/>
    </row>
    <row r="56748" spans="2:2" s="221" customFormat="1" ht="12.75" x14ac:dyDescent="0.2">
      <c r="B56748" s="1168"/>
    </row>
    <row r="56749" spans="2:2" s="221" customFormat="1" ht="12.75" x14ac:dyDescent="0.2">
      <c r="B56749" s="1168"/>
    </row>
    <row r="56750" spans="2:2" s="221" customFormat="1" ht="12.75" x14ac:dyDescent="0.2">
      <c r="B56750" s="1168"/>
    </row>
    <row r="56751" spans="2:2" s="221" customFormat="1" ht="12.75" x14ac:dyDescent="0.2">
      <c r="B56751" s="1168"/>
    </row>
    <row r="56752" spans="2:2" s="221" customFormat="1" ht="12.75" x14ac:dyDescent="0.2">
      <c r="B56752" s="1168"/>
    </row>
    <row r="56753" spans="2:2" s="221" customFormat="1" ht="12.75" x14ac:dyDescent="0.2">
      <c r="B56753" s="1168"/>
    </row>
    <row r="56754" spans="2:2" s="221" customFormat="1" ht="12.75" x14ac:dyDescent="0.2">
      <c r="B56754" s="1168"/>
    </row>
    <row r="56755" spans="2:2" s="221" customFormat="1" ht="12.75" x14ac:dyDescent="0.2">
      <c r="B56755" s="1168"/>
    </row>
    <row r="56756" spans="2:2" s="221" customFormat="1" ht="12.75" x14ac:dyDescent="0.2">
      <c r="B56756" s="1168"/>
    </row>
    <row r="56757" spans="2:2" s="221" customFormat="1" ht="12.75" x14ac:dyDescent="0.2">
      <c r="B56757" s="1168"/>
    </row>
    <row r="56758" spans="2:2" s="221" customFormat="1" ht="12.75" x14ac:dyDescent="0.2">
      <c r="B56758" s="1168"/>
    </row>
    <row r="56759" spans="2:2" s="221" customFormat="1" ht="12.75" x14ac:dyDescent="0.2">
      <c r="B56759" s="1168"/>
    </row>
    <row r="56760" spans="2:2" s="221" customFormat="1" ht="12.75" x14ac:dyDescent="0.2">
      <c r="B56760" s="1168"/>
    </row>
    <row r="56761" spans="2:2" s="221" customFormat="1" ht="12.75" x14ac:dyDescent="0.2">
      <c r="B56761" s="1168"/>
    </row>
    <row r="56762" spans="2:2" s="221" customFormat="1" ht="12.75" x14ac:dyDescent="0.2">
      <c r="B56762" s="1168"/>
    </row>
    <row r="56763" spans="2:2" s="221" customFormat="1" ht="12.75" x14ac:dyDescent="0.2">
      <c r="B56763" s="1168"/>
    </row>
    <row r="56764" spans="2:2" s="221" customFormat="1" ht="12.75" x14ac:dyDescent="0.2">
      <c r="B56764" s="1168"/>
    </row>
    <row r="56765" spans="2:2" s="221" customFormat="1" ht="12.75" x14ac:dyDescent="0.2">
      <c r="B56765" s="1168"/>
    </row>
    <row r="56766" spans="2:2" s="221" customFormat="1" ht="12.75" x14ac:dyDescent="0.2">
      <c r="B56766" s="1168"/>
    </row>
    <row r="56767" spans="2:2" s="221" customFormat="1" ht="12.75" x14ac:dyDescent="0.2">
      <c r="B56767" s="1168"/>
    </row>
    <row r="56768" spans="2:2" s="221" customFormat="1" ht="12.75" x14ac:dyDescent="0.2">
      <c r="B56768" s="1168"/>
    </row>
    <row r="56769" spans="2:2" s="221" customFormat="1" ht="12.75" x14ac:dyDescent="0.2">
      <c r="B56769" s="1168"/>
    </row>
    <row r="56770" spans="2:2" s="221" customFormat="1" ht="12.75" x14ac:dyDescent="0.2">
      <c r="B56770" s="1168"/>
    </row>
    <row r="56771" spans="2:2" s="221" customFormat="1" ht="12.75" x14ac:dyDescent="0.2">
      <c r="B56771" s="1168"/>
    </row>
    <row r="56772" spans="2:2" s="221" customFormat="1" ht="12.75" x14ac:dyDescent="0.2">
      <c r="B56772" s="1168"/>
    </row>
    <row r="56773" spans="2:2" s="221" customFormat="1" ht="12.75" x14ac:dyDescent="0.2">
      <c r="B56773" s="1168"/>
    </row>
    <row r="56774" spans="2:2" s="221" customFormat="1" ht="12.75" x14ac:dyDescent="0.2">
      <c r="B56774" s="1168"/>
    </row>
    <row r="56775" spans="2:2" s="221" customFormat="1" ht="12.75" x14ac:dyDescent="0.2">
      <c r="B56775" s="1168"/>
    </row>
    <row r="56776" spans="2:2" s="221" customFormat="1" ht="12.75" x14ac:dyDescent="0.2">
      <c r="B56776" s="1168"/>
    </row>
    <row r="56777" spans="2:2" s="221" customFormat="1" ht="12.75" x14ac:dyDescent="0.2">
      <c r="B56777" s="1168"/>
    </row>
    <row r="56778" spans="2:2" s="221" customFormat="1" ht="12.75" x14ac:dyDescent="0.2">
      <c r="B56778" s="1168"/>
    </row>
    <row r="56779" spans="2:2" s="221" customFormat="1" ht="12.75" x14ac:dyDescent="0.2">
      <c r="B56779" s="1168"/>
    </row>
    <row r="56780" spans="2:2" s="221" customFormat="1" ht="12.75" x14ac:dyDescent="0.2">
      <c r="B56780" s="1168"/>
    </row>
    <row r="56781" spans="2:2" s="221" customFormat="1" ht="12.75" x14ac:dyDescent="0.2">
      <c r="B56781" s="1168"/>
    </row>
    <row r="56782" spans="2:2" s="221" customFormat="1" ht="12.75" x14ac:dyDescent="0.2">
      <c r="B56782" s="1168"/>
    </row>
    <row r="56783" spans="2:2" s="221" customFormat="1" ht="12.75" x14ac:dyDescent="0.2">
      <c r="B56783" s="1168"/>
    </row>
    <row r="56784" spans="2:2" s="221" customFormat="1" ht="12.75" x14ac:dyDescent="0.2">
      <c r="B56784" s="1168"/>
    </row>
    <row r="56785" spans="2:2" s="221" customFormat="1" ht="12.75" x14ac:dyDescent="0.2">
      <c r="B56785" s="1168"/>
    </row>
    <row r="56786" spans="2:2" s="221" customFormat="1" ht="12.75" x14ac:dyDescent="0.2">
      <c r="B56786" s="1168"/>
    </row>
    <row r="56787" spans="2:2" s="221" customFormat="1" ht="12.75" x14ac:dyDescent="0.2">
      <c r="B56787" s="1168"/>
    </row>
    <row r="56788" spans="2:2" s="221" customFormat="1" ht="12.75" x14ac:dyDescent="0.2">
      <c r="B56788" s="1168"/>
    </row>
    <row r="56789" spans="2:2" s="221" customFormat="1" ht="12.75" x14ac:dyDescent="0.2">
      <c r="B56789" s="1168"/>
    </row>
    <row r="56790" spans="2:2" s="221" customFormat="1" ht="12.75" x14ac:dyDescent="0.2">
      <c r="B56790" s="1168"/>
    </row>
    <row r="56791" spans="2:2" s="221" customFormat="1" ht="12.75" x14ac:dyDescent="0.2">
      <c r="B56791" s="1168"/>
    </row>
    <row r="56792" spans="2:2" s="221" customFormat="1" ht="12.75" x14ac:dyDescent="0.2">
      <c r="B56792" s="1168"/>
    </row>
    <row r="56793" spans="2:2" s="221" customFormat="1" ht="12.75" x14ac:dyDescent="0.2">
      <c r="B56793" s="1168"/>
    </row>
    <row r="56794" spans="2:2" s="221" customFormat="1" ht="12.75" x14ac:dyDescent="0.2">
      <c r="B56794" s="1168"/>
    </row>
    <row r="56795" spans="2:2" s="221" customFormat="1" ht="12.75" x14ac:dyDescent="0.2">
      <c r="B56795" s="1168"/>
    </row>
    <row r="56796" spans="2:2" s="221" customFormat="1" ht="12.75" x14ac:dyDescent="0.2">
      <c r="B56796" s="1168"/>
    </row>
    <row r="56797" spans="2:2" s="221" customFormat="1" ht="12.75" x14ac:dyDescent="0.2">
      <c r="B56797" s="1168"/>
    </row>
    <row r="56798" spans="2:2" s="221" customFormat="1" ht="12.75" x14ac:dyDescent="0.2">
      <c r="B56798" s="1168"/>
    </row>
    <row r="56799" spans="2:2" s="221" customFormat="1" ht="12.75" x14ac:dyDescent="0.2">
      <c r="B56799" s="1168"/>
    </row>
    <row r="56800" spans="2:2" s="221" customFormat="1" ht="12.75" x14ac:dyDescent="0.2">
      <c r="B56800" s="1168"/>
    </row>
    <row r="56801" spans="2:2" s="221" customFormat="1" ht="12.75" x14ac:dyDescent="0.2">
      <c r="B56801" s="1168"/>
    </row>
    <row r="56802" spans="2:2" s="221" customFormat="1" ht="12.75" x14ac:dyDescent="0.2">
      <c r="B56802" s="1168"/>
    </row>
    <row r="56803" spans="2:2" s="221" customFormat="1" ht="12.75" x14ac:dyDescent="0.2">
      <c r="B56803" s="1168"/>
    </row>
    <row r="56804" spans="2:2" s="221" customFormat="1" ht="12.75" x14ac:dyDescent="0.2">
      <c r="B56804" s="1168"/>
    </row>
    <row r="56805" spans="2:2" s="221" customFormat="1" ht="12.75" x14ac:dyDescent="0.2">
      <c r="B56805" s="1168"/>
    </row>
    <row r="56806" spans="2:2" s="221" customFormat="1" ht="12.75" x14ac:dyDescent="0.2">
      <c r="B56806" s="1168"/>
    </row>
    <row r="56807" spans="2:2" s="221" customFormat="1" ht="12.75" x14ac:dyDescent="0.2">
      <c r="B56807" s="1168"/>
    </row>
    <row r="56808" spans="2:2" s="221" customFormat="1" ht="12.75" x14ac:dyDescent="0.2">
      <c r="B56808" s="1168"/>
    </row>
    <row r="56809" spans="2:2" s="221" customFormat="1" ht="12.75" x14ac:dyDescent="0.2">
      <c r="B56809" s="1168"/>
    </row>
    <row r="56810" spans="2:2" s="221" customFormat="1" ht="12.75" x14ac:dyDescent="0.2">
      <c r="B56810" s="1168"/>
    </row>
    <row r="56811" spans="2:2" s="221" customFormat="1" ht="12.75" x14ac:dyDescent="0.2">
      <c r="B56811" s="1168"/>
    </row>
    <row r="56812" spans="2:2" s="221" customFormat="1" ht="12.75" x14ac:dyDescent="0.2">
      <c r="B56812" s="1168"/>
    </row>
    <row r="56813" spans="2:2" s="221" customFormat="1" ht="12.75" x14ac:dyDescent="0.2">
      <c r="B56813" s="1168"/>
    </row>
    <row r="56814" spans="2:2" s="221" customFormat="1" ht="12.75" x14ac:dyDescent="0.2">
      <c r="B56814" s="1168"/>
    </row>
    <row r="56815" spans="2:2" s="221" customFormat="1" ht="12.75" x14ac:dyDescent="0.2">
      <c r="B56815" s="1168"/>
    </row>
    <row r="56816" spans="2:2" s="221" customFormat="1" ht="12.75" x14ac:dyDescent="0.2">
      <c r="B56816" s="1168"/>
    </row>
    <row r="56817" spans="2:2" s="221" customFormat="1" ht="12.75" x14ac:dyDescent="0.2">
      <c r="B56817" s="1168"/>
    </row>
    <row r="56818" spans="2:2" s="221" customFormat="1" ht="12.75" x14ac:dyDescent="0.2">
      <c r="B56818" s="1168"/>
    </row>
    <row r="56819" spans="2:2" s="221" customFormat="1" ht="12.75" x14ac:dyDescent="0.2">
      <c r="B56819" s="1168"/>
    </row>
    <row r="56820" spans="2:2" s="221" customFormat="1" ht="12.75" x14ac:dyDescent="0.2">
      <c r="B56820" s="1168"/>
    </row>
    <row r="56821" spans="2:2" s="221" customFormat="1" ht="12.75" x14ac:dyDescent="0.2">
      <c r="B56821" s="1168"/>
    </row>
    <row r="56822" spans="2:2" s="221" customFormat="1" ht="12.75" x14ac:dyDescent="0.2">
      <c r="B56822" s="1168"/>
    </row>
    <row r="56823" spans="2:2" s="221" customFormat="1" ht="12.75" x14ac:dyDescent="0.2">
      <c r="B56823" s="1168"/>
    </row>
    <row r="56824" spans="2:2" s="221" customFormat="1" ht="12.75" x14ac:dyDescent="0.2">
      <c r="B56824" s="1168"/>
    </row>
    <row r="56825" spans="2:2" s="221" customFormat="1" ht="12.75" x14ac:dyDescent="0.2">
      <c r="B56825" s="1168"/>
    </row>
    <row r="56826" spans="2:2" s="221" customFormat="1" ht="12.75" x14ac:dyDescent="0.2">
      <c r="B56826" s="1168"/>
    </row>
    <row r="56827" spans="2:2" s="221" customFormat="1" ht="12.75" x14ac:dyDescent="0.2">
      <c r="B56827" s="1168"/>
    </row>
    <row r="56828" spans="2:2" s="221" customFormat="1" ht="12.75" x14ac:dyDescent="0.2">
      <c r="B56828" s="1168"/>
    </row>
    <row r="56829" spans="2:2" s="221" customFormat="1" ht="12.75" x14ac:dyDescent="0.2">
      <c r="B56829" s="1168"/>
    </row>
    <row r="56830" spans="2:2" s="221" customFormat="1" ht="12.75" x14ac:dyDescent="0.2">
      <c r="B56830" s="1168"/>
    </row>
    <row r="56831" spans="2:2" s="221" customFormat="1" ht="12.75" x14ac:dyDescent="0.2">
      <c r="B56831" s="1168"/>
    </row>
    <row r="56832" spans="2:2" s="221" customFormat="1" ht="12.75" x14ac:dyDescent="0.2">
      <c r="B56832" s="1168"/>
    </row>
    <row r="56833" spans="2:2" s="221" customFormat="1" ht="12.75" x14ac:dyDescent="0.2">
      <c r="B56833" s="1168"/>
    </row>
    <row r="56834" spans="2:2" s="221" customFormat="1" ht="12.75" x14ac:dyDescent="0.2">
      <c r="B56834" s="1168"/>
    </row>
    <row r="56835" spans="2:2" s="221" customFormat="1" ht="12.75" x14ac:dyDescent="0.2">
      <c r="B56835" s="1168"/>
    </row>
    <row r="56836" spans="2:2" s="221" customFormat="1" ht="12.75" x14ac:dyDescent="0.2">
      <c r="B56836" s="1168"/>
    </row>
    <row r="56837" spans="2:2" s="221" customFormat="1" ht="12.75" x14ac:dyDescent="0.2">
      <c r="B56837" s="1168"/>
    </row>
    <row r="56838" spans="2:2" s="221" customFormat="1" ht="12.75" x14ac:dyDescent="0.2">
      <c r="B56838" s="1168"/>
    </row>
    <row r="56839" spans="2:2" s="221" customFormat="1" ht="12.75" x14ac:dyDescent="0.2">
      <c r="B56839" s="1168"/>
    </row>
    <row r="56840" spans="2:2" s="221" customFormat="1" ht="12.75" x14ac:dyDescent="0.2">
      <c r="B56840" s="1168"/>
    </row>
    <row r="56841" spans="2:2" s="221" customFormat="1" ht="12.75" x14ac:dyDescent="0.2">
      <c r="B56841" s="1168"/>
    </row>
    <row r="56842" spans="2:2" s="221" customFormat="1" ht="12.75" x14ac:dyDescent="0.2">
      <c r="B56842" s="1168"/>
    </row>
    <row r="56843" spans="2:2" s="221" customFormat="1" ht="12.75" x14ac:dyDescent="0.2">
      <c r="B56843" s="1168"/>
    </row>
    <row r="56844" spans="2:2" s="221" customFormat="1" ht="12.75" x14ac:dyDescent="0.2">
      <c r="B56844" s="1168"/>
    </row>
    <row r="56845" spans="2:2" s="221" customFormat="1" ht="12.75" x14ac:dyDescent="0.2">
      <c r="B56845" s="1168"/>
    </row>
    <row r="56846" spans="2:2" s="221" customFormat="1" ht="12.75" x14ac:dyDescent="0.2">
      <c r="B56846" s="1168"/>
    </row>
    <row r="56847" spans="2:2" s="221" customFormat="1" ht="12.75" x14ac:dyDescent="0.2">
      <c r="B56847" s="1168"/>
    </row>
    <row r="56848" spans="2:2" s="221" customFormat="1" ht="12.75" x14ac:dyDescent="0.2">
      <c r="B56848" s="1168"/>
    </row>
    <row r="56849" spans="2:2" s="221" customFormat="1" ht="12.75" x14ac:dyDescent="0.2">
      <c r="B56849" s="1168"/>
    </row>
    <row r="56850" spans="2:2" s="221" customFormat="1" ht="12.75" x14ac:dyDescent="0.2">
      <c r="B56850" s="1168"/>
    </row>
    <row r="56851" spans="2:2" s="221" customFormat="1" ht="12.75" x14ac:dyDescent="0.2">
      <c r="B56851" s="1168"/>
    </row>
    <row r="56852" spans="2:2" s="221" customFormat="1" ht="12.75" x14ac:dyDescent="0.2">
      <c r="B56852" s="1168"/>
    </row>
    <row r="56853" spans="2:2" s="221" customFormat="1" ht="12.75" x14ac:dyDescent="0.2">
      <c r="B56853" s="1168"/>
    </row>
    <row r="56854" spans="2:2" s="221" customFormat="1" ht="12.75" x14ac:dyDescent="0.2">
      <c r="B56854" s="1168"/>
    </row>
    <row r="56855" spans="2:2" s="221" customFormat="1" ht="12.75" x14ac:dyDescent="0.2">
      <c r="B56855" s="1168"/>
    </row>
    <row r="56856" spans="2:2" s="221" customFormat="1" ht="12.75" x14ac:dyDescent="0.2">
      <c r="B56856" s="1168"/>
    </row>
    <row r="56857" spans="2:2" s="221" customFormat="1" ht="12.75" x14ac:dyDescent="0.2">
      <c r="B56857" s="1168"/>
    </row>
    <row r="56858" spans="2:2" s="221" customFormat="1" ht="12.75" x14ac:dyDescent="0.2">
      <c r="B56858" s="1168"/>
    </row>
    <row r="56859" spans="2:2" s="221" customFormat="1" ht="12.75" x14ac:dyDescent="0.2">
      <c r="B56859" s="1168"/>
    </row>
    <row r="56860" spans="2:2" s="221" customFormat="1" ht="12.75" x14ac:dyDescent="0.2">
      <c r="B56860" s="1168"/>
    </row>
    <row r="56861" spans="2:2" s="221" customFormat="1" ht="12.75" x14ac:dyDescent="0.2">
      <c r="B56861" s="1168"/>
    </row>
    <row r="56862" spans="2:2" s="221" customFormat="1" ht="12.75" x14ac:dyDescent="0.2">
      <c r="B56862" s="1168"/>
    </row>
    <row r="56863" spans="2:2" s="221" customFormat="1" ht="12.75" x14ac:dyDescent="0.2">
      <c r="B56863" s="1168"/>
    </row>
    <row r="56864" spans="2:2" s="221" customFormat="1" ht="12.75" x14ac:dyDescent="0.2">
      <c r="B56864" s="1168"/>
    </row>
    <row r="56865" spans="2:2" s="221" customFormat="1" ht="12.75" x14ac:dyDescent="0.2">
      <c r="B56865" s="1168"/>
    </row>
    <row r="56866" spans="2:2" s="221" customFormat="1" ht="12.75" x14ac:dyDescent="0.2">
      <c r="B56866" s="1168"/>
    </row>
    <row r="56867" spans="2:2" s="221" customFormat="1" ht="12.75" x14ac:dyDescent="0.2">
      <c r="B56867" s="1168"/>
    </row>
    <row r="56868" spans="2:2" s="221" customFormat="1" ht="12.75" x14ac:dyDescent="0.2">
      <c r="B56868" s="1168"/>
    </row>
    <row r="56869" spans="2:2" s="221" customFormat="1" ht="12.75" x14ac:dyDescent="0.2">
      <c r="B56869" s="1168"/>
    </row>
    <row r="56870" spans="2:2" s="221" customFormat="1" ht="12.75" x14ac:dyDescent="0.2">
      <c r="B56870" s="1168"/>
    </row>
    <row r="56871" spans="2:2" s="221" customFormat="1" ht="12.75" x14ac:dyDescent="0.2">
      <c r="B56871" s="1168"/>
    </row>
    <row r="56872" spans="2:2" s="221" customFormat="1" ht="12.75" x14ac:dyDescent="0.2">
      <c r="B56872" s="1168"/>
    </row>
    <row r="56873" spans="2:2" s="221" customFormat="1" ht="12.75" x14ac:dyDescent="0.2">
      <c r="B56873" s="1168"/>
    </row>
    <row r="56874" spans="2:2" s="221" customFormat="1" ht="12.75" x14ac:dyDescent="0.2">
      <c r="B56874" s="1168"/>
    </row>
    <row r="56875" spans="2:2" s="221" customFormat="1" ht="12.75" x14ac:dyDescent="0.2">
      <c r="B56875" s="1168"/>
    </row>
    <row r="56876" spans="2:2" s="221" customFormat="1" ht="12.75" x14ac:dyDescent="0.2">
      <c r="B56876" s="1168"/>
    </row>
    <row r="56877" spans="2:2" s="221" customFormat="1" ht="12.75" x14ac:dyDescent="0.2">
      <c r="B56877" s="1168"/>
    </row>
    <row r="56878" spans="2:2" s="221" customFormat="1" ht="12.75" x14ac:dyDescent="0.2">
      <c r="B56878" s="1168"/>
    </row>
    <row r="56879" spans="2:2" s="221" customFormat="1" ht="12.75" x14ac:dyDescent="0.2">
      <c r="B56879" s="1168"/>
    </row>
    <row r="56880" spans="2:2" s="221" customFormat="1" ht="12.75" x14ac:dyDescent="0.2">
      <c r="B56880" s="1168"/>
    </row>
    <row r="56881" spans="2:2" s="221" customFormat="1" ht="12.75" x14ac:dyDescent="0.2">
      <c r="B56881" s="1168"/>
    </row>
    <row r="56882" spans="2:2" s="221" customFormat="1" ht="12.75" x14ac:dyDescent="0.2">
      <c r="B56882" s="1168"/>
    </row>
    <row r="56883" spans="2:2" s="221" customFormat="1" ht="12.75" x14ac:dyDescent="0.2">
      <c r="B56883" s="1168"/>
    </row>
    <row r="56884" spans="2:2" s="221" customFormat="1" ht="12.75" x14ac:dyDescent="0.2">
      <c r="B56884" s="1168"/>
    </row>
    <row r="56885" spans="2:2" s="221" customFormat="1" ht="12.75" x14ac:dyDescent="0.2">
      <c r="B56885" s="1168"/>
    </row>
    <row r="56886" spans="2:2" s="221" customFormat="1" ht="12.75" x14ac:dyDescent="0.2">
      <c r="B56886" s="1168"/>
    </row>
    <row r="56887" spans="2:2" s="221" customFormat="1" ht="12.75" x14ac:dyDescent="0.2">
      <c r="B56887" s="1168"/>
    </row>
    <row r="56888" spans="2:2" s="221" customFormat="1" ht="12.75" x14ac:dyDescent="0.2">
      <c r="B56888" s="1168"/>
    </row>
    <row r="56889" spans="2:2" s="221" customFormat="1" ht="12.75" x14ac:dyDescent="0.2">
      <c r="B56889" s="1168"/>
    </row>
    <row r="56890" spans="2:2" s="221" customFormat="1" ht="12.75" x14ac:dyDescent="0.2">
      <c r="B56890" s="1168"/>
    </row>
    <row r="56891" spans="2:2" s="221" customFormat="1" ht="12.75" x14ac:dyDescent="0.2">
      <c r="B56891" s="1168"/>
    </row>
    <row r="56892" spans="2:2" s="221" customFormat="1" ht="12.75" x14ac:dyDescent="0.2">
      <c r="B56892" s="1168"/>
    </row>
    <row r="56893" spans="2:2" s="221" customFormat="1" ht="12.75" x14ac:dyDescent="0.2">
      <c r="B56893" s="1168"/>
    </row>
    <row r="56894" spans="2:2" s="221" customFormat="1" ht="12.75" x14ac:dyDescent="0.2">
      <c r="B56894" s="1168"/>
    </row>
    <row r="56895" spans="2:2" s="221" customFormat="1" ht="12.75" x14ac:dyDescent="0.2">
      <c r="B56895" s="1168"/>
    </row>
    <row r="56896" spans="2:2" s="221" customFormat="1" ht="12.75" x14ac:dyDescent="0.2">
      <c r="B56896" s="1168"/>
    </row>
    <row r="56897" spans="2:2" s="221" customFormat="1" ht="12.75" x14ac:dyDescent="0.2">
      <c r="B56897" s="1168"/>
    </row>
    <row r="56898" spans="2:2" s="221" customFormat="1" ht="12.75" x14ac:dyDescent="0.2">
      <c r="B56898" s="1168"/>
    </row>
    <row r="56899" spans="2:2" s="221" customFormat="1" ht="12.75" x14ac:dyDescent="0.2">
      <c r="B56899" s="1168"/>
    </row>
    <row r="56900" spans="2:2" s="221" customFormat="1" ht="12.75" x14ac:dyDescent="0.2">
      <c r="B56900" s="1168"/>
    </row>
    <row r="56901" spans="2:2" s="221" customFormat="1" ht="12.75" x14ac:dyDescent="0.2">
      <c r="B56901" s="1168"/>
    </row>
    <row r="56902" spans="2:2" s="221" customFormat="1" ht="12.75" x14ac:dyDescent="0.2">
      <c r="B56902" s="1168"/>
    </row>
    <row r="56903" spans="2:2" s="221" customFormat="1" ht="12.75" x14ac:dyDescent="0.2">
      <c r="B56903" s="1168"/>
    </row>
    <row r="56904" spans="2:2" s="221" customFormat="1" ht="12.75" x14ac:dyDescent="0.2">
      <c r="B56904" s="1168"/>
    </row>
    <row r="56905" spans="2:2" s="221" customFormat="1" ht="12.75" x14ac:dyDescent="0.2">
      <c r="B56905" s="1168"/>
    </row>
    <row r="56906" spans="2:2" s="221" customFormat="1" ht="12.75" x14ac:dyDescent="0.2">
      <c r="B56906" s="1168"/>
    </row>
    <row r="56907" spans="2:2" s="221" customFormat="1" ht="12.75" x14ac:dyDescent="0.2">
      <c r="B56907" s="1168"/>
    </row>
    <row r="56908" spans="2:2" s="221" customFormat="1" ht="12.75" x14ac:dyDescent="0.2">
      <c r="B56908" s="1168"/>
    </row>
    <row r="56909" spans="2:2" s="221" customFormat="1" ht="12.75" x14ac:dyDescent="0.2">
      <c r="B56909" s="1168"/>
    </row>
    <row r="56910" spans="2:2" s="221" customFormat="1" ht="12.75" x14ac:dyDescent="0.2">
      <c r="B56910" s="1168"/>
    </row>
    <row r="56911" spans="2:2" s="221" customFormat="1" ht="12.75" x14ac:dyDescent="0.2">
      <c r="B56911" s="1168"/>
    </row>
    <row r="56912" spans="2:2" s="221" customFormat="1" ht="12.75" x14ac:dyDescent="0.2">
      <c r="B56912" s="1168"/>
    </row>
    <row r="56913" spans="2:2" s="221" customFormat="1" ht="12.75" x14ac:dyDescent="0.2">
      <c r="B56913" s="1168"/>
    </row>
    <row r="56914" spans="2:2" s="221" customFormat="1" ht="12.75" x14ac:dyDescent="0.2">
      <c r="B56914" s="1168"/>
    </row>
    <row r="56915" spans="2:2" s="221" customFormat="1" ht="12.75" x14ac:dyDescent="0.2">
      <c r="B56915" s="1168"/>
    </row>
    <row r="56916" spans="2:2" s="221" customFormat="1" ht="12.75" x14ac:dyDescent="0.2">
      <c r="B56916" s="1168"/>
    </row>
    <row r="56917" spans="2:2" s="221" customFormat="1" ht="12.75" x14ac:dyDescent="0.2">
      <c r="B56917" s="1168"/>
    </row>
    <row r="56918" spans="2:2" s="221" customFormat="1" ht="12.75" x14ac:dyDescent="0.2">
      <c r="B56918" s="1168"/>
    </row>
    <row r="56919" spans="2:2" s="221" customFormat="1" ht="12.75" x14ac:dyDescent="0.2">
      <c r="B56919" s="1168"/>
    </row>
    <row r="56920" spans="2:2" s="221" customFormat="1" ht="12.75" x14ac:dyDescent="0.2">
      <c r="B56920" s="1168"/>
    </row>
    <row r="56921" spans="2:2" s="221" customFormat="1" ht="12.75" x14ac:dyDescent="0.2">
      <c r="B56921" s="1168"/>
    </row>
    <row r="56922" spans="2:2" s="221" customFormat="1" ht="12.75" x14ac:dyDescent="0.2">
      <c r="B56922" s="1168"/>
    </row>
    <row r="56923" spans="2:2" s="221" customFormat="1" ht="12.75" x14ac:dyDescent="0.2">
      <c r="B56923" s="1168"/>
    </row>
    <row r="56924" spans="2:2" s="221" customFormat="1" ht="12.75" x14ac:dyDescent="0.2">
      <c r="B56924" s="1168"/>
    </row>
    <row r="56925" spans="2:2" s="221" customFormat="1" ht="12.75" x14ac:dyDescent="0.2">
      <c r="B56925" s="1168"/>
    </row>
    <row r="56926" spans="2:2" s="221" customFormat="1" ht="12.75" x14ac:dyDescent="0.2">
      <c r="B56926" s="1168"/>
    </row>
    <row r="56927" spans="2:2" s="221" customFormat="1" ht="12.75" x14ac:dyDescent="0.2">
      <c r="B56927" s="1168"/>
    </row>
    <row r="56928" spans="2:2" s="221" customFormat="1" ht="12.75" x14ac:dyDescent="0.2">
      <c r="B56928" s="1168"/>
    </row>
    <row r="56929" spans="2:2" s="221" customFormat="1" ht="12.75" x14ac:dyDescent="0.2">
      <c r="B56929" s="1168"/>
    </row>
    <row r="56930" spans="2:2" s="221" customFormat="1" ht="12.75" x14ac:dyDescent="0.2">
      <c r="B56930" s="1168"/>
    </row>
    <row r="56931" spans="2:2" s="221" customFormat="1" ht="12.75" x14ac:dyDescent="0.2">
      <c r="B56931" s="1168"/>
    </row>
    <row r="56932" spans="2:2" s="221" customFormat="1" ht="12.75" x14ac:dyDescent="0.2">
      <c r="B56932" s="1168"/>
    </row>
    <row r="56933" spans="2:2" s="221" customFormat="1" ht="12.75" x14ac:dyDescent="0.2">
      <c r="B56933" s="1168"/>
    </row>
    <row r="56934" spans="2:2" s="221" customFormat="1" ht="12.75" x14ac:dyDescent="0.2">
      <c r="B56934" s="1168"/>
    </row>
    <row r="56935" spans="2:2" s="221" customFormat="1" ht="12.75" x14ac:dyDescent="0.2">
      <c r="B56935" s="1168"/>
    </row>
    <row r="56936" spans="2:2" s="221" customFormat="1" ht="12.75" x14ac:dyDescent="0.2">
      <c r="B56936" s="1168"/>
    </row>
    <row r="56937" spans="2:2" s="221" customFormat="1" ht="12.75" x14ac:dyDescent="0.2">
      <c r="B56937" s="1168"/>
    </row>
    <row r="56938" spans="2:2" s="221" customFormat="1" ht="12.75" x14ac:dyDescent="0.2">
      <c r="B56938" s="1168"/>
    </row>
    <row r="56939" spans="2:2" s="221" customFormat="1" ht="12.75" x14ac:dyDescent="0.2">
      <c r="B56939" s="1168"/>
    </row>
    <row r="56940" spans="2:2" s="221" customFormat="1" ht="12.75" x14ac:dyDescent="0.2">
      <c r="B56940" s="1168"/>
    </row>
    <row r="56941" spans="2:2" s="221" customFormat="1" ht="12.75" x14ac:dyDescent="0.2">
      <c r="B56941" s="1168"/>
    </row>
    <row r="56942" spans="2:2" s="221" customFormat="1" ht="12.75" x14ac:dyDescent="0.2">
      <c r="B56942" s="1168"/>
    </row>
    <row r="56943" spans="2:2" s="221" customFormat="1" ht="12.75" x14ac:dyDescent="0.2">
      <c r="B56943" s="1168"/>
    </row>
    <row r="56944" spans="2:2" s="221" customFormat="1" ht="12.75" x14ac:dyDescent="0.2">
      <c r="B56944" s="1168"/>
    </row>
    <row r="56945" spans="2:2" s="221" customFormat="1" ht="12.75" x14ac:dyDescent="0.2">
      <c r="B56945" s="1168"/>
    </row>
    <row r="56946" spans="2:2" s="221" customFormat="1" ht="12.75" x14ac:dyDescent="0.2">
      <c r="B56946" s="1168"/>
    </row>
    <row r="56947" spans="2:2" s="221" customFormat="1" ht="12.75" x14ac:dyDescent="0.2">
      <c r="B56947" s="1168"/>
    </row>
    <row r="56948" spans="2:2" s="221" customFormat="1" ht="12.75" x14ac:dyDescent="0.2">
      <c r="B56948" s="1168"/>
    </row>
    <row r="56949" spans="2:2" s="221" customFormat="1" ht="12.75" x14ac:dyDescent="0.2">
      <c r="B56949" s="1168"/>
    </row>
    <row r="56950" spans="2:2" s="221" customFormat="1" ht="12.75" x14ac:dyDescent="0.2">
      <c r="B56950" s="1168"/>
    </row>
    <row r="56951" spans="2:2" s="221" customFormat="1" ht="12.75" x14ac:dyDescent="0.2">
      <c r="B56951" s="1168"/>
    </row>
    <row r="56952" spans="2:2" s="221" customFormat="1" ht="12.75" x14ac:dyDescent="0.2">
      <c r="B56952" s="1168"/>
    </row>
    <row r="56953" spans="2:2" s="221" customFormat="1" ht="12.75" x14ac:dyDescent="0.2">
      <c r="B56953" s="1168"/>
    </row>
    <row r="56954" spans="2:2" s="221" customFormat="1" ht="12.75" x14ac:dyDescent="0.2">
      <c r="B56954" s="1168"/>
    </row>
    <row r="56955" spans="2:2" s="221" customFormat="1" ht="12.75" x14ac:dyDescent="0.2">
      <c r="B56955" s="1168"/>
    </row>
    <row r="56956" spans="2:2" s="221" customFormat="1" ht="12.75" x14ac:dyDescent="0.2">
      <c r="B56956" s="1168"/>
    </row>
    <row r="56957" spans="2:2" s="221" customFormat="1" ht="12.75" x14ac:dyDescent="0.2">
      <c r="B56957" s="1168"/>
    </row>
    <row r="56958" spans="2:2" s="221" customFormat="1" ht="12.75" x14ac:dyDescent="0.2">
      <c r="B56958" s="1168"/>
    </row>
    <row r="56959" spans="2:2" s="221" customFormat="1" ht="12.75" x14ac:dyDescent="0.2">
      <c r="B56959" s="1168"/>
    </row>
    <row r="56960" spans="2:2" s="221" customFormat="1" ht="12.75" x14ac:dyDescent="0.2">
      <c r="B56960" s="1168"/>
    </row>
    <row r="56961" spans="2:2" s="221" customFormat="1" ht="12.75" x14ac:dyDescent="0.2">
      <c r="B56961" s="1168"/>
    </row>
    <row r="56962" spans="2:2" s="221" customFormat="1" ht="12.75" x14ac:dyDescent="0.2">
      <c r="B56962" s="1168"/>
    </row>
    <row r="56963" spans="2:2" s="221" customFormat="1" ht="12.75" x14ac:dyDescent="0.2">
      <c r="B56963" s="1168"/>
    </row>
    <row r="56964" spans="2:2" s="221" customFormat="1" ht="12.75" x14ac:dyDescent="0.2">
      <c r="B56964" s="1168"/>
    </row>
    <row r="56965" spans="2:2" s="221" customFormat="1" ht="12.75" x14ac:dyDescent="0.2">
      <c r="B56965" s="1168"/>
    </row>
    <row r="56966" spans="2:2" s="221" customFormat="1" ht="12.75" x14ac:dyDescent="0.2">
      <c r="B56966" s="1168"/>
    </row>
    <row r="56967" spans="2:2" s="221" customFormat="1" ht="12.75" x14ac:dyDescent="0.2">
      <c r="B56967" s="1168"/>
    </row>
    <row r="56968" spans="2:2" s="221" customFormat="1" ht="12.75" x14ac:dyDescent="0.2">
      <c r="B56968" s="1168"/>
    </row>
    <row r="56969" spans="2:2" s="221" customFormat="1" ht="12.75" x14ac:dyDescent="0.2">
      <c r="B56969" s="1168"/>
    </row>
    <row r="56970" spans="2:2" s="221" customFormat="1" ht="12.75" x14ac:dyDescent="0.2">
      <c r="B56970" s="1168"/>
    </row>
    <row r="56971" spans="2:2" s="221" customFormat="1" ht="12.75" x14ac:dyDescent="0.2">
      <c r="B56971" s="1168"/>
    </row>
    <row r="56972" spans="2:2" s="221" customFormat="1" ht="12.75" x14ac:dyDescent="0.2">
      <c r="B56972" s="1168"/>
    </row>
    <row r="56973" spans="2:2" s="221" customFormat="1" ht="12.75" x14ac:dyDescent="0.2">
      <c r="B56973" s="1168"/>
    </row>
    <row r="56974" spans="2:2" s="221" customFormat="1" ht="12.75" x14ac:dyDescent="0.2">
      <c r="B56974" s="1168"/>
    </row>
    <row r="56975" spans="2:2" s="221" customFormat="1" ht="12.75" x14ac:dyDescent="0.2">
      <c r="B56975" s="1168"/>
    </row>
    <row r="56976" spans="2:2" s="221" customFormat="1" ht="12.75" x14ac:dyDescent="0.2">
      <c r="B56976" s="1168"/>
    </row>
    <row r="56977" spans="2:2" s="221" customFormat="1" ht="12.75" x14ac:dyDescent="0.2">
      <c r="B56977" s="1168"/>
    </row>
    <row r="56978" spans="2:2" s="221" customFormat="1" ht="12.75" x14ac:dyDescent="0.2">
      <c r="B56978" s="1168"/>
    </row>
    <row r="56979" spans="2:2" s="221" customFormat="1" ht="12.75" x14ac:dyDescent="0.2">
      <c r="B56979" s="1168"/>
    </row>
    <row r="56980" spans="2:2" s="221" customFormat="1" ht="12.75" x14ac:dyDescent="0.2">
      <c r="B56980" s="1168"/>
    </row>
    <row r="56981" spans="2:2" s="221" customFormat="1" ht="12.75" x14ac:dyDescent="0.2">
      <c r="B56981" s="1168"/>
    </row>
    <row r="56982" spans="2:2" s="221" customFormat="1" ht="12.75" x14ac:dyDescent="0.2">
      <c r="B56982" s="1168"/>
    </row>
    <row r="56983" spans="2:2" s="221" customFormat="1" ht="12.75" x14ac:dyDescent="0.2">
      <c r="B56983" s="1168"/>
    </row>
    <row r="56984" spans="2:2" s="221" customFormat="1" ht="12.75" x14ac:dyDescent="0.2">
      <c r="B56984" s="1168"/>
    </row>
    <row r="56985" spans="2:2" s="221" customFormat="1" ht="12.75" x14ac:dyDescent="0.2">
      <c r="B56985" s="1168"/>
    </row>
    <row r="56986" spans="2:2" s="221" customFormat="1" ht="12.75" x14ac:dyDescent="0.2">
      <c r="B56986" s="1168"/>
    </row>
    <row r="56987" spans="2:2" s="221" customFormat="1" ht="12.75" x14ac:dyDescent="0.2">
      <c r="B56987" s="1168"/>
    </row>
    <row r="56988" spans="2:2" s="221" customFormat="1" ht="12.75" x14ac:dyDescent="0.2">
      <c r="B56988" s="1168"/>
    </row>
    <row r="56989" spans="2:2" s="221" customFormat="1" ht="12.75" x14ac:dyDescent="0.2">
      <c r="B56989" s="1168"/>
    </row>
    <row r="56990" spans="2:2" s="221" customFormat="1" ht="12.75" x14ac:dyDescent="0.2">
      <c r="B56990" s="1168"/>
    </row>
    <row r="56991" spans="2:2" s="221" customFormat="1" ht="12.75" x14ac:dyDescent="0.2">
      <c r="B56991" s="1168"/>
    </row>
    <row r="56992" spans="2:2" s="221" customFormat="1" ht="12.75" x14ac:dyDescent="0.2">
      <c r="B56992" s="1168"/>
    </row>
    <row r="56993" spans="2:2" s="221" customFormat="1" ht="12.75" x14ac:dyDescent="0.2">
      <c r="B56993" s="1168"/>
    </row>
    <row r="56994" spans="2:2" s="221" customFormat="1" ht="12.75" x14ac:dyDescent="0.2">
      <c r="B56994" s="1168"/>
    </row>
    <row r="56995" spans="2:2" s="221" customFormat="1" ht="12.75" x14ac:dyDescent="0.2">
      <c r="B56995" s="1168"/>
    </row>
    <row r="56996" spans="2:2" s="221" customFormat="1" ht="12.75" x14ac:dyDescent="0.2">
      <c r="B56996" s="1168"/>
    </row>
    <row r="56997" spans="2:2" s="221" customFormat="1" ht="12.75" x14ac:dyDescent="0.2">
      <c r="B56997" s="1168"/>
    </row>
    <row r="56998" spans="2:2" s="221" customFormat="1" ht="12.75" x14ac:dyDescent="0.2">
      <c r="B56998" s="1168"/>
    </row>
    <row r="56999" spans="2:2" s="221" customFormat="1" ht="12.75" x14ac:dyDescent="0.2">
      <c r="B56999" s="1168"/>
    </row>
    <row r="57000" spans="2:2" s="221" customFormat="1" ht="12.75" x14ac:dyDescent="0.2">
      <c r="B57000" s="1168"/>
    </row>
    <row r="57001" spans="2:2" s="221" customFormat="1" ht="12.75" x14ac:dyDescent="0.2">
      <c r="B57001" s="1168"/>
    </row>
    <row r="57002" spans="2:2" s="221" customFormat="1" ht="12.75" x14ac:dyDescent="0.2">
      <c r="B57002" s="1168"/>
    </row>
    <row r="57003" spans="2:2" s="221" customFormat="1" ht="12.75" x14ac:dyDescent="0.2">
      <c r="B57003" s="1168"/>
    </row>
    <row r="57004" spans="2:2" s="221" customFormat="1" ht="12.75" x14ac:dyDescent="0.2">
      <c r="B57004" s="1168"/>
    </row>
    <row r="57005" spans="2:2" s="221" customFormat="1" ht="12.75" x14ac:dyDescent="0.2">
      <c r="B57005" s="1168"/>
    </row>
    <row r="57006" spans="2:2" s="221" customFormat="1" ht="12.75" x14ac:dyDescent="0.2">
      <c r="B57006" s="1168"/>
    </row>
    <row r="57007" spans="2:2" s="221" customFormat="1" ht="12.75" x14ac:dyDescent="0.2">
      <c r="B57007" s="1168"/>
    </row>
    <row r="57008" spans="2:2" s="221" customFormat="1" ht="12.75" x14ac:dyDescent="0.2">
      <c r="B57008" s="1168"/>
    </row>
    <row r="57009" spans="2:2" s="221" customFormat="1" ht="12.75" x14ac:dyDescent="0.2">
      <c r="B57009" s="1168"/>
    </row>
    <row r="57010" spans="2:2" s="221" customFormat="1" ht="12.75" x14ac:dyDescent="0.2">
      <c r="B57010" s="1168"/>
    </row>
    <row r="57011" spans="2:2" s="221" customFormat="1" ht="12.75" x14ac:dyDescent="0.2">
      <c r="B57011" s="1168"/>
    </row>
    <row r="57012" spans="2:2" s="221" customFormat="1" ht="12.75" x14ac:dyDescent="0.2">
      <c r="B57012" s="1168"/>
    </row>
    <row r="57013" spans="2:2" s="221" customFormat="1" ht="12.75" x14ac:dyDescent="0.2">
      <c r="B57013" s="1168"/>
    </row>
    <row r="57014" spans="2:2" s="221" customFormat="1" ht="12.75" x14ac:dyDescent="0.2">
      <c r="B57014" s="1168"/>
    </row>
    <row r="57015" spans="2:2" s="221" customFormat="1" ht="12.75" x14ac:dyDescent="0.2">
      <c r="B57015" s="1168"/>
    </row>
    <row r="57016" spans="2:2" s="221" customFormat="1" ht="12.75" x14ac:dyDescent="0.2">
      <c r="B57016" s="1168"/>
    </row>
    <row r="57017" spans="2:2" s="221" customFormat="1" ht="12.75" x14ac:dyDescent="0.2">
      <c r="B57017" s="1168"/>
    </row>
    <row r="57018" spans="2:2" s="221" customFormat="1" ht="12.75" x14ac:dyDescent="0.2">
      <c r="B57018" s="1168"/>
    </row>
    <row r="57019" spans="2:2" s="221" customFormat="1" ht="12.75" x14ac:dyDescent="0.2">
      <c r="B57019" s="1168"/>
    </row>
    <row r="57020" spans="2:2" s="221" customFormat="1" ht="12.75" x14ac:dyDescent="0.2">
      <c r="B57020" s="1168"/>
    </row>
    <row r="57021" spans="2:2" s="221" customFormat="1" ht="12.75" x14ac:dyDescent="0.2">
      <c r="B57021" s="1168"/>
    </row>
    <row r="57022" spans="2:2" s="221" customFormat="1" ht="12.75" x14ac:dyDescent="0.2">
      <c r="B57022" s="1168"/>
    </row>
    <row r="57023" spans="2:2" s="221" customFormat="1" ht="12.75" x14ac:dyDescent="0.2">
      <c r="B57023" s="1168"/>
    </row>
    <row r="57024" spans="2:2" s="221" customFormat="1" ht="12.75" x14ac:dyDescent="0.2">
      <c r="B57024" s="1168"/>
    </row>
    <row r="57025" spans="2:2" s="221" customFormat="1" ht="12.75" x14ac:dyDescent="0.2">
      <c r="B57025" s="1168"/>
    </row>
    <row r="57026" spans="2:2" s="221" customFormat="1" ht="12.75" x14ac:dyDescent="0.2">
      <c r="B57026" s="1168"/>
    </row>
    <row r="57027" spans="2:2" s="221" customFormat="1" ht="12.75" x14ac:dyDescent="0.2">
      <c r="B57027" s="1168"/>
    </row>
    <row r="57028" spans="2:2" s="221" customFormat="1" ht="12.75" x14ac:dyDescent="0.2">
      <c r="B57028" s="1168"/>
    </row>
    <row r="57029" spans="2:2" s="221" customFormat="1" ht="12.75" x14ac:dyDescent="0.2">
      <c r="B57029" s="1168"/>
    </row>
    <row r="57030" spans="2:2" s="221" customFormat="1" ht="12.75" x14ac:dyDescent="0.2">
      <c r="B57030" s="1168"/>
    </row>
    <row r="57031" spans="2:2" s="221" customFormat="1" ht="12.75" x14ac:dyDescent="0.2">
      <c r="B57031" s="1168"/>
    </row>
    <row r="57032" spans="2:2" s="221" customFormat="1" ht="12.75" x14ac:dyDescent="0.2">
      <c r="B57032" s="1168"/>
    </row>
    <row r="57033" spans="2:2" s="221" customFormat="1" ht="12.75" x14ac:dyDescent="0.2">
      <c r="B57033" s="1168"/>
    </row>
    <row r="57034" spans="2:2" s="221" customFormat="1" ht="12.75" x14ac:dyDescent="0.2">
      <c r="B57034" s="1168"/>
    </row>
    <row r="57035" spans="2:2" s="221" customFormat="1" ht="12.75" x14ac:dyDescent="0.2">
      <c r="B57035" s="1168"/>
    </row>
    <row r="57036" spans="2:2" s="221" customFormat="1" ht="12.75" x14ac:dyDescent="0.2">
      <c r="B57036" s="1168"/>
    </row>
    <row r="57037" spans="2:2" s="221" customFormat="1" ht="12.75" x14ac:dyDescent="0.2">
      <c r="B57037" s="1168"/>
    </row>
    <row r="57038" spans="2:2" s="221" customFormat="1" ht="12.75" x14ac:dyDescent="0.2">
      <c r="B57038" s="1168"/>
    </row>
    <row r="57039" spans="2:2" s="221" customFormat="1" ht="12.75" x14ac:dyDescent="0.2">
      <c r="B57039" s="1168"/>
    </row>
    <row r="57040" spans="2:2" s="221" customFormat="1" ht="12.75" x14ac:dyDescent="0.2">
      <c r="B57040" s="1168"/>
    </row>
    <row r="57041" spans="2:2" s="221" customFormat="1" ht="12.75" x14ac:dyDescent="0.2">
      <c r="B57041" s="1168"/>
    </row>
    <row r="57042" spans="2:2" s="221" customFormat="1" ht="12.75" x14ac:dyDescent="0.2">
      <c r="B57042" s="1168"/>
    </row>
    <row r="57043" spans="2:2" s="221" customFormat="1" ht="12.75" x14ac:dyDescent="0.2">
      <c r="B57043" s="1168"/>
    </row>
    <row r="57044" spans="2:2" s="221" customFormat="1" ht="12.75" x14ac:dyDescent="0.2">
      <c r="B57044" s="1168"/>
    </row>
    <row r="57045" spans="2:2" s="221" customFormat="1" ht="12.75" x14ac:dyDescent="0.2">
      <c r="B57045" s="1168"/>
    </row>
    <row r="57046" spans="2:2" s="221" customFormat="1" ht="12.75" x14ac:dyDescent="0.2">
      <c r="B57046" s="1168"/>
    </row>
    <row r="57047" spans="2:2" s="221" customFormat="1" ht="12.75" x14ac:dyDescent="0.2">
      <c r="B57047" s="1168"/>
    </row>
    <row r="57048" spans="2:2" s="221" customFormat="1" ht="12.75" x14ac:dyDescent="0.2">
      <c r="B57048" s="1168"/>
    </row>
    <row r="57049" spans="2:2" s="221" customFormat="1" ht="12.75" x14ac:dyDescent="0.2">
      <c r="B57049" s="1168"/>
    </row>
    <row r="57050" spans="2:2" s="221" customFormat="1" ht="12.75" x14ac:dyDescent="0.2">
      <c r="B57050" s="1168"/>
    </row>
    <row r="57051" spans="2:2" s="221" customFormat="1" ht="12.75" x14ac:dyDescent="0.2">
      <c r="B57051" s="1168"/>
    </row>
    <row r="57052" spans="2:2" s="221" customFormat="1" ht="12.75" x14ac:dyDescent="0.2">
      <c r="B57052" s="1168"/>
    </row>
    <row r="57053" spans="2:2" s="221" customFormat="1" ht="12.75" x14ac:dyDescent="0.2">
      <c r="B57053" s="1168"/>
    </row>
    <row r="57054" spans="2:2" s="221" customFormat="1" ht="12.75" x14ac:dyDescent="0.2">
      <c r="B57054" s="1168"/>
    </row>
    <row r="57055" spans="2:2" s="221" customFormat="1" ht="12.75" x14ac:dyDescent="0.2">
      <c r="B57055" s="1168"/>
    </row>
    <row r="57056" spans="2:2" s="221" customFormat="1" ht="12.75" x14ac:dyDescent="0.2">
      <c r="B57056" s="1168"/>
    </row>
    <row r="57057" spans="2:2" s="221" customFormat="1" ht="12.75" x14ac:dyDescent="0.2">
      <c r="B57057" s="1168"/>
    </row>
    <row r="57058" spans="2:2" s="221" customFormat="1" ht="12.75" x14ac:dyDescent="0.2">
      <c r="B57058" s="1168"/>
    </row>
    <row r="57059" spans="2:2" s="221" customFormat="1" ht="12.75" x14ac:dyDescent="0.2">
      <c r="B57059" s="1168"/>
    </row>
    <row r="57060" spans="2:2" s="221" customFormat="1" ht="12.75" x14ac:dyDescent="0.2">
      <c r="B57060" s="1168"/>
    </row>
    <row r="57061" spans="2:2" s="221" customFormat="1" ht="12.75" x14ac:dyDescent="0.2">
      <c r="B57061" s="1168"/>
    </row>
    <row r="57062" spans="2:2" s="221" customFormat="1" ht="12.75" x14ac:dyDescent="0.2">
      <c r="B57062" s="1168"/>
    </row>
    <row r="57063" spans="2:2" s="221" customFormat="1" ht="12.75" x14ac:dyDescent="0.2">
      <c r="B57063" s="1168"/>
    </row>
    <row r="57064" spans="2:2" s="221" customFormat="1" ht="12.75" x14ac:dyDescent="0.2">
      <c r="B57064" s="1168"/>
    </row>
    <row r="57065" spans="2:2" s="221" customFormat="1" ht="12.75" x14ac:dyDescent="0.2">
      <c r="B57065" s="1168"/>
    </row>
    <row r="57066" spans="2:2" s="221" customFormat="1" ht="12.75" x14ac:dyDescent="0.2">
      <c r="B57066" s="1168"/>
    </row>
    <row r="57067" spans="2:2" s="221" customFormat="1" ht="12.75" x14ac:dyDescent="0.2">
      <c r="B57067" s="1168"/>
    </row>
    <row r="57068" spans="2:2" s="221" customFormat="1" ht="12.75" x14ac:dyDescent="0.2">
      <c r="B57068" s="1168"/>
    </row>
    <row r="57069" spans="2:2" s="221" customFormat="1" ht="12.75" x14ac:dyDescent="0.2">
      <c r="B57069" s="1168"/>
    </row>
    <row r="57070" spans="2:2" s="221" customFormat="1" ht="12.75" x14ac:dyDescent="0.2">
      <c r="B57070" s="1168"/>
    </row>
    <row r="57071" spans="2:2" s="221" customFormat="1" ht="12.75" x14ac:dyDescent="0.2">
      <c r="B57071" s="1168"/>
    </row>
    <row r="57072" spans="2:2" s="221" customFormat="1" ht="12.75" x14ac:dyDescent="0.2">
      <c r="B57072" s="1168"/>
    </row>
    <row r="57073" spans="2:2" s="221" customFormat="1" ht="12.75" x14ac:dyDescent="0.2">
      <c r="B57073" s="1168"/>
    </row>
    <row r="57074" spans="2:2" s="221" customFormat="1" ht="12.75" x14ac:dyDescent="0.2">
      <c r="B57074" s="1168"/>
    </row>
    <row r="57075" spans="2:2" s="221" customFormat="1" ht="12.75" x14ac:dyDescent="0.2">
      <c r="B57075" s="1168"/>
    </row>
    <row r="57076" spans="2:2" s="221" customFormat="1" ht="12.75" x14ac:dyDescent="0.2">
      <c r="B57076" s="1168"/>
    </row>
    <row r="57077" spans="2:2" s="221" customFormat="1" ht="12.75" x14ac:dyDescent="0.2">
      <c r="B57077" s="1168"/>
    </row>
    <row r="57078" spans="2:2" s="221" customFormat="1" ht="12.75" x14ac:dyDescent="0.2">
      <c r="B57078" s="1168"/>
    </row>
    <row r="57079" spans="2:2" s="221" customFormat="1" ht="12.75" x14ac:dyDescent="0.2">
      <c r="B57079" s="1168"/>
    </row>
    <row r="57080" spans="2:2" s="221" customFormat="1" ht="12.75" x14ac:dyDescent="0.2">
      <c r="B57080" s="1168"/>
    </row>
    <row r="57081" spans="2:2" s="221" customFormat="1" ht="12.75" x14ac:dyDescent="0.2">
      <c r="B57081" s="1168"/>
    </row>
    <row r="57082" spans="2:2" s="221" customFormat="1" ht="12.75" x14ac:dyDescent="0.2">
      <c r="B57082" s="1168"/>
    </row>
    <row r="57083" spans="2:2" s="221" customFormat="1" ht="12.75" x14ac:dyDescent="0.2">
      <c r="B57083" s="1168"/>
    </row>
    <row r="57084" spans="2:2" s="221" customFormat="1" ht="12.75" x14ac:dyDescent="0.2">
      <c r="B57084" s="1168"/>
    </row>
    <row r="57085" spans="2:2" s="221" customFormat="1" ht="12.75" x14ac:dyDescent="0.2">
      <c r="B57085" s="1168"/>
    </row>
    <row r="57086" spans="2:2" s="221" customFormat="1" ht="12.75" x14ac:dyDescent="0.2">
      <c r="B57086" s="1168"/>
    </row>
    <row r="57087" spans="2:2" s="221" customFormat="1" ht="12.75" x14ac:dyDescent="0.2">
      <c r="B57087" s="1168"/>
    </row>
    <row r="57088" spans="2:2" s="221" customFormat="1" ht="12.75" x14ac:dyDescent="0.2">
      <c r="B57088" s="1168"/>
    </row>
    <row r="57089" spans="2:2" s="221" customFormat="1" ht="12.75" x14ac:dyDescent="0.2">
      <c r="B57089" s="1168"/>
    </row>
    <row r="57090" spans="2:2" s="221" customFormat="1" ht="12.75" x14ac:dyDescent="0.2">
      <c r="B57090" s="1168"/>
    </row>
    <row r="57091" spans="2:2" s="221" customFormat="1" ht="12.75" x14ac:dyDescent="0.2">
      <c r="B57091" s="1168"/>
    </row>
    <row r="57092" spans="2:2" s="221" customFormat="1" ht="12.75" x14ac:dyDescent="0.2">
      <c r="B57092" s="1168"/>
    </row>
    <row r="57093" spans="2:2" s="221" customFormat="1" ht="12.75" x14ac:dyDescent="0.2">
      <c r="B57093" s="1168"/>
    </row>
    <row r="57094" spans="2:2" s="221" customFormat="1" ht="12.75" x14ac:dyDescent="0.2">
      <c r="B57094" s="1168"/>
    </row>
    <row r="57095" spans="2:2" s="221" customFormat="1" ht="12.75" x14ac:dyDescent="0.2">
      <c r="B57095" s="1168"/>
    </row>
    <row r="57096" spans="2:2" s="221" customFormat="1" ht="12.75" x14ac:dyDescent="0.2">
      <c r="B57096" s="1168"/>
    </row>
    <row r="57097" spans="2:2" s="221" customFormat="1" ht="12.75" x14ac:dyDescent="0.2">
      <c r="B57097" s="1168"/>
    </row>
    <row r="57098" spans="2:2" s="221" customFormat="1" ht="12.75" x14ac:dyDescent="0.2">
      <c r="B57098" s="1168"/>
    </row>
    <row r="57099" spans="2:2" s="221" customFormat="1" ht="12.75" x14ac:dyDescent="0.2">
      <c r="B57099" s="1168"/>
    </row>
    <row r="57100" spans="2:2" s="221" customFormat="1" ht="12.75" x14ac:dyDescent="0.2">
      <c r="B57100" s="1168"/>
    </row>
    <row r="57101" spans="2:2" s="221" customFormat="1" ht="12.75" x14ac:dyDescent="0.2">
      <c r="B57101" s="1168"/>
    </row>
    <row r="57102" spans="2:2" s="221" customFormat="1" ht="12.75" x14ac:dyDescent="0.2">
      <c r="B57102" s="1168"/>
    </row>
    <row r="57103" spans="2:2" s="221" customFormat="1" ht="12.75" x14ac:dyDescent="0.2">
      <c r="B57103" s="1168"/>
    </row>
    <row r="57104" spans="2:2" s="221" customFormat="1" ht="12.75" x14ac:dyDescent="0.2">
      <c r="B57104" s="1168"/>
    </row>
    <row r="57105" spans="2:2" s="221" customFormat="1" ht="12.75" x14ac:dyDescent="0.2">
      <c r="B57105" s="1168"/>
    </row>
    <row r="57106" spans="2:2" s="221" customFormat="1" ht="12.75" x14ac:dyDescent="0.2">
      <c r="B57106" s="1168"/>
    </row>
    <row r="57107" spans="2:2" s="221" customFormat="1" ht="12.75" x14ac:dyDescent="0.2">
      <c r="B57107" s="1168"/>
    </row>
    <row r="57108" spans="2:2" s="221" customFormat="1" ht="12.75" x14ac:dyDescent="0.2">
      <c r="B57108" s="1168"/>
    </row>
    <row r="57109" spans="2:2" s="221" customFormat="1" ht="12.75" x14ac:dyDescent="0.2">
      <c r="B57109" s="1168"/>
    </row>
    <row r="57110" spans="2:2" s="221" customFormat="1" ht="12.75" x14ac:dyDescent="0.2">
      <c r="B57110" s="1168"/>
    </row>
    <row r="57111" spans="2:2" s="221" customFormat="1" ht="12.75" x14ac:dyDescent="0.2">
      <c r="B57111" s="1168"/>
    </row>
    <row r="57112" spans="2:2" s="221" customFormat="1" ht="12.75" x14ac:dyDescent="0.2">
      <c r="B57112" s="1168"/>
    </row>
    <row r="57113" spans="2:2" s="221" customFormat="1" ht="12.75" x14ac:dyDescent="0.2">
      <c r="B57113" s="1168"/>
    </row>
    <row r="57114" spans="2:2" s="221" customFormat="1" ht="12.75" x14ac:dyDescent="0.2">
      <c r="B57114" s="1168"/>
    </row>
    <row r="57115" spans="2:2" s="221" customFormat="1" ht="12.75" x14ac:dyDescent="0.2">
      <c r="B57115" s="1168"/>
    </row>
    <row r="57116" spans="2:2" s="221" customFormat="1" ht="12.75" x14ac:dyDescent="0.2">
      <c r="B57116" s="1168"/>
    </row>
    <row r="57117" spans="2:2" s="221" customFormat="1" ht="12.75" x14ac:dyDescent="0.2">
      <c r="B57117" s="1168"/>
    </row>
    <row r="57118" spans="2:2" s="221" customFormat="1" ht="12.75" x14ac:dyDescent="0.2">
      <c r="B57118" s="1168"/>
    </row>
    <row r="57119" spans="2:2" s="221" customFormat="1" ht="12.75" x14ac:dyDescent="0.2">
      <c r="B57119" s="1168"/>
    </row>
    <row r="57120" spans="2:2" s="221" customFormat="1" ht="12.75" x14ac:dyDescent="0.2">
      <c r="B57120" s="1168"/>
    </row>
    <row r="57121" spans="2:2" s="221" customFormat="1" ht="12.75" x14ac:dyDescent="0.2">
      <c r="B57121" s="1168"/>
    </row>
    <row r="57122" spans="2:2" s="221" customFormat="1" ht="12.75" x14ac:dyDescent="0.2">
      <c r="B57122" s="1168"/>
    </row>
    <row r="57123" spans="2:2" s="221" customFormat="1" ht="12.75" x14ac:dyDescent="0.2">
      <c r="B57123" s="1168"/>
    </row>
    <row r="57124" spans="2:2" s="221" customFormat="1" ht="12.75" x14ac:dyDescent="0.2">
      <c r="B57124" s="1168"/>
    </row>
    <row r="57125" spans="2:2" s="221" customFormat="1" ht="12.75" x14ac:dyDescent="0.2">
      <c r="B57125" s="1168"/>
    </row>
    <row r="57126" spans="2:2" s="221" customFormat="1" ht="12.75" x14ac:dyDescent="0.2">
      <c r="B57126" s="1168"/>
    </row>
    <row r="57127" spans="2:2" s="221" customFormat="1" ht="12.75" x14ac:dyDescent="0.2">
      <c r="B57127" s="1168"/>
    </row>
    <row r="57128" spans="2:2" s="221" customFormat="1" ht="12.75" x14ac:dyDescent="0.2">
      <c r="B57128" s="1168"/>
    </row>
    <row r="57129" spans="2:2" s="221" customFormat="1" ht="12.75" x14ac:dyDescent="0.2">
      <c r="B57129" s="1168"/>
    </row>
    <row r="57130" spans="2:2" s="221" customFormat="1" ht="12.75" x14ac:dyDescent="0.2">
      <c r="B57130" s="1168"/>
    </row>
    <row r="57131" spans="2:2" s="221" customFormat="1" ht="12.75" x14ac:dyDescent="0.2">
      <c r="B57131" s="1168"/>
    </row>
    <row r="57132" spans="2:2" s="221" customFormat="1" ht="12.75" x14ac:dyDescent="0.2">
      <c r="B57132" s="1168"/>
    </row>
    <row r="57133" spans="2:2" s="221" customFormat="1" ht="12.75" x14ac:dyDescent="0.2">
      <c r="B57133" s="1168"/>
    </row>
    <row r="57134" spans="2:2" s="221" customFormat="1" ht="12.75" x14ac:dyDescent="0.2">
      <c r="B57134" s="1168"/>
    </row>
    <row r="57135" spans="2:2" s="221" customFormat="1" ht="12.75" x14ac:dyDescent="0.2">
      <c r="B57135" s="1168"/>
    </row>
    <row r="57136" spans="2:2" s="221" customFormat="1" ht="12.75" x14ac:dyDescent="0.2">
      <c r="B57136" s="1168"/>
    </row>
    <row r="57137" spans="2:2" s="221" customFormat="1" ht="12.75" x14ac:dyDescent="0.2">
      <c r="B57137" s="1168"/>
    </row>
    <row r="57138" spans="2:2" s="221" customFormat="1" ht="12.75" x14ac:dyDescent="0.2">
      <c r="B57138" s="1168"/>
    </row>
    <row r="57139" spans="2:2" s="221" customFormat="1" ht="12.75" x14ac:dyDescent="0.2">
      <c r="B57139" s="1168"/>
    </row>
    <row r="57140" spans="2:2" s="221" customFormat="1" ht="12.75" x14ac:dyDescent="0.2">
      <c r="B57140" s="1168"/>
    </row>
    <row r="57141" spans="2:2" s="221" customFormat="1" ht="12.75" x14ac:dyDescent="0.2">
      <c r="B57141" s="1168"/>
    </row>
    <row r="57142" spans="2:2" s="221" customFormat="1" ht="12.75" x14ac:dyDescent="0.2">
      <c r="B57142" s="1168"/>
    </row>
    <row r="57143" spans="2:2" s="221" customFormat="1" ht="12.75" x14ac:dyDescent="0.2">
      <c r="B57143" s="1168"/>
    </row>
    <row r="57144" spans="2:2" s="221" customFormat="1" ht="12.75" x14ac:dyDescent="0.2">
      <c r="B57144" s="1168"/>
    </row>
    <row r="57145" spans="2:2" s="221" customFormat="1" ht="12.75" x14ac:dyDescent="0.2">
      <c r="B57145" s="1168"/>
    </row>
    <row r="57146" spans="2:2" s="221" customFormat="1" ht="12.75" x14ac:dyDescent="0.2">
      <c r="B57146" s="1168"/>
    </row>
    <row r="57147" spans="2:2" s="221" customFormat="1" ht="12.75" x14ac:dyDescent="0.2">
      <c r="B57147" s="1168"/>
    </row>
    <row r="57148" spans="2:2" s="221" customFormat="1" ht="12.75" x14ac:dyDescent="0.2">
      <c r="B57148" s="1168"/>
    </row>
    <row r="57149" spans="2:2" s="221" customFormat="1" ht="12.75" x14ac:dyDescent="0.2">
      <c r="B57149" s="1168"/>
    </row>
    <row r="57150" spans="2:2" s="221" customFormat="1" ht="12.75" x14ac:dyDescent="0.2">
      <c r="B57150" s="1168"/>
    </row>
    <row r="57151" spans="2:2" s="221" customFormat="1" ht="12.75" x14ac:dyDescent="0.2">
      <c r="B57151" s="1168"/>
    </row>
    <row r="57152" spans="2:2" s="221" customFormat="1" ht="12.75" x14ac:dyDescent="0.2">
      <c r="B57152" s="1168"/>
    </row>
    <row r="57153" spans="2:2" s="221" customFormat="1" ht="12.75" x14ac:dyDescent="0.2">
      <c r="B57153" s="1168"/>
    </row>
    <row r="57154" spans="2:2" s="221" customFormat="1" ht="12.75" x14ac:dyDescent="0.2">
      <c r="B57154" s="1168"/>
    </row>
    <row r="57155" spans="2:2" s="221" customFormat="1" ht="12.75" x14ac:dyDescent="0.2">
      <c r="B57155" s="1168"/>
    </row>
    <row r="57156" spans="2:2" s="221" customFormat="1" ht="12.75" x14ac:dyDescent="0.2">
      <c r="B57156" s="1168"/>
    </row>
    <row r="57157" spans="2:2" s="221" customFormat="1" ht="12.75" x14ac:dyDescent="0.2">
      <c r="B57157" s="1168"/>
    </row>
    <row r="57158" spans="2:2" s="221" customFormat="1" ht="12.75" x14ac:dyDescent="0.2">
      <c r="B57158" s="1168"/>
    </row>
    <row r="57159" spans="2:2" s="221" customFormat="1" ht="12.75" x14ac:dyDescent="0.2">
      <c r="B57159" s="1168"/>
    </row>
    <row r="57160" spans="2:2" s="221" customFormat="1" ht="12.75" x14ac:dyDescent="0.2">
      <c r="B57160" s="1168"/>
    </row>
    <row r="57161" spans="2:2" s="221" customFormat="1" ht="12.75" x14ac:dyDescent="0.2">
      <c r="B57161" s="1168"/>
    </row>
    <row r="57162" spans="2:2" s="221" customFormat="1" ht="12.75" x14ac:dyDescent="0.2">
      <c r="B57162" s="1168"/>
    </row>
    <row r="57163" spans="2:2" s="221" customFormat="1" ht="12.75" x14ac:dyDescent="0.2">
      <c r="B57163" s="1168"/>
    </row>
    <row r="57164" spans="2:2" s="221" customFormat="1" ht="12.75" x14ac:dyDescent="0.2">
      <c r="B57164" s="1168"/>
    </row>
    <row r="57165" spans="2:2" s="221" customFormat="1" ht="12.75" x14ac:dyDescent="0.2">
      <c r="B57165" s="1168"/>
    </row>
    <row r="57166" spans="2:2" s="221" customFormat="1" ht="12.75" x14ac:dyDescent="0.2">
      <c r="B57166" s="1168"/>
    </row>
    <row r="57167" spans="2:2" s="221" customFormat="1" ht="12.75" x14ac:dyDescent="0.2">
      <c r="B57167" s="1168"/>
    </row>
    <row r="57168" spans="2:2" s="221" customFormat="1" ht="12.75" x14ac:dyDescent="0.2">
      <c r="B57168" s="1168"/>
    </row>
    <row r="57169" spans="2:2" s="221" customFormat="1" ht="12.75" x14ac:dyDescent="0.2">
      <c r="B57169" s="1168"/>
    </row>
    <row r="57170" spans="2:2" s="221" customFormat="1" ht="12.75" x14ac:dyDescent="0.2">
      <c r="B57170" s="1168"/>
    </row>
    <row r="57171" spans="2:2" s="221" customFormat="1" ht="12.75" x14ac:dyDescent="0.2">
      <c r="B57171" s="1168"/>
    </row>
    <row r="57172" spans="2:2" s="221" customFormat="1" ht="12.75" x14ac:dyDescent="0.2">
      <c r="B57172" s="1168"/>
    </row>
    <row r="57173" spans="2:2" s="221" customFormat="1" ht="12.75" x14ac:dyDescent="0.2">
      <c r="B57173" s="1168"/>
    </row>
    <row r="57174" spans="2:2" s="221" customFormat="1" ht="12.75" x14ac:dyDescent="0.2">
      <c r="B57174" s="1168"/>
    </row>
    <row r="57175" spans="2:2" s="221" customFormat="1" ht="12.75" x14ac:dyDescent="0.2">
      <c r="B57175" s="1168"/>
    </row>
    <row r="57176" spans="2:2" s="221" customFormat="1" ht="12.75" x14ac:dyDescent="0.2">
      <c r="B57176" s="1168"/>
    </row>
    <row r="57177" spans="2:2" s="221" customFormat="1" ht="12.75" x14ac:dyDescent="0.2">
      <c r="B57177" s="1168"/>
    </row>
    <row r="57178" spans="2:2" s="221" customFormat="1" ht="12.75" x14ac:dyDescent="0.2">
      <c r="B57178" s="1168"/>
    </row>
    <row r="57179" spans="2:2" s="221" customFormat="1" ht="12.75" x14ac:dyDescent="0.2">
      <c r="B57179" s="1168"/>
    </row>
    <row r="57180" spans="2:2" s="221" customFormat="1" ht="12.75" x14ac:dyDescent="0.2">
      <c r="B57180" s="1168"/>
    </row>
    <row r="57181" spans="2:2" s="221" customFormat="1" ht="12.75" x14ac:dyDescent="0.2">
      <c r="B57181" s="1168"/>
    </row>
    <row r="57182" spans="2:2" s="221" customFormat="1" ht="12.75" x14ac:dyDescent="0.2">
      <c r="B57182" s="1168"/>
    </row>
    <row r="57183" spans="2:2" s="221" customFormat="1" ht="12.75" x14ac:dyDescent="0.2">
      <c r="B57183" s="1168"/>
    </row>
    <row r="57184" spans="2:2" s="221" customFormat="1" ht="12.75" x14ac:dyDescent="0.2">
      <c r="B57184" s="1168"/>
    </row>
    <row r="57185" spans="2:2" s="221" customFormat="1" ht="12.75" x14ac:dyDescent="0.2">
      <c r="B57185" s="1168"/>
    </row>
    <row r="57186" spans="2:2" s="221" customFormat="1" ht="12.75" x14ac:dyDescent="0.2">
      <c r="B57186" s="1168"/>
    </row>
    <row r="57187" spans="2:2" s="221" customFormat="1" ht="12.75" x14ac:dyDescent="0.2">
      <c r="B57187" s="1168"/>
    </row>
    <row r="57188" spans="2:2" s="221" customFormat="1" ht="12.75" x14ac:dyDescent="0.2">
      <c r="B57188" s="1168"/>
    </row>
    <row r="57189" spans="2:2" s="221" customFormat="1" ht="12.75" x14ac:dyDescent="0.2">
      <c r="B57189" s="1168"/>
    </row>
    <row r="57190" spans="2:2" s="221" customFormat="1" ht="12.75" x14ac:dyDescent="0.2">
      <c r="B57190" s="1168"/>
    </row>
    <row r="57191" spans="2:2" s="221" customFormat="1" ht="12.75" x14ac:dyDescent="0.2">
      <c r="B57191" s="1168"/>
    </row>
    <row r="57192" spans="2:2" s="221" customFormat="1" ht="12.75" x14ac:dyDescent="0.2">
      <c r="B57192" s="1168"/>
    </row>
    <row r="57193" spans="2:2" s="221" customFormat="1" ht="12.75" x14ac:dyDescent="0.2">
      <c r="B57193" s="1168"/>
    </row>
    <row r="57194" spans="2:2" s="221" customFormat="1" ht="12.75" x14ac:dyDescent="0.2">
      <c r="B57194" s="1168"/>
    </row>
    <row r="57195" spans="2:2" s="221" customFormat="1" ht="12.75" x14ac:dyDescent="0.2">
      <c r="B57195" s="1168"/>
    </row>
    <row r="57196" spans="2:2" s="221" customFormat="1" ht="12.75" x14ac:dyDescent="0.2">
      <c r="B57196" s="1168"/>
    </row>
    <row r="57197" spans="2:2" s="221" customFormat="1" ht="12.75" x14ac:dyDescent="0.2">
      <c r="B57197" s="1168"/>
    </row>
    <row r="57198" spans="2:2" s="221" customFormat="1" ht="12.75" x14ac:dyDescent="0.2">
      <c r="B57198" s="1168"/>
    </row>
    <row r="57199" spans="2:2" s="221" customFormat="1" ht="12.75" x14ac:dyDescent="0.2">
      <c r="B57199" s="1168"/>
    </row>
    <row r="57200" spans="2:2" s="221" customFormat="1" ht="12.75" x14ac:dyDescent="0.2">
      <c r="B57200" s="1168"/>
    </row>
    <row r="57201" spans="2:2" s="221" customFormat="1" ht="12.75" x14ac:dyDescent="0.2">
      <c r="B57201" s="1168"/>
    </row>
    <row r="57202" spans="2:2" s="221" customFormat="1" ht="12.75" x14ac:dyDescent="0.2">
      <c r="B57202" s="1168"/>
    </row>
    <row r="57203" spans="2:2" s="221" customFormat="1" ht="12.75" x14ac:dyDescent="0.2">
      <c r="B57203" s="1168"/>
    </row>
    <row r="57204" spans="2:2" s="221" customFormat="1" ht="12.75" x14ac:dyDescent="0.2">
      <c r="B57204" s="1168"/>
    </row>
    <row r="57205" spans="2:2" s="221" customFormat="1" ht="12.75" x14ac:dyDescent="0.2">
      <c r="B57205" s="1168"/>
    </row>
    <row r="57206" spans="2:2" s="221" customFormat="1" ht="12.75" x14ac:dyDescent="0.2">
      <c r="B57206" s="1168"/>
    </row>
    <row r="57207" spans="2:2" s="221" customFormat="1" ht="12.75" x14ac:dyDescent="0.2">
      <c r="B57207" s="1168"/>
    </row>
    <row r="57208" spans="2:2" s="221" customFormat="1" ht="12.75" x14ac:dyDescent="0.2">
      <c r="B57208" s="1168"/>
    </row>
    <row r="57209" spans="2:2" s="221" customFormat="1" ht="12.75" x14ac:dyDescent="0.2">
      <c r="B57209" s="1168"/>
    </row>
    <row r="57210" spans="2:2" s="221" customFormat="1" ht="12.75" x14ac:dyDescent="0.2">
      <c r="B57210" s="1168"/>
    </row>
    <row r="57211" spans="2:2" s="221" customFormat="1" ht="12.75" x14ac:dyDescent="0.2">
      <c r="B57211" s="1168"/>
    </row>
    <row r="57212" spans="2:2" s="221" customFormat="1" ht="12.75" x14ac:dyDescent="0.2">
      <c r="B57212" s="1168"/>
    </row>
    <row r="57213" spans="2:2" s="221" customFormat="1" ht="12.75" x14ac:dyDescent="0.2">
      <c r="B57213" s="1168"/>
    </row>
    <row r="57214" spans="2:2" s="221" customFormat="1" ht="12.75" x14ac:dyDescent="0.2">
      <c r="B57214" s="1168"/>
    </row>
    <row r="57215" spans="2:2" s="221" customFormat="1" ht="12.75" x14ac:dyDescent="0.2">
      <c r="B57215" s="1168"/>
    </row>
    <row r="57216" spans="2:2" s="221" customFormat="1" ht="12.75" x14ac:dyDescent="0.2">
      <c r="B57216" s="1168"/>
    </row>
    <row r="57217" spans="2:2" s="221" customFormat="1" ht="12.75" x14ac:dyDescent="0.2">
      <c r="B57217" s="1168"/>
    </row>
    <row r="57218" spans="2:2" s="221" customFormat="1" ht="12.75" x14ac:dyDescent="0.2">
      <c r="B57218" s="1168"/>
    </row>
    <row r="57219" spans="2:2" s="221" customFormat="1" ht="12.75" x14ac:dyDescent="0.2">
      <c r="B57219" s="1168"/>
    </row>
    <row r="57220" spans="2:2" s="221" customFormat="1" ht="12.75" x14ac:dyDescent="0.2">
      <c r="B57220" s="1168"/>
    </row>
    <row r="57221" spans="2:2" s="221" customFormat="1" ht="12.75" x14ac:dyDescent="0.2">
      <c r="B57221" s="1168"/>
    </row>
    <row r="57222" spans="2:2" s="221" customFormat="1" ht="12.75" x14ac:dyDescent="0.2">
      <c r="B57222" s="1168"/>
    </row>
    <row r="57223" spans="2:2" s="221" customFormat="1" ht="12.75" x14ac:dyDescent="0.2">
      <c r="B57223" s="1168"/>
    </row>
    <row r="57224" spans="2:2" s="221" customFormat="1" ht="12.75" x14ac:dyDescent="0.2">
      <c r="B57224" s="1168"/>
    </row>
    <row r="57225" spans="2:2" s="221" customFormat="1" ht="12.75" x14ac:dyDescent="0.2">
      <c r="B57225" s="1168"/>
    </row>
    <row r="57226" spans="2:2" s="221" customFormat="1" ht="12.75" x14ac:dyDescent="0.2">
      <c r="B57226" s="1168"/>
    </row>
    <row r="57227" spans="2:2" s="221" customFormat="1" ht="12.75" x14ac:dyDescent="0.2">
      <c r="B57227" s="1168"/>
    </row>
    <row r="57228" spans="2:2" s="221" customFormat="1" ht="12.75" x14ac:dyDescent="0.2">
      <c r="B57228" s="1168"/>
    </row>
    <row r="57229" spans="2:2" s="221" customFormat="1" ht="12.75" x14ac:dyDescent="0.2">
      <c r="B57229" s="1168"/>
    </row>
    <row r="57230" spans="2:2" s="221" customFormat="1" ht="12.75" x14ac:dyDescent="0.2">
      <c r="B57230" s="1168"/>
    </row>
    <row r="57231" spans="2:2" s="221" customFormat="1" ht="12.75" x14ac:dyDescent="0.2">
      <c r="B57231" s="1168"/>
    </row>
    <row r="57232" spans="2:2" s="221" customFormat="1" ht="12.75" x14ac:dyDescent="0.2">
      <c r="B57232" s="1168"/>
    </row>
    <row r="57233" spans="2:2" s="221" customFormat="1" ht="12.75" x14ac:dyDescent="0.2">
      <c r="B57233" s="1168"/>
    </row>
    <row r="57234" spans="2:2" s="221" customFormat="1" ht="12.75" x14ac:dyDescent="0.2">
      <c r="B57234" s="1168"/>
    </row>
    <row r="57235" spans="2:2" s="221" customFormat="1" ht="12.75" x14ac:dyDescent="0.2">
      <c r="B57235" s="1168"/>
    </row>
    <row r="57236" spans="2:2" s="221" customFormat="1" ht="12.75" x14ac:dyDescent="0.2">
      <c r="B57236" s="1168"/>
    </row>
    <row r="57237" spans="2:2" s="221" customFormat="1" ht="12.75" x14ac:dyDescent="0.2">
      <c r="B57237" s="1168"/>
    </row>
    <row r="57238" spans="2:2" s="221" customFormat="1" ht="12.75" x14ac:dyDescent="0.2">
      <c r="B57238" s="1168"/>
    </row>
    <row r="57239" spans="2:2" s="221" customFormat="1" ht="12.75" x14ac:dyDescent="0.2">
      <c r="B57239" s="1168"/>
    </row>
    <row r="57240" spans="2:2" s="221" customFormat="1" ht="12.75" x14ac:dyDescent="0.2">
      <c r="B57240" s="1168"/>
    </row>
    <row r="57241" spans="2:2" s="221" customFormat="1" ht="12.75" x14ac:dyDescent="0.2">
      <c r="B57241" s="1168"/>
    </row>
    <row r="57242" spans="2:2" s="221" customFormat="1" ht="12.75" x14ac:dyDescent="0.2">
      <c r="B57242" s="1168"/>
    </row>
    <row r="57243" spans="2:2" s="221" customFormat="1" ht="12.75" x14ac:dyDescent="0.2">
      <c r="B57243" s="1168"/>
    </row>
    <row r="57244" spans="2:2" s="221" customFormat="1" ht="12.75" x14ac:dyDescent="0.2">
      <c r="B57244" s="1168"/>
    </row>
    <row r="57245" spans="2:2" s="221" customFormat="1" ht="12.75" x14ac:dyDescent="0.2">
      <c r="B57245" s="1168"/>
    </row>
    <row r="57246" spans="2:2" s="221" customFormat="1" ht="12.75" x14ac:dyDescent="0.2">
      <c r="B57246" s="1168"/>
    </row>
    <row r="57247" spans="2:2" s="221" customFormat="1" ht="12.75" x14ac:dyDescent="0.2">
      <c r="B57247" s="1168"/>
    </row>
    <row r="57248" spans="2:2" s="221" customFormat="1" ht="12.75" x14ac:dyDescent="0.2">
      <c r="B57248" s="1168"/>
    </row>
    <row r="57249" spans="2:2" s="221" customFormat="1" ht="12.75" x14ac:dyDescent="0.2">
      <c r="B57249" s="1168"/>
    </row>
    <row r="57250" spans="2:2" s="221" customFormat="1" ht="12.75" x14ac:dyDescent="0.2">
      <c r="B57250" s="1168"/>
    </row>
    <row r="57251" spans="2:2" s="221" customFormat="1" ht="12.75" x14ac:dyDescent="0.2">
      <c r="B57251" s="1168"/>
    </row>
    <row r="57252" spans="2:2" s="221" customFormat="1" ht="12.75" x14ac:dyDescent="0.2">
      <c r="B57252" s="1168"/>
    </row>
    <row r="57253" spans="2:2" s="221" customFormat="1" ht="12.75" x14ac:dyDescent="0.2">
      <c r="B57253" s="1168"/>
    </row>
    <row r="57254" spans="2:2" s="221" customFormat="1" ht="12.75" x14ac:dyDescent="0.2">
      <c r="B57254" s="1168"/>
    </row>
    <row r="57255" spans="2:2" s="221" customFormat="1" ht="12.75" x14ac:dyDescent="0.2">
      <c r="B57255" s="1168"/>
    </row>
    <row r="57256" spans="2:2" s="221" customFormat="1" ht="12.75" x14ac:dyDescent="0.2">
      <c r="B57256" s="1168"/>
    </row>
    <row r="57257" spans="2:2" s="221" customFormat="1" ht="12.75" x14ac:dyDescent="0.2">
      <c r="B57257" s="1168"/>
    </row>
    <row r="57258" spans="2:2" s="221" customFormat="1" ht="12.75" x14ac:dyDescent="0.2">
      <c r="B57258" s="1168"/>
    </row>
    <row r="57259" spans="2:2" s="221" customFormat="1" ht="12.75" x14ac:dyDescent="0.2">
      <c r="B57259" s="1168"/>
    </row>
    <row r="57260" spans="2:2" s="221" customFormat="1" ht="12.75" x14ac:dyDescent="0.2">
      <c r="B57260" s="1168"/>
    </row>
    <row r="57261" spans="2:2" s="221" customFormat="1" ht="12.75" x14ac:dyDescent="0.2">
      <c r="B57261" s="1168"/>
    </row>
    <row r="57262" spans="2:2" s="221" customFormat="1" ht="12.75" x14ac:dyDescent="0.2">
      <c r="B57262" s="1168"/>
    </row>
    <row r="57263" spans="2:2" s="221" customFormat="1" ht="12.75" x14ac:dyDescent="0.2">
      <c r="B57263" s="1168"/>
    </row>
    <row r="57264" spans="2:2" s="221" customFormat="1" ht="12.75" x14ac:dyDescent="0.2">
      <c r="B57264" s="1168"/>
    </row>
    <row r="57265" spans="2:2" s="221" customFormat="1" ht="12.75" x14ac:dyDescent="0.2">
      <c r="B57265" s="1168"/>
    </row>
    <row r="57266" spans="2:2" s="221" customFormat="1" ht="12.75" x14ac:dyDescent="0.2">
      <c r="B57266" s="1168"/>
    </row>
    <row r="57267" spans="2:2" s="221" customFormat="1" ht="12.75" x14ac:dyDescent="0.2">
      <c r="B57267" s="1168"/>
    </row>
    <row r="57268" spans="2:2" s="221" customFormat="1" ht="12.75" x14ac:dyDescent="0.2">
      <c r="B57268" s="1168"/>
    </row>
    <row r="57269" spans="2:2" s="221" customFormat="1" ht="12.75" x14ac:dyDescent="0.2">
      <c r="B57269" s="1168"/>
    </row>
    <row r="57270" spans="2:2" s="221" customFormat="1" ht="12.75" x14ac:dyDescent="0.2">
      <c r="B57270" s="1168"/>
    </row>
    <row r="57271" spans="2:2" s="221" customFormat="1" ht="12.75" x14ac:dyDescent="0.2">
      <c r="B57271" s="1168"/>
    </row>
    <row r="57272" spans="2:2" s="221" customFormat="1" ht="12.75" x14ac:dyDescent="0.2">
      <c r="B57272" s="1168"/>
    </row>
    <row r="57273" spans="2:2" s="221" customFormat="1" ht="12.75" x14ac:dyDescent="0.2">
      <c r="B57273" s="1168"/>
    </row>
    <row r="57274" spans="2:2" s="221" customFormat="1" ht="12.75" x14ac:dyDescent="0.2">
      <c r="B57274" s="1168"/>
    </row>
    <row r="57275" spans="2:2" s="221" customFormat="1" ht="12.75" x14ac:dyDescent="0.2">
      <c r="B57275" s="1168"/>
    </row>
    <row r="57276" spans="2:2" s="221" customFormat="1" ht="12.75" x14ac:dyDescent="0.2">
      <c r="B57276" s="1168"/>
    </row>
    <row r="57277" spans="2:2" s="221" customFormat="1" ht="12.75" x14ac:dyDescent="0.2">
      <c r="B57277" s="1168"/>
    </row>
    <row r="57278" spans="2:2" s="221" customFormat="1" ht="12.75" x14ac:dyDescent="0.2">
      <c r="B57278" s="1168"/>
    </row>
    <row r="57279" spans="2:2" s="221" customFormat="1" ht="12.75" x14ac:dyDescent="0.2">
      <c r="B57279" s="1168"/>
    </row>
    <row r="57280" spans="2:2" s="221" customFormat="1" ht="12.75" x14ac:dyDescent="0.2">
      <c r="B57280" s="1168"/>
    </row>
    <row r="57281" spans="2:2" s="221" customFormat="1" ht="12.75" x14ac:dyDescent="0.2">
      <c r="B57281" s="1168"/>
    </row>
    <row r="57282" spans="2:2" s="221" customFormat="1" ht="12.75" x14ac:dyDescent="0.2">
      <c r="B57282" s="1168"/>
    </row>
    <row r="57283" spans="2:2" s="221" customFormat="1" ht="12.75" x14ac:dyDescent="0.2">
      <c r="B57283" s="1168"/>
    </row>
    <row r="57284" spans="2:2" s="221" customFormat="1" ht="12.75" x14ac:dyDescent="0.2">
      <c r="B57284" s="1168"/>
    </row>
    <row r="57285" spans="2:2" s="221" customFormat="1" ht="12.75" x14ac:dyDescent="0.2">
      <c r="B57285" s="1168"/>
    </row>
    <row r="57286" spans="2:2" s="221" customFormat="1" ht="12.75" x14ac:dyDescent="0.2">
      <c r="B57286" s="1168"/>
    </row>
    <row r="57287" spans="2:2" s="221" customFormat="1" ht="12.75" x14ac:dyDescent="0.2">
      <c r="B57287" s="1168"/>
    </row>
    <row r="57288" spans="2:2" s="221" customFormat="1" ht="12.75" x14ac:dyDescent="0.2">
      <c r="B57288" s="1168"/>
    </row>
    <row r="57289" spans="2:2" s="221" customFormat="1" ht="12.75" x14ac:dyDescent="0.2">
      <c r="B57289" s="1168"/>
    </row>
    <row r="57290" spans="2:2" s="221" customFormat="1" ht="12.75" x14ac:dyDescent="0.2">
      <c r="B57290" s="1168"/>
    </row>
    <row r="57291" spans="2:2" s="221" customFormat="1" ht="12.75" x14ac:dyDescent="0.2">
      <c r="B57291" s="1168"/>
    </row>
    <row r="57292" spans="2:2" s="221" customFormat="1" ht="12.75" x14ac:dyDescent="0.2">
      <c r="B57292" s="1168"/>
    </row>
    <row r="57293" spans="2:2" s="221" customFormat="1" ht="12.75" x14ac:dyDescent="0.2">
      <c r="B57293" s="1168"/>
    </row>
    <row r="57294" spans="2:2" s="221" customFormat="1" ht="12.75" x14ac:dyDescent="0.2">
      <c r="B57294" s="1168"/>
    </row>
    <row r="57295" spans="2:2" s="221" customFormat="1" ht="12.75" x14ac:dyDescent="0.2">
      <c r="B57295" s="1168"/>
    </row>
    <row r="57296" spans="2:2" s="221" customFormat="1" ht="12.75" x14ac:dyDescent="0.2">
      <c r="B57296" s="1168"/>
    </row>
    <row r="57297" spans="2:2" s="221" customFormat="1" ht="12.75" x14ac:dyDescent="0.2">
      <c r="B57297" s="1168"/>
    </row>
    <row r="57298" spans="2:2" s="221" customFormat="1" ht="12.75" x14ac:dyDescent="0.2">
      <c r="B57298" s="1168"/>
    </row>
    <row r="57299" spans="2:2" s="221" customFormat="1" ht="12.75" x14ac:dyDescent="0.2">
      <c r="B57299" s="1168"/>
    </row>
    <row r="57300" spans="2:2" s="221" customFormat="1" ht="12.75" x14ac:dyDescent="0.2">
      <c r="B57300" s="1168"/>
    </row>
    <row r="57301" spans="2:2" s="221" customFormat="1" ht="12.75" x14ac:dyDescent="0.2">
      <c r="B57301" s="1168"/>
    </row>
    <row r="57302" spans="2:2" s="221" customFormat="1" ht="12.75" x14ac:dyDescent="0.2">
      <c r="B57302" s="1168"/>
    </row>
    <row r="57303" spans="2:2" s="221" customFormat="1" ht="12.75" x14ac:dyDescent="0.2">
      <c r="B57303" s="1168"/>
    </row>
    <row r="57304" spans="2:2" s="221" customFormat="1" ht="12.75" x14ac:dyDescent="0.2">
      <c r="B57304" s="1168"/>
    </row>
    <row r="57305" spans="2:2" s="221" customFormat="1" ht="12.75" x14ac:dyDescent="0.2">
      <c r="B57305" s="1168"/>
    </row>
    <row r="57306" spans="2:2" s="221" customFormat="1" ht="12.75" x14ac:dyDescent="0.2">
      <c r="B57306" s="1168"/>
    </row>
    <row r="57307" spans="2:2" s="221" customFormat="1" ht="12.75" x14ac:dyDescent="0.2">
      <c r="B57307" s="1168"/>
    </row>
    <row r="57308" spans="2:2" s="221" customFormat="1" ht="12.75" x14ac:dyDescent="0.2">
      <c r="B57308" s="1168"/>
    </row>
    <row r="57309" spans="2:2" s="221" customFormat="1" ht="12.75" x14ac:dyDescent="0.2">
      <c r="B57309" s="1168"/>
    </row>
    <row r="57310" spans="2:2" s="221" customFormat="1" ht="12.75" x14ac:dyDescent="0.2">
      <c r="B57310" s="1168"/>
    </row>
    <row r="57311" spans="2:2" s="221" customFormat="1" ht="12.75" x14ac:dyDescent="0.2">
      <c r="B57311" s="1168"/>
    </row>
    <row r="57312" spans="2:2" s="221" customFormat="1" ht="12.75" x14ac:dyDescent="0.2">
      <c r="B57312" s="1168"/>
    </row>
    <row r="57313" spans="2:2" s="221" customFormat="1" ht="12.75" x14ac:dyDescent="0.2">
      <c r="B57313" s="1168"/>
    </row>
    <row r="57314" spans="2:2" s="221" customFormat="1" ht="12.75" x14ac:dyDescent="0.2">
      <c r="B57314" s="1168"/>
    </row>
    <row r="57315" spans="2:2" s="221" customFormat="1" ht="12.75" x14ac:dyDescent="0.2">
      <c r="B57315" s="1168"/>
    </row>
    <row r="57316" spans="2:2" s="221" customFormat="1" ht="12.75" x14ac:dyDescent="0.2">
      <c r="B57316" s="1168"/>
    </row>
    <row r="57317" spans="2:2" s="221" customFormat="1" ht="12.75" x14ac:dyDescent="0.2">
      <c r="B57317" s="1168"/>
    </row>
    <row r="57318" spans="2:2" s="221" customFormat="1" ht="12.75" x14ac:dyDescent="0.2">
      <c r="B57318" s="1168"/>
    </row>
    <row r="57319" spans="2:2" s="221" customFormat="1" ht="12.75" x14ac:dyDescent="0.2">
      <c r="B57319" s="1168"/>
    </row>
    <row r="57320" spans="2:2" s="221" customFormat="1" ht="12.75" x14ac:dyDescent="0.2">
      <c r="B57320" s="1168"/>
    </row>
    <row r="57321" spans="2:2" s="221" customFormat="1" ht="12.75" x14ac:dyDescent="0.2">
      <c r="B57321" s="1168"/>
    </row>
    <row r="57322" spans="2:2" s="221" customFormat="1" ht="12.75" x14ac:dyDescent="0.2">
      <c r="B57322" s="1168"/>
    </row>
    <row r="57323" spans="2:2" s="221" customFormat="1" ht="12.75" x14ac:dyDescent="0.2">
      <c r="B57323" s="1168"/>
    </row>
    <row r="57324" spans="2:2" s="221" customFormat="1" ht="12.75" x14ac:dyDescent="0.2">
      <c r="B57324" s="1168"/>
    </row>
    <row r="57325" spans="2:2" s="221" customFormat="1" ht="12.75" x14ac:dyDescent="0.2">
      <c r="B57325" s="1168"/>
    </row>
    <row r="57326" spans="2:2" s="221" customFormat="1" ht="12.75" x14ac:dyDescent="0.2">
      <c r="B57326" s="1168"/>
    </row>
    <row r="57327" spans="2:2" s="221" customFormat="1" ht="12.75" x14ac:dyDescent="0.2">
      <c r="B57327" s="1168"/>
    </row>
    <row r="57328" spans="2:2" s="221" customFormat="1" ht="12.75" x14ac:dyDescent="0.2">
      <c r="B57328" s="1168"/>
    </row>
    <row r="57329" spans="2:2" s="221" customFormat="1" ht="12.75" x14ac:dyDescent="0.2">
      <c r="B57329" s="1168"/>
    </row>
    <row r="57330" spans="2:2" s="221" customFormat="1" ht="12.75" x14ac:dyDescent="0.2">
      <c r="B57330" s="1168"/>
    </row>
    <row r="57331" spans="2:2" s="221" customFormat="1" ht="12.75" x14ac:dyDescent="0.2">
      <c r="B57331" s="1168"/>
    </row>
    <row r="57332" spans="2:2" s="221" customFormat="1" ht="12.75" x14ac:dyDescent="0.2">
      <c r="B57332" s="1168"/>
    </row>
    <row r="57333" spans="2:2" s="221" customFormat="1" ht="12.75" x14ac:dyDescent="0.2">
      <c r="B57333" s="1168"/>
    </row>
    <row r="57334" spans="2:2" s="221" customFormat="1" ht="12.75" x14ac:dyDescent="0.2">
      <c r="B57334" s="1168"/>
    </row>
    <row r="57335" spans="2:2" s="221" customFormat="1" ht="12.75" x14ac:dyDescent="0.2">
      <c r="B57335" s="1168"/>
    </row>
    <row r="57336" spans="2:2" s="221" customFormat="1" ht="12.75" x14ac:dyDescent="0.2">
      <c r="B57336" s="1168"/>
    </row>
    <row r="57337" spans="2:2" s="221" customFormat="1" ht="12.75" x14ac:dyDescent="0.2">
      <c r="B57337" s="1168"/>
    </row>
    <row r="57338" spans="2:2" s="221" customFormat="1" ht="12.75" x14ac:dyDescent="0.2">
      <c r="B57338" s="1168"/>
    </row>
    <row r="57339" spans="2:2" s="221" customFormat="1" ht="12.75" x14ac:dyDescent="0.2">
      <c r="B57339" s="1168"/>
    </row>
    <row r="57340" spans="2:2" s="221" customFormat="1" ht="12.75" x14ac:dyDescent="0.2">
      <c r="B57340" s="1168"/>
    </row>
    <row r="57341" spans="2:2" s="221" customFormat="1" ht="12.75" x14ac:dyDescent="0.2">
      <c r="B57341" s="1168"/>
    </row>
    <row r="57342" spans="2:2" s="221" customFormat="1" ht="12.75" x14ac:dyDescent="0.2">
      <c r="B57342" s="1168"/>
    </row>
    <row r="57343" spans="2:2" s="221" customFormat="1" ht="12.75" x14ac:dyDescent="0.2">
      <c r="B57343" s="1168"/>
    </row>
    <row r="57344" spans="2:2" s="221" customFormat="1" ht="12.75" x14ac:dyDescent="0.2">
      <c r="B57344" s="1168"/>
    </row>
    <row r="57345" spans="2:2" s="221" customFormat="1" ht="12.75" x14ac:dyDescent="0.2">
      <c r="B57345" s="1168"/>
    </row>
    <row r="57346" spans="2:2" s="221" customFormat="1" ht="12.75" x14ac:dyDescent="0.2">
      <c r="B57346" s="1168"/>
    </row>
    <row r="57347" spans="2:2" s="221" customFormat="1" ht="12.75" x14ac:dyDescent="0.2">
      <c r="B57347" s="1168"/>
    </row>
    <row r="57348" spans="2:2" s="221" customFormat="1" ht="12.75" x14ac:dyDescent="0.2">
      <c r="B57348" s="1168"/>
    </row>
    <row r="57349" spans="2:2" s="221" customFormat="1" ht="12.75" x14ac:dyDescent="0.2">
      <c r="B57349" s="1168"/>
    </row>
    <row r="57350" spans="2:2" s="221" customFormat="1" ht="12.75" x14ac:dyDescent="0.2">
      <c r="B57350" s="1168"/>
    </row>
    <row r="57351" spans="2:2" s="221" customFormat="1" ht="12.75" x14ac:dyDescent="0.2">
      <c r="B57351" s="1168"/>
    </row>
    <row r="57352" spans="2:2" s="221" customFormat="1" ht="12.75" x14ac:dyDescent="0.2">
      <c r="B57352" s="1168"/>
    </row>
    <row r="57353" spans="2:2" s="221" customFormat="1" ht="12.75" x14ac:dyDescent="0.2">
      <c r="B57353" s="1168"/>
    </row>
    <row r="57354" spans="2:2" s="221" customFormat="1" ht="12.75" x14ac:dyDescent="0.2">
      <c r="B57354" s="1168"/>
    </row>
    <row r="57355" spans="2:2" s="221" customFormat="1" ht="12.75" x14ac:dyDescent="0.2">
      <c r="B57355" s="1168"/>
    </row>
    <row r="57356" spans="2:2" s="221" customFormat="1" ht="12.75" x14ac:dyDescent="0.2">
      <c r="B57356" s="1168"/>
    </row>
    <row r="57357" spans="2:2" s="221" customFormat="1" ht="12.75" x14ac:dyDescent="0.2">
      <c r="B57357" s="1168"/>
    </row>
    <row r="57358" spans="2:2" s="221" customFormat="1" ht="12.75" x14ac:dyDescent="0.2">
      <c r="B57358" s="1168"/>
    </row>
    <row r="57359" spans="2:2" s="221" customFormat="1" ht="12.75" x14ac:dyDescent="0.2">
      <c r="B57359" s="1168"/>
    </row>
    <row r="57360" spans="2:2" s="221" customFormat="1" ht="12.75" x14ac:dyDescent="0.2">
      <c r="B57360" s="1168"/>
    </row>
    <row r="57361" spans="2:2" s="221" customFormat="1" ht="12.75" x14ac:dyDescent="0.2">
      <c r="B57361" s="1168"/>
    </row>
    <row r="57362" spans="2:2" s="221" customFormat="1" ht="12.75" x14ac:dyDescent="0.2">
      <c r="B57362" s="1168"/>
    </row>
    <row r="57363" spans="2:2" s="221" customFormat="1" ht="12.75" x14ac:dyDescent="0.2">
      <c r="B57363" s="1168"/>
    </row>
    <row r="57364" spans="2:2" s="221" customFormat="1" ht="12.75" x14ac:dyDescent="0.2">
      <c r="B57364" s="1168"/>
    </row>
    <row r="57365" spans="2:2" s="221" customFormat="1" ht="12.75" x14ac:dyDescent="0.2">
      <c r="B57365" s="1168"/>
    </row>
    <row r="57366" spans="2:2" s="221" customFormat="1" ht="12.75" x14ac:dyDescent="0.2">
      <c r="B57366" s="1168"/>
    </row>
    <row r="57367" spans="2:2" s="221" customFormat="1" ht="12.75" x14ac:dyDescent="0.2">
      <c r="B57367" s="1168"/>
    </row>
    <row r="57368" spans="2:2" s="221" customFormat="1" ht="12.75" x14ac:dyDescent="0.2">
      <c r="B57368" s="1168"/>
    </row>
    <row r="57369" spans="2:2" s="221" customFormat="1" ht="12.75" x14ac:dyDescent="0.2">
      <c r="B57369" s="1168"/>
    </row>
    <row r="57370" spans="2:2" s="221" customFormat="1" ht="12.75" x14ac:dyDescent="0.2">
      <c r="B57370" s="1168"/>
    </row>
    <row r="57371" spans="2:2" s="221" customFormat="1" ht="12.75" x14ac:dyDescent="0.2">
      <c r="B57371" s="1168"/>
    </row>
    <row r="57372" spans="2:2" s="221" customFormat="1" ht="12.75" x14ac:dyDescent="0.2">
      <c r="B57372" s="1168"/>
    </row>
    <row r="57373" spans="2:2" s="221" customFormat="1" ht="12.75" x14ac:dyDescent="0.2">
      <c r="B57373" s="1168"/>
    </row>
    <row r="57374" spans="2:2" s="221" customFormat="1" ht="12.75" x14ac:dyDescent="0.2">
      <c r="B57374" s="1168"/>
    </row>
    <row r="57375" spans="2:2" s="221" customFormat="1" ht="12.75" x14ac:dyDescent="0.2">
      <c r="B57375" s="1168"/>
    </row>
    <row r="57376" spans="2:2" s="221" customFormat="1" ht="12.75" x14ac:dyDescent="0.2">
      <c r="B57376" s="1168"/>
    </row>
    <row r="57377" spans="2:2" s="221" customFormat="1" ht="12.75" x14ac:dyDescent="0.2">
      <c r="B57377" s="1168"/>
    </row>
    <row r="57378" spans="2:2" s="221" customFormat="1" ht="12.75" x14ac:dyDescent="0.2">
      <c r="B57378" s="1168"/>
    </row>
    <row r="57379" spans="2:2" s="221" customFormat="1" ht="12.75" x14ac:dyDescent="0.2">
      <c r="B57379" s="1168"/>
    </row>
    <row r="57380" spans="2:2" s="221" customFormat="1" ht="12.75" x14ac:dyDescent="0.2">
      <c r="B57380" s="1168"/>
    </row>
    <row r="57381" spans="2:2" s="221" customFormat="1" ht="12.75" x14ac:dyDescent="0.2">
      <c r="B57381" s="1168"/>
    </row>
    <row r="57382" spans="2:2" s="221" customFormat="1" ht="12.75" x14ac:dyDescent="0.2">
      <c r="B57382" s="1168"/>
    </row>
    <row r="57383" spans="2:2" s="221" customFormat="1" ht="12.75" x14ac:dyDescent="0.2">
      <c r="B57383" s="1168"/>
    </row>
    <row r="57384" spans="2:2" s="221" customFormat="1" ht="12.75" x14ac:dyDescent="0.2">
      <c r="B57384" s="1168"/>
    </row>
    <row r="57385" spans="2:2" s="221" customFormat="1" ht="12.75" x14ac:dyDescent="0.2">
      <c r="B57385" s="1168"/>
    </row>
    <row r="57386" spans="2:2" s="221" customFormat="1" ht="12.75" x14ac:dyDescent="0.2">
      <c r="B57386" s="1168"/>
    </row>
    <row r="57387" spans="2:2" s="221" customFormat="1" ht="12.75" x14ac:dyDescent="0.2">
      <c r="B57387" s="1168"/>
    </row>
    <row r="57388" spans="2:2" s="221" customFormat="1" ht="12.75" x14ac:dyDescent="0.2">
      <c r="B57388" s="1168"/>
    </row>
    <row r="57389" spans="2:2" s="221" customFormat="1" ht="12.75" x14ac:dyDescent="0.2">
      <c r="B57389" s="1168"/>
    </row>
    <row r="57390" spans="2:2" s="221" customFormat="1" ht="12.75" x14ac:dyDescent="0.2">
      <c r="B57390" s="1168"/>
    </row>
    <row r="57391" spans="2:2" s="221" customFormat="1" ht="12.75" x14ac:dyDescent="0.2">
      <c r="B57391" s="1168"/>
    </row>
    <row r="57392" spans="2:2" s="221" customFormat="1" ht="12.75" x14ac:dyDescent="0.2">
      <c r="B57392" s="1168"/>
    </row>
    <row r="57393" spans="2:2" s="221" customFormat="1" ht="12.75" x14ac:dyDescent="0.2">
      <c r="B57393" s="1168"/>
    </row>
    <row r="57394" spans="2:2" s="221" customFormat="1" ht="12.75" x14ac:dyDescent="0.2">
      <c r="B57394" s="1168"/>
    </row>
    <row r="57395" spans="2:2" s="221" customFormat="1" ht="12.75" x14ac:dyDescent="0.2">
      <c r="B57395" s="1168"/>
    </row>
    <row r="57396" spans="2:2" s="221" customFormat="1" ht="12.75" x14ac:dyDescent="0.2">
      <c r="B57396" s="1168"/>
    </row>
    <row r="57397" spans="2:2" s="221" customFormat="1" ht="12.75" x14ac:dyDescent="0.2">
      <c r="B57397" s="1168"/>
    </row>
    <row r="57398" spans="2:2" s="221" customFormat="1" ht="12.75" x14ac:dyDescent="0.2">
      <c r="B57398" s="1168"/>
    </row>
    <row r="57399" spans="2:2" s="221" customFormat="1" ht="12.75" x14ac:dyDescent="0.2">
      <c r="B57399" s="1168"/>
    </row>
    <row r="57400" spans="2:2" s="221" customFormat="1" ht="12.75" x14ac:dyDescent="0.2">
      <c r="B57400" s="1168"/>
    </row>
    <row r="57401" spans="2:2" s="221" customFormat="1" ht="12.75" x14ac:dyDescent="0.2">
      <c r="B57401" s="1168"/>
    </row>
    <row r="57402" spans="2:2" s="221" customFormat="1" ht="12.75" x14ac:dyDescent="0.2">
      <c r="B57402" s="1168"/>
    </row>
    <row r="57403" spans="2:2" s="221" customFormat="1" ht="12.75" x14ac:dyDescent="0.2">
      <c r="B57403" s="1168"/>
    </row>
    <row r="57404" spans="2:2" s="221" customFormat="1" ht="12.75" x14ac:dyDescent="0.2">
      <c r="B57404" s="1168"/>
    </row>
    <row r="57405" spans="2:2" s="221" customFormat="1" ht="12.75" x14ac:dyDescent="0.2">
      <c r="B57405" s="1168"/>
    </row>
    <row r="57406" spans="2:2" s="221" customFormat="1" ht="12.75" x14ac:dyDescent="0.2">
      <c r="B57406" s="1168"/>
    </row>
    <row r="57407" spans="2:2" s="221" customFormat="1" ht="12.75" x14ac:dyDescent="0.2">
      <c r="B57407" s="1168"/>
    </row>
    <row r="57408" spans="2:2" s="221" customFormat="1" ht="12.75" x14ac:dyDescent="0.2">
      <c r="B57408" s="1168"/>
    </row>
    <row r="57409" spans="2:2" s="221" customFormat="1" ht="12.75" x14ac:dyDescent="0.2">
      <c r="B57409" s="1168"/>
    </row>
    <row r="57410" spans="2:2" s="221" customFormat="1" ht="12.75" x14ac:dyDescent="0.2">
      <c r="B57410" s="1168"/>
    </row>
    <row r="57411" spans="2:2" s="221" customFormat="1" ht="12.75" x14ac:dyDescent="0.2">
      <c r="B57411" s="1168"/>
    </row>
    <row r="57412" spans="2:2" s="221" customFormat="1" ht="12.75" x14ac:dyDescent="0.2">
      <c r="B57412" s="1168"/>
    </row>
    <row r="57413" spans="2:2" s="221" customFormat="1" ht="12.75" x14ac:dyDescent="0.2">
      <c r="B57413" s="1168"/>
    </row>
    <row r="57414" spans="2:2" s="221" customFormat="1" ht="12.75" x14ac:dyDescent="0.2">
      <c r="B57414" s="1168"/>
    </row>
    <row r="57415" spans="2:2" s="221" customFormat="1" ht="12.75" x14ac:dyDescent="0.2">
      <c r="B57415" s="1168"/>
    </row>
    <row r="57416" spans="2:2" s="221" customFormat="1" ht="12.75" x14ac:dyDescent="0.2">
      <c r="B57416" s="1168"/>
    </row>
    <row r="57417" spans="2:2" s="221" customFormat="1" ht="12.75" x14ac:dyDescent="0.2">
      <c r="B57417" s="1168"/>
    </row>
    <row r="57418" spans="2:2" s="221" customFormat="1" ht="12.75" x14ac:dyDescent="0.2">
      <c r="B57418" s="1168"/>
    </row>
    <row r="57419" spans="2:2" s="221" customFormat="1" ht="12.75" x14ac:dyDescent="0.2">
      <c r="B57419" s="1168"/>
    </row>
    <row r="57420" spans="2:2" s="221" customFormat="1" ht="12.75" x14ac:dyDescent="0.2">
      <c r="B57420" s="1168"/>
    </row>
    <row r="57421" spans="2:2" s="221" customFormat="1" ht="12.75" x14ac:dyDescent="0.2">
      <c r="B57421" s="1168"/>
    </row>
    <row r="57422" spans="2:2" s="221" customFormat="1" ht="12.75" x14ac:dyDescent="0.2">
      <c r="B57422" s="1168"/>
    </row>
    <row r="57423" spans="2:2" s="221" customFormat="1" ht="12.75" x14ac:dyDescent="0.2">
      <c r="B57423" s="1168"/>
    </row>
    <row r="57424" spans="2:2" s="221" customFormat="1" ht="12.75" x14ac:dyDescent="0.2">
      <c r="B57424" s="1168"/>
    </row>
    <row r="57425" spans="2:2" s="221" customFormat="1" ht="12.75" x14ac:dyDescent="0.2">
      <c r="B57425" s="1168"/>
    </row>
    <row r="57426" spans="2:2" s="221" customFormat="1" ht="12.75" x14ac:dyDescent="0.2">
      <c r="B57426" s="1168"/>
    </row>
    <row r="57427" spans="2:2" s="221" customFormat="1" ht="12.75" x14ac:dyDescent="0.2">
      <c r="B57427" s="1168"/>
    </row>
    <row r="57428" spans="2:2" s="221" customFormat="1" ht="12.75" x14ac:dyDescent="0.2">
      <c r="B57428" s="1168"/>
    </row>
    <row r="57429" spans="2:2" s="221" customFormat="1" ht="12.75" x14ac:dyDescent="0.2">
      <c r="B57429" s="1168"/>
    </row>
    <row r="57430" spans="2:2" s="221" customFormat="1" ht="12.75" x14ac:dyDescent="0.2">
      <c r="B57430" s="1168"/>
    </row>
    <row r="57431" spans="2:2" s="221" customFormat="1" ht="12.75" x14ac:dyDescent="0.2">
      <c r="B57431" s="1168"/>
    </row>
    <row r="57432" spans="2:2" s="221" customFormat="1" ht="12.75" x14ac:dyDescent="0.2">
      <c r="B57432" s="1168"/>
    </row>
    <row r="57433" spans="2:2" s="221" customFormat="1" ht="12.75" x14ac:dyDescent="0.2">
      <c r="B57433" s="1168"/>
    </row>
    <row r="57434" spans="2:2" s="221" customFormat="1" ht="12.75" x14ac:dyDescent="0.2">
      <c r="B57434" s="1168"/>
    </row>
    <row r="57435" spans="2:2" s="221" customFormat="1" ht="12.75" x14ac:dyDescent="0.2">
      <c r="B57435" s="1168"/>
    </row>
    <row r="57436" spans="2:2" s="221" customFormat="1" ht="12.75" x14ac:dyDescent="0.2">
      <c r="B57436" s="1168"/>
    </row>
    <row r="57437" spans="2:2" s="221" customFormat="1" ht="12.75" x14ac:dyDescent="0.2">
      <c r="B57437" s="1168"/>
    </row>
    <row r="57438" spans="2:2" s="221" customFormat="1" ht="12.75" x14ac:dyDescent="0.2">
      <c r="B57438" s="1168"/>
    </row>
    <row r="57439" spans="2:2" s="221" customFormat="1" ht="12.75" x14ac:dyDescent="0.2">
      <c r="B57439" s="1168"/>
    </row>
    <row r="57440" spans="2:2" s="221" customFormat="1" ht="12.75" x14ac:dyDescent="0.2">
      <c r="B57440" s="1168"/>
    </row>
    <row r="57441" spans="2:2" s="221" customFormat="1" ht="12.75" x14ac:dyDescent="0.2">
      <c r="B57441" s="1168"/>
    </row>
    <row r="57442" spans="2:2" s="221" customFormat="1" ht="12.75" x14ac:dyDescent="0.2">
      <c r="B57442" s="1168"/>
    </row>
    <row r="57443" spans="2:2" s="221" customFormat="1" ht="12.75" x14ac:dyDescent="0.2">
      <c r="B57443" s="1168"/>
    </row>
    <row r="57444" spans="2:2" s="221" customFormat="1" ht="12.75" x14ac:dyDescent="0.2">
      <c r="B57444" s="1168"/>
    </row>
    <row r="57445" spans="2:2" s="221" customFormat="1" ht="12.75" x14ac:dyDescent="0.2">
      <c r="B57445" s="1168"/>
    </row>
    <row r="57446" spans="2:2" s="221" customFormat="1" ht="12.75" x14ac:dyDescent="0.2">
      <c r="B57446" s="1168"/>
    </row>
    <row r="57447" spans="2:2" s="221" customFormat="1" ht="12.75" x14ac:dyDescent="0.2">
      <c r="B57447" s="1168"/>
    </row>
    <row r="57448" spans="2:2" s="221" customFormat="1" ht="12.75" x14ac:dyDescent="0.2">
      <c r="B57448" s="1168"/>
    </row>
    <row r="57449" spans="2:2" s="221" customFormat="1" ht="12.75" x14ac:dyDescent="0.2">
      <c r="B57449" s="1168"/>
    </row>
    <row r="57450" spans="2:2" s="221" customFormat="1" ht="12.75" x14ac:dyDescent="0.2">
      <c r="B57450" s="1168"/>
    </row>
    <row r="57451" spans="2:2" s="221" customFormat="1" ht="12.75" x14ac:dyDescent="0.2">
      <c r="B57451" s="1168"/>
    </row>
    <row r="57452" spans="2:2" s="221" customFormat="1" ht="12.75" x14ac:dyDescent="0.2">
      <c r="B57452" s="1168"/>
    </row>
    <row r="57453" spans="2:2" s="221" customFormat="1" ht="12.75" x14ac:dyDescent="0.2">
      <c r="B57453" s="1168"/>
    </row>
    <row r="57454" spans="2:2" s="221" customFormat="1" ht="12.75" x14ac:dyDescent="0.2">
      <c r="B57454" s="1168"/>
    </row>
    <row r="57455" spans="2:2" s="221" customFormat="1" ht="12.75" x14ac:dyDescent="0.2">
      <c r="B57455" s="1168"/>
    </row>
    <row r="57456" spans="2:2" s="221" customFormat="1" ht="12.75" x14ac:dyDescent="0.2">
      <c r="B57456" s="1168"/>
    </row>
    <row r="57457" spans="2:2" s="221" customFormat="1" ht="12.75" x14ac:dyDescent="0.2">
      <c r="B57457" s="1168"/>
    </row>
    <row r="57458" spans="2:2" s="221" customFormat="1" ht="12.75" x14ac:dyDescent="0.2">
      <c r="B57458" s="1168"/>
    </row>
    <row r="57459" spans="2:2" s="221" customFormat="1" ht="12.75" x14ac:dyDescent="0.2">
      <c r="B57459" s="1168"/>
    </row>
    <row r="57460" spans="2:2" s="221" customFormat="1" ht="12.75" x14ac:dyDescent="0.2">
      <c r="B57460" s="1168"/>
    </row>
    <row r="57461" spans="2:2" s="221" customFormat="1" ht="12.75" x14ac:dyDescent="0.2">
      <c r="B57461" s="1168"/>
    </row>
    <row r="57462" spans="2:2" s="221" customFormat="1" ht="12.75" x14ac:dyDescent="0.2">
      <c r="B57462" s="1168"/>
    </row>
    <row r="57463" spans="2:2" s="221" customFormat="1" ht="12.75" x14ac:dyDescent="0.2">
      <c r="B57463" s="1168"/>
    </row>
    <row r="57464" spans="2:2" s="221" customFormat="1" ht="12.75" x14ac:dyDescent="0.2">
      <c r="B57464" s="1168"/>
    </row>
    <row r="57465" spans="2:2" s="221" customFormat="1" ht="12.75" x14ac:dyDescent="0.2">
      <c r="B57465" s="1168"/>
    </row>
    <row r="57466" spans="2:2" s="221" customFormat="1" ht="12.75" x14ac:dyDescent="0.2">
      <c r="B57466" s="1168"/>
    </row>
    <row r="57467" spans="2:2" s="221" customFormat="1" ht="12.75" x14ac:dyDescent="0.2">
      <c r="B57467" s="1168"/>
    </row>
    <row r="57468" spans="2:2" s="221" customFormat="1" ht="12.75" x14ac:dyDescent="0.2">
      <c r="B57468" s="1168"/>
    </row>
    <row r="57469" spans="2:2" s="221" customFormat="1" ht="12.75" x14ac:dyDescent="0.2">
      <c r="B57469" s="1168"/>
    </row>
    <row r="57470" spans="2:2" s="221" customFormat="1" ht="12.75" x14ac:dyDescent="0.2">
      <c r="B57470" s="1168"/>
    </row>
    <row r="57471" spans="2:2" s="221" customFormat="1" ht="12.75" x14ac:dyDescent="0.2">
      <c r="B57471" s="1168"/>
    </row>
    <row r="57472" spans="2:2" s="221" customFormat="1" ht="12.75" x14ac:dyDescent="0.2">
      <c r="B57472" s="1168"/>
    </row>
    <row r="57473" spans="2:2" s="221" customFormat="1" ht="12.75" x14ac:dyDescent="0.2">
      <c r="B57473" s="1168"/>
    </row>
    <row r="57474" spans="2:2" s="221" customFormat="1" ht="12.75" x14ac:dyDescent="0.2">
      <c r="B57474" s="1168"/>
    </row>
    <row r="57475" spans="2:2" s="221" customFormat="1" ht="12.75" x14ac:dyDescent="0.2">
      <c r="B57475" s="1168"/>
    </row>
    <row r="57476" spans="2:2" s="221" customFormat="1" ht="12.75" x14ac:dyDescent="0.2">
      <c r="B57476" s="1168"/>
    </row>
    <row r="57477" spans="2:2" s="221" customFormat="1" ht="12.75" x14ac:dyDescent="0.2">
      <c r="B57477" s="1168"/>
    </row>
    <row r="57478" spans="2:2" s="221" customFormat="1" ht="12.75" x14ac:dyDescent="0.2">
      <c r="B57478" s="1168"/>
    </row>
    <row r="57479" spans="2:2" s="221" customFormat="1" ht="12.75" x14ac:dyDescent="0.2">
      <c r="B57479" s="1168"/>
    </row>
    <row r="57480" spans="2:2" s="221" customFormat="1" ht="12.75" x14ac:dyDescent="0.2">
      <c r="B57480" s="1168"/>
    </row>
    <row r="57481" spans="2:2" s="221" customFormat="1" ht="12.75" x14ac:dyDescent="0.2">
      <c r="B57481" s="1168"/>
    </row>
    <row r="57482" spans="2:2" s="221" customFormat="1" ht="12.75" x14ac:dyDescent="0.2">
      <c r="B57482" s="1168"/>
    </row>
    <row r="57483" spans="2:2" s="221" customFormat="1" ht="12.75" x14ac:dyDescent="0.2">
      <c r="B57483" s="1168"/>
    </row>
    <row r="57484" spans="2:2" s="221" customFormat="1" ht="12.75" x14ac:dyDescent="0.2">
      <c r="B57484" s="1168"/>
    </row>
    <row r="57485" spans="2:2" s="221" customFormat="1" ht="12.75" x14ac:dyDescent="0.2">
      <c r="B57485" s="1168"/>
    </row>
    <row r="57486" spans="2:2" s="221" customFormat="1" ht="12.75" x14ac:dyDescent="0.2">
      <c r="B57486" s="1168"/>
    </row>
    <row r="57487" spans="2:2" s="221" customFormat="1" ht="12.75" x14ac:dyDescent="0.2">
      <c r="B57487" s="1168"/>
    </row>
    <row r="57488" spans="2:2" s="221" customFormat="1" ht="12.75" x14ac:dyDescent="0.2">
      <c r="B57488" s="1168"/>
    </row>
    <row r="57489" spans="2:2" s="221" customFormat="1" ht="12.75" x14ac:dyDescent="0.2">
      <c r="B57489" s="1168"/>
    </row>
    <row r="57490" spans="2:2" s="221" customFormat="1" ht="12.75" x14ac:dyDescent="0.2">
      <c r="B57490" s="1168"/>
    </row>
    <row r="57491" spans="2:2" s="221" customFormat="1" ht="12.75" x14ac:dyDescent="0.2">
      <c r="B57491" s="1168"/>
    </row>
    <row r="57492" spans="2:2" s="221" customFormat="1" ht="12.75" x14ac:dyDescent="0.2">
      <c r="B57492" s="1168"/>
    </row>
    <row r="57493" spans="2:2" s="221" customFormat="1" ht="12.75" x14ac:dyDescent="0.2">
      <c r="B57493" s="1168"/>
    </row>
    <row r="57494" spans="2:2" s="221" customFormat="1" ht="12.75" x14ac:dyDescent="0.2">
      <c r="B57494" s="1168"/>
    </row>
    <row r="57495" spans="2:2" s="221" customFormat="1" ht="12.75" x14ac:dyDescent="0.2">
      <c r="B57495" s="1168"/>
    </row>
    <row r="57496" spans="2:2" s="221" customFormat="1" ht="12.75" x14ac:dyDescent="0.2">
      <c r="B57496" s="1168"/>
    </row>
    <row r="57497" spans="2:2" s="221" customFormat="1" ht="12.75" x14ac:dyDescent="0.2">
      <c r="B57497" s="1168"/>
    </row>
    <row r="57498" spans="2:2" s="221" customFormat="1" ht="12.75" x14ac:dyDescent="0.2">
      <c r="B57498" s="1168"/>
    </row>
    <row r="57499" spans="2:2" s="221" customFormat="1" ht="12.75" x14ac:dyDescent="0.2">
      <c r="B57499" s="1168"/>
    </row>
    <row r="57500" spans="2:2" s="221" customFormat="1" ht="12.75" x14ac:dyDescent="0.2">
      <c r="B57500" s="1168"/>
    </row>
    <row r="57501" spans="2:2" s="221" customFormat="1" ht="12.75" x14ac:dyDescent="0.2">
      <c r="B57501" s="1168"/>
    </row>
    <row r="57502" spans="2:2" s="221" customFormat="1" ht="12.75" x14ac:dyDescent="0.2">
      <c r="B57502" s="1168"/>
    </row>
    <row r="57503" spans="2:2" s="221" customFormat="1" ht="12.75" x14ac:dyDescent="0.2">
      <c r="B57503" s="1168"/>
    </row>
    <row r="57504" spans="2:2" s="221" customFormat="1" ht="12.75" x14ac:dyDescent="0.2">
      <c r="B57504" s="1168"/>
    </row>
    <row r="57505" spans="2:2" s="221" customFormat="1" ht="12.75" x14ac:dyDescent="0.2">
      <c r="B57505" s="1168"/>
    </row>
    <row r="57506" spans="2:2" s="221" customFormat="1" ht="12.75" x14ac:dyDescent="0.2">
      <c r="B57506" s="1168"/>
    </row>
    <row r="57507" spans="2:2" s="221" customFormat="1" ht="12.75" x14ac:dyDescent="0.2">
      <c r="B57507" s="1168"/>
    </row>
    <row r="57508" spans="2:2" s="221" customFormat="1" ht="12.75" x14ac:dyDescent="0.2">
      <c r="B57508" s="1168"/>
    </row>
    <row r="57509" spans="2:2" s="221" customFormat="1" ht="12.75" x14ac:dyDescent="0.2">
      <c r="B57509" s="1168"/>
    </row>
    <row r="57510" spans="2:2" s="221" customFormat="1" ht="12.75" x14ac:dyDescent="0.2">
      <c r="B57510" s="1168"/>
    </row>
    <row r="57511" spans="2:2" s="221" customFormat="1" ht="12.75" x14ac:dyDescent="0.2">
      <c r="B57511" s="1168"/>
    </row>
    <row r="57512" spans="2:2" s="221" customFormat="1" ht="12.75" x14ac:dyDescent="0.2">
      <c r="B57512" s="1168"/>
    </row>
    <row r="57513" spans="2:2" s="221" customFormat="1" ht="12.75" x14ac:dyDescent="0.2">
      <c r="B57513" s="1168"/>
    </row>
    <row r="57514" spans="2:2" s="221" customFormat="1" ht="12.75" x14ac:dyDescent="0.2">
      <c r="B57514" s="1168"/>
    </row>
    <row r="57515" spans="2:2" s="221" customFormat="1" ht="12.75" x14ac:dyDescent="0.2">
      <c r="B57515" s="1168"/>
    </row>
    <row r="57516" spans="2:2" s="221" customFormat="1" ht="12.75" x14ac:dyDescent="0.2">
      <c r="B57516" s="1168"/>
    </row>
    <row r="57517" spans="2:2" s="221" customFormat="1" ht="12.75" x14ac:dyDescent="0.2">
      <c r="B57517" s="1168"/>
    </row>
    <row r="57518" spans="2:2" s="221" customFormat="1" ht="12.75" x14ac:dyDescent="0.2">
      <c r="B57518" s="1168"/>
    </row>
    <row r="57519" spans="2:2" s="221" customFormat="1" ht="12.75" x14ac:dyDescent="0.2">
      <c r="B57519" s="1168"/>
    </row>
    <row r="57520" spans="2:2" s="221" customFormat="1" ht="12.75" x14ac:dyDescent="0.2">
      <c r="B57520" s="1168"/>
    </row>
    <row r="57521" spans="2:2" s="221" customFormat="1" ht="12.75" x14ac:dyDescent="0.2">
      <c r="B57521" s="1168"/>
    </row>
    <row r="57522" spans="2:2" s="221" customFormat="1" ht="12.75" x14ac:dyDescent="0.2">
      <c r="B57522" s="1168"/>
    </row>
    <row r="57523" spans="2:2" s="221" customFormat="1" ht="12.75" x14ac:dyDescent="0.2">
      <c r="B57523" s="1168"/>
    </row>
    <row r="57524" spans="2:2" s="221" customFormat="1" ht="12.75" x14ac:dyDescent="0.2">
      <c r="B57524" s="1168"/>
    </row>
    <row r="57525" spans="2:2" s="221" customFormat="1" ht="12.75" x14ac:dyDescent="0.2">
      <c r="B57525" s="1168"/>
    </row>
    <row r="57526" spans="2:2" s="221" customFormat="1" ht="12.75" x14ac:dyDescent="0.2">
      <c r="B57526" s="1168"/>
    </row>
    <row r="57527" spans="2:2" s="221" customFormat="1" ht="12.75" x14ac:dyDescent="0.2">
      <c r="B57527" s="1168"/>
    </row>
    <row r="57528" spans="2:2" s="221" customFormat="1" ht="12.75" x14ac:dyDescent="0.2">
      <c r="B57528" s="1168"/>
    </row>
    <row r="57529" spans="2:2" s="221" customFormat="1" ht="12.75" x14ac:dyDescent="0.2">
      <c r="B57529" s="1168"/>
    </row>
    <row r="57530" spans="2:2" s="221" customFormat="1" ht="12.75" x14ac:dyDescent="0.2">
      <c r="B57530" s="1168"/>
    </row>
    <row r="57531" spans="2:2" s="221" customFormat="1" ht="12.75" x14ac:dyDescent="0.2">
      <c r="B57531" s="1168"/>
    </row>
    <row r="57532" spans="2:2" s="221" customFormat="1" ht="12.75" x14ac:dyDescent="0.2">
      <c r="B57532" s="1168"/>
    </row>
    <row r="57533" spans="2:2" s="221" customFormat="1" ht="12.75" x14ac:dyDescent="0.2">
      <c r="B57533" s="1168"/>
    </row>
    <row r="57534" spans="2:2" s="221" customFormat="1" ht="12.75" x14ac:dyDescent="0.2">
      <c r="B57534" s="1168"/>
    </row>
    <row r="57535" spans="2:2" s="221" customFormat="1" ht="12.75" x14ac:dyDescent="0.2">
      <c r="B57535" s="1168"/>
    </row>
    <row r="57536" spans="2:2" s="221" customFormat="1" ht="12.75" x14ac:dyDescent="0.2">
      <c r="B57536" s="1168"/>
    </row>
    <row r="57537" spans="2:2" s="221" customFormat="1" ht="12.75" x14ac:dyDescent="0.2">
      <c r="B57537" s="1168"/>
    </row>
    <row r="57538" spans="2:2" s="221" customFormat="1" ht="12.75" x14ac:dyDescent="0.2">
      <c r="B57538" s="1168"/>
    </row>
    <row r="57539" spans="2:2" s="221" customFormat="1" ht="12.75" x14ac:dyDescent="0.2">
      <c r="B57539" s="1168"/>
    </row>
    <row r="57540" spans="2:2" s="221" customFormat="1" ht="12.75" x14ac:dyDescent="0.2">
      <c r="B57540" s="1168"/>
    </row>
    <row r="57541" spans="2:2" s="221" customFormat="1" ht="12.75" x14ac:dyDescent="0.2">
      <c r="B57541" s="1168"/>
    </row>
    <row r="57542" spans="2:2" s="221" customFormat="1" ht="12.75" x14ac:dyDescent="0.2">
      <c r="B57542" s="1168"/>
    </row>
    <row r="57543" spans="2:2" s="221" customFormat="1" ht="12.75" x14ac:dyDescent="0.2">
      <c r="B57543" s="1168"/>
    </row>
    <row r="57544" spans="2:2" s="221" customFormat="1" ht="12.75" x14ac:dyDescent="0.2">
      <c r="B57544" s="1168"/>
    </row>
    <row r="57545" spans="2:2" s="221" customFormat="1" ht="12.75" x14ac:dyDescent="0.2">
      <c r="B57545" s="1168"/>
    </row>
    <row r="57546" spans="2:2" s="221" customFormat="1" ht="12.75" x14ac:dyDescent="0.2">
      <c r="B57546" s="1168"/>
    </row>
    <row r="57547" spans="2:2" s="221" customFormat="1" ht="12.75" x14ac:dyDescent="0.2">
      <c r="B57547" s="1168"/>
    </row>
    <row r="57548" spans="2:2" s="221" customFormat="1" ht="12.75" x14ac:dyDescent="0.2">
      <c r="B57548" s="1168"/>
    </row>
    <row r="57549" spans="2:2" s="221" customFormat="1" ht="12.75" x14ac:dyDescent="0.2">
      <c r="B57549" s="1168"/>
    </row>
    <row r="57550" spans="2:2" s="221" customFormat="1" ht="12.75" x14ac:dyDescent="0.2">
      <c r="B57550" s="1168"/>
    </row>
    <row r="57551" spans="2:2" s="221" customFormat="1" ht="12.75" x14ac:dyDescent="0.2">
      <c r="B57551" s="1168"/>
    </row>
    <row r="57552" spans="2:2" s="221" customFormat="1" ht="12.75" x14ac:dyDescent="0.2">
      <c r="B57552" s="1168"/>
    </row>
    <row r="57553" spans="2:2" s="221" customFormat="1" ht="12.75" x14ac:dyDescent="0.2">
      <c r="B57553" s="1168"/>
    </row>
    <row r="57554" spans="2:2" s="221" customFormat="1" ht="12.75" x14ac:dyDescent="0.2">
      <c r="B57554" s="1168"/>
    </row>
    <row r="57555" spans="2:2" s="221" customFormat="1" ht="12.75" x14ac:dyDescent="0.2">
      <c r="B57555" s="1168"/>
    </row>
    <row r="57556" spans="2:2" s="221" customFormat="1" ht="12.75" x14ac:dyDescent="0.2">
      <c r="B57556" s="1168"/>
    </row>
    <row r="57557" spans="2:2" s="221" customFormat="1" ht="12.75" x14ac:dyDescent="0.2">
      <c r="B57557" s="1168"/>
    </row>
    <row r="57558" spans="2:2" s="221" customFormat="1" ht="12.75" x14ac:dyDescent="0.2">
      <c r="B57558" s="1168"/>
    </row>
    <row r="57559" spans="2:2" s="221" customFormat="1" ht="12.75" x14ac:dyDescent="0.2">
      <c r="B57559" s="1168"/>
    </row>
    <row r="57560" spans="2:2" s="221" customFormat="1" ht="12.75" x14ac:dyDescent="0.2">
      <c r="B57560" s="1168"/>
    </row>
    <row r="57561" spans="2:2" s="221" customFormat="1" ht="12.75" x14ac:dyDescent="0.2">
      <c r="B57561" s="1168"/>
    </row>
    <row r="57562" spans="2:2" s="221" customFormat="1" ht="12.75" x14ac:dyDescent="0.2">
      <c r="B57562" s="1168"/>
    </row>
    <row r="57563" spans="2:2" s="221" customFormat="1" ht="12.75" x14ac:dyDescent="0.2">
      <c r="B57563" s="1168"/>
    </row>
    <row r="57564" spans="2:2" s="221" customFormat="1" ht="12.75" x14ac:dyDescent="0.2">
      <c r="B57564" s="1168"/>
    </row>
    <row r="57565" spans="2:2" s="221" customFormat="1" ht="12.75" x14ac:dyDescent="0.2">
      <c r="B57565" s="1168"/>
    </row>
    <row r="57566" spans="2:2" s="221" customFormat="1" ht="12.75" x14ac:dyDescent="0.2">
      <c r="B57566" s="1168"/>
    </row>
    <row r="57567" spans="2:2" s="221" customFormat="1" ht="12.75" x14ac:dyDescent="0.2">
      <c r="B57567" s="1168"/>
    </row>
    <row r="57568" spans="2:2" s="221" customFormat="1" ht="12.75" x14ac:dyDescent="0.2">
      <c r="B57568" s="1168"/>
    </row>
    <row r="57569" spans="2:2" s="221" customFormat="1" ht="12.75" x14ac:dyDescent="0.2">
      <c r="B57569" s="1168"/>
    </row>
    <row r="57570" spans="2:2" s="221" customFormat="1" ht="12.75" x14ac:dyDescent="0.2">
      <c r="B57570" s="1168"/>
    </row>
    <row r="57571" spans="2:2" s="221" customFormat="1" ht="12.75" x14ac:dyDescent="0.2">
      <c r="B57571" s="1168"/>
    </row>
    <row r="57572" spans="2:2" s="221" customFormat="1" ht="12.75" x14ac:dyDescent="0.2">
      <c r="B57572" s="1168"/>
    </row>
    <row r="57573" spans="2:2" s="221" customFormat="1" ht="12.75" x14ac:dyDescent="0.2">
      <c r="B57573" s="1168"/>
    </row>
    <row r="57574" spans="2:2" s="221" customFormat="1" ht="12.75" x14ac:dyDescent="0.2">
      <c r="B57574" s="1168"/>
    </row>
    <row r="57575" spans="2:2" s="221" customFormat="1" ht="12.75" x14ac:dyDescent="0.2">
      <c r="B57575" s="1168"/>
    </row>
    <row r="57576" spans="2:2" s="221" customFormat="1" ht="12.75" x14ac:dyDescent="0.2">
      <c r="B57576" s="1168"/>
    </row>
    <row r="57577" spans="2:2" s="221" customFormat="1" ht="12.75" x14ac:dyDescent="0.2">
      <c r="B57577" s="1168"/>
    </row>
    <row r="57578" spans="2:2" s="221" customFormat="1" ht="12.75" x14ac:dyDescent="0.2">
      <c r="B57578" s="1168"/>
    </row>
    <row r="57579" spans="2:2" s="221" customFormat="1" ht="12.75" x14ac:dyDescent="0.2">
      <c r="B57579" s="1168"/>
    </row>
    <row r="57580" spans="2:2" s="221" customFormat="1" ht="12.75" x14ac:dyDescent="0.2">
      <c r="B57580" s="1168"/>
    </row>
    <row r="57581" spans="2:2" s="221" customFormat="1" ht="12.75" x14ac:dyDescent="0.2">
      <c r="B57581" s="1168"/>
    </row>
    <row r="57582" spans="2:2" s="221" customFormat="1" ht="12.75" x14ac:dyDescent="0.2">
      <c r="B57582" s="1168"/>
    </row>
    <row r="57583" spans="2:2" s="221" customFormat="1" ht="12.75" x14ac:dyDescent="0.2">
      <c r="B57583" s="1168"/>
    </row>
    <row r="57584" spans="2:2" s="221" customFormat="1" ht="12.75" x14ac:dyDescent="0.2">
      <c r="B57584" s="1168"/>
    </row>
    <row r="57585" spans="2:2" s="221" customFormat="1" ht="12.75" x14ac:dyDescent="0.2">
      <c r="B57585" s="1168"/>
    </row>
    <row r="57586" spans="2:2" s="221" customFormat="1" ht="12.75" x14ac:dyDescent="0.2">
      <c r="B57586" s="1168"/>
    </row>
    <row r="57587" spans="2:2" s="221" customFormat="1" ht="12.75" x14ac:dyDescent="0.2">
      <c r="B57587" s="1168"/>
    </row>
    <row r="57588" spans="2:2" s="221" customFormat="1" ht="12.75" x14ac:dyDescent="0.2">
      <c r="B57588" s="1168"/>
    </row>
    <row r="57589" spans="2:2" s="221" customFormat="1" ht="12.75" x14ac:dyDescent="0.2">
      <c r="B57589" s="1168"/>
    </row>
    <row r="57590" spans="2:2" s="221" customFormat="1" ht="12.75" x14ac:dyDescent="0.2">
      <c r="B57590" s="1168"/>
    </row>
    <row r="57591" spans="2:2" s="221" customFormat="1" ht="12.75" x14ac:dyDescent="0.2">
      <c r="B57591" s="1168"/>
    </row>
    <row r="57592" spans="2:2" s="221" customFormat="1" ht="12.75" x14ac:dyDescent="0.2">
      <c r="B57592" s="1168"/>
    </row>
    <row r="57593" spans="2:2" s="221" customFormat="1" ht="12.75" x14ac:dyDescent="0.2">
      <c r="B57593" s="1168"/>
    </row>
    <row r="57594" spans="2:2" s="221" customFormat="1" ht="12.75" x14ac:dyDescent="0.2">
      <c r="B57594" s="1168"/>
    </row>
    <row r="57595" spans="2:2" s="221" customFormat="1" ht="12.75" x14ac:dyDescent="0.2">
      <c r="B57595" s="1168"/>
    </row>
    <row r="57596" spans="2:2" s="221" customFormat="1" ht="12.75" x14ac:dyDescent="0.2">
      <c r="B57596" s="1168"/>
    </row>
    <row r="57597" spans="2:2" s="221" customFormat="1" ht="12.75" x14ac:dyDescent="0.2">
      <c r="B57597" s="1168"/>
    </row>
    <row r="57598" spans="2:2" s="221" customFormat="1" ht="12.75" x14ac:dyDescent="0.2">
      <c r="B57598" s="1168"/>
    </row>
    <row r="57599" spans="2:2" s="221" customFormat="1" ht="12.75" x14ac:dyDescent="0.2">
      <c r="B57599" s="1168"/>
    </row>
    <row r="57600" spans="2:2" s="221" customFormat="1" ht="12.75" x14ac:dyDescent="0.2">
      <c r="B57600" s="1168"/>
    </row>
    <row r="57601" spans="2:2" s="221" customFormat="1" ht="12.75" x14ac:dyDescent="0.2">
      <c r="B57601" s="1168"/>
    </row>
    <row r="57602" spans="2:2" s="221" customFormat="1" ht="12.75" x14ac:dyDescent="0.2">
      <c r="B57602" s="1168"/>
    </row>
    <row r="57603" spans="2:2" s="221" customFormat="1" ht="12.75" x14ac:dyDescent="0.2">
      <c r="B57603" s="1168"/>
    </row>
    <row r="57604" spans="2:2" s="221" customFormat="1" ht="12.75" x14ac:dyDescent="0.2">
      <c r="B57604" s="1168"/>
    </row>
    <row r="57605" spans="2:2" s="221" customFormat="1" ht="12.75" x14ac:dyDescent="0.2">
      <c r="B57605" s="1168"/>
    </row>
    <row r="57606" spans="2:2" s="221" customFormat="1" ht="12.75" x14ac:dyDescent="0.2">
      <c r="B57606" s="1168"/>
    </row>
    <row r="57607" spans="2:2" s="221" customFormat="1" ht="12.75" x14ac:dyDescent="0.2">
      <c r="B57607" s="1168"/>
    </row>
    <row r="57608" spans="2:2" s="221" customFormat="1" ht="12.75" x14ac:dyDescent="0.2">
      <c r="B57608" s="1168"/>
    </row>
    <row r="57609" spans="2:2" s="221" customFormat="1" ht="12.75" x14ac:dyDescent="0.2">
      <c r="B57609" s="1168"/>
    </row>
    <row r="57610" spans="2:2" s="221" customFormat="1" ht="12.75" x14ac:dyDescent="0.2">
      <c r="B57610" s="1168"/>
    </row>
    <row r="57611" spans="2:2" s="221" customFormat="1" ht="12.75" x14ac:dyDescent="0.2">
      <c r="B57611" s="1168"/>
    </row>
    <row r="57612" spans="2:2" s="221" customFormat="1" ht="12.75" x14ac:dyDescent="0.2">
      <c r="B57612" s="1168"/>
    </row>
    <row r="57613" spans="2:2" s="221" customFormat="1" ht="12.75" x14ac:dyDescent="0.2">
      <c r="B57613" s="1168"/>
    </row>
    <row r="57614" spans="2:2" s="221" customFormat="1" ht="12.75" x14ac:dyDescent="0.2">
      <c r="B57614" s="1168"/>
    </row>
    <row r="57615" spans="2:2" s="221" customFormat="1" ht="12.75" x14ac:dyDescent="0.2">
      <c r="B57615" s="1168"/>
    </row>
    <row r="57616" spans="2:2" s="221" customFormat="1" ht="12.75" x14ac:dyDescent="0.2">
      <c r="B57616" s="1168"/>
    </row>
    <row r="57617" spans="2:2" s="221" customFormat="1" ht="12.75" x14ac:dyDescent="0.2">
      <c r="B57617" s="1168"/>
    </row>
    <row r="57618" spans="2:2" s="221" customFormat="1" ht="12.75" x14ac:dyDescent="0.2">
      <c r="B57618" s="1168"/>
    </row>
    <row r="57619" spans="2:2" s="221" customFormat="1" ht="12.75" x14ac:dyDescent="0.2">
      <c r="B57619" s="1168"/>
    </row>
    <row r="57620" spans="2:2" s="221" customFormat="1" ht="12.75" x14ac:dyDescent="0.2">
      <c r="B57620" s="1168"/>
    </row>
    <row r="57621" spans="2:2" s="221" customFormat="1" ht="12.75" x14ac:dyDescent="0.2">
      <c r="B57621" s="1168"/>
    </row>
    <row r="57622" spans="2:2" s="221" customFormat="1" ht="12.75" x14ac:dyDescent="0.2">
      <c r="B57622" s="1168"/>
    </row>
    <row r="57623" spans="2:2" s="221" customFormat="1" ht="12.75" x14ac:dyDescent="0.2">
      <c r="B57623" s="1168"/>
    </row>
    <row r="57624" spans="2:2" s="221" customFormat="1" ht="12.75" x14ac:dyDescent="0.2">
      <c r="B57624" s="1168"/>
    </row>
    <row r="57625" spans="2:2" s="221" customFormat="1" ht="12.75" x14ac:dyDescent="0.2">
      <c r="B57625" s="1168"/>
    </row>
    <row r="57626" spans="2:2" s="221" customFormat="1" ht="12.75" x14ac:dyDescent="0.2">
      <c r="B57626" s="1168"/>
    </row>
    <row r="57627" spans="2:2" s="221" customFormat="1" ht="12.75" x14ac:dyDescent="0.2">
      <c r="B57627" s="1168"/>
    </row>
    <row r="57628" spans="2:2" s="221" customFormat="1" ht="12.75" x14ac:dyDescent="0.2">
      <c r="B57628" s="1168"/>
    </row>
    <row r="57629" spans="2:2" s="221" customFormat="1" ht="12.75" x14ac:dyDescent="0.2">
      <c r="B57629" s="1168"/>
    </row>
    <row r="57630" spans="2:2" s="221" customFormat="1" ht="12.75" x14ac:dyDescent="0.2">
      <c r="B57630" s="1168"/>
    </row>
    <row r="57631" spans="2:2" s="221" customFormat="1" ht="12.75" x14ac:dyDescent="0.2">
      <c r="B57631" s="1168"/>
    </row>
    <row r="57632" spans="2:2" s="221" customFormat="1" ht="12.75" x14ac:dyDescent="0.2">
      <c r="B57632" s="1168"/>
    </row>
    <row r="57633" spans="2:2" s="221" customFormat="1" ht="12.75" x14ac:dyDescent="0.2">
      <c r="B57633" s="1168"/>
    </row>
    <row r="57634" spans="2:2" s="221" customFormat="1" ht="12.75" x14ac:dyDescent="0.2">
      <c r="B57634" s="1168"/>
    </row>
    <row r="57635" spans="2:2" s="221" customFormat="1" ht="12.75" x14ac:dyDescent="0.2">
      <c r="B57635" s="1168"/>
    </row>
    <row r="57636" spans="2:2" s="221" customFormat="1" ht="12.75" x14ac:dyDescent="0.2">
      <c r="B57636" s="1168"/>
    </row>
    <row r="57637" spans="2:2" s="221" customFormat="1" ht="12.75" x14ac:dyDescent="0.2">
      <c r="B57637" s="1168"/>
    </row>
    <row r="57638" spans="2:2" s="221" customFormat="1" ht="12.75" x14ac:dyDescent="0.2">
      <c r="B57638" s="1168"/>
    </row>
    <row r="57639" spans="2:2" s="221" customFormat="1" ht="12.75" x14ac:dyDescent="0.2">
      <c r="B57639" s="1168"/>
    </row>
    <row r="57640" spans="2:2" s="221" customFormat="1" ht="12.75" x14ac:dyDescent="0.2">
      <c r="B57640" s="1168"/>
    </row>
    <row r="57641" spans="2:2" s="221" customFormat="1" ht="12.75" x14ac:dyDescent="0.2">
      <c r="B57641" s="1168"/>
    </row>
    <row r="57642" spans="2:2" s="221" customFormat="1" ht="12.75" x14ac:dyDescent="0.2">
      <c r="B57642" s="1168"/>
    </row>
    <row r="57643" spans="2:2" s="221" customFormat="1" ht="12.75" x14ac:dyDescent="0.2">
      <c r="B57643" s="1168"/>
    </row>
    <row r="57644" spans="2:2" s="221" customFormat="1" ht="12.75" x14ac:dyDescent="0.2">
      <c r="B57644" s="1168"/>
    </row>
    <row r="57645" spans="2:2" s="221" customFormat="1" ht="12.75" x14ac:dyDescent="0.2">
      <c r="B57645" s="1168"/>
    </row>
    <row r="57646" spans="2:2" s="221" customFormat="1" ht="12.75" x14ac:dyDescent="0.2">
      <c r="B57646" s="1168"/>
    </row>
    <row r="57647" spans="2:2" s="221" customFormat="1" ht="12.75" x14ac:dyDescent="0.2">
      <c r="B57647" s="1168"/>
    </row>
    <row r="57648" spans="2:2" s="221" customFormat="1" ht="12.75" x14ac:dyDescent="0.2">
      <c r="B57648" s="1168"/>
    </row>
    <row r="57649" spans="2:2" s="221" customFormat="1" ht="12.75" x14ac:dyDescent="0.2">
      <c r="B57649" s="1168"/>
    </row>
    <row r="57650" spans="2:2" s="221" customFormat="1" ht="12.75" x14ac:dyDescent="0.2">
      <c r="B57650" s="1168"/>
    </row>
    <row r="57651" spans="2:2" s="221" customFormat="1" ht="12.75" x14ac:dyDescent="0.2">
      <c r="B57651" s="1168"/>
    </row>
    <row r="57652" spans="2:2" s="221" customFormat="1" ht="12.75" x14ac:dyDescent="0.2">
      <c r="B57652" s="1168"/>
    </row>
    <row r="57653" spans="2:2" s="221" customFormat="1" ht="12.75" x14ac:dyDescent="0.2">
      <c r="B57653" s="1168"/>
    </row>
    <row r="57654" spans="2:2" s="221" customFormat="1" ht="12.75" x14ac:dyDescent="0.2">
      <c r="B57654" s="1168"/>
    </row>
    <row r="57655" spans="2:2" s="221" customFormat="1" ht="12.75" x14ac:dyDescent="0.2">
      <c r="B57655" s="1168"/>
    </row>
    <row r="57656" spans="2:2" s="221" customFormat="1" ht="12.75" x14ac:dyDescent="0.2">
      <c r="B57656" s="1168"/>
    </row>
    <row r="57657" spans="2:2" s="221" customFormat="1" ht="12.75" x14ac:dyDescent="0.2">
      <c r="B57657" s="1168"/>
    </row>
    <row r="57658" spans="2:2" s="221" customFormat="1" ht="12.75" x14ac:dyDescent="0.2">
      <c r="B57658" s="1168"/>
    </row>
    <row r="57659" spans="2:2" s="221" customFormat="1" ht="12.75" x14ac:dyDescent="0.2">
      <c r="B57659" s="1168"/>
    </row>
    <row r="57660" spans="2:2" s="221" customFormat="1" ht="12.75" x14ac:dyDescent="0.2">
      <c r="B57660" s="1168"/>
    </row>
    <row r="57661" spans="2:2" s="221" customFormat="1" ht="12.75" x14ac:dyDescent="0.2">
      <c r="B57661" s="1168"/>
    </row>
    <row r="57662" spans="2:2" s="221" customFormat="1" ht="12.75" x14ac:dyDescent="0.2">
      <c r="B57662" s="1168"/>
    </row>
    <row r="57663" spans="2:2" s="221" customFormat="1" ht="12.75" x14ac:dyDescent="0.2">
      <c r="B57663" s="1168"/>
    </row>
    <row r="57664" spans="2:2" s="221" customFormat="1" ht="12.75" x14ac:dyDescent="0.2">
      <c r="B57664" s="1168"/>
    </row>
    <row r="57665" spans="2:2" s="221" customFormat="1" ht="12.75" x14ac:dyDescent="0.2">
      <c r="B57665" s="1168"/>
    </row>
    <row r="57666" spans="2:2" s="221" customFormat="1" ht="12.75" x14ac:dyDescent="0.2">
      <c r="B57666" s="1168"/>
    </row>
    <row r="57667" spans="2:2" s="221" customFormat="1" ht="12.75" x14ac:dyDescent="0.2">
      <c r="B57667" s="1168"/>
    </row>
    <row r="57668" spans="2:2" s="221" customFormat="1" ht="12.75" x14ac:dyDescent="0.2">
      <c r="B57668" s="1168"/>
    </row>
    <row r="57669" spans="2:2" s="221" customFormat="1" ht="12.75" x14ac:dyDescent="0.2">
      <c r="B57669" s="1168"/>
    </row>
    <row r="57670" spans="2:2" s="221" customFormat="1" ht="12.75" x14ac:dyDescent="0.2">
      <c r="B57670" s="1168"/>
    </row>
    <row r="57671" spans="2:2" s="221" customFormat="1" ht="12.75" x14ac:dyDescent="0.2">
      <c r="B57671" s="1168"/>
    </row>
    <row r="57672" spans="2:2" s="221" customFormat="1" ht="12.75" x14ac:dyDescent="0.2">
      <c r="B57672" s="1168"/>
    </row>
    <row r="57673" spans="2:2" s="221" customFormat="1" ht="12.75" x14ac:dyDescent="0.2">
      <c r="B57673" s="1168"/>
    </row>
    <row r="57674" spans="2:2" s="221" customFormat="1" ht="12.75" x14ac:dyDescent="0.2">
      <c r="B57674" s="1168"/>
    </row>
    <row r="57675" spans="2:2" s="221" customFormat="1" ht="12.75" x14ac:dyDescent="0.2">
      <c r="B57675" s="1168"/>
    </row>
    <row r="57676" spans="2:2" s="221" customFormat="1" ht="12.75" x14ac:dyDescent="0.2">
      <c r="B57676" s="1168"/>
    </row>
    <row r="57677" spans="2:2" s="221" customFormat="1" ht="12.75" x14ac:dyDescent="0.2">
      <c r="B57677" s="1168"/>
    </row>
    <row r="57678" spans="2:2" s="221" customFormat="1" ht="12.75" x14ac:dyDescent="0.2">
      <c r="B57678" s="1168"/>
    </row>
    <row r="57679" spans="2:2" s="221" customFormat="1" ht="12.75" x14ac:dyDescent="0.2">
      <c r="B57679" s="1168"/>
    </row>
    <row r="57680" spans="2:2" s="221" customFormat="1" ht="12.75" x14ac:dyDescent="0.2">
      <c r="B57680" s="1168"/>
    </row>
    <row r="57681" spans="2:2" s="221" customFormat="1" ht="12.75" x14ac:dyDescent="0.2">
      <c r="B57681" s="1168"/>
    </row>
    <row r="57682" spans="2:2" s="221" customFormat="1" ht="12.75" x14ac:dyDescent="0.2">
      <c r="B57682" s="1168"/>
    </row>
    <row r="57683" spans="2:2" s="221" customFormat="1" ht="12.75" x14ac:dyDescent="0.2">
      <c r="B57683" s="1168"/>
    </row>
    <row r="57684" spans="2:2" s="221" customFormat="1" ht="12.75" x14ac:dyDescent="0.2">
      <c r="B57684" s="1168"/>
    </row>
    <row r="57685" spans="2:2" s="221" customFormat="1" ht="12.75" x14ac:dyDescent="0.2">
      <c r="B57685" s="1168"/>
    </row>
    <row r="57686" spans="2:2" s="221" customFormat="1" ht="12.75" x14ac:dyDescent="0.2">
      <c r="B57686" s="1168"/>
    </row>
    <row r="57687" spans="2:2" s="221" customFormat="1" ht="12.75" x14ac:dyDescent="0.2">
      <c r="B57687" s="1168"/>
    </row>
    <row r="57688" spans="2:2" s="221" customFormat="1" ht="12.75" x14ac:dyDescent="0.2">
      <c r="B57688" s="1168"/>
    </row>
    <row r="57689" spans="2:2" s="221" customFormat="1" ht="12.75" x14ac:dyDescent="0.2">
      <c r="B57689" s="1168"/>
    </row>
    <row r="57690" spans="2:2" s="221" customFormat="1" ht="12.75" x14ac:dyDescent="0.2">
      <c r="B57690" s="1168"/>
    </row>
    <row r="57691" spans="2:2" s="221" customFormat="1" ht="12.75" x14ac:dyDescent="0.2">
      <c r="B57691" s="1168"/>
    </row>
    <row r="57692" spans="2:2" s="221" customFormat="1" ht="12.75" x14ac:dyDescent="0.2">
      <c r="B57692" s="1168"/>
    </row>
    <row r="57693" spans="2:2" s="221" customFormat="1" ht="12.75" x14ac:dyDescent="0.2">
      <c r="B57693" s="1168"/>
    </row>
    <row r="57694" spans="2:2" s="221" customFormat="1" ht="12.75" x14ac:dyDescent="0.2">
      <c r="B57694" s="1168"/>
    </row>
    <row r="57695" spans="2:2" s="221" customFormat="1" ht="12.75" x14ac:dyDescent="0.2">
      <c r="B57695" s="1168"/>
    </row>
    <row r="57696" spans="2:2" s="221" customFormat="1" ht="12.75" x14ac:dyDescent="0.2">
      <c r="B57696" s="1168"/>
    </row>
    <row r="57697" spans="2:2" s="221" customFormat="1" ht="12.75" x14ac:dyDescent="0.2">
      <c r="B57697" s="1168"/>
    </row>
    <row r="57698" spans="2:2" s="221" customFormat="1" ht="12.75" x14ac:dyDescent="0.2">
      <c r="B57698" s="1168"/>
    </row>
    <row r="57699" spans="2:2" s="221" customFormat="1" ht="12.75" x14ac:dyDescent="0.2">
      <c r="B57699" s="1168"/>
    </row>
    <row r="57700" spans="2:2" s="221" customFormat="1" ht="12.75" x14ac:dyDescent="0.2">
      <c r="B57700" s="1168"/>
    </row>
    <row r="57701" spans="2:2" s="221" customFormat="1" ht="12.75" x14ac:dyDescent="0.2">
      <c r="B57701" s="1168"/>
    </row>
    <row r="57702" spans="2:2" s="221" customFormat="1" ht="12.75" x14ac:dyDescent="0.2">
      <c r="B57702" s="1168"/>
    </row>
    <row r="57703" spans="2:2" s="221" customFormat="1" ht="12.75" x14ac:dyDescent="0.2">
      <c r="B57703" s="1168"/>
    </row>
    <row r="57704" spans="2:2" s="221" customFormat="1" ht="12.75" x14ac:dyDescent="0.2">
      <c r="B57704" s="1168"/>
    </row>
    <row r="57705" spans="2:2" s="221" customFormat="1" ht="12.75" x14ac:dyDescent="0.2">
      <c r="B57705" s="1168"/>
    </row>
    <row r="57706" spans="2:2" s="221" customFormat="1" ht="12.75" x14ac:dyDescent="0.2">
      <c r="B57706" s="1168"/>
    </row>
    <row r="57707" spans="2:2" s="221" customFormat="1" ht="12.75" x14ac:dyDescent="0.2">
      <c r="B57707" s="1168"/>
    </row>
    <row r="57708" spans="2:2" s="221" customFormat="1" ht="12.75" x14ac:dyDescent="0.2">
      <c r="B57708" s="1168"/>
    </row>
    <row r="57709" spans="2:2" s="221" customFormat="1" ht="12.75" x14ac:dyDescent="0.2">
      <c r="B57709" s="1168"/>
    </row>
    <row r="57710" spans="2:2" s="221" customFormat="1" ht="12.75" x14ac:dyDescent="0.2">
      <c r="B57710" s="1168"/>
    </row>
    <row r="57711" spans="2:2" s="221" customFormat="1" ht="12.75" x14ac:dyDescent="0.2">
      <c r="B57711" s="1168"/>
    </row>
    <row r="57712" spans="2:2" s="221" customFormat="1" ht="12.75" x14ac:dyDescent="0.2">
      <c r="B57712" s="1168"/>
    </row>
    <row r="57713" spans="2:2" s="221" customFormat="1" ht="12.75" x14ac:dyDescent="0.2">
      <c r="B57713" s="1168"/>
    </row>
    <row r="57714" spans="2:2" s="221" customFormat="1" ht="12.75" x14ac:dyDescent="0.2">
      <c r="B57714" s="1168"/>
    </row>
    <row r="57715" spans="2:2" s="221" customFormat="1" ht="12.75" x14ac:dyDescent="0.2">
      <c r="B57715" s="1168"/>
    </row>
    <row r="57716" spans="2:2" s="221" customFormat="1" ht="12.75" x14ac:dyDescent="0.2">
      <c r="B57716" s="1168"/>
    </row>
    <row r="57717" spans="2:2" s="221" customFormat="1" ht="12.75" x14ac:dyDescent="0.2">
      <c r="B57717" s="1168"/>
    </row>
    <row r="57718" spans="2:2" s="221" customFormat="1" ht="12.75" x14ac:dyDescent="0.2">
      <c r="B57718" s="1168"/>
    </row>
    <row r="57719" spans="2:2" s="221" customFormat="1" ht="12.75" x14ac:dyDescent="0.2">
      <c r="B57719" s="1168"/>
    </row>
    <row r="57720" spans="2:2" s="221" customFormat="1" ht="12.75" x14ac:dyDescent="0.2">
      <c r="B57720" s="1168"/>
    </row>
    <row r="57721" spans="2:2" s="221" customFormat="1" ht="12.75" x14ac:dyDescent="0.2">
      <c r="B57721" s="1168"/>
    </row>
    <row r="57722" spans="2:2" s="221" customFormat="1" ht="12.75" x14ac:dyDescent="0.2">
      <c r="B57722" s="1168"/>
    </row>
    <row r="57723" spans="2:2" s="221" customFormat="1" ht="12.75" x14ac:dyDescent="0.2">
      <c r="B57723" s="1168"/>
    </row>
    <row r="57724" spans="2:2" s="221" customFormat="1" ht="12.75" x14ac:dyDescent="0.2">
      <c r="B57724" s="1168"/>
    </row>
    <row r="57725" spans="2:2" s="221" customFormat="1" ht="12.75" x14ac:dyDescent="0.2">
      <c r="B57725" s="1168"/>
    </row>
    <row r="57726" spans="2:2" s="221" customFormat="1" ht="12.75" x14ac:dyDescent="0.2">
      <c r="B57726" s="1168"/>
    </row>
    <row r="57727" spans="2:2" s="221" customFormat="1" ht="12.75" x14ac:dyDescent="0.2">
      <c r="B57727" s="1168"/>
    </row>
    <row r="57728" spans="2:2" s="221" customFormat="1" ht="12.75" x14ac:dyDescent="0.2">
      <c r="B57728" s="1168"/>
    </row>
    <row r="57729" spans="2:2" s="221" customFormat="1" ht="12.75" x14ac:dyDescent="0.2">
      <c r="B57729" s="1168"/>
    </row>
    <row r="57730" spans="2:2" s="221" customFormat="1" ht="12.75" x14ac:dyDescent="0.2">
      <c r="B57730" s="1168"/>
    </row>
    <row r="57731" spans="2:2" s="221" customFormat="1" ht="12.75" x14ac:dyDescent="0.2">
      <c r="B57731" s="1168"/>
    </row>
    <row r="57732" spans="2:2" s="221" customFormat="1" ht="12.75" x14ac:dyDescent="0.2">
      <c r="B57732" s="1168"/>
    </row>
    <row r="57733" spans="2:2" s="221" customFormat="1" ht="12.75" x14ac:dyDescent="0.2">
      <c r="B57733" s="1168"/>
    </row>
    <row r="57734" spans="2:2" s="221" customFormat="1" ht="12.75" x14ac:dyDescent="0.2">
      <c r="B57734" s="1168"/>
    </row>
    <row r="57735" spans="2:2" s="221" customFormat="1" ht="12.75" x14ac:dyDescent="0.2">
      <c r="B57735" s="1168"/>
    </row>
    <row r="57736" spans="2:2" s="221" customFormat="1" ht="12.75" x14ac:dyDescent="0.2">
      <c r="B57736" s="1168"/>
    </row>
    <row r="57737" spans="2:2" s="221" customFormat="1" ht="12.75" x14ac:dyDescent="0.2">
      <c r="B57737" s="1168"/>
    </row>
    <row r="57738" spans="2:2" s="221" customFormat="1" ht="12.75" x14ac:dyDescent="0.2">
      <c r="B57738" s="1168"/>
    </row>
    <row r="57739" spans="2:2" s="221" customFormat="1" ht="12.75" x14ac:dyDescent="0.2">
      <c r="B57739" s="1168"/>
    </row>
    <row r="57740" spans="2:2" s="221" customFormat="1" ht="12.75" x14ac:dyDescent="0.2">
      <c r="B57740" s="1168"/>
    </row>
    <row r="57741" spans="2:2" s="221" customFormat="1" ht="12.75" x14ac:dyDescent="0.2">
      <c r="B57741" s="1168"/>
    </row>
    <row r="57742" spans="2:2" s="221" customFormat="1" ht="12.75" x14ac:dyDescent="0.2">
      <c r="B57742" s="1168"/>
    </row>
    <row r="57743" spans="2:2" s="221" customFormat="1" ht="12.75" x14ac:dyDescent="0.2">
      <c r="B57743" s="1168"/>
    </row>
    <row r="57744" spans="2:2" s="221" customFormat="1" ht="12.75" x14ac:dyDescent="0.2">
      <c r="B57744" s="1168"/>
    </row>
    <row r="57745" spans="2:2" s="221" customFormat="1" ht="12.75" x14ac:dyDescent="0.2">
      <c r="B57745" s="1168"/>
    </row>
    <row r="57746" spans="2:2" s="221" customFormat="1" ht="12.75" x14ac:dyDescent="0.2">
      <c r="B57746" s="1168"/>
    </row>
    <row r="57747" spans="2:2" s="221" customFormat="1" ht="12.75" x14ac:dyDescent="0.2">
      <c r="B57747" s="1168"/>
    </row>
    <row r="57748" spans="2:2" s="221" customFormat="1" ht="12.75" x14ac:dyDescent="0.2">
      <c r="B57748" s="1168"/>
    </row>
    <row r="57749" spans="2:2" s="221" customFormat="1" ht="12.75" x14ac:dyDescent="0.2">
      <c r="B57749" s="1168"/>
    </row>
    <row r="57750" spans="2:2" s="221" customFormat="1" ht="12.75" x14ac:dyDescent="0.2">
      <c r="B57750" s="1168"/>
    </row>
    <row r="57751" spans="2:2" s="221" customFormat="1" ht="12.75" x14ac:dyDescent="0.2">
      <c r="B57751" s="1168"/>
    </row>
    <row r="57752" spans="2:2" s="221" customFormat="1" ht="12.75" x14ac:dyDescent="0.2">
      <c r="B57752" s="1168"/>
    </row>
    <row r="57753" spans="2:2" s="221" customFormat="1" ht="12.75" x14ac:dyDescent="0.2">
      <c r="B57753" s="1168"/>
    </row>
    <row r="57754" spans="2:2" s="221" customFormat="1" ht="12.75" x14ac:dyDescent="0.2">
      <c r="B57754" s="1168"/>
    </row>
    <row r="57755" spans="2:2" s="221" customFormat="1" ht="12.75" x14ac:dyDescent="0.2">
      <c r="B57755" s="1168"/>
    </row>
    <row r="57756" spans="2:2" s="221" customFormat="1" ht="12.75" x14ac:dyDescent="0.2">
      <c r="B57756" s="1168"/>
    </row>
    <row r="57757" spans="2:2" s="221" customFormat="1" ht="12.75" x14ac:dyDescent="0.2">
      <c r="B57757" s="1168"/>
    </row>
    <row r="57758" spans="2:2" s="221" customFormat="1" ht="12.75" x14ac:dyDescent="0.2">
      <c r="B57758" s="1168"/>
    </row>
    <row r="57759" spans="2:2" s="221" customFormat="1" ht="12.75" x14ac:dyDescent="0.2">
      <c r="B57759" s="1168"/>
    </row>
    <row r="57760" spans="2:2" s="221" customFormat="1" ht="12.75" x14ac:dyDescent="0.2">
      <c r="B57760" s="1168"/>
    </row>
    <row r="57761" spans="2:2" s="221" customFormat="1" ht="12.75" x14ac:dyDescent="0.2">
      <c r="B57761" s="1168"/>
    </row>
    <row r="57762" spans="2:2" s="221" customFormat="1" ht="12.75" x14ac:dyDescent="0.2">
      <c r="B57762" s="1168"/>
    </row>
    <row r="57763" spans="2:2" s="221" customFormat="1" ht="12.75" x14ac:dyDescent="0.2">
      <c r="B57763" s="1168"/>
    </row>
    <row r="57764" spans="2:2" s="221" customFormat="1" ht="12.75" x14ac:dyDescent="0.2">
      <c r="B57764" s="1168"/>
    </row>
    <row r="57765" spans="2:2" s="221" customFormat="1" ht="12.75" x14ac:dyDescent="0.2">
      <c r="B57765" s="1168"/>
    </row>
    <row r="57766" spans="2:2" s="221" customFormat="1" ht="12.75" x14ac:dyDescent="0.2">
      <c r="B57766" s="1168"/>
    </row>
    <row r="57767" spans="2:2" s="221" customFormat="1" ht="12.75" x14ac:dyDescent="0.2">
      <c r="B57767" s="1168"/>
    </row>
    <row r="57768" spans="2:2" s="221" customFormat="1" ht="12.75" x14ac:dyDescent="0.2">
      <c r="B57768" s="1168"/>
    </row>
    <row r="57769" spans="2:2" s="221" customFormat="1" ht="12.75" x14ac:dyDescent="0.2">
      <c r="B57769" s="1168"/>
    </row>
    <row r="57770" spans="2:2" s="221" customFormat="1" ht="12.75" x14ac:dyDescent="0.2">
      <c r="B57770" s="1168"/>
    </row>
    <row r="57771" spans="2:2" s="221" customFormat="1" ht="12.75" x14ac:dyDescent="0.2">
      <c r="B57771" s="1168"/>
    </row>
    <row r="57772" spans="2:2" s="221" customFormat="1" ht="12.75" x14ac:dyDescent="0.2">
      <c r="B57772" s="1168"/>
    </row>
    <row r="57773" spans="2:2" s="221" customFormat="1" ht="12.75" x14ac:dyDescent="0.2">
      <c r="B57773" s="1168"/>
    </row>
    <row r="57774" spans="2:2" s="221" customFormat="1" ht="12.75" x14ac:dyDescent="0.2">
      <c r="B57774" s="1168"/>
    </row>
    <row r="57775" spans="2:2" s="221" customFormat="1" ht="12.75" x14ac:dyDescent="0.2">
      <c r="B57775" s="1168"/>
    </row>
    <row r="57776" spans="2:2" s="221" customFormat="1" ht="12.75" x14ac:dyDescent="0.2">
      <c r="B57776" s="1168"/>
    </row>
    <row r="57777" spans="2:2" s="221" customFormat="1" ht="12.75" x14ac:dyDescent="0.2">
      <c r="B57777" s="1168"/>
    </row>
    <row r="57778" spans="2:2" s="221" customFormat="1" ht="12.75" x14ac:dyDescent="0.2">
      <c r="B57778" s="1168"/>
    </row>
    <row r="57779" spans="2:2" s="221" customFormat="1" ht="12.75" x14ac:dyDescent="0.2">
      <c r="B57779" s="1168"/>
    </row>
    <row r="57780" spans="2:2" s="221" customFormat="1" ht="12.75" x14ac:dyDescent="0.2">
      <c r="B57780" s="1168"/>
    </row>
    <row r="57781" spans="2:2" s="221" customFormat="1" ht="12.75" x14ac:dyDescent="0.2">
      <c r="B57781" s="1168"/>
    </row>
    <row r="57782" spans="2:2" s="221" customFormat="1" ht="12.75" x14ac:dyDescent="0.2">
      <c r="B57782" s="1168"/>
    </row>
    <row r="57783" spans="2:2" s="221" customFormat="1" ht="12.75" x14ac:dyDescent="0.2">
      <c r="B57783" s="1168"/>
    </row>
    <row r="57784" spans="2:2" s="221" customFormat="1" ht="12.75" x14ac:dyDescent="0.2">
      <c r="B57784" s="1168"/>
    </row>
    <row r="57785" spans="2:2" s="221" customFormat="1" ht="12.75" x14ac:dyDescent="0.2">
      <c r="B57785" s="1168"/>
    </row>
    <row r="57786" spans="2:2" s="221" customFormat="1" ht="12.75" x14ac:dyDescent="0.2">
      <c r="B57786" s="1168"/>
    </row>
    <row r="57787" spans="2:2" s="221" customFormat="1" ht="12.75" x14ac:dyDescent="0.2">
      <c r="B57787" s="1168"/>
    </row>
    <row r="57788" spans="2:2" s="221" customFormat="1" ht="12.75" x14ac:dyDescent="0.2">
      <c r="B57788" s="1168"/>
    </row>
    <row r="57789" spans="2:2" s="221" customFormat="1" ht="12.75" x14ac:dyDescent="0.2">
      <c r="B57789" s="1168"/>
    </row>
    <row r="57790" spans="2:2" s="221" customFormat="1" ht="12.75" x14ac:dyDescent="0.2">
      <c r="B57790" s="1168"/>
    </row>
    <row r="57791" spans="2:2" s="221" customFormat="1" ht="12.75" x14ac:dyDescent="0.2">
      <c r="B57791" s="1168"/>
    </row>
    <row r="57792" spans="2:2" s="221" customFormat="1" ht="12.75" x14ac:dyDescent="0.2">
      <c r="B57792" s="1168"/>
    </row>
    <row r="57793" spans="2:2" s="221" customFormat="1" ht="12.75" x14ac:dyDescent="0.2">
      <c r="B57793" s="1168"/>
    </row>
    <row r="57794" spans="2:2" s="221" customFormat="1" ht="12.75" x14ac:dyDescent="0.2">
      <c r="B57794" s="1168"/>
    </row>
    <row r="57795" spans="2:2" s="221" customFormat="1" ht="12.75" x14ac:dyDescent="0.2">
      <c r="B57795" s="1168"/>
    </row>
    <row r="57796" spans="2:2" s="221" customFormat="1" ht="12.75" x14ac:dyDescent="0.2">
      <c r="B57796" s="1168"/>
    </row>
    <row r="57797" spans="2:2" s="221" customFormat="1" ht="12.75" x14ac:dyDescent="0.2">
      <c r="B57797" s="1168"/>
    </row>
    <row r="57798" spans="2:2" s="221" customFormat="1" ht="12.75" x14ac:dyDescent="0.2">
      <c r="B57798" s="1168"/>
    </row>
    <row r="57799" spans="2:2" s="221" customFormat="1" ht="12.75" x14ac:dyDescent="0.2">
      <c r="B57799" s="1168"/>
    </row>
    <row r="57800" spans="2:2" s="221" customFormat="1" ht="12.75" x14ac:dyDescent="0.2">
      <c r="B57800" s="1168"/>
    </row>
    <row r="57801" spans="2:2" s="221" customFormat="1" ht="12.75" x14ac:dyDescent="0.2">
      <c r="B57801" s="1168"/>
    </row>
    <row r="57802" spans="2:2" s="221" customFormat="1" ht="12.75" x14ac:dyDescent="0.2">
      <c r="B57802" s="1168"/>
    </row>
    <row r="57803" spans="2:2" s="221" customFormat="1" ht="12.75" x14ac:dyDescent="0.2">
      <c r="B57803" s="1168"/>
    </row>
    <row r="57804" spans="2:2" s="221" customFormat="1" ht="12.75" x14ac:dyDescent="0.2">
      <c r="B57804" s="1168"/>
    </row>
    <row r="57805" spans="2:2" s="221" customFormat="1" ht="12.75" x14ac:dyDescent="0.2">
      <c r="B57805" s="1168"/>
    </row>
    <row r="57806" spans="2:2" s="221" customFormat="1" ht="12.75" x14ac:dyDescent="0.2">
      <c r="B57806" s="1168"/>
    </row>
    <row r="57807" spans="2:2" s="221" customFormat="1" ht="12.75" x14ac:dyDescent="0.2">
      <c r="B57807" s="1168"/>
    </row>
    <row r="57808" spans="2:2" s="221" customFormat="1" ht="12.75" x14ac:dyDescent="0.2">
      <c r="B57808" s="1168"/>
    </row>
    <row r="57809" spans="2:2" s="221" customFormat="1" ht="12.75" x14ac:dyDescent="0.2">
      <c r="B57809" s="1168"/>
    </row>
    <row r="57810" spans="2:2" s="221" customFormat="1" ht="12.75" x14ac:dyDescent="0.2">
      <c r="B57810" s="1168"/>
    </row>
    <row r="57811" spans="2:2" s="221" customFormat="1" ht="12.75" x14ac:dyDescent="0.2">
      <c r="B57811" s="1168"/>
    </row>
    <row r="57812" spans="2:2" s="221" customFormat="1" ht="12.75" x14ac:dyDescent="0.2">
      <c r="B57812" s="1168"/>
    </row>
    <row r="57813" spans="2:2" s="221" customFormat="1" ht="12.75" x14ac:dyDescent="0.2">
      <c r="B57813" s="1168"/>
    </row>
    <row r="57814" spans="2:2" s="221" customFormat="1" ht="12.75" x14ac:dyDescent="0.2">
      <c r="B57814" s="1168"/>
    </row>
    <row r="57815" spans="2:2" s="221" customFormat="1" ht="12.75" x14ac:dyDescent="0.2">
      <c r="B57815" s="1168"/>
    </row>
    <row r="57816" spans="2:2" s="221" customFormat="1" ht="12.75" x14ac:dyDescent="0.2">
      <c r="B57816" s="1168"/>
    </row>
    <row r="57817" spans="2:2" s="221" customFormat="1" ht="12.75" x14ac:dyDescent="0.2">
      <c r="B57817" s="1168"/>
    </row>
    <row r="57818" spans="2:2" s="221" customFormat="1" ht="12.75" x14ac:dyDescent="0.2">
      <c r="B57818" s="1168"/>
    </row>
    <row r="57819" spans="2:2" s="221" customFormat="1" ht="12.75" x14ac:dyDescent="0.2">
      <c r="B57819" s="1168"/>
    </row>
    <row r="57820" spans="2:2" s="221" customFormat="1" ht="12.75" x14ac:dyDescent="0.2">
      <c r="B57820" s="1168"/>
    </row>
    <row r="57821" spans="2:2" s="221" customFormat="1" ht="12.75" x14ac:dyDescent="0.2">
      <c r="B57821" s="1168"/>
    </row>
    <row r="57822" spans="2:2" s="221" customFormat="1" ht="12.75" x14ac:dyDescent="0.2">
      <c r="B57822" s="1168"/>
    </row>
    <row r="57823" spans="2:2" s="221" customFormat="1" ht="12.75" x14ac:dyDescent="0.2">
      <c r="B57823" s="1168"/>
    </row>
    <row r="57824" spans="2:2" s="221" customFormat="1" ht="12.75" x14ac:dyDescent="0.2">
      <c r="B57824" s="1168"/>
    </row>
    <row r="57825" spans="2:2" s="221" customFormat="1" ht="12.75" x14ac:dyDescent="0.2">
      <c r="B57825" s="1168"/>
    </row>
    <row r="57826" spans="2:2" s="221" customFormat="1" ht="12.75" x14ac:dyDescent="0.2">
      <c r="B57826" s="1168"/>
    </row>
    <row r="57827" spans="2:2" s="221" customFormat="1" ht="12.75" x14ac:dyDescent="0.2">
      <c r="B57827" s="1168"/>
    </row>
    <row r="57828" spans="2:2" s="221" customFormat="1" ht="12.75" x14ac:dyDescent="0.2">
      <c r="B57828" s="1168"/>
    </row>
    <row r="57829" spans="2:2" s="221" customFormat="1" ht="12.75" x14ac:dyDescent="0.2">
      <c r="B57829" s="1168"/>
    </row>
    <row r="57830" spans="2:2" s="221" customFormat="1" ht="12.75" x14ac:dyDescent="0.2">
      <c r="B57830" s="1168"/>
    </row>
    <row r="57831" spans="2:2" s="221" customFormat="1" ht="12.75" x14ac:dyDescent="0.2">
      <c r="B57831" s="1168"/>
    </row>
    <row r="57832" spans="2:2" s="221" customFormat="1" ht="12.75" x14ac:dyDescent="0.2">
      <c r="B57832" s="1168"/>
    </row>
    <row r="57833" spans="2:2" s="221" customFormat="1" ht="12.75" x14ac:dyDescent="0.2">
      <c r="B57833" s="1168"/>
    </row>
    <row r="57834" spans="2:2" s="221" customFormat="1" ht="12.75" x14ac:dyDescent="0.2">
      <c r="B57834" s="1168"/>
    </row>
    <row r="57835" spans="2:2" s="221" customFormat="1" ht="12.75" x14ac:dyDescent="0.2">
      <c r="B57835" s="1168"/>
    </row>
    <row r="57836" spans="2:2" s="221" customFormat="1" ht="12.75" x14ac:dyDescent="0.2">
      <c r="B57836" s="1168"/>
    </row>
    <row r="57837" spans="2:2" s="221" customFormat="1" ht="12.75" x14ac:dyDescent="0.2">
      <c r="B57837" s="1168"/>
    </row>
    <row r="57838" spans="2:2" s="221" customFormat="1" ht="12.75" x14ac:dyDescent="0.2">
      <c r="B57838" s="1168"/>
    </row>
    <row r="57839" spans="2:2" s="221" customFormat="1" ht="12.75" x14ac:dyDescent="0.2">
      <c r="B57839" s="1168"/>
    </row>
    <row r="57840" spans="2:2" s="221" customFormat="1" ht="12.75" x14ac:dyDescent="0.2">
      <c r="B57840" s="1168"/>
    </row>
    <row r="57841" spans="2:2" s="221" customFormat="1" ht="12.75" x14ac:dyDescent="0.2">
      <c r="B57841" s="1168"/>
    </row>
    <row r="57842" spans="2:2" s="221" customFormat="1" ht="12.75" x14ac:dyDescent="0.2">
      <c r="B57842" s="1168"/>
    </row>
    <row r="57843" spans="2:2" s="221" customFormat="1" ht="12.75" x14ac:dyDescent="0.2">
      <c r="B57843" s="1168"/>
    </row>
    <row r="57844" spans="2:2" s="221" customFormat="1" ht="12.75" x14ac:dyDescent="0.2">
      <c r="B57844" s="1168"/>
    </row>
    <row r="57845" spans="2:2" s="221" customFormat="1" ht="12.75" x14ac:dyDescent="0.2">
      <c r="B57845" s="1168"/>
    </row>
    <row r="57846" spans="2:2" s="221" customFormat="1" ht="12.75" x14ac:dyDescent="0.2">
      <c r="B57846" s="1168"/>
    </row>
    <row r="57847" spans="2:2" s="221" customFormat="1" ht="12.75" x14ac:dyDescent="0.2">
      <c r="B57847" s="1168"/>
    </row>
    <row r="57848" spans="2:2" s="221" customFormat="1" ht="12.75" x14ac:dyDescent="0.2">
      <c r="B57848" s="1168"/>
    </row>
    <row r="57849" spans="2:2" s="221" customFormat="1" ht="12.75" x14ac:dyDescent="0.2">
      <c r="B57849" s="1168"/>
    </row>
    <row r="57850" spans="2:2" s="221" customFormat="1" ht="12.75" x14ac:dyDescent="0.2">
      <c r="B57850" s="1168"/>
    </row>
    <row r="57851" spans="2:2" s="221" customFormat="1" ht="12.75" x14ac:dyDescent="0.2">
      <c r="B57851" s="1168"/>
    </row>
    <row r="57852" spans="2:2" s="221" customFormat="1" ht="12.75" x14ac:dyDescent="0.2">
      <c r="B57852" s="1168"/>
    </row>
    <row r="57853" spans="2:2" s="221" customFormat="1" ht="12.75" x14ac:dyDescent="0.2">
      <c r="B57853" s="1168"/>
    </row>
    <row r="57854" spans="2:2" s="221" customFormat="1" ht="12.75" x14ac:dyDescent="0.2">
      <c r="B57854" s="1168"/>
    </row>
    <row r="57855" spans="2:2" s="221" customFormat="1" ht="12.75" x14ac:dyDescent="0.2">
      <c r="B57855" s="1168"/>
    </row>
    <row r="57856" spans="2:2" s="221" customFormat="1" ht="12.75" x14ac:dyDescent="0.2">
      <c r="B57856" s="1168"/>
    </row>
    <row r="57857" spans="2:2" s="221" customFormat="1" ht="12.75" x14ac:dyDescent="0.2">
      <c r="B57857" s="1168"/>
    </row>
    <row r="57858" spans="2:2" s="221" customFormat="1" ht="12.75" x14ac:dyDescent="0.2">
      <c r="B57858" s="1168"/>
    </row>
    <row r="57859" spans="2:2" s="221" customFormat="1" ht="12.75" x14ac:dyDescent="0.2">
      <c r="B57859" s="1168"/>
    </row>
    <row r="57860" spans="2:2" s="221" customFormat="1" ht="12.75" x14ac:dyDescent="0.2">
      <c r="B57860" s="1168"/>
    </row>
    <row r="57861" spans="2:2" s="221" customFormat="1" ht="12.75" x14ac:dyDescent="0.2">
      <c r="B57861" s="1168"/>
    </row>
    <row r="57862" spans="2:2" s="221" customFormat="1" ht="12.75" x14ac:dyDescent="0.2">
      <c r="B57862" s="1168"/>
    </row>
    <row r="57863" spans="2:2" s="221" customFormat="1" ht="12.75" x14ac:dyDescent="0.2">
      <c r="B57863" s="1168"/>
    </row>
    <row r="57864" spans="2:2" s="221" customFormat="1" ht="12.75" x14ac:dyDescent="0.2">
      <c r="B57864" s="1168"/>
    </row>
    <row r="57865" spans="2:2" s="221" customFormat="1" ht="12.75" x14ac:dyDescent="0.2">
      <c r="B57865" s="1168"/>
    </row>
    <row r="57866" spans="2:2" s="221" customFormat="1" ht="12.75" x14ac:dyDescent="0.2">
      <c r="B57866" s="1168"/>
    </row>
    <row r="57867" spans="2:2" s="221" customFormat="1" ht="12.75" x14ac:dyDescent="0.2">
      <c r="B57867" s="1168"/>
    </row>
    <row r="57868" spans="2:2" s="221" customFormat="1" ht="12.75" x14ac:dyDescent="0.2">
      <c r="B57868" s="1168"/>
    </row>
    <row r="57869" spans="2:2" s="221" customFormat="1" ht="12.75" x14ac:dyDescent="0.2">
      <c r="B57869" s="1168"/>
    </row>
    <row r="57870" spans="2:2" s="221" customFormat="1" ht="12.75" x14ac:dyDescent="0.2">
      <c r="B57870" s="1168"/>
    </row>
    <row r="57871" spans="2:2" s="221" customFormat="1" ht="12.75" x14ac:dyDescent="0.2">
      <c r="B57871" s="1168"/>
    </row>
    <row r="57872" spans="2:2" s="221" customFormat="1" ht="12.75" x14ac:dyDescent="0.2">
      <c r="B57872" s="1168"/>
    </row>
    <row r="57873" spans="2:2" s="221" customFormat="1" ht="12.75" x14ac:dyDescent="0.2">
      <c r="B57873" s="1168"/>
    </row>
    <row r="57874" spans="2:2" s="221" customFormat="1" ht="12.75" x14ac:dyDescent="0.2">
      <c r="B57874" s="1168"/>
    </row>
    <row r="57875" spans="2:2" s="221" customFormat="1" ht="12.75" x14ac:dyDescent="0.2">
      <c r="B57875" s="1168"/>
    </row>
    <row r="57876" spans="2:2" s="221" customFormat="1" ht="12.75" x14ac:dyDescent="0.2">
      <c r="B57876" s="1168"/>
    </row>
    <row r="57877" spans="2:2" s="221" customFormat="1" ht="12.75" x14ac:dyDescent="0.2">
      <c r="B57877" s="1168"/>
    </row>
    <row r="57878" spans="2:2" s="221" customFormat="1" ht="12.75" x14ac:dyDescent="0.2">
      <c r="B57878" s="1168"/>
    </row>
    <row r="57879" spans="2:2" s="221" customFormat="1" ht="12.75" x14ac:dyDescent="0.2">
      <c r="B57879" s="1168"/>
    </row>
    <row r="57880" spans="2:2" s="221" customFormat="1" ht="12.75" x14ac:dyDescent="0.2">
      <c r="B57880" s="1168"/>
    </row>
    <row r="57881" spans="2:2" s="221" customFormat="1" ht="12.75" x14ac:dyDescent="0.2">
      <c r="B57881" s="1168"/>
    </row>
    <row r="57882" spans="2:2" s="221" customFormat="1" ht="12.75" x14ac:dyDescent="0.2">
      <c r="B57882" s="1168"/>
    </row>
    <row r="57883" spans="2:2" s="221" customFormat="1" ht="12.75" x14ac:dyDescent="0.2">
      <c r="B57883" s="1168"/>
    </row>
    <row r="57884" spans="2:2" s="221" customFormat="1" ht="12.75" x14ac:dyDescent="0.2">
      <c r="B57884" s="1168"/>
    </row>
    <row r="57885" spans="2:2" s="221" customFormat="1" ht="12.75" x14ac:dyDescent="0.2">
      <c r="B57885" s="1168"/>
    </row>
    <row r="57886" spans="2:2" s="221" customFormat="1" ht="12.75" x14ac:dyDescent="0.2">
      <c r="B57886" s="1168"/>
    </row>
    <row r="57887" spans="2:2" s="221" customFormat="1" ht="12.75" x14ac:dyDescent="0.2">
      <c r="B57887" s="1168"/>
    </row>
    <row r="57888" spans="2:2" s="221" customFormat="1" ht="12.75" x14ac:dyDescent="0.2">
      <c r="B57888" s="1168"/>
    </row>
    <row r="57889" spans="2:2" s="221" customFormat="1" ht="12.75" x14ac:dyDescent="0.2">
      <c r="B57889" s="1168"/>
    </row>
    <row r="57890" spans="2:2" s="221" customFormat="1" ht="12.75" x14ac:dyDescent="0.2">
      <c r="B57890" s="1168"/>
    </row>
    <row r="57891" spans="2:2" s="221" customFormat="1" ht="12.75" x14ac:dyDescent="0.2">
      <c r="B57891" s="1168"/>
    </row>
    <row r="57892" spans="2:2" s="221" customFormat="1" ht="12.75" x14ac:dyDescent="0.2">
      <c r="B57892" s="1168"/>
    </row>
    <row r="57893" spans="2:2" s="221" customFormat="1" ht="12.75" x14ac:dyDescent="0.2">
      <c r="B57893" s="1168"/>
    </row>
    <row r="57894" spans="2:2" s="221" customFormat="1" ht="12.75" x14ac:dyDescent="0.2">
      <c r="B57894" s="1168"/>
    </row>
    <row r="57895" spans="2:2" s="221" customFormat="1" ht="12.75" x14ac:dyDescent="0.2">
      <c r="B57895" s="1168"/>
    </row>
    <row r="57896" spans="2:2" s="221" customFormat="1" ht="12.75" x14ac:dyDescent="0.2">
      <c r="B57896" s="1168"/>
    </row>
    <row r="57897" spans="2:2" s="221" customFormat="1" ht="12.75" x14ac:dyDescent="0.2">
      <c r="B57897" s="1168"/>
    </row>
    <row r="57898" spans="2:2" s="221" customFormat="1" ht="12.75" x14ac:dyDescent="0.2">
      <c r="B57898" s="1168"/>
    </row>
    <row r="57899" spans="2:2" s="221" customFormat="1" ht="12.75" x14ac:dyDescent="0.2">
      <c r="B57899" s="1168"/>
    </row>
    <row r="57900" spans="2:2" s="221" customFormat="1" ht="12.75" x14ac:dyDescent="0.2">
      <c r="B57900" s="1168"/>
    </row>
    <row r="57901" spans="2:2" s="221" customFormat="1" ht="12.75" x14ac:dyDescent="0.2">
      <c r="B57901" s="1168"/>
    </row>
    <row r="57902" spans="2:2" s="221" customFormat="1" ht="12.75" x14ac:dyDescent="0.2">
      <c r="B57902" s="1168"/>
    </row>
    <row r="57903" spans="2:2" s="221" customFormat="1" ht="12.75" x14ac:dyDescent="0.2">
      <c r="B57903" s="1168"/>
    </row>
    <row r="57904" spans="2:2" s="221" customFormat="1" ht="12.75" x14ac:dyDescent="0.2">
      <c r="B57904" s="1168"/>
    </row>
    <row r="57905" spans="2:2" s="221" customFormat="1" ht="12.75" x14ac:dyDescent="0.2">
      <c r="B57905" s="1168"/>
    </row>
    <row r="57906" spans="2:2" s="221" customFormat="1" ht="12.75" x14ac:dyDescent="0.2">
      <c r="B57906" s="1168"/>
    </row>
    <row r="57907" spans="2:2" s="221" customFormat="1" ht="12.75" x14ac:dyDescent="0.2">
      <c r="B57907" s="1168"/>
    </row>
    <row r="57908" spans="2:2" s="221" customFormat="1" ht="12.75" x14ac:dyDescent="0.2">
      <c r="B57908" s="1168"/>
    </row>
    <row r="57909" spans="2:2" s="221" customFormat="1" ht="12.75" x14ac:dyDescent="0.2">
      <c r="B57909" s="1168"/>
    </row>
    <row r="57910" spans="2:2" s="221" customFormat="1" ht="12.75" x14ac:dyDescent="0.2">
      <c r="B57910" s="1168"/>
    </row>
    <row r="57911" spans="2:2" s="221" customFormat="1" ht="12.75" x14ac:dyDescent="0.2">
      <c r="B57911" s="1168"/>
    </row>
    <row r="57912" spans="2:2" s="221" customFormat="1" ht="12.75" x14ac:dyDescent="0.2">
      <c r="B57912" s="1168"/>
    </row>
    <row r="57913" spans="2:2" s="221" customFormat="1" ht="12.75" x14ac:dyDescent="0.2">
      <c r="B57913" s="1168"/>
    </row>
    <row r="57914" spans="2:2" s="221" customFormat="1" ht="12.75" x14ac:dyDescent="0.2">
      <c r="B57914" s="1168"/>
    </row>
    <row r="57915" spans="2:2" s="221" customFormat="1" ht="12.75" x14ac:dyDescent="0.2">
      <c r="B57915" s="1168"/>
    </row>
    <row r="57916" spans="2:2" s="221" customFormat="1" ht="12.75" x14ac:dyDescent="0.2">
      <c r="B57916" s="1168"/>
    </row>
    <row r="57917" spans="2:2" s="221" customFormat="1" ht="12.75" x14ac:dyDescent="0.2">
      <c r="B57917" s="1168"/>
    </row>
    <row r="57918" spans="2:2" s="221" customFormat="1" ht="12.75" x14ac:dyDescent="0.2">
      <c r="B57918" s="1168"/>
    </row>
    <row r="57919" spans="2:2" s="221" customFormat="1" ht="12.75" x14ac:dyDescent="0.2">
      <c r="B57919" s="1168"/>
    </row>
    <row r="57920" spans="2:2" s="221" customFormat="1" ht="12.75" x14ac:dyDescent="0.2">
      <c r="B57920" s="1168"/>
    </row>
    <row r="57921" spans="2:2" s="221" customFormat="1" ht="12.75" x14ac:dyDescent="0.2">
      <c r="B57921" s="1168"/>
    </row>
    <row r="57922" spans="2:2" s="221" customFormat="1" ht="12.75" x14ac:dyDescent="0.2">
      <c r="B57922" s="1168"/>
    </row>
    <row r="57923" spans="2:2" s="221" customFormat="1" ht="12.75" x14ac:dyDescent="0.2">
      <c r="B57923" s="1168"/>
    </row>
    <row r="57924" spans="2:2" s="221" customFormat="1" ht="12.75" x14ac:dyDescent="0.2">
      <c r="B57924" s="1168"/>
    </row>
    <row r="57925" spans="2:2" s="221" customFormat="1" ht="12.75" x14ac:dyDescent="0.2">
      <c r="B57925" s="1168"/>
    </row>
    <row r="57926" spans="2:2" s="221" customFormat="1" ht="12.75" x14ac:dyDescent="0.2">
      <c r="B57926" s="1168"/>
    </row>
    <row r="57927" spans="2:2" s="221" customFormat="1" ht="12.75" x14ac:dyDescent="0.2">
      <c r="B57927" s="1168"/>
    </row>
    <row r="57928" spans="2:2" s="221" customFormat="1" ht="12.75" x14ac:dyDescent="0.2">
      <c r="B57928" s="1168"/>
    </row>
    <row r="57929" spans="2:2" s="221" customFormat="1" ht="12.75" x14ac:dyDescent="0.2">
      <c r="B57929" s="1168"/>
    </row>
    <row r="57930" spans="2:2" s="221" customFormat="1" ht="12.75" x14ac:dyDescent="0.2">
      <c r="B57930" s="1168"/>
    </row>
    <row r="57931" spans="2:2" s="221" customFormat="1" ht="12.75" x14ac:dyDescent="0.2">
      <c r="B57931" s="1168"/>
    </row>
    <row r="57932" spans="2:2" s="221" customFormat="1" ht="12.75" x14ac:dyDescent="0.2">
      <c r="B57932" s="1168"/>
    </row>
    <row r="57933" spans="2:2" s="221" customFormat="1" ht="12.75" x14ac:dyDescent="0.2">
      <c r="B57933" s="1168"/>
    </row>
    <row r="57934" spans="2:2" s="221" customFormat="1" ht="12.75" x14ac:dyDescent="0.2">
      <c r="B57934" s="1168"/>
    </row>
    <row r="57935" spans="2:2" s="221" customFormat="1" ht="12.75" x14ac:dyDescent="0.2">
      <c r="B57935" s="1168"/>
    </row>
    <row r="57936" spans="2:2" s="221" customFormat="1" ht="12.75" x14ac:dyDescent="0.2">
      <c r="B57936" s="1168"/>
    </row>
    <row r="57937" spans="2:2" s="221" customFormat="1" ht="12.75" x14ac:dyDescent="0.2">
      <c r="B57937" s="1168"/>
    </row>
    <row r="57938" spans="2:2" s="221" customFormat="1" ht="12.75" x14ac:dyDescent="0.2">
      <c r="B57938" s="1168"/>
    </row>
    <row r="57939" spans="2:2" s="221" customFormat="1" ht="12.75" x14ac:dyDescent="0.2">
      <c r="B57939" s="1168"/>
    </row>
    <row r="57940" spans="2:2" s="221" customFormat="1" ht="12.75" x14ac:dyDescent="0.2">
      <c r="B57940" s="1168"/>
    </row>
    <row r="57941" spans="2:2" s="221" customFormat="1" ht="12.75" x14ac:dyDescent="0.2">
      <c r="B57941" s="1168"/>
    </row>
    <row r="57942" spans="2:2" s="221" customFormat="1" ht="12.75" x14ac:dyDescent="0.2">
      <c r="B57942" s="1168"/>
    </row>
    <row r="57943" spans="2:2" s="221" customFormat="1" ht="12.75" x14ac:dyDescent="0.2">
      <c r="B57943" s="1168"/>
    </row>
    <row r="57944" spans="2:2" s="221" customFormat="1" ht="12.75" x14ac:dyDescent="0.2">
      <c r="B57944" s="1168"/>
    </row>
    <row r="57945" spans="2:2" s="221" customFormat="1" ht="12.75" x14ac:dyDescent="0.2">
      <c r="B57945" s="1168"/>
    </row>
    <row r="57946" spans="2:2" s="221" customFormat="1" ht="12.75" x14ac:dyDescent="0.2">
      <c r="B57946" s="1168"/>
    </row>
    <row r="57947" spans="2:2" s="221" customFormat="1" ht="12.75" x14ac:dyDescent="0.2">
      <c r="B57947" s="1168"/>
    </row>
    <row r="57948" spans="2:2" s="221" customFormat="1" ht="12.75" x14ac:dyDescent="0.2">
      <c r="B57948" s="1168"/>
    </row>
    <row r="57949" spans="2:2" s="221" customFormat="1" ht="12.75" x14ac:dyDescent="0.2">
      <c r="B57949" s="1168"/>
    </row>
    <row r="57950" spans="2:2" s="221" customFormat="1" ht="12.75" x14ac:dyDescent="0.2">
      <c r="B57950" s="1168"/>
    </row>
    <row r="57951" spans="2:2" s="221" customFormat="1" ht="12.75" x14ac:dyDescent="0.2">
      <c r="B57951" s="1168"/>
    </row>
    <row r="57952" spans="2:2" s="221" customFormat="1" ht="12.75" x14ac:dyDescent="0.2">
      <c r="B57952" s="1168"/>
    </row>
    <row r="57953" spans="2:2" s="221" customFormat="1" ht="12.75" x14ac:dyDescent="0.2">
      <c r="B57953" s="1168"/>
    </row>
    <row r="57954" spans="2:2" s="221" customFormat="1" ht="12.75" x14ac:dyDescent="0.2">
      <c r="B57954" s="1168"/>
    </row>
    <row r="57955" spans="2:2" s="221" customFormat="1" ht="12.75" x14ac:dyDescent="0.2">
      <c r="B57955" s="1168"/>
    </row>
    <row r="57956" spans="2:2" s="221" customFormat="1" ht="12.75" x14ac:dyDescent="0.2">
      <c r="B57956" s="1168"/>
    </row>
    <row r="57957" spans="2:2" s="221" customFormat="1" ht="12.75" x14ac:dyDescent="0.2">
      <c r="B57957" s="1168"/>
    </row>
    <row r="57958" spans="2:2" s="221" customFormat="1" ht="12.75" x14ac:dyDescent="0.2">
      <c r="B57958" s="1168"/>
    </row>
    <row r="57959" spans="2:2" s="221" customFormat="1" ht="12.75" x14ac:dyDescent="0.2">
      <c r="B57959" s="1168"/>
    </row>
    <row r="57960" spans="2:2" s="221" customFormat="1" ht="12.75" x14ac:dyDescent="0.2">
      <c r="B57960" s="1168"/>
    </row>
    <row r="57961" spans="2:2" s="221" customFormat="1" ht="12.75" x14ac:dyDescent="0.2">
      <c r="B57961" s="1168"/>
    </row>
    <row r="57962" spans="2:2" s="221" customFormat="1" ht="12.75" x14ac:dyDescent="0.2">
      <c r="B57962" s="1168"/>
    </row>
    <row r="57963" spans="2:2" s="221" customFormat="1" ht="12.75" x14ac:dyDescent="0.2">
      <c r="B57963" s="1168"/>
    </row>
    <row r="57964" spans="2:2" s="221" customFormat="1" ht="12.75" x14ac:dyDescent="0.2">
      <c r="B57964" s="1168"/>
    </row>
    <row r="57965" spans="2:2" s="221" customFormat="1" ht="12.75" x14ac:dyDescent="0.2">
      <c r="B57965" s="1168"/>
    </row>
    <row r="57966" spans="2:2" s="221" customFormat="1" ht="12.75" x14ac:dyDescent="0.2">
      <c r="B57966" s="1168"/>
    </row>
    <row r="57967" spans="2:2" s="221" customFormat="1" ht="12.75" x14ac:dyDescent="0.2">
      <c r="B57967" s="1168"/>
    </row>
    <row r="57968" spans="2:2" s="221" customFormat="1" ht="12.75" x14ac:dyDescent="0.2">
      <c r="B57968" s="1168"/>
    </row>
    <row r="57969" spans="2:2" s="221" customFormat="1" ht="12.75" x14ac:dyDescent="0.2">
      <c r="B57969" s="1168"/>
    </row>
    <row r="57970" spans="2:2" s="221" customFormat="1" ht="12.75" x14ac:dyDescent="0.2">
      <c r="B57970" s="1168"/>
    </row>
    <row r="57971" spans="2:2" s="221" customFormat="1" ht="12.75" x14ac:dyDescent="0.2">
      <c r="B57971" s="1168"/>
    </row>
    <row r="57972" spans="2:2" s="221" customFormat="1" ht="12.75" x14ac:dyDescent="0.2">
      <c r="B57972" s="1168"/>
    </row>
    <row r="57973" spans="2:2" s="221" customFormat="1" ht="12.75" x14ac:dyDescent="0.2">
      <c r="B57973" s="1168"/>
    </row>
    <row r="57974" spans="2:2" s="221" customFormat="1" ht="12.75" x14ac:dyDescent="0.2">
      <c r="B57974" s="1168"/>
    </row>
    <row r="57975" spans="2:2" s="221" customFormat="1" ht="12.75" x14ac:dyDescent="0.2">
      <c r="B57975" s="1168"/>
    </row>
    <row r="57976" spans="2:2" s="221" customFormat="1" ht="12.75" x14ac:dyDescent="0.2">
      <c r="B57976" s="1168"/>
    </row>
    <row r="57977" spans="2:2" s="221" customFormat="1" ht="12.75" x14ac:dyDescent="0.2">
      <c r="B57977" s="1168"/>
    </row>
    <row r="57978" spans="2:2" s="221" customFormat="1" ht="12.75" x14ac:dyDescent="0.2">
      <c r="B57978" s="1168"/>
    </row>
    <row r="57979" spans="2:2" s="221" customFormat="1" ht="12.75" x14ac:dyDescent="0.2">
      <c r="B57979" s="1168"/>
    </row>
    <row r="57980" spans="2:2" s="221" customFormat="1" ht="12.75" x14ac:dyDescent="0.2">
      <c r="B57980" s="1168"/>
    </row>
    <row r="57981" spans="2:2" s="221" customFormat="1" ht="12.75" x14ac:dyDescent="0.2">
      <c r="B57981" s="1168"/>
    </row>
    <row r="57982" spans="2:2" s="221" customFormat="1" ht="12.75" x14ac:dyDescent="0.2">
      <c r="B57982" s="1168"/>
    </row>
    <row r="57983" spans="2:2" s="221" customFormat="1" ht="12.75" x14ac:dyDescent="0.2">
      <c r="B57983" s="1168"/>
    </row>
    <row r="57984" spans="2:2" s="221" customFormat="1" ht="12.75" x14ac:dyDescent="0.2">
      <c r="B57984" s="1168"/>
    </row>
    <row r="57985" spans="2:2" s="221" customFormat="1" ht="12.75" x14ac:dyDescent="0.2">
      <c r="B57985" s="1168"/>
    </row>
    <row r="57986" spans="2:2" s="221" customFormat="1" ht="12.75" x14ac:dyDescent="0.2">
      <c r="B57986" s="1168"/>
    </row>
    <row r="57987" spans="2:2" s="221" customFormat="1" ht="12.75" x14ac:dyDescent="0.2">
      <c r="B57987" s="1168"/>
    </row>
    <row r="57988" spans="2:2" s="221" customFormat="1" ht="12.75" x14ac:dyDescent="0.2">
      <c r="B57988" s="1168"/>
    </row>
    <row r="57989" spans="2:2" s="221" customFormat="1" ht="12.75" x14ac:dyDescent="0.2">
      <c r="B57989" s="1168"/>
    </row>
    <row r="57990" spans="2:2" s="221" customFormat="1" ht="12.75" x14ac:dyDescent="0.2">
      <c r="B57990" s="1168"/>
    </row>
    <row r="57991" spans="2:2" s="221" customFormat="1" ht="12.75" x14ac:dyDescent="0.2">
      <c r="B57991" s="1168"/>
    </row>
    <row r="57992" spans="2:2" s="221" customFormat="1" ht="12.75" x14ac:dyDescent="0.2">
      <c r="B57992" s="1168"/>
    </row>
    <row r="57993" spans="2:2" s="221" customFormat="1" ht="12.75" x14ac:dyDescent="0.2">
      <c r="B57993" s="1168"/>
    </row>
    <row r="57994" spans="2:2" s="221" customFormat="1" ht="12.75" x14ac:dyDescent="0.2">
      <c r="B57994" s="1168"/>
    </row>
    <row r="57995" spans="2:2" s="221" customFormat="1" ht="12.75" x14ac:dyDescent="0.2">
      <c r="B57995" s="1168"/>
    </row>
    <row r="57996" spans="2:2" s="221" customFormat="1" ht="12.75" x14ac:dyDescent="0.2">
      <c r="B57996" s="1168"/>
    </row>
    <row r="57997" spans="2:2" s="221" customFormat="1" ht="12.75" x14ac:dyDescent="0.2">
      <c r="B57997" s="1168"/>
    </row>
    <row r="57998" spans="2:2" s="221" customFormat="1" ht="12.75" x14ac:dyDescent="0.2">
      <c r="B57998" s="1168"/>
    </row>
    <row r="57999" spans="2:2" s="221" customFormat="1" ht="12.75" x14ac:dyDescent="0.2">
      <c r="B57999" s="1168"/>
    </row>
    <row r="58000" spans="2:2" s="221" customFormat="1" ht="12.75" x14ac:dyDescent="0.2">
      <c r="B58000" s="1168"/>
    </row>
    <row r="58001" spans="2:2" s="221" customFormat="1" ht="12.75" x14ac:dyDescent="0.2">
      <c r="B58001" s="1168"/>
    </row>
    <row r="58002" spans="2:2" s="221" customFormat="1" ht="12.75" x14ac:dyDescent="0.2">
      <c r="B58002" s="1168"/>
    </row>
    <row r="58003" spans="2:2" s="221" customFormat="1" ht="12.75" x14ac:dyDescent="0.2">
      <c r="B58003" s="1168"/>
    </row>
    <row r="58004" spans="2:2" s="221" customFormat="1" ht="12.75" x14ac:dyDescent="0.2">
      <c r="B58004" s="1168"/>
    </row>
    <row r="58005" spans="2:2" s="221" customFormat="1" ht="12.75" x14ac:dyDescent="0.2">
      <c r="B58005" s="1168"/>
    </row>
    <row r="58006" spans="2:2" s="221" customFormat="1" ht="12.75" x14ac:dyDescent="0.2">
      <c r="B58006" s="1168"/>
    </row>
    <row r="58007" spans="2:2" s="221" customFormat="1" ht="12.75" x14ac:dyDescent="0.2">
      <c r="B58007" s="1168"/>
    </row>
    <row r="58008" spans="2:2" s="221" customFormat="1" ht="12.75" x14ac:dyDescent="0.2">
      <c r="B58008" s="1168"/>
    </row>
    <row r="58009" spans="2:2" s="221" customFormat="1" ht="12.75" x14ac:dyDescent="0.2">
      <c r="B58009" s="1168"/>
    </row>
    <row r="58010" spans="2:2" s="221" customFormat="1" ht="12.75" x14ac:dyDescent="0.2">
      <c r="B58010" s="1168"/>
    </row>
    <row r="58011" spans="2:2" s="221" customFormat="1" ht="12.75" x14ac:dyDescent="0.2">
      <c r="B58011" s="1168"/>
    </row>
    <row r="58012" spans="2:2" s="221" customFormat="1" ht="12.75" x14ac:dyDescent="0.2">
      <c r="B58012" s="1168"/>
    </row>
    <row r="58013" spans="2:2" s="221" customFormat="1" ht="12.75" x14ac:dyDescent="0.2">
      <c r="B58013" s="1168"/>
    </row>
    <row r="58014" spans="2:2" s="221" customFormat="1" ht="12.75" x14ac:dyDescent="0.2">
      <c r="B58014" s="1168"/>
    </row>
    <row r="58015" spans="2:2" s="221" customFormat="1" ht="12.75" x14ac:dyDescent="0.2">
      <c r="B58015" s="1168"/>
    </row>
    <row r="58016" spans="2:2" s="221" customFormat="1" ht="12.75" x14ac:dyDescent="0.2">
      <c r="B58016" s="1168"/>
    </row>
    <row r="58017" spans="2:2" s="221" customFormat="1" ht="12.75" x14ac:dyDescent="0.2">
      <c r="B58017" s="1168"/>
    </row>
    <row r="58018" spans="2:2" s="221" customFormat="1" ht="12.75" x14ac:dyDescent="0.2">
      <c r="B58018" s="1168"/>
    </row>
    <row r="58019" spans="2:2" s="221" customFormat="1" ht="12.75" x14ac:dyDescent="0.2">
      <c r="B58019" s="1168"/>
    </row>
    <row r="58020" spans="2:2" s="221" customFormat="1" ht="12.75" x14ac:dyDescent="0.2">
      <c r="B58020" s="1168"/>
    </row>
    <row r="58021" spans="2:2" s="221" customFormat="1" ht="12.75" x14ac:dyDescent="0.2">
      <c r="B58021" s="1168"/>
    </row>
    <row r="58022" spans="2:2" s="221" customFormat="1" ht="12.75" x14ac:dyDescent="0.2">
      <c r="B58022" s="1168"/>
    </row>
    <row r="58023" spans="2:2" s="221" customFormat="1" ht="12.75" x14ac:dyDescent="0.2">
      <c r="B58023" s="1168"/>
    </row>
    <row r="58024" spans="2:2" s="221" customFormat="1" ht="12.75" x14ac:dyDescent="0.2">
      <c r="B58024" s="1168"/>
    </row>
    <row r="58025" spans="2:2" s="221" customFormat="1" ht="12.75" x14ac:dyDescent="0.2">
      <c r="B58025" s="1168"/>
    </row>
    <row r="58026" spans="2:2" s="221" customFormat="1" ht="12.75" x14ac:dyDescent="0.2">
      <c r="B58026" s="1168"/>
    </row>
    <row r="58027" spans="2:2" s="221" customFormat="1" ht="12.75" x14ac:dyDescent="0.2">
      <c r="B58027" s="1168"/>
    </row>
    <row r="58028" spans="2:2" s="221" customFormat="1" ht="12.75" x14ac:dyDescent="0.2">
      <c r="B58028" s="1168"/>
    </row>
    <row r="58029" spans="2:2" s="221" customFormat="1" ht="12.75" x14ac:dyDescent="0.2">
      <c r="B58029" s="1168"/>
    </row>
    <row r="58030" spans="2:2" s="221" customFormat="1" ht="12.75" x14ac:dyDescent="0.2">
      <c r="B58030" s="1168"/>
    </row>
    <row r="58031" spans="2:2" s="221" customFormat="1" ht="12.75" x14ac:dyDescent="0.2">
      <c r="B58031" s="1168"/>
    </row>
    <row r="58032" spans="2:2" s="221" customFormat="1" ht="12.75" x14ac:dyDescent="0.2">
      <c r="B58032" s="1168"/>
    </row>
    <row r="58033" spans="2:2" s="221" customFormat="1" ht="12.75" x14ac:dyDescent="0.2">
      <c r="B58033" s="1168"/>
    </row>
    <row r="58034" spans="2:2" s="221" customFormat="1" ht="12.75" x14ac:dyDescent="0.2">
      <c r="B58034" s="1168"/>
    </row>
    <row r="58035" spans="2:2" s="221" customFormat="1" ht="12.75" x14ac:dyDescent="0.2">
      <c r="B58035" s="1168"/>
    </row>
    <row r="58036" spans="2:2" s="221" customFormat="1" ht="12.75" x14ac:dyDescent="0.2">
      <c r="B58036" s="1168"/>
    </row>
    <row r="58037" spans="2:2" s="221" customFormat="1" ht="12.75" x14ac:dyDescent="0.2">
      <c r="B58037" s="1168"/>
    </row>
    <row r="58038" spans="2:2" s="221" customFormat="1" ht="12.75" x14ac:dyDescent="0.2">
      <c r="B58038" s="1168"/>
    </row>
    <row r="58039" spans="2:2" s="221" customFormat="1" ht="12.75" x14ac:dyDescent="0.2">
      <c r="B58039" s="1168"/>
    </row>
    <row r="58040" spans="2:2" s="221" customFormat="1" ht="12.75" x14ac:dyDescent="0.2">
      <c r="B58040" s="1168"/>
    </row>
    <row r="58041" spans="2:2" s="221" customFormat="1" ht="12.75" x14ac:dyDescent="0.2">
      <c r="B58041" s="1168"/>
    </row>
    <row r="58042" spans="2:2" s="221" customFormat="1" ht="12.75" x14ac:dyDescent="0.2">
      <c r="B58042" s="1168"/>
    </row>
    <row r="58043" spans="2:2" s="221" customFormat="1" ht="12.75" x14ac:dyDescent="0.2">
      <c r="B58043" s="1168"/>
    </row>
    <row r="58044" spans="2:2" s="221" customFormat="1" ht="12.75" x14ac:dyDescent="0.2">
      <c r="B58044" s="1168"/>
    </row>
    <row r="58045" spans="2:2" s="221" customFormat="1" ht="12.75" x14ac:dyDescent="0.2">
      <c r="B58045" s="1168"/>
    </row>
    <row r="58046" spans="2:2" s="221" customFormat="1" ht="12.75" x14ac:dyDescent="0.2">
      <c r="B58046" s="1168"/>
    </row>
    <row r="58047" spans="2:2" s="221" customFormat="1" ht="12.75" x14ac:dyDescent="0.2">
      <c r="B58047" s="1168"/>
    </row>
    <row r="58048" spans="2:2" s="221" customFormat="1" ht="12.75" x14ac:dyDescent="0.2">
      <c r="B58048" s="1168"/>
    </row>
    <row r="58049" spans="2:2" s="221" customFormat="1" ht="12.75" x14ac:dyDescent="0.2">
      <c r="B58049" s="1168"/>
    </row>
    <row r="58050" spans="2:2" s="221" customFormat="1" ht="12.75" x14ac:dyDescent="0.2">
      <c r="B58050" s="1168"/>
    </row>
    <row r="58051" spans="2:2" s="221" customFormat="1" ht="12.75" x14ac:dyDescent="0.2">
      <c r="B58051" s="1168"/>
    </row>
    <row r="58052" spans="2:2" s="221" customFormat="1" ht="12.75" x14ac:dyDescent="0.2">
      <c r="B58052" s="1168"/>
    </row>
    <row r="58053" spans="2:2" s="221" customFormat="1" ht="12.75" x14ac:dyDescent="0.2">
      <c r="B58053" s="1168"/>
    </row>
    <row r="58054" spans="2:2" s="221" customFormat="1" ht="12.75" x14ac:dyDescent="0.2">
      <c r="B58054" s="1168"/>
    </row>
    <row r="58055" spans="2:2" s="221" customFormat="1" ht="12.75" x14ac:dyDescent="0.2">
      <c r="B58055" s="1168"/>
    </row>
    <row r="58056" spans="2:2" s="221" customFormat="1" ht="12.75" x14ac:dyDescent="0.2">
      <c r="B58056" s="1168"/>
    </row>
    <row r="58057" spans="2:2" s="221" customFormat="1" ht="12.75" x14ac:dyDescent="0.2">
      <c r="B58057" s="1168"/>
    </row>
    <row r="58058" spans="2:2" s="221" customFormat="1" ht="12.75" x14ac:dyDescent="0.2">
      <c r="B58058" s="1168"/>
    </row>
    <row r="58059" spans="2:2" s="221" customFormat="1" ht="12.75" x14ac:dyDescent="0.2">
      <c r="B58059" s="1168"/>
    </row>
    <row r="58060" spans="2:2" s="221" customFormat="1" ht="12.75" x14ac:dyDescent="0.2">
      <c r="B58060" s="1168"/>
    </row>
    <row r="58061" spans="2:2" s="221" customFormat="1" ht="12.75" x14ac:dyDescent="0.2">
      <c r="B58061" s="1168"/>
    </row>
    <row r="58062" spans="2:2" s="221" customFormat="1" ht="12.75" x14ac:dyDescent="0.2">
      <c r="B58062" s="1168"/>
    </row>
    <row r="58063" spans="2:2" s="221" customFormat="1" ht="12.75" x14ac:dyDescent="0.2">
      <c r="B58063" s="1168"/>
    </row>
    <row r="58064" spans="2:2" s="221" customFormat="1" ht="12.75" x14ac:dyDescent="0.2">
      <c r="B58064" s="1168"/>
    </row>
    <row r="58065" spans="2:2" s="221" customFormat="1" ht="12.75" x14ac:dyDescent="0.2">
      <c r="B58065" s="1168"/>
    </row>
    <row r="58066" spans="2:2" s="221" customFormat="1" ht="12.75" x14ac:dyDescent="0.2">
      <c r="B58066" s="1168"/>
    </row>
    <row r="58067" spans="2:2" s="221" customFormat="1" ht="12.75" x14ac:dyDescent="0.2">
      <c r="B58067" s="1168"/>
    </row>
    <row r="58068" spans="2:2" s="221" customFormat="1" ht="12.75" x14ac:dyDescent="0.2">
      <c r="B58068" s="1168"/>
    </row>
    <row r="58069" spans="2:2" s="221" customFormat="1" ht="12.75" x14ac:dyDescent="0.2">
      <c r="B58069" s="1168"/>
    </row>
    <row r="58070" spans="2:2" s="221" customFormat="1" ht="12.75" x14ac:dyDescent="0.2">
      <c r="B58070" s="1168"/>
    </row>
    <row r="58071" spans="2:2" s="221" customFormat="1" ht="12.75" x14ac:dyDescent="0.2">
      <c r="B58071" s="1168"/>
    </row>
    <row r="58072" spans="2:2" s="221" customFormat="1" ht="12.75" x14ac:dyDescent="0.2">
      <c r="B58072" s="1168"/>
    </row>
    <row r="58073" spans="2:2" s="221" customFormat="1" ht="12.75" x14ac:dyDescent="0.2">
      <c r="B58073" s="1168"/>
    </row>
    <row r="58074" spans="2:2" s="221" customFormat="1" ht="12.75" x14ac:dyDescent="0.2">
      <c r="B58074" s="1168"/>
    </row>
    <row r="58075" spans="2:2" s="221" customFormat="1" ht="12.75" x14ac:dyDescent="0.2">
      <c r="B58075" s="1168"/>
    </row>
    <row r="58076" spans="2:2" s="221" customFormat="1" ht="12.75" x14ac:dyDescent="0.2">
      <c r="B58076" s="1168"/>
    </row>
    <row r="58077" spans="2:2" s="221" customFormat="1" ht="12.75" x14ac:dyDescent="0.2">
      <c r="B58077" s="1168"/>
    </row>
    <row r="58078" spans="2:2" s="221" customFormat="1" ht="12.75" x14ac:dyDescent="0.2">
      <c r="B58078" s="1168"/>
    </row>
    <row r="58079" spans="2:2" s="221" customFormat="1" ht="12.75" x14ac:dyDescent="0.2">
      <c r="B58079" s="1168"/>
    </row>
    <row r="58080" spans="2:2" s="221" customFormat="1" ht="12.75" x14ac:dyDescent="0.2">
      <c r="B58080" s="1168"/>
    </row>
    <row r="58081" spans="2:2" s="221" customFormat="1" ht="12.75" x14ac:dyDescent="0.2">
      <c r="B58081" s="1168"/>
    </row>
    <row r="58082" spans="2:2" s="221" customFormat="1" ht="12.75" x14ac:dyDescent="0.2">
      <c r="B58082" s="1168"/>
    </row>
    <row r="58083" spans="2:2" s="221" customFormat="1" ht="12.75" x14ac:dyDescent="0.2">
      <c r="B58083" s="1168"/>
    </row>
    <row r="58084" spans="2:2" s="221" customFormat="1" ht="12.75" x14ac:dyDescent="0.2">
      <c r="B58084" s="1168"/>
    </row>
    <row r="58085" spans="2:2" s="221" customFormat="1" ht="12.75" x14ac:dyDescent="0.2">
      <c r="B58085" s="1168"/>
    </row>
    <row r="58086" spans="2:2" s="221" customFormat="1" ht="12.75" x14ac:dyDescent="0.2">
      <c r="B58086" s="1168"/>
    </row>
    <row r="58087" spans="2:2" s="221" customFormat="1" ht="12.75" x14ac:dyDescent="0.2">
      <c r="B58087" s="1168"/>
    </row>
    <row r="58088" spans="2:2" s="221" customFormat="1" ht="12.75" x14ac:dyDescent="0.2">
      <c r="B58088" s="1168"/>
    </row>
    <row r="58089" spans="2:2" s="221" customFormat="1" ht="12.75" x14ac:dyDescent="0.2">
      <c r="B58089" s="1168"/>
    </row>
    <row r="58090" spans="2:2" s="221" customFormat="1" ht="12.75" x14ac:dyDescent="0.2">
      <c r="B58090" s="1168"/>
    </row>
    <row r="58091" spans="2:2" s="221" customFormat="1" ht="12.75" x14ac:dyDescent="0.2">
      <c r="B58091" s="1168"/>
    </row>
    <row r="58092" spans="2:2" s="221" customFormat="1" ht="12.75" x14ac:dyDescent="0.2">
      <c r="B58092" s="1168"/>
    </row>
    <row r="58093" spans="2:2" s="221" customFormat="1" ht="12.75" x14ac:dyDescent="0.2">
      <c r="B58093" s="1168"/>
    </row>
    <row r="58094" spans="2:2" s="221" customFormat="1" ht="12.75" x14ac:dyDescent="0.2">
      <c r="B58094" s="1168"/>
    </row>
    <row r="58095" spans="2:2" s="221" customFormat="1" ht="12.75" x14ac:dyDescent="0.2">
      <c r="B58095" s="1168"/>
    </row>
    <row r="58096" spans="2:2" s="221" customFormat="1" ht="12.75" x14ac:dyDescent="0.2">
      <c r="B58096" s="1168"/>
    </row>
    <row r="58097" spans="2:2" s="221" customFormat="1" ht="12.75" x14ac:dyDescent="0.2">
      <c r="B58097" s="1168"/>
    </row>
    <row r="58098" spans="2:2" s="221" customFormat="1" ht="12.75" x14ac:dyDescent="0.2">
      <c r="B58098" s="1168"/>
    </row>
    <row r="58099" spans="2:2" s="221" customFormat="1" ht="12.75" x14ac:dyDescent="0.2">
      <c r="B58099" s="1168"/>
    </row>
    <row r="58100" spans="2:2" s="221" customFormat="1" ht="12.75" x14ac:dyDescent="0.2">
      <c r="B58100" s="1168"/>
    </row>
    <row r="58101" spans="2:2" s="221" customFormat="1" ht="12.75" x14ac:dyDescent="0.2">
      <c r="B58101" s="1168"/>
    </row>
    <row r="58102" spans="2:2" s="221" customFormat="1" ht="12.75" x14ac:dyDescent="0.2">
      <c r="B58102" s="1168"/>
    </row>
    <row r="58103" spans="2:2" s="221" customFormat="1" ht="12.75" x14ac:dyDescent="0.2">
      <c r="B58103" s="1168"/>
    </row>
    <row r="58104" spans="2:2" s="221" customFormat="1" ht="12.75" x14ac:dyDescent="0.2">
      <c r="B58104" s="1168"/>
    </row>
    <row r="58105" spans="2:2" s="221" customFormat="1" ht="12.75" x14ac:dyDescent="0.2">
      <c r="B58105" s="1168"/>
    </row>
    <row r="58106" spans="2:2" s="221" customFormat="1" ht="12.75" x14ac:dyDescent="0.2">
      <c r="B58106" s="1168"/>
    </row>
    <row r="58107" spans="2:2" s="221" customFormat="1" ht="12.75" x14ac:dyDescent="0.2">
      <c r="B58107" s="1168"/>
    </row>
    <row r="58108" spans="2:2" s="221" customFormat="1" ht="12.75" x14ac:dyDescent="0.2">
      <c r="B58108" s="1168"/>
    </row>
    <row r="58109" spans="2:2" s="221" customFormat="1" ht="12.75" x14ac:dyDescent="0.2">
      <c r="B58109" s="1168"/>
    </row>
    <row r="58110" spans="2:2" s="221" customFormat="1" ht="12.75" x14ac:dyDescent="0.2">
      <c r="B58110" s="1168"/>
    </row>
    <row r="58111" spans="2:2" s="221" customFormat="1" ht="12.75" x14ac:dyDescent="0.2">
      <c r="B58111" s="1168"/>
    </row>
    <row r="58112" spans="2:2" s="221" customFormat="1" ht="12.75" x14ac:dyDescent="0.2">
      <c r="B58112" s="1168"/>
    </row>
    <row r="58113" spans="2:2" s="221" customFormat="1" ht="12.75" x14ac:dyDescent="0.2">
      <c r="B58113" s="1168"/>
    </row>
    <row r="58114" spans="2:2" s="221" customFormat="1" ht="12.75" x14ac:dyDescent="0.2">
      <c r="B58114" s="1168"/>
    </row>
    <row r="58115" spans="2:2" s="221" customFormat="1" ht="12.75" x14ac:dyDescent="0.2">
      <c r="B58115" s="1168"/>
    </row>
    <row r="58116" spans="2:2" s="221" customFormat="1" ht="12.75" x14ac:dyDescent="0.2">
      <c r="B58116" s="1168"/>
    </row>
    <row r="58117" spans="2:2" s="221" customFormat="1" ht="12.75" x14ac:dyDescent="0.2">
      <c r="B58117" s="1168"/>
    </row>
    <row r="58118" spans="2:2" s="221" customFormat="1" ht="12.75" x14ac:dyDescent="0.2">
      <c r="B58118" s="1168"/>
    </row>
    <row r="58119" spans="2:2" s="221" customFormat="1" ht="12.75" x14ac:dyDescent="0.2">
      <c r="B58119" s="1168"/>
    </row>
    <row r="58120" spans="2:2" s="221" customFormat="1" ht="12.75" x14ac:dyDescent="0.2">
      <c r="B58120" s="1168"/>
    </row>
    <row r="58121" spans="2:2" s="221" customFormat="1" ht="12.75" x14ac:dyDescent="0.2">
      <c r="B58121" s="1168"/>
    </row>
    <row r="58122" spans="2:2" s="221" customFormat="1" ht="12.75" x14ac:dyDescent="0.2">
      <c r="B58122" s="1168"/>
    </row>
    <row r="58123" spans="2:2" s="221" customFormat="1" ht="12.75" x14ac:dyDescent="0.2">
      <c r="B58123" s="1168"/>
    </row>
    <row r="58124" spans="2:2" s="221" customFormat="1" ht="12.75" x14ac:dyDescent="0.2">
      <c r="B58124" s="1168"/>
    </row>
    <row r="58125" spans="2:2" s="221" customFormat="1" ht="12.75" x14ac:dyDescent="0.2">
      <c r="B58125" s="1168"/>
    </row>
    <row r="58126" spans="2:2" s="221" customFormat="1" ht="12.75" x14ac:dyDescent="0.2">
      <c r="B58126" s="1168"/>
    </row>
    <row r="58127" spans="2:2" s="221" customFormat="1" ht="12.75" x14ac:dyDescent="0.2">
      <c r="B58127" s="1168"/>
    </row>
    <row r="58128" spans="2:2" s="221" customFormat="1" ht="12.75" x14ac:dyDescent="0.2">
      <c r="B58128" s="1168"/>
    </row>
    <row r="58129" spans="2:2" s="221" customFormat="1" ht="12.75" x14ac:dyDescent="0.2">
      <c r="B58129" s="1168"/>
    </row>
    <row r="58130" spans="2:2" s="221" customFormat="1" ht="12.75" x14ac:dyDescent="0.2">
      <c r="B58130" s="1168"/>
    </row>
    <row r="58131" spans="2:2" s="221" customFormat="1" ht="12.75" x14ac:dyDescent="0.2">
      <c r="B58131" s="1168"/>
    </row>
    <row r="58132" spans="2:2" s="221" customFormat="1" ht="12.75" x14ac:dyDescent="0.2">
      <c r="B58132" s="1168"/>
    </row>
    <row r="58133" spans="2:2" s="221" customFormat="1" ht="12.75" x14ac:dyDescent="0.2">
      <c r="B58133" s="1168"/>
    </row>
    <row r="58134" spans="2:2" s="221" customFormat="1" ht="12.75" x14ac:dyDescent="0.2">
      <c r="B58134" s="1168"/>
    </row>
    <row r="58135" spans="2:2" s="221" customFormat="1" ht="12.75" x14ac:dyDescent="0.2">
      <c r="B58135" s="1168"/>
    </row>
    <row r="58136" spans="2:2" s="221" customFormat="1" ht="12.75" x14ac:dyDescent="0.2">
      <c r="B58136" s="1168"/>
    </row>
    <row r="58137" spans="2:2" s="221" customFormat="1" ht="12.75" x14ac:dyDescent="0.2">
      <c r="B58137" s="1168"/>
    </row>
    <row r="58138" spans="2:2" s="221" customFormat="1" ht="12.75" x14ac:dyDescent="0.2">
      <c r="B58138" s="1168"/>
    </row>
    <row r="58139" spans="2:2" s="221" customFormat="1" ht="12.75" x14ac:dyDescent="0.2">
      <c r="B58139" s="1168"/>
    </row>
    <row r="58140" spans="2:2" s="221" customFormat="1" ht="12.75" x14ac:dyDescent="0.2">
      <c r="B58140" s="1168"/>
    </row>
    <row r="58141" spans="2:2" s="221" customFormat="1" ht="12.75" x14ac:dyDescent="0.2">
      <c r="B58141" s="1168"/>
    </row>
    <row r="58142" spans="2:2" s="221" customFormat="1" ht="12.75" x14ac:dyDescent="0.2">
      <c r="B58142" s="1168"/>
    </row>
    <row r="58143" spans="2:2" s="221" customFormat="1" ht="12.75" x14ac:dyDescent="0.2">
      <c r="B58143" s="1168"/>
    </row>
    <row r="58144" spans="2:2" s="221" customFormat="1" ht="12.75" x14ac:dyDescent="0.2">
      <c r="B58144" s="1168"/>
    </row>
    <row r="58145" spans="2:2" s="221" customFormat="1" ht="12.75" x14ac:dyDescent="0.2">
      <c r="B58145" s="1168"/>
    </row>
    <row r="58146" spans="2:2" s="221" customFormat="1" ht="12.75" x14ac:dyDescent="0.2">
      <c r="B58146" s="1168"/>
    </row>
    <row r="58147" spans="2:2" s="221" customFormat="1" ht="12.75" x14ac:dyDescent="0.2">
      <c r="B58147" s="1168"/>
    </row>
    <row r="58148" spans="2:2" s="221" customFormat="1" ht="12.75" x14ac:dyDescent="0.2">
      <c r="B58148" s="1168"/>
    </row>
    <row r="58149" spans="2:2" s="221" customFormat="1" ht="12.75" x14ac:dyDescent="0.2">
      <c r="B58149" s="1168"/>
    </row>
    <row r="58150" spans="2:2" s="221" customFormat="1" ht="12.75" x14ac:dyDescent="0.2">
      <c r="B58150" s="1168"/>
    </row>
    <row r="58151" spans="2:2" s="221" customFormat="1" ht="12.75" x14ac:dyDescent="0.2">
      <c r="B58151" s="1168"/>
    </row>
    <row r="58152" spans="2:2" s="221" customFormat="1" ht="12.75" x14ac:dyDescent="0.2">
      <c r="B58152" s="1168"/>
    </row>
    <row r="58153" spans="2:2" s="221" customFormat="1" ht="12.75" x14ac:dyDescent="0.2">
      <c r="B58153" s="1168"/>
    </row>
    <row r="58154" spans="2:2" s="221" customFormat="1" ht="12.75" x14ac:dyDescent="0.2">
      <c r="B58154" s="1168"/>
    </row>
    <row r="58155" spans="2:2" s="221" customFormat="1" ht="12.75" x14ac:dyDescent="0.2">
      <c r="B58155" s="1168"/>
    </row>
    <row r="58156" spans="2:2" s="221" customFormat="1" ht="12.75" x14ac:dyDescent="0.2">
      <c r="B58156" s="1168"/>
    </row>
    <row r="58157" spans="2:2" s="221" customFormat="1" ht="12.75" x14ac:dyDescent="0.2">
      <c r="B58157" s="1168"/>
    </row>
    <row r="58158" spans="2:2" s="221" customFormat="1" ht="12.75" x14ac:dyDescent="0.2">
      <c r="B58158" s="1168"/>
    </row>
    <row r="58159" spans="2:2" s="221" customFormat="1" ht="12.75" x14ac:dyDescent="0.2">
      <c r="B58159" s="1168"/>
    </row>
    <row r="58160" spans="2:2" s="221" customFormat="1" ht="12.75" x14ac:dyDescent="0.2">
      <c r="B58160" s="1168"/>
    </row>
    <row r="58161" spans="2:2" s="221" customFormat="1" ht="12.75" x14ac:dyDescent="0.2">
      <c r="B58161" s="1168"/>
    </row>
    <row r="58162" spans="2:2" s="221" customFormat="1" ht="12.75" x14ac:dyDescent="0.2">
      <c r="B58162" s="1168"/>
    </row>
    <row r="58163" spans="2:2" s="221" customFormat="1" ht="12.75" x14ac:dyDescent="0.2">
      <c r="B58163" s="1168"/>
    </row>
    <row r="58164" spans="2:2" s="221" customFormat="1" ht="12.75" x14ac:dyDescent="0.2">
      <c r="B58164" s="1168"/>
    </row>
    <row r="58165" spans="2:2" s="221" customFormat="1" ht="12.75" x14ac:dyDescent="0.2">
      <c r="B58165" s="1168"/>
    </row>
    <row r="58166" spans="2:2" s="221" customFormat="1" ht="12.75" x14ac:dyDescent="0.2">
      <c r="B58166" s="1168"/>
    </row>
    <row r="58167" spans="2:2" s="221" customFormat="1" ht="12.75" x14ac:dyDescent="0.2">
      <c r="B58167" s="1168"/>
    </row>
    <row r="58168" spans="2:2" s="221" customFormat="1" ht="12.75" x14ac:dyDescent="0.2">
      <c r="B58168" s="1168"/>
    </row>
    <row r="58169" spans="2:2" s="221" customFormat="1" ht="12.75" x14ac:dyDescent="0.2">
      <c r="B58169" s="1168"/>
    </row>
    <row r="58170" spans="2:2" s="221" customFormat="1" ht="12.75" x14ac:dyDescent="0.2">
      <c r="B58170" s="1168"/>
    </row>
    <row r="58171" spans="2:2" s="221" customFormat="1" ht="12.75" x14ac:dyDescent="0.2">
      <c r="B58171" s="1168"/>
    </row>
    <row r="58172" spans="2:2" s="221" customFormat="1" ht="12.75" x14ac:dyDescent="0.2">
      <c r="B58172" s="1168"/>
    </row>
    <row r="58173" spans="2:2" s="221" customFormat="1" ht="12.75" x14ac:dyDescent="0.2">
      <c r="B58173" s="1168"/>
    </row>
    <row r="58174" spans="2:2" s="221" customFormat="1" ht="12.75" x14ac:dyDescent="0.2">
      <c r="B58174" s="1168"/>
    </row>
    <row r="58175" spans="2:2" s="221" customFormat="1" ht="12.75" x14ac:dyDescent="0.2">
      <c r="B58175" s="1168"/>
    </row>
    <row r="58176" spans="2:2" s="221" customFormat="1" ht="12.75" x14ac:dyDescent="0.2">
      <c r="B58176" s="1168"/>
    </row>
    <row r="58177" spans="2:2" s="221" customFormat="1" ht="12.75" x14ac:dyDescent="0.2">
      <c r="B58177" s="1168"/>
    </row>
    <row r="58178" spans="2:2" s="221" customFormat="1" ht="12.75" x14ac:dyDescent="0.2">
      <c r="B58178" s="1168"/>
    </row>
    <row r="58179" spans="2:2" s="221" customFormat="1" ht="12.75" x14ac:dyDescent="0.2">
      <c r="B58179" s="1168"/>
    </row>
    <row r="58180" spans="2:2" s="221" customFormat="1" ht="12.75" x14ac:dyDescent="0.2">
      <c r="B58180" s="1168"/>
    </row>
    <row r="58181" spans="2:2" s="221" customFormat="1" ht="12.75" x14ac:dyDescent="0.2">
      <c r="B58181" s="1168"/>
    </row>
    <row r="58182" spans="2:2" s="221" customFormat="1" ht="12.75" x14ac:dyDescent="0.2">
      <c r="B58182" s="1168"/>
    </row>
    <row r="58183" spans="2:2" s="221" customFormat="1" ht="12.75" x14ac:dyDescent="0.2">
      <c r="B58183" s="1168"/>
    </row>
    <row r="58184" spans="2:2" s="221" customFormat="1" ht="12.75" x14ac:dyDescent="0.2">
      <c r="B58184" s="1168"/>
    </row>
    <row r="58185" spans="2:2" s="221" customFormat="1" ht="12.75" x14ac:dyDescent="0.2">
      <c r="B58185" s="1168"/>
    </row>
    <row r="58186" spans="2:2" s="221" customFormat="1" ht="12.75" x14ac:dyDescent="0.2">
      <c r="B58186" s="1168"/>
    </row>
    <row r="58187" spans="2:2" s="221" customFormat="1" ht="12.75" x14ac:dyDescent="0.2">
      <c r="B58187" s="1168"/>
    </row>
    <row r="58188" spans="2:2" s="221" customFormat="1" ht="12.75" x14ac:dyDescent="0.2">
      <c r="B58188" s="1168"/>
    </row>
    <row r="58189" spans="2:2" s="221" customFormat="1" ht="12.75" x14ac:dyDescent="0.2">
      <c r="B58189" s="1168"/>
    </row>
    <row r="58190" spans="2:2" s="221" customFormat="1" ht="12.75" x14ac:dyDescent="0.2">
      <c r="B58190" s="1168"/>
    </row>
    <row r="58191" spans="2:2" s="221" customFormat="1" ht="12.75" x14ac:dyDescent="0.2">
      <c r="B58191" s="1168"/>
    </row>
    <row r="58192" spans="2:2" s="221" customFormat="1" ht="12.75" x14ac:dyDescent="0.2">
      <c r="B58192" s="1168"/>
    </row>
    <row r="58193" spans="2:2" s="221" customFormat="1" ht="12.75" x14ac:dyDescent="0.2">
      <c r="B58193" s="1168"/>
    </row>
    <row r="58194" spans="2:2" s="221" customFormat="1" ht="12.75" x14ac:dyDescent="0.2">
      <c r="B58194" s="1168"/>
    </row>
    <row r="58195" spans="2:2" s="221" customFormat="1" ht="12.75" x14ac:dyDescent="0.2">
      <c r="B58195" s="1168"/>
    </row>
    <row r="58196" spans="2:2" s="221" customFormat="1" ht="12.75" x14ac:dyDescent="0.2">
      <c r="B58196" s="1168"/>
    </row>
    <row r="58197" spans="2:2" s="221" customFormat="1" ht="12.75" x14ac:dyDescent="0.2">
      <c r="B58197" s="1168"/>
    </row>
    <row r="58198" spans="2:2" s="221" customFormat="1" ht="12.75" x14ac:dyDescent="0.2">
      <c r="B58198" s="1168"/>
    </row>
    <row r="58199" spans="2:2" s="221" customFormat="1" ht="12.75" x14ac:dyDescent="0.2">
      <c r="B58199" s="1168"/>
    </row>
    <row r="58200" spans="2:2" s="221" customFormat="1" ht="12.75" x14ac:dyDescent="0.2">
      <c r="B58200" s="1168"/>
    </row>
    <row r="58201" spans="2:2" s="221" customFormat="1" ht="12.75" x14ac:dyDescent="0.2">
      <c r="B58201" s="1168"/>
    </row>
    <row r="58202" spans="2:2" s="221" customFormat="1" ht="12.75" x14ac:dyDescent="0.2">
      <c r="B58202" s="1168"/>
    </row>
    <row r="58203" spans="2:2" s="221" customFormat="1" ht="12.75" x14ac:dyDescent="0.2">
      <c r="B58203" s="1168"/>
    </row>
    <row r="58204" spans="2:2" s="221" customFormat="1" ht="12.75" x14ac:dyDescent="0.2">
      <c r="B58204" s="1168"/>
    </row>
    <row r="58205" spans="2:2" s="221" customFormat="1" ht="12.75" x14ac:dyDescent="0.2">
      <c r="B58205" s="1168"/>
    </row>
    <row r="58206" spans="2:2" s="221" customFormat="1" ht="12.75" x14ac:dyDescent="0.2">
      <c r="B58206" s="1168"/>
    </row>
    <row r="58207" spans="2:2" s="221" customFormat="1" ht="12.75" x14ac:dyDescent="0.2">
      <c r="B58207" s="1168"/>
    </row>
    <row r="58208" spans="2:2" s="221" customFormat="1" ht="12.75" x14ac:dyDescent="0.2">
      <c r="B58208" s="1168"/>
    </row>
    <row r="58209" spans="2:2" s="221" customFormat="1" ht="12.75" x14ac:dyDescent="0.2">
      <c r="B58209" s="1168"/>
    </row>
    <row r="58210" spans="2:2" s="221" customFormat="1" ht="12.75" x14ac:dyDescent="0.2">
      <c r="B58210" s="1168"/>
    </row>
    <row r="58211" spans="2:2" s="221" customFormat="1" ht="12.75" x14ac:dyDescent="0.2">
      <c r="B58211" s="1168"/>
    </row>
    <row r="58212" spans="2:2" s="221" customFormat="1" ht="12.75" x14ac:dyDescent="0.2">
      <c r="B58212" s="1168"/>
    </row>
    <row r="58213" spans="2:2" s="221" customFormat="1" ht="12.75" x14ac:dyDescent="0.2">
      <c r="B58213" s="1168"/>
    </row>
    <row r="58214" spans="2:2" s="221" customFormat="1" ht="12.75" x14ac:dyDescent="0.2">
      <c r="B58214" s="1168"/>
    </row>
    <row r="58215" spans="2:2" s="221" customFormat="1" ht="12.75" x14ac:dyDescent="0.2">
      <c r="B58215" s="1168"/>
    </row>
    <row r="58216" spans="2:2" s="221" customFormat="1" ht="12.75" x14ac:dyDescent="0.2">
      <c r="B58216" s="1168"/>
    </row>
    <row r="58217" spans="2:2" s="221" customFormat="1" ht="12.75" x14ac:dyDescent="0.2">
      <c r="B58217" s="1168"/>
    </row>
    <row r="58218" spans="2:2" s="221" customFormat="1" ht="12.75" x14ac:dyDescent="0.2">
      <c r="B58218" s="1168"/>
    </row>
    <row r="58219" spans="2:2" s="221" customFormat="1" ht="12.75" x14ac:dyDescent="0.2">
      <c r="B58219" s="1168"/>
    </row>
    <row r="58220" spans="2:2" s="221" customFormat="1" ht="12.75" x14ac:dyDescent="0.2">
      <c r="B58220" s="1168"/>
    </row>
    <row r="58221" spans="2:2" s="221" customFormat="1" ht="12.75" x14ac:dyDescent="0.2">
      <c r="B58221" s="1168"/>
    </row>
    <row r="58222" spans="2:2" s="221" customFormat="1" ht="12.75" x14ac:dyDescent="0.2">
      <c r="B58222" s="1168"/>
    </row>
    <row r="58223" spans="2:2" s="221" customFormat="1" ht="12.75" x14ac:dyDescent="0.2">
      <c r="B58223" s="1168"/>
    </row>
    <row r="58224" spans="2:2" s="221" customFormat="1" ht="12.75" x14ac:dyDescent="0.2">
      <c r="B58224" s="1168"/>
    </row>
    <row r="58225" spans="2:2" s="221" customFormat="1" ht="12.75" x14ac:dyDescent="0.2">
      <c r="B58225" s="1168"/>
    </row>
    <row r="58226" spans="2:2" s="221" customFormat="1" ht="12.75" x14ac:dyDescent="0.2">
      <c r="B58226" s="1168"/>
    </row>
    <row r="58227" spans="2:2" s="221" customFormat="1" ht="12.75" x14ac:dyDescent="0.2">
      <c r="B58227" s="1168"/>
    </row>
    <row r="58228" spans="2:2" s="221" customFormat="1" ht="12.75" x14ac:dyDescent="0.2">
      <c r="B58228" s="1168"/>
    </row>
    <row r="58229" spans="2:2" s="221" customFormat="1" ht="12.75" x14ac:dyDescent="0.2">
      <c r="B58229" s="1168"/>
    </row>
    <row r="58230" spans="2:2" s="221" customFormat="1" ht="12.75" x14ac:dyDescent="0.2">
      <c r="B58230" s="1168"/>
    </row>
    <row r="58231" spans="2:2" s="221" customFormat="1" ht="12.75" x14ac:dyDescent="0.2">
      <c r="B58231" s="1168"/>
    </row>
    <row r="58232" spans="2:2" s="221" customFormat="1" ht="12.75" x14ac:dyDescent="0.2">
      <c r="B58232" s="1168"/>
    </row>
    <row r="58233" spans="2:2" s="221" customFormat="1" ht="12.75" x14ac:dyDescent="0.2">
      <c r="B58233" s="1168"/>
    </row>
    <row r="58234" spans="2:2" s="221" customFormat="1" ht="12.75" x14ac:dyDescent="0.2">
      <c r="B58234" s="1168"/>
    </row>
    <row r="58235" spans="2:2" s="221" customFormat="1" ht="12.75" x14ac:dyDescent="0.2">
      <c r="B58235" s="1168"/>
    </row>
    <row r="58236" spans="2:2" s="221" customFormat="1" ht="12.75" x14ac:dyDescent="0.2">
      <c r="B58236" s="1168"/>
    </row>
    <row r="58237" spans="2:2" s="221" customFormat="1" ht="12.75" x14ac:dyDescent="0.2">
      <c r="B58237" s="1168"/>
    </row>
    <row r="58238" spans="2:2" s="221" customFormat="1" ht="12.75" x14ac:dyDescent="0.2">
      <c r="B58238" s="1168"/>
    </row>
    <row r="58239" spans="2:2" s="221" customFormat="1" ht="12.75" x14ac:dyDescent="0.2">
      <c r="B58239" s="1168"/>
    </row>
    <row r="58240" spans="2:2" s="221" customFormat="1" ht="12.75" x14ac:dyDescent="0.2">
      <c r="B58240" s="1168"/>
    </row>
    <row r="58241" spans="2:2" s="221" customFormat="1" ht="12.75" x14ac:dyDescent="0.2">
      <c r="B58241" s="1168"/>
    </row>
    <row r="58242" spans="2:2" s="221" customFormat="1" ht="12.75" x14ac:dyDescent="0.2">
      <c r="B58242" s="1168"/>
    </row>
    <row r="58243" spans="2:2" s="221" customFormat="1" ht="12.75" x14ac:dyDescent="0.2">
      <c r="B58243" s="1168"/>
    </row>
    <row r="58244" spans="2:2" s="221" customFormat="1" ht="12.75" x14ac:dyDescent="0.2">
      <c r="B58244" s="1168"/>
    </row>
    <row r="58245" spans="2:2" s="221" customFormat="1" ht="12.75" x14ac:dyDescent="0.2">
      <c r="B58245" s="1168"/>
    </row>
    <row r="58246" spans="2:2" s="221" customFormat="1" ht="12.75" x14ac:dyDescent="0.2">
      <c r="B58246" s="1168"/>
    </row>
    <row r="58247" spans="2:2" s="221" customFormat="1" ht="12.75" x14ac:dyDescent="0.2">
      <c r="B58247" s="1168"/>
    </row>
    <row r="58248" spans="2:2" s="221" customFormat="1" ht="12.75" x14ac:dyDescent="0.2">
      <c r="B58248" s="1168"/>
    </row>
    <row r="58249" spans="2:2" s="221" customFormat="1" ht="12.75" x14ac:dyDescent="0.2">
      <c r="B58249" s="1168"/>
    </row>
    <row r="58250" spans="2:2" s="221" customFormat="1" ht="12.75" x14ac:dyDescent="0.2">
      <c r="B58250" s="1168"/>
    </row>
    <row r="58251" spans="2:2" s="221" customFormat="1" ht="12.75" x14ac:dyDescent="0.2">
      <c r="B58251" s="1168"/>
    </row>
    <row r="58252" spans="2:2" s="221" customFormat="1" ht="12.75" x14ac:dyDescent="0.2">
      <c r="B58252" s="1168"/>
    </row>
    <row r="58253" spans="2:2" s="221" customFormat="1" ht="12.75" x14ac:dyDescent="0.2">
      <c r="B58253" s="1168"/>
    </row>
    <row r="58254" spans="2:2" s="221" customFormat="1" ht="12.75" x14ac:dyDescent="0.2">
      <c r="B58254" s="1168"/>
    </row>
    <row r="58255" spans="2:2" s="221" customFormat="1" ht="12.75" x14ac:dyDescent="0.2">
      <c r="B58255" s="1168"/>
    </row>
    <row r="58256" spans="2:2" s="221" customFormat="1" ht="12.75" x14ac:dyDescent="0.2">
      <c r="B58256" s="1168"/>
    </row>
    <row r="58257" spans="2:2" s="221" customFormat="1" ht="12.75" x14ac:dyDescent="0.2">
      <c r="B58257" s="1168"/>
    </row>
    <row r="58258" spans="2:2" s="221" customFormat="1" ht="12.75" x14ac:dyDescent="0.2">
      <c r="B58258" s="1168"/>
    </row>
    <row r="58259" spans="2:2" s="221" customFormat="1" ht="12.75" x14ac:dyDescent="0.2">
      <c r="B58259" s="1168"/>
    </row>
    <row r="58260" spans="2:2" s="221" customFormat="1" ht="12.75" x14ac:dyDescent="0.2">
      <c r="B58260" s="1168"/>
    </row>
    <row r="58261" spans="2:2" s="221" customFormat="1" ht="12.75" x14ac:dyDescent="0.2">
      <c r="B58261" s="1168"/>
    </row>
    <row r="58262" spans="2:2" s="221" customFormat="1" ht="12.75" x14ac:dyDescent="0.2">
      <c r="B58262" s="1168"/>
    </row>
    <row r="58263" spans="2:2" s="221" customFormat="1" ht="12.75" x14ac:dyDescent="0.2">
      <c r="B58263" s="1168"/>
    </row>
    <row r="58264" spans="2:2" s="221" customFormat="1" ht="12.75" x14ac:dyDescent="0.2">
      <c r="B58264" s="1168"/>
    </row>
    <row r="58265" spans="2:2" s="221" customFormat="1" ht="12.75" x14ac:dyDescent="0.2">
      <c r="B58265" s="1168"/>
    </row>
    <row r="58266" spans="2:2" s="221" customFormat="1" ht="12.75" x14ac:dyDescent="0.2">
      <c r="B58266" s="1168"/>
    </row>
    <row r="58267" spans="2:2" s="221" customFormat="1" ht="12.75" x14ac:dyDescent="0.2">
      <c r="B58267" s="1168"/>
    </row>
    <row r="58268" spans="2:2" s="221" customFormat="1" ht="12.75" x14ac:dyDescent="0.2">
      <c r="B58268" s="1168"/>
    </row>
    <row r="58269" spans="2:2" s="221" customFormat="1" ht="12.75" x14ac:dyDescent="0.2">
      <c r="B58269" s="1168"/>
    </row>
    <row r="58270" spans="2:2" s="221" customFormat="1" ht="12.75" x14ac:dyDescent="0.2">
      <c r="B58270" s="1168"/>
    </row>
    <row r="58271" spans="2:2" s="221" customFormat="1" ht="12.75" x14ac:dyDescent="0.2">
      <c r="B58271" s="1168"/>
    </row>
    <row r="58272" spans="2:2" s="221" customFormat="1" ht="12.75" x14ac:dyDescent="0.2">
      <c r="B58272" s="1168"/>
    </row>
    <row r="58273" spans="2:2" s="221" customFormat="1" ht="12.75" x14ac:dyDescent="0.2">
      <c r="B58273" s="1168"/>
    </row>
    <row r="58274" spans="2:2" s="221" customFormat="1" ht="12.75" x14ac:dyDescent="0.2">
      <c r="B58274" s="1168"/>
    </row>
    <row r="58275" spans="2:2" s="221" customFormat="1" ht="12.75" x14ac:dyDescent="0.2">
      <c r="B58275" s="1168"/>
    </row>
    <row r="58276" spans="2:2" s="221" customFormat="1" ht="12.75" x14ac:dyDescent="0.2">
      <c r="B58276" s="1168"/>
    </row>
    <row r="58277" spans="2:2" s="221" customFormat="1" ht="12.75" x14ac:dyDescent="0.2">
      <c r="B58277" s="1168"/>
    </row>
    <row r="58278" spans="2:2" s="221" customFormat="1" ht="12.75" x14ac:dyDescent="0.2">
      <c r="B58278" s="1168"/>
    </row>
    <row r="58279" spans="2:2" s="221" customFormat="1" ht="12.75" x14ac:dyDescent="0.2">
      <c r="B58279" s="1168"/>
    </row>
    <row r="58280" spans="2:2" s="221" customFormat="1" ht="12.75" x14ac:dyDescent="0.2">
      <c r="B58280" s="1168"/>
    </row>
    <row r="58281" spans="2:2" s="221" customFormat="1" ht="12.75" x14ac:dyDescent="0.2">
      <c r="B58281" s="1168"/>
    </row>
    <row r="58282" spans="2:2" s="221" customFormat="1" ht="12.75" x14ac:dyDescent="0.2">
      <c r="B58282" s="1168"/>
    </row>
    <row r="58283" spans="2:2" s="221" customFormat="1" ht="12.75" x14ac:dyDescent="0.2">
      <c r="B58283" s="1168"/>
    </row>
    <row r="58284" spans="2:2" s="221" customFormat="1" ht="12.75" x14ac:dyDescent="0.2">
      <c r="B58284" s="1168"/>
    </row>
    <row r="58285" spans="2:2" s="221" customFormat="1" ht="12.75" x14ac:dyDescent="0.2">
      <c r="B58285" s="1168"/>
    </row>
    <row r="58286" spans="2:2" s="221" customFormat="1" ht="12.75" x14ac:dyDescent="0.2">
      <c r="B58286" s="1168"/>
    </row>
    <row r="58287" spans="2:2" s="221" customFormat="1" ht="12.75" x14ac:dyDescent="0.2">
      <c r="B58287" s="1168"/>
    </row>
    <row r="58288" spans="2:2" s="221" customFormat="1" ht="12.75" x14ac:dyDescent="0.2">
      <c r="B58288" s="1168"/>
    </row>
    <row r="58289" spans="2:2" s="221" customFormat="1" ht="12.75" x14ac:dyDescent="0.2">
      <c r="B58289" s="1168"/>
    </row>
    <row r="58290" spans="2:2" s="221" customFormat="1" ht="12.75" x14ac:dyDescent="0.2">
      <c r="B58290" s="1168"/>
    </row>
    <row r="58291" spans="2:2" s="221" customFormat="1" ht="12.75" x14ac:dyDescent="0.2">
      <c r="B58291" s="1168"/>
    </row>
    <row r="58292" spans="2:2" s="221" customFormat="1" ht="12.75" x14ac:dyDescent="0.2">
      <c r="B58292" s="1168"/>
    </row>
    <row r="58293" spans="2:2" s="221" customFormat="1" ht="12.75" x14ac:dyDescent="0.2">
      <c r="B58293" s="1168"/>
    </row>
    <row r="58294" spans="2:2" s="221" customFormat="1" ht="12.75" x14ac:dyDescent="0.2">
      <c r="B58294" s="1168"/>
    </row>
    <row r="58295" spans="2:2" s="221" customFormat="1" ht="12.75" x14ac:dyDescent="0.2">
      <c r="B58295" s="1168"/>
    </row>
    <row r="58296" spans="2:2" s="221" customFormat="1" ht="12.75" x14ac:dyDescent="0.2">
      <c r="B58296" s="1168"/>
    </row>
    <row r="58297" spans="2:2" s="221" customFormat="1" ht="12.75" x14ac:dyDescent="0.2">
      <c r="B58297" s="1168"/>
    </row>
    <row r="58298" spans="2:2" s="221" customFormat="1" ht="12.75" x14ac:dyDescent="0.2">
      <c r="B58298" s="1168"/>
    </row>
    <row r="58299" spans="2:2" s="221" customFormat="1" ht="12.75" x14ac:dyDescent="0.2">
      <c r="B58299" s="1168"/>
    </row>
    <row r="58300" spans="2:2" s="221" customFormat="1" ht="12.75" x14ac:dyDescent="0.2">
      <c r="B58300" s="1168"/>
    </row>
    <row r="58301" spans="2:2" s="221" customFormat="1" ht="12.75" x14ac:dyDescent="0.2">
      <c r="B58301" s="1168"/>
    </row>
    <row r="58302" spans="2:2" s="221" customFormat="1" ht="12.75" x14ac:dyDescent="0.2">
      <c r="B58302" s="1168"/>
    </row>
    <row r="58303" spans="2:2" s="221" customFormat="1" ht="12.75" x14ac:dyDescent="0.2">
      <c r="B58303" s="1168"/>
    </row>
    <row r="58304" spans="2:2" s="221" customFormat="1" ht="12.75" x14ac:dyDescent="0.2">
      <c r="B58304" s="1168"/>
    </row>
    <row r="58305" spans="2:2" s="221" customFormat="1" ht="12.75" x14ac:dyDescent="0.2">
      <c r="B58305" s="1168"/>
    </row>
    <row r="58306" spans="2:2" s="221" customFormat="1" ht="12.75" x14ac:dyDescent="0.2">
      <c r="B58306" s="1168"/>
    </row>
    <row r="58307" spans="2:2" s="221" customFormat="1" ht="12.75" x14ac:dyDescent="0.2">
      <c r="B58307" s="1168"/>
    </row>
    <row r="58308" spans="2:2" s="221" customFormat="1" ht="12.75" x14ac:dyDescent="0.2">
      <c r="B58308" s="1168"/>
    </row>
    <row r="58309" spans="2:2" s="221" customFormat="1" ht="12.75" x14ac:dyDescent="0.2">
      <c r="B58309" s="1168"/>
    </row>
    <row r="58310" spans="2:2" s="221" customFormat="1" ht="12.75" x14ac:dyDescent="0.2">
      <c r="B58310" s="1168"/>
    </row>
    <row r="58311" spans="2:2" s="221" customFormat="1" ht="12.75" x14ac:dyDescent="0.2">
      <c r="B58311" s="1168"/>
    </row>
    <row r="58312" spans="2:2" s="221" customFormat="1" ht="12.75" x14ac:dyDescent="0.2">
      <c r="B58312" s="1168"/>
    </row>
    <row r="58313" spans="2:2" s="221" customFormat="1" ht="12.75" x14ac:dyDescent="0.2">
      <c r="B58313" s="1168"/>
    </row>
    <row r="58314" spans="2:2" s="221" customFormat="1" ht="12.75" x14ac:dyDescent="0.2">
      <c r="B58314" s="1168"/>
    </row>
    <row r="58315" spans="2:2" s="221" customFormat="1" ht="12.75" x14ac:dyDescent="0.2">
      <c r="B58315" s="1168"/>
    </row>
    <row r="58316" spans="2:2" s="221" customFormat="1" ht="12.75" x14ac:dyDescent="0.2">
      <c r="B58316" s="1168"/>
    </row>
    <row r="58317" spans="2:2" s="221" customFormat="1" ht="12.75" x14ac:dyDescent="0.2">
      <c r="B58317" s="1168"/>
    </row>
    <row r="58318" spans="2:2" s="221" customFormat="1" ht="12.75" x14ac:dyDescent="0.2">
      <c r="B58318" s="1168"/>
    </row>
    <row r="58319" spans="2:2" s="221" customFormat="1" ht="12.75" x14ac:dyDescent="0.2">
      <c r="B58319" s="1168"/>
    </row>
    <row r="58320" spans="2:2" s="221" customFormat="1" ht="12.75" x14ac:dyDescent="0.2">
      <c r="B58320" s="1168"/>
    </row>
    <row r="58321" spans="2:2" s="221" customFormat="1" ht="12.75" x14ac:dyDescent="0.2">
      <c r="B58321" s="1168"/>
    </row>
    <row r="58322" spans="2:2" s="221" customFormat="1" ht="12.75" x14ac:dyDescent="0.2">
      <c r="B58322" s="1168"/>
    </row>
    <row r="58323" spans="2:2" s="221" customFormat="1" ht="12.75" x14ac:dyDescent="0.2">
      <c r="B58323" s="1168"/>
    </row>
    <row r="58324" spans="2:2" s="221" customFormat="1" ht="12.75" x14ac:dyDescent="0.2">
      <c r="B58324" s="1168"/>
    </row>
    <row r="58325" spans="2:2" s="221" customFormat="1" ht="12.75" x14ac:dyDescent="0.2">
      <c r="B58325" s="1168"/>
    </row>
    <row r="58326" spans="2:2" s="221" customFormat="1" ht="12.75" x14ac:dyDescent="0.2">
      <c r="B58326" s="1168"/>
    </row>
    <row r="58327" spans="2:2" s="221" customFormat="1" ht="12.75" x14ac:dyDescent="0.2">
      <c r="B58327" s="1168"/>
    </row>
    <row r="58328" spans="2:2" s="221" customFormat="1" ht="12.75" x14ac:dyDescent="0.2">
      <c r="B58328" s="1168"/>
    </row>
    <row r="58329" spans="2:2" s="221" customFormat="1" ht="12.75" x14ac:dyDescent="0.2">
      <c r="B58329" s="1168"/>
    </row>
    <row r="58330" spans="2:2" s="221" customFormat="1" ht="12.75" x14ac:dyDescent="0.2">
      <c r="B58330" s="1168"/>
    </row>
    <row r="58331" spans="2:2" s="221" customFormat="1" ht="12.75" x14ac:dyDescent="0.2">
      <c r="B58331" s="1168"/>
    </row>
    <row r="58332" spans="2:2" s="221" customFormat="1" ht="12.75" x14ac:dyDescent="0.2">
      <c r="B58332" s="1168"/>
    </row>
    <row r="58333" spans="2:2" s="221" customFormat="1" ht="12.75" x14ac:dyDescent="0.2">
      <c r="B58333" s="1168"/>
    </row>
    <row r="58334" spans="2:2" s="221" customFormat="1" ht="12.75" x14ac:dyDescent="0.2">
      <c r="B58334" s="1168"/>
    </row>
    <row r="58335" spans="2:2" s="221" customFormat="1" ht="12.75" x14ac:dyDescent="0.2">
      <c r="B58335" s="1168"/>
    </row>
    <row r="58336" spans="2:2" s="221" customFormat="1" ht="12.75" x14ac:dyDescent="0.2">
      <c r="B58336" s="1168"/>
    </row>
    <row r="58337" spans="2:2" s="221" customFormat="1" ht="12.75" x14ac:dyDescent="0.2">
      <c r="B58337" s="1168"/>
    </row>
    <row r="58338" spans="2:2" s="221" customFormat="1" ht="12.75" x14ac:dyDescent="0.2">
      <c r="B58338" s="1168"/>
    </row>
    <row r="58339" spans="2:2" s="221" customFormat="1" ht="12.75" x14ac:dyDescent="0.2">
      <c r="B58339" s="1168"/>
    </row>
    <row r="58340" spans="2:2" s="221" customFormat="1" ht="12.75" x14ac:dyDescent="0.2">
      <c r="B58340" s="1168"/>
    </row>
    <row r="58341" spans="2:2" s="221" customFormat="1" ht="12.75" x14ac:dyDescent="0.2">
      <c r="B58341" s="1168"/>
    </row>
    <row r="58342" spans="2:2" s="221" customFormat="1" ht="12.75" x14ac:dyDescent="0.2">
      <c r="B58342" s="1168"/>
    </row>
    <row r="58343" spans="2:2" s="221" customFormat="1" ht="12.75" x14ac:dyDescent="0.2">
      <c r="B58343" s="1168"/>
    </row>
    <row r="58344" spans="2:2" s="221" customFormat="1" ht="12.75" x14ac:dyDescent="0.2">
      <c r="B58344" s="1168"/>
    </row>
    <row r="58345" spans="2:2" s="221" customFormat="1" ht="12.75" x14ac:dyDescent="0.2">
      <c r="B58345" s="1168"/>
    </row>
    <row r="58346" spans="2:2" s="221" customFormat="1" ht="12.75" x14ac:dyDescent="0.2">
      <c r="B58346" s="1168"/>
    </row>
    <row r="58347" spans="2:2" s="221" customFormat="1" ht="12.75" x14ac:dyDescent="0.2">
      <c r="B58347" s="1168"/>
    </row>
    <row r="58348" spans="2:2" s="221" customFormat="1" ht="12.75" x14ac:dyDescent="0.2">
      <c r="B58348" s="1168"/>
    </row>
    <row r="58349" spans="2:2" s="221" customFormat="1" ht="12.75" x14ac:dyDescent="0.2">
      <c r="B58349" s="1168"/>
    </row>
    <row r="58350" spans="2:2" s="221" customFormat="1" ht="12.75" x14ac:dyDescent="0.2">
      <c r="B58350" s="1168"/>
    </row>
    <row r="58351" spans="2:2" s="221" customFormat="1" ht="12.75" x14ac:dyDescent="0.2">
      <c r="B58351" s="1168"/>
    </row>
    <row r="58352" spans="2:2" s="221" customFormat="1" ht="12.75" x14ac:dyDescent="0.2">
      <c r="B58352" s="1168"/>
    </row>
    <row r="58353" spans="2:2" s="221" customFormat="1" ht="12.75" x14ac:dyDescent="0.2">
      <c r="B58353" s="1168"/>
    </row>
    <row r="58354" spans="2:2" s="221" customFormat="1" ht="12.75" x14ac:dyDescent="0.2">
      <c r="B58354" s="1168"/>
    </row>
    <row r="58355" spans="2:2" s="221" customFormat="1" ht="12.75" x14ac:dyDescent="0.2">
      <c r="B58355" s="1168"/>
    </row>
    <row r="58356" spans="2:2" s="221" customFormat="1" ht="12.75" x14ac:dyDescent="0.2">
      <c r="B58356" s="1168"/>
    </row>
    <row r="58357" spans="2:2" s="221" customFormat="1" ht="12.75" x14ac:dyDescent="0.2">
      <c r="B58357" s="1168"/>
    </row>
    <row r="58358" spans="2:2" s="221" customFormat="1" ht="12.75" x14ac:dyDescent="0.2">
      <c r="B58358" s="1168"/>
    </row>
    <row r="58359" spans="2:2" s="221" customFormat="1" ht="12.75" x14ac:dyDescent="0.2">
      <c r="B58359" s="1168"/>
    </row>
    <row r="58360" spans="2:2" s="221" customFormat="1" ht="12.75" x14ac:dyDescent="0.2">
      <c r="B58360" s="1168"/>
    </row>
    <row r="58361" spans="2:2" s="221" customFormat="1" ht="12.75" x14ac:dyDescent="0.2">
      <c r="B58361" s="1168"/>
    </row>
    <row r="58362" spans="2:2" s="221" customFormat="1" ht="12.75" x14ac:dyDescent="0.2">
      <c r="B58362" s="1168"/>
    </row>
    <row r="58363" spans="2:2" s="221" customFormat="1" ht="12.75" x14ac:dyDescent="0.2">
      <c r="B58363" s="1168"/>
    </row>
    <row r="58364" spans="2:2" s="221" customFormat="1" ht="12.75" x14ac:dyDescent="0.2">
      <c r="B58364" s="1168"/>
    </row>
    <row r="58365" spans="2:2" s="221" customFormat="1" ht="12.75" x14ac:dyDescent="0.2">
      <c r="B58365" s="1168"/>
    </row>
    <row r="58366" spans="2:2" s="221" customFormat="1" ht="12.75" x14ac:dyDescent="0.2">
      <c r="B58366" s="1168"/>
    </row>
    <row r="58367" spans="2:2" s="221" customFormat="1" ht="12.75" x14ac:dyDescent="0.2">
      <c r="B58367" s="1168"/>
    </row>
    <row r="58368" spans="2:2" s="221" customFormat="1" ht="12.75" x14ac:dyDescent="0.2">
      <c r="B58368" s="1168"/>
    </row>
    <row r="58369" spans="2:2" s="221" customFormat="1" ht="12.75" x14ac:dyDescent="0.2">
      <c r="B58369" s="1168"/>
    </row>
    <row r="58370" spans="2:2" s="221" customFormat="1" ht="12.75" x14ac:dyDescent="0.2">
      <c r="B58370" s="1168"/>
    </row>
    <row r="58371" spans="2:2" s="221" customFormat="1" ht="12.75" x14ac:dyDescent="0.2">
      <c r="B58371" s="1168"/>
    </row>
    <row r="58372" spans="2:2" s="221" customFormat="1" ht="12.75" x14ac:dyDescent="0.2">
      <c r="B58372" s="1168"/>
    </row>
    <row r="58373" spans="2:2" s="221" customFormat="1" ht="12.75" x14ac:dyDescent="0.2">
      <c r="B58373" s="1168"/>
    </row>
    <row r="58374" spans="2:2" s="221" customFormat="1" ht="12.75" x14ac:dyDescent="0.2">
      <c r="B58374" s="1168"/>
    </row>
    <row r="58375" spans="2:2" s="221" customFormat="1" ht="12.75" x14ac:dyDescent="0.2">
      <c r="B58375" s="1168"/>
    </row>
    <row r="58376" spans="2:2" s="221" customFormat="1" ht="12.75" x14ac:dyDescent="0.2">
      <c r="B58376" s="1168"/>
    </row>
    <row r="58377" spans="2:2" s="221" customFormat="1" ht="12.75" x14ac:dyDescent="0.2">
      <c r="B58377" s="1168"/>
    </row>
    <row r="58378" spans="2:2" s="221" customFormat="1" ht="12.75" x14ac:dyDescent="0.2">
      <c r="B58378" s="1168"/>
    </row>
    <row r="58379" spans="2:2" s="221" customFormat="1" ht="12.75" x14ac:dyDescent="0.2">
      <c r="B58379" s="1168"/>
    </row>
    <row r="58380" spans="2:2" s="221" customFormat="1" ht="12.75" x14ac:dyDescent="0.2">
      <c r="B58380" s="1168"/>
    </row>
    <row r="58381" spans="2:2" s="221" customFormat="1" ht="12.75" x14ac:dyDescent="0.2">
      <c r="B58381" s="1168"/>
    </row>
    <row r="58382" spans="2:2" s="221" customFormat="1" ht="12.75" x14ac:dyDescent="0.2">
      <c r="B58382" s="1168"/>
    </row>
    <row r="58383" spans="2:2" s="221" customFormat="1" ht="12.75" x14ac:dyDescent="0.2">
      <c r="B58383" s="1168"/>
    </row>
    <row r="58384" spans="2:2" s="221" customFormat="1" ht="12.75" x14ac:dyDescent="0.2">
      <c r="B58384" s="1168"/>
    </row>
    <row r="58385" spans="2:2" s="221" customFormat="1" ht="12.75" x14ac:dyDescent="0.2">
      <c r="B58385" s="1168"/>
    </row>
    <row r="58386" spans="2:2" s="221" customFormat="1" ht="12.75" x14ac:dyDescent="0.2">
      <c r="B58386" s="1168"/>
    </row>
    <row r="58387" spans="2:2" s="221" customFormat="1" ht="12.75" x14ac:dyDescent="0.2">
      <c r="B58387" s="1168"/>
    </row>
    <row r="58388" spans="2:2" s="221" customFormat="1" ht="12.75" x14ac:dyDescent="0.2">
      <c r="B58388" s="1168"/>
    </row>
    <row r="58389" spans="2:2" s="221" customFormat="1" ht="12.75" x14ac:dyDescent="0.2">
      <c r="B58389" s="1168"/>
    </row>
    <row r="58390" spans="2:2" s="221" customFormat="1" ht="12.75" x14ac:dyDescent="0.2">
      <c r="B58390" s="1168"/>
    </row>
    <row r="58391" spans="2:2" s="221" customFormat="1" ht="12.75" x14ac:dyDescent="0.2">
      <c r="B58391" s="1168"/>
    </row>
    <row r="58392" spans="2:2" s="221" customFormat="1" ht="12.75" x14ac:dyDescent="0.2">
      <c r="B58392" s="1168"/>
    </row>
    <row r="58393" spans="2:2" s="221" customFormat="1" ht="12.75" x14ac:dyDescent="0.2">
      <c r="B58393" s="1168"/>
    </row>
    <row r="58394" spans="2:2" s="221" customFormat="1" ht="12.75" x14ac:dyDescent="0.2">
      <c r="B58394" s="1168"/>
    </row>
    <row r="58395" spans="2:2" s="221" customFormat="1" ht="12.75" x14ac:dyDescent="0.2">
      <c r="B58395" s="1168"/>
    </row>
    <row r="58396" spans="2:2" s="221" customFormat="1" ht="12.75" x14ac:dyDescent="0.2">
      <c r="B58396" s="1168"/>
    </row>
    <row r="58397" spans="2:2" s="221" customFormat="1" ht="12.75" x14ac:dyDescent="0.2">
      <c r="B58397" s="1168"/>
    </row>
    <row r="58398" spans="2:2" s="221" customFormat="1" ht="12.75" x14ac:dyDescent="0.2">
      <c r="B58398" s="1168"/>
    </row>
    <row r="58399" spans="2:2" s="221" customFormat="1" ht="12.75" x14ac:dyDescent="0.2">
      <c r="B58399" s="1168"/>
    </row>
    <row r="58400" spans="2:2" s="221" customFormat="1" ht="12.75" x14ac:dyDescent="0.2">
      <c r="B58400" s="1168"/>
    </row>
    <row r="58401" spans="2:2" s="221" customFormat="1" ht="12.75" x14ac:dyDescent="0.2">
      <c r="B58401" s="1168"/>
    </row>
    <row r="58402" spans="2:2" s="221" customFormat="1" ht="12.75" x14ac:dyDescent="0.2">
      <c r="B58402" s="1168"/>
    </row>
    <row r="58403" spans="2:2" s="221" customFormat="1" ht="12.75" x14ac:dyDescent="0.2">
      <c r="B58403" s="1168"/>
    </row>
    <row r="58404" spans="2:2" s="221" customFormat="1" ht="12.75" x14ac:dyDescent="0.2">
      <c r="B58404" s="1168"/>
    </row>
    <row r="58405" spans="2:2" s="221" customFormat="1" ht="12.75" x14ac:dyDescent="0.2">
      <c r="B58405" s="1168"/>
    </row>
    <row r="58406" spans="2:2" s="221" customFormat="1" ht="12.75" x14ac:dyDescent="0.2">
      <c r="B58406" s="1168"/>
    </row>
    <row r="58407" spans="2:2" s="221" customFormat="1" ht="12.75" x14ac:dyDescent="0.2">
      <c r="B58407" s="1168"/>
    </row>
    <row r="58408" spans="2:2" s="221" customFormat="1" ht="12.75" x14ac:dyDescent="0.2">
      <c r="B58408" s="1168"/>
    </row>
    <row r="58409" spans="2:2" s="221" customFormat="1" ht="12.75" x14ac:dyDescent="0.2">
      <c r="B58409" s="1168"/>
    </row>
    <row r="58410" spans="2:2" s="221" customFormat="1" ht="12.75" x14ac:dyDescent="0.2">
      <c r="B58410" s="1168"/>
    </row>
    <row r="58411" spans="2:2" s="221" customFormat="1" ht="12.75" x14ac:dyDescent="0.2">
      <c r="B58411" s="1168"/>
    </row>
    <row r="58412" spans="2:2" s="221" customFormat="1" ht="12.75" x14ac:dyDescent="0.2">
      <c r="B58412" s="1168"/>
    </row>
    <row r="58413" spans="2:2" s="221" customFormat="1" ht="12.75" x14ac:dyDescent="0.2">
      <c r="B58413" s="1168"/>
    </row>
    <row r="58414" spans="2:2" s="221" customFormat="1" ht="12.75" x14ac:dyDescent="0.2">
      <c r="B58414" s="1168"/>
    </row>
    <row r="58415" spans="2:2" s="221" customFormat="1" ht="12.75" x14ac:dyDescent="0.2">
      <c r="B58415" s="1168"/>
    </row>
    <row r="58416" spans="2:2" s="221" customFormat="1" ht="12.75" x14ac:dyDescent="0.2">
      <c r="B58416" s="1168"/>
    </row>
    <row r="58417" spans="2:2" s="221" customFormat="1" ht="12.75" x14ac:dyDescent="0.2">
      <c r="B58417" s="1168"/>
    </row>
    <row r="58418" spans="2:2" s="221" customFormat="1" ht="12.75" x14ac:dyDescent="0.2">
      <c r="B58418" s="1168"/>
    </row>
    <row r="58419" spans="2:2" s="221" customFormat="1" ht="12.75" x14ac:dyDescent="0.2">
      <c r="B58419" s="1168"/>
    </row>
    <row r="58420" spans="2:2" s="221" customFormat="1" ht="12.75" x14ac:dyDescent="0.2">
      <c r="B58420" s="1168"/>
    </row>
    <row r="58421" spans="2:2" s="221" customFormat="1" ht="12.75" x14ac:dyDescent="0.2">
      <c r="B58421" s="1168"/>
    </row>
    <row r="58422" spans="2:2" s="221" customFormat="1" ht="12.75" x14ac:dyDescent="0.2">
      <c r="B58422" s="1168"/>
    </row>
    <row r="58423" spans="2:2" s="221" customFormat="1" ht="12.75" x14ac:dyDescent="0.2">
      <c r="B58423" s="1168"/>
    </row>
    <row r="58424" spans="2:2" s="221" customFormat="1" ht="12.75" x14ac:dyDescent="0.2">
      <c r="B58424" s="1168"/>
    </row>
    <row r="58425" spans="2:2" s="221" customFormat="1" ht="12.75" x14ac:dyDescent="0.2">
      <c r="B58425" s="1168"/>
    </row>
    <row r="58426" spans="2:2" s="221" customFormat="1" ht="12.75" x14ac:dyDescent="0.2">
      <c r="B58426" s="1168"/>
    </row>
    <row r="58427" spans="2:2" s="221" customFormat="1" ht="12.75" x14ac:dyDescent="0.2">
      <c r="B58427" s="1168"/>
    </row>
    <row r="58428" spans="2:2" s="221" customFormat="1" ht="12.75" x14ac:dyDescent="0.2">
      <c r="B58428" s="1168"/>
    </row>
    <row r="58429" spans="2:2" s="221" customFormat="1" ht="12.75" x14ac:dyDescent="0.2">
      <c r="B58429" s="1168"/>
    </row>
    <row r="58430" spans="2:2" s="221" customFormat="1" ht="12.75" x14ac:dyDescent="0.2">
      <c r="B58430" s="1168"/>
    </row>
    <row r="58431" spans="2:2" s="221" customFormat="1" ht="12.75" x14ac:dyDescent="0.2">
      <c r="B58431" s="1168"/>
    </row>
    <row r="58432" spans="2:2" s="221" customFormat="1" ht="12.75" x14ac:dyDescent="0.2">
      <c r="B58432" s="1168"/>
    </row>
    <row r="58433" spans="2:2" s="221" customFormat="1" ht="12.75" x14ac:dyDescent="0.2">
      <c r="B58433" s="1168"/>
    </row>
    <row r="58434" spans="2:2" s="221" customFormat="1" ht="12.75" x14ac:dyDescent="0.2">
      <c r="B58434" s="1168"/>
    </row>
    <row r="58435" spans="2:2" s="221" customFormat="1" ht="12.75" x14ac:dyDescent="0.2">
      <c r="B58435" s="1168"/>
    </row>
    <row r="58436" spans="2:2" s="221" customFormat="1" ht="12.75" x14ac:dyDescent="0.2">
      <c r="B58436" s="1168"/>
    </row>
    <row r="58437" spans="2:2" s="221" customFormat="1" ht="12.75" x14ac:dyDescent="0.2">
      <c r="B58437" s="1168"/>
    </row>
    <row r="58438" spans="2:2" s="221" customFormat="1" ht="12.75" x14ac:dyDescent="0.2">
      <c r="B58438" s="1168"/>
    </row>
    <row r="58439" spans="2:2" s="221" customFormat="1" ht="12.75" x14ac:dyDescent="0.2">
      <c r="B58439" s="1168"/>
    </row>
    <row r="58440" spans="2:2" s="221" customFormat="1" ht="12.75" x14ac:dyDescent="0.2">
      <c r="B58440" s="1168"/>
    </row>
    <row r="58441" spans="2:2" s="221" customFormat="1" ht="12.75" x14ac:dyDescent="0.2">
      <c r="B58441" s="1168"/>
    </row>
    <row r="58442" spans="2:2" s="221" customFormat="1" ht="12.75" x14ac:dyDescent="0.2">
      <c r="B58442" s="1168"/>
    </row>
    <row r="58443" spans="2:2" s="221" customFormat="1" ht="12.75" x14ac:dyDescent="0.2">
      <c r="B58443" s="1168"/>
    </row>
    <row r="58444" spans="2:2" s="221" customFormat="1" ht="12.75" x14ac:dyDescent="0.2">
      <c r="B58444" s="1168"/>
    </row>
    <row r="58445" spans="2:2" s="221" customFormat="1" ht="12.75" x14ac:dyDescent="0.2">
      <c r="B58445" s="1168"/>
    </row>
    <row r="58446" spans="2:2" s="221" customFormat="1" ht="12.75" x14ac:dyDescent="0.2">
      <c r="B58446" s="1168"/>
    </row>
    <row r="58447" spans="2:2" s="221" customFormat="1" ht="12.75" x14ac:dyDescent="0.2">
      <c r="B58447" s="1168"/>
    </row>
    <row r="58448" spans="2:2" s="221" customFormat="1" ht="12.75" x14ac:dyDescent="0.2">
      <c r="B58448" s="1168"/>
    </row>
    <row r="58449" spans="2:2" s="221" customFormat="1" ht="12.75" x14ac:dyDescent="0.2">
      <c r="B58449" s="1168"/>
    </row>
    <row r="58450" spans="2:2" s="221" customFormat="1" ht="12.75" x14ac:dyDescent="0.2">
      <c r="B58450" s="1168"/>
    </row>
    <row r="58451" spans="2:2" s="221" customFormat="1" ht="12.75" x14ac:dyDescent="0.2">
      <c r="B58451" s="1168"/>
    </row>
    <row r="58452" spans="2:2" s="221" customFormat="1" ht="12.75" x14ac:dyDescent="0.2">
      <c r="B58452" s="1168"/>
    </row>
    <row r="58453" spans="2:2" s="221" customFormat="1" ht="12.75" x14ac:dyDescent="0.2">
      <c r="B58453" s="1168"/>
    </row>
    <row r="58454" spans="2:2" s="221" customFormat="1" ht="12.75" x14ac:dyDescent="0.2">
      <c r="B58454" s="1168"/>
    </row>
    <row r="58455" spans="2:2" s="221" customFormat="1" ht="12.75" x14ac:dyDescent="0.2">
      <c r="B58455" s="1168"/>
    </row>
    <row r="58456" spans="2:2" s="221" customFormat="1" ht="12.75" x14ac:dyDescent="0.2">
      <c r="B58456" s="1168"/>
    </row>
    <row r="58457" spans="2:2" s="221" customFormat="1" ht="12.75" x14ac:dyDescent="0.2">
      <c r="B58457" s="1168"/>
    </row>
    <row r="58458" spans="2:2" s="221" customFormat="1" ht="12.75" x14ac:dyDescent="0.2">
      <c r="B58458" s="1168"/>
    </row>
    <row r="58459" spans="2:2" s="221" customFormat="1" ht="12.75" x14ac:dyDescent="0.2">
      <c r="B58459" s="1168"/>
    </row>
    <row r="58460" spans="2:2" s="221" customFormat="1" ht="12.75" x14ac:dyDescent="0.2">
      <c r="B58460" s="1168"/>
    </row>
    <row r="58461" spans="2:2" s="221" customFormat="1" ht="12.75" x14ac:dyDescent="0.2">
      <c r="B58461" s="1168"/>
    </row>
    <row r="58462" spans="2:2" s="221" customFormat="1" ht="12.75" x14ac:dyDescent="0.2">
      <c r="B58462" s="1168"/>
    </row>
    <row r="58463" spans="2:2" s="221" customFormat="1" ht="12.75" x14ac:dyDescent="0.2">
      <c r="B58463" s="1168"/>
    </row>
    <row r="58464" spans="2:2" s="221" customFormat="1" ht="12.75" x14ac:dyDescent="0.2">
      <c r="B58464" s="1168"/>
    </row>
    <row r="58465" spans="2:2" s="221" customFormat="1" ht="12.75" x14ac:dyDescent="0.2">
      <c r="B58465" s="1168"/>
    </row>
    <row r="58466" spans="2:2" s="221" customFormat="1" ht="12.75" x14ac:dyDescent="0.2">
      <c r="B58466" s="1168"/>
    </row>
    <row r="58467" spans="2:2" s="221" customFormat="1" ht="12.75" x14ac:dyDescent="0.2">
      <c r="B58467" s="1168"/>
    </row>
    <row r="58468" spans="2:2" s="221" customFormat="1" ht="12.75" x14ac:dyDescent="0.2">
      <c r="B58468" s="1168"/>
    </row>
    <row r="58469" spans="2:2" s="221" customFormat="1" ht="12.75" x14ac:dyDescent="0.2">
      <c r="B58469" s="1168"/>
    </row>
    <row r="58470" spans="2:2" s="221" customFormat="1" ht="12.75" x14ac:dyDescent="0.2">
      <c r="B58470" s="1168"/>
    </row>
    <row r="58471" spans="2:2" s="221" customFormat="1" ht="12.75" x14ac:dyDescent="0.2">
      <c r="B58471" s="1168"/>
    </row>
    <row r="58472" spans="2:2" s="221" customFormat="1" ht="12.75" x14ac:dyDescent="0.2">
      <c r="B58472" s="1168"/>
    </row>
    <row r="58473" spans="2:2" s="221" customFormat="1" ht="12.75" x14ac:dyDescent="0.2">
      <c r="B58473" s="1168"/>
    </row>
    <row r="58474" spans="2:2" s="221" customFormat="1" ht="12.75" x14ac:dyDescent="0.2">
      <c r="B58474" s="1168"/>
    </row>
    <row r="58475" spans="2:2" s="221" customFormat="1" ht="12.75" x14ac:dyDescent="0.2">
      <c r="B58475" s="1168"/>
    </row>
    <row r="58476" spans="2:2" s="221" customFormat="1" ht="12.75" x14ac:dyDescent="0.2">
      <c r="B58476" s="1168"/>
    </row>
    <row r="58477" spans="2:2" s="221" customFormat="1" ht="12.75" x14ac:dyDescent="0.2">
      <c r="B58477" s="1168"/>
    </row>
    <row r="58478" spans="2:2" s="221" customFormat="1" ht="12.75" x14ac:dyDescent="0.2">
      <c r="B58478" s="1168"/>
    </row>
    <row r="58479" spans="2:2" s="221" customFormat="1" ht="12.75" x14ac:dyDescent="0.2">
      <c r="B58479" s="1168"/>
    </row>
    <row r="58480" spans="2:2" s="221" customFormat="1" ht="12.75" x14ac:dyDescent="0.2">
      <c r="B58480" s="1168"/>
    </row>
    <row r="58481" spans="2:2" s="221" customFormat="1" ht="12.75" x14ac:dyDescent="0.2">
      <c r="B58481" s="1168"/>
    </row>
    <row r="58482" spans="2:2" s="221" customFormat="1" ht="12.75" x14ac:dyDescent="0.2">
      <c r="B58482" s="1168"/>
    </row>
    <row r="58483" spans="2:2" s="221" customFormat="1" ht="12.75" x14ac:dyDescent="0.2">
      <c r="B58483" s="1168"/>
    </row>
    <row r="58484" spans="2:2" s="221" customFormat="1" ht="12.75" x14ac:dyDescent="0.2">
      <c r="B58484" s="1168"/>
    </row>
    <row r="58485" spans="2:2" s="221" customFormat="1" ht="12.75" x14ac:dyDescent="0.2">
      <c r="B58485" s="1168"/>
    </row>
    <row r="58486" spans="2:2" s="221" customFormat="1" ht="12.75" x14ac:dyDescent="0.2">
      <c r="B58486" s="1168"/>
    </row>
    <row r="58487" spans="2:2" s="221" customFormat="1" ht="12.75" x14ac:dyDescent="0.2">
      <c r="B58487" s="1168"/>
    </row>
    <row r="58488" spans="2:2" s="221" customFormat="1" ht="12.75" x14ac:dyDescent="0.2">
      <c r="B58488" s="1168"/>
    </row>
    <row r="58489" spans="2:2" s="221" customFormat="1" ht="12.75" x14ac:dyDescent="0.2">
      <c r="B58489" s="1168"/>
    </row>
    <row r="58490" spans="2:2" s="221" customFormat="1" ht="12.75" x14ac:dyDescent="0.2">
      <c r="B58490" s="1168"/>
    </row>
    <row r="58491" spans="2:2" s="221" customFormat="1" ht="12.75" x14ac:dyDescent="0.2">
      <c r="B58491" s="1168"/>
    </row>
    <row r="58492" spans="2:2" s="221" customFormat="1" ht="12.75" x14ac:dyDescent="0.2">
      <c r="B58492" s="1168"/>
    </row>
    <row r="58493" spans="2:2" s="221" customFormat="1" ht="12.75" x14ac:dyDescent="0.2">
      <c r="B58493" s="1168"/>
    </row>
    <row r="58494" spans="2:2" s="221" customFormat="1" ht="12.75" x14ac:dyDescent="0.2">
      <c r="B58494" s="1168"/>
    </row>
    <row r="58495" spans="2:2" s="221" customFormat="1" ht="12.75" x14ac:dyDescent="0.2">
      <c r="B58495" s="1168"/>
    </row>
    <row r="58496" spans="2:2" s="221" customFormat="1" ht="12.75" x14ac:dyDescent="0.2">
      <c r="B58496" s="1168"/>
    </row>
    <row r="58497" spans="2:2" s="221" customFormat="1" ht="12.75" x14ac:dyDescent="0.2">
      <c r="B58497" s="1168"/>
    </row>
    <row r="58498" spans="2:2" s="221" customFormat="1" ht="12.75" x14ac:dyDescent="0.2">
      <c r="B58498" s="1168"/>
    </row>
    <row r="58499" spans="2:2" s="221" customFormat="1" ht="12.75" x14ac:dyDescent="0.2">
      <c r="B58499" s="1168"/>
    </row>
    <row r="58500" spans="2:2" s="221" customFormat="1" ht="12.75" x14ac:dyDescent="0.2">
      <c r="B58500" s="1168"/>
    </row>
    <row r="58501" spans="2:2" s="221" customFormat="1" ht="12.75" x14ac:dyDescent="0.2">
      <c r="B58501" s="1168"/>
    </row>
    <row r="58502" spans="2:2" s="221" customFormat="1" ht="12.75" x14ac:dyDescent="0.2">
      <c r="B58502" s="1168"/>
    </row>
    <row r="58503" spans="2:2" s="221" customFormat="1" ht="12.75" x14ac:dyDescent="0.2">
      <c r="B58503" s="1168"/>
    </row>
    <row r="58504" spans="2:2" s="221" customFormat="1" ht="12.75" x14ac:dyDescent="0.2">
      <c r="B58504" s="1168"/>
    </row>
    <row r="58505" spans="2:2" s="221" customFormat="1" ht="12.75" x14ac:dyDescent="0.2">
      <c r="B58505" s="1168"/>
    </row>
    <row r="58506" spans="2:2" s="221" customFormat="1" ht="12.75" x14ac:dyDescent="0.2">
      <c r="B58506" s="1168"/>
    </row>
    <row r="58507" spans="2:2" s="221" customFormat="1" ht="12.75" x14ac:dyDescent="0.2">
      <c r="B58507" s="1168"/>
    </row>
    <row r="58508" spans="2:2" s="221" customFormat="1" ht="12.75" x14ac:dyDescent="0.2">
      <c r="B58508" s="1168"/>
    </row>
    <row r="58509" spans="2:2" s="221" customFormat="1" ht="12.75" x14ac:dyDescent="0.2">
      <c r="B58509" s="1168"/>
    </row>
    <row r="58510" spans="2:2" s="221" customFormat="1" ht="12.75" x14ac:dyDescent="0.2">
      <c r="B58510" s="1168"/>
    </row>
    <row r="58511" spans="2:2" s="221" customFormat="1" ht="12.75" x14ac:dyDescent="0.2">
      <c r="B58511" s="1168"/>
    </row>
    <row r="58512" spans="2:2" s="221" customFormat="1" ht="12.75" x14ac:dyDescent="0.2">
      <c r="B58512" s="1168"/>
    </row>
    <row r="58513" spans="2:2" s="221" customFormat="1" ht="12.75" x14ac:dyDescent="0.2">
      <c r="B58513" s="1168"/>
    </row>
    <row r="58514" spans="2:2" s="221" customFormat="1" ht="12.75" x14ac:dyDescent="0.2">
      <c r="B58514" s="1168"/>
    </row>
    <row r="58515" spans="2:2" s="221" customFormat="1" ht="12.75" x14ac:dyDescent="0.2">
      <c r="B58515" s="1168"/>
    </row>
    <row r="58516" spans="2:2" s="221" customFormat="1" ht="12.75" x14ac:dyDescent="0.2">
      <c r="B58516" s="1168"/>
    </row>
    <row r="58517" spans="2:2" s="221" customFormat="1" ht="12.75" x14ac:dyDescent="0.2">
      <c r="B58517" s="1168"/>
    </row>
    <row r="58518" spans="2:2" s="221" customFormat="1" ht="12.75" x14ac:dyDescent="0.2">
      <c r="B58518" s="1168"/>
    </row>
    <row r="58519" spans="2:2" s="221" customFormat="1" ht="12.75" x14ac:dyDescent="0.2">
      <c r="B58519" s="1168"/>
    </row>
    <row r="58520" spans="2:2" s="221" customFormat="1" ht="12.75" x14ac:dyDescent="0.2">
      <c r="B58520" s="1168"/>
    </row>
    <row r="58521" spans="2:2" s="221" customFormat="1" ht="12.75" x14ac:dyDescent="0.2">
      <c r="B58521" s="1168"/>
    </row>
    <row r="58522" spans="2:2" s="221" customFormat="1" ht="12.75" x14ac:dyDescent="0.2">
      <c r="B58522" s="1168"/>
    </row>
    <row r="58523" spans="2:2" s="221" customFormat="1" ht="12.75" x14ac:dyDescent="0.2">
      <c r="B58523" s="1168"/>
    </row>
    <row r="58524" spans="2:2" s="221" customFormat="1" ht="12.75" x14ac:dyDescent="0.2">
      <c r="B58524" s="1168"/>
    </row>
    <row r="58525" spans="2:2" s="221" customFormat="1" ht="12.75" x14ac:dyDescent="0.2">
      <c r="B58525" s="1168"/>
    </row>
    <row r="58526" spans="2:2" s="221" customFormat="1" ht="12.75" x14ac:dyDescent="0.2">
      <c r="B58526" s="1168"/>
    </row>
    <row r="58527" spans="2:2" s="221" customFormat="1" ht="12.75" x14ac:dyDescent="0.2">
      <c r="B58527" s="1168"/>
    </row>
    <row r="58528" spans="2:2" s="221" customFormat="1" ht="12.75" x14ac:dyDescent="0.2">
      <c r="B58528" s="1168"/>
    </row>
    <row r="58529" spans="2:2" s="221" customFormat="1" ht="12.75" x14ac:dyDescent="0.2">
      <c r="B58529" s="1168"/>
    </row>
    <row r="58530" spans="2:2" s="221" customFormat="1" ht="12.75" x14ac:dyDescent="0.2">
      <c r="B58530" s="1168"/>
    </row>
    <row r="58531" spans="2:2" s="221" customFormat="1" ht="12.75" x14ac:dyDescent="0.2">
      <c r="B58531" s="1168"/>
    </row>
    <row r="58532" spans="2:2" s="221" customFormat="1" ht="12.75" x14ac:dyDescent="0.2">
      <c r="B58532" s="1168"/>
    </row>
    <row r="58533" spans="2:2" s="221" customFormat="1" ht="12.75" x14ac:dyDescent="0.2">
      <c r="B58533" s="1168"/>
    </row>
    <row r="58534" spans="2:2" s="221" customFormat="1" ht="12.75" x14ac:dyDescent="0.2">
      <c r="B58534" s="1168"/>
    </row>
    <row r="58535" spans="2:2" s="221" customFormat="1" ht="12.75" x14ac:dyDescent="0.2">
      <c r="B58535" s="1168"/>
    </row>
    <row r="58536" spans="2:2" s="221" customFormat="1" ht="12.75" x14ac:dyDescent="0.2">
      <c r="B58536" s="1168"/>
    </row>
    <row r="58537" spans="2:2" s="221" customFormat="1" ht="12.75" x14ac:dyDescent="0.2">
      <c r="B58537" s="1168"/>
    </row>
    <row r="58538" spans="2:2" s="221" customFormat="1" ht="12.75" x14ac:dyDescent="0.2">
      <c r="B58538" s="1168"/>
    </row>
    <row r="58539" spans="2:2" s="221" customFormat="1" ht="12.75" x14ac:dyDescent="0.2">
      <c r="B58539" s="1168"/>
    </row>
    <row r="58540" spans="2:2" s="221" customFormat="1" ht="12.75" x14ac:dyDescent="0.2">
      <c r="B58540" s="1168"/>
    </row>
    <row r="58541" spans="2:2" s="221" customFormat="1" ht="12.75" x14ac:dyDescent="0.2">
      <c r="B58541" s="1168"/>
    </row>
    <row r="58542" spans="2:2" s="221" customFormat="1" ht="12.75" x14ac:dyDescent="0.2">
      <c r="B58542" s="1168"/>
    </row>
    <row r="58543" spans="2:2" s="221" customFormat="1" ht="12.75" x14ac:dyDescent="0.2">
      <c r="B58543" s="1168"/>
    </row>
    <row r="58544" spans="2:2" s="221" customFormat="1" ht="12.75" x14ac:dyDescent="0.2">
      <c r="B58544" s="1168"/>
    </row>
    <row r="58545" spans="2:2" s="221" customFormat="1" ht="12.75" x14ac:dyDescent="0.2">
      <c r="B58545" s="1168"/>
    </row>
    <row r="58546" spans="2:2" s="221" customFormat="1" ht="12.75" x14ac:dyDescent="0.2">
      <c r="B58546" s="1168"/>
    </row>
    <row r="58547" spans="2:2" s="221" customFormat="1" ht="12.75" x14ac:dyDescent="0.2">
      <c r="B58547" s="1168"/>
    </row>
    <row r="58548" spans="2:2" s="221" customFormat="1" ht="12.75" x14ac:dyDescent="0.2">
      <c r="B58548" s="1168"/>
    </row>
    <row r="58549" spans="2:2" s="221" customFormat="1" ht="12.75" x14ac:dyDescent="0.2">
      <c r="B58549" s="1168"/>
    </row>
    <row r="58550" spans="2:2" s="221" customFormat="1" ht="12.75" x14ac:dyDescent="0.2">
      <c r="B58550" s="1168"/>
    </row>
    <row r="58551" spans="2:2" s="221" customFormat="1" ht="12.75" x14ac:dyDescent="0.2">
      <c r="B58551" s="1168"/>
    </row>
    <row r="58552" spans="2:2" s="221" customFormat="1" ht="12.75" x14ac:dyDescent="0.2">
      <c r="B58552" s="1168"/>
    </row>
    <row r="58553" spans="2:2" s="221" customFormat="1" ht="12.75" x14ac:dyDescent="0.2">
      <c r="B58553" s="1168"/>
    </row>
    <row r="58554" spans="2:2" s="221" customFormat="1" ht="12.75" x14ac:dyDescent="0.2">
      <c r="B58554" s="1168"/>
    </row>
    <row r="58555" spans="2:2" s="221" customFormat="1" ht="12.75" x14ac:dyDescent="0.2">
      <c r="B58555" s="1168"/>
    </row>
    <row r="58556" spans="2:2" s="221" customFormat="1" ht="12.75" x14ac:dyDescent="0.2">
      <c r="B58556" s="1168"/>
    </row>
    <row r="58557" spans="2:2" s="221" customFormat="1" ht="12.75" x14ac:dyDescent="0.2">
      <c r="B58557" s="1168"/>
    </row>
    <row r="58558" spans="2:2" s="221" customFormat="1" ht="12.75" x14ac:dyDescent="0.2">
      <c r="B58558" s="1168"/>
    </row>
    <row r="58559" spans="2:2" s="221" customFormat="1" ht="12.75" x14ac:dyDescent="0.2">
      <c r="B58559" s="1168"/>
    </row>
    <row r="58560" spans="2:2" s="221" customFormat="1" ht="12.75" x14ac:dyDescent="0.2">
      <c r="B58560" s="1168"/>
    </row>
    <row r="58561" spans="2:2" s="221" customFormat="1" ht="12.75" x14ac:dyDescent="0.2">
      <c r="B58561" s="1168"/>
    </row>
    <row r="58562" spans="2:2" s="221" customFormat="1" ht="12.75" x14ac:dyDescent="0.2">
      <c r="B58562" s="1168"/>
    </row>
    <row r="58563" spans="2:2" s="221" customFormat="1" ht="12.75" x14ac:dyDescent="0.2">
      <c r="B58563" s="1168"/>
    </row>
    <row r="58564" spans="2:2" s="221" customFormat="1" ht="12.75" x14ac:dyDescent="0.2">
      <c r="B58564" s="1168"/>
    </row>
    <row r="58565" spans="2:2" s="221" customFormat="1" ht="12.75" x14ac:dyDescent="0.2">
      <c r="B58565" s="1168"/>
    </row>
    <row r="58566" spans="2:2" s="221" customFormat="1" ht="12.75" x14ac:dyDescent="0.2">
      <c r="B58566" s="1168"/>
    </row>
    <row r="58567" spans="2:2" s="221" customFormat="1" ht="12.75" x14ac:dyDescent="0.2">
      <c r="B58567" s="1168"/>
    </row>
    <row r="58568" spans="2:2" s="221" customFormat="1" ht="12.75" x14ac:dyDescent="0.2">
      <c r="B58568" s="1168"/>
    </row>
    <row r="58569" spans="2:2" s="221" customFormat="1" ht="12.75" x14ac:dyDescent="0.2">
      <c r="B58569" s="1168"/>
    </row>
    <row r="58570" spans="2:2" s="221" customFormat="1" ht="12.75" x14ac:dyDescent="0.2">
      <c r="B58570" s="1168"/>
    </row>
    <row r="58571" spans="2:2" s="221" customFormat="1" ht="12.75" x14ac:dyDescent="0.2">
      <c r="B58571" s="1168"/>
    </row>
    <row r="58572" spans="2:2" s="221" customFormat="1" ht="12.75" x14ac:dyDescent="0.2">
      <c r="B58572" s="1168"/>
    </row>
    <row r="58573" spans="2:2" s="221" customFormat="1" ht="12.75" x14ac:dyDescent="0.2">
      <c r="B58573" s="1168"/>
    </row>
    <row r="58574" spans="2:2" s="221" customFormat="1" ht="12.75" x14ac:dyDescent="0.2">
      <c r="B58574" s="1168"/>
    </row>
    <row r="58575" spans="2:2" s="221" customFormat="1" ht="12.75" x14ac:dyDescent="0.2">
      <c r="B58575" s="1168"/>
    </row>
    <row r="58576" spans="2:2" s="221" customFormat="1" ht="12.75" x14ac:dyDescent="0.2">
      <c r="B58576" s="1168"/>
    </row>
    <row r="58577" spans="2:2" s="221" customFormat="1" ht="12.75" x14ac:dyDescent="0.2">
      <c r="B58577" s="1168"/>
    </row>
    <row r="58578" spans="2:2" s="221" customFormat="1" ht="12.75" x14ac:dyDescent="0.2">
      <c r="B58578" s="1168"/>
    </row>
    <row r="58579" spans="2:2" s="221" customFormat="1" ht="12.75" x14ac:dyDescent="0.2">
      <c r="B58579" s="1168"/>
    </row>
    <row r="58580" spans="2:2" s="221" customFormat="1" ht="12.75" x14ac:dyDescent="0.2">
      <c r="B58580" s="1168"/>
    </row>
    <row r="58581" spans="2:2" s="221" customFormat="1" ht="12.75" x14ac:dyDescent="0.2">
      <c r="B58581" s="1168"/>
    </row>
    <row r="58582" spans="2:2" s="221" customFormat="1" ht="12.75" x14ac:dyDescent="0.2">
      <c r="B58582" s="1168"/>
    </row>
    <row r="58583" spans="2:2" s="221" customFormat="1" ht="12.75" x14ac:dyDescent="0.2">
      <c r="B58583" s="1168"/>
    </row>
    <row r="58584" spans="2:2" s="221" customFormat="1" ht="12.75" x14ac:dyDescent="0.2">
      <c r="B58584" s="1168"/>
    </row>
    <row r="58585" spans="2:2" s="221" customFormat="1" ht="12.75" x14ac:dyDescent="0.2">
      <c r="B58585" s="1168"/>
    </row>
    <row r="58586" spans="2:2" s="221" customFormat="1" ht="12.75" x14ac:dyDescent="0.2">
      <c r="B58586" s="1168"/>
    </row>
    <row r="58587" spans="2:2" s="221" customFormat="1" ht="12.75" x14ac:dyDescent="0.2">
      <c r="B58587" s="1168"/>
    </row>
    <row r="58588" spans="2:2" s="221" customFormat="1" ht="12.75" x14ac:dyDescent="0.2">
      <c r="B58588" s="1168"/>
    </row>
    <row r="58589" spans="2:2" s="221" customFormat="1" ht="12.75" x14ac:dyDescent="0.2">
      <c r="B58589" s="1168"/>
    </row>
    <row r="58590" spans="2:2" s="221" customFormat="1" ht="12.75" x14ac:dyDescent="0.2">
      <c r="B58590" s="1168"/>
    </row>
    <row r="58591" spans="2:2" s="221" customFormat="1" ht="12.75" x14ac:dyDescent="0.2">
      <c r="B58591" s="1168"/>
    </row>
    <row r="58592" spans="2:2" s="221" customFormat="1" ht="12.75" x14ac:dyDescent="0.2">
      <c r="B58592" s="1168"/>
    </row>
    <row r="58593" spans="2:2" s="221" customFormat="1" ht="12.75" x14ac:dyDescent="0.2">
      <c r="B58593" s="1168"/>
    </row>
    <row r="58594" spans="2:2" s="221" customFormat="1" ht="12.75" x14ac:dyDescent="0.2">
      <c r="B58594" s="1168"/>
    </row>
    <row r="58595" spans="2:2" s="221" customFormat="1" ht="12.75" x14ac:dyDescent="0.2">
      <c r="B58595" s="1168"/>
    </row>
    <row r="58596" spans="2:2" s="221" customFormat="1" ht="12.75" x14ac:dyDescent="0.2">
      <c r="B58596" s="1168"/>
    </row>
    <row r="58597" spans="2:2" s="221" customFormat="1" ht="12.75" x14ac:dyDescent="0.2">
      <c r="B58597" s="1168"/>
    </row>
    <row r="58598" spans="2:2" s="221" customFormat="1" ht="12.75" x14ac:dyDescent="0.2">
      <c r="B58598" s="1168"/>
    </row>
    <row r="58599" spans="2:2" s="221" customFormat="1" ht="12.75" x14ac:dyDescent="0.2">
      <c r="B58599" s="1168"/>
    </row>
    <row r="58600" spans="2:2" s="221" customFormat="1" ht="12.75" x14ac:dyDescent="0.2">
      <c r="B58600" s="1168"/>
    </row>
    <row r="58601" spans="2:2" s="221" customFormat="1" ht="12.75" x14ac:dyDescent="0.2">
      <c r="B58601" s="1168"/>
    </row>
    <row r="58602" spans="2:2" s="221" customFormat="1" ht="12.75" x14ac:dyDescent="0.2">
      <c r="B58602" s="1168"/>
    </row>
    <row r="58603" spans="2:2" s="221" customFormat="1" ht="12.75" x14ac:dyDescent="0.2">
      <c r="B58603" s="1168"/>
    </row>
    <row r="58604" spans="2:2" s="221" customFormat="1" ht="12.75" x14ac:dyDescent="0.2">
      <c r="B58604" s="1168"/>
    </row>
    <row r="58605" spans="2:2" s="221" customFormat="1" ht="12.75" x14ac:dyDescent="0.2">
      <c r="B58605" s="1168"/>
    </row>
    <row r="58606" spans="2:2" s="221" customFormat="1" ht="12.75" x14ac:dyDescent="0.2">
      <c r="B58606" s="1168"/>
    </row>
    <row r="58607" spans="2:2" s="221" customFormat="1" ht="12.75" x14ac:dyDescent="0.2">
      <c r="B58607" s="1168"/>
    </row>
    <row r="58608" spans="2:2" s="221" customFormat="1" ht="12.75" x14ac:dyDescent="0.2">
      <c r="B58608" s="1168"/>
    </row>
    <row r="58609" spans="2:2" s="221" customFormat="1" ht="12.75" x14ac:dyDescent="0.2">
      <c r="B58609" s="1168"/>
    </row>
    <row r="58610" spans="2:2" s="221" customFormat="1" ht="12.75" x14ac:dyDescent="0.2">
      <c r="B58610" s="1168"/>
    </row>
    <row r="58611" spans="2:2" s="221" customFormat="1" ht="12.75" x14ac:dyDescent="0.2">
      <c r="B58611" s="1168"/>
    </row>
    <row r="58612" spans="2:2" s="221" customFormat="1" ht="12.75" x14ac:dyDescent="0.2">
      <c r="B58612" s="1168"/>
    </row>
    <row r="58613" spans="2:2" s="221" customFormat="1" ht="12.75" x14ac:dyDescent="0.2">
      <c r="B58613" s="1168"/>
    </row>
    <row r="58614" spans="2:2" s="221" customFormat="1" ht="12.75" x14ac:dyDescent="0.2">
      <c r="B58614" s="1168"/>
    </row>
    <row r="58615" spans="2:2" s="221" customFormat="1" ht="12.75" x14ac:dyDescent="0.2">
      <c r="B58615" s="1168"/>
    </row>
    <row r="58616" spans="2:2" s="221" customFormat="1" ht="12.75" x14ac:dyDescent="0.2">
      <c r="B58616" s="1168"/>
    </row>
    <row r="58617" spans="2:2" s="221" customFormat="1" ht="12.75" x14ac:dyDescent="0.2">
      <c r="B58617" s="1168"/>
    </row>
    <row r="58618" spans="2:2" s="221" customFormat="1" ht="12.75" x14ac:dyDescent="0.2">
      <c r="B58618" s="1168"/>
    </row>
    <row r="58619" spans="2:2" s="221" customFormat="1" ht="12.75" x14ac:dyDescent="0.2">
      <c r="B58619" s="1168"/>
    </row>
    <row r="58620" spans="2:2" s="221" customFormat="1" ht="12.75" x14ac:dyDescent="0.2">
      <c r="B58620" s="1168"/>
    </row>
    <row r="58621" spans="2:2" s="221" customFormat="1" ht="12.75" x14ac:dyDescent="0.2">
      <c r="B58621" s="1168"/>
    </row>
    <row r="58622" spans="2:2" s="221" customFormat="1" ht="12.75" x14ac:dyDescent="0.2">
      <c r="B58622" s="1168"/>
    </row>
    <row r="58623" spans="2:2" s="221" customFormat="1" ht="12.75" x14ac:dyDescent="0.2">
      <c r="B58623" s="1168"/>
    </row>
    <row r="58624" spans="2:2" s="221" customFormat="1" ht="12.75" x14ac:dyDescent="0.2">
      <c r="B58624" s="1168"/>
    </row>
    <row r="58625" spans="2:2" s="221" customFormat="1" ht="12.75" x14ac:dyDescent="0.2">
      <c r="B58625" s="1168"/>
    </row>
    <row r="58626" spans="2:2" s="221" customFormat="1" ht="12.75" x14ac:dyDescent="0.2">
      <c r="B58626" s="1168"/>
    </row>
    <row r="58627" spans="2:2" s="221" customFormat="1" ht="12.75" x14ac:dyDescent="0.2">
      <c r="B58627" s="1168"/>
    </row>
    <row r="58628" spans="2:2" s="221" customFormat="1" ht="12.75" x14ac:dyDescent="0.2">
      <c r="B58628" s="1168"/>
    </row>
    <row r="58629" spans="2:2" s="221" customFormat="1" ht="12.75" x14ac:dyDescent="0.2">
      <c r="B58629" s="1168"/>
    </row>
    <row r="58630" spans="2:2" s="221" customFormat="1" ht="12.75" x14ac:dyDescent="0.2">
      <c r="B58630" s="1168"/>
    </row>
    <row r="58631" spans="2:2" s="221" customFormat="1" ht="12.75" x14ac:dyDescent="0.2">
      <c r="B58631" s="1168"/>
    </row>
    <row r="58632" spans="2:2" s="221" customFormat="1" ht="12.75" x14ac:dyDescent="0.2">
      <c r="B58632" s="1168"/>
    </row>
    <row r="58633" spans="2:2" s="221" customFormat="1" ht="12.75" x14ac:dyDescent="0.2">
      <c r="B58633" s="1168"/>
    </row>
    <row r="58634" spans="2:2" s="221" customFormat="1" ht="12.75" x14ac:dyDescent="0.2">
      <c r="B58634" s="1168"/>
    </row>
    <row r="58635" spans="2:2" s="221" customFormat="1" ht="12.75" x14ac:dyDescent="0.2">
      <c r="B58635" s="1168"/>
    </row>
    <row r="58636" spans="2:2" s="221" customFormat="1" ht="12.75" x14ac:dyDescent="0.2">
      <c r="B58636" s="1168"/>
    </row>
    <row r="58637" spans="2:2" s="221" customFormat="1" ht="12.75" x14ac:dyDescent="0.2">
      <c r="B58637" s="1168"/>
    </row>
    <row r="58638" spans="2:2" s="221" customFormat="1" ht="12.75" x14ac:dyDescent="0.2">
      <c r="B58638" s="1168"/>
    </row>
    <row r="58639" spans="2:2" s="221" customFormat="1" ht="12.75" x14ac:dyDescent="0.2">
      <c r="B58639" s="1168"/>
    </row>
    <row r="58640" spans="2:2" s="221" customFormat="1" ht="12.75" x14ac:dyDescent="0.2">
      <c r="B58640" s="1168"/>
    </row>
    <row r="58641" spans="2:2" s="221" customFormat="1" ht="12.75" x14ac:dyDescent="0.2">
      <c r="B58641" s="1168"/>
    </row>
    <row r="58642" spans="2:2" s="221" customFormat="1" ht="12.75" x14ac:dyDescent="0.2">
      <c r="B58642" s="1168"/>
    </row>
    <row r="58643" spans="2:2" s="221" customFormat="1" ht="12.75" x14ac:dyDescent="0.2">
      <c r="B58643" s="1168"/>
    </row>
    <row r="58644" spans="2:2" s="221" customFormat="1" ht="12.75" x14ac:dyDescent="0.2">
      <c r="B58644" s="1168"/>
    </row>
    <row r="58645" spans="2:2" s="221" customFormat="1" ht="12.75" x14ac:dyDescent="0.2">
      <c r="B58645" s="1168"/>
    </row>
    <row r="58646" spans="2:2" s="221" customFormat="1" ht="12.75" x14ac:dyDescent="0.2">
      <c r="B58646" s="1168"/>
    </row>
    <row r="58647" spans="2:2" s="221" customFormat="1" ht="12.75" x14ac:dyDescent="0.2">
      <c r="B58647" s="1168"/>
    </row>
    <row r="58648" spans="2:2" s="221" customFormat="1" ht="12.75" x14ac:dyDescent="0.2">
      <c r="B58648" s="1168"/>
    </row>
    <row r="58649" spans="2:2" s="221" customFormat="1" ht="12.75" x14ac:dyDescent="0.2">
      <c r="B58649" s="1168"/>
    </row>
    <row r="58650" spans="2:2" s="221" customFormat="1" ht="12.75" x14ac:dyDescent="0.2">
      <c r="B58650" s="1168"/>
    </row>
    <row r="58651" spans="2:2" s="221" customFormat="1" ht="12.75" x14ac:dyDescent="0.2">
      <c r="B58651" s="1168"/>
    </row>
    <row r="58652" spans="2:2" s="221" customFormat="1" ht="12.75" x14ac:dyDescent="0.2">
      <c r="B58652" s="1168"/>
    </row>
    <row r="58653" spans="2:2" s="221" customFormat="1" ht="12.75" x14ac:dyDescent="0.2">
      <c r="B58653" s="1168"/>
    </row>
    <row r="58654" spans="2:2" s="221" customFormat="1" ht="12.75" x14ac:dyDescent="0.2">
      <c r="B58654" s="1168"/>
    </row>
    <row r="58655" spans="2:2" s="221" customFormat="1" ht="12.75" x14ac:dyDescent="0.2">
      <c r="B58655" s="1168"/>
    </row>
    <row r="58656" spans="2:2" s="221" customFormat="1" ht="12.75" x14ac:dyDescent="0.2">
      <c r="B58656" s="1168"/>
    </row>
    <row r="58657" spans="2:2" s="221" customFormat="1" ht="12.75" x14ac:dyDescent="0.2">
      <c r="B58657" s="1168"/>
    </row>
    <row r="58658" spans="2:2" s="221" customFormat="1" ht="12.75" x14ac:dyDescent="0.2">
      <c r="B58658" s="1168"/>
    </row>
    <row r="58659" spans="2:2" s="221" customFormat="1" ht="12.75" x14ac:dyDescent="0.2">
      <c r="B58659" s="1168"/>
    </row>
    <row r="58660" spans="2:2" s="221" customFormat="1" ht="12.75" x14ac:dyDescent="0.2">
      <c r="B58660" s="1168"/>
    </row>
    <row r="58661" spans="2:2" s="221" customFormat="1" ht="12.75" x14ac:dyDescent="0.2">
      <c r="B58661" s="1168"/>
    </row>
    <row r="58662" spans="2:2" s="221" customFormat="1" ht="12.75" x14ac:dyDescent="0.2">
      <c r="B58662" s="1168"/>
    </row>
    <row r="58663" spans="2:2" s="221" customFormat="1" ht="12.75" x14ac:dyDescent="0.2">
      <c r="B58663" s="1168"/>
    </row>
    <row r="58664" spans="2:2" s="221" customFormat="1" ht="12.75" x14ac:dyDescent="0.2">
      <c r="B58664" s="1168"/>
    </row>
    <row r="58665" spans="2:2" s="221" customFormat="1" ht="12.75" x14ac:dyDescent="0.2">
      <c r="B58665" s="1168"/>
    </row>
    <row r="58666" spans="2:2" s="221" customFormat="1" ht="12.75" x14ac:dyDescent="0.2">
      <c r="B58666" s="1168"/>
    </row>
    <row r="58667" spans="2:2" s="221" customFormat="1" ht="12.75" x14ac:dyDescent="0.2">
      <c r="B58667" s="1168"/>
    </row>
    <row r="58668" spans="2:2" s="221" customFormat="1" ht="12.75" x14ac:dyDescent="0.2">
      <c r="B58668" s="1168"/>
    </row>
    <row r="58669" spans="2:2" s="221" customFormat="1" ht="12.75" x14ac:dyDescent="0.2">
      <c r="B58669" s="1168"/>
    </row>
    <row r="58670" spans="2:2" s="221" customFormat="1" ht="12.75" x14ac:dyDescent="0.2">
      <c r="B58670" s="1168"/>
    </row>
    <row r="58671" spans="2:2" s="221" customFormat="1" ht="12.75" x14ac:dyDescent="0.2">
      <c r="B58671" s="1168"/>
    </row>
    <row r="58672" spans="2:2" s="221" customFormat="1" ht="12.75" x14ac:dyDescent="0.2">
      <c r="B58672" s="1168"/>
    </row>
    <row r="58673" spans="2:2" s="221" customFormat="1" ht="12.75" x14ac:dyDescent="0.2">
      <c r="B58673" s="1168"/>
    </row>
    <row r="58674" spans="2:2" s="221" customFormat="1" ht="12.75" x14ac:dyDescent="0.2">
      <c r="B58674" s="1168"/>
    </row>
    <row r="58675" spans="2:2" s="221" customFormat="1" ht="12.75" x14ac:dyDescent="0.2">
      <c r="B58675" s="1168"/>
    </row>
    <row r="58676" spans="2:2" s="221" customFormat="1" ht="12.75" x14ac:dyDescent="0.2">
      <c r="B58676" s="1168"/>
    </row>
    <row r="58677" spans="2:2" s="221" customFormat="1" ht="12.75" x14ac:dyDescent="0.2">
      <c r="B58677" s="1168"/>
    </row>
    <row r="58678" spans="2:2" s="221" customFormat="1" ht="12.75" x14ac:dyDescent="0.2">
      <c r="B58678" s="1168"/>
    </row>
    <row r="58679" spans="2:2" s="221" customFormat="1" ht="12.75" x14ac:dyDescent="0.2">
      <c r="B58679" s="1168"/>
    </row>
    <row r="58680" spans="2:2" s="221" customFormat="1" ht="12.75" x14ac:dyDescent="0.2">
      <c r="B58680" s="1168"/>
    </row>
    <row r="58681" spans="2:2" s="221" customFormat="1" ht="12.75" x14ac:dyDescent="0.2">
      <c r="B58681" s="1168"/>
    </row>
    <row r="58682" spans="2:2" s="221" customFormat="1" ht="12.75" x14ac:dyDescent="0.2">
      <c r="B58682" s="1168"/>
    </row>
    <row r="58683" spans="2:2" s="221" customFormat="1" ht="12.75" x14ac:dyDescent="0.2">
      <c r="B58683" s="1168"/>
    </row>
    <row r="58684" spans="2:2" s="221" customFormat="1" ht="12.75" x14ac:dyDescent="0.2">
      <c r="B58684" s="1168"/>
    </row>
    <row r="58685" spans="2:2" s="221" customFormat="1" ht="12.75" x14ac:dyDescent="0.2">
      <c r="B58685" s="1168"/>
    </row>
    <row r="58686" spans="2:2" s="221" customFormat="1" ht="12.75" x14ac:dyDescent="0.2">
      <c r="B58686" s="1168"/>
    </row>
    <row r="58687" spans="2:2" s="221" customFormat="1" ht="12.75" x14ac:dyDescent="0.2">
      <c r="B58687" s="1168"/>
    </row>
    <row r="58688" spans="2:2" s="221" customFormat="1" ht="12.75" x14ac:dyDescent="0.2">
      <c r="B58688" s="1168"/>
    </row>
    <row r="58689" spans="2:2" s="221" customFormat="1" ht="12.75" x14ac:dyDescent="0.2">
      <c r="B58689" s="1168"/>
    </row>
    <row r="58690" spans="2:2" s="221" customFormat="1" ht="12.75" x14ac:dyDescent="0.2">
      <c r="B58690" s="1168"/>
    </row>
    <row r="58691" spans="2:2" s="221" customFormat="1" ht="12.75" x14ac:dyDescent="0.2">
      <c r="B58691" s="1168"/>
    </row>
    <row r="58692" spans="2:2" s="221" customFormat="1" ht="12.75" x14ac:dyDescent="0.2">
      <c r="B58692" s="1168"/>
    </row>
    <row r="58693" spans="2:2" s="221" customFormat="1" ht="12.75" x14ac:dyDescent="0.2">
      <c r="B58693" s="1168"/>
    </row>
    <row r="58694" spans="2:2" s="221" customFormat="1" ht="12.75" x14ac:dyDescent="0.2">
      <c r="B58694" s="1168"/>
    </row>
    <row r="58695" spans="2:2" s="221" customFormat="1" ht="12.75" x14ac:dyDescent="0.2">
      <c r="B58695" s="1168"/>
    </row>
    <row r="58696" spans="2:2" s="221" customFormat="1" ht="12.75" x14ac:dyDescent="0.2">
      <c r="B58696" s="1168"/>
    </row>
    <row r="58697" spans="2:2" s="221" customFormat="1" ht="12.75" x14ac:dyDescent="0.2">
      <c r="B58697" s="1168"/>
    </row>
    <row r="58698" spans="2:2" s="221" customFormat="1" ht="12.75" x14ac:dyDescent="0.2">
      <c r="B58698" s="1168"/>
    </row>
    <row r="58699" spans="2:2" s="221" customFormat="1" ht="12.75" x14ac:dyDescent="0.2">
      <c r="B58699" s="1168"/>
    </row>
    <row r="58700" spans="2:2" s="221" customFormat="1" ht="12.75" x14ac:dyDescent="0.2">
      <c r="B58700" s="1168"/>
    </row>
    <row r="58701" spans="2:2" s="221" customFormat="1" ht="12.75" x14ac:dyDescent="0.2">
      <c r="B58701" s="1168"/>
    </row>
    <row r="58702" spans="2:2" s="221" customFormat="1" ht="12.75" x14ac:dyDescent="0.2">
      <c r="B58702" s="1168"/>
    </row>
    <row r="58703" spans="2:2" s="221" customFormat="1" ht="12.75" x14ac:dyDescent="0.2">
      <c r="B58703" s="1168"/>
    </row>
    <row r="58704" spans="2:2" s="221" customFormat="1" ht="12.75" x14ac:dyDescent="0.2">
      <c r="B58704" s="1168"/>
    </row>
    <row r="58705" spans="2:2" s="221" customFormat="1" ht="12.75" x14ac:dyDescent="0.2">
      <c r="B58705" s="1168"/>
    </row>
    <row r="58706" spans="2:2" s="221" customFormat="1" ht="12.75" x14ac:dyDescent="0.2">
      <c r="B58706" s="1168"/>
    </row>
    <row r="58707" spans="2:2" s="221" customFormat="1" ht="12.75" x14ac:dyDescent="0.2">
      <c r="B58707" s="1168"/>
    </row>
    <row r="58708" spans="2:2" s="221" customFormat="1" ht="12.75" x14ac:dyDescent="0.2">
      <c r="B58708" s="1168"/>
    </row>
    <row r="58709" spans="2:2" s="221" customFormat="1" ht="12.75" x14ac:dyDescent="0.2">
      <c r="B58709" s="1168"/>
    </row>
    <row r="58710" spans="2:2" s="221" customFormat="1" ht="12.75" x14ac:dyDescent="0.2">
      <c r="B58710" s="1168"/>
    </row>
    <row r="58711" spans="2:2" s="221" customFormat="1" ht="12.75" x14ac:dyDescent="0.2">
      <c r="B58711" s="1168"/>
    </row>
    <row r="58712" spans="2:2" s="221" customFormat="1" ht="12.75" x14ac:dyDescent="0.2">
      <c r="B58712" s="1168"/>
    </row>
    <row r="58713" spans="2:2" s="221" customFormat="1" ht="12.75" x14ac:dyDescent="0.2">
      <c r="B58713" s="1168"/>
    </row>
    <row r="58714" spans="2:2" s="221" customFormat="1" ht="12.75" x14ac:dyDescent="0.2">
      <c r="B58714" s="1168"/>
    </row>
    <row r="58715" spans="2:2" s="221" customFormat="1" ht="12.75" x14ac:dyDescent="0.2">
      <c r="B58715" s="1168"/>
    </row>
    <row r="58716" spans="2:2" s="221" customFormat="1" ht="12.75" x14ac:dyDescent="0.2">
      <c r="B58716" s="1168"/>
    </row>
    <row r="58717" spans="2:2" s="221" customFormat="1" ht="12.75" x14ac:dyDescent="0.2">
      <c r="B58717" s="1168"/>
    </row>
    <row r="58718" spans="2:2" s="221" customFormat="1" ht="12.75" x14ac:dyDescent="0.2">
      <c r="B58718" s="1168"/>
    </row>
    <row r="58719" spans="2:2" s="221" customFormat="1" ht="12.75" x14ac:dyDescent="0.2">
      <c r="B58719" s="1168"/>
    </row>
    <row r="58720" spans="2:2" s="221" customFormat="1" ht="12.75" x14ac:dyDescent="0.2">
      <c r="B58720" s="1168"/>
    </row>
    <row r="58721" spans="2:2" s="221" customFormat="1" ht="12.75" x14ac:dyDescent="0.2">
      <c r="B58721" s="1168"/>
    </row>
    <row r="58722" spans="2:2" s="221" customFormat="1" ht="12.75" x14ac:dyDescent="0.2">
      <c r="B58722" s="1168"/>
    </row>
    <row r="58723" spans="2:2" s="221" customFormat="1" ht="12.75" x14ac:dyDescent="0.2">
      <c r="B58723" s="1168"/>
    </row>
    <row r="58724" spans="2:2" s="221" customFormat="1" ht="12.75" x14ac:dyDescent="0.2">
      <c r="B58724" s="1168"/>
    </row>
    <row r="58725" spans="2:2" s="221" customFormat="1" ht="12.75" x14ac:dyDescent="0.2">
      <c r="B58725" s="1168"/>
    </row>
    <row r="58726" spans="2:2" s="221" customFormat="1" ht="12.75" x14ac:dyDescent="0.2">
      <c r="B58726" s="1168"/>
    </row>
    <row r="58727" spans="2:2" s="221" customFormat="1" ht="12.75" x14ac:dyDescent="0.2">
      <c r="B58727" s="1168"/>
    </row>
    <row r="58728" spans="2:2" s="221" customFormat="1" ht="12.75" x14ac:dyDescent="0.2">
      <c r="B58728" s="1168"/>
    </row>
    <row r="58729" spans="2:2" s="221" customFormat="1" ht="12.75" x14ac:dyDescent="0.2">
      <c r="B58729" s="1168"/>
    </row>
    <row r="58730" spans="2:2" s="221" customFormat="1" ht="12.75" x14ac:dyDescent="0.2">
      <c r="B58730" s="1168"/>
    </row>
    <row r="58731" spans="2:2" s="221" customFormat="1" ht="12.75" x14ac:dyDescent="0.2">
      <c r="B58731" s="1168"/>
    </row>
    <row r="58732" spans="2:2" s="221" customFormat="1" ht="12.75" x14ac:dyDescent="0.2">
      <c r="B58732" s="1168"/>
    </row>
    <row r="58733" spans="2:2" s="221" customFormat="1" ht="12.75" x14ac:dyDescent="0.2">
      <c r="B58733" s="1168"/>
    </row>
    <row r="58734" spans="2:2" s="221" customFormat="1" ht="12.75" x14ac:dyDescent="0.2">
      <c r="B58734" s="1168"/>
    </row>
    <row r="58735" spans="2:2" s="221" customFormat="1" ht="12.75" x14ac:dyDescent="0.2">
      <c r="B58735" s="1168"/>
    </row>
    <row r="58736" spans="2:2" s="221" customFormat="1" ht="12.75" x14ac:dyDescent="0.2">
      <c r="B58736" s="1168"/>
    </row>
    <row r="58737" spans="2:2" s="221" customFormat="1" ht="12.75" x14ac:dyDescent="0.2">
      <c r="B58737" s="1168"/>
    </row>
    <row r="58738" spans="2:2" s="221" customFormat="1" ht="12.75" x14ac:dyDescent="0.2">
      <c r="B58738" s="1168"/>
    </row>
    <row r="58739" spans="2:2" s="221" customFormat="1" ht="12.75" x14ac:dyDescent="0.2">
      <c r="B58739" s="1168"/>
    </row>
    <row r="58740" spans="2:2" s="221" customFormat="1" ht="12.75" x14ac:dyDescent="0.2">
      <c r="B58740" s="1168"/>
    </row>
    <row r="58741" spans="2:2" s="221" customFormat="1" ht="12.75" x14ac:dyDescent="0.2">
      <c r="B58741" s="1168"/>
    </row>
    <row r="58742" spans="2:2" s="221" customFormat="1" ht="12.75" x14ac:dyDescent="0.2">
      <c r="B58742" s="1168"/>
    </row>
    <row r="58743" spans="2:2" s="221" customFormat="1" ht="12.75" x14ac:dyDescent="0.2">
      <c r="B58743" s="1168"/>
    </row>
    <row r="58744" spans="2:2" s="221" customFormat="1" ht="12.75" x14ac:dyDescent="0.2">
      <c r="B58744" s="1168"/>
    </row>
    <row r="58745" spans="2:2" s="221" customFormat="1" ht="12.75" x14ac:dyDescent="0.2">
      <c r="B58745" s="1168"/>
    </row>
    <row r="58746" spans="2:2" s="221" customFormat="1" ht="12.75" x14ac:dyDescent="0.2">
      <c r="B58746" s="1168"/>
    </row>
    <row r="58747" spans="2:2" s="221" customFormat="1" ht="12.75" x14ac:dyDescent="0.2">
      <c r="B58747" s="1168"/>
    </row>
    <row r="58748" spans="2:2" s="221" customFormat="1" ht="12.75" x14ac:dyDescent="0.2">
      <c r="B58748" s="1168"/>
    </row>
    <row r="58749" spans="2:2" s="221" customFormat="1" ht="12.75" x14ac:dyDescent="0.2">
      <c r="B58749" s="1168"/>
    </row>
    <row r="58750" spans="2:2" s="221" customFormat="1" ht="12.75" x14ac:dyDescent="0.2">
      <c r="B58750" s="1168"/>
    </row>
    <row r="58751" spans="2:2" s="221" customFormat="1" ht="12.75" x14ac:dyDescent="0.2">
      <c r="B58751" s="1168"/>
    </row>
    <row r="58752" spans="2:2" s="221" customFormat="1" ht="12.75" x14ac:dyDescent="0.2">
      <c r="B58752" s="1168"/>
    </row>
    <row r="58753" spans="2:2" s="221" customFormat="1" ht="12.75" x14ac:dyDescent="0.2">
      <c r="B58753" s="1168"/>
    </row>
    <row r="58754" spans="2:2" s="221" customFormat="1" ht="12.75" x14ac:dyDescent="0.2">
      <c r="B58754" s="1168"/>
    </row>
    <row r="58755" spans="2:2" s="221" customFormat="1" ht="12.75" x14ac:dyDescent="0.2">
      <c r="B58755" s="1168"/>
    </row>
    <row r="58756" spans="2:2" s="221" customFormat="1" ht="12.75" x14ac:dyDescent="0.2">
      <c r="B58756" s="1168"/>
    </row>
    <row r="58757" spans="2:2" s="221" customFormat="1" ht="12.75" x14ac:dyDescent="0.2">
      <c r="B58757" s="1168"/>
    </row>
    <row r="58758" spans="2:2" s="221" customFormat="1" ht="12.75" x14ac:dyDescent="0.2">
      <c r="B58758" s="1168"/>
    </row>
    <row r="58759" spans="2:2" s="221" customFormat="1" ht="12.75" x14ac:dyDescent="0.2">
      <c r="B58759" s="1168"/>
    </row>
    <row r="58760" spans="2:2" s="221" customFormat="1" ht="12.75" x14ac:dyDescent="0.2">
      <c r="B58760" s="1168"/>
    </row>
    <row r="58761" spans="2:2" s="221" customFormat="1" ht="12.75" x14ac:dyDescent="0.2">
      <c r="B58761" s="1168"/>
    </row>
    <row r="58762" spans="2:2" s="221" customFormat="1" ht="12.75" x14ac:dyDescent="0.2">
      <c r="B58762" s="1168"/>
    </row>
    <row r="58763" spans="2:2" s="221" customFormat="1" ht="12.75" x14ac:dyDescent="0.2">
      <c r="B58763" s="1168"/>
    </row>
    <row r="58764" spans="2:2" s="221" customFormat="1" ht="12.75" x14ac:dyDescent="0.2">
      <c r="B58764" s="1168"/>
    </row>
    <row r="58765" spans="2:2" s="221" customFormat="1" ht="12.75" x14ac:dyDescent="0.2">
      <c r="B58765" s="1168"/>
    </row>
    <row r="58766" spans="2:2" s="221" customFormat="1" ht="12.75" x14ac:dyDescent="0.2">
      <c r="B58766" s="1168"/>
    </row>
    <row r="58767" spans="2:2" s="221" customFormat="1" ht="12.75" x14ac:dyDescent="0.2">
      <c r="B58767" s="1168"/>
    </row>
    <row r="58768" spans="2:2" s="221" customFormat="1" ht="12.75" x14ac:dyDescent="0.2">
      <c r="B58768" s="1168"/>
    </row>
    <row r="58769" spans="2:2" s="221" customFormat="1" ht="12.75" x14ac:dyDescent="0.2">
      <c r="B58769" s="1168"/>
    </row>
    <row r="58770" spans="2:2" s="221" customFormat="1" ht="12.75" x14ac:dyDescent="0.2">
      <c r="B58770" s="1168"/>
    </row>
    <row r="58771" spans="2:2" s="221" customFormat="1" ht="12.75" x14ac:dyDescent="0.2">
      <c r="B58771" s="1168"/>
    </row>
    <row r="58772" spans="2:2" s="221" customFormat="1" ht="12.75" x14ac:dyDescent="0.2">
      <c r="B58772" s="1168"/>
    </row>
    <row r="58773" spans="2:2" s="221" customFormat="1" ht="12.75" x14ac:dyDescent="0.2">
      <c r="B58773" s="1168"/>
    </row>
    <row r="58774" spans="2:2" s="221" customFormat="1" ht="12.75" x14ac:dyDescent="0.2">
      <c r="B58774" s="1168"/>
    </row>
    <row r="58775" spans="2:2" s="221" customFormat="1" ht="12.75" x14ac:dyDescent="0.2">
      <c r="B58775" s="1168"/>
    </row>
    <row r="58776" spans="2:2" s="221" customFormat="1" ht="12.75" x14ac:dyDescent="0.2">
      <c r="B58776" s="1168"/>
    </row>
    <row r="58777" spans="2:2" s="221" customFormat="1" ht="12.75" x14ac:dyDescent="0.2">
      <c r="B58777" s="1168"/>
    </row>
    <row r="58778" spans="2:2" s="221" customFormat="1" ht="12.75" x14ac:dyDescent="0.2">
      <c r="B58778" s="1168"/>
    </row>
    <row r="58779" spans="2:2" s="221" customFormat="1" ht="12.75" x14ac:dyDescent="0.2">
      <c r="B58779" s="1168"/>
    </row>
    <row r="58780" spans="2:2" s="221" customFormat="1" ht="12.75" x14ac:dyDescent="0.2">
      <c r="B58780" s="1168"/>
    </row>
    <row r="58781" spans="2:2" s="221" customFormat="1" ht="12.75" x14ac:dyDescent="0.2">
      <c r="B58781" s="1168"/>
    </row>
    <row r="58782" spans="2:2" s="221" customFormat="1" ht="12.75" x14ac:dyDescent="0.2">
      <c r="B58782" s="1168"/>
    </row>
    <row r="58783" spans="2:2" s="221" customFormat="1" ht="12.75" x14ac:dyDescent="0.2">
      <c r="B58783" s="1168"/>
    </row>
    <row r="58784" spans="2:2" s="221" customFormat="1" ht="12.75" x14ac:dyDescent="0.2">
      <c r="B58784" s="1168"/>
    </row>
    <row r="58785" spans="2:2" s="221" customFormat="1" ht="12.75" x14ac:dyDescent="0.2">
      <c r="B58785" s="1168"/>
    </row>
    <row r="58786" spans="2:2" s="221" customFormat="1" ht="12.75" x14ac:dyDescent="0.2">
      <c r="B58786" s="1168"/>
    </row>
    <row r="58787" spans="2:2" s="221" customFormat="1" ht="12.75" x14ac:dyDescent="0.2">
      <c r="B58787" s="1168"/>
    </row>
    <row r="58788" spans="2:2" s="221" customFormat="1" ht="12.75" x14ac:dyDescent="0.2">
      <c r="B58788" s="1168"/>
    </row>
    <row r="58789" spans="2:2" s="221" customFormat="1" ht="12.75" x14ac:dyDescent="0.2">
      <c r="B58789" s="1168"/>
    </row>
    <row r="58790" spans="2:2" s="221" customFormat="1" ht="12.75" x14ac:dyDescent="0.2">
      <c r="B58790" s="1168"/>
    </row>
    <row r="58791" spans="2:2" s="221" customFormat="1" ht="12.75" x14ac:dyDescent="0.2">
      <c r="B58791" s="1168"/>
    </row>
    <row r="58792" spans="2:2" s="221" customFormat="1" ht="12.75" x14ac:dyDescent="0.2">
      <c r="B58792" s="1168"/>
    </row>
    <row r="58793" spans="2:2" s="221" customFormat="1" ht="12.75" x14ac:dyDescent="0.2">
      <c r="B58793" s="1168"/>
    </row>
    <row r="58794" spans="2:2" s="221" customFormat="1" ht="12.75" x14ac:dyDescent="0.2">
      <c r="B58794" s="1168"/>
    </row>
    <row r="58795" spans="2:2" s="221" customFormat="1" ht="12.75" x14ac:dyDescent="0.2">
      <c r="B58795" s="1168"/>
    </row>
    <row r="58796" spans="2:2" s="221" customFormat="1" ht="12.75" x14ac:dyDescent="0.2">
      <c r="B58796" s="1168"/>
    </row>
    <row r="58797" spans="2:2" s="221" customFormat="1" ht="12.75" x14ac:dyDescent="0.2">
      <c r="B58797" s="1168"/>
    </row>
    <row r="58798" spans="2:2" s="221" customFormat="1" ht="12.75" x14ac:dyDescent="0.2">
      <c r="B58798" s="1168"/>
    </row>
    <row r="58799" spans="2:2" s="221" customFormat="1" ht="12.75" x14ac:dyDescent="0.2">
      <c r="B58799" s="1168"/>
    </row>
    <row r="58800" spans="2:2" s="221" customFormat="1" ht="12.75" x14ac:dyDescent="0.2">
      <c r="B58800" s="1168"/>
    </row>
    <row r="58801" spans="2:2" s="221" customFormat="1" ht="12.75" x14ac:dyDescent="0.2">
      <c r="B58801" s="1168"/>
    </row>
    <row r="58802" spans="2:2" s="221" customFormat="1" ht="12.75" x14ac:dyDescent="0.2">
      <c r="B58802" s="1168"/>
    </row>
    <row r="58803" spans="2:2" s="221" customFormat="1" ht="12.75" x14ac:dyDescent="0.2">
      <c r="B58803" s="1168"/>
    </row>
    <row r="58804" spans="2:2" s="221" customFormat="1" ht="12.75" x14ac:dyDescent="0.2">
      <c r="B58804" s="1168"/>
    </row>
    <row r="58805" spans="2:2" s="221" customFormat="1" ht="12.75" x14ac:dyDescent="0.2">
      <c r="B58805" s="1168"/>
    </row>
    <row r="58806" spans="2:2" s="221" customFormat="1" ht="12.75" x14ac:dyDescent="0.2">
      <c r="B58806" s="1168"/>
    </row>
    <row r="58807" spans="2:2" s="221" customFormat="1" ht="12.75" x14ac:dyDescent="0.2">
      <c r="B58807" s="1168"/>
    </row>
    <row r="58808" spans="2:2" s="221" customFormat="1" ht="12.75" x14ac:dyDescent="0.2">
      <c r="B58808" s="1168"/>
    </row>
    <row r="58809" spans="2:2" s="221" customFormat="1" ht="12.75" x14ac:dyDescent="0.2">
      <c r="B58809" s="1168"/>
    </row>
    <row r="58810" spans="2:2" s="221" customFormat="1" ht="12.75" x14ac:dyDescent="0.2">
      <c r="B58810" s="1168"/>
    </row>
    <row r="58811" spans="2:2" s="221" customFormat="1" ht="12.75" x14ac:dyDescent="0.2">
      <c r="B58811" s="1168"/>
    </row>
    <row r="58812" spans="2:2" s="221" customFormat="1" ht="12.75" x14ac:dyDescent="0.2">
      <c r="B58812" s="1168"/>
    </row>
    <row r="58813" spans="2:2" s="221" customFormat="1" ht="12.75" x14ac:dyDescent="0.2">
      <c r="B58813" s="1168"/>
    </row>
    <row r="58814" spans="2:2" s="221" customFormat="1" ht="12.75" x14ac:dyDescent="0.2">
      <c r="B58814" s="1168"/>
    </row>
    <row r="58815" spans="2:2" s="221" customFormat="1" ht="12.75" x14ac:dyDescent="0.2">
      <c r="B58815" s="1168"/>
    </row>
    <row r="58816" spans="2:2" s="221" customFormat="1" ht="12.75" x14ac:dyDescent="0.2">
      <c r="B58816" s="1168"/>
    </row>
    <row r="58817" spans="2:2" s="221" customFormat="1" ht="12.75" x14ac:dyDescent="0.2">
      <c r="B58817" s="1168"/>
    </row>
    <row r="58818" spans="2:2" s="221" customFormat="1" ht="12.75" x14ac:dyDescent="0.2">
      <c r="B58818" s="1168"/>
    </row>
    <row r="58819" spans="2:2" s="221" customFormat="1" ht="12.75" x14ac:dyDescent="0.2">
      <c r="B58819" s="1168"/>
    </row>
    <row r="58820" spans="2:2" s="221" customFormat="1" ht="12.75" x14ac:dyDescent="0.2">
      <c r="B58820" s="1168"/>
    </row>
    <row r="58821" spans="2:2" s="221" customFormat="1" ht="12.75" x14ac:dyDescent="0.2">
      <c r="B58821" s="1168"/>
    </row>
    <row r="58822" spans="2:2" s="221" customFormat="1" ht="12.75" x14ac:dyDescent="0.2">
      <c r="B58822" s="1168"/>
    </row>
    <row r="58823" spans="2:2" s="221" customFormat="1" ht="12.75" x14ac:dyDescent="0.2">
      <c r="B58823" s="1168"/>
    </row>
    <row r="58824" spans="2:2" s="221" customFormat="1" ht="12.75" x14ac:dyDescent="0.2">
      <c r="B58824" s="1168"/>
    </row>
    <row r="58825" spans="2:2" s="221" customFormat="1" ht="12.75" x14ac:dyDescent="0.2">
      <c r="B58825" s="1168"/>
    </row>
    <row r="58826" spans="2:2" s="221" customFormat="1" ht="12.75" x14ac:dyDescent="0.2">
      <c r="B58826" s="1168"/>
    </row>
    <row r="58827" spans="2:2" s="221" customFormat="1" ht="12.75" x14ac:dyDescent="0.2">
      <c r="B58827" s="1168"/>
    </row>
    <row r="58828" spans="2:2" s="221" customFormat="1" ht="12.75" x14ac:dyDescent="0.2">
      <c r="B58828" s="1168"/>
    </row>
    <row r="58829" spans="2:2" s="221" customFormat="1" ht="12.75" x14ac:dyDescent="0.2">
      <c r="B58829" s="1168"/>
    </row>
    <row r="58830" spans="2:2" s="221" customFormat="1" ht="12.75" x14ac:dyDescent="0.2">
      <c r="B58830" s="1168"/>
    </row>
    <row r="58831" spans="2:2" s="221" customFormat="1" ht="12.75" x14ac:dyDescent="0.2">
      <c r="B58831" s="1168"/>
    </row>
    <row r="58832" spans="2:2" s="221" customFormat="1" ht="12.75" x14ac:dyDescent="0.2">
      <c r="B58832" s="1168"/>
    </row>
    <row r="58833" spans="2:2" s="221" customFormat="1" ht="12.75" x14ac:dyDescent="0.2">
      <c r="B58833" s="1168"/>
    </row>
    <row r="58834" spans="2:2" s="221" customFormat="1" ht="12.75" x14ac:dyDescent="0.2">
      <c r="B58834" s="1168"/>
    </row>
    <row r="58835" spans="2:2" s="221" customFormat="1" ht="12.75" x14ac:dyDescent="0.2">
      <c r="B58835" s="1168"/>
    </row>
    <row r="58836" spans="2:2" s="221" customFormat="1" ht="12.75" x14ac:dyDescent="0.2">
      <c r="B58836" s="1168"/>
    </row>
    <row r="58837" spans="2:2" s="221" customFormat="1" ht="12.75" x14ac:dyDescent="0.2">
      <c r="B58837" s="1168"/>
    </row>
    <row r="58838" spans="2:2" s="221" customFormat="1" ht="12.75" x14ac:dyDescent="0.2">
      <c r="B58838" s="1168"/>
    </row>
    <row r="58839" spans="2:2" s="221" customFormat="1" ht="12.75" x14ac:dyDescent="0.2">
      <c r="B58839" s="1168"/>
    </row>
    <row r="58840" spans="2:2" s="221" customFormat="1" ht="12.75" x14ac:dyDescent="0.2">
      <c r="B58840" s="1168"/>
    </row>
    <row r="58841" spans="2:2" s="221" customFormat="1" ht="12.75" x14ac:dyDescent="0.2">
      <c r="B58841" s="1168"/>
    </row>
    <row r="58842" spans="2:2" s="221" customFormat="1" ht="12.75" x14ac:dyDescent="0.2">
      <c r="B58842" s="1168"/>
    </row>
    <row r="58843" spans="2:2" s="221" customFormat="1" ht="12.75" x14ac:dyDescent="0.2">
      <c r="B58843" s="1168"/>
    </row>
    <row r="58844" spans="2:2" s="221" customFormat="1" ht="12.75" x14ac:dyDescent="0.2">
      <c r="B58844" s="1168"/>
    </row>
    <row r="58845" spans="2:2" s="221" customFormat="1" ht="12.75" x14ac:dyDescent="0.2">
      <c r="B58845" s="1168"/>
    </row>
    <row r="58846" spans="2:2" s="221" customFormat="1" ht="12.75" x14ac:dyDescent="0.2">
      <c r="B58846" s="1168"/>
    </row>
    <row r="58847" spans="2:2" s="221" customFormat="1" ht="12.75" x14ac:dyDescent="0.2">
      <c r="B58847" s="1168"/>
    </row>
    <row r="58848" spans="2:2" s="221" customFormat="1" ht="12.75" x14ac:dyDescent="0.2">
      <c r="B58848" s="1168"/>
    </row>
    <row r="58849" spans="2:2" s="221" customFormat="1" ht="12.75" x14ac:dyDescent="0.2">
      <c r="B58849" s="1168"/>
    </row>
    <row r="58850" spans="2:2" s="221" customFormat="1" ht="12.75" x14ac:dyDescent="0.2">
      <c r="B58850" s="1168"/>
    </row>
    <row r="58851" spans="2:2" s="221" customFormat="1" ht="12.75" x14ac:dyDescent="0.2">
      <c r="B58851" s="1168"/>
    </row>
    <row r="58852" spans="2:2" s="221" customFormat="1" ht="12.75" x14ac:dyDescent="0.2">
      <c r="B58852" s="1168"/>
    </row>
    <row r="58853" spans="2:2" s="221" customFormat="1" ht="12.75" x14ac:dyDescent="0.2">
      <c r="B58853" s="1168"/>
    </row>
    <row r="58854" spans="2:2" s="221" customFormat="1" ht="12.75" x14ac:dyDescent="0.2">
      <c r="B58854" s="1168"/>
    </row>
    <row r="58855" spans="2:2" s="221" customFormat="1" ht="12.75" x14ac:dyDescent="0.2">
      <c r="B58855" s="1168"/>
    </row>
    <row r="58856" spans="2:2" s="221" customFormat="1" ht="12.75" x14ac:dyDescent="0.2">
      <c r="B58856" s="1168"/>
    </row>
    <row r="58857" spans="2:2" s="221" customFormat="1" ht="12.75" x14ac:dyDescent="0.2">
      <c r="B58857" s="1168"/>
    </row>
    <row r="58858" spans="2:2" s="221" customFormat="1" ht="12.75" x14ac:dyDescent="0.2">
      <c r="B58858" s="1168"/>
    </row>
    <row r="58859" spans="2:2" s="221" customFormat="1" ht="12.75" x14ac:dyDescent="0.2">
      <c r="B58859" s="1168"/>
    </row>
    <row r="58860" spans="2:2" s="221" customFormat="1" ht="12.75" x14ac:dyDescent="0.2">
      <c r="B58860" s="1168"/>
    </row>
    <row r="58861" spans="2:2" s="221" customFormat="1" ht="12.75" x14ac:dyDescent="0.2">
      <c r="B58861" s="1168"/>
    </row>
    <row r="58862" spans="2:2" s="221" customFormat="1" ht="12.75" x14ac:dyDescent="0.2">
      <c r="B58862" s="1168"/>
    </row>
    <row r="58863" spans="2:2" s="221" customFormat="1" ht="12.75" x14ac:dyDescent="0.2">
      <c r="B58863" s="1168"/>
    </row>
    <row r="58864" spans="2:2" s="221" customFormat="1" ht="12.75" x14ac:dyDescent="0.2">
      <c r="B58864" s="1168"/>
    </row>
    <row r="58865" spans="2:2" s="221" customFormat="1" ht="12.75" x14ac:dyDescent="0.2">
      <c r="B58865" s="1168"/>
    </row>
    <row r="58866" spans="2:2" s="221" customFormat="1" ht="12.75" x14ac:dyDescent="0.2">
      <c r="B58866" s="1168"/>
    </row>
    <row r="58867" spans="2:2" s="221" customFormat="1" ht="12.75" x14ac:dyDescent="0.2">
      <c r="B58867" s="1168"/>
    </row>
    <row r="58868" spans="2:2" s="221" customFormat="1" ht="12.75" x14ac:dyDescent="0.2">
      <c r="B58868" s="1168"/>
    </row>
    <row r="58869" spans="2:2" s="221" customFormat="1" ht="12.75" x14ac:dyDescent="0.2">
      <c r="B58869" s="1168"/>
    </row>
    <row r="58870" spans="2:2" s="221" customFormat="1" ht="12.75" x14ac:dyDescent="0.2">
      <c r="B58870" s="1168"/>
    </row>
    <row r="58871" spans="2:2" s="221" customFormat="1" ht="12.75" x14ac:dyDescent="0.2">
      <c r="B58871" s="1168"/>
    </row>
    <row r="58872" spans="2:2" s="221" customFormat="1" ht="12.75" x14ac:dyDescent="0.2">
      <c r="B58872" s="1168"/>
    </row>
    <row r="58873" spans="2:2" s="221" customFormat="1" ht="12.75" x14ac:dyDescent="0.2">
      <c r="B58873" s="1168"/>
    </row>
    <row r="58874" spans="2:2" s="221" customFormat="1" ht="12.75" x14ac:dyDescent="0.2">
      <c r="B58874" s="1168"/>
    </row>
    <row r="58875" spans="2:2" s="221" customFormat="1" ht="12.75" x14ac:dyDescent="0.2">
      <c r="B58875" s="1168"/>
    </row>
    <row r="58876" spans="2:2" s="221" customFormat="1" ht="12.75" x14ac:dyDescent="0.2">
      <c r="B58876" s="1168"/>
    </row>
    <row r="58877" spans="2:2" s="221" customFormat="1" ht="12.75" x14ac:dyDescent="0.2">
      <c r="B58877" s="1168"/>
    </row>
    <row r="58878" spans="2:2" s="221" customFormat="1" ht="12.75" x14ac:dyDescent="0.2">
      <c r="B58878" s="1168"/>
    </row>
    <row r="58879" spans="2:2" s="221" customFormat="1" ht="12.75" x14ac:dyDescent="0.2">
      <c r="B58879" s="1168"/>
    </row>
    <row r="58880" spans="2:2" s="221" customFormat="1" ht="12.75" x14ac:dyDescent="0.2">
      <c r="B58880" s="1168"/>
    </row>
    <row r="58881" spans="2:2" s="221" customFormat="1" ht="12.75" x14ac:dyDescent="0.2">
      <c r="B58881" s="1168"/>
    </row>
    <row r="58882" spans="2:2" s="221" customFormat="1" ht="12.75" x14ac:dyDescent="0.2">
      <c r="B58882" s="1168"/>
    </row>
    <row r="58883" spans="2:2" s="221" customFormat="1" ht="12.75" x14ac:dyDescent="0.2">
      <c r="B58883" s="1168"/>
    </row>
    <row r="58884" spans="2:2" s="221" customFormat="1" ht="12.75" x14ac:dyDescent="0.2">
      <c r="B58884" s="1168"/>
    </row>
    <row r="58885" spans="2:2" s="221" customFormat="1" ht="12.75" x14ac:dyDescent="0.2">
      <c r="B58885" s="1168"/>
    </row>
    <row r="58886" spans="2:2" s="221" customFormat="1" ht="12.75" x14ac:dyDescent="0.2">
      <c r="B58886" s="1168"/>
    </row>
    <row r="58887" spans="2:2" s="221" customFormat="1" ht="12.75" x14ac:dyDescent="0.2">
      <c r="B58887" s="1168"/>
    </row>
    <row r="58888" spans="2:2" s="221" customFormat="1" ht="12.75" x14ac:dyDescent="0.2">
      <c r="B58888" s="1168"/>
    </row>
    <row r="58889" spans="2:2" s="221" customFormat="1" ht="12.75" x14ac:dyDescent="0.2">
      <c r="B58889" s="1168"/>
    </row>
    <row r="58890" spans="2:2" s="221" customFormat="1" ht="12.75" x14ac:dyDescent="0.2">
      <c r="B58890" s="1168"/>
    </row>
    <row r="58891" spans="2:2" s="221" customFormat="1" ht="12.75" x14ac:dyDescent="0.2">
      <c r="B58891" s="1168"/>
    </row>
    <row r="58892" spans="2:2" s="221" customFormat="1" ht="12.75" x14ac:dyDescent="0.2">
      <c r="B58892" s="1168"/>
    </row>
    <row r="58893" spans="2:2" s="221" customFormat="1" ht="12.75" x14ac:dyDescent="0.2">
      <c r="B58893" s="1168"/>
    </row>
    <row r="58894" spans="2:2" s="221" customFormat="1" ht="12.75" x14ac:dyDescent="0.2">
      <c r="B58894" s="1168"/>
    </row>
    <row r="58895" spans="2:2" s="221" customFormat="1" ht="12.75" x14ac:dyDescent="0.2">
      <c r="B58895" s="1168"/>
    </row>
    <row r="58896" spans="2:2" s="221" customFormat="1" ht="12.75" x14ac:dyDescent="0.2">
      <c r="B58896" s="1168"/>
    </row>
    <row r="58897" spans="2:2" s="221" customFormat="1" ht="12.75" x14ac:dyDescent="0.2">
      <c r="B58897" s="1168"/>
    </row>
    <row r="58898" spans="2:2" s="221" customFormat="1" ht="12.75" x14ac:dyDescent="0.2">
      <c r="B58898" s="1168"/>
    </row>
    <row r="58899" spans="2:2" s="221" customFormat="1" ht="12.75" x14ac:dyDescent="0.2">
      <c r="B58899" s="1168"/>
    </row>
    <row r="58900" spans="2:2" s="221" customFormat="1" ht="12.75" x14ac:dyDescent="0.2">
      <c r="B58900" s="1168"/>
    </row>
    <row r="58901" spans="2:2" s="221" customFormat="1" ht="12.75" x14ac:dyDescent="0.2">
      <c r="B58901" s="1168"/>
    </row>
    <row r="58902" spans="2:2" s="221" customFormat="1" ht="12.75" x14ac:dyDescent="0.2">
      <c r="B58902" s="1168"/>
    </row>
    <row r="58903" spans="2:2" s="221" customFormat="1" ht="12.75" x14ac:dyDescent="0.2">
      <c r="B58903" s="1168"/>
    </row>
    <row r="58904" spans="2:2" s="221" customFormat="1" ht="12.75" x14ac:dyDescent="0.2">
      <c r="B58904" s="1168"/>
    </row>
    <row r="58905" spans="2:2" s="221" customFormat="1" ht="12.75" x14ac:dyDescent="0.2">
      <c r="B58905" s="1168"/>
    </row>
    <row r="58906" spans="2:2" s="221" customFormat="1" ht="12.75" x14ac:dyDescent="0.2">
      <c r="B58906" s="1168"/>
    </row>
    <row r="58907" spans="2:2" s="221" customFormat="1" ht="12.75" x14ac:dyDescent="0.2">
      <c r="B58907" s="1168"/>
    </row>
    <row r="58908" spans="2:2" s="221" customFormat="1" ht="12.75" x14ac:dyDescent="0.2">
      <c r="B58908" s="1168"/>
    </row>
    <row r="58909" spans="2:2" s="221" customFormat="1" ht="12.75" x14ac:dyDescent="0.2">
      <c r="B58909" s="1168"/>
    </row>
    <row r="58910" spans="2:2" s="221" customFormat="1" ht="12.75" x14ac:dyDescent="0.2">
      <c r="B58910" s="1168"/>
    </row>
    <row r="58911" spans="2:2" s="221" customFormat="1" ht="12.75" x14ac:dyDescent="0.2">
      <c r="B58911" s="1168"/>
    </row>
    <row r="58912" spans="2:2" s="221" customFormat="1" ht="12.75" x14ac:dyDescent="0.2">
      <c r="B58912" s="1168"/>
    </row>
    <row r="58913" spans="2:2" s="221" customFormat="1" ht="12.75" x14ac:dyDescent="0.2">
      <c r="B58913" s="1168"/>
    </row>
    <row r="58914" spans="2:2" s="221" customFormat="1" ht="12.75" x14ac:dyDescent="0.2">
      <c r="B58914" s="1168"/>
    </row>
    <row r="58915" spans="2:2" s="221" customFormat="1" ht="12.75" x14ac:dyDescent="0.2">
      <c r="B58915" s="1168"/>
    </row>
    <row r="58916" spans="2:2" s="221" customFormat="1" ht="12.75" x14ac:dyDescent="0.2">
      <c r="B58916" s="1168"/>
    </row>
    <row r="58917" spans="2:2" s="221" customFormat="1" ht="12.75" x14ac:dyDescent="0.2">
      <c r="B58917" s="1168"/>
    </row>
    <row r="58918" spans="2:2" s="221" customFormat="1" ht="12.75" x14ac:dyDescent="0.2">
      <c r="B58918" s="1168"/>
    </row>
    <row r="58919" spans="2:2" s="221" customFormat="1" ht="12.75" x14ac:dyDescent="0.2">
      <c r="B58919" s="1168"/>
    </row>
    <row r="58920" spans="2:2" s="221" customFormat="1" ht="12.75" x14ac:dyDescent="0.2">
      <c r="B58920" s="1168"/>
    </row>
    <row r="58921" spans="2:2" s="221" customFormat="1" ht="12.75" x14ac:dyDescent="0.2">
      <c r="B58921" s="1168"/>
    </row>
    <row r="58922" spans="2:2" s="221" customFormat="1" ht="12.75" x14ac:dyDescent="0.2">
      <c r="B58922" s="1168"/>
    </row>
    <row r="58923" spans="2:2" s="221" customFormat="1" ht="12.75" x14ac:dyDescent="0.2">
      <c r="B58923" s="1168"/>
    </row>
    <row r="58924" spans="2:2" s="221" customFormat="1" ht="12.75" x14ac:dyDescent="0.2">
      <c r="B58924" s="1168"/>
    </row>
    <row r="58925" spans="2:2" s="221" customFormat="1" ht="12.75" x14ac:dyDescent="0.2">
      <c r="B58925" s="1168"/>
    </row>
    <row r="58926" spans="2:2" s="221" customFormat="1" ht="12.75" x14ac:dyDescent="0.2">
      <c r="B58926" s="1168"/>
    </row>
    <row r="58927" spans="2:2" s="221" customFormat="1" ht="12.75" x14ac:dyDescent="0.2">
      <c r="B58927" s="1168"/>
    </row>
    <row r="58928" spans="2:2" s="221" customFormat="1" ht="12.75" x14ac:dyDescent="0.2">
      <c r="B58928" s="1168"/>
    </row>
    <row r="58929" spans="2:2" s="221" customFormat="1" ht="12.75" x14ac:dyDescent="0.2">
      <c r="B58929" s="1168"/>
    </row>
    <row r="58930" spans="2:2" s="221" customFormat="1" ht="12.75" x14ac:dyDescent="0.2">
      <c r="B58930" s="1168"/>
    </row>
    <row r="58931" spans="2:2" s="221" customFormat="1" ht="12.75" x14ac:dyDescent="0.2">
      <c r="B58931" s="1168"/>
    </row>
    <row r="58932" spans="2:2" s="221" customFormat="1" ht="12.75" x14ac:dyDescent="0.2">
      <c r="B58932" s="1168"/>
    </row>
    <row r="58933" spans="2:2" s="221" customFormat="1" ht="12.75" x14ac:dyDescent="0.2">
      <c r="B58933" s="1168"/>
    </row>
    <row r="58934" spans="2:2" s="221" customFormat="1" ht="12.75" x14ac:dyDescent="0.2">
      <c r="B58934" s="1168"/>
    </row>
    <row r="58935" spans="2:2" s="221" customFormat="1" ht="12.75" x14ac:dyDescent="0.2">
      <c r="B58935" s="1168"/>
    </row>
    <row r="58936" spans="2:2" s="221" customFormat="1" ht="12.75" x14ac:dyDescent="0.2">
      <c r="B58936" s="1168"/>
    </row>
    <row r="58937" spans="2:2" s="221" customFormat="1" ht="12.75" x14ac:dyDescent="0.2">
      <c r="B58937" s="1168"/>
    </row>
    <row r="58938" spans="2:2" s="221" customFormat="1" ht="12.75" x14ac:dyDescent="0.2">
      <c r="B58938" s="1168"/>
    </row>
    <row r="58939" spans="2:2" s="221" customFormat="1" ht="12.75" x14ac:dyDescent="0.2">
      <c r="B58939" s="1168"/>
    </row>
    <row r="58940" spans="2:2" s="221" customFormat="1" ht="12.75" x14ac:dyDescent="0.2">
      <c r="B58940" s="1168"/>
    </row>
    <row r="58941" spans="2:2" s="221" customFormat="1" ht="12.75" x14ac:dyDescent="0.2">
      <c r="B58941" s="1168"/>
    </row>
    <row r="58942" spans="2:2" s="221" customFormat="1" ht="12.75" x14ac:dyDescent="0.2">
      <c r="B58942" s="1168"/>
    </row>
    <row r="58943" spans="2:2" s="221" customFormat="1" ht="12.75" x14ac:dyDescent="0.2">
      <c r="B58943" s="1168"/>
    </row>
    <row r="58944" spans="2:2" s="221" customFormat="1" ht="12.75" x14ac:dyDescent="0.2">
      <c r="B58944" s="1168"/>
    </row>
    <row r="58945" spans="2:2" s="221" customFormat="1" ht="12.75" x14ac:dyDescent="0.2">
      <c r="B58945" s="1168"/>
    </row>
    <row r="58946" spans="2:2" s="221" customFormat="1" ht="12.75" x14ac:dyDescent="0.2">
      <c r="B58946" s="1168"/>
    </row>
    <row r="58947" spans="2:2" s="221" customFormat="1" ht="12.75" x14ac:dyDescent="0.2">
      <c r="B58947" s="1168"/>
    </row>
    <row r="58948" spans="2:2" s="221" customFormat="1" ht="12.75" x14ac:dyDescent="0.2">
      <c r="B58948" s="1168"/>
    </row>
    <row r="58949" spans="2:2" s="221" customFormat="1" ht="12.75" x14ac:dyDescent="0.2">
      <c r="B58949" s="1168"/>
    </row>
    <row r="58950" spans="2:2" s="221" customFormat="1" ht="12.75" x14ac:dyDescent="0.2">
      <c r="B58950" s="1168"/>
    </row>
    <row r="58951" spans="2:2" s="221" customFormat="1" ht="12.75" x14ac:dyDescent="0.2">
      <c r="B58951" s="1168"/>
    </row>
    <row r="58952" spans="2:2" s="221" customFormat="1" ht="12.75" x14ac:dyDescent="0.2">
      <c r="B58952" s="1168"/>
    </row>
    <row r="58953" spans="2:2" s="221" customFormat="1" ht="12.75" x14ac:dyDescent="0.2">
      <c r="B58953" s="1168"/>
    </row>
    <row r="58954" spans="2:2" s="221" customFormat="1" ht="12.75" x14ac:dyDescent="0.2">
      <c r="B58954" s="1168"/>
    </row>
    <row r="58955" spans="2:2" s="221" customFormat="1" ht="12.75" x14ac:dyDescent="0.2">
      <c r="B58955" s="1168"/>
    </row>
    <row r="58956" spans="2:2" s="221" customFormat="1" ht="12.75" x14ac:dyDescent="0.2">
      <c r="B58956" s="1168"/>
    </row>
    <row r="58957" spans="2:2" s="221" customFormat="1" ht="12.75" x14ac:dyDescent="0.2">
      <c r="B58957" s="1168"/>
    </row>
    <row r="58958" spans="2:2" s="221" customFormat="1" ht="12.75" x14ac:dyDescent="0.2">
      <c r="B58958" s="1168"/>
    </row>
    <row r="58959" spans="2:2" s="221" customFormat="1" ht="12.75" x14ac:dyDescent="0.2">
      <c r="B58959" s="1168"/>
    </row>
    <row r="58960" spans="2:2" s="221" customFormat="1" ht="12.75" x14ac:dyDescent="0.2">
      <c r="B58960" s="1168"/>
    </row>
    <row r="58961" spans="2:2" s="221" customFormat="1" ht="12.75" x14ac:dyDescent="0.2">
      <c r="B58961" s="1168"/>
    </row>
    <row r="58962" spans="2:2" s="221" customFormat="1" ht="12.75" x14ac:dyDescent="0.2">
      <c r="B58962" s="1168"/>
    </row>
    <row r="58963" spans="2:2" s="221" customFormat="1" ht="12.75" x14ac:dyDescent="0.2">
      <c r="B58963" s="1168"/>
    </row>
    <row r="58964" spans="2:2" s="221" customFormat="1" ht="12.75" x14ac:dyDescent="0.2">
      <c r="B58964" s="1168"/>
    </row>
    <row r="58965" spans="2:2" s="221" customFormat="1" ht="12.75" x14ac:dyDescent="0.2">
      <c r="B58965" s="1168"/>
    </row>
    <row r="58966" spans="2:2" s="221" customFormat="1" ht="12.75" x14ac:dyDescent="0.2">
      <c r="B58966" s="1168"/>
    </row>
    <row r="58967" spans="2:2" s="221" customFormat="1" ht="12.75" x14ac:dyDescent="0.2">
      <c r="B58967" s="1168"/>
    </row>
    <row r="58968" spans="2:2" s="221" customFormat="1" ht="12.75" x14ac:dyDescent="0.2">
      <c r="B58968" s="1168"/>
    </row>
    <row r="58969" spans="2:2" s="221" customFormat="1" ht="12.75" x14ac:dyDescent="0.2">
      <c r="B58969" s="1168"/>
    </row>
    <row r="58970" spans="2:2" s="221" customFormat="1" ht="12.75" x14ac:dyDescent="0.2">
      <c r="B58970" s="1168"/>
    </row>
    <row r="58971" spans="2:2" s="221" customFormat="1" ht="12.75" x14ac:dyDescent="0.2">
      <c r="B58971" s="1168"/>
    </row>
    <row r="58972" spans="2:2" s="221" customFormat="1" ht="12.75" x14ac:dyDescent="0.2">
      <c r="B58972" s="1168"/>
    </row>
    <row r="58973" spans="2:2" s="221" customFormat="1" ht="12.75" x14ac:dyDescent="0.2">
      <c r="B58973" s="1168"/>
    </row>
    <row r="58974" spans="2:2" s="221" customFormat="1" ht="12.75" x14ac:dyDescent="0.2">
      <c r="B58974" s="1168"/>
    </row>
    <row r="58975" spans="2:2" s="221" customFormat="1" ht="12.75" x14ac:dyDescent="0.2">
      <c r="B58975" s="1168"/>
    </row>
    <row r="58976" spans="2:2" s="221" customFormat="1" ht="12.75" x14ac:dyDescent="0.2">
      <c r="B58976" s="1168"/>
    </row>
    <row r="58977" spans="2:2" s="221" customFormat="1" ht="12.75" x14ac:dyDescent="0.2">
      <c r="B58977" s="1168"/>
    </row>
    <row r="58978" spans="2:2" s="221" customFormat="1" ht="12.75" x14ac:dyDescent="0.2">
      <c r="B58978" s="1168"/>
    </row>
    <row r="58979" spans="2:2" s="221" customFormat="1" ht="12.75" x14ac:dyDescent="0.2">
      <c r="B58979" s="1168"/>
    </row>
    <row r="58980" spans="2:2" s="221" customFormat="1" ht="12.75" x14ac:dyDescent="0.2">
      <c r="B58980" s="1168"/>
    </row>
    <row r="58981" spans="2:2" s="221" customFormat="1" ht="12.75" x14ac:dyDescent="0.2">
      <c r="B58981" s="1168"/>
    </row>
    <row r="58982" spans="2:2" s="221" customFormat="1" ht="12.75" x14ac:dyDescent="0.2">
      <c r="B58982" s="1168"/>
    </row>
    <row r="58983" spans="2:2" s="221" customFormat="1" ht="12.75" x14ac:dyDescent="0.2">
      <c r="B58983" s="1168"/>
    </row>
    <row r="58984" spans="2:2" s="221" customFormat="1" ht="12.75" x14ac:dyDescent="0.2">
      <c r="B58984" s="1168"/>
    </row>
    <row r="58985" spans="2:2" s="221" customFormat="1" ht="12.75" x14ac:dyDescent="0.2">
      <c r="B58985" s="1168"/>
    </row>
    <row r="58986" spans="2:2" s="221" customFormat="1" ht="12.75" x14ac:dyDescent="0.2">
      <c r="B58986" s="1168"/>
    </row>
    <row r="58987" spans="2:2" s="221" customFormat="1" ht="12.75" x14ac:dyDescent="0.2">
      <c r="B58987" s="1168"/>
    </row>
    <row r="58988" spans="2:2" s="221" customFormat="1" ht="12.75" x14ac:dyDescent="0.2">
      <c r="B58988" s="1168"/>
    </row>
    <row r="58989" spans="2:2" s="221" customFormat="1" ht="12.75" x14ac:dyDescent="0.2">
      <c r="B58989" s="1168"/>
    </row>
    <row r="58990" spans="2:2" s="221" customFormat="1" ht="12.75" x14ac:dyDescent="0.2">
      <c r="B58990" s="1168"/>
    </row>
    <row r="58991" spans="2:2" s="221" customFormat="1" ht="12.75" x14ac:dyDescent="0.2">
      <c r="B58991" s="1168"/>
    </row>
    <row r="58992" spans="2:2" s="221" customFormat="1" ht="12.75" x14ac:dyDescent="0.2">
      <c r="B58992" s="1168"/>
    </row>
    <row r="58993" spans="2:2" s="221" customFormat="1" ht="12.75" x14ac:dyDescent="0.2">
      <c r="B58993" s="1168"/>
    </row>
    <row r="58994" spans="2:2" s="221" customFormat="1" ht="12.75" x14ac:dyDescent="0.2">
      <c r="B58994" s="1168"/>
    </row>
    <row r="58995" spans="2:2" s="221" customFormat="1" ht="12.75" x14ac:dyDescent="0.2">
      <c r="B58995" s="1168"/>
    </row>
    <row r="58996" spans="2:2" s="221" customFormat="1" ht="12.75" x14ac:dyDescent="0.2">
      <c r="B58996" s="1168"/>
    </row>
    <row r="58997" spans="2:2" s="221" customFormat="1" ht="12.75" x14ac:dyDescent="0.2">
      <c r="B58997" s="1168"/>
    </row>
    <row r="58998" spans="2:2" s="221" customFormat="1" ht="12.75" x14ac:dyDescent="0.2">
      <c r="B58998" s="1168"/>
    </row>
    <row r="58999" spans="2:2" s="221" customFormat="1" ht="12.75" x14ac:dyDescent="0.2">
      <c r="B58999" s="1168"/>
    </row>
    <row r="59000" spans="2:2" s="221" customFormat="1" ht="12.75" x14ac:dyDescent="0.2">
      <c r="B59000" s="1168"/>
    </row>
    <row r="59001" spans="2:2" s="221" customFormat="1" ht="12.75" x14ac:dyDescent="0.2">
      <c r="B59001" s="1168"/>
    </row>
    <row r="59002" spans="2:2" s="221" customFormat="1" ht="12.75" x14ac:dyDescent="0.2">
      <c r="B59002" s="1168"/>
    </row>
    <row r="59003" spans="2:2" s="221" customFormat="1" ht="12.75" x14ac:dyDescent="0.2">
      <c r="B59003" s="1168"/>
    </row>
    <row r="59004" spans="2:2" s="221" customFormat="1" ht="12.75" x14ac:dyDescent="0.2">
      <c r="B59004" s="1168"/>
    </row>
    <row r="59005" spans="2:2" s="221" customFormat="1" ht="12.75" x14ac:dyDescent="0.2">
      <c r="B59005" s="1168"/>
    </row>
    <row r="59006" spans="2:2" s="221" customFormat="1" ht="12.75" x14ac:dyDescent="0.2">
      <c r="B59006" s="1168"/>
    </row>
    <row r="59007" spans="2:2" s="221" customFormat="1" ht="12.75" x14ac:dyDescent="0.2">
      <c r="B59007" s="1168"/>
    </row>
    <row r="59008" spans="2:2" s="221" customFormat="1" ht="12.75" x14ac:dyDescent="0.2">
      <c r="B59008" s="1168"/>
    </row>
    <row r="59009" spans="2:2" s="221" customFormat="1" ht="12.75" x14ac:dyDescent="0.2">
      <c r="B59009" s="1168"/>
    </row>
    <row r="59010" spans="2:2" s="221" customFormat="1" ht="12.75" x14ac:dyDescent="0.2">
      <c r="B59010" s="1168"/>
    </row>
    <row r="59011" spans="2:2" s="221" customFormat="1" ht="12.75" x14ac:dyDescent="0.2">
      <c r="B59011" s="1168"/>
    </row>
    <row r="59012" spans="2:2" s="221" customFormat="1" ht="12.75" x14ac:dyDescent="0.2">
      <c r="B59012" s="1168"/>
    </row>
    <row r="59013" spans="2:2" s="221" customFormat="1" ht="12.75" x14ac:dyDescent="0.2">
      <c r="B59013" s="1168"/>
    </row>
    <row r="59014" spans="2:2" s="221" customFormat="1" ht="12.75" x14ac:dyDescent="0.2">
      <c r="B59014" s="1168"/>
    </row>
    <row r="59015" spans="2:2" s="221" customFormat="1" ht="12.75" x14ac:dyDescent="0.2">
      <c r="B59015" s="1168"/>
    </row>
    <row r="59016" spans="2:2" s="221" customFormat="1" ht="12.75" x14ac:dyDescent="0.2">
      <c r="B59016" s="1168"/>
    </row>
    <row r="59017" spans="2:2" s="221" customFormat="1" ht="12.75" x14ac:dyDescent="0.2">
      <c r="B59017" s="1168"/>
    </row>
    <row r="59018" spans="2:2" s="221" customFormat="1" ht="12.75" x14ac:dyDescent="0.2">
      <c r="B59018" s="1168"/>
    </row>
    <row r="59019" spans="2:2" s="221" customFormat="1" ht="12.75" x14ac:dyDescent="0.2">
      <c r="B59019" s="1168"/>
    </row>
    <row r="59020" spans="2:2" s="221" customFormat="1" ht="12.75" x14ac:dyDescent="0.2">
      <c r="B59020" s="1168"/>
    </row>
    <row r="59021" spans="2:2" s="221" customFormat="1" ht="12.75" x14ac:dyDescent="0.2">
      <c r="B59021" s="1168"/>
    </row>
    <row r="59022" spans="2:2" s="221" customFormat="1" ht="12.75" x14ac:dyDescent="0.2">
      <c r="B59022" s="1168"/>
    </row>
    <row r="59023" spans="2:2" s="221" customFormat="1" ht="12.75" x14ac:dyDescent="0.2">
      <c r="B59023" s="1168"/>
    </row>
    <row r="59024" spans="2:2" s="221" customFormat="1" ht="12.75" x14ac:dyDescent="0.2">
      <c r="B59024" s="1168"/>
    </row>
    <row r="59025" spans="2:2" s="221" customFormat="1" ht="12.75" x14ac:dyDescent="0.2">
      <c r="B59025" s="1168"/>
    </row>
    <row r="59026" spans="2:2" s="221" customFormat="1" ht="12.75" x14ac:dyDescent="0.2">
      <c r="B59026" s="1168"/>
    </row>
    <row r="59027" spans="2:2" s="221" customFormat="1" ht="12.75" x14ac:dyDescent="0.2">
      <c r="B59027" s="1168"/>
    </row>
    <row r="59028" spans="2:2" s="221" customFormat="1" ht="12.75" x14ac:dyDescent="0.2">
      <c r="B59028" s="1168"/>
    </row>
    <row r="59029" spans="2:2" s="221" customFormat="1" ht="12.75" x14ac:dyDescent="0.2">
      <c r="B59029" s="1168"/>
    </row>
    <row r="59030" spans="2:2" s="221" customFormat="1" ht="12.75" x14ac:dyDescent="0.2">
      <c r="B59030" s="1168"/>
    </row>
    <row r="59031" spans="2:2" s="221" customFormat="1" ht="12.75" x14ac:dyDescent="0.2">
      <c r="B59031" s="1168"/>
    </row>
    <row r="59032" spans="2:2" s="221" customFormat="1" ht="12.75" x14ac:dyDescent="0.2">
      <c r="B59032" s="1168"/>
    </row>
    <row r="59033" spans="2:2" s="221" customFormat="1" ht="12.75" x14ac:dyDescent="0.2">
      <c r="B59033" s="1168"/>
    </row>
    <row r="59034" spans="2:2" s="221" customFormat="1" ht="12.75" x14ac:dyDescent="0.2">
      <c r="B59034" s="1168"/>
    </row>
    <row r="59035" spans="2:2" s="221" customFormat="1" ht="12.75" x14ac:dyDescent="0.2">
      <c r="B59035" s="1168"/>
    </row>
    <row r="59036" spans="2:2" s="221" customFormat="1" ht="12.75" x14ac:dyDescent="0.2">
      <c r="B59036" s="1168"/>
    </row>
    <row r="59037" spans="2:2" s="221" customFormat="1" ht="12.75" x14ac:dyDescent="0.2">
      <c r="B59037" s="1168"/>
    </row>
    <row r="59038" spans="2:2" s="221" customFormat="1" ht="12.75" x14ac:dyDescent="0.2">
      <c r="B59038" s="1168"/>
    </row>
    <row r="59039" spans="2:2" s="221" customFormat="1" ht="12.75" x14ac:dyDescent="0.2">
      <c r="B59039" s="1168"/>
    </row>
    <row r="59040" spans="2:2" s="221" customFormat="1" ht="12.75" x14ac:dyDescent="0.2">
      <c r="B59040" s="1168"/>
    </row>
    <row r="59041" spans="2:2" s="221" customFormat="1" ht="12.75" x14ac:dyDescent="0.2">
      <c r="B59041" s="1168"/>
    </row>
    <row r="59042" spans="2:2" s="221" customFormat="1" ht="12.75" x14ac:dyDescent="0.2">
      <c r="B59042" s="1168"/>
    </row>
    <row r="59043" spans="2:2" s="221" customFormat="1" ht="12.75" x14ac:dyDescent="0.2">
      <c r="B59043" s="1168"/>
    </row>
    <row r="59044" spans="2:2" s="221" customFormat="1" ht="12.75" x14ac:dyDescent="0.2">
      <c r="B59044" s="1168"/>
    </row>
    <row r="59045" spans="2:2" s="221" customFormat="1" ht="12.75" x14ac:dyDescent="0.2">
      <c r="B59045" s="1168"/>
    </row>
    <row r="59046" spans="2:2" s="221" customFormat="1" ht="12.75" x14ac:dyDescent="0.2">
      <c r="B59046" s="1168"/>
    </row>
    <row r="59047" spans="2:2" s="221" customFormat="1" ht="12.75" x14ac:dyDescent="0.2">
      <c r="B59047" s="1168"/>
    </row>
    <row r="59048" spans="2:2" s="221" customFormat="1" ht="12.75" x14ac:dyDescent="0.2">
      <c r="B59048" s="1168"/>
    </row>
    <row r="59049" spans="2:2" s="221" customFormat="1" ht="12.75" x14ac:dyDescent="0.2">
      <c r="B59049" s="1168"/>
    </row>
    <row r="59050" spans="2:2" s="221" customFormat="1" ht="12.75" x14ac:dyDescent="0.2">
      <c r="B59050" s="1168"/>
    </row>
    <row r="59051" spans="2:2" s="221" customFormat="1" ht="12.75" x14ac:dyDescent="0.2">
      <c r="B59051" s="1168"/>
    </row>
    <row r="59052" spans="2:2" s="221" customFormat="1" ht="12.75" x14ac:dyDescent="0.2">
      <c r="B59052" s="1168"/>
    </row>
    <row r="59053" spans="2:2" s="221" customFormat="1" ht="12.75" x14ac:dyDescent="0.2">
      <c r="B59053" s="1168"/>
    </row>
    <row r="59054" spans="2:2" s="221" customFormat="1" ht="12.75" x14ac:dyDescent="0.2">
      <c r="B59054" s="1168"/>
    </row>
    <row r="59055" spans="2:2" s="221" customFormat="1" ht="12.75" x14ac:dyDescent="0.2">
      <c r="B59055" s="1168"/>
    </row>
    <row r="59056" spans="2:2" s="221" customFormat="1" ht="12.75" x14ac:dyDescent="0.2">
      <c r="B59056" s="1168"/>
    </row>
    <row r="59057" spans="2:2" s="221" customFormat="1" ht="12.75" x14ac:dyDescent="0.2">
      <c r="B59057" s="1168"/>
    </row>
    <row r="59058" spans="2:2" s="221" customFormat="1" ht="12.75" x14ac:dyDescent="0.2">
      <c r="B59058" s="1168"/>
    </row>
    <row r="59059" spans="2:2" s="221" customFormat="1" ht="12.75" x14ac:dyDescent="0.2">
      <c r="B59059" s="1168"/>
    </row>
    <row r="59060" spans="2:2" s="221" customFormat="1" ht="12.75" x14ac:dyDescent="0.2">
      <c r="B59060" s="1168"/>
    </row>
    <row r="59061" spans="2:2" s="221" customFormat="1" ht="12.75" x14ac:dyDescent="0.2">
      <c r="B59061" s="1168"/>
    </row>
    <row r="59062" spans="2:2" s="221" customFormat="1" ht="12.75" x14ac:dyDescent="0.2">
      <c r="B59062" s="1168"/>
    </row>
    <row r="59063" spans="2:2" s="221" customFormat="1" ht="12.75" x14ac:dyDescent="0.2">
      <c r="B59063" s="1168"/>
    </row>
    <row r="59064" spans="2:2" s="221" customFormat="1" ht="12.75" x14ac:dyDescent="0.2">
      <c r="B59064" s="1168"/>
    </row>
    <row r="59065" spans="2:2" s="221" customFormat="1" ht="12.75" x14ac:dyDescent="0.2">
      <c r="B59065" s="1168"/>
    </row>
    <row r="59066" spans="2:2" s="221" customFormat="1" ht="12.75" x14ac:dyDescent="0.2">
      <c r="B59066" s="1168"/>
    </row>
    <row r="59067" spans="2:2" s="221" customFormat="1" ht="12.75" x14ac:dyDescent="0.2">
      <c r="B59067" s="1168"/>
    </row>
    <row r="59068" spans="2:2" s="221" customFormat="1" ht="12.75" x14ac:dyDescent="0.2">
      <c r="B59068" s="1168"/>
    </row>
    <row r="59069" spans="2:2" s="221" customFormat="1" ht="12.75" x14ac:dyDescent="0.2">
      <c r="B59069" s="1168"/>
    </row>
    <row r="59070" spans="2:2" s="221" customFormat="1" ht="12.75" x14ac:dyDescent="0.2">
      <c r="B59070" s="1168"/>
    </row>
    <row r="59071" spans="2:2" s="221" customFormat="1" ht="12.75" x14ac:dyDescent="0.2">
      <c r="B59071" s="1168"/>
    </row>
    <row r="59072" spans="2:2" s="221" customFormat="1" ht="12.75" x14ac:dyDescent="0.2">
      <c r="B59072" s="1168"/>
    </row>
    <row r="59073" spans="2:2" s="221" customFormat="1" ht="12.75" x14ac:dyDescent="0.2">
      <c r="B59073" s="1168"/>
    </row>
    <row r="59074" spans="2:2" s="221" customFormat="1" ht="12.75" x14ac:dyDescent="0.2">
      <c r="B59074" s="1168"/>
    </row>
    <row r="59075" spans="2:2" s="221" customFormat="1" ht="12.75" x14ac:dyDescent="0.2">
      <c r="B59075" s="1168"/>
    </row>
    <row r="59076" spans="2:2" s="221" customFormat="1" ht="12.75" x14ac:dyDescent="0.2">
      <c r="B59076" s="1168"/>
    </row>
    <row r="59077" spans="2:2" s="221" customFormat="1" ht="12.75" x14ac:dyDescent="0.2">
      <c r="B59077" s="1168"/>
    </row>
    <row r="59078" spans="2:2" s="221" customFormat="1" ht="12.75" x14ac:dyDescent="0.2">
      <c r="B59078" s="1168"/>
    </row>
    <row r="59079" spans="2:2" s="221" customFormat="1" ht="12.75" x14ac:dyDescent="0.2">
      <c r="B59079" s="1168"/>
    </row>
    <row r="59080" spans="2:2" s="221" customFormat="1" ht="12.75" x14ac:dyDescent="0.2">
      <c r="B59080" s="1168"/>
    </row>
    <row r="59081" spans="2:2" s="221" customFormat="1" ht="12.75" x14ac:dyDescent="0.2">
      <c r="B59081" s="1168"/>
    </row>
    <row r="59082" spans="2:2" s="221" customFormat="1" ht="12.75" x14ac:dyDescent="0.2">
      <c r="B59082" s="1168"/>
    </row>
    <row r="59083" spans="2:2" s="221" customFormat="1" ht="12.75" x14ac:dyDescent="0.2">
      <c r="B59083" s="1168"/>
    </row>
    <row r="59084" spans="2:2" s="221" customFormat="1" ht="12.75" x14ac:dyDescent="0.2">
      <c r="B59084" s="1168"/>
    </row>
    <row r="59085" spans="2:2" s="221" customFormat="1" ht="12.75" x14ac:dyDescent="0.2">
      <c r="B59085" s="1168"/>
    </row>
    <row r="59086" spans="2:2" s="221" customFormat="1" ht="12.75" x14ac:dyDescent="0.2">
      <c r="B59086" s="1168"/>
    </row>
    <row r="59087" spans="2:2" s="221" customFormat="1" ht="12.75" x14ac:dyDescent="0.2">
      <c r="B59087" s="1168"/>
    </row>
    <row r="59088" spans="2:2" s="221" customFormat="1" ht="12.75" x14ac:dyDescent="0.2">
      <c r="B59088" s="1168"/>
    </row>
    <row r="59089" spans="2:2" s="221" customFormat="1" ht="12.75" x14ac:dyDescent="0.2">
      <c r="B59089" s="1168"/>
    </row>
    <row r="59090" spans="2:2" s="221" customFormat="1" ht="12.75" x14ac:dyDescent="0.2">
      <c r="B59090" s="1168"/>
    </row>
    <row r="59091" spans="2:2" s="221" customFormat="1" ht="12.75" x14ac:dyDescent="0.2">
      <c r="B59091" s="1168"/>
    </row>
    <row r="59092" spans="2:2" s="221" customFormat="1" ht="12.75" x14ac:dyDescent="0.2">
      <c r="B59092" s="1168"/>
    </row>
    <row r="59093" spans="2:2" s="221" customFormat="1" ht="12.75" x14ac:dyDescent="0.2">
      <c r="B59093" s="1168"/>
    </row>
    <row r="59094" spans="2:2" s="221" customFormat="1" ht="12.75" x14ac:dyDescent="0.2">
      <c r="B59094" s="1168"/>
    </row>
    <row r="59095" spans="2:2" s="221" customFormat="1" ht="12.75" x14ac:dyDescent="0.2">
      <c r="B59095" s="1168"/>
    </row>
    <row r="59096" spans="2:2" s="221" customFormat="1" ht="12.75" x14ac:dyDescent="0.2">
      <c r="B59096" s="1168"/>
    </row>
    <row r="59097" spans="2:2" s="221" customFormat="1" ht="12.75" x14ac:dyDescent="0.2">
      <c r="B59097" s="1168"/>
    </row>
    <row r="59098" spans="2:2" s="221" customFormat="1" ht="12.75" x14ac:dyDescent="0.2">
      <c r="B59098" s="1168"/>
    </row>
    <row r="59099" spans="2:2" s="221" customFormat="1" ht="12.75" x14ac:dyDescent="0.2">
      <c r="B59099" s="1168"/>
    </row>
    <row r="59100" spans="2:2" s="221" customFormat="1" ht="12.75" x14ac:dyDescent="0.2">
      <c r="B59100" s="1168"/>
    </row>
    <row r="59101" spans="2:2" s="221" customFormat="1" ht="12.75" x14ac:dyDescent="0.2">
      <c r="B59101" s="1168"/>
    </row>
    <row r="59102" spans="2:2" s="221" customFormat="1" ht="12.75" x14ac:dyDescent="0.2">
      <c r="B59102" s="1168"/>
    </row>
    <row r="59103" spans="2:2" s="221" customFormat="1" ht="12.75" x14ac:dyDescent="0.2">
      <c r="B59103" s="1168"/>
    </row>
    <row r="59104" spans="2:2" s="221" customFormat="1" ht="12.75" x14ac:dyDescent="0.2">
      <c r="B59104" s="1168"/>
    </row>
    <row r="59105" spans="2:2" s="221" customFormat="1" ht="12.75" x14ac:dyDescent="0.2">
      <c r="B59105" s="1168"/>
    </row>
    <row r="59106" spans="2:2" s="221" customFormat="1" ht="12.75" x14ac:dyDescent="0.2">
      <c r="B59106" s="1168"/>
    </row>
    <row r="59107" spans="2:2" s="221" customFormat="1" ht="12.75" x14ac:dyDescent="0.2">
      <c r="B59107" s="1168"/>
    </row>
    <row r="59108" spans="2:2" s="221" customFormat="1" ht="12.75" x14ac:dyDescent="0.2">
      <c r="B59108" s="1168"/>
    </row>
    <row r="59109" spans="2:2" s="221" customFormat="1" ht="12.75" x14ac:dyDescent="0.2">
      <c r="B59109" s="1168"/>
    </row>
    <row r="59110" spans="2:2" s="221" customFormat="1" ht="12.75" x14ac:dyDescent="0.2">
      <c r="B59110" s="1168"/>
    </row>
    <row r="59111" spans="2:2" s="221" customFormat="1" ht="12.75" x14ac:dyDescent="0.2">
      <c r="B59111" s="1168"/>
    </row>
    <row r="59112" spans="2:2" s="221" customFormat="1" ht="12.75" x14ac:dyDescent="0.2">
      <c r="B59112" s="1168"/>
    </row>
    <row r="59113" spans="2:2" s="221" customFormat="1" ht="12.75" x14ac:dyDescent="0.2">
      <c r="B59113" s="1168"/>
    </row>
    <row r="59114" spans="2:2" s="221" customFormat="1" ht="12.75" x14ac:dyDescent="0.2">
      <c r="B59114" s="1168"/>
    </row>
    <row r="59115" spans="2:2" s="221" customFormat="1" ht="12.75" x14ac:dyDescent="0.2">
      <c r="B59115" s="1168"/>
    </row>
    <row r="59116" spans="2:2" s="221" customFormat="1" ht="12.75" x14ac:dyDescent="0.2">
      <c r="B59116" s="1168"/>
    </row>
    <row r="59117" spans="2:2" s="221" customFormat="1" ht="12.75" x14ac:dyDescent="0.2">
      <c r="B59117" s="1168"/>
    </row>
    <row r="59118" spans="2:2" s="221" customFormat="1" ht="12.75" x14ac:dyDescent="0.2">
      <c r="B59118" s="1168"/>
    </row>
    <row r="59119" spans="2:2" s="221" customFormat="1" ht="12.75" x14ac:dyDescent="0.2">
      <c r="B59119" s="1168"/>
    </row>
    <row r="59120" spans="2:2" s="221" customFormat="1" ht="12.75" x14ac:dyDescent="0.2">
      <c r="B59120" s="1168"/>
    </row>
    <row r="59121" spans="2:2" s="221" customFormat="1" ht="12.75" x14ac:dyDescent="0.2">
      <c r="B59121" s="1168"/>
    </row>
    <row r="59122" spans="2:2" s="221" customFormat="1" ht="12.75" x14ac:dyDescent="0.2">
      <c r="B59122" s="1168"/>
    </row>
    <row r="59123" spans="2:2" s="221" customFormat="1" ht="12.75" x14ac:dyDescent="0.2">
      <c r="B59123" s="1168"/>
    </row>
    <row r="59124" spans="2:2" s="221" customFormat="1" ht="12.75" x14ac:dyDescent="0.2">
      <c r="B59124" s="1168"/>
    </row>
    <row r="59125" spans="2:2" s="221" customFormat="1" ht="12.75" x14ac:dyDescent="0.2">
      <c r="B59125" s="1168"/>
    </row>
    <row r="59126" spans="2:2" s="221" customFormat="1" ht="12.75" x14ac:dyDescent="0.2">
      <c r="B59126" s="1168"/>
    </row>
    <row r="59127" spans="2:2" s="221" customFormat="1" ht="12.75" x14ac:dyDescent="0.2">
      <c r="B59127" s="1168"/>
    </row>
    <row r="59128" spans="2:2" s="221" customFormat="1" ht="12.75" x14ac:dyDescent="0.2">
      <c r="B59128" s="1168"/>
    </row>
    <row r="59129" spans="2:2" s="221" customFormat="1" ht="12.75" x14ac:dyDescent="0.2">
      <c r="B59129" s="1168"/>
    </row>
    <row r="59130" spans="2:2" s="221" customFormat="1" ht="12.75" x14ac:dyDescent="0.2">
      <c r="B59130" s="1168"/>
    </row>
    <row r="59131" spans="2:2" s="221" customFormat="1" ht="12.75" x14ac:dyDescent="0.2">
      <c r="B59131" s="1168"/>
    </row>
    <row r="59132" spans="2:2" s="221" customFormat="1" ht="12.75" x14ac:dyDescent="0.2">
      <c r="B59132" s="1168"/>
    </row>
    <row r="59133" spans="2:2" s="221" customFormat="1" ht="12.75" x14ac:dyDescent="0.2">
      <c r="B59133" s="1168"/>
    </row>
    <row r="59134" spans="2:2" s="221" customFormat="1" ht="12.75" x14ac:dyDescent="0.2">
      <c r="B59134" s="1168"/>
    </row>
    <row r="59135" spans="2:2" s="221" customFormat="1" ht="12.75" x14ac:dyDescent="0.2">
      <c r="B59135" s="1168"/>
    </row>
    <row r="59136" spans="2:2" s="221" customFormat="1" ht="12.75" x14ac:dyDescent="0.2">
      <c r="B59136" s="1168"/>
    </row>
    <row r="59137" spans="2:2" s="221" customFormat="1" ht="12.75" x14ac:dyDescent="0.2">
      <c r="B59137" s="1168"/>
    </row>
    <row r="59138" spans="2:2" s="221" customFormat="1" ht="12.75" x14ac:dyDescent="0.2">
      <c r="B59138" s="1168"/>
    </row>
    <row r="59139" spans="2:2" s="221" customFormat="1" ht="12.75" x14ac:dyDescent="0.2">
      <c r="B59139" s="1168"/>
    </row>
    <row r="59140" spans="2:2" s="221" customFormat="1" ht="12.75" x14ac:dyDescent="0.2">
      <c r="B59140" s="1168"/>
    </row>
    <row r="59141" spans="2:2" s="221" customFormat="1" ht="12.75" x14ac:dyDescent="0.2">
      <c r="B59141" s="1168"/>
    </row>
    <row r="59142" spans="2:2" s="221" customFormat="1" ht="12.75" x14ac:dyDescent="0.2">
      <c r="B59142" s="1168"/>
    </row>
    <row r="59143" spans="2:2" s="221" customFormat="1" ht="12.75" x14ac:dyDescent="0.2">
      <c r="B59143" s="1168"/>
    </row>
    <row r="59144" spans="2:2" s="221" customFormat="1" ht="12.75" x14ac:dyDescent="0.2">
      <c r="B59144" s="1168"/>
    </row>
    <row r="59145" spans="2:2" s="221" customFormat="1" ht="12.75" x14ac:dyDescent="0.2">
      <c r="B59145" s="1168"/>
    </row>
    <row r="59146" spans="2:2" s="221" customFormat="1" ht="12.75" x14ac:dyDescent="0.2">
      <c r="B59146" s="1168"/>
    </row>
    <row r="59147" spans="2:2" s="221" customFormat="1" ht="12.75" x14ac:dyDescent="0.2">
      <c r="B59147" s="1168"/>
    </row>
    <row r="59148" spans="2:2" s="221" customFormat="1" ht="12.75" x14ac:dyDescent="0.2">
      <c r="B59148" s="1168"/>
    </row>
    <row r="59149" spans="2:2" s="221" customFormat="1" ht="12.75" x14ac:dyDescent="0.2">
      <c r="B59149" s="1168"/>
    </row>
    <row r="59150" spans="2:2" s="221" customFormat="1" ht="12.75" x14ac:dyDescent="0.2">
      <c r="B59150" s="1168"/>
    </row>
    <row r="59151" spans="2:2" s="221" customFormat="1" ht="12.75" x14ac:dyDescent="0.2">
      <c r="B59151" s="1168"/>
    </row>
    <row r="59152" spans="2:2" s="221" customFormat="1" ht="12.75" x14ac:dyDescent="0.2">
      <c r="B59152" s="1168"/>
    </row>
    <row r="59153" spans="2:2" s="221" customFormat="1" ht="12.75" x14ac:dyDescent="0.2">
      <c r="B59153" s="1168"/>
    </row>
    <row r="59154" spans="2:2" s="221" customFormat="1" ht="12.75" x14ac:dyDescent="0.2">
      <c r="B59154" s="1168"/>
    </row>
    <row r="59155" spans="2:2" s="221" customFormat="1" ht="12.75" x14ac:dyDescent="0.2">
      <c r="B59155" s="1168"/>
    </row>
    <row r="59156" spans="2:2" s="221" customFormat="1" ht="12.75" x14ac:dyDescent="0.2">
      <c r="B59156" s="1168"/>
    </row>
    <row r="59157" spans="2:2" s="221" customFormat="1" ht="12.75" x14ac:dyDescent="0.2">
      <c r="B59157" s="1168"/>
    </row>
    <row r="59158" spans="2:2" s="221" customFormat="1" ht="12.75" x14ac:dyDescent="0.2">
      <c r="B59158" s="1168"/>
    </row>
    <row r="59159" spans="2:2" s="221" customFormat="1" ht="12.75" x14ac:dyDescent="0.2">
      <c r="B59159" s="1168"/>
    </row>
    <row r="59160" spans="2:2" s="221" customFormat="1" ht="12.75" x14ac:dyDescent="0.2">
      <c r="B59160" s="1168"/>
    </row>
    <row r="59161" spans="2:2" s="221" customFormat="1" ht="12.75" x14ac:dyDescent="0.2">
      <c r="B59161" s="1168"/>
    </row>
    <row r="59162" spans="2:2" s="221" customFormat="1" ht="12.75" x14ac:dyDescent="0.2">
      <c r="B59162" s="1168"/>
    </row>
    <row r="59163" spans="2:2" s="221" customFormat="1" ht="12.75" x14ac:dyDescent="0.2">
      <c r="B59163" s="1168"/>
    </row>
    <row r="59164" spans="2:2" s="221" customFormat="1" ht="12.75" x14ac:dyDescent="0.2">
      <c r="B59164" s="1168"/>
    </row>
    <row r="59165" spans="2:2" s="221" customFormat="1" ht="12.75" x14ac:dyDescent="0.2">
      <c r="B59165" s="1168"/>
    </row>
    <row r="59166" spans="2:2" s="221" customFormat="1" ht="12.75" x14ac:dyDescent="0.2">
      <c r="B59166" s="1168"/>
    </row>
    <row r="59167" spans="2:2" s="221" customFormat="1" ht="12.75" x14ac:dyDescent="0.2">
      <c r="B59167" s="1168"/>
    </row>
    <row r="59168" spans="2:2" s="221" customFormat="1" ht="12.75" x14ac:dyDescent="0.2">
      <c r="B59168" s="1168"/>
    </row>
    <row r="59169" spans="2:2" s="221" customFormat="1" ht="12.75" x14ac:dyDescent="0.2">
      <c r="B59169" s="1168"/>
    </row>
    <row r="59170" spans="2:2" s="221" customFormat="1" ht="12.75" x14ac:dyDescent="0.2">
      <c r="B59170" s="1168"/>
    </row>
    <row r="59171" spans="2:2" s="221" customFormat="1" ht="12.75" x14ac:dyDescent="0.2">
      <c r="B59171" s="1168"/>
    </row>
    <row r="59172" spans="2:2" s="221" customFormat="1" ht="12.75" x14ac:dyDescent="0.2">
      <c r="B59172" s="1168"/>
    </row>
    <row r="59173" spans="2:2" s="221" customFormat="1" ht="12.75" x14ac:dyDescent="0.2">
      <c r="B59173" s="1168"/>
    </row>
    <row r="59174" spans="2:2" s="221" customFormat="1" ht="12.75" x14ac:dyDescent="0.2">
      <c r="B59174" s="1168"/>
    </row>
    <row r="59175" spans="2:2" s="221" customFormat="1" ht="12.75" x14ac:dyDescent="0.2">
      <c r="B59175" s="1168"/>
    </row>
    <row r="59176" spans="2:2" s="221" customFormat="1" ht="12.75" x14ac:dyDescent="0.2">
      <c r="B59176" s="1168"/>
    </row>
    <row r="59177" spans="2:2" s="221" customFormat="1" ht="12.75" x14ac:dyDescent="0.2">
      <c r="B59177" s="1168"/>
    </row>
    <row r="59178" spans="2:2" s="221" customFormat="1" ht="12.75" x14ac:dyDescent="0.2">
      <c r="B59178" s="1168"/>
    </row>
    <row r="59179" spans="2:2" s="221" customFormat="1" ht="12.75" x14ac:dyDescent="0.2">
      <c r="B59179" s="1168"/>
    </row>
    <row r="59180" spans="2:2" s="221" customFormat="1" ht="12.75" x14ac:dyDescent="0.2">
      <c r="B59180" s="1168"/>
    </row>
    <row r="59181" spans="2:2" s="221" customFormat="1" ht="12.75" x14ac:dyDescent="0.2">
      <c r="B59181" s="1168"/>
    </row>
    <row r="59182" spans="2:2" s="221" customFormat="1" ht="12.75" x14ac:dyDescent="0.2">
      <c r="B59182" s="1168"/>
    </row>
    <row r="59183" spans="2:2" s="221" customFormat="1" ht="12.75" x14ac:dyDescent="0.2">
      <c r="B59183" s="1168"/>
    </row>
    <row r="59184" spans="2:2" s="221" customFormat="1" ht="12.75" x14ac:dyDescent="0.2">
      <c r="B59184" s="1168"/>
    </row>
    <row r="59185" spans="2:2" s="221" customFormat="1" ht="12.75" x14ac:dyDescent="0.2">
      <c r="B59185" s="1168"/>
    </row>
    <row r="59186" spans="2:2" s="221" customFormat="1" ht="12.75" x14ac:dyDescent="0.2">
      <c r="B59186" s="1168"/>
    </row>
    <row r="59187" spans="2:2" s="221" customFormat="1" ht="12.75" x14ac:dyDescent="0.2">
      <c r="B59187" s="1168"/>
    </row>
    <row r="59188" spans="2:2" s="221" customFormat="1" ht="12.75" x14ac:dyDescent="0.2">
      <c r="B59188" s="1168"/>
    </row>
    <row r="59189" spans="2:2" s="221" customFormat="1" ht="12.75" x14ac:dyDescent="0.2">
      <c r="B59189" s="1168"/>
    </row>
    <row r="59190" spans="2:2" s="221" customFormat="1" ht="12.75" x14ac:dyDescent="0.2">
      <c r="B59190" s="1168"/>
    </row>
    <row r="59191" spans="2:2" s="221" customFormat="1" ht="12.75" x14ac:dyDescent="0.2">
      <c r="B59191" s="1168"/>
    </row>
    <row r="59192" spans="2:2" s="221" customFormat="1" ht="12.75" x14ac:dyDescent="0.2">
      <c r="B59192" s="1168"/>
    </row>
    <row r="59193" spans="2:2" s="221" customFormat="1" ht="12.75" x14ac:dyDescent="0.2">
      <c r="B59193" s="1168"/>
    </row>
    <row r="59194" spans="2:2" s="221" customFormat="1" ht="12.75" x14ac:dyDescent="0.2">
      <c r="B59194" s="1168"/>
    </row>
    <row r="59195" spans="2:2" s="221" customFormat="1" ht="12.75" x14ac:dyDescent="0.2">
      <c r="B59195" s="1168"/>
    </row>
    <row r="59196" spans="2:2" s="221" customFormat="1" ht="12.75" x14ac:dyDescent="0.2">
      <c r="B59196" s="1168"/>
    </row>
    <row r="59197" spans="2:2" s="221" customFormat="1" ht="12.75" x14ac:dyDescent="0.2">
      <c r="B59197" s="1168"/>
    </row>
    <row r="59198" spans="2:2" s="221" customFormat="1" ht="12.75" x14ac:dyDescent="0.2">
      <c r="B59198" s="1168"/>
    </row>
    <row r="59199" spans="2:2" s="221" customFormat="1" ht="12.75" x14ac:dyDescent="0.2">
      <c r="B59199" s="1168"/>
    </row>
    <row r="59200" spans="2:2" s="221" customFormat="1" ht="12.75" x14ac:dyDescent="0.2">
      <c r="B59200" s="1168"/>
    </row>
    <row r="59201" spans="2:2" s="221" customFormat="1" ht="12.75" x14ac:dyDescent="0.2">
      <c r="B59201" s="1168"/>
    </row>
    <row r="59202" spans="2:2" s="221" customFormat="1" ht="12.75" x14ac:dyDescent="0.2">
      <c r="B59202" s="1168"/>
    </row>
    <row r="59203" spans="2:2" s="221" customFormat="1" ht="12.75" x14ac:dyDescent="0.2">
      <c r="B59203" s="1168"/>
    </row>
    <row r="59204" spans="2:2" s="221" customFormat="1" ht="12.75" x14ac:dyDescent="0.2">
      <c r="B59204" s="1168"/>
    </row>
    <row r="59205" spans="2:2" s="221" customFormat="1" ht="12.75" x14ac:dyDescent="0.2">
      <c r="B59205" s="1168"/>
    </row>
    <row r="59206" spans="2:2" s="221" customFormat="1" ht="12.75" x14ac:dyDescent="0.2">
      <c r="B59206" s="1168"/>
    </row>
    <row r="59207" spans="2:2" s="221" customFormat="1" ht="12.75" x14ac:dyDescent="0.2">
      <c r="B59207" s="1168"/>
    </row>
    <row r="59208" spans="2:2" s="221" customFormat="1" ht="12.75" x14ac:dyDescent="0.2">
      <c r="B59208" s="1168"/>
    </row>
    <row r="59209" spans="2:2" s="221" customFormat="1" ht="12.75" x14ac:dyDescent="0.2">
      <c r="B59209" s="1168"/>
    </row>
    <row r="59210" spans="2:2" s="221" customFormat="1" ht="12.75" x14ac:dyDescent="0.2">
      <c r="B59210" s="1168"/>
    </row>
    <row r="59211" spans="2:2" s="221" customFormat="1" ht="12.75" x14ac:dyDescent="0.2">
      <c r="B59211" s="1168"/>
    </row>
    <row r="59212" spans="2:2" s="221" customFormat="1" ht="12.75" x14ac:dyDescent="0.2">
      <c r="B59212" s="1168"/>
    </row>
    <row r="59213" spans="2:2" s="221" customFormat="1" ht="12.75" x14ac:dyDescent="0.2">
      <c r="B59213" s="1168"/>
    </row>
    <row r="59214" spans="2:2" s="221" customFormat="1" ht="12.75" x14ac:dyDescent="0.2">
      <c r="B59214" s="1168"/>
    </row>
    <row r="59215" spans="2:2" s="221" customFormat="1" ht="12.75" x14ac:dyDescent="0.2">
      <c r="B59215" s="1168"/>
    </row>
    <row r="59216" spans="2:2" s="221" customFormat="1" ht="12.75" x14ac:dyDescent="0.2">
      <c r="B59216" s="1168"/>
    </row>
    <row r="59217" spans="2:2" s="221" customFormat="1" ht="12.75" x14ac:dyDescent="0.2">
      <c r="B59217" s="1168"/>
    </row>
    <row r="59218" spans="2:2" s="221" customFormat="1" ht="12.75" x14ac:dyDescent="0.2">
      <c r="B59218" s="1168"/>
    </row>
    <row r="59219" spans="2:2" s="221" customFormat="1" ht="12.75" x14ac:dyDescent="0.2">
      <c r="B59219" s="1168"/>
    </row>
    <row r="59220" spans="2:2" s="221" customFormat="1" ht="12.75" x14ac:dyDescent="0.2">
      <c r="B59220" s="1168"/>
    </row>
    <row r="59221" spans="2:2" s="221" customFormat="1" ht="12.75" x14ac:dyDescent="0.2">
      <c r="B59221" s="1168"/>
    </row>
    <row r="59222" spans="2:2" s="221" customFormat="1" ht="12.75" x14ac:dyDescent="0.2">
      <c r="B59222" s="1168"/>
    </row>
    <row r="59223" spans="2:2" s="221" customFormat="1" ht="12.75" x14ac:dyDescent="0.2">
      <c r="B59223" s="1168"/>
    </row>
    <row r="59224" spans="2:2" s="221" customFormat="1" ht="12.75" x14ac:dyDescent="0.2">
      <c r="B59224" s="1168"/>
    </row>
    <row r="59225" spans="2:2" s="221" customFormat="1" ht="12.75" x14ac:dyDescent="0.2">
      <c r="B59225" s="1168"/>
    </row>
    <row r="59226" spans="2:2" s="221" customFormat="1" ht="12.75" x14ac:dyDescent="0.2">
      <c r="B59226" s="1168"/>
    </row>
    <row r="59227" spans="2:2" s="221" customFormat="1" ht="12.75" x14ac:dyDescent="0.2">
      <c r="B59227" s="1168"/>
    </row>
    <row r="59228" spans="2:2" s="221" customFormat="1" ht="12.75" x14ac:dyDescent="0.2">
      <c r="B59228" s="1168"/>
    </row>
    <row r="59229" spans="2:2" s="221" customFormat="1" ht="12.75" x14ac:dyDescent="0.2">
      <c r="B59229" s="1168"/>
    </row>
    <row r="59230" spans="2:2" s="221" customFormat="1" ht="12.75" x14ac:dyDescent="0.2">
      <c r="B59230" s="1168"/>
    </row>
    <row r="59231" spans="2:2" s="221" customFormat="1" ht="12.75" x14ac:dyDescent="0.2">
      <c r="B59231" s="1168"/>
    </row>
    <row r="59232" spans="2:2" s="221" customFormat="1" ht="12.75" x14ac:dyDescent="0.2">
      <c r="B59232" s="1168"/>
    </row>
    <row r="59233" spans="2:2" s="221" customFormat="1" ht="12.75" x14ac:dyDescent="0.2">
      <c r="B59233" s="1168"/>
    </row>
    <row r="59234" spans="2:2" s="221" customFormat="1" ht="12.75" x14ac:dyDescent="0.2">
      <c r="B59234" s="1168"/>
    </row>
    <row r="59235" spans="2:2" s="221" customFormat="1" ht="12.75" x14ac:dyDescent="0.2">
      <c r="B59235" s="1168"/>
    </row>
    <row r="59236" spans="2:2" s="221" customFormat="1" ht="12.75" x14ac:dyDescent="0.2">
      <c r="B59236" s="1168"/>
    </row>
    <row r="59237" spans="2:2" s="221" customFormat="1" ht="12.75" x14ac:dyDescent="0.2">
      <c r="B59237" s="1168"/>
    </row>
    <row r="59238" spans="2:2" s="221" customFormat="1" ht="12.75" x14ac:dyDescent="0.2">
      <c r="B59238" s="1168"/>
    </row>
    <row r="59239" spans="2:2" s="221" customFormat="1" ht="12.75" x14ac:dyDescent="0.2">
      <c r="B59239" s="1168"/>
    </row>
    <row r="59240" spans="2:2" s="221" customFormat="1" ht="12.75" x14ac:dyDescent="0.2">
      <c r="B59240" s="1168"/>
    </row>
    <row r="59241" spans="2:2" s="221" customFormat="1" ht="12.75" x14ac:dyDescent="0.2">
      <c r="B59241" s="1168"/>
    </row>
    <row r="59242" spans="2:2" s="221" customFormat="1" ht="12.75" x14ac:dyDescent="0.2">
      <c r="B59242" s="1168"/>
    </row>
    <row r="59243" spans="2:2" s="221" customFormat="1" ht="12.75" x14ac:dyDescent="0.2">
      <c r="B59243" s="1168"/>
    </row>
    <row r="59244" spans="2:2" s="221" customFormat="1" ht="12.75" x14ac:dyDescent="0.2">
      <c r="B59244" s="1168"/>
    </row>
    <row r="59245" spans="2:2" s="221" customFormat="1" ht="12.75" x14ac:dyDescent="0.2">
      <c r="B59245" s="1168"/>
    </row>
    <row r="59246" spans="2:2" s="221" customFormat="1" ht="12.75" x14ac:dyDescent="0.2">
      <c r="B59246" s="1168"/>
    </row>
    <row r="59247" spans="2:2" s="221" customFormat="1" ht="12.75" x14ac:dyDescent="0.2">
      <c r="B59247" s="1168"/>
    </row>
    <row r="59248" spans="2:2" s="221" customFormat="1" ht="12.75" x14ac:dyDescent="0.2">
      <c r="B59248" s="1168"/>
    </row>
    <row r="59249" spans="2:2" s="221" customFormat="1" ht="12.75" x14ac:dyDescent="0.2">
      <c r="B59249" s="1168"/>
    </row>
    <row r="59250" spans="2:2" s="221" customFormat="1" ht="12.75" x14ac:dyDescent="0.2">
      <c r="B59250" s="1168"/>
    </row>
    <row r="59251" spans="2:2" s="221" customFormat="1" ht="12.75" x14ac:dyDescent="0.2">
      <c r="B59251" s="1168"/>
    </row>
    <row r="59252" spans="2:2" s="221" customFormat="1" ht="12.75" x14ac:dyDescent="0.2">
      <c r="B59252" s="1168"/>
    </row>
    <row r="59253" spans="2:2" s="221" customFormat="1" ht="12.75" x14ac:dyDescent="0.2">
      <c r="B59253" s="1168"/>
    </row>
    <row r="59254" spans="2:2" s="221" customFormat="1" ht="12.75" x14ac:dyDescent="0.2">
      <c r="B59254" s="1168"/>
    </row>
    <row r="59255" spans="2:2" s="221" customFormat="1" ht="12.75" x14ac:dyDescent="0.2">
      <c r="B59255" s="1168"/>
    </row>
    <row r="59256" spans="2:2" s="221" customFormat="1" ht="12.75" x14ac:dyDescent="0.2">
      <c r="B59256" s="1168"/>
    </row>
    <row r="59257" spans="2:2" s="221" customFormat="1" ht="12.75" x14ac:dyDescent="0.2">
      <c r="B59257" s="1168"/>
    </row>
    <row r="59258" spans="2:2" s="221" customFormat="1" ht="12.75" x14ac:dyDescent="0.2">
      <c r="B59258" s="1168"/>
    </row>
    <row r="59259" spans="2:2" s="221" customFormat="1" ht="12.75" x14ac:dyDescent="0.2">
      <c r="B59259" s="1168"/>
    </row>
    <row r="59260" spans="2:2" s="221" customFormat="1" ht="12.75" x14ac:dyDescent="0.2">
      <c r="B59260" s="1168"/>
    </row>
    <row r="59261" spans="2:2" s="221" customFormat="1" ht="12.75" x14ac:dyDescent="0.2">
      <c r="B59261" s="1168"/>
    </row>
    <row r="59262" spans="2:2" s="221" customFormat="1" ht="12.75" x14ac:dyDescent="0.2">
      <c r="B59262" s="1168"/>
    </row>
    <row r="59263" spans="2:2" s="221" customFormat="1" ht="12.75" x14ac:dyDescent="0.2">
      <c r="B59263" s="1168"/>
    </row>
    <row r="59264" spans="2:2" s="221" customFormat="1" ht="12.75" x14ac:dyDescent="0.2">
      <c r="B59264" s="1168"/>
    </row>
    <row r="59265" spans="2:2" s="221" customFormat="1" ht="12.75" x14ac:dyDescent="0.2">
      <c r="B59265" s="1168"/>
    </row>
    <row r="59266" spans="2:2" s="221" customFormat="1" ht="12.75" x14ac:dyDescent="0.2">
      <c r="B59266" s="1168"/>
    </row>
    <row r="59267" spans="2:2" s="221" customFormat="1" ht="12.75" x14ac:dyDescent="0.2">
      <c r="B59267" s="1168"/>
    </row>
    <row r="59268" spans="2:2" s="221" customFormat="1" ht="12.75" x14ac:dyDescent="0.2">
      <c r="B59268" s="1168"/>
    </row>
    <row r="59269" spans="2:2" s="221" customFormat="1" ht="12.75" x14ac:dyDescent="0.2">
      <c r="B59269" s="1168"/>
    </row>
    <row r="59270" spans="2:2" s="221" customFormat="1" ht="12.75" x14ac:dyDescent="0.2">
      <c r="B59270" s="1168"/>
    </row>
    <row r="59271" spans="2:2" s="221" customFormat="1" ht="12.75" x14ac:dyDescent="0.2">
      <c r="B59271" s="1168"/>
    </row>
    <row r="59272" spans="2:2" s="221" customFormat="1" ht="12.75" x14ac:dyDescent="0.2">
      <c r="B59272" s="1168"/>
    </row>
    <row r="59273" spans="2:2" s="221" customFormat="1" ht="12.75" x14ac:dyDescent="0.2">
      <c r="B59273" s="1168"/>
    </row>
    <row r="59274" spans="2:2" s="221" customFormat="1" ht="12.75" x14ac:dyDescent="0.2">
      <c r="B59274" s="1168"/>
    </row>
    <row r="59275" spans="2:2" s="221" customFormat="1" ht="12.75" x14ac:dyDescent="0.2">
      <c r="B59275" s="1168"/>
    </row>
    <row r="59276" spans="2:2" s="221" customFormat="1" ht="12.75" x14ac:dyDescent="0.2">
      <c r="B59276" s="1168"/>
    </row>
    <row r="59277" spans="2:2" s="221" customFormat="1" ht="12.75" x14ac:dyDescent="0.2">
      <c r="B59277" s="1168"/>
    </row>
    <row r="59278" spans="2:2" s="221" customFormat="1" ht="12.75" x14ac:dyDescent="0.2">
      <c r="B59278" s="1168"/>
    </row>
    <row r="59279" spans="2:2" s="221" customFormat="1" ht="12.75" x14ac:dyDescent="0.2">
      <c r="B59279" s="1168"/>
    </row>
    <row r="59280" spans="2:2" s="221" customFormat="1" ht="12.75" x14ac:dyDescent="0.2">
      <c r="B59280" s="1168"/>
    </row>
    <row r="59281" spans="2:2" s="221" customFormat="1" ht="12.75" x14ac:dyDescent="0.2">
      <c r="B59281" s="1168"/>
    </row>
    <row r="59282" spans="2:2" s="221" customFormat="1" ht="12.75" x14ac:dyDescent="0.2">
      <c r="B59282" s="1168"/>
    </row>
    <row r="59283" spans="2:2" s="221" customFormat="1" ht="12.75" x14ac:dyDescent="0.2">
      <c r="B59283" s="1168"/>
    </row>
    <row r="59284" spans="2:2" s="221" customFormat="1" ht="12.75" x14ac:dyDescent="0.2">
      <c r="B59284" s="1168"/>
    </row>
    <row r="59285" spans="2:2" s="221" customFormat="1" ht="12.75" x14ac:dyDescent="0.2">
      <c r="B59285" s="1168"/>
    </row>
    <row r="59286" spans="2:2" s="221" customFormat="1" ht="12.75" x14ac:dyDescent="0.2">
      <c r="B59286" s="1168"/>
    </row>
    <row r="59287" spans="2:2" s="221" customFormat="1" ht="12.75" x14ac:dyDescent="0.2">
      <c r="B59287" s="1168"/>
    </row>
    <row r="59288" spans="2:2" s="221" customFormat="1" ht="12.75" x14ac:dyDescent="0.2">
      <c r="B59288" s="1168"/>
    </row>
    <row r="59289" spans="2:2" s="221" customFormat="1" ht="12.75" x14ac:dyDescent="0.2">
      <c r="B59289" s="1168"/>
    </row>
    <row r="59290" spans="2:2" s="221" customFormat="1" ht="12.75" x14ac:dyDescent="0.2">
      <c r="B59290" s="1168"/>
    </row>
    <row r="59291" spans="2:2" s="221" customFormat="1" ht="12.75" x14ac:dyDescent="0.2">
      <c r="B59291" s="1168"/>
    </row>
    <row r="59292" spans="2:2" s="221" customFormat="1" ht="12.75" x14ac:dyDescent="0.2">
      <c r="B59292" s="1168"/>
    </row>
    <row r="59293" spans="2:2" s="221" customFormat="1" ht="12.75" x14ac:dyDescent="0.2">
      <c r="B59293" s="1168"/>
    </row>
    <row r="59294" spans="2:2" s="221" customFormat="1" ht="12.75" x14ac:dyDescent="0.2">
      <c r="B59294" s="1168"/>
    </row>
    <row r="59295" spans="2:2" s="221" customFormat="1" ht="12.75" x14ac:dyDescent="0.2">
      <c r="B59295" s="1168"/>
    </row>
    <row r="59296" spans="2:2" s="221" customFormat="1" ht="12.75" x14ac:dyDescent="0.2">
      <c r="B59296" s="1168"/>
    </row>
    <row r="59297" spans="2:2" s="221" customFormat="1" ht="12.75" x14ac:dyDescent="0.2">
      <c r="B59297" s="1168"/>
    </row>
    <row r="59298" spans="2:2" s="221" customFormat="1" ht="12.75" x14ac:dyDescent="0.2">
      <c r="B59298" s="1168"/>
    </row>
    <row r="59299" spans="2:2" s="221" customFormat="1" ht="12.75" x14ac:dyDescent="0.2">
      <c r="B59299" s="1168"/>
    </row>
    <row r="59300" spans="2:2" s="221" customFormat="1" ht="12.75" x14ac:dyDescent="0.2">
      <c r="B59300" s="1168"/>
    </row>
    <row r="59301" spans="2:2" s="221" customFormat="1" ht="12.75" x14ac:dyDescent="0.2">
      <c r="B59301" s="1168"/>
    </row>
    <row r="59302" spans="2:2" s="221" customFormat="1" ht="12.75" x14ac:dyDescent="0.2">
      <c r="B59302" s="1168"/>
    </row>
    <row r="59303" spans="2:2" s="221" customFormat="1" ht="12.75" x14ac:dyDescent="0.2">
      <c r="B59303" s="1168"/>
    </row>
    <row r="59304" spans="2:2" s="221" customFormat="1" ht="12.75" x14ac:dyDescent="0.2">
      <c r="B59304" s="1168"/>
    </row>
    <row r="59305" spans="2:2" s="221" customFormat="1" ht="12.75" x14ac:dyDescent="0.2">
      <c r="B59305" s="1168"/>
    </row>
    <row r="59306" spans="2:2" s="221" customFormat="1" ht="12.75" x14ac:dyDescent="0.2">
      <c r="B59306" s="1168"/>
    </row>
    <row r="59307" spans="2:2" s="221" customFormat="1" ht="12.75" x14ac:dyDescent="0.2">
      <c r="B59307" s="1168"/>
    </row>
    <row r="59308" spans="2:2" s="221" customFormat="1" ht="12.75" x14ac:dyDescent="0.2">
      <c r="B59308" s="1168"/>
    </row>
    <row r="59309" spans="2:2" s="221" customFormat="1" ht="12.75" x14ac:dyDescent="0.2">
      <c r="B59309" s="1168"/>
    </row>
    <row r="59310" spans="2:2" s="221" customFormat="1" ht="12.75" x14ac:dyDescent="0.2">
      <c r="B59310" s="1168"/>
    </row>
    <row r="59311" spans="2:2" s="221" customFormat="1" ht="12.75" x14ac:dyDescent="0.2">
      <c r="B59311" s="1168"/>
    </row>
    <row r="59312" spans="2:2" s="221" customFormat="1" ht="12.75" x14ac:dyDescent="0.2">
      <c r="B59312" s="1168"/>
    </row>
    <row r="59313" spans="2:2" s="221" customFormat="1" ht="12.75" x14ac:dyDescent="0.2">
      <c r="B59313" s="1168"/>
    </row>
    <row r="59314" spans="2:2" s="221" customFormat="1" ht="12.75" x14ac:dyDescent="0.2">
      <c r="B59314" s="1168"/>
    </row>
    <row r="59315" spans="2:2" s="221" customFormat="1" ht="12.75" x14ac:dyDescent="0.2">
      <c r="B59315" s="1168"/>
    </row>
    <row r="59316" spans="2:2" s="221" customFormat="1" ht="12.75" x14ac:dyDescent="0.2">
      <c r="B59316" s="1168"/>
    </row>
    <row r="59317" spans="2:2" s="221" customFormat="1" ht="12.75" x14ac:dyDescent="0.2">
      <c r="B59317" s="1168"/>
    </row>
    <row r="59318" spans="2:2" s="221" customFormat="1" ht="12.75" x14ac:dyDescent="0.2">
      <c r="B59318" s="1168"/>
    </row>
    <row r="59319" spans="2:2" s="221" customFormat="1" ht="12.75" x14ac:dyDescent="0.2">
      <c r="B59319" s="1168"/>
    </row>
    <row r="59320" spans="2:2" s="221" customFormat="1" ht="12.75" x14ac:dyDescent="0.2">
      <c r="B59320" s="1168"/>
    </row>
    <row r="59321" spans="2:2" s="221" customFormat="1" ht="12.75" x14ac:dyDescent="0.2">
      <c r="B59321" s="1168"/>
    </row>
    <row r="59322" spans="2:2" s="221" customFormat="1" ht="12.75" x14ac:dyDescent="0.2">
      <c r="B59322" s="1168"/>
    </row>
    <row r="59323" spans="2:2" s="221" customFormat="1" ht="12.75" x14ac:dyDescent="0.2">
      <c r="B59323" s="1168"/>
    </row>
    <row r="59324" spans="2:2" s="221" customFormat="1" ht="12.75" x14ac:dyDescent="0.2">
      <c r="B59324" s="1168"/>
    </row>
    <row r="59325" spans="2:2" s="221" customFormat="1" ht="12.75" x14ac:dyDescent="0.2">
      <c r="B59325" s="1168"/>
    </row>
    <row r="59326" spans="2:2" s="221" customFormat="1" ht="12.75" x14ac:dyDescent="0.2">
      <c r="B59326" s="1168"/>
    </row>
    <row r="59327" spans="2:2" s="221" customFormat="1" ht="12.75" x14ac:dyDescent="0.2">
      <c r="B59327" s="1168"/>
    </row>
    <row r="59328" spans="2:2" s="221" customFormat="1" ht="12.75" x14ac:dyDescent="0.2">
      <c r="B59328" s="1168"/>
    </row>
    <row r="59329" spans="2:2" s="221" customFormat="1" ht="12.75" x14ac:dyDescent="0.2">
      <c r="B59329" s="1168"/>
    </row>
    <row r="59330" spans="2:2" s="221" customFormat="1" ht="12.75" x14ac:dyDescent="0.2">
      <c r="B59330" s="1168"/>
    </row>
    <row r="59331" spans="2:2" s="221" customFormat="1" ht="12.75" x14ac:dyDescent="0.2">
      <c r="B59331" s="1168"/>
    </row>
    <row r="59332" spans="2:2" s="221" customFormat="1" ht="12.75" x14ac:dyDescent="0.2">
      <c r="B59332" s="1168"/>
    </row>
    <row r="59333" spans="2:2" s="221" customFormat="1" ht="12.75" x14ac:dyDescent="0.2">
      <c r="B59333" s="1168"/>
    </row>
    <row r="59334" spans="2:2" s="221" customFormat="1" ht="12.75" x14ac:dyDescent="0.2">
      <c r="B59334" s="1168"/>
    </row>
    <row r="59335" spans="2:2" s="221" customFormat="1" ht="12.75" x14ac:dyDescent="0.2">
      <c r="B59335" s="1168"/>
    </row>
    <row r="59336" spans="2:2" s="221" customFormat="1" ht="12.75" x14ac:dyDescent="0.2">
      <c r="B59336" s="1168"/>
    </row>
    <row r="59337" spans="2:2" s="221" customFormat="1" ht="12.75" x14ac:dyDescent="0.2">
      <c r="B59337" s="1168"/>
    </row>
    <row r="59338" spans="2:2" s="221" customFormat="1" ht="12.75" x14ac:dyDescent="0.2">
      <c r="B59338" s="1168"/>
    </row>
    <row r="59339" spans="2:2" s="221" customFormat="1" ht="12.75" x14ac:dyDescent="0.2">
      <c r="B59339" s="1168"/>
    </row>
    <row r="59340" spans="2:2" s="221" customFormat="1" ht="12.75" x14ac:dyDescent="0.2">
      <c r="B59340" s="1168"/>
    </row>
    <row r="59341" spans="2:2" s="221" customFormat="1" ht="12.75" x14ac:dyDescent="0.2">
      <c r="B59341" s="1168"/>
    </row>
    <row r="59342" spans="2:2" s="221" customFormat="1" ht="12.75" x14ac:dyDescent="0.2">
      <c r="B59342" s="1168"/>
    </row>
    <row r="59343" spans="2:2" s="221" customFormat="1" ht="12.75" x14ac:dyDescent="0.2">
      <c r="B59343" s="1168"/>
    </row>
    <row r="59344" spans="2:2" s="221" customFormat="1" ht="12.75" x14ac:dyDescent="0.2">
      <c r="B59344" s="1168"/>
    </row>
    <row r="59345" spans="2:2" s="221" customFormat="1" ht="12.75" x14ac:dyDescent="0.2">
      <c r="B59345" s="1168"/>
    </row>
    <row r="59346" spans="2:2" s="221" customFormat="1" ht="12.75" x14ac:dyDescent="0.2">
      <c r="B59346" s="1168"/>
    </row>
    <row r="59347" spans="2:2" s="221" customFormat="1" ht="12.75" x14ac:dyDescent="0.2">
      <c r="B59347" s="1168"/>
    </row>
    <row r="59348" spans="2:2" s="221" customFormat="1" ht="12.75" x14ac:dyDescent="0.2">
      <c r="B59348" s="1168"/>
    </row>
    <row r="59349" spans="2:2" s="221" customFormat="1" ht="12.75" x14ac:dyDescent="0.2">
      <c r="B59349" s="1168"/>
    </row>
    <row r="59350" spans="2:2" s="221" customFormat="1" ht="12.75" x14ac:dyDescent="0.2">
      <c r="B59350" s="1168"/>
    </row>
    <row r="59351" spans="2:2" s="221" customFormat="1" ht="12.75" x14ac:dyDescent="0.2">
      <c r="B59351" s="1168"/>
    </row>
    <row r="59352" spans="2:2" s="221" customFormat="1" ht="12.75" x14ac:dyDescent="0.2">
      <c r="B59352" s="1168"/>
    </row>
    <row r="59353" spans="2:2" s="221" customFormat="1" ht="12.75" x14ac:dyDescent="0.2">
      <c r="B59353" s="1168"/>
    </row>
    <row r="59354" spans="2:2" s="221" customFormat="1" ht="12.75" x14ac:dyDescent="0.2">
      <c r="B59354" s="1168"/>
    </row>
    <row r="59355" spans="2:2" s="221" customFormat="1" ht="12.75" x14ac:dyDescent="0.2">
      <c r="B59355" s="1168"/>
    </row>
    <row r="59356" spans="2:2" s="221" customFormat="1" ht="12.75" x14ac:dyDescent="0.2">
      <c r="B59356" s="1168"/>
    </row>
    <row r="59357" spans="2:2" s="221" customFormat="1" ht="12.75" x14ac:dyDescent="0.2">
      <c r="B59357" s="1168"/>
    </row>
    <row r="59358" spans="2:2" s="221" customFormat="1" ht="12.75" x14ac:dyDescent="0.2">
      <c r="B59358" s="1168"/>
    </row>
    <row r="59359" spans="2:2" s="221" customFormat="1" ht="12.75" x14ac:dyDescent="0.2">
      <c r="B59359" s="1168"/>
    </row>
    <row r="59360" spans="2:2" s="221" customFormat="1" ht="12.75" x14ac:dyDescent="0.2">
      <c r="B59360" s="1168"/>
    </row>
    <row r="59361" spans="2:2" s="221" customFormat="1" ht="12.75" x14ac:dyDescent="0.2">
      <c r="B59361" s="1168"/>
    </row>
    <row r="59362" spans="2:2" s="221" customFormat="1" ht="12.75" x14ac:dyDescent="0.2">
      <c r="B59362" s="1168"/>
    </row>
    <row r="59363" spans="2:2" s="221" customFormat="1" ht="12.75" x14ac:dyDescent="0.2">
      <c r="B59363" s="1168"/>
    </row>
    <row r="59364" spans="2:2" s="221" customFormat="1" ht="12.75" x14ac:dyDescent="0.2">
      <c r="B59364" s="1168"/>
    </row>
    <row r="59365" spans="2:2" s="221" customFormat="1" ht="12.75" x14ac:dyDescent="0.2">
      <c r="B59365" s="1168"/>
    </row>
    <row r="59366" spans="2:2" s="221" customFormat="1" ht="12.75" x14ac:dyDescent="0.2">
      <c r="B59366" s="1168"/>
    </row>
    <row r="59367" spans="2:2" s="221" customFormat="1" ht="12.75" x14ac:dyDescent="0.2">
      <c r="B59367" s="1168"/>
    </row>
    <row r="59368" spans="2:2" s="221" customFormat="1" ht="12.75" x14ac:dyDescent="0.2">
      <c r="B59368" s="1168"/>
    </row>
    <row r="59369" spans="2:2" s="221" customFormat="1" ht="12.75" x14ac:dyDescent="0.2">
      <c r="B59369" s="1168"/>
    </row>
    <row r="59370" spans="2:2" s="221" customFormat="1" ht="12.75" x14ac:dyDescent="0.2">
      <c r="B59370" s="1168"/>
    </row>
    <row r="59371" spans="2:2" s="221" customFormat="1" ht="12.75" x14ac:dyDescent="0.2">
      <c r="B59371" s="1168"/>
    </row>
    <row r="59372" spans="2:2" s="221" customFormat="1" ht="12.75" x14ac:dyDescent="0.2">
      <c r="B59372" s="1168"/>
    </row>
    <row r="59373" spans="2:2" s="221" customFormat="1" ht="12.75" x14ac:dyDescent="0.2">
      <c r="B59373" s="1168"/>
    </row>
    <row r="59374" spans="2:2" s="221" customFormat="1" ht="12.75" x14ac:dyDescent="0.2">
      <c r="B59374" s="1168"/>
    </row>
    <row r="59375" spans="2:2" s="221" customFormat="1" ht="12.75" x14ac:dyDescent="0.2">
      <c r="B59375" s="1168"/>
    </row>
    <row r="59376" spans="2:2" s="221" customFormat="1" ht="12.75" x14ac:dyDescent="0.2">
      <c r="B59376" s="1168"/>
    </row>
    <row r="59377" spans="2:2" s="221" customFormat="1" ht="12.75" x14ac:dyDescent="0.2">
      <c r="B59377" s="1168"/>
    </row>
    <row r="59378" spans="2:2" s="221" customFormat="1" ht="12.75" x14ac:dyDescent="0.2">
      <c r="B59378" s="1168"/>
    </row>
    <row r="59379" spans="2:2" s="221" customFormat="1" ht="12.75" x14ac:dyDescent="0.2">
      <c r="B59379" s="1168"/>
    </row>
    <row r="59380" spans="2:2" s="221" customFormat="1" ht="12.75" x14ac:dyDescent="0.2">
      <c r="B59380" s="1168"/>
    </row>
    <row r="59381" spans="2:2" s="221" customFormat="1" ht="12.75" x14ac:dyDescent="0.2">
      <c r="B59381" s="1168"/>
    </row>
    <row r="59382" spans="2:2" s="221" customFormat="1" ht="12.75" x14ac:dyDescent="0.2">
      <c r="B59382" s="1168"/>
    </row>
    <row r="59383" spans="2:2" s="221" customFormat="1" ht="12.75" x14ac:dyDescent="0.2">
      <c r="B59383" s="1168"/>
    </row>
    <row r="59384" spans="2:2" s="221" customFormat="1" ht="12.75" x14ac:dyDescent="0.2">
      <c r="B59384" s="1168"/>
    </row>
    <row r="59385" spans="2:2" s="221" customFormat="1" ht="12.75" x14ac:dyDescent="0.2">
      <c r="B59385" s="1168"/>
    </row>
    <row r="59386" spans="2:2" s="221" customFormat="1" ht="12.75" x14ac:dyDescent="0.2">
      <c r="B59386" s="1168"/>
    </row>
    <row r="59387" spans="2:2" s="221" customFormat="1" ht="12.75" x14ac:dyDescent="0.2">
      <c r="B59387" s="1168"/>
    </row>
    <row r="59388" spans="2:2" s="221" customFormat="1" ht="12.75" x14ac:dyDescent="0.2">
      <c r="B59388" s="1168"/>
    </row>
    <row r="59389" spans="2:2" s="221" customFormat="1" ht="12.75" x14ac:dyDescent="0.2">
      <c r="B59389" s="1168"/>
    </row>
    <row r="59390" spans="2:2" s="221" customFormat="1" ht="12.75" x14ac:dyDescent="0.2">
      <c r="B59390" s="1168"/>
    </row>
    <row r="59391" spans="2:2" s="221" customFormat="1" ht="12.75" x14ac:dyDescent="0.2">
      <c r="B59391" s="1168"/>
    </row>
    <row r="59392" spans="2:2" s="221" customFormat="1" ht="12.75" x14ac:dyDescent="0.2">
      <c r="B59392" s="1168"/>
    </row>
    <row r="59393" spans="2:2" s="221" customFormat="1" ht="12.75" x14ac:dyDescent="0.2">
      <c r="B59393" s="1168"/>
    </row>
    <row r="59394" spans="2:2" s="221" customFormat="1" ht="12.75" x14ac:dyDescent="0.2">
      <c r="B59394" s="1168"/>
    </row>
    <row r="59395" spans="2:2" s="221" customFormat="1" ht="12.75" x14ac:dyDescent="0.2">
      <c r="B59395" s="1168"/>
    </row>
    <row r="59396" spans="2:2" s="221" customFormat="1" ht="12.75" x14ac:dyDescent="0.2">
      <c r="B59396" s="1168"/>
    </row>
    <row r="59397" spans="2:2" s="221" customFormat="1" ht="12.75" x14ac:dyDescent="0.2">
      <c r="B59397" s="1168"/>
    </row>
    <row r="59398" spans="2:2" s="221" customFormat="1" ht="12.75" x14ac:dyDescent="0.2">
      <c r="B59398" s="1168"/>
    </row>
    <row r="59399" spans="2:2" s="221" customFormat="1" ht="12.75" x14ac:dyDescent="0.2">
      <c r="B59399" s="1168"/>
    </row>
    <row r="59400" spans="2:2" s="221" customFormat="1" ht="12.75" x14ac:dyDescent="0.2">
      <c r="B59400" s="1168"/>
    </row>
    <row r="59401" spans="2:2" s="221" customFormat="1" ht="12.75" x14ac:dyDescent="0.2">
      <c r="B59401" s="1168"/>
    </row>
    <row r="59402" spans="2:2" s="221" customFormat="1" ht="12.75" x14ac:dyDescent="0.2">
      <c r="B59402" s="1168"/>
    </row>
    <row r="59403" spans="2:2" s="221" customFormat="1" ht="12.75" x14ac:dyDescent="0.2">
      <c r="B59403" s="1168"/>
    </row>
    <row r="59404" spans="2:2" s="221" customFormat="1" ht="12.75" x14ac:dyDescent="0.2">
      <c r="B59404" s="1168"/>
    </row>
    <row r="59405" spans="2:2" s="221" customFormat="1" ht="12.75" x14ac:dyDescent="0.2">
      <c r="B59405" s="1168"/>
    </row>
    <row r="59406" spans="2:2" s="221" customFormat="1" ht="12.75" x14ac:dyDescent="0.2">
      <c r="B59406" s="1168"/>
    </row>
    <row r="59407" spans="2:2" s="221" customFormat="1" ht="12.75" x14ac:dyDescent="0.2">
      <c r="B59407" s="1168"/>
    </row>
    <row r="59408" spans="2:2" s="221" customFormat="1" ht="12.75" x14ac:dyDescent="0.2">
      <c r="B59408" s="1168"/>
    </row>
    <row r="59409" spans="2:2" s="221" customFormat="1" ht="12.75" x14ac:dyDescent="0.2">
      <c r="B59409" s="1168"/>
    </row>
    <row r="59410" spans="2:2" s="221" customFormat="1" ht="12.75" x14ac:dyDescent="0.2">
      <c r="B59410" s="1168"/>
    </row>
    <row r="59411" spans="2:2" s="221" customFormat="1" ht="12.75" x14ac:dyDescent="0.2">
      <c r="B59411" s="1168"/>
    </row>
    <row r="59412" spans="2:2" s="221" customFormat="1" ht="12.75" x14ac:dyDescent="0.2">
      <c r="B59412" s="1168"/>
    </row>
    <row r="59413" spans="2:2" s="221" customFormat="1" ht="12.75" x14ac:dyDescent="0.2">
      <c r="B59413" s="1168"/>
    </row>
    <row r="59414" spans="2:2" s="221" customFormat="1" ht="12.75" x14ac:dyDescent="0.2">
      <c r="B59414" s="1168"/>
    </row>
    <row r="59415" spans="2:2" s="221" customFormat="1" ht="12.75" x14ac:dyDescent="0.2">
      <c r="B59415" s="1168"/>
    </row>
    <row r="59416" spans="2:2" s="221" customFormat="1" ht="12.75" x14ac:dyDescent="0.2">
      <c r="B59416" s="1168"/>
    </row>
    <row r="59417" spans="2:2" s="221" customFormat="1" ht="12.75" x14ac:dyDescent="0.2">
      <c r="B59417" s="1168"/>
    </row>
    <row r="59418" spans="2:2" s="221" customFormat="1" ht="12.75" x14ac:dyDescent="0.2">
      <c r="B59418" s="1168"/>
    </row>
    <row r="59419" spans="2:2" s="221" customFormat="1" ht="12.75" x14ac:dyDescent="0.2">
      <c r="B59419" s="1168"/>
    </row>
    <row r="59420" spans="2:2" s="221" customFormat="1" ht="12.75" x14ac:dyDescent="0.2">
      <c r="B59420" s="1168"/>
    </row>
    <row r="59421" spans="2:2" s="221" customFormat="1" ht="12.75" x14ac:dyDescent="0.2">
      <c r="B59421" s="1168"/>
    </row>
    <row r="59422" spans="2:2" s="221" customFormat="1" ht="12.75" x14ac:dyDescent="0.2">
      <c r="B59422" s="1168"/>
    </row>
    <row r="59423" spans="2:2" s="221" customFormat="1" ht="12.75" x14ac:dyDescent="0.2">
      <c r="B59423" s="1168"/>
    </row>
    <row r="59424" spans="2:2" s="221" customFormat="1" ht="12.75" x14ac:dyDescent="0.2">
      <c r="B59424" s="1168"/>
    </row>
    <row r="59425" spans="2:2" s="221" customFormat="1" ht="12.75" x14ac:dyDescent="0.2">
      <c r="B59425" s="1168"/>
    </row>
    <row r="59426" spans="2:2" s="221" customFormat="1" ht="12.75" x14ac:dyDescent="0.2">
      <c r="B59426" s="1168"/>
    </row>
    <row r="59427" spans="2:2" s="221" customFormat="1" ht="12.75" x14ac:dyDescent="0.2">
      <c r="B59427" s="1168"/>
    </row>
    <row r="59428" spans="2:2" s="221" customFormat="1" ht="12.75" x14ac:dyDescent="0.2">
      <c r="B59428" s="1168"/>
    </row>
    <row r="59429" spans="2:2" s="221" customFormat="1" ht="12.75" x14ac:dyDescent="0.2">
      <c r="B59429" s="1168"/>
    </row>
    <row r="59430" spans="2:2" s="221" customFormat="1" ht="12.75" x14ac:dyDescent="0.2">
      <c r="B59430" s="1168"/>
    </row>
    <row r="59431" spans="2:2" s="221" customFormat="1" ht="12.75" x14ac:dyDescent="0.2">
      <c r="B59431" s="1168"/>
    </row>
    <row r="59432" spans="2:2" s="221" customFormat="1" ht="12.75" x14ac:dyDescent="0.2">
      <c r="B59432" s="1168"/>
    </row>
    <row r="59433" spans="2:2" s="221" customFormat="1" ht="12.75" x14ac:dyDescent="0.2">
      <c r="B59433" s="1168"/>
    </row>
    <row r="59434" spans="2:2" s="221" customFormat="1" ht="12.75" x14ac:dyDescent="0.2">
      <c r="B59434" s="1168"/>
    </row>
    <row r="59435" spans="2:2" s="221" customFormat="1" ht="12.75" x14ac:dyDescent="0.2">
      <c r="B59435" s="1168"/>
    </row>
    <row r="59436" spans="2:2" s="221" customFormat="1" ht="12.75" x14ac:dyDescent="0.2">
      <c r="B59436" s="1168"/>
    </row>
    <row r="59437" spans="2:2" s="221" customFormat="1" ht="12.75" x14ac:dyDescent="0.2">
      <c r="B59437" s="1168"/>
    </row>
    <row r="59438" spans="2:2" s="221" customFormat="1" ht="12.75" x14ac:dyDescent="0.2">
      <c r="B59438" s="1168"/>
    </row>
    <row r="59439" spans="2:2" s="221" customFormat="1" ht="12.75" x14ac:dyDescent="0.2">
      <c r="B59439" s="1168"/>
    </row>
    <row r="59440" spans="2:2" s="221" customFormat="1" ht="12.75" x14ac:dyDescent="0.2">
      <c r="B59440" s="1168"/>
    </row>
    <row r="59441" spans="2:2" s="221" customFormat="1" ht="12.75" x14ac:dyDescent="0.2">
      <c r="B59441" s="1168"/>
    </row>
    <row r="59442" spans="2:2" s="221" customFormat="1" ht="12.75" x14ac:dyDescent="0.2">
      <c r="B59442" s="1168"/>
    </row>
    <row r="59443" spans="2:2" s="221" customFormat="1" ht="12.75" x14ac:dyDescent="0.2">
      <c r="B59443" s="1168"/>
    </row>
    <row r="59444" spans="2:2" s="221" customFormat="1" ht="12.75" x14ac:dyDescent="0.2">
      <c r="B59444" s="1168"/>
    </row>
    <row r="59445" spans="2:2" s="221" customFormat="1" ht="12.75" x14ac:dyDescent="0.2">
      <c r="B59445" s="1168"/>
    </row>
    <row r="59446" spans="2:2" s="221" customFormat="1" ht="12.75" x14ac:dyDescent="0.2">
      <c r="B59446" s="1168"/>
    </row>
    <row r="59447" spans="2:2" s="221" customFormat="1" ht="12.75" x14ac:dyDescent="0.2">
      <c r="B59447" s="1168"/>
    </row>
    <row r="59448" spans="2:2" s="221" customFormat="1" ht="12.75" x14ac:dyDescent="0.2">
      <c r="B59448" s="1168"/>
    </row>
    <row r="59449" spans="2:2" s="221" customFormat="1" ht="12.75" x14ac:dyDescent="0.2">
      <c r="B59449" s="1168"/>
    </row>
    <row r="59450" spans="2:2" s="221" customFormat="1" ht="12.75" x14ac:dyDescent="0.2">
      <c r="B59450" s="1168"/>
    </row>
    <row r="59451" spans="2:2" s="221" customFormat="1" ht="12.75" x14ac:dyDescent="0.2">
      <c r="B59451" s="1168"/>
    </row>
    <row r="59452" spans="2:2" s="221" customFormat="1" ht="12.75" x14ac:dyDescent="0.2">
      <c r="B59452" s="1168"/>
    </row>
    <row r="59453" spans="2:2" s="221" customFormat="1" ht="12.75" x14ac:dyDescent="0.2">
      <c r="B59453" s="1168"/>
    </row>
    <row r="59454" spans="2:2" s="221" customFormat="1" ht="12.75" x14ac:dyDescent="0.2">
      <c r="B59454" s="1168"/>
    </row>
    <row r="59455" spans="2:2" s="221" customFormat="1" ht="12.75" x14ac:dyDescent="0.2">
      <c r="B59455" s="1168"/>
    </row>
    <row r="59456" spans="2:2" s="221" customFormat="1" ht="12.75" x14ac:dyDescent="0.2">
      <c r="B59456" s="1168"/>
    </row>
    <row r="59457" spans="2:2" s="221" customFormat="1" ht="12.75" x14ac:dyDescent="0.2">
      <c r="B59457" s="1168"/>
    </row>
    <row r="59458" spans="2:2" s="221" customFormat="1" ht="12.75" x14ac:dyDescent="0.2">
      <c r="B59458" s="1168"/>
    </row>
    <row r="59459" spans="2:2" s="221" customFormat="1" ht="12.75" x14ac:dyDescent="0.2">
      <c r="B59459" s="1168"/>
    </row>
    <row r="59460" spans="2:2" s="221" customFormat="1" ht="12.75" x14ac:dyDescent="0.2">
      <c r="B59460" s="1168"/>
    </row>
    <row r="59461" spans="2:2" s="221" customFormat="1" ht="12.75" x14ac:dyDescent="0.2">
      <c r="B59461" s="1168"/>
    </row>
    <row r="59462" spans="2:2" s="221" customFormat="1" ht="12.75" x14ac:dyDescent="0.2">
      <c r="B59462" s="1168"/>
    </row>
    <row r="59463" spans="2:2" s="221" customFormat="1" ht="12.75" x14ac:dyDescent="0.2">
      <c r="B59463" s="1168"/>
    </row>
    <row r="59464" spans="2:2" s="221" customFormat="1" ht="12.75" x14ac:dyDescent="0.2">
      <c r="B59464" s="1168"/>
    </row>
    <row r="59465" spans="2:2" s="221" customFormat="1" ht="12.75" x14ac:dyDescent="0.2">
      <c r="B59465" s="1168"/>
    </row>
    <row r="59466" spans="2:2" s="221" customFormat="1" ht="12.75" x14ac:dyDescent="0.2">
      <c r="B59466" s="1168"/>
    </row>
    <row r="59467" spans="2:2" s="221" customFormat="1" ht="12.75" x14ac:dyDescent="0.2">
      <c r="B59467" s="1168"/>
    </row>
    <row r="59468" spans="2:2" s="221" customFormat="1" ht="12.75" x14ac:dyDescent="0.2">
      <c r="B59468" s="1168"/>
    </row>
    <row r="59469" spans="2:2" s="221" customFormat="1" ht="12.75" x14ac:dyDescent="0.2">
      <c r="B59469" s="1168"/>
    </row>
    <row r="59470" spans="2:2" s="221" customFormat="1" ht="12.75" x14ac:dyDescent="0.2">
      <c r="B59470" s="1168"/>
    </row>
    <row r="59471" spans="2:2" s="221" customFormat="1" ht="12.75" x14ac:dyDescent="0.2">
      <c r="B59471" s="1168"/>
    </row>
    <row r="59472" spans="2:2" s="221" customFormat="1" ht="12.75" x14ac:dyDescent="0.2">
      <c r="B59472" s="1168"/>
    </row>
    <row r="59473" spans="2:2" s="221" customFormat="1" ht="12.75" x14ac:dyDescent="0.2">
      <c r="B59473" s="1168"/>
    </row>
    <row r="59474" spans="2:2" s="221" customFormat="1" ht="12.75" x14ac:dyDescent="0.2">
      <c r="B59474" s="1168"/>
    </row>
    <row r="59475" spans="2:2" s="221" customFormat="1" ht="12.75" x14ac:dyDescent="0.2">
      <c r="B59475" s="1168"/>
    </row>
    <row r="59476" spans="2:2" s="221" customFormat="1" ht="12.75" x14ac:dyDescent="0.2">
      <c r="B59476" s="1168"/>
    </row>
    <row r="59477" spans="2:2" s="221" customFormat="1" ht="12.75" x14ac:dyDescent="0.2">
      <c r="B59477" s="1168"/>
    </row>
    <row r="59478" spans="2:2" s="221" customFormat="1" ht="12.75" x14ac:dyDescent="0.2">
      <c r="B59478" s="1168"/>
    </row>
    <row r="59479" spans="2:2" s="221" customFormat="1" ht="12.75" x14ac:dyDescent="0.2">
      <c r="B59479" s="1168"/>
    </row>
    <row r="59480" spans="2:2" s="221" customFormat="1" ht="12.75" x14ac:dyDescent="0.2">
      <c r="B59480" s="1168"/>
    </row>
    <row r="59481" spans="2:2" s="221" customFormat="1" ht="12.75" x14ac:dyDescent="0.2">
      <c r="B59481" s="1168"/>
    </row>
    <row r="59482" spans="2:2" s="221" customFormat="1" ht="12.75" x14ac:dyDescent="0.2">
      <c r="B59482" s="1168"/>
    </row>
    <row r="59483" spans="2:2" s="221" customFormat="1" ht="12.75" x14ac:dyDescent="0.2">
      <c r="B59483" s="1168"/>
    </row>
    <row r="59484" spans="2:2" s="221" customFormat="1" ht="12.75" x14ac:dyDescent="0.2">
      <c r="B59484" s="1168"/>
    </row>
    <row r="59485" spans="2:2" s="221" customFormat="1" ht="12.75" x14ac:dyDescent="0.2">
      <c r="B59485" s="1168"/>
    </row>
    <row r="59486" spans="2:2" s="221" customFormat="1" ht="12.75" x14ac:dyDescent="0.2">
      <c r="B59486" s="1168"/>
    </row>
    <row r="59487" spans="2:2" s="221" customFormat="1" ht="12.75" x14ac:dyDescent="0.2">
      <c r="B59487" s="1168"/>
    </row>
    <row r="59488" spans="2:2" s="221" customFormat="1" ht="12.75" x14ac:dyDescent="0.2">
      <c r="B59488" s="1168"/>
    </row>
    <row r="59489" spans="2:2" s="221" customFormat="1" ht="12.75" x14ac:dyDescent="0.2">
      <c r="B59489" s="1168"/>
    </row>
    <row r="59490" spans="2:2" s="221" customFormat="1" ht="12.75" x14ac:dyDescent="0.2">
      <c r="B59490" s="1168"/>
    </row>
    <row r="59491" spans="2:2" s="221" customFormat="1" ht="12.75" x14ac:dyDescent="0.2">
      <c r="B59491" s="1168"/>
    </row>
    <row r="59492" spans="2:2" s="221" customFormat="1" ht="12.75" x14ac:dyDescent="0.2">
      <c r="B59492" s="1168"/>
    </row>
    <row r="59493" spans="2:2" s="221" customFormat="1" ht="12.75" x14ac:dyDescent="0.2">
      <c r="B59493" s="1168"/>
    </row>
    <row r="59494" spans="2:2" s="221" customFormat="1" ht="12.75" x14ac:dyDescent="0.2">
      <c r="B59494" s="1168"/>
    </row>
    <row r="59495" spans="2:2" s="221" customFormat="1" ht="12.75" x14ac:dyDescent="0.2">
      <c r="B59495" s="1168"/>
    </row>
    <row r="59496" spans="2:2" s="221" customFormat="1" ht="12.75" x14ac:dyDescent="0.2">
      <c r="B59496" s="1168"/>
    </row>
    <row r="59497" spans="2:2" s="221" customFormat="1" ht="12.75" x14ac:dyDescent="0.2">
      <c r="B59497" s="1168"/>
    </row>
    <row r="59498" spans="2:2" s="221" customFormat="1" ht="12.75" x14ac:dyDescent="0.2">
      <c r="B59498" s="1168"/>
    </row>
    <row r="59499" spans="2:2" s="221" customFormat="1" ht="12.75" x14ac:dyDescent="0.2">
      <c r="B59499" s="1168"/>
    </row>
    <row r="59500" spans="2:2" s="221" customFormat="1" ht="12.75" x14ac:dyDescent="0.2">
      <c r="B59500" s="1168"/>
    </row>
    <row r="59501" spans="2:2" s="221" customFormat="1" ht="12.75" x14ac:dyDescent="0.2">
      <c r="B59501" s="1168"/>
    </row>
    <row r="59502" spans="2:2" s="221" customFormat="1" ht="12.75" x14ac:dyDescent="0.2">
      <c r="B59502" s="1168"/>
    </row>
    <row r="59503" spans="2:2" s="221" customFormat="1" ht="12.75" x14ac:dyDescent="0.2">
      <c r="B59503" s="1168"/>
    </row>
    <row r="59504" spans="2:2" s="221" customFormat="1" ht="12.75" x14ac:dyDescent="0.2">
      <c r="B59504" s="1168"/>
    </row>
    <row r="59505" spans="2:2" s="221" customFormat="1" ht="12.75" x14ac:dyDescent="0.2">
      <c r="B59505" s="1168"/>
    </row>
    <row r="59506" spans="2:2" s="221" customFormat="1" ht="12.75" x14ac:dyDescent="0.2">
      <c r="B59506" s="1168"/>
    </row>
    <row r="59507" spans="2:2" s="221" customFormat="1" ht="12.75" x14ac:dyDescent="0.2">
      <c r="B59507" s="1168"/>
    </row>
    <row r="59508" spans="2:2" s="221" customFormat="1" ht="12.75" x14ac:dyDescent="0.2">
      <c r="B59508" s="1168"/>
    </row>
    <row r="59509" spans="2:2" s="221" customFormat="1" ht="12.75" x14ac:dyDescent="0.2">
      <c r="B59509" s="1168"/>
    </row>
    <row r="59510" spans="2:2" s="221" customFormat="1" ht="12.75" x14ac:dyDescent="0.2">
      <c r="B59510" s="1168"/>
    </row>
    <row r="59511" spans="2:2" s="221" customFormat="1" ht="12.75" x14ac:dyDescent="0.2">
      <c r="B59511" s="1168"/>
    </row>
    <row r="59512" spans="2:2" s="221" customFormat="1" ht="12.75" x14ac:dyDescent="0.2">
      <c r="B59512" s="1168"/>
    </row>
    <row r="59513" spans="2:2" s="221" customFormat="1" ht="12.75" x14ac:dyDescent="0.2">
      <c r="B59513" s="1168"/>
    </row>
    <row r="59514" spans="2:2" s="221" customFormat="1" ht="12.75" x14ac:dyDescent="0.2">
      <c r="B59514" s="1168"/>
    </row>
    <row r="59515" spans="2:2" s="221" customFormat="1" ht="12.75" x14ac:dyDescent="0.2">
      <c r="B59515" s="1168"/>
    </row>
    <row r="59516" spans="2:2" s="221" customFormat="1" ht="12.75" x14ac:dyDescent="0.2">
      <c r="B59516" s="1168"/>
    </row>
    <row r="59517" spans="2:2" s="221" customFormat="1" ht="12.75" x14ac:dyDescent="0.2">
      <c r="B59517" s="1168"/>
    </row>
    <row r="59518" spans="2:2" s="221" customFormat="1" ht="12.75" x14ac:dyDescent="0.2">
      <c r="B59518" s="1168"/>
    </row>
    <row r="59519" spans="2:2" s="221" customFormat="1" ht="12.75" x14ac:dyDescent="0.2">
      <c r="B59519" s="1168"/>
    </row>
    <row r="59520" spans="2:2" s="221" customFormat="1" ht="12.75" x14ac:dyDescent="0.2">
      <c r="B59520" s="1168"/>
    </row>
    <row r="59521" spans="2:2" s="221" customFormat="1" ht="12.75" x14ac:dyDescent="0.2">
      <c r="B59521" s="1168"/>
    </row>
    <row r="59522" spans="2:2" s="221" customFormat="1" ht="12.75" x14ac:dyDescent="0.2">
      <c r="B59522" s="1168"/>
    </row>
    <row r="59523" spans="2:2" s="221" customFormat="1" ht="12.75" x14ac:dyDescent="0.2">
      <c r="B59523" s="1168"/>
    </row>
    <row r="59524" spans="2:2" s="221" customFormat="1" ht="12.75" x14ac:dyDescent="0.2">
      <c r="B59524" s="1168"/>
    </row>
    <row r="59525" spans="2:2" s="221" customFormat="1" ht="12.75" x14ac:dyDescent="0.2">
      <c r="B59525" s="1168"/>
    </row>
    <row r="59526" spans="2:2" s="221" customFormat="1" ht="12.75" x14ac:dyDescent="0.2">
      <c r="B59526" s="1168"/>
    </row>
    <row r="59527" spans="2:2" s="221" customFormat="1" ht="12.75" x14ac:dyDescent="0.2">
      <c r="B59527" s="1168"/>
    </row>
    <row r="59528" spans="2:2" s="221" customFormat="1" ht="12.75" x14ac:dyDescent="0.2">
      <c r="B59528" s="1168"/>
    </row>
    <row r="59529" spans="2:2" s="221" customFormat="1" ht="12.75" x14ac:dyDescent="0.2">
      <c r="B59529" s="1168"/>
    </row>
    <row r="59530" spans="2:2" s="221" customFormat="1" ht="12.75" x14ac:dyDescent="0.2">
      <c r="B59530" s="1168"/>
    </row>
    <row r="59531" spans="2:2" s="221" customFormat="1" ht="12.75" x14ac:dyDescent="0.2">
      <c r="B59531" s="1168"/>
    </row>
    <row r="59532" spans="2:2" s="221" customFormat="1" ht="12.75" x14ac:dyDescent="0.2">
      <c r="B59532" s="1168"/>
    </row>
    <row r="59533" spans="2:2" s="221" customFormat="1" ht="12.75" x14ac:dyDescent="0.2">
      <c r="B59533" s="1168"/>
    </row>
    <row r="59534" spans="2:2" s="221" customFormat="1" ht="12.75" x14ac:dyDescent="0.2">
      <c r="B59534" s="1168"/>
    </row>
    <row r="59535" spans="2:2" s="221" customFormat="1" ht="12.75" x14ac:dyDescent="0.2">
      <c r="B59535" s="1168"/>
    </row>
    <row r="59536" spans="2:2" s="221" customFormat="1" ht="12.75" x14ac:dyDescent="0.2">
      <c r="B59536" s="1168"/>
    </row>
    <row r="59537" spans="2:2" s="221" customFormat="1" ht="12.75" x14ac:dyDescent="0.2">
      <c r="B59537" s="1168"/>
    </row>
    <row r="59538" spans="2:2" s="221" customFormat="1" ht="12.75" x14ac:dyDescent="0.2">
      <c r="B59538" s="1168"/>
    </row>
    <row r="59539" spans="2:2" s="221" customFormat="1" ht="12.75" x14ac:dyDescent="0.2">
      <c r="B59539" s="1168"/>
    </row>
    <row r="59540" spans="2:2" s="221" customFormat="1" ht="12.75" x14ac:dyDescent="0.2">
      <c r="B59540" s="1168"/>
    </row>
    <row r="59541" spans="2:2" s="221" customFormat="1" ht="12.75" x14ac:dyDescent="0.2">
      <c r="B59541" s="1168"/>
    </row>
    <row r="59542" spans="2:2" s="221" customFormat="1" ht="12.75" x14ac:dyDescent="0.2">
      <c r="B59542" s="1168"/>
    </row>
    <row r="59543" spans="2:2" s="221" customFormat="1" ht="12.75" x14ac:dyDescent="0.2">
      <c r="B59543" s="1168"/>
    </row>
    <row r="59544" spans="2:2" s="221" customFormat="1" ht="12.75" x14ac:dyDescent="0.2">
      <c r="B59544" s="1168"/>
    </row>
    <row r="59545" spans="2:2" s="221" customFormat="1" ht="12.75" x14ac:dyDescent="0.2">
      <c r="B59545" s="1168"/>
    </row>
    <row r="59546" spans="2:2" s="221" customFormat="1" ht="12.75" x14ac:dyDescent="0.2">
      <c r="B59546" s="1168"/>
    </row>
    <row r="59547" spans="2:2" s="221" customFormat="1" ht="12.75" x14ac:dyDescent="0.2">
      <c r="B59547" s="1168"/>
    </row>
    <row r="59548" spans="2:2" s="221" customFormat="1" ht="12.75" x14ac:dyDescent="0.2">
      <c r="B59548" s="1168"/>
    </row>
    <row r="59549" spans="2:2" s="221" customFormat="1" ht="12.75" x14ac:dyDescent="0.2">
      <c r="B59549" s="1168"/>
    </row>
    <row r="59550" spans="2:2" s="221" customFormat="1" ht="12.75" x14ac:dyDescent="0.2">
      <c r="B59550" s="1168"/>
    </row>
    <row r="59551" spans="2:2" s="221" customFormat="1" ht="12.75" x14ac:dyDescent="0.2">
      <c r="B59551" s="1168"/>
    </row>
    <row r="59552" spans="2:2" s="221" customFormat="1" ht="12.75" x14ac:dyDescent="0.2">
      <c r="B59552" s="1168"/>
    </row>
    <row r="59553" spans="2:2" s="221" customFormat="1" ht="12.75" x14ac:dyDescent="0.2">
      <c r="B59553" s="1168"/>
    </row>
    <row r="59554" spans="2:2" s="221" customFormat="1" ht="12.75" x14ac:dyDescent="0.2">
      <c r="B59554" s="1168"/>
    </row>
    <row r="59555" spans="2:2" s="221" customFormat="1" ht="12.75" x14ac:dyDescent="0.2">
      <c r="B59555" s="1168"/>
    </row>
    <row r="59556" spans="2:2" s="221" customFormat="1" ht="12.75" x14ac:dyDescent="0.2">
      <c r="B59556" s="1168"/>
    </row>
    <row r="59557" spans="2:2" s="221" customFormat="1" ht="12.75" x14ac:dyDescent="0.2">
      <c r="B59557" s="1168"/>
    </row>
    <row r="59558" spans="2:2" s="221" customFormat="1" ht="12.75" x14ac:dyDescent="0.2">
      <c r="B59558" s="1168"/>
    </row>
    <row r="59559" spans="2:2" s="221" customFormat="1" ht="12.75" x14ac:dyDescent="0.2">
      <c r="B59559" s="1168"/>
    </row>
    <row r="59560" spans="2:2" s="221" customFormat="1" ht="12.75" x14ac:dyDescent="0.2">
      <c r="B59560" s="1168"/>
    </row>
    <row r="59561" spans="2:2" s="221" customFormat="1" ht="12.75" x14ac:dyDescent="0.2">
      <c r="B59561" s="1168"/>
    </row>
    <row r="59562" spans="2:2" s="221" customFormat="1" ht="12.75" x14ac:dyDescent="0.2">
      <c r="B59562" s="1168"/>
    </row>
    <row r="59563" spans="2:2" s="221" customFormat="1" ht="12.75" x14ac:dyDescent="0.2">
      <c r="B59563" s="1168"/>
    </row>
    <row r="59564" spans="2:2" s="221" customFormat="1" ht="12.75" x14ac:dyDescent="0.2">
      <c r="B59564" s="1168"/>
    </row>
    <row r="59565" spans="2:2" s="221" customFormat="1" ht="12.75" x14ac:dyDescent="0.2">
      <c r="B59565" s="1168"/>
    </row>
    <row r="59566" spans="2:2" s="221" customFormat="1" ht="12.75" x14ac:dyDescent="0.2">
      <c r="B59566" s="1168"/>
    </row>
    <row r="59567" spans="2:2" s="221" customFormat="1" ht="12.75" x14ac:dyDescent="0.2">
      <c r="B59567" s="1168"/>
    </row>
    <row r="59568" spans="2:2" s="221" customFormat="1" ht="12.75" x14ac:dyDescent="0.2">
      <c r="B59568" s="1168"/>
    </row>
    <row r="59569" spans="2:2" s="221" customFormat="1" ht="12.75" x14ac:dyDescent="0.2">
      <c r="B59569" s="1168"/>
    </row>
    <row r="59570" spans="2:2" s="221" customFormat="1" ht="12.75" x14ac:dyDescent="0.2">
      <c r="B59570" s="1168"/>
    </row>
    <row r="59571" spans="2:2" s="221" customFormat="1" ht="12.75" x14ac:dyDescent="0.2">
      <c r="B59571" s="1168"/>
    </row>
    <row r="59572" spans="2:2" s="221" customFormat="1" ht="12.75" x14ac:dyDescent="0.2">
      <c r="B59572" s="1168"/>
    </row>
    <row r="59573" spans="2:2" s="221" customFormat="1" ht="12.75" x14ac:dyDescent="0.2">
      <c r="B59573" s="1168"/>
    </row>
    <row r="59574" spans="2:2" s="221" customFormat="1" ht="12.75" x14ac:dyDescent="0.2">
      <c r="B59574" s="1168"/>
    </row>
    <row r="59575" spans="2:2" s="221" customFormat="1" ht="12.75" x14ac:dyDescent="0.2">
      <c r="B59575" s="1168"/>
    </row>
    <row r="59576" spans="2:2" s="221" customFormat="1" ht="12.75" x14ac:dyDescent="0.2">
      <c r="B59576" s="1168"/>
    </row>
    <row r="59577" spans="2:2" s="221" customFormat="1" ht="12.75" x14ac:dyDescent="0.2">
      <c r="B59577" s="1168"/>
    </row>
    <row r="59578" spans="2:2" s="221" customFormat="1" ht="12.75" x14ac:dyDescent="0.2">
      <c r="B59578" s="1168"/>
    </row>
    <row r="59579" spans="2:2" s="221" customFormat="1" ht="12.75" x14ac:dyDescent="0.2">
      <c r="B59579" s="1168"/>
    </row>
    <row r="59580" spans="2:2" s="221" customFormat="1" ht="12.75" x14ac:dyDescent="0.2">
      <c r="B59580" s="1168"/>
    </row>
    <row r="59581" spans="2:2" s="221" customFormat="1" ht="12.75" x14ac:dyDescent="0.2">
      <c r="B59581" s="1168"/>
    </row>
    <row r="59582" spans="2:2" s="221" customFormat="1" ht="12.75" x14ac:dyDescent="0.2">
      <c r="B59582" s="1168"/>
    </row>
    <row r="59583" spans="2:2" s="221" customFormat="1" ht="12.75" x14ac:dyDescent="0.2">
      <c r="B59583" s="1168"/>
    </row>
    <row r="59584" spans="2:2" s="221" customFormat="1" ht="12.75" x14ac:dyDescent="0.2">
      <c r="B59584" s="1168"/>
    </row>
    <row r="59585" spans="2:2" s="221" customFormat="1" ht="12.75" x14ac:dyDescent="0.2">
      <c r="B59585" s="1168"/>
    </row>
    <row r="59586" spans="2:2" s="221" customFormat="1" ht="12.75" x14ac:dyDescent="0.2">
      <c r="B59586" s="1168"/>
    </row>
    <row r="59587" spans="2:2" s="221" customFormat="1" ht="12.75" x14ac:dyDescent="0.2">
      <c r="B59587" s="1168"/>
    </row>
    <row r="59588" spans="2:2" s="221" customFormat="1" ht="12.75" x14ac:dyDescent="0.2">
      <c r="B59588" s="1168"/>
    </row>
    <row r="59589" spans="2:2" s="221" customFormat="1" ht="12.75" x14ac:dyDescent="0.2">
      <c r="B59589" s="1168"/>
    </row>
    <row r="59590" spans="2:2" s="221" customFormat="1" ht="12.75" x14ac:dyDescent="0.2">
      <c r="B59590" s="1168"/>
    </row>
    <row r="59591" spans="2:2" s="221" customFormat="1" ht="12.75" x14ac:dyDescent="0.2">
      <c r="B59591" s="1168"/>
    </row>
    <row r="59592" spans="2:2" s="221" customFormat="1" ht="12.75" x14ac:dyDescent="0.2">
      <c r="B59592" s="1168"/>
    </row>
    <row r="59593" spans="2:2" s="221" customFormat="1" ht="12.75" x14ac:dyDescent="0.2">
      <c r="B59593" s="1168"/>
    </row>
    <row r="59594" spans="2:2" s="221" customFormat="1" ht="12.75" x14ac:dyDescent="0.2">
      <c r="B59594" s="1168"/>
    </row>
    <row r="59595" spans="2:2" s="221" customFormat="1" ht="12.75" x14ac:dyDescent="0.2">
      <c r="B59595" s="1168"/>
    </row>
    <row r="59596" spans="2:2" s="221" customFormat="1" ht="12.75" x14ac:dyDescent="0.2">
      <c r="B59596" s="1168"/>
    </row>
    <row r="59597" spans="2:2" s="221" customFormat="1" ht="12.75" x14ac:dyDescent="0.2">
      <c r="B59597" s="1168"/>
    </row>
    <row r="59598" spans="2:2" s="221" customFormat="1" ht="12.75" x14ac:dyDescent="0.2">
      <c r="B59598" s="1168"/>
    </row>
    <row r="59599" spans="2:2" s="221" customFormat="1" ht="12.75" x14ac:dyDescent="0.2">
      <c r="B59599" s="1168"/>
    </row>
    <row r="59600" spans="2:2" s="221" customFormat="1" ht="12.75" x14ac:dyDescent="0.2">
      <c r="B59600" s="1168"/>
    </row>
    <row r="59601" spans="2:2" s="221" customFormat="1" ht="12.75" x14ac:dyDescent="0.2">
      <c r="B59601" s="1168"/>
    </row>
    <row r="59602" spans="2:2" s="221" customFormat="1" ht="12.75" x14ac:dyDescent="0.2">
      <c r="B59602" s="1168"/>
    </row>
    <row r="59603" spans="2:2" s="221" customFormat="1" ht="12.75" x14ac:dyDescent="0.2">
      <c r="B59603" s="1168"/>
    </row>
    <row r="59604" spans="2:2" s="221" customFormat="1" ht="12.75" x14ac:dyDescent="0.2">
      <c r="B59604" s="1168"/>
    </row>
    <row r="59605" spans="2:2" s="221" customFormat="1" ht="12.75" x14ac:dyDescent="0.2">
      <c r="B59605" s="1168"/>
    </row>
    <row r="59606" spans="2:2" s="221" customFormat="1" ht="12.75" x14ac:dyDescent="0.2">
      <c r="B59606" s="1168"/>
    </row>
    <row r="59607" spans="2:2" s="221" customFormat="1" ht="12.75" x14ac:dyDescent="0.2">
      <c r="B59607" s="1168"/>
    </row>
    <row r="59608" spans="2:2" s="221" customFormat="1" ht="12.75" x14ac:dyDescent="0.2">
      <c r="B59608" s="1168"/>
    </row>
    <row r="59609" spans="2:2" s="221" customFormat="1" ht="12.75" x14ac:dyDescent="0.2">
      <c r="B59609" s="1168"/>
    </row>
    <row r="59610" spans="2:2" s="221" customFormat="1" ht="12.75" x14ac:dyDescent="0.2">
      <c r="B59610" s="1168"/>
    </row>
    <row r="59611" spans="2:2" s="221" customFormat="1" ht="12.75" x14ac:dyDescent="0.2">
      <c r="B59611" s="1168"/>
    </row>
    <row r="59612" spans="2:2" s="221" customFormat="1" ht="12.75" x14ac:dyDescent="0.2">
      <c r="B59612" s="1168"/>
    </row>
    <row r="59613" spans="2:2" s="221" customFormat="1" ht="12.75" x14ac:dyDescent="0.2">
      <c r="B59613" s="1168"/>
    </row>
    <row r="59614" spans="2:2" s="221" customFormat="1" ht="12.75" x14ac:dyDescent="0.2">
      <c r="B59614" s="1168"/>
    </row>
    <row r="59615" spans="2:2" s="221" customFormat="1" ht="12.75" x14ac:dyDescent="0.2">
      <c r="B59615" s="1168"/>
    </row>
    <row r="59616" spans="2:2" s="221" customFormat="1" ht="12.75" x14ac:dyDescent="0.2">
      <c r="B59616" s="1168"/>
    </row>
    <row r="59617" spans="2:2" s="221" customFormat="1" ht="12.75" x14ac:dyDescent="0.2">
      <c r="B59617" s="1168"/>
    </row>
    <row r="59618" spans="2:2" s="221" customFormat="1" ht="12.75" x14ac:dyDescent="0.2">
      <c r="B59618" s="1168"/>
    </row>
    <row r="59619" spans="2:2" s="221" customFormat="1" ht="12.75" x14ac:dyDescent="0.2">
      <c r="B59619" s="1168"/>
    </row>
    <row r="59620" spans="2:2" s="221" customFormat="1" ht="12.75" x14ac:dyDescent="0.2">
      <c r="B59620" s="1168"/>
    </row>
    <row r="59621" spans="2:2" s="221" customFormat="1" ht="12.75" x14ac:dyDescent="0.2">
      <c r="B59621" s="1168"/>
    </row>
    <row r="59622" spans="2:2" s="221" customFormat="1" ht="12.75" x14ac:dyDescent="0.2">
      <c r="B59622" s="1168"/>
    </row>
    <row r="59623" spans="2:2" s="221" customFormat="1" ht="12.75" x14ac:dyDescent="0.2">
      <c r="B59623" s="1168"/>
    </row>
    <row r="59624" spans="2:2" s="221" customFormat="1" ht="12.75" x14ac:dyDescent="0.2">
      <c r="B59624" s="1168"/>
    </row>
    <row r="59625" spans="2:2" s="221" customFormat="1" ht="12.75" x14ac:dyDescent="0.2">
      <c r="B59625" s="1168"/>
    </row>
    <row r="59626" spans="2:2" s="221" customFormat="1" ht="12.75" x14ac:dyDescent="0.2">
      <c r="B59626" s="1168"/>
    </row>
    <row r="59627" spans="2:2" s="221" customFormat="1" ht="12.75" x14ac:dyDescent="0.2">
      <c r="B59627" s="1168"/>
    </row>
    <row r="59628" spans="2:2" s="221" customFormat="1" ht="12.75" x14ac:dyDescent="0.2">
      <c r="B59628" s="1168"/>
    </row>
    <row r="59629" spans="2:2" s="221" customFormat="1" ht="12.75" x14ac:dyDescent="0.2">
      <c r="B59629" s="1168"/>
    </row>
    <row r="59630" spans="2:2" s="221" customFormat="1" ht="12.75" x14ac:dyDescent="0.2">
      <c r="B59630" s="1168"/>
    </row>
    <row r="59631" spans="2:2" s="221" customFormat="1" ht="12.75" x14ac:dyDescent="0.2">
      <c r="B59631" s="1168"/>
    </row>
    <row r="59632" spans="2:2" s="221" customFormat="1" ht="12.75" x14ac:dyDescent="0.2">
      <c r="B59632" s="1168"/>
    </row>
    <row r="59633" spans="2:2" s="221" customFormat="1" ht="12.75" x14ac:dyDescent="0.2">
      <c r="B59633" s="1168"/>
    </row>
    <row r="59634" spans="2:2" s="221" customFormat="1" ht="12.75" x14ac:dyDescent="0.2">
      <c r="B59634" s="1168"/>
    </row>
    <row r="59635" spans="2:2" s="221" customFormat="1" ht="12.75" x14ac:dyDescent="0.2">
      <c r="B59635" s="1168"/>
    </row>
    <row r="59636" spans="2:2" s="221" customFormat="1" ht="12.75" x14ac:dyDescent="0.2">
      <c r="B59636" s="1168"/>
    </row>
    <row r="59637" spans="2:2" s="221" customFormat="1" ht="12.75" x14ac:dyDescent="0.2">
      <c r="B59637" s="1168"/>
    </row>
    <row r="59638" spans="2:2" s="221" customFormat="1" ht="12.75" x14ac:dyDescent="0.2">
      <c r="B59638" s="1168"/>
    </row>
    <row r="59639" spans="2:2" s="221" customFormat="1" ht="12.75" x14ac:dyDescent="0.2">
      <c r="B59639" s="1168"/>
    </row>
    <row r="59640" spans="2:2" s="221" customFormat="1" ht="12.75" x14ac:dyDescent="0.2">
      <c r="B59640" s="1168"/>
    </row>
    <row r="59641" spans="2:2" s="221" customFormat="1" ht="12.75" x14ac:dyDescent="0.2">
      <c r="B59641" s="1168"/>
    </row>
    <row r="59642" spans="2:2" s="221" customFormat="1" ht="12.75" x14ac:dyDescent="0.2">
      <c r="B59642" s="1168"/>
    </row>
    <row r="59643" spans="2:2" s="221" customFormat="1" ht="12.75" x14ac:dyDescent="0.2">
      <c r="B59643" s="1168"/>
    </row>
    <row r="59644" spans="2:2" s="221" customFormat="1" ht="12.75" x14ac:dyDescent="0.2">
      <c r="B59644" s="1168"/>
    </row>
    <row r="59645" spans="2:2" s="221" customFormat="1" ht="12.75" x14ac:dyDescent="0.2">
      <c r="B59645" s="1168"/>
    </row>
    <row r="59646" spans="2:2" s="221" customFormat="1" ht="12.75" x14ac:dyDescent="0.2">
      <c r="B59646" s="1168"/>
    </row>
    <row r="59647" spans="2:2" s="221" customFormat="1" ht="12.75" x14ac:dyDescent="0.2">
      <c r="B59647" s="1168"/>
    </row>
    <row r="59648" spans="2:2" s="221" customFormat="1" ht="12.75" x14ac:dyDescent="0.2">
      <c r="B59648" s="1168"/>
    </row>
    <row r="59649" spans="2:2" s="221" customFormat="1" ht="12.75" x14ac:dyDescent="0.2">
      <c r="B59649" s="1168"/>
    </row>
    <row r="59650" spans="2:2" s="221" customFormat="1" ht="12.75" x14ac:dyDescent="0.2">
      <c r="B59650" s="1168"/>
    </row>
    <row r="59651" spans="2:2" s="221" customFormat="1" ht="12.75" x14ac:dyDescent="0.2">
      <c r="B59651" s="1168"/>
    </row>
    <row r="59652" spans="2:2" s="221" customFormat="1" ht="12.75" x14ac:dyDescent="0.2">
      <c r="B59652" s="1168"/>
    </row>
    <row r="59653" spans="2:2" s="221" customFormat="1" ht="12.75" x14ac:dyDescent="0.2">
      <c r="B59653" s="1168"/>
    </row>
    <row r="59654" spans="2:2" s="221" customFormat="1" ht="12.75" x14ac:dyDescent="0.2">
      <c r="B59654" s="1168"/>
    </row>
    <row r="59655" spans="2:2" s="221" customFormat="1" ht="12.75" x14ac:dyDescent="0.2">
      <c r="B59655" s="1168"/>
    </row>
    <row r="59656" spans="2:2" s="221" customFormat="1" ht="12.75" x14ac:dyDescent="0.2">
      <c r="B59656" s="1168"/>
    </row>
    <row r="59657" spans="2:2" s="221" customFormat="1" ht="12.75" x14ac:dyDescent="0.2">
      <c r="B59657" s="1168"/>
    </row>
    <row r="59658" spans="2:2" s="221" customFormat="1" ht="12.75" x14ac:dyDescent="0.2">
      <c r="B59658" s="1168"/>
    </row>
    <row r="59659" spans="2:2" s="221" customFormat="1" ht="12.75" x14ac:dyDescent="0.2">
      <c r="B59659" s="1168"/>
    </row>
    <row r="59660" spans="2:2" s="221" customFormat="1" ht="12.75" x14ac:dyDescent="0.2">
      <c r="B59660" s="1168"/>
    </row>
    <row r="59661" spans="2:2" s="221" customFormat="1" ht="12.75" x14ac:dyDescent="0.2">
      <c r="B59661" s="1168"/>
    </row>
    <row r="59662" spans="2:2" s="221" customFormat="1" ht="12.75" x14ac:dyDescent="0.2">
      <c r="B59662" s="1168"/>
    </row>
    <row r="59663" spans="2:2" s="221" customFormat="1" ht="12.75" x14ac:dyDescent="0.2">
      <c r="B59663" s="1168"/>
    </row>
    <row r="59664" spans="2:2" s="221" customFormat="1" ht="12.75" x14ac:dyDescent="0.2">
      <c r="B59664" s="1168"/>
    </row>
    <row r="59665" spans="2:2" s="221" customFormat="1" ht="12.75" x14ac:dyDescent="0.2">
      <c r="B59665" s="1168"/>
    </row>
    <row r="59666" spans="2:2" s="221" customFormat="1" ht="12.75" x14ac:dyDescent="0.2">
      <c r="B59666" s="1168"/>
    </row>
    <row r="59667" spans="2:2" s="221" customFormat="1" ht="12.75" x14ac:dyDescent="0.2">
      <c r="B59667" s="1168"/>
    </row>
    <row r="59668" spans="2:2" s="221" customFormat="1" ht="12.75" x14ac:dyDescent="0.2">
      <c r="B59668" s="1168"/>
    </row>
    <row r="59669" spans="2:2" s="221" customFormat="1" ht="12.75" x14ac:dyDescent="0.2">
      <c r="B59669" s="1168"/>
    </row>
    <row r="59670" spans="2:2" s="221" customFormat="1" ht="12.75" x14ac:dyDescent="0.2">
      <c r="B59670" s="1168"/>
    </row>
    <row r="59671" spans="2:2" s="221" customFormat="1" ht="12.75" x14ac:dyDescent="0.2">
      <c r="B59671" s="1168"/>
    </row>
    <row r="59672" spans="2:2" s="221" customFormat="1" ht="12.75" x14ac:dyDescent="0.2">
      <c r="B59672" s="1168"/>
    </row>
    <row r="59673" spans="2:2" s="221" customFormat="1" ht="12.75" x14ac:dyDescent="0.2">
      <c r="B59673" s="1168"/>
    </row>
    <row r="59674" spans="2:2" s="221" customFormat="1" ht="12.75" x14ac:dyDescent="0.2">
      <c r="B59674" s="1168"/>
    </row>
    <row r="59675" spans="2:2" s="221" customFormat="1" ht="12.75" x14ac:dyDescent="0.2">
      <c r="B59675" s="1168"/>
    </row>
    <row r="59676" spans="2:2" s="221" customFormat="1" ht="12.75" x14ac:dyDescent="0.2">
      <c r="B59676" s="1168"/>
    </row>
    <row r="59677" spans="2:2" s="221" customFormat="1" ht="12.75" x14ac:dyDescent="0.2">
      <c r="B59677" s="1168"/>
    </row>
    <row r="59678" spans="2:2" s="221" customFormat="1" ht="12.75" x14ac:dyDescent="0.2">
      <c r="B59678" s="1168"/>
    </row>
    <row r="59679" spans="2:2" s="221" customFormat="1" ht="12.75" x14ac:dyDescent="0.2">
      <c r="B59679" s="1168"/>
    </row>
    <row r="59680" spans="2:2" s="221" customFormat="1" ht="12.75" x14ac:dyDescent="0.2">
      <c r="B59680" s="1168"/>
    </row>
    <row r="59681" spans="2:2" s="221" customFormat="1" ht="12.75" x14ac:dyDescent="0.2">
      <c r="B59681" s="1168"/>
    </row>
    <row r="59682" spans="2:2" s="221" customFormat="1" ht="12.75" x14ac:dyDescent="0.2">
      <c r="B59682" s="1168"/>
    </row>
    <row r="59683" spans="2:2" s="221" customFormat="1" ht="12.75" x14ac:dyDescent="0.2">
      <c r="B59683" s="1168"/>
    </row>
    <row r="59684" spans="2:2" s="221" customFormat="1" ht="12.75" x14ac:dyDescent="0.2">
      <c r="B59684" s="1168"/>
    </row>
    <row r="59685" spans="2:2" s="221" customFormat="1" ht="12.75" x14ac:dyDescent="0.2">
      <c r="B59685" s="1168"/>
    </row>
    <row r="59686" spans="2:2" s="221" customFormat="1" ht="12.75" x14ac:dyDescent="0.2">
      <c r="B59686" s="1168"/>
    </row>
    <row r="59687" spans="2:2" s="221" customFormat="1" ht="12.75" x14ac:dyDescent="0.2">
      <c r="B59687" s="1168"/>
    </row>
    <row r="59688" spans="2:2" s="221" customFormat="1" ht="12.75" x14ac:dyDescent="0.2">
      <c r="B59688" s="1168"/>
    </row>
    <row r="59689" spans="2:2" s="221" customFormat="1" ht="12.75" x14ac:dyDescent="0.2">
      <c r="B59689" s="1168"/>
    </row>
    <row r="59690" spans="2:2" s="221" customFormat="1" ht="12.75" x14ac:dyDescent="0.2">
      <c r="B59690" s="1168"/>
    </row>
    <row r="59691" spans="2:2" s="221" customFormat="1" ht="12.75" x14ac:dyDescent="0.2">
      <c r="B59691" s="1168"/>
    </row>
    <row r="59692" spans="2:2" s="221" customFormat="1" ht="12.75" x14ac:dyDescent="0.2">
      <c r="B59692" s="1168"/>
    </row>
    <row r="59693" spans="2:2" s="221" customFormat="1" ht="12.75" x14ac:dyDescent="0.2">
      <c r="B59693" s="1168"/>
    </row>
    <row r="59694" spans="2:2" s="221" customFormat="1" ht="12.75" x14ac:dyDescent="0.2">
      <c r="B59694" s="1168"/>
    </row>
    <row r="59695" spans="2:2" s="221" customFormat="1" ht="12.75" x14ac:dyDescent="0.2">
      <c r="B59695" s="1168"/>
    </row>
    <row r="59696" spans="2:2" s="221" customFormat="1" ht="12.75" x14ac:dyDescent="0.2">
      <c r="B59696" s="1168"/>
    </row>
    <row r="59697" spans="2:2" s="221" customFormat="1" ht="12.75" x14ac:dyDescent="0.2">
      <c r="B59697" s="1168"/>
    </row>
    <row r="59698" spans="2:2" s="221" customFormat="1" ht="12.75" x14ac:dyDescent="0.2">
      <c r="B59698" s="1168"/>
    </row>
    <row r="59699" spans="2:2" s="221" customFormat="1" ht="12.75" x14ac:dyDescent="0.2">
      <c r="B59699" s="1168"/>
    </row>
    <row r="59700" spans="2:2" s="221" customFormat="1" ht="12.75" x14ac:dyDescent="0.2">
      <c r="B59700" s="1168"/>
    </row>
    <row r="59701" spans="2:2" s="221" customFormat="1" ht="12.75" x14ac:dyDescent="0.2">
      <c r="B59701" s="1168"/>
    </row>
    <row r="59702" spans="2:2" s="221" customFormat="1" ht="12.75" x14ac:dyDescent="0.2">
      <c r="B59702" s="1168"/>
    </row>
    <row r="59703" spans="2:2" s="221" customFormat="1" ht="12.75" x14ac:dyDescent="0.2">
      <c r="B59703" s="1168"/>
    </row>
    <row r="59704" spans="2:2" s="221" customFormat="1" ht="12.75" x14ac:dyDescent="0.2">
      <c r="B59704" s="1168"/>
    </row>
    <row r="59705" spans="2:2" s="221" customFormat="1" ht="12.75" x14ac:dyDescent="0.2">
      <c r="B59705" s="1168"/>
    </row>
    <row r="59706" spans="2:2" s="221" customFormat="1" ht="12.75" x14ac:dyDescent="0.2">
      <c r="B59706" s="1168"/>
    </row>
    <row r="59707" spans="2:2" s="221" customFormat="1" ht="12.75" x14ac:dyDescent="0.2">
      <c r="B59707" s="1168"/>
    </row>
    <row r="59708" spans="2:2" s="221" customFormat="1" ht="12.75" x14ac:dyDescent="0.2">
      <c r="B59708" s="1168"/>
    </row>
    <row r="59709" spans="2:2" s="221" customFormat="1" ht="12.75" x14ac:dyDescent="0.2">
      <c r="B59709" s="1168"/>
    </row>
    <row r="59710" spans="2:2" s="221" customFormat="1" ht="12.75" x14ac:dyDescent="0.2">
      <c r="B59710" s="1168"/>
    </row>
    <row r="59711" spans="2:2" s="221" customFormat="1" ht="12.75" x14ac:dyDescent="0.2">
      <c r="B59711" s="1168"/>
    </row>
    <row r="59712" spans="2:2" s="221" customFormat="1" ht="12.75" x14ac:dyDescent="0.2">
      <c r="B59712" s="1168"/>
    </row>
    <row r="59713" spans="2:2" s="221" customFormat="1" ht="12.75" x14ac:dyDescent="0.2">
      <c r="B59713" s="1168"/>
    </row>
    <row r="59714" spans="2:2" s="221" customFormat="1" ht="12.75" x14ac:dyDescent="0.2">
      <c r="B59714" s="1168"/>
    </row>
    <row r="59715" spans="2:2" s="221" customFormat="1" ht="12.75" x14ac:dyDescent="0.2">
      <c r="B59715" s="1168"/>
    </row>
    <row r="59716" spans="2:2" s="221" customFormat="1" ht="12.75" x14ac:dyDescent="0.2">
      <c r="B59716" s="1168"/>
    </row>
    <row r="59717" spans="2:2" s="221" customFormat="1" ht="12.75" x14ac:dyDescent="0.2">
      <c r="B59717" s="1168"/>
    </row>
    <row r="59718" spans="2:2" s="221" customFormat="1" ht="12.75" x14ac:dyDescent="0.2">
      <c r="B59718" s="1168"/>
    </row>
    <row r="59719" spans="2:2" s="221" customFormat="1" ht="12.75" x14ac:dyDescent="0.2">
      <c r="B59719" s="1168"/>
    </row>
    <row r="59720" spans="2:2" s="221" customFormat="1" ht="12.75" x14ac:dyDescent="0.2">
      <c r="B59720" s="1168"/>
    </row>
    <row r="59721" spans="2:2" s="221" customFormat="1" ht="12.75" x14ac:dyDescent="0.2">
      <c r="B59721" s="1168"/>
    </row>
    <row r="59722" spans="2:2" s="221" customFormat="1" ht="12.75" x14ac:dyDescent="0.2">
      <c r="B59722" s="1168"/>
    </row>
    <row r="59723" spans="2:2" s="221" customFormat="1" ht="12.75" x14ac:dyDescent="0.2">
      <c r="B59723" s="1168"/>
    </row>
    <row r="59724" spans="2:2" s="221" customFormat="1" ht="12.75" x14ac:dyDescent="0.2">
      <c r="B59724" s="1168"/>
    </row>
    <row r="59725" spans="2:2" s="221" customFormat="1" ht="12.75" x14ac:dyDescent="0.2">
      <c r="B59725" s="1168"/>
    </row>
    <row r="59726" spans="2:2" s="221" customFormat="1" ht="12.75" x14ac:dyDescent="0.2">
      <c r="B59726" s="1168"/>
    </row>
    <row r="59727" spans="2:2" s="221" customFormat="1" ht="12.75" x14ac:dyDescent="0.2">
      <c r="B59727" s="1168"/>
    </row>
    <row r="59728" spans="2:2" s="221" customFormat="1" ht="12.75" x14ac:dyDescent="0.2">
      <c r="B59728" s="1168"/>
    </row>
    <row r="59729" spans="2:2" s="221" customFormat="1" ht="12.75" x14ac:dyDescent="0.2">
      <c r="B59729" s="1168"/>
    </row>
    <row r="59730" spans="2:2" s="221" customFormat="1" ht="12.75" x14ac:dyDescent="0.2">
      <c r="B59730" s="1168"/>
    </row>
    <row r="59731" spans="2:2" s="221" customFormat="1" ht="12.75" x14ac:dyDescent="0.2">
      <c r="B59731" s="1168"/>
    </row>
    <row r="59732" spans="2:2" s="221" customFormat="1" ht="12.75" x14ac:dyDescent="0.2">
      <c r="B59732" s="1168"/>
    </row>
    <row r="59733" spans="2:2" s="221" customFormat="1" ht="12.75" x14ac:dyDescent="0.2">
      <c r="B59733" s="1168"/>
    </row>
    <row r="59734" spans="2:2" s="221" customFormat="1" ht="12.75" x14ac:dyDescent="0.2">
      <c r="B59734" s="1168"/>
    </row>
    <row r="59735" spans="2:2" s="221" customFormat="1" ht="12.75" x14ac:dyDescent="0.2">
      <c r="B59735" s="1168"/>
    </row>
    <row r="59736" spans="2:2" s="221" customFormat="1" ht="12.75" x14ac:dyDescent="0.2">
      <c r="B59736" s="1168"/>
    </row>
    <row r="59737" spans="2:2" s="221" customFormat="1" ht="12.75" x14ac:dyDescent="0.2">
      <c r="B59737" s="1168"/>
    </row>
    <row r="59738" spans="2:2" s="221" customFormat="1" ht="12.75" x14ac:dyDescent="0.2">
      <c r="B59738" s="1168"/>
    </row>
    <row r="59739" spans="2:2" s="221" customFormat="1" ht="12.75" x14ac:dyDescent="0.2">
      <c r="B59739" s="1168"/>
    </row>
    <row r="59740" spans="2:2" s="221" customFormat="1" ht="12.75" x14ac:dyDescent="0.2">
      <c r="B59740" s="1168"/>
    </row>
    <row r="59741" spans="2:2" s="221" customFormat="1" ht="12.75" x14ac:dyDescent="0.2">
      <c r="B59741" s="1168"/>
    </row>
    <row r="59742" spans="2:2" s="221" customFormat="1" ht="12.75" x14ac:dyDescent="0.2">
      <c r="B59742" s="1168"/>
    </row>
    <row r="59743" spans="2:2" s="221" customFormat="1" ht="12.75" x14ac:dyDescent="0.2">
      <c r="B59743" s="1168"/>
    </row>
    <row r="59744" spans="2:2" s="221" customFormat="1" ht="12.75" x14ac:dyDescent="0.2">
      <c r="B59744" s="1168"/>
    </row>
    <row r="59745" spans="2:2" s="221" customFormat="1" ht="12.75" x14ac:dyDescent="0.2">
      <c r="B59745" s="1168"/>
    </row>
    <row r="59746" spans="2:2" s="221" customFormat="1" ht="12.75" x14ac:dyDescent="0.2">
      <c r="B59746" s="1168"/>
    </row>
    <row r="59747" spans="2:2" s="221" customFormat="1" ht="12.75" x14ac:dyDescent="0.2">
      <c r="B59747" s="1168"/>
    </row>
    <row r="59748" spans="2:2" s="221" customFormat="1" ht="12.75" x14ac:dyDescent="0.2">
      <c r="B59748" s="1168"/>
    </row>
    <row r="59749" spans="2:2" s="221" customFormat="1" ht="12.75" x14ac:dyDescent="0.2">
      <c r="B59749" s="1168"/>
    </row>
    <row r="59750" spans="2:2" s="221" customFormat="1" ht="12.75" x14ac:dyDescent="0.2">
      <c r="B59750" s="1168"/>
    </row>
    <row r="59751" spans="2:2" s="221" customFormat="1" ht="12.75" x14ac:dyDescent="0.2">
      <c r="B59751" s="1168"/>
    </row>
    <row r="59752" spans="2:2" s="221" customFormat="1" ht="12.75" x14ac:dyDescent="0.2">
      <c r="B59752" s="1168"/>
    </row>
    <row r="59753" spans="2:2" s="221" customFormat="1" ht="12.75" x14ac:dyDescent="0.2">
      <c r="B59753" s="1168"/>
    </row>
    <row r="59754" spans="2:2" s="221" customFormat="1" ht="12.75" x14ac:dyDescent="0.2">
      <c r="B59754" s="1168"/>
    </row>
    <row r="59755" spans="2:2" s="221" customFormat="1" ht="12.75" x14ac:dyDescent="0.2">
      <c r="B59755" s="1168"/>
    </row>
    <row r="59756" spans="2:2" s="221" customFormat="1" ht="12.75" x14ac:dyDescent="0.2">
      <c r="B59756" s="1168"/>
    </row>
    <row r="59757" spans="2:2" s="221" customFormat="1" ht="12.75" x14ac:dyDescent="0.2">
      <c r="B59757" s="1168"/>
    </row>
    <row r="59758" spans="2:2" s="221" customFormat="1" ht="12.75" x14ac:dyDescent="0.2">
      <c r="B59758" s="1168"/>
    </row>
    <row r="59759" spans="2:2" s="221" customFormat="1" ht="12.75" x14ac:dyDescent="0.2">
      <c r="B59759" s="1168"/>
    </row>
    <row r="59760" spans="2:2" s="221" customFormat="1" ht="12.75" x14ac:dyDescent="0.2">
      <c r="B59760" s="1168"/>
    </row>
    <row r="59761" spans="2:2" s="221" customFormat="1" ht="12.75" x14ac:dyDescent="0.2">
      <c r="B59761" s="1168"/>
    </row>
    <row r="59762" spans="2:2" s="221" customFormat="1" ht="12.75" x14ac:dyDescent="0.2">
      <c r="B59762" s="1168"/>
    </row>
    <row r="59763" spans="2:2" s="221" customFormat="1" ht="12.75" x14ac:dyDescent="0.2">
      <c r="B59763" s="1168"/>
    </row>
    <row r="59764" spans="2:2" s="221" customFormat="1" ht="12.75" x14ac:dyDescent="0.2">
      <c r="B59764" s="1168"/>
    </row>
    <row r="59765" spans="2:2" s="221" customFormat="1" ht="12.75" x14ac:dyDescent="0.2">
      <c r="B59765" s="1168"/>
    </row>
    <row r="59766" spans="2:2" s="221" customFormat="1" ht="12.75" x14ac:dyDescent="0.2">
      <c r="B59766" s="1168"/>
    </row>
    <row r="59767" spans="2:2" s="221" customFormat="1" ht="12.75" x14ac:dyDescent="0.2">
      <c r="B59767" s="1168"/>
    </row>
    <row r="59768" spans="2:2" s="221" customFormat="1" ht="12.75" x14ac:dyDescent="0.2">
      <c r="B59768" s="1168"/>
    </row>
    <row r="59769" spans="2:2" s="221" customFormat="1" ht="12.75" x14ac:dyDescent="0.2">
      <c r="B59769" s="1168"/>
    </row>
    <row r="59770" spans="2:2" s="221" customFormat="1" ht="12.75" x14ac:dyDescent="0.2">
      <c r="B59770" s="1168"/>
    </row>
    <row r="59771" spans="2:2" s="221" customFormat="1" ht="12.75" x14ac:dyDescent="0.2">
      <c r="B59771" s="1168"/>
    </row>
    <row r="59772" spans="2:2" s="221" customFormat="1" ht="12.75" x14ac:dyDescent="0.2">
      <c r="B59772" s="1168"/>
    </row>
    <row r="59773" spans="2:2" s="221" customFormat="1" ht="12.75" x14ac:dyDescent="0.2">
      <c r="B59773" s="1168"/>
    </row>
    <row r="59774" spans="2:2" s="221" customFormat="1" ht="12.75" x14ac:dyDescent="0.2">
      <c r="B59774" s="1168"/>
    </row>
    <row r="59775" spans="2:2" s="221" customFormat="1" ht="12.75" x14ac:dyDescent="0.2">
      <c r="B59775" s="1168"/>
    </row>
    <row r="59776" spans="2:2" s="221" customFormat="1" ht="12.75" x14ac:dyDescent="0.2">
      <c r="B59776" s="1168"/>
    </row>
    <row r="59777" spans="2:2" s="221" customFormat="1" ht="12.75" x14ac:dyDescent="0.2">
      <c r="B59777" s="1168"/>
    </row>
    <row r="59778" spans="2:2" s="221" customFormat="1" ht="12.75" x14ac:dyDescent="0.2">
      <c r="B59778" s="1168"/>
    </row>
    <row r="59779" spans="2:2" s="221" customFormat="1" ht="12.75" x14ac:dyDescent="0.2">
      <c r="B59779" s="1168"/>
    </row>
    <row r="59780" spans="2:2" s="221" customFormat="1" ht="12.75" x14ac:dyDescent="0.2">
      <c r="B59780" s="1168"/>
    </row>
    <row r="59781" spans="2:2" s="221" customFormat="1" ht="12.75" x14ac:dyDescent="0.2">
      <c r="B59781" s="1168"/>
    </row>
    <row r="59782" spans="2:2" s="221" customFormat="1" ht="12.75" x14ac:dyDescent="0.2">
      <c r="B59782" s="1168"/>
    </row>
    <row r="59783" spans="2:2" s="221" customFormat="1" ht="12.75" x14ac:dyDescent="0.2">
      <c r="B59783" s="1168"/>
    </row>
    <row r="59784" spans="2:2" s="221" customFormat="1" ht="12.75" x14ac:dyDescent="0.2">
      <c r="B59784" s="1168"/>
    </row>
    <row r="59785" spans="2:2" s="221" customFormat="1" ht="12.75" x14ac:dyDescent="0.2">
      <c r="B59785" s="1168"/>
    </row>
    <row r="59786" spans="2:2" s="221" customFormat="1" ht="12.75" x14ac:dyDescent="0.2">
      <c r="B59786" s="1168"/>
    </row>
    <row r="59787" spans="2:2" s="221" customFormat="1" ht="12.75" x14ac:dyDescent="0.2">
      <c r="B59787" s="1168"/>
    </row>
    <row r="59788" spans="2:2" s="221" customFormat="1" ht="12.75" x14ac:dyDescent="0.2">
      <c r="B59788" s="1168"/>
    </row>
    <row r="59789" spans="2:2" s="221" customFormat="1" ht="12.75" x14ac:dyDescent="0.2">
      <c r="B59789" s="1168"/>
    </row>
    <row r="59790" spans="2:2" s="221" customFormat="1" ht="12.75" x14ac:dyDescent="0.2">
      <c r="B59790" s="1168"/>
    </row>
    <row r="59791" spans="2:2" s="221" customFormat="1" ht="12.75" x14ac:dyDescent="0.2">
      <c r="B59791" s="1168"/>
    </row>
    <row r="59792" spans="2:2" s="221" customFormat="1" ht="12.75" x14ac:dyDescent="0.2">
      <c r="B59792" s="1168"/>
    </row>
    <row r="59793" spans="2:2" s="221" customFormat="1" ht="12.75" x14ac:dyDescent="0.2">
      <c r="B59793" s="1168"/>
    </row>
    <row r="59794" spans="2:2" s="221" customFormat="1" ht="12.75" x14ac:dyDescent="0.2">
      <c r="B59794" s="1168"/>
    </row>
    <row r="59795" spans="2:2" s="221" customFormat="1" ht="12.75" x14ac:dyDescent="0.2">
      <c r="B59795" s="1168"/>
    </row>
    <row r="59796" spans="2:2" s="221" customFormat="1" ht="12.75" x14ac:dyDescent="0.2">
      <c r="B59796" s="1168"/>
    </row>
    <row r="59797" spans="2:2" s="221" customFormat="1" ht="12.75" x14ac:dyDescent="0.2">
      <c r="B59797" s="1168"/>
    </row>
    <row r="59798" spans="2:2" s="221" customFormat="1" ht="12.75" x14ac:dyDescent="0.2">
      <c r="B59798" s="1168"/>
    </row>
    <row r="59799" spans="2:2" s="221" customFormat="1" ht="12.75" x14ac:dyDescent="0.2">
      <c r="B59799" s="1168"/>
    </row>
    <row r="59800" spans="2:2" s="221" customFormat="1" ht="12.75" x14ac:dyDescent="0.2">
      <c r="B59800" s="1168"/>
    </row>
    <row r="59801" spans="2:2" s="221" customFormat="1" ht="12.75" x14ac:dyDescent="0.2">
      <c r="B59801" s="1168"/>
    </row>
    <row r="59802" spans="2:2" s="221" customFormat="1" ht="12.75" x14ac:dyDescent="0.2">
      <c r="B59802" s="1168"/>
    </row>
    <row r="59803" spans="2:2" s="221" customFormat="1" ht="12.75" x14ac:dyDescent="0.2">
      <c r="B59803" s="1168"/>
    </row>
    <row r="59804" spans="2:2" s="221" customFormat="1" ht="12.75" x14ac:dyDescent="0.2">
      <c r="B59804" s="1168"/>
    </row>
    <row r="59805" spans="2:2" s="221" customFormat="1" ht="12.75" x14ac:dyDescent="0.2">
      <c r="B59805" s="1168"/>
    </row>
    <row r="59806" spans="2:2" s="221" customFormat="1" ht="12.75" x14ac:dyDescent="0.2">
      <c r="B59806" s="1168"/>
    </row>
    <row r="59807" spans="2:2" s="221" customFormat="1" ht="12.75" x14ac:dyDescent="0.2">
      <c r="B59807" s="1168"/>
    </row>
    <row r="59808" spans="2:2" s="221" customFormat="1" ht="12.75" x14ac:dyDescent="0.2">
      <c r="B59808" s="1168"/>
    </row>
    <row r="59809" spans="2:2" s="221" customFormat="1" ht="12.75" x14ac:dyDescent="0.2">
      <c r="B59809" s="1168"/>
    </row>
    <row r="59810" spans="2:2" s="221" customFormat="1" ht="12.75" x14ac:dyDescent="0.2">
      <c r="B59810" s="1168"/>
    </row>
    <row r="59811" spans="2:2" s="221" customFormat="1" ht="12.75" x14ac:dyDescent="0.2">
      <c r="B59811" s="1168"/>
    </row>
    <row r="59812" spans="2:2" s="221" customFormat="1" ht="12.75" x14ac:dyDescent="0.2">
      <c r="B59812" s="1168"/>
    </row>
    <row r="59813" spans="2:2" s="221" customFormat="1" ht="12.75" x14ac:dyDescent="0.2">
      <c r="B59813" s="1168"/>
    </row>
    <row r="59814" spans="2:2" s="221" customFormat="1" ht="12.75" x14ac:dyDescent="0.2">
      <c r="B59814" s="1168"/>
    </row>
    <row r="59815" spans="2:2" s="221" customFormat="1" ht="12.75" x14ac:dyDescent="0.2">
      <c r="B59815" s="1168"/>
    </row>
    <row r="59816" spans="2:2" s="221" customFormat="1" ht="12.75" x14ac:dyDescent="0.2">
      <c r="B59816" s="1168"/>
    </row>
    <row r="59817" spans="2:2" s="221" customFormat="1" ht="12.75" x14ac:dyDescent="0.2">
      <c r="B59817" s="1168"/>
    </row>
    <row r="59818" spans="2:2" s="221" customFormat="1" ht="12.75" x14ac:dyDescent="0.2">
      <c r="B59818" s="1168"/>
    </row>
    <row r="59819" spans="2:2" s="221" customFormat="1" ht="12.75" x14ac:dyDescent="0.2">
      <c r="B59819" s="1168"/>
    </row>
    <row r="59820" spans="2:2" s="221" customFormat="1" ht="12.75" x14ac:dyDescent="0.2">
      <c r="B59820" s="1168"/>
    </row>
    <row r="59821" spans="2:2" s="221" customFormat="1" ht="12.75" x14ac:dyDescent="0.2">
      <c r="B59821" s="1168"/>
    </row>
    <row r="59822" spans="2:2" s="221" customFormat="1" ht="12.75" x14ac:dyDescent="0.2">
      <c r="B59822" s="1168"/>
    </row>
    <row r="59823" spans="2:2" s="221" customFormat="1" ht="12.75" x14ac:dyDescent="0.2">
      <c r="B59823" s="1168"/>
    </row>
    <row r="59824" spans="2:2" s="221" customFormat="1" ht="12.75" x14ac:dyDescent="0.2">
      <c r="B59824" s="1168"/>
    </row>
    <row r="59825" spans="2:2" s="221" customFormat="1" ht="12.75" x14ac:dyDescent="0.2">
      <c r="B59825" s="1168"/>
    </row>
    <row r="59826" spans="2:2" s="221" customFormat="1" ht="12.75" x14ac:dyDescent="0.2">
      <c r="B59826" s="1168"/>
    </row>
    <row r="59827" spans="2:2" s="221" customFormat="1" ht="12.75" x14ac:dyDescent="0.2">
      <c r="B59827" s="1168"/>
    </row>
    <row r="59828" spans="2:2" s="221" customFormat="1" ht="12.75" x14ac:dyDescent="0.2">
      <c r="B59828" s="1168"/>
    </row>
    <row r="59829" spans="2:2" s="221" customFormat="1" ht="12.75" x14ac:dyDescent="0.2">
      <c r="B59829" s="1168"/>
    </row>
    <row r="59830" spans="2:2" s="221" customFormat="1" ht="12.75" x14ac:dyDescent="0.2">
      <c r="B59830" s="1168"/>
    </row>
    <row r="59831" spans="2:2" s="221" customFormat="1" ht="12.75" x14ac:dyDescent="0.2">
      <c r="B59831" s="1168"/>
    </row>
    <row r="59832" spans="2:2" s="221" customFormat="1" ht="12.75" x14ac:dyDescent="0.2">
      <c r="B59832" s="1168"/>
    </row>
    <row r="59833" spans="2:2" s="221" customFormat="1" ht="12.75" x14ac:dyDescent="0.2">
      <c r="B59833" s="1168"/>
    </row>
    <row r="59834" spans="2:2" s="221" customFormat="1" ht="12.75" x14ac:dyDescent="0.2">
      <c r="B59834" s="1168"/>
    </row>
    <row r="59835" spans="2:2" s="221" customFormat="1" ht="12.75" x14ac:dyDescent="0.2">
      <c r="B59835" s="1168"/>
    </row>
    <row r="59836" spans="2:2" s="221" customFormat="1" ht="12.75" x14ac:dyDescent="0.2">
      <c r="B59836" s="1168"/>
    </row>
    <row r="59837" spans="2:2" s="221" customFormat="1" ht="12.75" x14ac:dyDescent="0.2">
      <c r="B59837" s="1168"/>
    </row>
    <row r="59838" spans="2:2" s="221" customFormat="1" ht="12.75" x14ac:dyDescent="0.2">
      <c r="B59838" s="1168"/>
    </row>
    <row r="59839" spans="2:2" s="221" customFormat="1" ht="12.75" x14ac:dyDescent="0.2">
      <c r="B59839" s="1168"/>
    </row>
    <row r="59840" spans="2:2" s="221" customFormat="1" ht="12.75" x14ac:dyDescent="0.2">
      <c r="B59840" s="1168"/>
    </row>
    <row r="59841" spans="2:2" s="221" customFormat="1" ht="12.75" x14ac:dyDescent="0.2">
      <c r="B59841" s="1168"/>
    </row>
    <row r="59842" spans="2:2" s="221" customFormat="1" ht="12.75" x14ac:dyDescent="0.2">
      <c r="B59842" s="1168"/>
    </row>
    <row r="59843" spans="2:2" s="221" customFormat="1" ht="12.75" x14ac:dyDescent="0.2">
      <c r="B59843" s="1168"/>
    </row>
    <row r="59844" spans="2:2" s="221" customFormat="1" ht="12.75" x14ac:dyDescent="0.2">
      <c r="B59844" s="1168"/>
    </row>
    <row r="59845" spans="2:2" s="221" customFormat="1" ht="12.75" x14ac:dyDescent="0.2">
      <c r="B59845" s="1168"/>
    </row>
    <row r="59846" spans="2:2" s="221" customFormat="1" ht="12.75" x14ac:dyDescent="0.2">
      <c r="B59846" s="1168"/>
    </row>
    <row r="59847" spans="2:2" s="221" customFormat="1" ht="12.75" x14ac:dyDescent="0.2">
      <c r="B59847" s="1168"/>
    </row>
    <row r="59848" spans="2:2" s="221" customFormat="1" ht="12.75" x14ac:dyDescent="0.2">
      <c r="B59848" s="1168"/>
    </row>
    <row r="59849" spans="2:2" s="221" customFormat="1" ht="12.75" x14ac:dyDescent="0.2">
      <c r="B59849" s="1168"/>
    </row>
    <row r="59850" spans="2:2" s="221" customFormat="1" ht="12.75" x14ac:dyDescent="0.2">
      <c r="B59850" s="1168"/>
    </row>
    <row r="59851" spans="2:2" s="221" customFormat="1" ht="12.75" x14ac:dyDescent="0.2">
      <c r="B59851" s="1168"/>
    </row>
    <row r="59852" spans="2:2" s="221" customFormat="1" ht="12.75" x14ac:dyDescent="0.2">
      <c r="B59852" s="1168"/>
    </row>
    <row r="59853" spans="2:2" s="221" customFormat="1" ht="12.75" x14ac:dyDescent="0.2">
      <c r="B59853" s="1168"/>
    </row>
    <row r="59854" spans="2:2" s="221" customFormat="1" ht="12.75" x14ac:dyDescent="0.2">
      <c r="B59854" s="1168"/>
    </row>
    <row r="59855" spans="2:2" s="221" customFormat="1" ht="12.75" x14ac:dyDescent="0.2">
      <c r="B59855" s="1168"/>
    </row>
    <row r="59856" spans="2:2" s="221" customFormat="1" ht="12.75" x14ac:dyDescent="0.2">
      <c r="B59856" s="1168"/>
    </row>
    <row r="59857" spans="2:2" s="221" customFormat="1" ht="12.75" x14ac:dyDescent="0.2">
      <c r="B59857" s="1168"/>
    </row>
    <row r="59858" spans="2:2" s="221" customFormat="1" ht="12.75" x14ac:dyDescent="0.2">
      <c r="B59858" s="1168"/>
    </row>
    <row r="59859" spans="2:2" s="221" customFormat="1" ht="12.75" x14ac:dyDescent="0.2">
      <c r="B59859" s="1168"/>
    </row>
    <row r="59860" spans="2:2" s="221" customFormat="1" ht="12.75" x14ac:dyDescent="0.2">
      <c r="B59860" s="1168"/>
    </row>
    <row r="59861" spans="2:2" s="221" customFormat="1" ht="12.75" x14ac:dyDescent="0.2">
      <c r="B59861" s="1168"/>
    </row>
    <row r="59862" spans="2:2" s="221" customFormat="1" ht="12.75" x14ac:dyDescent="0.2">
      <c r="B59862" s="1168"/>
    </row>
    <row r="59863" spans="2:2" s="221" customFormat="1" ht="12.75" x14ac:dyDescent="0.2">
      <c r="B59863" s="1168"/>
    </row>
    <row r="59864" spans="2:2" s="221" customFormat="1" ht="12.75" x14ac:dyDescent="0.2">
      <c r="B59864" s="1168"/>
    </row>
    <row r="59865" spans="2:2" s="221" customFormat="1" ht="12.75" x14ac:dyDescent="0.2">
      <c r="B59865" s="1168"/>
    </row>
    <row r="59866" spans="2:2" s="221" customFormat="1" ht="12.75" x14ac:dyDescent="0.2">
      <c r="B59866" s="1168"/>
    </row>
    <row r="59867" spans="2:2" s="221" customFormat="1" ht="12.75" x14ac:dyDescent="0.2">
      <c r="B59867" s="1168"/>
    </row>
    <row r="59868" spans="2:2" s="221" customFormat="1" ht="12.75" x14ac:dyDescent="0.2">
      <c r="B59868" s="1168"/>
    </row>
    <row r="59869" spans="2:2" s="221" customFormat="1" ht="12.75" x14ac:dyDescent="0.2">
      <c r="B59869" s="1168"/>
    </row>
    <row r="59870" spans="2:2" s="221" customFormat="1" ht="12.75" x14ac:dyDescent="0.2">
      <c r="B59870" s="1168"/>
    </row>
    <row r="59871" spans="2:2" s="221" customFormat="1" ht="12.75" x14ac:dyDescent="0.2">
      <c r="B59871" s="1168"/>
    </row>
    <row r="59872" spans="2:2" s="221" customFormat="1" ht="12.75" x14ac:dyDescent="0.2">
      <c r="B59872" s="1168"/>
    </row>
    <row r="59873" spans="2:2" s="221" customFormat="1" ht="12.75" x14ac:dyDescent="0.2">
      <c r="B59873" s="1168"/>
    </row>
    <row r="59874" spans="2:2" s="221" customFormat="1" ht="12.75" x14ac:dyDescent="0.2">
      <c r="B59874" s="1168"/>
    </row>
    <row r="59875" spans="2:2" s="221" customFormat="1" ht="12.75" x14ac:dyDescent="0.2">
      <c r="B59875" s="1168"/>
    </row>
    <row r="59876" spans="2:2" s="221" customFormat="1" ht="12.75" x14ac:dyDescent="0.2">
      <c r="B59876" s="1168"/>
    </row>
    <row r="59877" spans="2:2" s="221" customFormat="1" ht="12.75" x14ac:dyDescent="0.2">
      <c r="B59877" s="1168"/>
    </row>
    <row r="59878" spans="2:2" s="221" customFormat="1" ht="12.75" x14ac:dyDescent="0.2">
      <c r="B59878" s="1168"/>
    </row>
    <row r="59879" spans="2:2" s="221" customFormat="1" ht="12.75" x14ac:dyDescent="0.2">
      <c r="B59879" s="1168"/>
    </row>
    <row r="59880" spans="2:2" s="221" customFormat="1" ht="12.75" x14ac:dyDescent="0.2">
      <c r="B59880" s="1168"/>
    </row>
    <row r="59881" spans="2:2" s="221" customFormat="1" ht="12.75" x14ac:dyDescent="0.2">
      <c r="B59881" s="1168"/>
    </row>
    <row r="59882" spans="2:2" s="221" customFormat="1" ht="12.75" x14ac:dyDescent="0.2">
      <c r="B59882" s="1168"/>
    </row>
    <row r="59883" spans="2:2" s="221" customFormat="1" ht="12.75" x14ac:dyDescent="0.2">
      <c r="B59883" s="1168"/>
    </row>
    <row r="59884" spans="2:2" s="221" customFormat="1" ht="12.75" x14ac:dyDescent="0.2">
      <c r="B59884" s="1168"/>
    </row>
    <row r="59885" spans="2:2" s="221" customFormat="1" ht="12.75" x14ac:dyDescent="0.2">
      <c r="B59885" s="1168"/>
    </row>
    <row r="59886" spans="2:2" s="221" customFormat="1" ht="12.75" x14ac:dyDescent="0.2">
      <c r="B59886" s="1168"/>
    </row>
    <row r="59887" spans="2:2" s="221" customFormat="1" ht="12.75" x14ac:dyDescent="0.2">
      <c r="B59887" s="1168"/>
    </row>
    <row r="59888" spans="2:2" s="221" customFormat="1" ht="12.75" x14ac:dyDescent="0.2">
      <c r="B59888" s="1168"/>
    </row>
    <row r="59889" spans="2:2" s="221" customFormat="1" ht="12.75" x14ac:dyDescent="0.2">
      <c r="B59889" s="1168"/>
    </row>
    <row r="59890" spans="2:2" s="221" customFormat="1" ht="12.75" x14ac:dyDescent="0.2">
      <c r="B59890" s="1168"/>
    </row>
    <row r="59891" spans="2:2" s="221" customFormat="1" ht="12.75" x14ac:dyDescent="0.2">
      <c r="B59891" s="1168"/>
    </row>
    <row r="59892" spans="2:2" s="221" customFormat="1" ht="12.75" x14ac:dyDescent="0.2">
      <c r="B59892" s="1168"/>
    </row>
    <row r="59893" spans="2:2" s="221" customFormat="1" ht="12.75" x14ac:dyDescent="0.2">
      <c r="B59893" s="1168"/>
    </row>
    <row r="59894" spans="2:2" s="221" customFormat="1" ht="12.75" x14ac:dyDescent="0.2">
      <c r="B59894" s="1168"/>
    </row>
    <row r="59895" spans="2:2" s="221" customFormat="1" ht="12.75" x14ac:dyDescent="0.2">
      <c r="B59895" s="1168"/>
    </row>
    <row r="59896" spans="2:2" s="221" customFormat="1" ht="12.75" x14ac:dyDescent="0.2">
      <c r="B59896" s="1168"/>
    </row>
    <row r="59897" spans="2:2" s="221" customFormat="1" ht="12.75" x14ac:dyDescent="0.2">
      <c r="B59897" s="1168"/>
    </row>
    <row r="59898" spans="2:2" s="221" customFormat="1" ht="12.75" x14ac:dyDescent="0.2">
      <c r="B59898" s="1168"/>
    </row>
    <row r="59899" spans="2:2" s="221" customFormat="1" ht="12.75" x14ac:dyDescent="0.2">
      <c r="B59899" s="1168"/>
    </row>
    <row r="59900" spans="2:2" s="221" customFormat="1" ht="12.75" x14ac:dyDescent="0.2">
      <c r="B59900" s="1168"/>
    </row>
    <row r="59901" spans="2:2" s="221" customFormat="1" ht="12.75" x14ac:dyDescent="0.2">
      <c r="B59901" s="1168"/>
    </row>
    <row r="59902" spans="2:2" s="221" customFormat="1" ht="12.75" x14ac:dyDescent="0.2">
      <c r="B59902" s="1168"/>
    </row>
    <row r="59903" spans="2:2" s="221" customFormat="1" ht="12.75" x14ac:dyDescent="0.2">
      <c r="B59903" s="1168"/>
    </row>
    <row r="59904" spans="2:2" s="221" customFormat="1" ht="12.75" x14ac:dyDescent="0.2">
      <c r="B59904" s="1168"/>
    </row>
    <row r="59905" spans="2:2" s="221" customFormat="1" ht="12.75" x14ac:dyDescent="0.2">
      <c r="B59905" s="1168"/>
    </row>
    <row r="59906" spans="2:2" s="221" customFormat="1" ht="12.75" x14ac:dyDescent="0.2">
      <c r="B59906" s="1168"/>
    </row>
    <row r="59907" spans="2:2" s="221" customFormat="1" ht="12.75" x14ac:dyDescent="0.2">
      <c r="B59907" s="1168"/>
    </row>
    <row r="59908" spans="2:2" s="221" customFormat="1" ht="12.75" x14ac:dyDescent="0.2">
      <c r="B59908" s="1168"/>
    </row>
    <row r="59909" spans="2:2" s="221" customFormat="1" ht="12.75" x14ac:dyDescent="0.2">
      <c r="B59909" s="1168"/>
    </row>
    <row r="59910" spans="2:2" s="221" customFormat="1" ht="12.75" x14ac:dyDescent="0.2">
      <c r="B59910" s="1168"/>
    </row>
    <row r="59911" spans="2:2" s="221" customFormat="1" ht="12.75" x14ac:dyDescent="0.2">
      <c r="B59911" s="1168"/>
    </row>
    <row r="59912" spans="2:2" s="221" customFormat="1" ht="12.75" x14ac:dyDescent="0.2">
      <c r="B59912" s="1168"/>
    </row>
    <row r="59913" spans="2:2" s="221" customFormat="1" ht="12.75" x14ac:dyDescent="0.2">
      <c r="B59913" s="1168"/>
    </row>
    <row r="59914" spans="2:2" s="221" customFormat="1" ht="12.75" x14ac:dyDescent="0.2">
      <c r="B59914" s="1168"/>
    </row>
    <row r="59915" spans="2:2" s="221" customFormat="1" ht="12.75" x14ac:dyDescent="0.2">
      <c r="B59915" s="1168"/>
    </row>
    <row r="59916" spans="2:2" s="221" customFormat="1" ht="12.75" x14ac:dyDescent="0.2">
      <c r="B59916" s="1168"/>
    </row>
    <row r="59917" spans="2:2" s="221" customFormat="1" ht="12.75" x14ac:dyDescent="0.2">
      <c r="B59917" s="1168"/>
    </row>
    <row r="59918" spans="2:2" s="221" customFormat="1" ht="12.75" x14ac:dyDescent="0.2">
      <c r="B59918" s="1168"/>
    </row>
    <row r="59919" spans="2:2" s="221" customFormat="1" ht="12.75" x14ac:dyDescent="0.2">
      <c r="B59919" s="1168"/>
    </row>
    <row r="59920" spans="2:2" s="221" customFormat="1" ht="12.75" x14ac:dyDescent="0.2">
      <c r="B59920" s="1168"/>
    </row>
    <row r="59921" spans="2:2" s="221" customFormat="1" ht="12.75" x14ac:dyDescent="0.2">
      <c r="B59921" s="1168"/>
    </row>
    <row r="59922" spans="2:2" s="221" customFormat="1" ht="12.75" x14ac:dyDescent="0.2">
      <c r="B59922" s="1168"/>
    </row>
    <row r="59923" spans="2:2" s="221" customFormat="1" ht="12.75" x14ac:dyDescent="0.2">
      <c r="B59923" s="1168"/>
    </row>
    <row r="59924" spans="2:2" s="221" customFormat="1" ht="12.75" x14ac:dyDescent="0.2">
      <c r="B59924" s="1168"/>
    </row>
    <row r="59925" spans="2:2" s="221" customFormat="1" ht="12.75" x14ac:dyDescent="0.2">
      <c r="B59925" s="1168"/>
    </row>
    <row r="59926" spans="2:2" s="221" customFormat="1" ht="12.75" x14ac:dyDescent="0.2">
      <c r="B59926" s="1168"/>
    </row>
    <row r="59927" spans="2:2" s="221" customFormat="1" ht="12.75" x14ac:dyDescent="0.2">
      <c r="B59927" s="1168"/>
    </row>
    <row r="59928" spans="2:2" s="221" customFormat="1" ht="12.75" x14ac:dyDescent="0.2">
      <c r="B59928" s="1168"/>
    </row>
    <row r="59929" spans="2:2" s="221" customFormat="1" ht="12.75" x14ac:dyDescent="0.2">
      <c r="B59929" s="1168"/>
    </row>
    <row r="59930" spans="2:2" s="221" customFormat="1" ht="12.75" x14ac:dyDescent="0.2">
      <c r="B59930" s="1168"/>
    </row>
    <row r="59931" spans="2:2" s="221" customFormat="1" ht="12.75" x14ac:dyDescent="0.2">
      <c r="B59931" s="1168"/>
    </row>
    <row r="59932" spans="2:2" s="221" customFormat="1" ht="12.75" x14ac:dyDescent="0.2">
      <c r="B59932" s="1168"/>
    </row>
    <row r="59933" spans="2:2" s="221" customFormat="1" ht="12.75" x14ac:dyDescent="0.2">
      <c r="B59933" s="1168"/>
    </row>
    <row r="59934" spans="2:2" s="221" customFormat="1" ht="12.75" x14ac:dyDescent="0.2">
      <c r="B59934" s="1168"/>
    </row>
    <row r="59935" spans="2:2" s="221" customFormat="1" ht="12.75" x14ac:dyDescent="0.2">
      <c r="B59935" s="1168"/>
    </row>
    <row r="59936" spans="2:2" s="221" customFormat="1" ht="12.75" x14ac:dyDescent="0.2">
      <c r="B59936" s="1168"/>
    </row>
    <row r="59937" spans="2:2" s="221" customFormat="1" ht="12.75" x14ac:dyDescent="0.2">
      <c r="B59937" s="1168"/>
    </row>
    <row r="59938" spans="2:2" s="221" customFormat="1" ht="12.75" x14ac:dyDescent="0.2">
      <c r="B59938" s="1168"/>
    </row>
    <row r="59939" spans="2:2" s="221" customFormat="1" ht="12.75" x14ac:dyDescent="0.2">
      <c r="B59939" s="1168"/>
    </row>
    <row r="59940" spans="2:2" s="221" customFormat="1" ht="12.75" x14ac:dyDescent="0.2">
      <c r="B59940" s="1168"/>
    </row>
    <row r="59941" spans="2:2" s="221" customFormat="1" ht="12.75" x14ac:dyDescent="0.2">
      <c r="B59941" s="1168"/>
    </row>
    <row r="59942" spans="2:2" s="221" customFormat="1" ht="12.75" x14ac:dyDescent="0.2">
      <c r="B59942" s="1168"/>
    </row>
    <row r="59943" spans="2:2" s="221" customFormat="1" ht="12.75" x14ac:dyDescent="0.2">
      <c r="B59943" s="1168"/>
    </row>
    <row r="59944" spans="2:2" s="221" customFormat="1" ht="12.75" x14ac:dyDescent="0.2">
      <c r="B59944" s="1168"/>
    </row>
    <row r="59945" spans="2:2" s="221" customFormat="1" ht="12.75" x14ac:dyDescent="0.2">
      <c r="B59945" s="1168"/>
    </row>
    <row r="59946" spans="2:2" s="221" customFormat="1" ht="12.75" x14ac:dyDescent="0.2">
      <c r="B59946" s="1168"/>
    </row>
    <row r="59947" spans="2:2" s="221" customFormat="1" ht="12.75" x14ac:dyDescent="0.2">
      <c r="B59947" s="1168"/>
    </row>
    <row r="59948" spans="2:2" s="221" customFormat="1" ht="12.75" x14ac:dyDescent="0.2">
      <c r="B59948" s="1168"/>
    </row>
    <row r="59949" spans="2:2" s="221" customFormat="1" ht="12.75" x14ac:dyDescent="0.2">
      <c r="B59949" s="1168"/>
    </row>
    <row r="59950" spans="2:2" s="221" customFormat="1" ht="12.75" x14ac:dyDescent="0.2">
      <c r="B59950" s="1168"/>
    </row>
    <row r="59951" spans="2:2" s="221" customFormat="1" ht="12.75" x14ac:dyDescent="0.2">
      <c r="B59951" s="1168"/>
    </row>
    <row r="59952" spans="2:2" s="221" customFormat="1" ht="12.75" x14ac:dyDescent="0.2">
      <c r="B59952" s="1168"/>
    </row>
    <row r="59953" spans="2:2" s="221" customFormat="1" ht="12.75" x14ac:dyDescent="0.2">
      <c r="B59953" s="1168"/>
    </row>
    <row r="59954" spans="2:2" s="221" customFormat="1" ht="12.75" x14ac:dyDescent="0.2">
      <c r="B59954" s="1168"/>
    </row>
    <row r="59955" spans="2:2" s="221" customFormat="1" ht="12.75" x14ac:dyDescent="0.2">
      <c r="B59955" s="1168"/>
    </row>
    <row r="59956" spans="2:2" s="221" customFormat="1" ht="12.75" x14ac:dyDescent="0.2">
      <c r="B59956" s="1168"/>
    </row>
    <row r="59957" spans="2:2" s="221" customFormat="1" ht="12.75" x14ac:dyDescent="0.2">
      <c r="B59957" s="1168"/>
    </row>
    <row r="59958" spans="2:2" s="221" customFormat="1" ht="12.75" x14ac:dyDescent="0.2">
      <c r="B59958" s="1168"/>
    </row>
    <row r="59959" spans="2:2" s="221" customFormat="1" ht="12.75" x14ac:dyDescent="0.2">
      <c r="B59959" s="1168"/>
    </row>
    <row r="59960" spans="2:2" s="221" customFormat="1" ht="12.75" x14ac:dyDescent="0.2">
      <c r="B59960" s="1168"/>
    </row>
    <row r="59961" spans="2:2" s="221" customFormat="1" ht="12.75" x14ac:dyDescent="0.2">
      <c r="B59961" s="1168"/>
    </row>
    <row r="59962" spans="2:2" s="221" customFormat="1" ht="12.75" x14ac:dyDescent="0.2">
      <c r="B59962" s="1168"/>
    </row>
    <row r="59963" spans="2:2" s="221" customFormat="1" ht="12.75" x14ac:dyDescent="0.2">
      <c r="B59963" s="1168"/>
    </row>
    <row r="59964" spans="2:2" s="221" customFormat="1" ht="12.75" x14ac:dyDescent="0.2">
      <c r="B59964" s="1168"/>
    </row>
    <row r="59965" spans="2:2" s="221" customFormat="1" ht="12.75" x14ac:dyDescent="0.2">
      <c r="B59965" s="1168"/>
    </row>
    <row r="59966" spans="2:2" s="221" customFormat="1" ht="12.75" x14ac:dyDescent="0.2">
      <c r="B59966" s="1168"/>
    </row>
    <row r="59967" spans="2:2" s="221" customFormat="1" ht="12.75" x14ac:dyDescent="0.2">
      <c r="B59967" s="1168"/>
    </row>
    <row r="59968" spans="2:2" s="221" customFormat="1" ht="12.75" x14ac:dyDescent="0.2">
      <c r="B59968" s="1168"/>
    </row>
    <row r="59969" spans="2:2" s="221" customFormat="1" ht="12.75" x14ac:dyDescent="0.2">
      <c r="B59969" s="1168"/>
    </row>
    <row r="59970" spans="2:2" s="221" customFormat="1" ht="12.75" x14ac:dyDescent="0.2">
      <c r="B59970" s="1168"/>
    </row>
    <row r="59971" spans="2:2" s="221" customFormat="1" ht="12.75" x14ac:dyDescent="0.2">
      <c r="B59971" s="1168"/>
    </row>
    <row r="59972" spans="2:2" s="221" customFormat="1" ht="12.75" x14ac:dyDescent="0.2">
      <c r="B59972" s="1168"/>
    </row>
    <row r="59973" spans="2:2" s="221" customFormat="1" ht="12.75" x14ac:dyDescent="0.2">
      <c r="B59973" s="1168"/>
    </row>
    <row r="59974" spans="2:2" s="221" customFormat="1" ht="12.75" x14ac:dyDescent="0.2">
      <c r="B59974" s="1168"/>
    </row>
    <row r="59975" spans="2:2" s="221" customFormat="1" ht="12.75" x14ac:dyDescent="0.2">
      <c r="B59975" s="1168"/>
    </row>
    <row r="59976" spans="2:2" s="221" customFormat="1" ht="12.75" x14ac:dyDescent="0.2">
      <c r="B59976" s="1168"/>
    </row>
    <row r="59977" spans="2:2" s="221" customFormat="1" ht="12.75" x14ac:dyDescent="0.2">
      <c r="B59977" s="1168"/>
    </row>
    <row r="59978" spans="2:2" s="221" customFormat="1" ht="12.75" x14ac:dyDescent="0.2">
      <c r="B59978" s="1168"/>
    </row>
    <row r="59979" spans="2:2" s="221" customFormat="1" ht="12.75" x14ac:dyDescent="0.2">
      <c r="B59979" s="1168"/>
    </row>
    <row r="59980" spans="2:2" s="221" customFormat="1" ht="12.75" x14ac:dyDescent="0.2">
      <c r="B59980" s="1168"/>
    </row>
    <row r="59981" spans="2:2" s="221" customFormat="1" ht="12.75" x14ac:dyDescent="0.2">
      <c r="B59981" s="1168"/>
    </row>
    <row r="59982" spans="2:2" s="221" customFormat="1" ht="12.75" x14ac:dyDescent="0.2">
      <c r="B59982" s="1168"/>
    </row>
    <row r="59983" spans="2:2" s="221" customFormat="1" ht="12.75" x14ac:dyDescent="0.2">
      <c r="B59983" s="1168"/>
    </row>
    <row r="59984" spans="2:2" s="221" customFormat="1" ht="12.75" x14ac:dyDescent="0.2">
      <c r="B59984" s="1168"/>
    </row>
    <row r="59985" spans="2:2" s="221" customFormat="1" ht="12.75" x14ac:dyDescent="0.2">
      <c r="B59985" s="1168"/>
    </row>
    <row r="59986" spans="2:2" s="221" customFormat="1" ht="12.75" x14ac:dyDescent="0.2">
      <c r="B59986" s="1168"/>
    </row>
    <row r="59987" spans="2:2" s="221" customFormat="1" ht="12.75" x14ac:dyDescent="0.2">
      <c r="B59987" s="1168"/>
    </row>
    <row r="59988" spans="2:2" s="221" customFormat="1" ht="12.75" x14ac:dyDescent="0.2">
      <c r="B59988" s="1168"/>
    </row>
    <row r="59989" spans="2:2" s="221" customFormat="1" ht="12.75" x14ac:dyDescent="0.2">
      <c r="B59989" s="1168"/>
    </row>
    <row r="59990" spans="2:2" s="221" customFormat="1" ht="12.75" x14ac:dyDescent="0.2">
      <c r="B59990" s="1168"/>
    </row>
    <row r="59991" spans="2:2" s="221" customFormat="1" ht="12.75" x14ac:dyDescent="0.2">
      <c r="B59991" s="1168"/>
    </row>
    <row r="59992" spans="2:2" s="221" customFormat="1" ht="12.75" x14ac:dyDescent="0.2">
      <c r="B59992" s="1168"/>
    </row>
    <row r="59993" spans="2:2" s="221" customFormat="1" ht="12.75" x14ac:dyDescent="0.2">
      <c r="B59993" s="1168"/>
    </row>
    <row r="59994" spans="2:2" s="221" customFormat="1" ht="12.75" x14ac:dyDescent="0.2">
      <c r="B59994" s="1168"/>
    </row>
    <row r="59995" spans="2:2" s="221" customFormat="1" ht="12.75" x14ac:dyDescent="0.2">
      <c r="B59995" s="1168"/>
    </row>
    <row r="59996" spans="2:2" s="221" customFormat="1" ht="12.75" x14ac:dyDescent="0.2">
      <c r="B59996" s="1168"/>
    </row>
    <row r="59997" spans="2:2" s="221" customFormat="1" ht="12.75" x14ac:dyDescent="0.2">
      <c r="B59997" s="1168"/>
    </row>
    <row r="59998" spans="2:2" s="221" customFormat="1" ht="12.75" x14ac:dyDescent="0.2">
      <c r="B59998" s="1168"/>
    </row>
    <row r="59999" spans="2:2" s="221" customFormat="1" ht="12.75" x14ac:dyDescent="0.2">
      <c r="B59999" s="1168"/>
    </row>
    <row r="60000" spans="2:2" s="221" customFormat="1" ht="12.75" x14ac:dyDescent="0.2">
      <c r="B60000" s="1168"/>
    </row>
    <row r="60001" spans="2:2" s="221" customFormat="1" ht="12.75" x14ac:dyDescent="0.2">
      <c r="B60001" s="1168"/>
    </row>
    <row r="60002" spans="2:2" s="221" customFormat="1" ht="12.75" x14ac:dyDescent="0.2">
      <c r="B60002" s="1168"/>
    </row>
    <row r="60003" spans="2:2" s="221" customFormat="1" ht="12.75" x14ac:dyDescent="0.2">
      <c r="B60003" s="1168"/>
    </row>
    <row r="60004" spans="2:2" s="221" customFormat="1" ht="12.75" x14ac:dyDescent="0.2">
      <c r="B60004" s="1168"/>
    </row>
    <row r="60005" spans="2:2" s="221" customFormat="1" ht="12.75" x14ac:dyDescent="0.2">
      <c r="B60005" s="1168"/>
    </row>
    <row r="60006" spans="2:2" s="221" customFormat="1" ht="12.75" x14ac:dyDescent="0.2">
      <c r="B60006" s="1168"/>
    </row>
    <row r="60007" spans="2:2" s="221" customFormat="1" ht="12.75" x14ac:dyDescent="0.2">
      <c r="B60007" s="1168"/>
    </row>
    <row r="60008" spans="2:2" s="221" customFormat="1" ht="12.75" x14ac:dyDescent="0.2">
      <c r="B60008" s="1168"/>
    </row>
    <row r="60009" spans="2:2" s="221" customFormat="1" ht="12.75" x14ac:dyDescent="0.2">
      <c r="B60009" s="1168"/>
    </row>
    <row r="60010" spans="2:2" s="221" customFormat="1" ht="12.75" x14ac:dyDescent="0.2">
      <c r="B60010" s="1168"/>
    </row>
    <row r="60011" spans="2:2" s="221" customFormat="1" ht="12.75" x14ac:dyDescent="0.2">
      <c r="B60011" s="1168"/>
    </row>
    <row r="60012" spans="2:2" s="221" customFormat="1" ht="12.75" x14ac:dyDescent="0.2">
      <c r="B60012" s="1168"/>
    </row>
    <row r="60013" spans="2:2" s="221" customFormat="1" ht="12.75" x14ac:dyDescent="0.2">
      <c r="B60013" s="1168"/>
    </row>
    <row r="60014" spans="2:2" s="221" customFormat="1" ht="12.75" x14ac:dyDescent="0.2">
      <c r="B60014" s="1168"/>
    </row>
    <row r="60015" spans="2:2" s="221" customFormat="1" ht="12.75" x14ac:dyDescent="0.2">
      <c r="B60015" s="1168"/>
    </row>
    <row r="60016" spans="2:2" s="221" customFormat="1" ht="12.75" x14ac:dyDescent="0.2">
      <c r="B60016" s="1168"/>
    </row>
    <row r="60017" spans="2:2" s="221" customFormat="1" ht="12.75" x14ac:dyDescent="0.2">
      <c r="B60017" s="1168"/>
    </row>
    <row r="60018" spans="2:2" s="221" customFormat="1" ht="12.75" x14ac:dyDescent="0.2">
      <c r="B60018" s="1168"/>
    </row>
    <row r="60019" spans="2:2" s="221" customFormat="1" ht="12.75" x14ac:dyDescent="0.2">
      <c r="B60019" s="1168"/>
    </row>
    <row r="60020" spans="2:2" s="221" customFormat="1" ht="12.75" x14ac:dyDescent="0.2">
      <c r="B60020" s="1168"/>
    </row>
    <row r="60021" spans="2:2" s="221" customFormat="1" ht="12.75" x14ac:dyDescent="0.2">
      <c r="B60021" s="1168"/>
    </row>
    <row r="60022" spans="2:2" s="221" customFormat="1" ht="12.75" x14ac:dyDescent="0.2">
      <c r="B60022" s="1168"/>
    </row>
    <row r="60023" spans="2:2" s="221" customFormat="1" ht="12.75" x14ac:dyDescent="0.2">
      <c r="B60023" s="1168"/>
    </row>
    <row r="60024" spans="2:2" s="221" customFormat="1" ht="12.75" x14ac:dyDescent="0.2">
      <c r="B60024" s="1168"/>
    </row>
    <row r="60025" spans="2:2" s="221" customFormat="1" ht="12.75" x14ac:dyDescent="0.2">
      <c r="B60025" s="1168"/>
    </row>
    <row r="60026" spans="2:2" s="221" customFormat="1" ht="12.75" x14ac:dyDescent="0.2">
      <c r="B60026" s="1168"/>
    </row>
    <row r="60027" spans="2:2" s="221" customFormat="1" ht="12.75" x14ac:dyDescent="0.2">
      <c r="B60027" s="1168"/>
    </row>
    <row r="60028" spans="2:2" s="221" customFormat="1" ht="12.75" x14ac:dyDescent="0.2">
      <c r="B60028" s="1168"/>
    </row>
    <row r="60029" spans="2:2" s="221" customFormat="1" ht="12.75" x14ac:dyDescent="0.2">
      <c r="B60029" s="1168"/>
    </row>
    <row r="60030" spans="2:2" s="221" customFormat="1" ht="12.75" x14ac:dyDescent="0.2">
      <c r="B60030" s="1168"/>
    </row>
    <row r="60031" spans="2:2" s="221" customFormat="1" ht="12.75" x14ac:dyDescent="0.2">
      <c r="B60031" s="1168"/>
    </row>
    <row r="60032" spans="2:2" s="221" customFormat="1" ht="12.75" x14ac:dyDescent="0.2">
      <c r="B60032" s="1168"/>
    </row>
    <row r="60033" spans="2:2" s="221" customFormat="1" ht="12.75" x14ac:dyDescent="0.2">
      <c r="B60033" s="1168"/>
    </row>
    <row r="60034" spans="2:2" s="221" customFormat="1" ht="12.75" x14ac:dyDescent="0.2">
      <c r="B60034" s="1168"/>
    </row>
    <row r="60035" spans="2:2" s="221" customFormat="1" ht="12.75" x14ac:dyDescent="0.2">
      <c r="B60035" s="1168"/>
    </row>
    <row r="60036" spans="2:2" s="221" customFormat="1" ht="12.75" x14ac:dyDescent="0.2">
      <c r="B60036" s="1168"/>
    </row>
    <row r="60037" spans="2:2" s="221" customFormat="1" ht="12.75" x14ac:dyDescent="0.2">
      <c r="B60037" s="1168"/>
    </row>
    <row r="60038" spans="2:2" s="221" customFormat="1" ht="12.75" x14ac:dyDescent="0.2">
      <c r="B60038" s="1168"/>
    </row>
    <row r="60039" spans="2:2" s="221" customFormat="1" ht="12.75" x14ac:dyDescent="0.2">
      <c r="B60039" s="1168"/>
    </row>
    <row r="60040" spans="2:2" s="221" customFormat="1" ht="12.75" x14ac:dyDescent="0.2">
      <c r="B60040" s="1168"/>
    </row>
    <row r="60041" spans="2:2" s="221" customFormat="1" ht="12.75" x14ac:dyDescent="0.2">
      <c r="B60041" s="1168"/>
    </row>
    <row r="60042" spans="2:2" s="221" customFormat="1" ht="12.75" x14ac:dyDescent="0.2">
      <c r="B60042" s="1168"/>
    </row>
    <row r="60043" spans="2:2" s="221" customFormat="1" ht="12.75" x14ac:dyDescent="0.2">
      <c r="B60043" s="1168"/>
    </row>
    <row r="60044" spans="2:2" s="221" customFormat="1" ht="12.75" x14ac:dyDescent="0.2">
      <c r="B60044" s="1168"/>
    </row>
    <row r="60045" spans="2:2" s="221" customFormat="1" ht="12.75" x14ac:dyDescent="0.2">
      <c r="B60045" s="1168"/>
    </row>
    <row r="60046" spans="2:2" s="221" customFormat="1" ht="12.75" x14ac:dyDescent="0.2">
      <c r="B60046" s="1168"/>
    </row>
    <row r="60047" spans="2:2" s="221" customFormat="1" ht="12.75" x14ac:dyDescent="0.2">
      <c r="B60047" s="1168"/>
    </row>
    <row r="60048" spans="2:2" s="221" customFormat="1" ht="12.75" x14ac:dyDescent="0.2">
      <c r="B60048" s="1168"/>
    </row>
    <row r="60049" spans="2:2" s="221" customFormat="1" ht="12.75" x14ac:dyDescent="0.2">
      <c r="B60049" s="1168"/>
    </row>
    <row r="60050" spans="2:2" s="221" customFormat="1" ht="12.75" x14ac:dyDescent="0.2">
      <c r="B60050" s="1168"/>
    </row>
    <row r="60051" spans="2:2" s="221" customFormat="1" ht="12.75" x14ac:dyDescent="0.2">
      <c r="B60051" s="1168"/>
    </row>
    <row r="60052" spans="2:2" s="221" customFormat="1" ht="12.75" x14ac:dyDescent="0.2">
      <c r="B60052" s="1168"/>
    </row>
    <row r="60053" spans="2:2" s="221" customFormat="1" ht="12.75" x14ac:dyDescent="0.2">
      <c r="B60053" s="1168"/>
    </row>
    <row r="60054" spans="2:2" s="221" customFormat="1" ht="12.75" x14ac:dyDescent="0.2">
      <c r="B60054" s="1168"/>
    </row>
    <row r="60055" spans="2:2" s="221" customFormat="1" ht="12.75" x14ac:dyDescent="0.2">
      <c r="B60055" s="1168"/>
    </row>
    <row r="60056" spans="2:2" s="221" customFormat="1" ht="12.75" x14ac:dyDescent="0.2">
      <c r="B60056" s="1168"/>
    </row>
    <row r="60057" spans="2:2" s="221" customFormat="1" ht="12.75" x14ac:dyDescent="0.2">
      <c r="B60057" s="1168"/>
    </row>
    <row r="60058" spans="2:2" s="221" customFormat="1" ht="12.75" x14ac:dyDescent="0.2">
      <c r="B60058" s="1168"/>
    </row>
    <row r="60059" spans="2:2" s="221" customFormat="1" ht="12.75" x14ac:dyDescent="0.2">
      <c r="B60059" s="1168"/>
    </row>
    <row r="60060" spans="2:2" s="221" customFormat="1" ht="12.75" x14ac:dyDescent="0.2">
      <c r="B60060" s="1168"/>
    </row>
    <row r="60061" spans="2:2" s="221" customFormat="1" ht="12.75" x14ac:dyDescent="0.2">
      <c r="B60061" s="1168"/>
    </row>
    <row r="60062" spans="2:2" s="221" customFormat="1" ht="12.75" x14ac:dyDescent="0.2">
      <c r="B60062" s="1168"/>
    </row>
    <row r="60063" spans="2:2" s="221" customFormat="1" ht="12.75" x14ac:dyDescent="0.2">
      <c r="B60063" s="1168"/>
    </row>
    <row r="60064" spans="2:2" s="221" customFormat="1" ht="12.75" x14ac:dyDescent="0.2">
      <c r="B60064" s="1168"/>
    </row>
    <row r="60065" spans="2:2" s="221" customFormat="1" ht="12.75" x14ac:dyDescent="0.2">
      <c r="B60065" s="1168"/>
    </row>
    <row r="60066" spans="2:2" s="221" customFormat="1" ht="12.75" x14ac:dyDescent="0.2">
      <c r="B60066" s="1168"/>
    </row>
    <row r="60067" spans="2:2" s="221" customFormat="1" ht="12.75" x14ac:dyDescent="0.2">
      <c r="B60067" s="1168"/>
    </row>
    <row r="60068" spans="2:2" s="221" customFormat="1" ht="12.75" x14ac:dyDescent="0.2">
      <c r="B60068" s="1168"/>
    </row>
    <row r="60069" spans="2:2" s="221" customFormat="1" ht="12.75" x14ac:dyDescent="0.2">
      <c r="B60069" s="1168"/>
    </row>
    <row r="60070" spans="2:2" s="221" customFormat="1" ht="12.75" x14ac:dyDescent="0.2">
      <c r="B60070" s="1168"/>
    </row>
    <row r="60071" spans="2:2" s="221" customFormat="1" ht="12.75" x14ac:dyDescent="0.2">
      <c r="B60071" s="1168"/>
    </row>
    <row r="60072" spans="2:2" s="221" customFormat="1" ht="12.75" x14ac:dyDescent="0.2">
      <c r="B60072" s="1168"/>
    </row>
    <row r="60073" spans="2:2" s="221" customFormat="1" ht="12.75" x14ac:dyDescent="0.2">
      <c r="B60073" s="1168"/>
    </row>
    <row r="60074" spans="2:2" s="221" customFormat="1" ht="12.75" x14ac:dyDescent="0.2">
      <c r="B60074" s="1168"/>
    </row>
    <row r="60075" spans="2:2" s="221" customFormat="1" ht="12.75" x14ac:dyDescent="0.2">
      <c r="B60075" s="1168"/>
    </row>
    <row r="60076" spans="2:2" s="221" customFormat="1" ht="12.75" x14ac:dyDescent="0.2">
      <c r="B60076" s="1168"/>
    </row>
    <row r="60077" spans="2:2" s="221" customFormat="1" ht="12.75" x14ac:dyDescent="0.2">
      <c r="B60077" s="1168"/>
    </row>
    <row r="60078" spans="2:2" s="221" customFormat="1" ht="12.75" x14ac:dyDescent="0.2">
      <c r="B60078" s="1168"/>
    </row>
    <row r="60079" spans="2:2" s="221" customFormat="1" ht="12.75" x14ac:dyDescent="0.2">
      <c r="B60079" s="1168"/>
    </row>
    <row r="60080" spans="2:2" s="221" customFormat="1" ht="12.75" x14ac:dyDescent="0.2">
      <c r="B60080" s="1168"/>
    </row>
    <row r="60081" spans="2:2" s="221" customFormat="1" ht="12.75" x14ac:dyDescent="0.2">
      <c r="B60081" s="1168"/>
    </row>
    <row r="60082" spans="2:2" s="221" customFormat="1" ht="12.75" x14ac:dyDescent="0.2">
      <c r="B60082" s="1168"/>
    </row>
    <row r="60083" spans="2:2" s="221" customFormat="1" ht="12.75" x14ac:dyDescent="0.2">
      <c r="B60083" s="1168"/>
    </row>
    <row r="60084" spans="2:2" s="221" customFormat="1" ht="12.75" x14ac:dyDescent="0.2">
      <c r="B60084" s="1168"/>
    </row>
    <row r="60085" spans="2:2" s="221" customFormat="1" ht="12.75" x14ac:dyDescent="0.2">
      <c r="B60085" s="1168"/>
    </row>
    <row r="60086" spans="2:2" s="221" customFormat="1" ht="12.75" x14ac:dyDescent="0.2">
      <c r="B60086" s="1168"/>
    </row>
    <row r="60087" spans="2:2" s="221" customFormat="1" ht="12.75" x14ac:dyDescent="0.2">
      <c r="B60087" s="1168"/>
    </row>
    <row r="60088" spans="2:2" s="221" customFormat="1" ht="12.75" x14ac:dyDescent="0.2">
      <c r="B60088" s="1168"/>
    </row>
    <row r="60089" spans="2:2" s="221" customFormat="1" ht="12.75" x14ac:dyDescent="0.2">
      <c r="B60089" s="1168"/>
    </row>
    <row r="60090" spans="2:2" s="221" customFormat="1" ht="12.75" x14ac:dyDescent="0.2">
      <c r="B60090" s="1168"/>
    </row>
    <row r="60091" spans="2:2" s="221" customFormat="1" ht="12.75" x14ac:dyDescent="0.2">
      <c r="B60091" s="1168"/>
    </row>
    <row r="60092" spans="2:2" s="221" customFormat="1" ht="12.75" x14ac:dyDescent="0.2">
      <c r="B60092" s="1168"/>
    </row>
    <row r="60093" spans="2:2" s="221" customFormat="1" ht="12.75" x14ac:dyDescent="0.2">
      <c r="B60093" s="1168"/>
    </row>
    <row r="60094" spans="2:2" s="221" customFormat="1" ht="12.75" x14ac:dyDescent="0.2">
      <c r="B60094" s="1168"/>
    </row>
    <row r="60095" spans="2:2" s="221" customFormat="1" ht="12.75" x14ac:dyDescent="0.2">
      <c r="B60095" s="1168"/>
    </row>
    <row r="60096" spans="2:2" s="221" customFormat="1" ht="12.75" x14ac:dyDescent="0.2">
      <c r="B60096" s="1168"/>
    </row>
    <row r="60097" spans="2:2" s="221" customFormat="1" ht="12.75" x14ac:dyDescent="0.2">
      <c r="B60097" s="1168"/>
    </row>
    <row r="60098" spans="2:2" s="221" customFormat="1" ht="12.75" x14ac:dyDescent="0.2">
      <c r="B60098" s="1168"/>
    </row>
    <row r="60099" spans="2:2" s="221" customFormat="1" ht="12.75" x14ac:dyDescent="0.2">
      <c r="B60099" s="1168"/>
    </row>
    <row r="60100" spans="2:2" s="221" customFormat="1" ht="12.75" x14ac:dyDescent="0.2">
      <c r="B60100" s="1168"/>
    </row>
    <row r="60101" spans="2:2" s="221" customFormat="1" ht="12.75" x14ac:dyDescent="0.2">
      <c r="B60101" s="1168"/>
    </row>
    <row r="60102" spans="2:2" s="221" customFormat="1" ht="12.75" x14ac:dyDescent="0.2">
      <c r="B60102" s="1168"/>
    </row>
    <row r="60103" spans="2:2" s="221" customFormat="1" ht="12.75" x14ac:dyDescent="0.2">
      <c r="B60103" s="1168"/>
    </row>
    <row r="60104" spans="2:2" s="221" customFormat="1" ht="12.75" x14ac:dyDescent="0.2">
      <c r="B60104" s="1168"/>
    </row>
    <row r="60105" spans="2:2" s="221" customFormat="1" ht="12.75" x14ac:dyDescent="0.2">
      <c r="B60105" s="1168"/>
    </row>
    <row r="60106" spans="2:2" s="221" customFormat="1" ht="12.75" x14ac:dyDescent="0.2">
      <c r="B60106" s="1168"/>
    </row>
    <row r="60107" spans="2:2" s="221" customFormat="1" ht="12.75" x14ac:dyDescent="0.2">
      <c r="B60107" s="1168"/>
    </row>
    <row r="60108" spans="2:2" s="221" customFormat="1" ht="12.75" x14ac:dyDescent="0.2">
      <c r="B60108" s="1168"/>
    </row>
    <row r="60109" spans="2:2" s="221" customFormat="1" ht="12.75" x14ac:dyDescent="0.2">
      <c r="B60109" s="1168"/>
    </row>
    <row r="60110" spans="2:2" s="221" customFormat="1" ht="12.75" x14ac:dyDescent="0.2">
      <c r="B60110" s="1168"/>
    </row>
    <row r="60111" spans="2:2" s="221" customFormat="1" ht="12.75" x14ac:dyDescent="0.2">
      <c r="B60111" s="1168"/>
    </row>
    <row r="60112" spans="2:2" s="221" customFormat="1" ht="12.75" x14ac:dyDescent="0.2">
      <c r="B60112" s="1168"/>
    </row>
    <row r="60113" spans="2:2" s="221" customFormat="1" ht="12.75" x14ac:dyDescent="0.2">
      <c r="B60113" s="1168"/>
    </row>
    <row r="60114" spans="2:2" s="221" customFormat="1" ht="12.75" x14ac:dyDescent="0.2">
      <c r="B60114" s="1168"/>
    </row>
    <row r="60115" spans="2:2" s="221" customFormat="1" ht="12.75" x14ac:dyDescent="0.2">
      <c r="B60115" s="1168"/>
    </row>
    <row r="60116" spans="2:2" s="221" customFormat="1" ht="12.75" x14ac:dyDescent="0.2">
      <c r="B60116" s="1168"/>
    </row>
    <row r="60117" spans="2:2" s="221" customFormat="1" ht="12.75" x14ac:dyDescent="0.2">
      <c r="B60117" s="1168"/>
    </row>
    <row r="60118" spans="2:2" s="221" customFormat="1" ht="12.75" x14ac:dyDescent="0.2">
      <c r="B60118" s="1168"/>
    </row>
    <row r="60119" spans="2:2" s="221" customFormat="1" ht="12.75" x14ac:dyDescent="0.2">
      <c r="B60119" s="1168"/>
    </row>
    <row r="60120" spans="2:2" s="221" customFormat="1" ht="12.75" x14ac:dyDescent="0.2">
      <c r="B60120" s="1168"/>
    </row>
    <row r="60121" spans="2:2" s="221" customFormat="1" ht="12.75" x14ac:dyDescent="0.2">
      <c r="B60121" s="1168"/>
    </row>
    <row r="60122" spans="2:2" s="221" customFormat="1" ht="12.75" x14ac:dyDescent="0.2">
      <c r="B60122" s="1168"/>
    </row>
    <row r="60123" spans="2:2" s="221" customFormat="1" ht="12.75" x14ac:dyDescent="0.2">
      <c r="B60123" s="1168"/>
    </row>
    <row r="60124" spans="2:2" s="221" customFormat="1" ht="12.75" x14ac:dyDescent="0.2">
      <c r="B60124" s="1168"/>
    </row>
    <row r="60125" spans="2:2" s="221" customFormat="1" ht="12.75" x14ac:dyDescent="0.2">
      <c r="B60125" s="1168"/>
    </row>
    <row r="60126" spans="2:2" s="221" customFormat="1" ht="12.75" x14ac:dyDescent="0.2">
      <c r="B60126" s="1168"/>
    </row>
    <row r="60127" spans="2:2" s="221" customFormat="1" ht="12.75" x14ac:dyDescent="0.2">
      <c r="B60127" s="1168"/>
    </row>
    <row r="60128" spans="2:2" s="221" customFormat="1" ht="12.75" x14ac:dyDescent="0.2">
      <c r="B60128" s="1168"/>
    </row>
    <row r="60129" spans="2:2" s="221" customFormat="1" ht="12.75" x14ac:dyDescent="0.2">
      <c r="B60129" s="1168"/>
    </row>
    <row r="60130" spans="2:2" s="221" customFormat="1" ht="12.75" x14ac:dyDescent="0.2">
      <c r="B60130" s="1168"/>
    </row>
    <row r="60131" spans="2:2" s="221" customFormat="1" ht="12.75" x14ac:dyDescent="0.2">
      <c r="B60131" s="1168"/>
    </row>
    <row r="60132" spans="2:2" s="221" customFormat="1" ht="12.75" x14ac:dyDescent="0.2">
      <c r="B60132" s="1168"/>
    </row>
    <row r="60133" spans="2:2" s="221" customFormat="1" ht="12.75" x14ac:dyDescent="0.2">
      <c r="B60133" s="1168"/>
    </row>
    <row r="60134" spans="2:2" s="221" customFormat="1" ht="12.75" x14ac:dyDescent="0.2">
      <c r="B60134" s="1168"/>
    </row>
    <row r="60135" spans="2:2" s="221" customFormat="1" ht="12.75" x14ac:dyDescent="0.2">
      <c r="B60135" s="1168"/>
    </row>
    <row r="60136" spans="2:2" s="221" customFormat="1" ht="12.75" x14ac:dyDescent="0.2">
      <c r="B60136" s="1168"/>
    </row>
    <row r="60137" spans="2:2" s="221" customFormat="1" ht="12.75" x14ac:dyDescent="0.2">
      <c r="B60137" s="1168"/>
    </row>
    <row r="60138" spans="2:2" s="221" customFormat="1" ht="12.75" x14ac:dyDescent="0.2">
      <c r="B60138" s="1168"/>
    </row>
    <row r="60139" spans="2:2" s="221" customFormat="1" ht="12.75" x14ac:dyDescent="0.2">
      <c r="B60139" s="1168"/>
    </row>
    <row r="60140" spans="2:2" s="221" customFormat="1" ht="12.75" x14ac:dyDescent="0.2">
      <c r="B60140" s="1168"/>
    </row>
    <row r="60141" spans="2:2" s="221" customFormat="1" ht="12.75" x14ac:dyDescent="0.2">
      <c r="B60141" s="1168"/>
    </row>
    <row r="60142" spans="2:2" s="221" customFormat="1" ht="12.75" x14ac:dyDescent="0.2">
      <c r="B60142" s="1168"/>
    </row>
    <row r="60143" spans="2:2" s="221" customFormat="1" ht="12.75" x14ac:dyDescent="0.2">
      <c r="B60143" s="1168"/>
    </row>
    <row r="60144" spans="2:2" s="221" customFormat="1" ht="12.75" x14ac:dyDescent="0.2">
      <c r="B60144" s="1168"/>
    </row>
    <row r="60145" spans="2:2" s="221" customFormat="1" ht="12.75" x14ac:dyDescent="0.2">
      <c r="B60145" s="1168"/>
    </row>
    <row r="60146" spans="2:2" s="221" customFormat="1" ht="12.75" x14ac:dyDescent="0.2">
      <c r="B60146" s="1168"/>
    </row>
    <row r="60147" spans="2:2" s="221" customFormat="1" ht="12.75" x14ac:dyDescent="0.2">
      <c r="B60147" s="1168"/>
    </row>
    <row r="60148" spans="2:2" s="221" customFormat="1" ht="12.75" x14ac:dyDescent="0.2">
      <c r="B60148" s="1168"/>
    </row>
    <row r="60149" spans="2:2" s="221" customFormat="1" ht="12.75" x14ac:dyDescent="0.2">
      <c r="B60149" s="1168"/>
    </row>
    <row r="60150" spans="2:2" s="221" customFormat="1" ht="12.75" x14ac:dyDescent="0.2">
      <c r="B60150" s="1168"/>
    </row>
    <row r="60151" spans="2:2" s="221" customFormat="1" ht="12.75" x14ac:dyDescent="0.2">
      <c r="B60151" s="1168"/>
    </row>
    <row r="60152" spans="2:2" s="221" customFormat="1" ht="12.75" x14ac:dyDescent="0.2">
      <c r="B60152" s="1168"/>
    </row>
    <row r="60153" spans="2:2" s="221" customFormat="1" ht="12.75" x14ac:dyDescent="0.2">
      <c r="B60153" s="1168"/>
    </row>
    <row r="60154" spans="2:2" s="221" customFormat="1" ht="12.75" x14ac:dyDescent="0.2">
      <c r="B60154" s="1168"/>
    </row>
    <row r="60155" spans="2:2" s="221" customFormat="1" ht="12.75" x14ac:dyDescent="0.2">
      <c r="B60155" s="1168"/>
    </row>
    <row r="60156" spans="2:2" s="221" customFormat="1" ht="12.75" x14ac:dyDescent="0.2">
      <c r="B60156" s="1168"/>
    </row>
    <row r="60157" spans="2:2" s="221" customFormat="1" ht="12.75" x14ac:dyDescent="0.2">
      <c r="B60157" s="1168"/>
    </row>
    <row r="60158" spans="2:2" s="221" customFormat="1" ht="12.75" x14ac:dyDescent="0.2">
      <c r="B60158" s="1168"/>
    </row>
    <row r="60159" spans="2:2" s="221" customFormat="1" ht="12.75" x14ac:dyDescent="0.2">
      <c r="B60159" s="1168"/>
    </row>
    <row r="60160" spans="2:2" s="221" customFormat="1" ht="12.75" x14ac:dyDescent="0.2">
      <c r="B60160" s="1168"/>
    </row>
    <row r="60161" spans="2:2" s="221" customFormat="1" ht="12.75" x14ac:dyDescent="0.2">
      <c r="B60161" s="1168"/>
    </row>
    <row r="60162" spans="2:2" s="221" customFormat="1" ht="12.75" x14ac:dyDescent="0.2">
      <c r="B60162" s="1168"/>
    </row>
    <row r="60163" spans="2:2" s="221" customFormat="1" ht="12.75" x14ac:dyDescent="0.2">
      <c r="B60163" s="1168"/>
    </row>
    <row r="60164" spans="2:2" s="221" customFormat="1" ht="12.75" x14ac:dyDescent="0.2">
      <c r="B60164" s="1168"/>
    </row>
    <row r="60165" spans="2:2" s="221" customFormat="1" ht="12.75" x14ac:dyDescent="0.2">
      <c r="B60165" s="1168"/>
    </row>
    <row r="60166" spans="2:2" s="221" customFormat="1" ht="12.75" x14ac:dyDescent="0.2">
      <c r="B60166" s="1168"/>
    </row>
    <row r="60167" spans="2:2" s="221" customFormat="1" ht="12.75" x14ac:dyDescent="0.2">
      <c r="B60167" s="1168"/>
    </row>
    <row r="60168" spans="2:2" s="221" customFormat="1" ht="12.75" x14ac:dyDescent="0.2">
      <c r="B60168" s="1168"/>
    </row>
    <row r="60169" spans="2:2" s="221" customFormat="1" ht="12.75" x14ac:dyDescent="0.2">
      <c r="B60169" s="1168"/>
    </row>
    <row r="60170" spans="2:2" s="221" customFormat="1" ht="12.75" x14ac:dyDescent="0.2">
      <c r="B60170" s="1168"/>
    </row>
    <row r="60171" spans="2:2" s="221" customFormat="1" ht="12.75" x14ac:dyDescent="0.2">
      <c r="B60171" s="1168"/>
    </row>
    <row r="60172" spans="2:2" s="221" customFormat="1" ht="12.75" x14ac:dyDescent="0.2">
      <c r="B60172" s="1168"/>
    </row>
    <row r="60173" spans="2:2" s="221" customFormat="1" ht="12.75" x14ac:dyDescent="0.2">
      <c r="B60173" s="1168"/>
    </row>
    <row r="60174" spans="2:2" s="221" customFormat="1" ht="12.75" x14ac:dyDescent="0.2">
      <c r="B60174" s="1168"/>
    </row>
    <row r="60175" spans="2:2" s="221" customFormat="1" ht="12.75" x14ac:dyDescent="0.2">
      <c r="B60175" s="1168"/>
    </row>
    <row r="60176" spans="2:2" s="221" customFormat="1" ht="12.75" x14ac:dyDescent="0.2">
      <c r="B60176" s="1168"/>
    </row>
    <row r="60177" spans="2:2" s="221" customFormat="1" ht="12.75" x14ac:dyDescent="0.2">
      <c r="B60177" s="1168"/>
    </row>
    <row r="60178" spans="2:2" s="221" customFormat="1" ht="12.75" x14ac:dyDescent="0.2">
      <c r="B60178" s="1168"/>
    </row>
    <row r="60179" spans="2:2" s="221" customFormat="1" ht="12.75" x14ac:dyDescent="0.2">
      <c r="B60179" s="1168"/>
    </row>
    <row r="60180" spans="2:2" s="221" customFormat="1" ht="12.75" x14ac:dyDescent="0.2">
      <c r="B60180" s="1168"/>
    </row>
    <row r="60181" spans="2:2" s="221" customFormat="1" ht="12.75" x14ac:dyDescent="0.2">
      <c r="B60181" s="1168"/>
    </row>
    <row r="60182" spans="2:2" s="221" customFormat="1" ht="12.75" x14ac:dyDescent="0.2">
      <c r="B60182" s="1168"/>
    </row>
    <row r="60183" spans="2:2" s="221" customFormat="1" ht="12.75" x14ac:dyDescent="0.2">
      <c r="B60183" s="1168"/>
    </row>
    <row r="60184" spans="2:2" s="221" customFormat="1" ht="12.75" x14ac:dyDescent="0.2">
      <c r="B60184" s="1168"/>
    </row>
    <row r="60185" spans="2:2" s="221" customFormat="1" ht="12.75" x14ac:dyDescent="0.2">
      <c r="B60185" s="1168"/>
    </row>
    <row r="60186" spans="2:2" s="221" customFormat="1" ht="12.75" x14ac:dyDescent="0.2">
      <c r="B60186" s="1168"/>
    </row>
    <row r="60187" spans="2:2" s="221" customFormat="1" ht="12.75" x14ac:dyDescent="0.2">
      <c r="B60187" s="1168"/>
    </row>
    <row r="60188" spans="2:2" s="221" customFormat="1" ht="12.75" x14ac:dyDescent="0.2">
      <c r="B60188" s="1168"/>
    </row>
    <row r="60189" spans="2:2" s="221" customFormat="1" ht="12.75" x14ac:dyDescent="0.2">
      <c r="B60189" s="1168"/>
    </row>
    <row r="60190" spans="2:2" s="221" customFormat="1" ht="12.75" x14ac:dyDescent="0.2">
      <c r="B60190" s="1168"/>
    </row>
    <row r="60191" spans="2:2" s="221" customFormat="1" ht="12.75" x14ac:dyDescent="0.2">
      <c r="B60191" s="1168"/>
    </row>
    <row r="60192" spans="2:2" s="221" customFormat="1" ht="12.75" x14ac:dyDescent="0.2">
      <c r="B60192" s="1168"/>
    </row>
    <row r="60193" spans="2:2" s="221" customFormat="1" ht="12.75" x14ac:dyDescent="0.2">
      <c r="B60193" s="1168"/>
    </row>
    <row r="60194" spans="2:2" s="221" customFormat="1" ht="12.75" x14ac:dyDescent="0.2">
      <c r="B60194" s="1168"/>
    </row>
    <row r="60195" spans="2:2" s="221" customFormat="1" ht="12.75" x14ac:dyDescent="0.2">
      <c r="B60195" s="1168"/>
    </row>
    <row r="60196" spans="2:2" s="221" customFormat="1" ht="12.75" x14ac:dyDescent="0.2">
      <c r="B60196" s="1168"/>
    </row>
    <row r="60197" spans="2:2" s="221" customFormat="1" ht="12.75" x14ac:dyDescent="0.2">
      <c r="B60197" s="1168"/>
    </row>
    <row r="60198" spans="2:2" s="221" customFormat="1" ht="12.75" x14ac:dyDescent="0.2">
      <c r="B60198" s="1168"/>
    </row>
    <row r="60199" spans="2:2" s="221" customFormat="1" ht="12.75" x14ac:dyDescent="0.2">
      <c r="B60199" s="1168"/>
    </row>
    <row r="60200" spans="2:2" s="221" customFormat="1" ht="12.75" x14ac:dyDescent="0.2">
      <c r="B60200" s="1168"/>
    </row>
    <row r="60201" spans="2:2" s="221" customFormat="1" ht="12.75" x14ac:dyDescent="0.2">
      <c r="B60201" s="1168"/>
    </row>
    <row r="60202" spans="2:2" s="221" customFormat="1" ht="12.75" x14ac:dyDescent="0.2">
      <c r="B60202" s="1168"/>
    </row>
    <row r="60203" spans="2:2" s="221" customFormat="1" ht="12.75" x14ac:dyDescent="0.2">
      <c r="B60203" s="1168"/>
    </row>
    <row r="60204" spans="2:2" s="221" customFormat="1" ht="12.75" x14ac:dyDescent="0.2">
      <c r="B60204" s="1168"/>
    </row>
    <row r="60205" spans="2:2" s="221" customFormat="1" ht="12.75" x14ac:dyDescent="0.2">
      <c r="B60205" s="1168"/>
    </row>
    <row r="60206" spans="2:2" s="221" customFormat="1" ht="12.75" x14ac:dyDescent="0.2">
      <c r="B60206" s="1168"/>
    </row>
    <row r="60207" spans="2:2" s="221" customFormat="1" ht="12.75" x14ac:dyDescent="0.2">
      <c r="B60207" s="1168"/>
    </row>
    <row r="60208" spans="2:2" s="221" customFormat="1" ht="12.75" x14ac:dyDescent="0.2">
      <c r="B60208" s="1168"/>
    </row>
    <row r="60209" spans="2:2" s="221" customFormat="1" ht="12.75" x14ac:dyDescent="0.2">
      <c r="B60209" s="1168"/>
    </row>
    <row r="60210" spans="2:2" s="221" customFormat="1" ht="12.75" x14ac:dyDescent="0.2">
      <c r="B60210" s="1168"/>
    </row>
    <row r="60211" spans="2:2" s="221" customFormat="1" ht="12.75" x14ac:dyDescent="0.2">
      <c r="B60211" s="1168"/>
    </row>
    <row r="60212" spans="2:2" s="221" customFormat="1" ht="12.75" x14ac:dyDescent="0.2">
      <c r="B60212" s="1168"/>
    </row>
    <row r="60213" spans="2:2" s="221" customFormat="1" ht="12.75" x14ac:dyDescent="0.2">
      <c r="B60213" s="1168"/>
    </row>
    <row r="60214" spans="2:2" s="221" customFormat="1" ht="12.75" x14ac:dyDescent="0.2">
      <c r="B60214" s="1168"/>
    </row>
    <row r="60215" spans="2:2" s="221" customFormat="1" ht="12.75" x14ac:dyDescent="0.2">
      <c r="B60215" s="1168"/>
    </row>
    <row r="60216" spans="2:2" s="221" customFormat="1" ht="12.75" x14ac:dyDescent="0.2">
      <c r="B60216" s="1168"/>
    </row>
    <row r="60217" spans="2:2" s="221" customFormat="1" ht="12.75" x14ac:dyDescent="0.2">
      <c r="B60217" s="1168"/>
    </row>
    <row r="60218" spans="2:2" s="221" customFormat="1" ht="12.75" x14ac:dyDescent="0.2">
      <c r="B60218" s="1168"/>
    </row>
    <row r="60219" spans="2:2" s="221" customFormat="1" ht="12.75" x14ac:dyDescent="0.2">
      <c r="B60219" s="1168"/>
    </row>
    <row r="60220" spans="2:2" s="221" customFormat="1" ht="12.75" x14ac:dyDescent="0.2">
      <c r="B60220" s="1168"/>
    </row>
    <row r="60221" spans="2:2" s="221" customFormat="1" ht="12.75" x14ac:dyDescent="0.2">
      <c r="B60221" s="1168"/>
    </row>
    <row r="60222" spans="2:2" s="221" customFormat="1" ht="12.75" x14ac:dyDescent="0.2">
      <c r="B60222" s="1168"/>
    </row>
    <row r="60223" spans="2:2" s="221" customFormat="1" ht="12.75" x14ac:dyDescent="0.2">
      <c r="B60223" s="1168"/>
    </row>
    <row r="60224" spans="2:2" s="221" customFormat="1" ht="12.75" x14ac:dyDescent="0.2">
      <c r="B60224" s="1168"/>
    </row>
    <row r="60225" spans="2:2" s="221" customFormat="1" ht="12.75" x14ac:dyDescent="0.2">
      <c r="B60225" s="1168"/>
    </row>
    <row r="60226" spans="2:2" s="221" customFormat="1" ht="12.75" x14ac:dyDescent="0.2">
      <c r="B60226" s="1168"/>
    </row>
    <row r="60227" spans="2:2" s="221" customFormat="1" ht="12.75" x14ac:dyDescent="0.2">
      <c r="B60227" s="1168"/>
    </row>
    <row r="60228" spans="2:2" s="221" customFormat="1" ht="12.75" x14ac:dyDescent="0.2">
      <c r="B60228" s="1168"/>
    </row>
    <row r="60229" spans="2:2" s="221" customFormat="1" ht="12.75" x14ac:dyDescent="0.2">
      <c r="B60229" s="1168"/>
    </row>
    <row r="60230" spans="2:2" s="221" customFormat="1" ht="12.75" x14ac:dyDescent="0.2">
      <c r="B60230" s="1168"/>
    </row>
    <row r="60231" spans="2:2" s="221" customFormat="1" ht="12.75" x14ac:dyDescent="0.2">
      <c r="B60231" s="1168"/>
    </row>
    <row r="60232" spans="2:2" s="221" customFormat="1" ht="12.75" x14ac:dyDescent="0.2">
      <c r="B60232" s="1168"/>
    </row>
    <row r="60233" spans="2:2" s="221" customFormat="1" ht="12.75" x14ac:dyDescent="0.2">
      <c r="B60233" s="1168"/>
    </row>
    <row r="60234" spans="2:2" s="221" customFormat="1" ht="12.75" x14ac:dyDescent="0.2">
      <c r="B60234" s="1168"/>
    </row>
    <row r="60235" spans="2:2" s="221" customFormat="1" ht="12.75" x14ac:dyDescent="0.2">
      <c r="B60235" s="1168"/>
    </row>
    <row r="60236" spans="2:2" s="221" customFormat="1" ht="12.75" x14ac:dyDescent="0.2">
      <c r="B60236" s="1168"/>
    </row>
    <row r="60237" spans="2:2" s="221" customFormat="1" ht="12.75" x14ac:dyDescent="0.2">
      <c r="B60237" s="1168"/>
    </row>
    <row r="60238" spans="2:2" s="221" customFormat="1" ht="12.75" x14ac:dyDescent="0.2">
      <c r="B60238" s="1168"/>
    </row>
    <row r="60239" spans="2:2" s="221" customFormat="1" ht="12.75" x14ac:dyDescent="0.2">
      <c r="B60239" s="1168"/>
    </row>
    <row r="60240" spans="2:2" s="221" customFormat="1" ht="12.75" x14ac:dyDescent="0.2">
      <c r="B60240" s="1168"/>
    </row>
    <row r="60241" spans="2:2" s="221" customFormat="1" ht="12.75" x14ac:dyDescent="0.2">
      <c r="B60241" s="1168"/>
    </row>
    <row r="60242" spans="2:2" s="221" customFormat="1" ht="12.75" x14ac:dyDescent="0.2">
      <c r="B60242" s="1168"/>
    </row>
    <row r="60243" spans="2:2" s="221" customFormat="1" ht="12.75" x14ac:dyDescent="0.2">
      <c r="B60243" s="1168"/>
    </row>
    <row r="60244" spans="2:2" s="221" customFormat="1" ht="12.75" x14ac:dyDescent="0.2">
      <c r="B60244" s="1168"/>
    </row>
    <row r="60245" spans="2:2" s="221" customFormat="1" ht="12.75" x14ac:dyDescent="0.2">
      <c r="B60245" s="1168"/>
    </row>
    <row r="60246" spans="2:2" s="221" customFormat="1" ht="12.75" x14ac:dyDescent="0.2">
      <c r="B60246" s="1168"/>
    </row>
    <row r="60247" spans="2:2" s="221" customFormat="1" ht="12.75" x14ac:dyDescent="0.2">
      <c r="B60247" s="1168"/>
    </row>
    <row r="60248" spans="2:2" s="221" customFormat="1" ht="12.75" x14ac:dyDescent="0.2">
      <c r="B60248" s="1168"/>
    </row>
    <row r="60249" spans="2:2" s="221" customFormat="1" ht="12.75" x14ac:dyDescent="0.2">
      <c r="B60249" s="1168"/>
    </row>
    <row r="60250" spans="2:2" s="221" customFormat="1" ht="12.75" x14ac:dyDescent="0.2">
      <c r="B60250" s="1168"/>
    </row>
    <row r="60251" spans="2:2" s="221" customFormat="1" ht="12.75" x14ac:dyDescent="0.2">
      <c r="B60251" s="1168"/>
    </row>
    <row r="60252" spans="2:2" s="221" customFormat="1" ht="12.75" x14ac:dyDescent="0.2">
      <c r="B60252" s="1168"/>
    </row>
    <row r="60253" spans="2:2" s="221" customFormat="1" ht="12.75" x14ac:dyDescent="0.2">
      <c r="B60253" s="1168"/>
    </row>
    <row r="60254" spans="2:2" s="221" customFormat="1" ht="12.75" x14ac:dyDescent="0.2">
      <c r="B60254" s="1168"/>
    </row>
    <row r="60255" spans="2:2" s="221" customFormat="1" ht="12.75" x14ac:dyDescent="0.2">
      <c r="B60255" s="1168"/>
    </row>
    <row r="60256" spans="2:2" s="221" customFormat="1" ht="12.75" x14ac:dyDescent="0.2">
      <c r="B60256" s="1168"/>
    </row>
    <row r="60257" spans="2:2" s="221" customFormat="1" ht="12.75" x14ac:dyDescent="0.2">
      <c r="B60257" s="1168"/>
    </row>
    <row r="60258" spans="2:2" s="221" customFormat="1" ht="12.75" x14ac:dyDescent="0.2">
      <c r="B60258" s="1168"/>
    </row>
    <row r="60259" spans="2:2" s="221" customFormat="1" ht="12.75" x14ac:dyDescent="0.2">
      <c r="B60259" s="1168"/>
    </row>
    <row r="60260" spans="2:2" s="221" customFormat="1" ht="12.75" x14ac:dyDescent="0.2">
      <c r="B60260" s="1168"/>
    </row>
    <row r="60261" spans="2:2" s="221" customFormat="1" ht="12.75" x14ac:dyDescent="0.2">
      <c r="B60261" s="1168"/>
    </row>
    <row r="60262" spans="2:2" s="221" customFormat="1" ht="12.75" x14ac:dyDescent="0.2">
      <c r="B60262" s="1168"/>
    </row>
    <row r="60263" spans="2:2" s="221" customFormat="1" ht="12.75" x14ac:dyDescent="0.2">
      <c r="B60263" s="1168"/>
    </row>
    <row r="60264" spans="2:2" s="221" customFormat="1" ht="12.75" x14ac:dyDescent="0.2">
      <c r="B60264" s="1168"/>
    </row>
    <row r="60265" spans="2:2" s="221" customFormat="1" ht="12.75" x14ac:dyDescent="0.2">
      <c r="B60265" s="1168"/>
    </row>
    <row r="60266" spans="2:2" s="221" customFormat="1" ht="12.75" x14ac:dyDescent="0.2">
      <c r="B60266" s="1168"/>
    </row>
    <row r="60267" spans="2:2" s="221" customFormat="1" ht="12.75" x14ac:dyDescent="0.2">
      <c r="B60267" s="1168"/>
    </row>
    <row r="60268" spans="2:2" s="221" customFormat="1" ht="12.75" x14ac:dyDescent="0.2">
      <c r="B60268" s="1168"/>
    </row>
    <row r="60269" spans="2:2" s="221" customFormat="1" ht="12.75" x14ac:dyDescent="0.2">
      <c r="B60269" s="1168"/>
    </row>
    <row r="60270" spans="2:2" s="221" customFormat="1" ht="12.75" x14ac:dyDescent="0.2">
      <c r="B60270" s="1168"/>
    </row>
    <row r="60271" spans="2:2" s="221" customFormat="1" ht="12.75" x14ac:dyDescent="0.2">
      <c r="B60271" s="1168"/>
    </row>
    <row r="60272" spans="2:2" s="221" customFormat="1" ht="12.75" x14ac:dyDescent="0.2">
      <c r="B60272" s="1168"/>
    </row>
    <row r="60273" spans="2:2" s="221" customFormat="1" ht="12.75" x14ac:dyDescent="0.2">
      <c r="B60273" s="1168"/>
    </row>
    <row r="60274" spans="2:2" s="221" customFormat="1" ht="12.75" x14ac:dyDescent="0.2">
      <c r="B60274" s="1168"/>
    </row>
    <row r="60275" spans="2:2" s="221" customFormat="1" ht="12.75" x14ac:dyDescent="0.2">
      <c r="B60275" s="1168"/>
    </row>
    <row r="60276" spans="2:2" s="221" customFormat="1" ht="12.75" x14ac:dyDescent="0.2">
      <c r="B60276" s="1168"/>
    </row>
    <row r="60277" spans="2:2" s="221" customFormat="1" ht="12.75" x14ac:dyDescent="0.2">
      <c r="B60277" s="1168"/>
    </row>
    <row r="60278" spans="2:2" s="221" customFormat="1" ht="12.75" x14ac:dyDescent="0.2">
      <c r="B60278" s="1168"/>
    </row>
    <row r="60279" spans="2:2" s="221" customFormat="1" ht="12.75" x14ac:dyDescent="0.2">
      <c r="B60279" s="1168"/>
    </row>
    <row r="60280" spans="2:2" s="221" customFormat="1" ht="12.75" x14ac:dyDescent="0.2">
      <c r="B60280" s="1168"/>
    </row>
    <row r="60281" spans="2:2" s="221" customFormat="1" ht="12.75" x14ac:dyDescent="0.2">
      <c r="B60281" s="1168"/>
    </row>
    <row r="60282" spans="2:2" s="221" customFormat="1" ht="12.75" x14ac:dyDescent="0.2">
      <c r="B60282" s="1168"/>
    </row>
    <row r="60283" spans="2:2" s="221" customFormat="1" ht="12.75" x14ac:dyDescent="0.2">
      <c r="B60283" s="1168"/>
    </row>
    <row r="60284" spans="2:2" s="221" customFormat="1" ht="12.75" x14ac:dyDescent="0.2">
      <c r="B60284" s="1168"/>
    </row>
    <row r="60285" spans="2:2" s="221" customFormat="1" ht="12.75" x14ac:dyDescent="0.2">
      <c r="B60285" s="1168"/>
    </row>
    <row r="60286" spans="2:2" s="221" customFormat="1" ht="12.75" x14ac:dyDescent="0.2">
      <c r="B60286" s="1168"/>
    </row>
    <row r="60287" spans="2:2" s="221" customFormat="1" ht="12.75" x14ac:dyDescent="0.2">
      <c r="B60287" s="1168"/>
    </row>
    <row r="60288" spans="2:2" s="221" customFormat="1" ht="12.75" x14ac:dyDescent="0.2">
      <c r="B60288" s="1168"/>
    </row>
    <row r="60289" spans="2:2" s="221" customFormat="1" ht="12.75" x14ac:dyDescent="0.2">
      <c r="B60289" s="1168"/>
    </row>
    <row r="60290" spans="2:2" s="221" customFormat="1" ht="12.75" x14ac:dyDescent="0.2">
      <c r="B60290" s="1168"/>
    </row>
    <row r="60291" spans="2:2" s="221" customFormat="1" ht="12.75" x14ac:dyDescent="0.2">
      <c r="B60291" s="1168"/>
    </row>
    <row r="60292" spans="2:2" s="221" customFormat="1" ht="12.75" x14ac:dyDescent="0.2">
      <c r="B60292" s="1168"/>
    </row>
    <row r="60293" spans="2:2" s="221" customFormat="1" ht="12.75" x14ac:dyDescent="0.2">
      <c r="B60293" s="1168"/>
    </row>
    <row r="60294" spans="2:2" s="221" customFormat="1" ht="12.75" x14ac:dyDescent="0.2">
      <c r="B60294" s="1168"/>
    </row>
    <row r="60295" spans="2:2" s="221" customFormat="1" ht="12.75" x14ac:dyDescent="0.2">
      <c r="B60295" s="1168"/>
    </row>
    <row r="60296" spans="2:2" s="221" customFormat="1" ht="12.75" x14ac:dyDescent="0.2">
      <c r="B60296" s="1168"/>
    </row>
    <row r="60297" spans="2:2" s="221" customFormat="1" ht="12.75" x14ac:dyDescent="0.2">
      <c r="B60297" s="1168"/>
    </row>
    <row r="60298" spans="2:2" s="221" customFormat="1" ht="12.75" x14ac:dyDescent="0.2">
      <c r="B60298" s="1168"/>
    </row>
    <row r="60299" spans="2:2" s="221" customFormat="1" ht="12.75" x14ac:dyDescent="0.2">
      <c r="B60299" s="1168"/>
    </row>
    <row r="60300" spans="2:2" s="221" customFormat="1" ht="12.75" x14ac:dyDescent="0.2">
      <c r="B60300" s="1168"/>
    </row>
    <row r="60301" spans="2:2" s="221" customFormat="1" ht="12.75" x14ac:dyDescent="0.2">
      <c r="B60301" s="1168"/>
    </row>
    <row r="60302" spans="2:2" s="221" customFormat="1" ht="12.75" x14ac:dyDescent="0.2">
      <c r="B60302" s="1168"/>
    </row>
    <row r="60303" spans="2:2" s="221" customFormat="1" ht="12.75" x14ac:dyDescent="0.2">
      <c r="B60303" s="1168"/>
    </row>
    <row r="60304" spans="2:2" s="221" customFormat="1" ht="12.75" x14ac:dyDescent="0.2">
      <c r="B60304" s="1168"/>
    </row>
    <row r="60305" spans="2:2" s="221" customFormat="1" ht="12.75" x14ac:dyDescent="0.2">
      <c r="B60305" s="1168"/>
    </row>
    <row r="60306" spans="2:2" s="221" customFormat="1" ht="12.75" x14ac:dyDescent="0.2">
      <c r="B60306" s="1168"/>
    </row>
    <row r="60307" spans="2:2" s="221" customFormat="1" ht="12.75" x14ac:dyDescent="0.2">
      <c r="B60307" s="1168"/>
    </row>
    <row r="60308" spans="2:2" s="221" customFormat="1" ht="12.75" x14ac:dyDescent="0.2">
      <c r="B60308" s="1168"/>
    </row>
    <row r="60309" spans="2:2" s="221" customFormat="1" ht="12.75" x14ac:dyDescent="0.2">
      <c r="B60309" s="1168"/>
    </row>
    <row r="60310" spans="2:2" s="221" customFormat="1" ht="12.75" x14ac:dyDescent="0.2">
      <c r="B60310" s="1168"/>
    </row>
    <row r="60311" spans="2:2" s="221" customFormat="1" ht="12.75" x14ac:dyDescent="0.2">
      <c r="B60311" s="1168"/>
    </row>
    <row r="60312" spans="2:2" s="221" customFormat="1" ht="12.75" x14ac:dyDescent="0.2">
      <c r="B60312" s="1168"/>
    </row>
    <row r="60313" spans="2:2" s="221" customFormat="1" ht="12.75" x14ac:dyDescent="0.2">
      <c r="B60313" s="1168"/>
    </row>
    <row r="60314" spans="2:2" s="221" customFormat="1" ht="12.75" x14ac:dyDescent="0.2">
      <c r="B60314" s="1168"/>
    </row>
    <row r="60315" spans="2:2" s="221" customFormat="1" ht="12.75" x14ac:dyDescent="0.2">
      <c r="B60315" s="1168"/>
    </row>
    <row r="60316" spans="2:2" s="221" customFormat="1" ht="12.75" x14ac:dyDescent="0.2">
      <c r="B60316" s="1168"/>
    </row>
    <row r="60317" spans="2:2" s="221" customFormat="1" ht="12.75" x14ac:dyDescent="0.2">
      <c r="B60317" s="1168"/>
    </row>
    <row r="60318" spans="2:2" s="221" customFormat="1" ht="12.75" x14ac:dyDescent="0.2">
      <c r="B60318" s="1168"/>
    </row>
    <row r="60319" spans="2:2" s="221" customFormat="1" ht="12.75" x14ac:dyDescent="0.2">
      <c r="B60319" s="1168"/>
    </row>
    <row r="60320" spans="2:2" s="221" customFormat="1" ht="12.75" x14ac:dyDescent="0.2">
      <c r="B60320" s="1168"/>
    </row>
    <row r="60321" spans="2:2" s="221" customFormat="1" ht="12.75" x14ac:dyDescent="0.2">
      <c r="B60321" s="1168"/>
    </row>
    <row r="60322" spans="2:2" s="221" customFormat="1" ht="12.75" x14ac:dyDescent="0.2">
      <c r="B60322" s="1168"/>
    </row>
    <row r="60323" spans="2:2" s="221" customFormat="1" ht="12.75" x14ac:dyDescent="0.2">
      <c r="B60323" s="1168"/>
    </row>
    <row r="60324" spans="2:2" s="221" customFormat="1" ht="12.75" x14ac:dyDescent="0.2">
      <c r="B60324" s="1168"/>
    </row>
    <row r="60325" spans="2:2" s="221" customFormat="1" ht="12.75" x14ac:dyDescent="0.2">
      <c r="B60325" s="1168"/>
    </row>
    <row r="60326" spans="2:2" s="221" customFormat="1" ht="12.75" x14ac:dyDescent="0.2">
      <c r="B60326" s="1168"/>
    </row>
    <row r="60327" spans="2:2" s="221" customFormat="1" ht="12.75" x14ac:dyDescent="0.2">
      <c r="B60327" s="1168"/>
    </row>
    <row r="60328" spans="2:2" s="221" customFormat="1" ht="12.75" x14ac:dyDescent="0.2">
      <c r="B60328" s="1168"/>
    </row>
    <row r="60329" spans="2:2" s="221" customFormat="1" ht="12.75" x14ac:dyDescent="0.2">
      <c r="B60329" s="1168"/>
    </row>
    <row r="60330" spans="2:2" s="221" customFormat="1" ht="12.75" x14ac:dyDescent="0.2">
      <c r="B60330" s="1168"/>
    </row>
    <row r="60331" spans="2:2" s="221" customFormat="1" ht="12.75" x14ac:dyDescent="0.2">
      <c r="B60331" s="1168"/>
    </row>
    <row r="60332" spans="2:2" s="221" customFormat="1" ht="12.75" x14ac:dyDescent="0.2">
      <c r="B60332" s="1168"/>
    </row>
    <row r="60333" spans="2:2" s="221" customFormat="1" ht="12.75" x14ac:dyDescent="0.2">
      <c r="B60333" s="1168"/>
    </row>
    <row r="60334" spans="2:2" s="221" customFormat="1" ht="12.75" x14ac:dyDescent="0.2">
      <c r="B60334" s="1168"/>
    </row>
    <row r="60335" spans="2:2" s="221" customFormat="1" ht="12.75" x14ac:dyDescent="0.2">
      <c r="B60335" s="1168"/>
    </row>
    <row r="60336" spans="2:2" s="221" customFormat="1" ht="12.75" x14ac:dyDescent="0.2">
      <c r="B60336" s="1168"/>
    </row>
    <row r="60337" spans="2:2" s="221" customFormat="1" ht="12.75" x14ac:dyDescent="0.2">
      <c r="B60337" s="1168"/>
    </row>
    <row r="60338" spans="2:2" s="221" customFormat="1" ht="12.75" x14ac:dyDescent="0.2">
      <c r="B60338" s="1168"/>
    </row>
    <row r="60339" spans="2:2" s="221" customFormat="1" ht="12.75" x14ac:dyDescent="0.2">
      <c r="B60339" s="1168"/>
    </row>
    <row r="60340" spans="2:2" s="221" customFormat="1" ht="12.75" x14ac:dyDescent="0.2">
      <c r="B60340" s="1168"/>
    </row>
    <row r="60341" spans="2:2" s="221" customFormat="1" ht="12.75" x14ac:dyDescent="0.2">
      <c r="B60341" s="1168"/>
    </row>
    <row r="60342" spans="2:2" s="221" customFormat="1" ht="12.75" x14ac:dyDescent="0.2">
      <c r="B60342" s="1168"/>
    </row>
    <row r="60343" spans="2:2" s="221" customFormat="1" ht="12.75" x14ac:dyDescent="0.2">
      <c r="B60343" s="1168"/>
    </row>
    <row r="60344" spans="2:2" s="221" customFormat="1" ht="12.75" x14ac:dyDescent="0.2">
      <c r="B60344" s="1168"/>
    </row>
    <row r="60345" spans="2:2" s="221" customFormat="1" ht="12.75" x14ac:dyDescent="0.2">
      <c r="B60345" s="1168"/>
    </row>
    <row r="60346" spans="2:2" s="221" customFormat="1" ht="12.75" x14ac:dyDescent="0.2">
      <c r="B60346" s="1168"/>
    </row>
    <row r="60347" spans="2:2" s="221" customFormat="1" ht="12.75" x14ac:dyDescent="0.2">
      <c r="B60347" s="1168"/>
    </row>
    <row r="60348" spans="2:2" s="221" customFormat="1" ht="12.75" x14ac:dyDescent="0.2">
      <c r="B60348" s="1168"/>
    </row>
    <row r="60349" spans="2:2" s="221" customFormat="1" ht="12.75" x14ac:dyDescent="0.2">
      <c r="B60349" s="1168"/>
    </row>
    <row r="60350" spans="2:2" s="221" customFormat="1" ht="12.75" x14ac:dyDescent="0.2">
      <c r="B60350" s="1168"/>
    </row>
    <row r="60351" spans="2:2" s="221" customFormat="1" ht="12.75" x14ac:dyDescent="0.2">
      <c r="B60351" s="1168"/>
    </row>
    <row r="60352" spans="2:2" s="221" customFormat="1" ht="12.75" x14ac:dyDescent="0.2">
      <c r="B60352" s="1168"/>
    </row>
    <row r="60353" spans="2:2" s="221" customFormat="1" ht="12.75" x14ac:dyDescent="0.2">
      <c r="B60353" s="1168"/>
    </row>
    <row r="60354" spans="2:2" s="221" customFormat="1" ht="12.75" x14ac:dyDescent="0.2">
      <c r="B60354" s="1168"/>
    </row>
    <row r="60355" spans="2:2" s="221" customFormat="1" ht="12.75" x14ac:dyDescent="0.2">
      <c r="B60355" s="1168"/>
    </row>
    <row r="60356" spans="2:2" s="221" customFormat="1" ht="12.75" x14ac:dyDescent="0.2">
      <c r="B60356" s="1168"/>
    </row>
    <row r="60357" spans="2:2" s="221" customFormat="1" ht="12.75" x14ac:dyDescent="0.2">
      <c r="B60357" s="1168"/>
    </row>
    <row r="60358" spans="2:2" s="221" customFormat="1" ht="12.75" x14ac:dyDescent="0.2">
      <c r="B60358" s="1168"/>
    </row>
    <row r="60359" spans="2:2" s="221" customFormat="1" ht="12.75" x14ac:dyDescent="0.2">
      <c r="B60359" s="1168"/>
    </row>
    <row r="60360" spans="2:2" s="221" customFormat="1" ht="12.75" x14ac:dyDescent="0.2">
      <c r="B60360" s="1168"/>
    </row>
    <row r="60361" spans="2:2" s="221" customFormat="1" ht="12.75" x14ac:dyDescent="0.2">
      <c r="B60361" s="1168"/>
    </row>
    <row r="60362" spans="2:2" s="221" customFormat="1" ht="12.75" x14ac:dyDescent="0.2">
      <c r="B60362" s="1168"/>
    </row>
    <row r="60363" spans="2:2" s="221" customFormat="1" ht="12.75" x14ac:dyDescent="0.2">
      <c r="B60363" s="1168"/>
    </row>
    <row r="60364" spans="2:2" s="221" customFormat="1" ht="12.75" x14ac:dyDescent="0.2">
      <c r="B60364" s="1168"/>
    </row>
    <row r="60365" spans="2:2" s="221" customFormat="1" ht="12.75" x14ac:dyDescent="0.2">
      <c r="B60365" s="1168"/>
    </row>
    <row r="60366" spans="2:2" s="221" customFormat="1" ht="12.75" x14ac:dyDescent="0.2">
      <c r="B60366" s="1168"/>
    </row>
    <row r="60367" spans="2:2" s="221" customFormat="1" ht="12.75" x14ac:dyDescent="0.2">
      <c r="B60367" s="1168"/>
    </row>
    <row r="60368" spans="2:2" s="221" customFormat="1" ht="12.75" x14ac:dyDescent="0.2">
      <c r="B60368" s="1168"/>
    </row>
    <row r="60369" spans="2:2" s="221" customFormat="1" ht="12.75" x14ac:dyDescent="0.2">
      <c r="B60369" s="1168"/>
    </row>
    <row r="60370" spans="2:2" s="221" customFormat="1" ht="12.75" x14ac:dyDescent="0.2">
      <c r="B60370" s="1168"/>
    </row>
    <row r="60371" spans="2:2" s="221" customFormat="1" ht="12.75" x14ac:dyDescent="0.2">
      <c r="B60371" s="1168"/>
    </row>
    <row r="60372" spans="2:2" s="221" customFormat="1" ht="12.75" x14ac:dyDescent="0.2">
      <c r="B60372" s="1168"/>
    </row>
    <row r="60373" spans="2:2" s="221" customFormat="1" ht="12.75" x14ac:dyDescent="0.2">
      <c r="B60373" s="1168"/>
    </row>
    <row r="60374" spans="2:2" s="221" customFormat="1" ht="12.75" x14ac:dyDescent="0.2">
      <c r="B60374" s="1168"/>
    </row>
    <row r="60375" spans="2:2" s="221" customFormat="1" ht="12.75" x14ac:dyDescent="0.2">
      <c r="B60375" s="1168"/>
    </row>
    <row r="60376" spans="2:2" s="221" customFormat="1" ht="12.75" x14ac:dyDescent="0.2">
      <c r="B60376" s="1168"/>
    </row>
    <row r="60377" spans="2:2" s="221" customFormat="1" ht="12.75" x14ac:dyDescent="0.2">
      <c r="B60377" s="1168"/>
    </row>
    <row r="60378" spans="2:2" s="221" customFormat="1" ht="12.75" x14ac:dyDescent="0.2">
      <c r="B60378" s="1168"/>
    </row>
    <row r="60379" spans="2:2" s="221" customFormat="1" ht="12.75" x14ac:dyDescent="0.2">
      <c r="B60379" s="1168"/>
    </row>
    <row r="60380" spans="2:2" s="221" customFormat="1" ht="12.75" x14ac:dyDescent="0.2">
      <c r="B60380" s="1168"/>
    </row>
    <row r="60381" spans="2:2" s="221" customFormat="1" ht="12.75" x14ac:dyDescent="0.2">
      <c r="B60381" s="1168"/>
    </row>
    <row r="60382" spans="2:2" s="221" customFormat="1" ht="12.75" x14ac:dyDescent="0.2">
      <c r="B60382" s="1168"/>
    </row>
    <row r="60383" spans="2:2" s="221" customFormat="1" ht="12.75" x14ac:dyDescent="0.2">
      <c r="B60383" s="1168"/>
    </row>
    <row r="60384" spans="2:2" s="221" customFormat="1" ht="12.75" x14ac:dyDescent="0.2">
      <c r="B60384" s="1168"/>
    </row>
    <row r="60385" spans="2:2" s="221" customFormat="1" ht="12.75" x14ac:dyDescent="0.2">
      <c r="B60385" s="1168"/>
    </row>
    <row r="60386" spans="2:2" s="221" customFormat="1" ht="12.75" x14ac:dyDescent="0.2">
      <c r="B60386" s="1168"/>
    </row>
    <row r="60387" spans="2:2" s="221" customFormat="1" ht="12.75" x14ac:dyDescent="0.2">
      <c r="B60387" s="1168"/>
    </row>
    <row r="60388" spans="2:2" s="221" customFormat="1" ht="12.75" x14ac:dyDescent="0.2">
      <c r="B60388" s="1168"/>
    </row>
    <row r="60389" spans="2:2" s="221" customFormat="1" ht="12.75" x14ac:dyDescent="0.2">
      <c r="B60389" s="1168"/>
    </row>
    <row r="60390" spans="2:2" s="221" customFormat="1" ht="12.75" x14ac:dyDescent="0.2">
      <c r="B60390" s="1168"/>
    </row>
    <row r="60391" spans="2:2" s="221" customFormat="1" ht="12.75" x14ac:dyDescent="0.2">
      <c r="B60391" s="1168"/>
    </row>
    <row r="60392" spans="2:2" s="221" customFormat="1" ht="12.75" x14ac:dyDescent="0.2">
      <c r="B60392" s="1168"/>
    </row>
    <row r="60393" spans="2:2" s="221" customFormat="1" ht="12.75" x14ac:dyDescent="0.2">
      <c r="B60393" s="1168"/>
    </row>
    <row r="60394" spans="2:2" s="221" customFormat="1" ht="12.75" x14ac:dyDescent="0.2">
      <c r="B60394" s="1168"/>
    </row>
    <row r="60395" spans="2:2" s="221" customFormat="1" ht="12.75" x14ac:dyDescent="0.2">
      <c r="B60395" s="1168"/>
    </row>
    <row r="60396" spans="2:2" s="221" customFormat="1" ht="12.75" x14ac:dyDescent="0.2">
      <c r="B60396" s="1168"/>
    </row>
    <row r="60397" spans="2:2" s="221" customFormat="1" ht="12.75" x14ac:dyDescent="0.2">
      <c r="B60397" s="1168"/>
    </row>
    <row r="60398" spans="2:2" s="221" customFormat="1" ht="12.75" x14ac:dyDescent="0.2">
      <c r="B60398" s="1168"/>
    </row>
    <row r="60399" spans="2:2" s="221" customFormat="1" ht="12.75" x14ac:dyDescent="0.2">
      <c r="B60399" s="1168"/>
    </row>
    <row r="60400" spans="2:2" s="221" customFormat="1" ht="12.75" x14ac:dyDescent="0.2">
      <c r="B60400" s="1168"/>
    </row>
    <row r="60401" spans="2:2" s="221" customFormat="1" ht="12.75" x14ac:dyDescent="0.2">
      <c r="B60401" s="1168"/>
    </row>
    <row r="60402" spans="2:2" s="221" customFormat="1" ht="12.75" x14ac:dyDescent="0.2">
      <c r="B60402" s="1168"/>
    </row>
    <row r="60403" spans="2:2" s="221" customFormat="1" ht="12.75" x14ac:dyDescent="0.2">
      <c r="B60403" s="1168"/>
    </row>
    <row r="60404" spans="2:2" s="221" customFormat="1" ht="12.75" x14ac:dyDescent="0.2">
      <c r="B60404" s="1168"/>
    </row>
    <row r="60405" spans="2:2" s="221" customFormat="1" ht="12.75" x14ac:dyDescent="0.2">
      <c r="B60405" s="1168"/>
    </row>
    <row r="60406" spans="2:2" s="221" customFormat="1" ht="12.75" x14ac:dyDescent="0.2">
      <c r="B60406" s="1168"/>
    </row>
    <row r="60407" spans="2:2" s="221" customFormat="1" ht="12.75" x14ac:dyDescent="0.2">
      <c r="B60407" s="1168"/>
    </row>
    <row r="60408" spans="2:2" s="221" customFormat="1" ht="12.75" x14ac:dyDescent="0.2">
      <c r="B60408" s="1168"/>
    </row>
    <row r="60409" spans="2:2" s="221" customFormat="1" ht="12.75" x14ac:dyDescent="0.2">
      <c r="B60409" s="1168"/>
    </row>
    <row r="60410" spans="2:2" s="221" customFormat="1" ht="12.75" x14ac:dyDescent="0.2">
      <c r="B60410" s="1168"/>
    </row>
    <row r="60411" spans="2:2" s="221" customFormat="1" ht="12.75" x14ac:dyDescent="0.2">
      <c r="B60411" s="1168"/>
    </row>
    <row r="60412" spans="2:2" s="221" customFormat="1" ht="12.75" x14ac:dyDescent="0.2">
      <c r="B60412" s="1168"/>
    </row>
    <row r="60413" spans="2:2" s="221" customFormat="1" ht="12.75" x14ac:dyDescent="0.2">
      <c r="B60413" s="1168"/>
    </row>
    <row r="60414" spans="2:2" s="221" customFormat="1" ht="12.75" x14ac:dyDescent="0.2">
      <c r="B60414" s="1168"/>
    </row>
    <row r="60415" spans="2:2" s="221" customFormat="1" ht="12.75" x14ac:dyDescent="0.2">
      <c r="B60415" s="1168"/>
    </row>
    <row r="60416" spans="2:2" s="221" customFormat="1" ht="12.75" x14ac:dyDescent="0.2">
      <c r="B60416" s="1168"/>
    </row>
    <row r="60417" spans="2:2" s="221" customFormat="1" ht="12.75" x14ac:dyDescent="0.2">
      <c r="B60417" s="1168"/>
    </row>
    <row r="60418" spans="2:2" s="221" customFormat="1" ht="12.75" x14ac:dyDescent="0.2">
      <c r="B60418" s="1168"/>
    </row>
    <row r="60419" spans="2:2" s="221" customFormat="1" ht="12.75" x14ac:dyDescent="0.2">
      <c r="B60419" s="1168"/>
    </row>
    <row r="60420" spans="2:2" s="221" customFormat="1" ht="12.75" x14ac:dyDescent="0.2">
      <c r="B60420" s="1168"/>
    </row>
    <row r="60421" spans="2:2" s="221" customFormat="1" ht="12.75" x14ac:dyDescent="0.2">
      <c r="B60421" s="1168"/>
    </row>
    <row r="60422" spans="2:2" s="221" customFormat="1" ht="12.75" x14ac:dyDescent="0.2">
      <c r="B60422" s="1168"/>
    </row>
    <row r="60423" spans="2:2" s="221" customFormat="1" ht="12.75" x14ac:dyDescent="0.2">
      <c r="B60423" s="1168"/>
    </row>
    <row r="60424" spans="2:2" s="221" customFormat="1" ht="12.75" x14ac:dyDescent="0.2">
      <c r="B60424" s="1168"/>
    </row>
    <row r="60425" spans="2:2" s="221" customFormat="1" ht="12.75" x14ac:dyDescent="0.2">
      <c r="B60425" s="1168"/>
    </row>
    <row r="60426" spans="2:2" s="221" customFormat="1" ht="12.75" x14ac:dyDescent="0.2">
      <c r="B60426" s="1168"/>
    </row>
    <row r="60427" spans="2:2" s="221" customFormat="1" ht="12.75" x14ac:dyDescent="0.2">
      <c r="B60427" s="1168"/>
    </row>
    <row r="60428" spans="2:2" s="221" customFormat="1" ht="12.75" x14ac:dyDescent="0.2">
      <c r="B60428" s="1168"/>
    </row>
    <row r="60429" spans="2:2" s="221" customFormat="1" ht="12.75" x14ac:dyDescent="0.2">
      <c r="B60429" s="1168"/>
    </row>
    <row r="60430" spans="2:2" s="221" customFormat="1" ht="12.75" x14ac:dyDescent="0.2">
      <c r="B60430" s="1168"/>
    </row>
    <row r="60431" spans="2:2" s="221" customFormat="1" ht="12.75" x14ac:dyDescent="0.2">
      <c r="B60431" s="1168"/>
    </row>
    <row r="60432" spans="2:2" s="221" customFormat="1" ht="12.75" x14ac:dyDescent="0.2">
      <c r="B60432" s="1168"/>
    </row>
    <row r="60433" spans="2:2" s="221" customFormat="1" ht="12.75" x14ac:dyDescent="0.2">
      <c r="B60433" s="1168"/>
    </row>
    <row r="60434" spans="2:2" s="221" customFormat="1" ht="12.75" x14ac:dyDescent="0.2">
      <c r="B60434" s="1168"/>
    </row>
    <row r="60435" spans="2:2" s="221" customFormat="1" ht="12.75" x14ac:dyDescent="0.2">
      <c r="B60435" s="1168"/>
    </row>
    <row r="60436" spans="2:2" s="221" customFormat="1" ht="12.75" x14ac:dyDescent="0.2">
      <c r="B60436" s="1168"/>
    </row>
    <row r="60437" spans="2:2" s="221" customFormat="1" ht="12.75" x14ac:dyDescent="0.2">
      <c r="B60437" s="1168"/>
    </row>
    <row r="60438" spans="2:2" s="221" customFormat="1" ht="12.75" x14ac:dyDescent="0.2">
      <c r="B60438" s="1168"/>
    </row>
    <row r="60439" spans="2:2" s="221" customFormat="1" ht="12.75" x14ac:dyDescent="0.2">
      <c r="B60439" s="1168"/>
    </row>
    <row r="60440" spans="2:2" s="221" customFormat="1" ht="12.75" x14ac:dyDescent="0.2">
      <c r="B60440" s="1168"/>
    </row>
    <row r="60441" spans="2:2" s="221" customFormat="1" ht="12.75" x14ac:dyDescent="0.2">
      <c r="B60441" s="1168"/>
    </row>
    <row r="60442" spans="2:2" s="221" customFormat="1" ht="12.75" x14ac:dyDescent="0.2">
      <c r="B60442" s="1168"/>
    </row>
    <row r="60443" spans="2:2" s="221" customFormat="1" ht="12.75" x14ac:dyDescent="0.2">
      <c r="B60443" s="1168"/>
    </row>
    <row r="60444" spans="2:2" s="221" customFormat="1" ht="12.75" x14ac:dyDescent="0.2">
      <c r="B60444" s="1168"/>
    </row>
    <row r="60445" spans="2:2" s="221" customFormat="1" ht="12.75" x14ac:dyDescent="0.2">
      <c r="B60445" s="1168"/>
    </row>
    <row r="60446" spans="2:2" s="221" customFormat="1" ht="12.75" x14ac:dyDescent="0.2">
      <c r="B60446" s="1168"/>
    </row>
    <row r="60447" spans="2:2" s="221" customFormat="1" ht="12.75" x14ac:dyDescent="0.2">
      <c r="B60447" s="1168"/>
    </row>
    <row r="60448" spans="2:2" s="221" customFormat="1" ht="12.75" x14ac:dyDescent="0.2">
      <c r="B60448" s="1168"/>
    </row>
    <row r="60449" spans="2:2" s="221" customFormat="1" ht="12.75" x14ac:dyDescent="0.2">
      <c r="B60449" s="1168"/>
    </row>
    <row r="60450" spans="2:2" s="221" customFormat="1" ht="12.75" x14ac:dyDescent="0.2">
      <c r="B60450" s="1168"/>
    </row>
    <row r="60451" spans="2:2" s="221" customFormat="1" ht="12.75" x14ac:dyDescent="0.2">
      <c r="B60451" s="1168"/>
    </row>
    <row r="60452" spans="2:2" s="221" customFormat="1" ht="12.75" x14ac:dyDescent="0.2">
      <c r="B60452" s="1168"/>
    </row>
    <row r="60453" spans="2:2" s="221" customFormat="1" ht="12.75" x14ac:dyDescent="0.2">
      <c r="B60453" s="1168"/>
    </row>
    <row r="60454" spans="2:2" s="221" customFormat="1" ht="12.75" x14ac:dyDescent="0.2">
      <c r="B60454" s="1168"/>
    </row>
    <row r="60455" spans="2:2" s="221" customFormat="1" ht="12.75" x14ac:dyDescent="0.2">
      <c r="B60455" s="1168"/>
    </row>
    <row r="60456" spans="2:2" s="221" customFormat="1" ht="12.75" x14ac:dyDescent="0.2">
      <c r="B60456" s="1168"/>
    </row>
    <row r="60457" spans="2:2" s="221" customFormat="1" ht="12.75" x14ac:dyDescent="0.2">
      <c r="B60457" s="1168"/>
    </row>
    <row r="60458" spans="2:2" s="221" customFormat="1" ht="12.75" x14ac:dyDescent="0.2">
      <c r="B60458" s="1168"/>
    </row>
    <row r="60459" spans="2:2" s="221" customFormat="1" ht="12.75" x14ac:dyDescent="0.2">
      <c r="B60459" s="1168"/>
    </row>
    <row r="60460" spans="2:2" s="221" customFormat="1" ht="12.75" x14ac:dyDescent="0.2">
      <c r="B60460" s="1168"/>
    </row>
    <row r="60461" spans="2:2" s="221" customFormat="1" ht="12.75" x14ac:dyDescent="0.2">
      <c r="B60461" s="1168"/>
    </row>
    <row r="60462" spans="2:2" s="221" customFormat="1" ht="12.75" x14ac:dyDescent="0.2">
      <c r="B60462" s="1168"/>
    </row>
    <row r="60463" spans="2:2" s="221" customFormat="1" ht="12.75" x14ac:dyDescent="0.2">
      <c r="B60463" s="1168"/>
    </row>
    <row r="60464" spans="2:2" s="221" customFormat="1" ht="12.75" x14ac:dyDescent="0.2">
      <c r="B60464" s="1168"/>
    </row>
    <row r="60465" spans="2:2" s="221" customFormat="1" ht="12.75" x14ac:dyDescent="0.2">
      <c r="B60465" s="1168"/>
    </row>
    <row r="60466" spans="2:2" s="221" customFormat="1" ht="12.75" x14ac:dyDescent="0.2">
      <c r="B60466" s="1168"/>
    </row>
    <row r="60467" spans="2:2" s="221" customFormat="1" ht="12.75" x14ac:dyDescent="0.2">
      <c r="B60467" s="1168"/>
    </row>
    <row r="60468" spans="2:2" s="221" customFormat="1" ht="12.75" x14ac:dyDescent="0.2">
      <c r="B60468" s="1168"/>
    </row>
    <row r="60469" spans="2:2" s="221" customFormat="1" ht="12.75" x14ac:dyDescent="0.2">
      <c r="B60469" s="1168"/>
    </row>
    <row r="60470" spans="2:2" s="221" customFormat="1" ht="12.75" x14ac:dyDescent="0.2">
      <c r="B60470" s="1168"/>
    </row>
    <row r="60471" spans="2:2" s="221" customFormat="1" ht="12.75" x14ac:dyDescent="0.2">
      <c r="B60471" s="1168"/>
    </row>
    <row r="60472" spans="2:2" s="221" customFormat="1" ht="12.75" x14ac:dyDescent="0.2">
      <c r="B60472" s="1168"/>
    </row>
    <row r="60473" spans="2:2" s="221" customFormat="1" ht="12.75" x14ac:dyDescent="0.2">
      <c r="B60473" s="1168"/>
    </row>
    <row r="60474" spans="2:2" s="221" customFormat="1" ht="12.75" x14ac:dyDescent="0.2">
      <c r="B60474" s="1168"/>
    </row>
    <row r="60475" spans="2:2" s="221" customFormat="1" ht="12.75" x14ac:dyDescent="0.2">
      <c r="B60475" s="1168"/>
    </row>
    <row r="60476" spans="2:2" s="221" customFormat="1" ht="12.75" x14ac:dyDescent="0.2">
      <c r="B60476" s="1168"/>
    </row>
    <row r="60477" spans="2:2" s="221" customFormat="1" ht="12.75" x14ac:dyDescent="0.2">
      <c r="B60477" s="1168"/>
    </row>
    <row r="60478" spans="2:2" s="221" customFormat="1" ht="12.75" x14ac:dyDescent="0.2">
      <c r="B60478" s="1168"/>
    </row>
    <row r="60479" spans="2:2" s="221" customFormat="1" ht="12.75" x14ac:dyDescent="0.2">
      <c r="B60479" s="1168"/>
    </row>
    <row r="60480" spans="2:2" s="221" customFormat="1" ht="12.75" x14ac:dyDescent="0.2">
      <c r="B60480" s="1168"/>
    </row>
    <row r="60481" spans="2:2" s="221" customFormat="1" ht="12.75" x14ac:dyDescent="0.2">
      <c r="B60481" s="1168"/>
    </row>
    <row r="60482" spans="2:2" s="221" customFormat="1" ht="12.75" x14ac:dyDescent="0.2">
      <c r="B60482" s="1168"/>
    </row>
    <row r="60483" spans="2:2" s="221" customFormat="1" ht="12.75" x14ac:dyDescent="0.2">
      <c r="B60483" s="1168"/>
    </row>
    <row r="60484" spans="2:2" s="221" customFormat="1" ht="12.75" x14ac:dyDescent="0.2">
      <c r="B60484" s="1168"/>
    </row>
    <row r="60485" spans="2:2" s="221" customFormat="1" ht="12.75" x14ac:dyDescent="0.2">
      <c r="B60485" s="1168"/>
    </row>
    <row r="60486" spans="2:2" s="221" customFormat="1" ht="12.75" x14ac:dyDescent="0.2">
      <c r="B60486" s="1168"/>
    </row>
    <row r="60487" spans="2:2" s="221" customFormat="1" ht="12.75" x14ac:dyDescent="0.2">
      <c r="B60487" s="1168"/>
    </row>
    <row r="60488" spans="2:2" s="221" customFormat="1" ht="12.75" x14ac:dyDescent="0.2">
      <c r="B60488" s="1168"/>
    </row>
    <row r="60489" spans="2:2" s="221" customFormat="1" ht="12.75" x14ac:dyDescent="0.2">
      <c r="B60489" s="1168"/>
    </row>
    <row r="60490" spans="2:2" s="221" customFormat="1" ht="12.75" x14ac:dyDescent="0.2">
      <c r="B60490" s="1168"/>
    </row>
    <row r="60491" spans="2:2" s="221" customFormat="1" ht="12.75" x14ac:dyDescent="0.2">
      <c r="B60491" s="1168"/>
    </row>
    <row r="60492" spans="2:2" s="221" customFormat="1" ht="12.75" x14ac:dyDescent="0.2">
      <c r="B60492" s="1168"/>
    </row>
    <row r="60493" spans="2:2" s="221" customFormat="1" ht="12.75" x14ac:dyDescent="0.2">
      <c r="B60493" s="1168"/>
    </row>
    <row r="60494" spans="2:2" s="221" customFormat="1" ht="12.75" x14ac:dyDescent="0.2">
      <c r="B60494" s="1168"/>
    </row>
    <row r="60495" spans="2:2" s="221" customFormat="1" ht="12.75" x14ac:dyDescent="0.2">
      <c r="B60495" s="1168"/>
    </row>
    <row r="60496" spans="2:2" s="221" customFormat="1" ht="12.75" x14ac:dyDescent="0.2">
      <c r="B60496" s="1168"/>
    </row>
    <row r="60497" spans="2:2" s="221" customFormat="1" ht="12.75" x14ac:dyDescent="0.2">
      <c r="B60497" s="1168"/>
    </row>
    <row r="60498" spans="2:2" s="221" customFormat="1" ht="12.75" x14ac:dyDescent="0.2">
      <c r="B60498" s="1168"/>
    </row>
    <row r="60499" spans="2:2" s="221" customFormat="1" ht="12.75" x14ac:dyDescent="0.2">
      <c r="B60499" s="1168"/>
    </row>
    <row r="60500" spans="2:2" s="221" customFormat="1" ht="12.75" x14ac:dyDescent="0.2">
      <c r="B60500" s="1168"/>
    </row>
    <row r="60501" spans="2:2" s="221" customFormat="1" ht="12.75" x14ac:dyDescent="0.2">
      <c r="B60501" s="1168"/>
    </row>
    <row r="60502" spans="2:2" s="221" customFormat="1" ht="12.75" x14ac:dyDescent="0.2">
      <c r="B60502" s="1168"/>
    </row>
    <row r="60503" spans="2:2" s="221" customFormat="1" ht="12.75" x14ac:dyDescent="0.2">
      <c r="B60503" s="1168"/>
    </row>
    <row r="60504" spans="2:2" s="221" customFormat="1" ht="12.75" x14ac:dyDescent="0.2">
      <c r="B60504" s="1168"/>
    </row>
    <row r="60505" spans="2:2" s="221" customFormat="1" ht="12.75" x14ac:dyDescent="0.2">
      <c r="B60505" s="1168"/>
    </row>
    <row r="60506" spans="2:2" s="221" customFormat="1" ht="12.75" x14ac:dyDescent="0.2">
      <c r="B60506" s="1168"/>
    </row>
    <row r="60507" spans="2:2" s="221" customFormat="1" ht="12.75" x14ac:dyDescent="0.2">
      <c r="B60507" s="1168"/>
    </row>
    <row r="60508" spans="2:2" s="221" customFormat="1" ht="12.75" x14ac:dyDescent="0.2">
      <c r="B60508" s="1168"/>
    </row>
    <row r="60509" spans="2:2" s="221" customFormat="1" ht="12.75" x14ac:dyDescent="0.2">
      <c r="B60509" s="1168"/>
    </row>
    <row r="60510" spans="2:2" s="221" customFormat="1" ht="12.75" x14ac:dyDescent="0.2">
      <c r="B60510" s="1168"/>
    </row>
    <row r="60511" spans="2:2" s="221" customFormat="1" ht="12.75" x14ac:dyDescent="0.2">
      <c r="B60511" s="1168"/>
    </row>
    <row r="60512" spans="2:2" s="221" customFormat="1" ht="12.75" x14ac:dyDescent="0.2">
      <c r="B60512" s="1168"/>
    </row>
    <row r="60513" spans="2:2" s="221" customFormat="1" ht="12.75" x14ac:dyDescent="0.2">
      <c r="B60513" s="1168"/>
    </row>
    <row r="60514" spans="2:2" s="221" customFormat="1" ht="12.75" x14ac:dyDescent="0.2">
      <c r="B60514" s="1168"/>
    </row>
    <row r="60515" spans="2:2" s="221" customFormat="1" ht="12.75" x14ac:dyDescent="0.2">
      <c r="B60515" s="1168"/>
    </row>
    <row r="60516" spans="2:2" s="221" customFormat="1" ht="12.75" x14ac:dyDescent="0.2">
      <c r="B60516" s="1168"/>
    </row>
    <row r="60517" spans="2:2" s="221" customFormat="1" ht="12.75" x14ac:dyDescent="0.2">
      <c r="B60517" s="1168"/>
    </row>
    <row r="60518" spans="2:2" s="221" customFormat="1" ht="12.75" x14ac:dyDescent="0.2">
      <c r="B60518" s="1168"/>
    </row>
    <row r="60519" spans="2:2" s="221" customFormat="1" ht="12.75" x14ac:dyDescent="0.2">
      <c r="B60519" s="1168"/>
    </row>
    <row r="60520" spans="2:2" s="221" customFormat="1" ht="12.75" x14ac:dyDescent="0.2">
      <c r="B60520" s="1168"/>
    </row>
    <row r="60521" spans="2:2" s="221" customFormat="1" ht="12.75" x14ac:dyDescent="0.2">
      <c r="B60521" s="1168"/>
    </row>
    <row r="60522" spans="2:2" s="221" customFormat="1" ht="12.75" x14ac:dyDescent="0.2">
      <c r="B60522" s="1168"/>
    </row>
    <row r="60523" spans="2:2" s="221" customFormat="1" ht="12.75" x14ac:dyDescent="0.2">
      <c r="B60523" s="1168"/>
    </row>
    <row r="60524" spans="2:2" s="221" customFormat="1" ht="12.75" x14ac:dyDescent="0.2">
      <c r="B60524" s="1168"/>
    </row>
    <row r="60525" spans="2:2" s="221" customFormat="1" ht="12.75" x14ac:dyDescent="0.2">
      <c r="B60525" s="1168"/>
    </row>
    <row r="60526" spans="2:2" s="221" customFormat="1" ht="12.75" x14ac:dyDescent="0.2">
      <c r="B60526" s="1168"/>
    </row>
    <row r="60527" spans="2:2" s="221" customFormat="1" ht="12.75" x14ac:dyDescent="0.2">
      <c r="B60527" s="1168"/>
    </row>
    <row r="60528" spans="2:2" s="221" customFormat="1" ht="12.75" x14ac:dyDescent="0.2">
      <c r="B60528" s="1168"/>
    </row>
    <row r="60529" spans="2:2" s="221" customFormat="1" ht="12.75" x14ac:dyDescent="0.2">
      <c r="B60529" s="1168"/>
    </row>
    <row r="60530" spans="2:2" s="221" customFormat="1" ht="12.75" x14ac:dyDescent="0.2">
      <c r="B60530" s="1168"/>
    </row>
    <row r="60531" spans="2:2" s="221" customFormat="1" ht="12.75" x14ac:dyDescent="0.2">
      <c r="B60531" s="1168"/>
    </row>
    <row r="60532" spans="2:2" s="221" customFormat="1" ht="12.75" x14ac:dyDescent="0.2">
      <c r="B60532" s="1168"/>
    </row>
    <row r="60533" spans="2:2" s="221" customFormat="1" ht="12.75" x14ac:dyDescent="0.2">
      <c r="B60533" s="1168"/>
    </row>
    <row r="60534" spans="2:2" s="221" customFormat="1" ht="12.75" x14ac:dyDescent="0.2">
      <c r="B60534" s="1168"/>
    </row>
    <row r="60535" spans="2:2" s="221" customFormat="1" ht="12.75" x14ac:dyDescent="0.2">
      <c r="B60535" s="1168"/>
    </row>
    <row r="60536" spans="2:2" s="221" customFormat="1" ht="12.75" x14ac:dyDescent="0.2">
      <c r="B60536" s="1168"/>
    </row>
    <row r="60537" spans="2:2" s="221" customFormat="1" ht="12.75" x14ac:dyDescent="0.2">
      <c r="B60537" s="1168"/>
    </row>
    <row r="60538" spans="2:2" s="221" customFormat="1" ht="12.75" x14ac:dyDescent="0.2">
      <c r="B60538" s="1168"/>
    </row>
    <row r="60539" spans="2:2" s="221" customFormat="1" ht="12.75" x14ac:dyDescent="0.2">
      <c r="B60539" s="1168"/>
    </row>
    <row r="60540" spans="2:2" s="221" customFormat="1" ht="12.75" x14ac:dyDescent="0.2">
      <c r="B60540" s="1168"/>
    </row>
    <row r="60541" spans="2:2" s="221" customFormat="1" ht="12.75" x14ac:dyDescent="0.2">
      <c r="B60541" s="1168"/>
    </row>
    <row r="60542" spans="2:2" s="221" customFormat="1" ht="12.75" x14ac:dyDescent="0.2">
      <c r="B60542" s="1168"/>
    </row>
    <row r="60543" spans="2:2" s="221" customFormat="1" ht="12.75" x14ac:dyDescent="0.2">
      <c r="B60543" s="1168"/>
    </row>
    <row r="60544" spans="2:2" s="221" customFormat="1" ht="12.75" x14ac:dyDescent="0.2">
      <c r="B60544" s="1168"/>
    </row>
    <row r="60545" spans="2:2" s="221" customFormat="1" ht="12.75" x14ac:dyDescent="0.2">
      <c r="B60545" s="1168"/>
    </row>
    <row r="60546" spans="2:2" s="221" customFormat="1" ht="12.75" x14ac:dyDescent="0.2">
      <c r="B60546" s="1168"/>
    </row>
    <row r="60547" spans="2:2" s="221" customFormat="1" ht="12.75" x14ac:dyDescent="0.2">
      <c r="B60547" s="1168"/>
    </row>
    <row r="60548" spans="2:2" s="221" customFormat="1" ht="12.75" x14ac:dyDescent="0.2">
      <c r="B60548" s="1168"/>
    </row>
    <row r="60549" spans="2:2" s="221" customFormat="1" ht="12.75" x14ac:dyDescent="0.2">
      <c r="B60549" s="1168"/>
    </row>
    <row r="60550" spans="2:2" s="221" customFormat="1" ht="12.75" x14ac:dyDescent="0.2">
      <c r="B60550" s="1168"/>
    </row>
    <row r="60551" spans="2:2" s="221" customFormat="1" ht="12.75" x14ac:dyDescent="0.2">
      <c r="B60551" s="1168"/>
    </row>
    <row r="60552" spans="2:2" s="221" customFormat="1" ht="12.75" x14ac:dyDescent="0.2">
      <c r="B60552" s="1168"/>
    </row>
    <row r="60553" spans="2:2" s="221" customFormat="1" ht="12.75" x14ac:dyDescent="0.2">
      <c r="B60553" s="1168"/>
    </row>
    <row r="60554" spans="2:2" s="221" customFormat="1" ht="12.75" x14ac:dyDescent="0.2">
      <c r="B60554" s="1168"/>
    </row>
    <row r="60555" spans="2:2" s="221" customFormat="1" ht="12.75" x14ac:dyDescent="0.2">
      <c r="B60555" s="1168"/>
    </row>
    <row r="60556" spans="2:2" s="221" customFormat="1" ht="12.75" x14ac:dyDescent="0.2">
      <c r="B60556" s="1168"/>
    </row>
    <row r="60557" spans="2:2" s="221" customFormat="1" ht="12.75" x14ac:dyDescent="0.2">
      <c r="B60557" s="1168"/>
    </row>
    <row r="60558" spans="2:2" s="221" customFormat="1" ht="12.75" x14ac:dyDescent="0.2">
      <c r="B60558" s="1168"/>
    </row>
    <row r="60559" spans="2:2" s="221" customFormat="1" ht="12.75" x14ac:dyDescent="0.2">
      <c r="B60559" s="1168"/>
    </row>
    <row r="60560" spans="2:2" s="221" customFormat="1" ht="12.75" x14ac:dyDescent="0.2">
      <c r="B60560" s="1168"/>
    </row>
    <row r="60561" spans="2:2" s="221" customFormat="1" ht="12.75" x14ac:dyDescent="0.2">
      <c r="B60561" s="1168"/>
    </row>
    <row r="60562" spans="2:2" s="221" customFormat="1" ht="12.75" x14ac:dyDescent="0.2">
      <c r="B60562" s="1168"/>
    </row>
    <row r="60563" spans="2:2" s="221" customFormat="1" ht="12.75" x14ac:dyDescent="0.2">
      <c r="B60563" s="1168"/>
    </row>
    <row r="60564" spans="2:2" s="221" customFormat="1" ht="12.75" x14ac:dyDescent="0.2">
      <c r="B60564" s="1168"/>
    </row>
    <row r="60565" spans="2:2" s="221" customFormat="1" ht="12.75" x14ac:dyDescent="0.2">
      <c r="B60565" s="1168"/>
    </row>
    <row r="60566" spans="2:2" s="221" customFormat="1" ht="12.75" x14ac:dyDescent="0.2">
      <c r="B60566" s="1168"/>
    </row>
    <row r="60567" spans="2:2" s="221" customFormat="1" ht="12.75" x14ac:dyDescent="0.2">
      <c r="B60567" s="1168"/>
    </row>
    <row r="60568" spans="2:2" s="221" customFormat="1" ht="12.75" x14ac:dyDescent="0.2">
      <c r="B60568" s="1168"/>
    </row>
    <row r="60569" spans="2:2" s="221" customFormat="1" ht="12.75" x14ac:dyDescent="0.2">
      <c r="B60569" s="1168"/>
    </row>
    <row r="60570" spans="2:2" s="221" customFormat="1" ht="12.75" x14ac:dyDescent="0.2">
      <c r="B60570" s="1168"/>
    </row>
    <row r="60571" spans="2:2" s="221" customFormat="1" ht="12.75" x14ac:dyDescent="0.2">
      <c r="B60571" s="1168"/>
    </row>
    <row r="60572" spans="2:2" s="221" customFormat="1" ht="12.75" x14ac:dyDescent="0.2">
      <c r="B60572" s="1168"/>
    </row>
    <row r="60573" spans="2:2" s="221" customFormat="1" ht="12.75" x14ac:dyDescent="0.2">
      <c r="B60573" s="1168"/>
    </row>
    <row r="60574" spans="2:2" s="221" customFormat="1" ht="12.75" x14ac:dyDescent="0.2">
      <c r="B60574" s="1168"/>
    </row>
    <row r="60575" spans="2:2" s="221" customFormat="1" ht="12.75" x14ac:dyDescent="0.2">
      <c r="B60575" s="1168"/>
    </row>
    <row r="60576" spans="2:2" s="221" customFormat="1" ht="12.75" x14ac:dyDescent="0.2">
      <c r="B60576" s="1168"/>
    </row>
    <row r="60577" spans="2:2" s="221" customFormat="1" ht="12.75" x14ac:dyDescent="0.2">
      <c r="B60577" s="1168"/>
    </row>
    <row r="60578" spans="2:2" s="221" customFormat="1" ht="12.75" x14ac:dyDescent="0.2">
      <c r="B60578" s="1168"/>
    </row>
    <row r="60579" spans="2:2" s="221" customFormat="1" ht="12.75" x14ac:dyDescent="0.2">
      <c r="B60579" s="1168"/>
    </row>
    <row r="60580" spans="2:2" s="221" customFormat="1" ht="12.75" x14ac:dyDescent="0.2">
      <c r="B60580" s="1168"/>
    </row>
    <row r="60581" spans="2:2" s="221" customFormat="1" ht="12.75" x14ac:dyDescent="0.2">
      <c r="B60581" s="1168"/>
    </row>
    <row r="60582" spans="2:2" s="221" customFormat="1" ht="12.75" x14ac:dyDescent="0.2">
      <c r="B60582" s="1168"/>
    </row>
    <row r="60583" spans="2:2" s="221" customFormat="1" ht="12.75" x14ac:dyDescent="0.2">
      <c r="B60583" s="1168"/>
    </row>
    <row r="60584" spans="2:2" s="221" customFormat="1" ht="12.75" x14ac:dyDescent="0.2">
      <c r="B60584" s="1168"/>
    </row>
    <row r="60585" spans="2:2" s="221" customFormat="1" ht="12.75" x14ac:dyDescent="0.2">
      <c r="B60585" s="1168"/>
    </row>
    <row r="60586" spans="2:2" s="221" customFormat="1" ht="12.75" x14ac:dyDescent="0.2">
      <c r="B60586" s="1168"/>
    </row>
    <row r="60587" spans="2:2" s="221" customFormat="1" ht="12.75" x14ac:dyDescent="0.2">
      <c r="B60587" s="1168"/>
    </row>
    <row r="60588" spans="2:2" s="221" customFormat="1" ht="12.75" x14ac:dyDescent="0.2">
      <c r="B60588" s="1168"/>
    </row>
    <row r="60589" spans="2:2" s="221" customFormat="1" ht="12.75" x14ac:dyDescent="0.2">
      <c r="B60589" s="1168"/>
    </row>
    <row r="60590" spans="2:2" s="221" customFormat="1" ht="12.75" x14ac:dyDescent="0.2">
      <c r="B60590" s="1168"/>
    </row>
    <row r="60591" spans="2:2" s="221" customFormat="1" ht="12.75" x14ac:dyDescent="0.2">
      <c r="B60591" s="1168"/>
    </row>
    <row r="60592" spans="2:2" s="221" customFormat="1" ht="12.75" x14ac:dyDescent="0.2">
      <c r="B60592" s="1168"/>
    </row>
    <row r="60593" spans="2:2" s="221" customFormat="1" ht="12.75" x14ac:dyDescent="0.2">
      <c r="B60593" s="1168"/>
    </row>
    <row r="60594" spans="2:2" s="221" customFormat="1" ht="12.75" x14ac:dyDescent="0.2">
      <c r="B60594" s="1168"/>
    </row>
    <row r="60595" spans="2:2" s="221" customFormat="1" ht="12.75" x14ac:dyDescent="0.2">
      <c r="B60595" s="1168"/>
    </row>
    <row r="60596" spans="2:2" s="221" customFormat="1" ht="12.75" x14ac:dyDescent="0.2">
      <c r="B60596" s="1168"/>
    </row>
    <row r="60597" spans="2:2" s="221" customFormat="1" ht="12.75" x14ac:dyDescent="0.2">
      <c r="B60597" s="1168"/>
    </row>
    <row r="60598" spans="2:2" s="221" customFormat="1" ht="12.75" x14ac:dyDescent="0.2">
      <c r="B60598" s="1168"/>
    </row>
    <row r="60599" spans="2:2" s="221" customFormat="1" ht="12.75" x14ac:dyDescent="0.2">
      <c r="B60599" s="1168"/>
    </row>
    <row r="60600" spans="2:2" s="221" customFormat="1" ht="12.75" x14ac:dyDescent="0.2">
      <c r="B60600" s="1168"/>
    </row>
    <row r="60601" spans="2:2" s="221" customFormat="1" ht="12.75" x14ac:dyDescent="0.2">
      <c r="B60601" s="1168"/>
    </row>
    <row r="60602" spans="2:2" s="221" customFormat="1" ht="12.75" x14ac:dyDescent="0.2">
      <c r="B60602" s="1168"/>
    </row>
    <row r="60603" spans="2:2" s="221" customFormat="1" ht="12.75" x14ac:dyDescent="0.2">
      <c r="B60603" s="1168"/>
    </row>
    <row r="60604" spans="2:2" s="221" customFormat="1" ht="12.75" x14ac:dyDescent="0.2">
      <c r="B60604" s="1168"/>
    </row>
    <row r="60605" spans="2:2" s="221" customFormat="1" ht="12.75" x14ac:dyDescent="0.2">
      <c r="B60605" s="1168"/>
    </row>
    <row r="60606" spans="2:2" s="221" customFormat="1" ht="12.75" x14ac:dyDescent="0.2">
      <c r="B60606" s="1168"/>
    </row>
    <row r="60607" spans="2:2" s="221" customFormat="1" ht="12.75" x14ac:dyDescent="0.2">
      <c r="B60607" s="1168"/>
    </row>
    <row r="60608" spans="2:2" s="221" customFormat="1" ht="12.75" x14ac:dyDescent="0.2">
      <c r="B60608" s="1168"/>
    </row>
    <row r="60609" spans="2:2" s="221" customFormat="1" ht="12.75" x14ac:dyDescent="0.2">
      <c r="B60609" s="1168"/>
    </row>
    <row r="60610" spans="2:2" s="221" customFormat="1" ht="12.75" x14ac:dyDescent="0.2">
      <c r="B60610" s="1168"/>
    </row>
    <row r="60611" spans="2:2" s="221" customFormat="1" ht="12.75" x14ac:dyDescent="0.2">
      <c r="B60611" s="1168"/>
    </row>
    <row r="60612" spans="2:2" s="221" customFormat="1" ht="12.75" x14ac:dyDescent="0.2">
      <c r="B60612" s="1168"/>
    </row>
    <row r="60613" spans="2:2" s="221" customFormat="1" ht="12.75" x14ac:dyDescent="0.2">
      <c r="B60613" s="1168"/>
    </row>
    <row r="60614" spans="2:2" s="221" customFormat="1" ht="12.75" x14ac:dyDescent="0.2">
      <c r="B60614" s="1168"/>
    </row>
    <row r="60615" spans="2:2" s="221" customFormat="1" ht="12.75" x14ac:dyDescent="0.2">
      <c r="B60615" s="1168"/>
    </row>
    <row r="60616" spans="2:2" s="221" customFormat="1" ht="12.75" x14ac:dyDescent="0.2">
      <c r="B60616" s="1168"/>
    </row>
    <row r="60617" spans="2:2" s="221" customFormat="1" ht="12.75" x14ac:dyDescent="0.2">
      <c r="B60617" s="1168"/>
    </row>
    <row r="60618" spans="2:2" s="221" customFormat="1" ht="12.75" x14ac:dyDescent="0.2">
      <c r="B60618" s="1168"/>
    </row>
    <row r="60619" spans="2:2" s="221" customFormat="1" ht="12.75" x14ac:dyDescent="0.2">
      <c r="B60619" s="1168"/>
    </row>
    <row r="60620" spans="2:2" s="221" customFormat="1" ht="12.75" x14ac:dyDescent="0.2">
      <c r="B60620" s="1168"/>
    </row>
    <row r="60621" spans="2:2" s="221" customFormat="1" ht="12.75" x14ac:dyDescent="0.2">
      <c r="B60621" s="1168"/>
    </row>
    <row r="60622" spans="2:2" s="221" customFormat="1" ht="12.75" x14ac:dyDescent="0.2">
      <c r="B60622" s="1168"/>
    </row>
    <row r="60623" spans="2:2" s="221" customFormat="1" ht="12.75" x14ac:dyDescent="0.2">
      <c r="B60623" s="1168"/>
    </row>
    <row r="60624" spans="2:2" s="221" customFormat="1" ht="12.75" x14ac:dyDescent="0.2">
      <c r="B60624" s="1168"/>
    </row>
    <row r="60625" spans="2:2" s="221" customFormat="1" ht="12.75" x14ac:dyDescent="0.2">
      <c r="B60625" s="1168"/>
    </row>
    <row r="60626" spans="2:2" s="221" customFormat="1" ht="12.75" x14ac:dyDescent="0.2">
      <c r="B60626" s="1168"/>
    </row>
    <row r="60627" spans="2:2" s="221" customFormat="1" ht="12.75" x14ac:dyDescent="0.2">
      <c r="B60627" s="1168"/>
    </row>
    <row r="60628" spans="2:2" s="221" customFormat="1" ht="12.75" x14ac:dyDescent="0.2">
      <c r="B60628" s="1168"/>
    </row>
    <row r="60629" spans="2:2" s="221" customFormat="1" ht="12.75" x14ac:dyDescent="0.2">
      <c r="B60629" s="1168"/>
    </row>
    <row r="60630" spans="2:2" s="221" customFormat="1" ht="12.75" x14ac:dyDescent="0.2">
      <c r="B60630" s="1168"/>
    </row>
    <row r="60631" spans="2:2" s="221" customFormat="1" ht="12.75" x14ac:dyDescent="0.2">
      <c r="B60631" s="1168"/>
    </row>
    <row r="60632" spans="2:2" s="221" customFormat="1" ht="12.75" x14ac:dyDescent="0.2">
      <c r="B60632" s="1168"/>
    </row>
    <row r="60633" spans="2:2" s="221" customFormat="1" ht="12.75" x14ac:dyDescent="0.2">
      <c r="B60633" s="1168"/>
    </row>
    <row r="60634" spans="2:2" s="221" customFormat="1" ht="12.75" x14ac:dyDescent="0.2">
      <c r="B60634" s="1168"/>
    </row>
    <row r="60635" spans="2:2" s="221" customFormat="1" ht="12.75" x14ac:dyDescent="0.2">
      <c r="B60635" s="1168"/>
    </row>
    <row r="60636" spans="2:2" s="221" customFormat="1" ht="12.75" x14ac:dyDescent="0.2">
      <c r="B60636" s="1168"/>
    </row>
    <row r="60637" spans="2:2" s="221" customFormat="1" ht="12.75" x14ac:dyDescent="0.2">
      <c r="B60637" s="1168"/>
    </row>
    <row r="60638" spans="2:2" s="221" customFormat="1" ht="12.75" x14ac:dyDescent="0.2">
      <c r="B60638" s="1168"/>
    </row>
    <row r="60639" spans="2:2" s="221" customFormat="1" ht="12.75" x14ac:dyDescent="0.2">
      <c r="B60639" s="1168"/>
    </row>
    <row r="60640" spans="2:2" s="221" customFormat="1" ht="12.75" x14ac:dyDescent="0.2">
      <c r="B60640" s="1168"/>
    </row>
    <row r="60641" spans="2:2" s="221" customFormat="1" ht="12.75" x14ac:dyDescent="0.2">
      <c r="B60641" s="1168"/>
    </row>
    <row r="60642" spans="2:2" s="221" customFormat="1" ht="12.75" x14ac:dyDescent="0.2">
      <c r="B60642" s="1168"/>
    </row>
    <row r="60643" spans="2:2" s="221" customFormat="1" ht="12.75" x14ac:dyDescent="0.2">
      <c r="B60643" s="1168"/>
    </row>
    <row r="60644" spans="2:2" s="221" customFormat="1" ht="12.75" x14ac:dyDescent="0.2">
      <c r="B60644" s="1168"/>
    </row>
    <row r="60645" spans="2:2" s="221" customFormat="1" ht="12.75" x14ac:dyDescent="0.2">
      <c r="B60645" s="1168"/>
    </row>
    <row r="60646" spans="2:2" s="221" customFormat="1" ht="12.75" x14ac:dyDescent="0.2">
      <c r="B60646" s="1168"/>
    </row>
    <row r="60647" spans="2:2" s="221" customFormat="1" ht="12.75" x14ac:dyDescent="0.2">
      <c r="B60647" s="1168"/>
    </row>
    <row r="60648" spans="2:2" s="221" customFormat="1" ht="12.75" x14ac:dyDescent="0.2">
      <c r="B60648" s="1168"/>
    </row>
    <row r="60649" spans="2:2" s="221" customFormat="1" ht="12.75" x14ac:dyDescent="0.2">
      <c r="B60649" s="1168"/>
    </row>
    <row r="60650" spans="2:2" s="221" customFormat="1" ht="12.75" x14ac:dyDescent="0.2">
      <c r="B60650" s="1168"/>
    </row>
    <row r="60651" spans="2:2" s="221" customFormat="1" ht="12.75" x14ac:dyDescent="0.2">
      <c r="B60651" s="1168"/>
    </row>
    <row r="60652" spans="2:2" s="221" customFormat="1" ht="12.75" x14ac:dyDescent="0.2">
      <c r="B60652" s="1168"/>
    </row>
    <row r="60653" spans="2:2" s="221" customFormat="1" ht="12.75" x14ac:dyDescent="0.2">
      <c r="B60653" s="1168"/>
    </row>
    <row r="60654" spans="2:2" s="221" customFormat="1" ht="12.75" x14ac:dyDescent="0.2">
      <c r="B60654" s="1168"/>
    </row>
    <row r="60655" spans="2:2" s="221" customFormat="1" ht="12.75" x14ac:dyDescent="0.2">
      <c r="B60655" s="1168"/>
    </row>
    <row r="60656" spans="2:2" s="221" customFormat="1" ht="12.75" x14ac:dyDescent="0.2">
      <c r="B60656" s="1168"/>
    </row>
    <row r="60657" spans="2:2" s="221" customFormat="1" ht="12.75" x14ac:dyDescent="0.2">
      <c r="B60657" s="1168"/>
    </row>
    <row r="60658" spans="2:2" s="221" customFormat="1" ht="12.75" x14ac:dyDescent="0.2">
      <c r="B60658" s="1168"/>
    </row>
    <row r="60659" spans="2:2" s="221" customFormat="1" ht="12.75" x14ac:dyDescent="0.2">
      <c r="B60659" s="1168"/>
    </row>
    <row r="60660" spans="2:2" s="221" customFormat="1" ht="12.75" x14ac:dyDescent="0.2">
      <c r="B60660" s="1168"/>
    </row>
    <row r="60661" spans="2:2" s="221" customFormat="1" ht="12.75" x14ac:dyDescent="0.2">
      <c r="B60661" s="1168"/>
    </row>
    <row r="60662" spans="2:2" s="221" customFormat="1" ht="12.75" x14ac:dyDescent="0.2">
      <c r="B60662" s="1168"/>
    </row>
    <row r="60663" spans="2:2" s="221" customFormat="1" ht="12.75" x14ac:dyDescent="0.2">
      <c r="B60663" s="1168"/>
    </row>
    <row r="60664" spans="2:2" s="221" customFormat="1" ht="12.75" x14ac:dyDescent="0.2">
      <c r="B60664" s="1168"/>
    </row>
    <row r="60665" spans="2:2" s="221" customFormat="1" ht="12.75" x14ac:dyDescent="0.2">
      <c r="B60665" s="1168"/>
    </row>
    <row r="60666" spans="2:2" s="221" customFormat="1" ht="12.75" x14ac:dyDescent="0.2">
      <c r="B60666" s="1168"/>
    </row>
    <row r="60667" spans="2:2" s="221" customFormat="1" ht="12.75" x14ac:dyDescent="0.2">
      <c r="B60667" s="1168"/>
    </row>
    <row r="60668" spans="2:2" s="221" customFormat="1" ht="12.75" x14ac:dyDescent="0.2">
      <c r="B60668" s="1168"/>
    </row>
    <row r="60669" spans="2:2" s="221" customFormat="1" ht="12.75" x14ac:dyDescent="0.2">
      <c r="B60669" s="1168"/>
    </row>
    <row r="60670" spans="2:2" s="221" customFormat="1" ht="12.75" x14ac:dyDescent="0.2">
      <c r="B60670" s="1168"/>
    </row>
    <row r="60671" spans="2:2" s="221" customFormat="1" ht="12.75" x14ac:dyDescent="0.2">
      <c r="B60671" s="1168"/>
    </row>
    <row r="60672" spans="2:2" s="221" customFormat="1" ht="12.75" x14ac:dyDescent="0.2">
      <c r="B60672" s="1168"/>
    </row>
    <row r="60673" spans="2:2" s="221" customFormat="1" ht="12.75" x14ac:dyDescent="0.2">
      <c r="B60673" s="1168"/>
    </row>
    <row r="60674" spans="2:2" s="221" customFormat="1" ht="12.75" x14ac:dyDescent="0.2">
      <c r="B60674" s="1168"/>
    </row>
    <row r="60675" spans="2:2" s="221" customFormat="1" ht="12.75" x14ac:dyDescent="0.2">
      <c r="B60675" s="1168"/>
    </row>
    <row r="60676" spans="2:2" s="221" customFormat="1" ht="12.75" x14ac:dyDescent="0.2">
      <c r="B60676" s="1168"/>
    </row>
    <row r="60677" spans="2:2" s="221" customFormat="1" ht="12.75" x14ac:dyDescent="0.2">
      <c r="B60677" s="1168"/>
    </row>
    <row r="60678" spans="2:2" s="221" customFormat="1" ht="12.75" x14ac:dyDescent="0.2">
      <c r="B60678" s="1168"/>
    </row>
    <row r="60679" spans="2:2" s="221" customFormat="1" ht="12.75" x14ac:dyDescent="0.2">
      <c r="B60679" s="1168"/>
    </row>
    <row r="60680" spans="2:2" s="221" customFormat="1" ht="12.75" x14ac:dyDescent="0.2">
      <c r="B60680" s="1168"/>
    </row>
    <row r="60681" spans="2:2" s="221" customFormat="1" ht="12.75" x14ac:dyDescent="0.2">
      <c r="B60681" s="1168"/>
    </row>
    <row r="60682" spans="2:2" s="221" customFormat="1" ht="12.75" x14ac:dyDescent="0.2">
      <c r="B60682" s="1168"/>
    </row>
    <row r="60683" spans="2:2" s="221" customFormat="1" ht="12.75" x14ac:dyDescent="0.2">
      <c r="B60683" s="1168"/>
    </row>
    <row r="60684" spans="2:2" s="221" customFormat="1" ht="12.75" x14ac:dyDescent="0.2">
      <c r="B60684" s="1168"/>
    </row>
    <row r="60685" spans="2:2" s="221" customFormat="1" ht="12.75" x14ac:dyDescent="0.2">
      <c r="B60685" s="1168"/>
    </row>
    <row r="60686" spans="2:2" s="221" customFormat="1" ht="12.75" x14ac:dyDescent="0.2">
      <c r="B60686" s="1168"/>
    </row>
    <row r="60687" spans="2:2" s="221" customFormat="1" ht="12.75" x14ac:dyDescent="0.2">
      <c r="B60687" s="1168"/>
    </row>
    <row r="60688" spans="2:2" s="221" customFormat="1" ht="12.75" x14ac:dyDescent="0.2">
      <c r="B60688" s="1168"/>
    </row>
    <row r="60689" spans="2:2" s="221" customFormat="1" ht="12.75" x14ac:dyDescent="0.2">
      <c r="B60689" s="1168"/>
    </row>
    <row r="60690" spans="2:2" s="221" customFormat="1" ht="12.75" x14ac:dyDescent="0.2">
      <c r="B60690" s="1168"/>
    </row>
    <row r="60691" spans="2:2" s="221" customFormat="1" ht="12.75" x14ac:dyDescent="0.2">
      <c r="B60691" s="1168"/>
    </row>
    <row r="60692" spans="2:2" s="221" customFormat="1" ht="12.75" x14ac:dyDescent="0.2">
      <c r="B60692" s="1168"/>
    </row>
    <row r="60693" spans="2:2" s="221" customFormat="1" ht="12.75" x14ac:dyDescent="0.2">
      <c r="B60693" s="1168"/>
    </row>
    <row r="60694" spans="2:2" s="221" customFormat="1" ht="12.75" x14ac:dyDescent="0.2">
      <c r="B60694" s="1168"/>
    </row>
    <row r="60695" spans="2:2" s="221" customFormat="1" ht="12.75" x14ac:dyDescent="0.2">
      <c r="B60695" s="1168"/>
    </row>
    <row r="60696" spans="2:2" s="221" customFormat="1" ht="12.75" x14ac:dyDescent="0.2">
      <c r="B60696" s="1168"/>
    </row>
    <row r="60697" spans="2:2" s="221" customFormat="1" ht="12.75" x14ac:dyDescent="0.2">
      <c r="B60697" s="1168"/>
    </row>
    <row r="60698" spans="2:2" s="221" customFormat="1" ht="12.75" x14ac:dyDescent="0.2">
      <c r="B60698" s="1168"/>
    </row>
    <row r="60699" spans="2:2" s="221" customFormat="1" ht="12.75" x14ac:dyDescent="0.2">
      <c r="B60699" s="1168"/>
    </row>
    <row r="60700" spans="2:2" s="221" customFormat="1" ht="12.75" x14ac:dyDescent="0.2">
      <c r="B60700" s="1168"/>
    </row>
    <row r="60701" spans="2:2" s="221" customFormat="1" ht="12.75" x14ac:dyDescent="0.2">
      <c r="B60701" s="1168"/>
    </row>
    <row r="60702" spans="2:2" s="221" customFormat="1" ht="12.75" x14ac:dyDescent="0.2">
      <c r="B60702" s="1168"/>
    </row>
    <row r="60703" spans="2:2" s="221" customFormat="1" ht="12.75" x14ac:dyDescent="0.2">
      <c r="B60703" s="1168"/>
    </row>
    <row r="60704" spans="2:2" s="221" customFormat="1" ht="12.75" x14ac:dyDescent="0.2">
      <c r="B60704" s="1168"/>
    </row>
    <row r="60705" spans="2:2" s="221" customFormat="1" ht="12.75" x14ac:dyDescent="0.2">
      <c r="B60705" s="1168"/>
    </row>
    <row r="60706" spans="2:2" s="221" customFormat="1" ht="12.75" x14ac:dyDescent="0.2">
      <c r="B60706" s="1168"/>
    </row>
    <row r="60707" spans="2:2" s="221" customFormat="1" ht="12.75" x14ac:dyDescent="0.2">
      <c r="B60707" s="1168"/>
    </row>
    <row r="60708" spans="2:2" s="221" customFormat="1" ht="12.75" x14ac:dyDescent="0.2">
      <c r="B60708" s="1168"/>
    </row>
    <row r="60709" spans="2:2" s="221" customFormat="1" ht="12.75" x14ac:dyDescent="0.2">
      <c r="B60709" s="1168"/>
    </row>
    <row r="60710" spans="2:2" s="221" customFormat="1" ht="12.75" x14ac:dyDescent="0.2">
      <c r="B60710" s="1168"/>
    </row>
    <row r="60711" spans="2:2" s="221" customFormat="1" ht="12.75" x14ac:dyDescent="0.2">
      <c r="B60711" s="1168"/>
    </row>
    <row r="60712" spans="2:2" s="221" customFormat="1" ht="12.75" x14ac:dyDescent="0.2">
      <c r="B60712" s="1168"/>
    </row>
    <row r="60713" spans="2:2" s="221" customFormat="1" ht="12.75" x14ac:dyDescent="0.2">
      <c r="B60713" s="1168"/>
    </row>
    <row r="60714" spans="2:2" s="221" customFormat="1" ht="12.75" x14ac:dyDescent="0.2">
      <c r="B60714" s="1168"/>
    </row>
    <row r="60715" spans="2:2" s="221" customFormat="1" ht="12.75" x14ac:dyDescent="0.2">
      <c r="B60715" s="1168"/>
    </row>
    <row r="60716" spans="2:2" s="221" customFormat="1" ht="12.75" x14ac:dyDescent="0.2">
      <c r="B60716" s="1168"/>
    </row>
    <row r="60717" spans="2:2" s="221" customFormat="1" ht="12.75" x14ac:dyDescent="0.2">
      <c r="B60717" s="1168"/>
    </row>
    <row r="60718" spans="2:2" s="221" customFormat="1" ht="12.75" x14ac:dyDescent="0.2">
      <c r="B60718" s="1168"/>
    </row>
    <row r="60719" spans="2:2" s="221" customFormat="1" ht="12.75" x14ac:dyDescent="0.2">
      <c r="B60719" s="1168"/>
    </row>
    <row r="60720" spans="2:2" s="221" customFormat="1" ht="12.75" x14ac:dyDescent="0.2">
      <c r="B60720" s="1168"/>
    </row>
    <row r="60721" spans="2:2" s="221" customFormat="1" ht="12.75" x14ac:dyDescent="0.2">
      <c r="B60721" s="1168"/>
    </row>
    <row r="60722" spans="2:2" s="221" customFormat="1" ht="12.75" x14ac:dyDescent="0.2">
      <c r="B60722" s="1168"/>
    </row>
    <row r="60723" spans="2:2" s="221" customFormat="1" ht="12.75" x14ac:dyDescent="0.2">
      <c r="B60723" s="1168"/>
    </row>
    <row r="60724" spans="2:2" s="221" customFormat="1" ht="12.75" x14ac:dyDescent="0.2">
      <c r="B60724" s="1168"/>
    </row>
    <row r="60725" spans="2:2" s="221" customFormat="1" ht="12.75" x14ac:dyDescent="0.2">
      <c r="B60725" s="1168"/>
    </row>
    <row r="60726" spans="2:2" s="221" customFormat="1" ht="12.75" x14ac:dyDescent="0.2">
      <c r="B60726" s="1168"/>
    </row>
    <row r="60727" spans="2:2" s="221" customFormat="1" ht="12.75" x14ac:dyDescent="0.2">
      <c r="B60727" s="1168"/>
    </row>
    <row r="60728" spans="2:2" s="221" customFormat="1" ht="12.75" x14ac:dyDescent="0.2">
      <c r="B60728" s="1168"/>
    </row>
    <row r="60729" spans="2:2" s="221" customFormat="1" ht="12.75" x14ac:dyDescent="0.2">
      <c r="B60729" s="1168"/>
    </row>
    <row r="60730" spans="2:2" s="221" customFormat="1" ht="12.75" x14ac:dyDescent="0.2">
      <c r="B60730" s="1168"/>
    </row>
    <row r="60731" spans="2:2" s="221" customFormat="1" ht="12.75" x14ac:dyDescent="0.2">
      <c r="B60731" s="1168"/>
    </row>
    <row r="60732" spans="2:2" s="221" customFormat="1" ht="12.75" x14ac:dyDescent="0.2">
      <c r="B60732" s="1168"/>
    </row>
    <row r="60733" spans="2:2" s="221" customFormat="1" ht="12.75" x14ac:dyDescent="0.2">
      <c r="B60733" s="1168"/>
    </row>
    <row r="60734" spans="2:2" s="221" customFormat="1" ht="12.75" x14ac:dyDescent="0.2">
      <c r="B60734" s="1168"/>
    </row>
    <row r="60735" spans="2:2" s="221" customFormat="1" ht="12.75" x14ac:dyDescent="0.2">
      <c r="B60735" s="1168"/>
    </row>
    <row r="60736" spans="2:2" s="221" customFormat="1" ht="12.75" x14ac:dyDescent="0.2">
      <c r="B60736" s="1168"/>
    </row>
    <row r="60737" spans="2:2" s="221" customFormat="1" ht="12.75" x14ac:dyDescent="0.2">
      <c r="B60737" s="1168"/>
    </row>
    <row r="60738" spans="2:2" s="221" customFormat="1" ht="12.75" x14ac:dyDescent="0.2">
      <c r="B60738" s="1168"/>
    </row>
    <row r="60739" spans="2:2" s="221" customFormat="1" ht="12.75" x14ac:dyDescent="0.2">
      <c r="B60739" s="1168"/>
    </row>
    <row r="60740" spans="2:2" s="221" customFormat="1" ht="12.75" x14ac:dyDescent="0.2">
      <c r="B60740" s="1168"/>
    </row>
    <row r="60741" spans="2:2" s="221" customFormat="1" ht="12.75" x14ac:dyDescent="0.2">
      <c r="B60741" s="1168"/>
    </row>
    <row r="60742" spans="2:2" s="221" customFormat="1" ht="12.75" x14ac:dyDescent="0.2">
      <c r="B60742" s="1168"/>
    </row>
    <row r="60743" spans="2:2" s="221" customFormat="1" ht="12.75" x14ac:dyDescent="0.2">
      <c r="B60743" s="1168"/>
    </row>
    <row r="60744" spans="2:2" s="221" customFormat="1" ht="12.75" x14ac:dyDescent="0.2">
      <c r="B60744" s="1168"/>
    </row>
    <row r="60745" spans="2:2" s="221" customFormat="1" ht="12.75" x14ac:dyDescent="0.2">
      <c r="B60745" s="1168"/>
    </row>
    <row r="60746" spans="2:2" s="221" customFormat="1" ht="12.75" x14ac:dyDescent="0.2">
      <c r="B60746" s="1168"/>
    </row>
    <row r="60747" spans="2:2" s="221" customFormat="1" ht="12.75" x14ac:dyDescent="0.2">
      <c r="B60747" s="1168"/>
    </row>
    <row r="60748" spans="2:2" s="221" customFormat="1" ht="12.75" x14ac:dyDescent="0.2">
      <c r="B60748" s="1168"/>
    </row>
    <row r="60749" spans="2:2" s="221" customFormat="1" ht="12.75" x14ac:dyDescent="0.2">
      <c r="B60749" s="1168"/>
    </row>
    <row r="60750" spans="2:2" s="221" customFormat="1" ht="12.75" x14ac:dyDescent="0.2">
      <c r="B60750" s="1168"/>
    </row>
    <row r="60751" spans="2:2" s="221" customFormat="1" ht="12.75" x14ac:dyDescent="0.2">
      <c r="B60751" s="1168"/>
    </row>
    <row r="60752" spans="2:2" s="221" customFormat="1" ht="12.75" x14ac:dyDescent="0.2">
      <c r="B60752" s="1168"/>
    </row>
    <row r="60753" spans="2:2" s="221" customFormat="1" ht="12.75" x14ac:dyDescent="0.2">
      <c r="B60753" s="1168"/>
    </row>
    <row r="60754" spans="2:2" s="221" customFormat="1" ht="12.75" x14ac:dyDescent="0.2">
      <c r="B60754" s="1168"/>
    </row>
    <row r="60755" spans="2:2" s="221" customFormat="1" ht="12.75" x14ac:dyDescent="0.2">
      <c r="B60755" s="1168"/>
    </row>
    <row r="60756" spans="2:2" s="221" customFormat="1" ht="12.75" x14ac:dyDescent="0.2">
      <c r="B60756" s="1168"/>
    </row>
    <row r="60757" spans="2:2" s="221" customFormat="1" ht="12.75" x14ac:dyDescent="0.2">
      <c r="B60757" s="1168"/>
    </row>
    <row r="60758" spans="2:2" s="221" customFormat="1" ht="12.75" x14ac:dyDescent="0.2">
      <c r="B60758" s="1168"/>
    </row>
    <row r="60759" spans="2:2" s="221" customFormat="1" ht="12.75" x14ac:dyDescent="0.2">
      <c r="B60759" s="1168"/>
    </row>
    <row r="60760" spans="2:2" s="221" customFormat="1" ht="12.75" x14ac:dyDescent="0.2">
      <c r="B60760" s="1168"/>
    </row>
    <row r="60761" spans="2:2" s="221" customFormat="1" ht="12.75" x14ac:dyDescent="0.2">
      <c r="B60761" s="1168"/>
    </row>
    <row r="60762" spans="2:2" s="221" customFormat="1" ht="12.75" x14ac:dyDescent="0.2">
      <c r="B60762" s="1168"/>
    </row>
    <row r="60763" spans="2:2" s="221" customFormat="1" ht="12.75" x14ac:dyDescent="0.2">
      <c r="B60763" s="1168"/>
    </row>
    <row r="60764" spans="2:2" s="221" customFormat="1" ht="12.75" x14ac:dyDescent="0.2">
      <c r="B60764" s="1168"/>
    </row>
    <row r="60765" spans="2:2" s="221" customFormat="1" ht="12.75" x14ac:dyDescent="0.2">
      <c r="B60765" s="1168"/>
    </row>
    <row r="60766" spans="2:2" s="221" customFormat="1" ht="12.75" x14ac:dyDescent="0.2">
      <c r="B60766" s="1168"/>
    </row>
    <row r="60767" spans="2:2" s="221" customFormat="1" ht="12.75" x14ac:dyDescent="0.2">
      <c r="B60767" s="1168"/>
    </row>
    <row r="60768" spans="2:2" s="221" customFormat="1" ht="12.75" x14ac:dyDescent="0.2">
      <c r="B60768" s="1168"/>
    </row>
    <row r="60769" spans="2:2" s="221" customFormat="1" ht="12.75" x14ac:dyDescent="0.2">
      <c r="B60769" s="1168"/>
    </row>
    <row r="60770" spans="2:2" s="221" customFormat="1" ht="12.75" x14ac:dyDescent="0.2">
      <c r="B60770" s="1168"/>
    </row>
    <row r="60771" spans="2:2" s="221" customFormat="1" ht="12.75" x14ac:dyDescent="0.2">
      <c r="B60771" s="1168"/>
    </row>
    <row r="60772" spans="2:2" s="221" customFormat="1" ht="12.75" x14ac:dyDescent="0.2">
      <c r="B60772" s="1168"/>
    </row>
    <row r="60773" spans="2:2" s="221" customFormat="1" ht="12.75" x14ac:dyDescent="0.2">
      <c r="B60773" s="1168"/>
    </row>
    <row r="60774" spans="2:2" s="221" customFormat="1" ht="12.75" x14ac:dyDescent="0.2">
      <c r="B60774" s="1168"/>
    </row>
    <row r="60775" spans="2:2" s="221" customFormat="1" ht="12.75" x14ac:dyDescent="0.2">
      <c r="B60775" s="1168"/>
    </row>
    <row r="60776" spans="2:2" s="221" customFormat="1" ht="12.75" x14ac:dyDescent="0.2">
      <c r="B60776" s="1168"/>
    </row>
    <row r="60777" spans="2:2" s="221" customFormat="1" ht="12.75" x14ac:dyDescent="0.2">
      <c r="B60777" s="1168"/>
    </row>
    <row r="60778" spans="2:2" s="221" customFormat="1" ht="12.75" x14ac:dyDescent="0.2">
      <c r="B60778" s="1168"/>
    </row>
    <row r="60779" spans="2:2" s="221" customFormat="1" ht="12.75" x14ac:dyDescent="0.2">
      <c r="B60779" s="1168"/>
    </row>
    <row r="60780" spans="2:2" s="221" customFormat="1" ht="12.75" x14ac:dyDescent="0.2">
      <c r="B60780" s="1168"/>
    </row>
    <row r="60781" spans="2:2" s="221" customFormat="1" ht="12.75" x14ac:dyDescent="0.2">
      <c r="B60781" s="1168"/>
    </row>
    <row r="60782" spans="2:2" s="221" customFormat="1" ht="12.75" x14ac:dyDescent="0.2">
      <c r="B60782" s="1168"/>
    </row>
    <row r="60783" spans="2:2" s="221" customFormat="1" ht="12.75" x14ac:dyDescent="0.2">
      <c r="B60783" s="1168"/>
    </row>
    <row r="60784" spans="2:2" s="221" customFormat="1" ht="12.75" x14ac:dyDescent="0.2">
      <c r="B60784" s="1168"/>
    </row>
    <row r="60785" spans="2:2" s="221" customFormat="1" ht="12.75" x14ac:dyDescent="0.2">
      <c r="B60785" s="1168"/>
    </row>
    <row r="60786" spans="2:2" s="221" customFormat="1" ht="12.75" x14ac:dyDescent="0.2">
      <c r="B60786" s="1168"/>
    </row>
    <row r="60787" spans="2:2" s="221" customFormat="1" ht="12.75" x14ac:dyDescent="0.2">
      <c r="B60787" s="1168"/>
    </row>
    <row r="60788" spans="2:2" s="221" customFormat="1" ht="12.75" x14ac:dyDescent="0.2">
      <c r="B60788" s="1168"/>
    </row>
    <row r="60789" spans="2:2" s="221" customFormat="1" ht="12.75" x14ac:dyDescent="0.2">
      <c r="B60789" s="1168"/>
    </row>
    <row r="60790" spans="2:2" s="221" customFormat="1" ht="12.75" x14ac:dyDescent="0.2">
      <c r="B60790" s="1168"/>
    </row>
    <row r="60791" spans="2:2" s="221" customFormat="1" ht="12.75" x14ac:dyDescent="0.2">
      <c r="B60791" s="1168"/>
    </row>
    <row r="60792" spans="2:2" s="221" customFormat="1" ht="12.75" x14ac:dyDescent="0.2">
      <c r="B60792" s="1168"/>
    </row>
    <row r="60793" spans="2:2" s="221" customFormat="1" ht="12.75" x14ac:dyDescent="0.2">
      <c r="B60793" s="1168"/>
    </row>
    <row r="60794" spans="2:2" s="221" customFormat="1" ht="12.75" x14ac:dyDescent="0.2">
      <c r="B60794" s="1168"/>
    </row>
    <row r="60795" spans="2:2" s="221" customFormat="1" ht="12.75" x14ac:dyDescent="0.2">
      <c r="B60795" s="1168"/>
    </row>
    <row r="60796" spans="2:2" s="221" customFormat="1" ht="12.75" x14ac:dyDescent="0.2">
      <c r="B60796" s="1168"/>
    </row>
    <row r="60797" spans="2:2" s="221" customFormat="1" ht="12.75" x14ac:dyDescent="0.2">
      <c r="B60797" s="1168"/>
    </row>
    <row r="60798" spans="2:2" s="221" customFormat="1" ht="12.75" x14ac:dyDescent="0.2">
      <c r="B60798" s="1168"/>
    </row>
    <row r="60799" spans="2:2" s="221" customFormat="1" ht="12.75" x14ac:dyDescent="0.2">
      <c r="B60799" s="1168"/>
    </row>
    <row r="60800" spans="2:2" s="221" customFormat="1" ht="12.75" x14ac:dyDescent="0.2">
      <c r="B60800" s="1168"/>
    </row>
    <row r="60801" spans="2:2" s="221" customFormat="1" ht="12.75" x14ac:dyDescent="0.2">
      <c r="B60801" s="1168"/>
    </row>
    <row r="60802" spans="2:2" s="221" customFormat="1" ht="12.75" x14ac:dyDescent="0.2">
      <c r="B60802" s="1168"/>
    </row>
    <row r="60803" spans="2:2" s="221" customFormat="1" ht="12.75" x14ac:dyDescent="0.2">
      <c r="B60803" s="1168"/>
    </row>
    <row r="60804" spans="2:2" s="221" customFormat="1" ht="12.75" x14ac:dyDescent="0.2">
      <c r="B60804" s="1168"/>
    </row>
    <row r="60805" spans="2:2" s="221" customFormat="1" ht="12.75" x14ac:dyDescent="0.2">
      <c r="B60805" s="1168"/>
    </row>
    <row r="60806" spans="2:2" s="221" customFormat="1" ht="12.75" x14ac:dyDescent="0.2">
      <c r="B60806" s="1168"/>
    </row>
    <row r="60807" spans="2:2" s="221" customFormat="1" ht="12.75" x14ac:dyDescent="0.2">
      <c r="B60807" s="1168"/>
    </row>
    <row r="60808" spans="2:2" s="221" customFormat="1" ht="12.75" x14ac:dyDescent="0.2">
      <c r="B60808" s="1168"/>
    </row>
    <row r="60809" spans="2:2" s="221" customFormat="1" ht="12.75" x14ac:dyDescent="0.2">
      <c r="B60809" s="1168"/>
    </row>
    <row r="60810" spans="2:2" s="221" customFormat="1" ht="12.75" x14ac:dyDescent="0.2">
      <c r="B60810" s="1168"/>
    </row>
    <row r="60811" spans="2:2" s="221" customFormat="1" ht="12.75" x14ac:dyDescent="0.2">
      <c r="B60811" s="1168"/>
    </row>
    <row r="60812" spans="2:2" s="221" customFormat="1" ht="12.75" x14ac:dyDescent="0.2">
      <c r="B60812" s="1168"/>
    </row>
    <row r="60813" spans="2:2" s="221" customFormat="1" ht="12.75" x14ac:dyDescent="0.2">
      <c r="B60813" s="1168"/>
    </row>
    <row r="60814" spans="2:2" s="221" customFormat="1" ht="12.75" x14ac:dyDescent="0.2">
      <c r="B60814" s="1168"/>
    </row>
    <row r="60815" spans="2:2" s="221" customFormat="1" ht="12.75" x14ac:dyDescent="0.2">
      <c r="B60815" s="1168"/>
    </row>
    <row r="60816" spans="2:2" s="221" customFormat="1" ht="12.75" x14ac:dyDescent="0.2">
      <c r="B60816" s="1168"/>
    </row>
    <row r="60817" spans="2:2" s="221" customFormat="1" ht="12.75" x14ac:dyDescent="0.2">
      <c r="B60817" s="1168"/>
    </row>
    <row r="60818" spans="2:2" s="221" customFormat="1" ht="12.75" x14ac:dyDescent="0.2">
      <c r="B60818" s="1168"/>
    </row>
    <row r="60819" spans="2:2" s="221" customFormat="1" ht="12.75" x14ac:dyDescent="0.2">
      <c r="B60819" s="1168"/>
    </row>
    <row r="60820" spans="2:2" s="221" customFormat="1" ht="12.75" x14ac:dyDescent="0.2">
      <c r="B60820" s="1168"/>
    </row>
    <row r="60821" spans="2:2" s="221" customFormat="1" ht="12.75" x14ac:dyDescent="0.2">
      <c r="B60821" s="1168"/>
    </row>
    <row r="60822" spans="2:2" s="221" customFormat="1" ht="12.75" x14ac:dyDescent="0.2">
      <c r="B60822" s="1168"/>
    </row>
    <row r="60823" spans="2:2" s="221" customFormat="1" ht="12.75" x14ac:dyDescent="0.2">
      <c r="B60823" s="1168"/>
    </row>
    <row r="60824" spans="2:2" s="221" customFormat="1" ht="12.75" x14ac:dyDescent="0.2">
      <c r="B60824" s="1168"/>
    </row>
    <row r="60825" spans="2:2" s="221" customFormat="1" ht="12.75" x14ac:dyDescent="0.2">
      <c r="B60825" s="1168"/>
    </row>
    <row r="60826" spans="2:2" s="221" customFormat="1" ht="12.75" x14ac:dyDescent="0.2">
      <c r="B60826" s="1168"/>
    </row>
    <row r="60827" spans="2:2" s="221" customFormat="1" ht="12.75" x14ac:dyDescent="0.2">
      <c r="B60827" s="1168"/>
    </row>
    <row r="60828" spans="2:2" s="221" customFormat="1" ht="12.75" x14ac:dyDescent="0.2">
      <c r="B60828" s="1168"/>
    </row>
    <row r="60829" spans="2:2" s="221" customFormat="1" ht="12.75" x14ac:dyDescent="0.2">
      <c r="B60829" s="1168"/>
    </row>
    <row r="60830" spans="2:2" s="221" customFormat="1" ht="12.75" x14ac:dyDescent="0.2">
      <c r="B60830" s="1168"/>
    </row>
    <row r="60831" spans="2:2" s="221" customFormat="1" ht="12.75" x14ac:dyDescent="0.2">
      <c r="B60831" s="1168"/>
    </row>
    <row r="60832" spans="2:2" s="221" customFormat="1" ht="12.75" x14ac:dyDescent="0.2">
      <c r="B60832" s="1168"/>
    </row>
    <row r="60833" spans="2:2" s="221" customFormat="1" ht="12.75" x14ac:dyDescent="0.2">
      <c r="B60833" s="1168"/>
    </row>
    <row r="60834" spans="2:2" s="221" customFormat="1" ht="12.75" x14ac:dyDescent="0.2">
      <c r="B60834" s="1168"/>
    </row>
    <row r="60835" spans="2:2" s="221" customFormat="1" ht="12.75" x14ac:dyDescent="0.2">
      <c r="B60835" s="1168"/>
    </row>
    <row r="60836" spans="2:2" s="221" customFormat="1" ht="12.75" x14ac:dyDescent="0.2">
      <c r="B60836" s="1168"/>
    </row>
    <row r="60837" spans="2:2" s="221" customFormat="1" ht="12.75" x14ac:dyDescent="0.2">
      <c r="B60837" s="1168"/>
    </row>
    <row r="60838" spans="2:2" s="221" customFormat="1" ht="12.75" x14ac:dyDescent="0.2">
      <c r="B60838" s="1168"/>
    </row>
    <row r="60839" spans="2:2" s="221" customFormat="1" ht="12.75" x14ac:dyDescent="0.2">
      <c r="B60839" s="1168"/>
    </row>
    <row r="60840" spans="2:2" s="221" customFormat="1" ht="12.75" x14ac:dyDescent="0.2">
      <c r="B60840" s="1168"/>
    </row>
    <row r="60841" spans="2:2" s="221" customFormat="1" ht="12.75" x14ac:dyDescent="0.2">
      <c r="B60841" s="1168"/>
    </row>
    <row r="60842" spans="2:2" s="221" customFormat="1" ht="12.75" x14ac:dyDescent="0.2">
      <c r="B60842" s="1168"/>
    </row>
    <row r="60843" spans="2:2" s="221" customFormat="1" ht="12.75" x14ac:dyDescent="0.2">
      <c r="B60843" s="1168"/>
    </row>
    <row r="60844" spans="2:2" s="221" customFormat="1" ht="12.75" x14ac:dyDescent="0.2">
      <c r="B60844" s="1168"/>
    </row>
    <row r="60845" spans="2:2" s="221" customFormat="1" ht="12.75" x14ac:dyDescent="0.2">
      <c r="B60845" s="1168"/>
    </row>
    <row r="60846" spans="2:2" s="221" customFormat="1" ht="12.75" x14ac:dyDescent="0.2">
      <c r="B60846" s="1168"/>
    </row>
    <row r="60847" spans="2:2" s="221" customFormat="1" ht="12.75" x14ac:dyDescent="0.2">
      <c r="B60847" s="1168"/>
    </row>
    <row r="60848" spans="2:2" s="221" customFormat="1" ht="12.75" x14ac:dyDescent="0.2">
      <c r="B60848" s="1168"/>
    </row>
    <row r="60849" spans="2:2" s="221" customFormat="1" ht="12.75" x14ac:dyDescent="0.2">
      <c r="B60849" s="1168"/>
    </row>
    <row r="60850" spans="2:2" s="221" customFormat="1" ht="12.75" x14ac:dyDescent="0.2">
      <c r="B60850" s="1168"/>
    </row>
    <row r="60851" spans="2:2" s="221" customFormat="1" ht="12.75" x14ac:dyDescent="0.2">
      <c r="B60851" s="1168"/>
    </row>
    <row r="60852" spans="2:2" s="221" customFormat="1" ht="12.75" x14ac:dyDescent="0.2">
      <c r="B60852" s="1168"/>
    </row>
    <row r="60853" spans="2:2" s="221" customFormat="1" ht="12.75" x14ac:dyDescent="0.2">
      <c r="B60853" s="1168"/>
    </row>
    <row r="60854" spans="2:2" s="221" customFormat="1" ht="12.75" x14ac:dyDescent="0.2">
      <c r="B60854" s="1168"/>
    </row>
    <row r="60855" spans="2:2" s="221" customFormat="1" ht="12.75" x14ac:dyDescent="0.2">
      <c r="B60855" s="1168"/>
    </row>
    <row r="60856" spans="2:2" s="221" customFormat="1" ht="12.75" x14ac:dyDescent="0.2">
      <c r="B60856" s="1168"/>
    </row>
    <row r="60857" spans="2:2" s="221" customFormat="1" ht="12.75" x14ac:dyDescent="0.2">
      <c r="B60857" s="1168"/>
    </row>
    <row r="60858" spans="2:2" s="221" customFormat="1" ht="12.75" x14ac:dyDescent="0.2">
      <c r="B60858" s="1168"/>
    </row>
    <row r="60859" spans="2:2" s="221" customFormat="1" ht="12.75" x14ac:dyDescent="0.2">
      <c r="B60859" s="1168"/>
    </row>
    <row r="60860" spans="2:2" s="221" customFormat="1" ht="12.75" x14ac:dyDescent="0.2">
      <c r="B60860" s="1168"/>
    </row>
    <row r="60861" spans="2:2" s="221" customFormat="1" ht="12.75" x14ac:dyDescent="0.2">
      <c r="B60861" s="1168"/>
    </row>
    <row r="60862" spans="2:2" s="221" customFormat="1" ht="12.75" x14ac:dyDescent="0.2">
      <c r="B60862" s="1168"/>
    </row>
    <row r="60863" spans="2:2" s="221" customFormat="1" ht="12.75" x14ac:dyDescent="0.2">
      <c r="B60863" s="1168"/>
    </row>
    <row r="60864" spans="2:2" s="221" customFormat="1" ht="12.75" x14ac:dyDescent="0.2">
      <c r="B60864" s="1168"/>
    </row>
    <row r="60865" spans="2:2" s="221" customFormat="1" ht="12.75" x14ac:dyDescent="0.2">
      <c r="B60865" s="1168"/>
    </row>
    <row r="60866" spans="2:2" s="221" customFormat="1" ht="12.75" x14ac:dyDescent="0.2">
      <c r="B60866" s="1168"/>
    </row>
    <row r="60867" spans="2:2" s="221" customFormat="1" ht="12.75" x14ac:dyDescent="0.2">
      <c r="B60867" s="1168"/>
    </row>
    <row r="60868" spans="2:2" s="221" customFormat="1" ht="12.75" x14ac:dyDescent="0.2">
      <c r="B60868" s="1168"/>
    </row>
    <row r="60869" spans="2:2" s="221" customFormat="1" ht="12.75" x14ac:dyDescent="0.2">
      <c r="B60869" s="1168"/>
    </row>
    <row r="60870" spans="2:2" s="221" customFormat="1" ht="12.75" x14ac:dyDescent="0.2">
      <c r="B60870" s="1168"/>
    </row>
    <row r="60871" spans="2:2" s="221" customFormat="1" ht="12.75" x14ac:dyDescent="0.2">
      <c r="B60871" s="1168"/>
    </row>
    <row r="60872" spans="2:2" s="221" customFormat="1" ht="12.75" x14ac:dyDescent="0.2">
      <c r="B60872" s="1168"/>
    </row>
    <row r="60873" spans="2:2" s="221" customFormat="1" ht="12.75" x14ac:dyDescent="0.2">
      <c r="B60873" s="1168"/>
    </row>
    <row r="60874" spans="2:2" s="221" customFormat="1" ht="12.75" x14ac:dyDescent="0.2">
      <c r="B60874" s="1168"/>
    </row>
    <row r="60875" spans="2:2" s="221" customFormat="1" ht="12.75" x14ac:dyDescent="0.2">
      <c r="B60875" s="1168"/>
    </row>
    <row r="60876" spans="2:2" s="221" customFormat="1" ht="12.75" x14ac:dyDescent="0.2">
      <c r="B60876" s="1168"/>
    </row>
    <row r="60877" spans="2:2" s="221" customFormat="1" ht="12.75" x14ac:dyDescent="0.2">
      <c r="B60877" s="1168"/>
    </row>
    <row r="60878" spans="2:2" s="221" customFormat="1" ht="12.75" x14ac:dyDescent="0.2">
      <c r="B60878" s="1168"/>
    </row>
    <row r="60879" spans="2:2" s="221" customFormat="1" ht="12.75" x14ac:dyDescent="0.2">
      <c r="B60879" s="1168"/>
    </row>
    <row r="60880" spans="2:2" s="221" customFormat="1" ht="12.75" x14ac:dyDescent="0.2">
      <c r="B60880" s="1168"/>
    </row>
    <row r="60881" spans="2:2" s="221" customFormat="1" ht="12.75" x14ac:dyDescent="0.2">
      <c r="B60881" s="1168"/>
    </row>
    <row r="60882" spans="2:2" s="221" customFormat="1" ht="12.75" x14ac:dyDescent="0.2">
      <c r="B60882" s="1168"/>
    </row>
    <row r="60883" spans="2:2" s="221" customFormat="1" ht="12.75" x14ac:dyDescent="0.2">
      <c r="B60883" s="1168"/>
    </row>
    <row r="60884" spans="2:2" s="221" customFormat="1" ht="12.75" x14ac:dyDescent="0.2">
      <c r="B60884" s="1168"/>
    </row>
    <row r="60885" spans="2:2" s="221" customFormat="1" ht="12.75" x14ac:dyDescent="0.2">
      <c r="B60885" s="1168"/>
    </row>
    <row r="60886" spans="2:2" s="221" customFormat="1" ht="12.75" x14ac:dyDescent="0.2">
      <c r="B60886" s="1168"/>
    </row>
    <row r="60887" spans="2:2" s="221" customFormat="1" ht="12.75" x14ac:dyDescent="0.2">
      <c r="B60887" s="1168"/>
    </row>
    <row r="60888" spans="2:2" s="221" customFormat="1" ht="12.75" x14ac:dyDescent="0.2">
      <c r="B60888" s="1168"/>
    </row>
    <row r="60889" spans="2:2" s="221" customFormat="1" ht="12.75" x14ac:dyDescent="0.2">
      <c r="B60889" s="1168"/>
    </row>
    <row r="60890" spans="2:2" s="221" customFormat="1" ht="12.75" x14ac:dyDescent="0.2">
      <c r="B60890" s="1168"/>
    </row>
    <row r="60891" spans="2:2" s="221" customFormat="1" ht="12.75" x14ac:dyDescent="0.2">
      <c r="B60891" s="1168"/>
    </row>
    <row r="60892" spans="2:2" s="221" customFormat="1" ht="12.75" x14ac:dyDescent="0.2">
      <c r="B60892" s="1168"/>
    </row>
    <row r="60893" spans="2:2" s="221" customFormat="1" ht="12.75" x14ac:dyDescent="0.2">
      <c r="B60893" s="1168"/>
    </row>
    <row r="60894" spans="2:2" s="221" customFormat="1" ht="12.75" x14ac:dyDescent="0.2">
      <c r="B60894" s="1168"/>
    </row>
    <row r="60895" spans="2:2" s="221" customFormat="1" ht="12.75" x14ac:dyDescent="0.2">
      <c r="B60895" s="1168"/>
    </row>
    <row r="60896" spans="2:2" s="221" customFormat="1" ht="12.75" x14ac:dyDescent="0.2">
      <c r="B60896" s="1168"/>
    </row>
    <row r="60897" spans="2:2" s="221" customFormat="1" ht="12.75" x14ac:dyDescent="0.2">
      <c r="B60897" s="1168"/>
    </row>
    <row r="60898" spans="2:2" s="221" customFormat="1" ht="12.75" x14ac:dyDescent="0.2">
      <c r="B60898" s="1168"/>
    </row>
    <row r="60899" spans="2:2" s="221" customFormat="1" ht="12.75" x14ac:dyDescent="0.2">
      <c r="B60899" s="1168"/>
    </row>
    <row r="60900" spans="2:2" s="221" customFormat="1" ht="12.75" x14ac:dyDescent="0.2">
      <c r="B60900" s="1168"/>
    </row>
    <row r="60901" spans="2:2" s="221" customFormat="1" ht="12.75" x14ac:dyDescent="0.2">
      <c r="B60901" s="1168"/>
    </row>
    <row r="60902" spans="2:2" s="221" customFormat="1" ht="12.75" x14ac:dyDescent="0.2">
      <c r="B60902" s="1168"/>
    </row>
    <row r="60903" spans="2:2" s="221" customFormat="1" ht="12.75" x14ac:dyDescent="0.2">
      <c r="B60903" s="1168"/>
    </row>
    <row r="60904" spans="2:2" s="221" customFormat="1" ht="12.75" x14ac:dyDescent="0.2">
      <c r="B60904" s="1168"/>
    </row>
    <row r="60905" spans="2:2" s="221" customFormat="1" ht="12.75" x14ac:dyDescent="0.2">
      <c r="B60905" s="1168"/>
    </row>
    <row r="60906" spans="2:2" s="221" customFormat="1" ht="12.75" x14ac:dyDescent="0.2">
      <c r="B60906" s="1168"/>
    </row>
    <row r="60907" spans="2:2" s="221" customFormat="1" ht="12.75" x14ac:dyDescent="0.2">
      <c r="B60907" s="1168"/>
    </row>
    <row r="60908" spans="2:2" s="221" customFormat="1" ht="12.75" x14ac:dyDescent="0.2">
      <c r="B60908" s="1168"/>
    </row>
    <row r="60909" spans="2:2" s="221" customFormat="1" ht="12.75" x14ac:dyDescent="0.2">
      <c r="B60909" s="1168"/>
    </row>
    <row r="60910" spans="2:2" s="221" customFormat="1" ht="12.75" x14ac:dyDescent="0.2">
      <c r="B60910" s="1168"/>
    </row>
    <row r="60911" spans="2:2" s="221" customFormat="1" ht="12.75" x14ac:dyDescent="0.2">
      <c r="B60911" s="1168"/>
    </row>
    <row r="60912" spans="2:2" s="221" customFormat="1" ht="12.75" x14ac:dyDescent="0.2">
      <c r="B60912" s="1168"/>
    </row>
    <row r="60913" spans="2:2" s="221" customFormat="1" ht="12.75" x14ac:dyDescent="0.2">
      <c r="B60913" s="1168"/>
    </row>
    <row r="60914" spans="2:2" s="221" customFormat="1" ht="12.75" x14ac:dyDescent="0.2">
      <c r="B60914" s="1168"/>
    </row>
    <row r="60915" spans="2:2" s="221" customFormat="1" ht="12.75" x14ac:dyDescent="0.2">
      <c r="B60915" s="1168"/>
    </row>
    <row r="60916" spans="2:2" s="221" customFormat="1" ht="12.75" x14ac:dyDescent="0.2">
      <c r="B60916" s="1168"/>
    </row>
    <row r="60917" spans="2:2" s="221" customFormat="1" ht="12.75" x14ac:dyDescent="0.2">
      <c r="B60917" s="1168"/>
    </row>
    <row r="60918" spans="2:2" s="221" customFormat="1" ht="12.75" x14ac:dyDescent="0.2">
      <c r="B60918" s="1168"/>
    </row>
    <row r="60919" spans="2:2" s="221" customFormat="1" ht="12.75" x14ac:dyDescent="0.2">
      <c r="B60919" s="1168"/>
    </row>
    <row r="60920" spans="2:2" s="221" customFormat="1" ht="12.75" x14ac:dyDescent="0.2">
      <c r="B60920" s="1168"/>
    </row>
    <row r="60921" spans="2:2" s="221" customFormat="1" ht="12.75" x14ac:dyDescent="0.2">
      <c r="B60921" s="1168"/>
    </row>
    <row r="60922" spans="2:2" s="221" customFormat="1" ht="12.75" x14ac:dyDescent="0.2">
      <c r="B60922" s="1168"/>
    </row>
    <row r="60923" spans="2:2" s="221" customFormat="1" ht="12.75" x14ac:dyDescent="0.2">
      <c r="B60923" s="1168"/>
    </row>
    <row r="60924" spans="2:2" s="221" customFormat="1" ht="12.75" x14ac:dyDescent="0.2">
      <c r="B60924" s="1168"/>
    </row>
    <row r="60925" spans="2:2" s="221" customFormat="1" ht="12.75" x14ac:dyDescent="0.2">
      <c r="B60925" s="1168"/>
    </row>
    <row r="60926" spans="2:2" s="221" customFormat="1" ht="12.75" x14ac:dyDescent="0.2">
      <c r="B60926" s="1168"/>
    </row>
    <row r="60927" spans="2:2" s="221" customFormat="1" ht="12.75" x14ac:dyDescent="0.2">
      <c r="B60927" s="1168"/>
    </row>
    <row r="60928" spans="2:2" s="221" customFormat="1" ht="12.75" x14ac:dyDescent="0.2">
      <c r="B60928" s="1168"/>
    </row>
    <row r="60929" spans="2:2" s="221" customFormat="1" ht="12.75" x14ac:dyDescent="0.2">
      <c r="B60929" s="1168"/>
    </row>
    <row r="60930" spans="2:2" s="221" customFormat="1" ht="12.75" x14ac:dyDescent="0.2">
      <c r="B60930" s="1168"/>
    </row>
    <row r="60931" spans="2:2" s="221" customFormat="1" ht="12.75" x14ac:dyDescent="0.2">
      <c r="B60931" s="1168"/>
    </row>
    <row r="60932" spans="2:2" s="221" customFormat="1" ht="12.75" x14ac:dyDescent="0.2">
      <c r="B60932" s="1168"/>
    </row>
    <row r="60933" spans="2:2" s="221" customFormat="1" ht="12.75" x14ac:dyDescent="0.2">
      <c r="B60933" s="1168"/>
    </row>
    <row r="60934" spans="2:2" s="221" customFormat="1" ht="12.75" x14ac:dyDescent="0.2">
      <c r="B60934" s="1168"/>
    </row>
    <row r="60935" spans="2:2" s="221" customFormat="1" ht="12.75" x14ac:dyDescent="0.2">
      <c r="B60935" s="1168"/>
    </row>
    <row r="60936" spans="2:2" s="221" customFormat="1" ht="12.75" x14ac:dyDescent="0.2">
      <c r="B60936" s="1168"/>
    </row>
    <row r="60937" spans="2:2" s="221" customFormat="1" ht="12.75" x14ac:dyDescent="0.2">
      <c r="B60937" s="1168"/>
    </row>
    <row r="60938" spans="2:2" s="221" customFormat="1" ht="12.75" x14ac:dyDescent="0.2">
      <c r="B60938" s="1168"/>
    </row>
    <row r="60939" spans="2:2" s="221" customFormat="1" ht="12.75" x14ac:dyDescent="0.2">
      <c r="B60939" s="1168"/>
    </row>
    <row r="60940" spans="2:2" s="221" customFormat="1" ht="12.75" x14ac:dyDescent="0.2">
      <c r="B60940" s="1168"/>
    </row>
    <row r="60941" spans="2:2" s="221" customFormat="1" ht="12.75" x14ac:dyDescent="0.2">
      <c r="B60941" s="1168"/>
    </row>
    <row r="60942" spans="2:2" s="221" customFormat="1" ht="12.75" x14ac:dyDescent="0.2">
      <c r="B60942" s="1168"/>
    </row>
    <row r="60943" spans="2:2" s="221" customFormat="1" ht="12.75" x14ac:dyDescent="0.2">
      <c r="B60943" s="1168"/>
    </row>
    <row r="60944" spans="2:2" s="221" customFormat="1" ht="12.75" x14ac:dyDescent="0.2">
      <c r="B60944" s="1168"/>
    </row>
    <row r="60945" spans="2:2" s="221" customFormat="1" ht="12.75" x14ac:dyDescent="0.2">
      <c r="B60945" s="1168"/>
    </row>
    <row r="60946" spans="2:2" s="221" customFormat="1" ht="12.75" x14ac:dyDescent="0.2">
      <c r="B60946" s="1168"/>
    </row>
    <row r="60947" spans="2:2" s="221" customFormat="1" ht="12.75" x14ac:dyDescent="0.2">
      <c r="B60947" s="1168"/>
    </row>
    <row r="60948" spans="2:2" s="221" customFormat="1" ht="12.75" x14ac:dyDescent="0.2">
      <c r="B60948" s="1168"/>
    </row>
    <row r="60949" spans="2:2" s="221" customFormat="1" ht="12.75" x14ac:dyDescent="0.2">
      <c r="B60949" s="1168"/>
    </row>
    <row r="60950" spans="2:2" s="221" customFormat="1" ht="12.75" x14ac:dyDescent="0.2">
      <c r="B60950" s="1168"/>
    </row>
    <row r="60951" spans="2:2" s="221" customFormat="1" ht="12.75" x14ac:dyDescent="0.2">
      <c r="B60951" s="1168"/>
    </row>
    <row r="60952" spans="2:2" s="221" customFormat="1" ht="12.75" x14ac:dyDescent="0.2">
      <c r="B60952" s="1168"/>
    </row>
    <row r="60953" spans="2:2" s="221" customFormat="1" ht="12.75" x14ac:dyDescent="0.2">
      <c r="B60953" s="1168"/>
    </row>
    <row r="60954" spans="2:2" s="221" customFormat="1" ht="12.75" x14ac:dyDescent="0.2">
      <c r="B60954" s="1168"/>
    </row>
    <row r="60955" spans="2:2" s="221" customFormat="1" ht="12.75" x14ac:dyDescent="0.2">
      <c r="B60955" s="1168"/>
    </row>
    <row r="60956" spans="2:2" s="221" customFormat="1" ht="12.75" x14ac:dyDescent="0.2">
      <c r="B60956" s="1168"/>
    </row>
    <row r="60957" spans="2:2" s="221" customFormat="1" ht="12.75" x14ac:dyDescent="0.2">
      <c r="B60957" s="1168"/>
    </row>
    <row r="60958" spans="2:2" s="221" customFormat="1" ht="12.75" x14ac:dyDescent="0.2">
      <c r="B60958" s="1168"/>
    </row>
    <row r="60959" spans="2:2" s="221" customFormat="1" ht="12.75" x14ac:dyDescent="0.2">
      <c r="B60959" s="1168"/>
    </row>
    <row r="60960" spans="2:2" s="221" customFormat="1" ht="12.75" x14ac:dyDescent="0.2">
      <c r="B60960" s="1168"/>
    </row>
    <row r="60961" spans="2:2" s="221" customFormat="1" ht="12.75" x14ac:dyDescent="0.2">
      <c r="B60961" s="1168"/>
    </row>
    <row r="60962" spans="2:2" s="221" customFormat="1" ht="12.75" x14ac:dyDescent="0.2">
      <c r="B60962" s="1168"/>
    </row>
    <row r="60963" spans="2:2" s="221" customFormat="1" ht="12.75" x14ac:dyDescent="0.2">
      <c r="B60963" s="1168"/>
    </row>
    <row r="60964" spans="2:2" s="221" customFormat="1" ht="12.75" x14ac:dyDescent="0.2">
      <c r="B60964" s="1168"/>
    </row>
    <row r="60965" spans="2:2" s="221" customFormat="1" ht="12.75" x14ac:dyDescent="0.2">
      <c r="B60965" s="1168"/>
    </row>
    <row r="60966" spans="2:2" s="221" customFormat="1" ht="12.75" x14ac:dyDescent="0.2">
      <c r="B60966" s="1168"/>
    </row>
    <row r="60967" spans="2:2" s="221" customFormat="1" ht="12.75" x14ac:dyDescent="0.2">
      <c r="B60967" s="1168"/>
    </row>
    <row r="60968" spans="2:2" s="221" customFormat="1" ht="12.75" x14ac:dyDescent="0.2">
      <c r="B60968" s="1168"/>
    </row>
    <row r="60969" spans="2:2" s="221" customFormat="1" ht="12.75" x14ac:dyDescent="0.2">
      <c r="B60969" s="1168"/>
    </row>
    <row r="60970" spans="2:2" s="221" customFormat="1" ht="12.75" x14ac:dyDescent="0.2">
      <c r="B60970" s="1168"/>
    </row>
    <row r="60971" spans="2:2" s="221" customFormat="1" ht="12.75" x14ac:dyDescent="0.2">
      <c r="B60971" s="1168"/>
    </row>
    <row r="60972" spans="2:2" s="221" customFormat="1" ht="12.75" x14ac:dyDescent="0.2">
      <c r="B60972" s="1168"/>
    </row>
    <row r="60973" spans="2:2" s="221" customFormat="1" ht="12.75" x14ac:dyDescent="0.2">
      <c r="B60973" s="1168"/>
    </row>
    <row r="60974" spans="2:2" s="221" customFormat="1" ht="12.75" x14ac:dyDescent="0.2">
      <c r="B60974" s="1168"/>
    </row>
    <row r="60975" spans="2:2" s="221" customFormat="1" ht="12.75" x14ac:dyDescent="0.2">
      <c r="B60975" s="1168"/>
    </row>
    <row r="60976" spans="2:2" s="221" customFormat="1" ht="12.75" x14ac:dyDescent="0.2">
      <c r="B60976" s="1168"/>
    </row>
    <row r="60977" spans="2:2" s="221" customFormat="1" ht="12.75" x14ac:dyDescent="0.2">
      <c r="B60977" s="1168"/>
    </row>
    <row r="60978" spans="2:2" s="221" customFormat="1" ht="12.75" x14ac:dyDescent="0.2">
      <c r="B60978" s="1168"/>
    </row>
    <row r="60979" spans="2:2" s="221" customFormat="1" ht="12.75" x14ac:dyDescent="0.2">
      <c r="B60979" s="1168"/>
    </row>
    <row r="60980" spans="2:2" s="221" customFormat="1" ht="12.75" x14ac:dyDescent="0.2">
      <c r="B60980" s="1168"/>
    </row>
    <row r="60981" spans="2:2" s="221" customFormat="1" ht="12.75" x14ac:dyDescent="0.2">
      <c r="B60981" s="1168"/>
    </row>
    <row r="60982" spans="2:2" s="221" customFormat="1" ht="12.75" x14ac:dyDescent="0.2">
      <c r="B60982" s="1168"/>
    </row>
    <row r="60983" spans="2:2" s="221" customFormat="1" ht="12.75" x14ac:dyDescent="0.2">
      <c r="B60983" s="1168"/>
    </row>
    <row r="60984" spans="2:2" s="221" customFormat="1" ht="12.75" x14ac:dyDescent="0.2">
      <c r="B60984" s="1168"/>
    </row>
    <row r="60985" spans="2:2" s="221" customFormat="1" ht="12.75" x14ac:dyDescent="0.2">
      <c r="B60985" s="1168"/>
    </row>
    <row r="60986" spans="2:2" s="221" customFormat="1" ht="12.75" x14ac:dyDescent="0.2">
      <c r="B60986" s="1168"/>
    </row>
    <row r="60987" spans="2:2" s="221" customFormat="1" ht="12.75" x14ac:dyDescent="0.2">
      <c r="B60987" s="1168"/>
    </row>
    <row r="60988" spans="2:2" s="221" customFormat="1" ht="12.75" x14ac:dyDescent="0.2">
      <c r="B60988" s="1168"/>
    </row>
    <row r="60989" spans="2:2" s="221" customFormat="1" ht="12.75" x14ac:dyDescent="0.2">
      <c r="B60989" s="1168"/>
    </row>
    <row r="60990" spans="2:2" s="221" customFormat="1" ht="12.75" x14ac:dyDescent="0.2">
      <c r="B60990" s="1168"/>
    </row>
    <row r="60991" spans="2:2" s="221" customFormat="1" ht="12.75" x14ac:dyDescent="0.2">
      <c r="B60991" s="1168"/>
    </row>
    <row r="60992" spans="2:2" s="221" customFormat="1" ht="12.75" x14ac:dyDescent="0.2">
      <c r="B60992" s="1168"/>
    </row>
    <row r="60993" spans="2:2" s="221" customFormat="1" ht="12.75" x14ac:dyDescent="0.2">
      <c r="B60993" s="1168"/>
    </row>
    <row r="60994" spans="2:2" s="221" customFormat="1" ht="12.75" x14ac:dyDescent="0.2">
      <c r="B60994" s="1168"/>
    </row>
    <row r="60995" spans="2:2" s="221" customFormat="1" ht="12.75" x14ac:dyDescent="0.2">
      <c r="B60995" s="1168"/>
    </row>
    <row r="60996" spans="2:2" s="221" customFormat="1" ht="12.75" x14ac:dyDescent="0.2">
      <c r="B60996" s="1168"/>
    </row>
    <row r="60997" spans="2:2" s="221" customFormat="1" ht="12.75" x14ac:dyDescent="0.2">
      <c r="B60997" s="1168"/>
    </row>
    <row r="60998" spans="2:2" s="221" customFormat="1" ht="12.75" x14ac:dyDescent="0.2">
      <c r="B60998" s="1168"/>
    </row>
    <row r="60999" spans="2:2" s="221" customFormat="1" ht="12.75" x14ac:dyDescent="0.2">
      <c r="B60999" s="1168"/>
    </row>
    <row r="61000" spans="2:2" s="221" customFormat="1" ht="12.75" x14ac:dyDescent="0.2">
      <c r="B61000" s="1168"/>
    </row>
    <row r="61001" spans="2:2" s="221" customFormat="1" ht="12.75" x14ac:dyDescent="0.2">
      <c r="B61001" s="1168"/>
    </row>
    <row r="61002" spans="2:2" s="221" customFormat="1" ht="12.75" x14ac:dyDescent="0.2">
      <c r="B61002" s="1168"/>
    </row>
    <row r="61003" spans="2:2" s="221" customFormat="1" ht="12.75" x14ac:dyDescent="0.2">
      <c r="B61003" s="1168"/>
    </row>
    <row r="61004" spans="2:2" s="221" customFormat="1" ht="12.75" x14ac:dyDescent="0.2">
      <c r="B61004" s="1168"/>
    </row>
    <row r="61005" spans="2:2" s="221" customFormat="1" ht="12.75" x14ac:dyDescent="0.2">
      <c r="B61005" s="1168"/>
    </row>
    <row r="61006" spans="2:2" s="221" customFormat="1" ht="12.75" x14ac:dyDescent="0.2">
      <c r="B61006" s="1168"/>
    </row>
    <row r="61007" spans="2:2" s="221" customFormat="1" ht="12.75" x14ac:dyDescent="0.2">
      <c r="B61007" s="1168"/>
    </row>
    <row r="61008" spans="2:2" s="221" customFormat="1" ht="12.75" x14ac:dyDescent="0.2">
      <c r="B61008" s="1168"/>
    </row>
    <row r="61009" spans="2:2" s="221" customFormat="1" ht="12.75" x14ac:dyDescent="0.2">
      <c r="B61009" s="1168"/>
    </row>
    <row r="61010" spans="2:2" s="221" customFormat="1" ht="12.75" x14ac:dyDescent="0.2">
      <c r="B61010" s="1168"/>
    </row>
    <row r="61011" spans="2:2" s="221" customFormat="1" ht="12.75" x14ac:dyDescent="0.2">
      <c r="B61011" s="1168"/>
    </row>
    <row r="61012" spans="2:2" s="221" customFormat="1" ht="12.75" x14ac:dyDescent="0.2">
      <c r="B61012" s="1168"/>
    </row>
    <row r="61013" spans="2:2" s="221" customFormat="1" ht="12.75" x14ac:dyDescent="0.2">
      <c r="B61013" s="1168"/>
    </row>
    <row r="61014" spans="2:2" s="221" customFormat="1" ht="12.75" x14ac:dyDescent="0.2">
      <c r="B61014" s="1168"/>
    </row>
    <row r="61015" spans="2:2" s="221" customFormat="1" ht="12.75" x14ac:dyDescent="0.2">
      <c r="B61015" s="1168"/>
    </row>
    <row r="61016" spans="2:2" s="221" customFormat="1" ht="12.75" x14ac:dyDescent="0.2">
      <c r="B61016" s="1168"/>
    </row>
    <row r="61017" spans="2:2" s="221" customFormat="1" ht="12.75" x14ac:dyDescent="0.2">
      <c r="B61017" s="1168"/>
    </row>
    <row r="61018" spans="2:2" s="221" customFormat="1" ht="12.75" x14ac:dyDescent="0.2">
      <c r="B61018" s="1168"/>
    </row>
    <row r="61019" spans="2:2" s="221" customFormat="1" ht="12.75" x14ac:dyDescent="0.2">
      <c r="B61019" s="1168"/>
    </row>
    <row r="61020" spans="2:2" s="221" customFormat="1" ht="12.75" x14ac:dyDescent="0.2">
      <c r="B61020" s="1168"/>
    </row>
    <row r="61021" spans="2:2" s="221" customFormat="1" ht="12.75" x14ac:dyDescent="0.2">
      <c r="B61021" s="1168"/>
    </row>
    <row r="61022" spans="2:2" s="221" customFormat="1" ht="12.75" x14ac:dyDescent="0.2">
      <c r="B61022" s="1168"/>
    </row>
    <row r="61023" spans="2:2" s="221" customFormat="1" ht="12.75" x14ac:dyDescent="0.2">
      <c r="B61023" s="1168"/>
    </row>
    <row r="61024" spans="2:2" s="221" customFormat="1" ht="12.75" x14ac:dyDescent="0.2">
      <c r="B61024" s="1168"/>
    </row>
    <row r="61025" spans="2:2" s="221" customFormat="1" ht="12.75" x14ac:dyDescent="0.2">
      <c r="B61025" s="1168"/>
    </row>
    <row r="61026" spans="2:2" s="221" customFormat="1" ht="12.75" x14ac:dyDescent="0.2">
      <c r="B61026" s="1168"/>
    </row>
    <row r="61027" spans="2:2" s="221" customFormat="1" ht="12.75" x14ac:dyDescent="0.2">
      <c r="B61027" s="1168"/>
    </row>
    <row r="61028" spans="2:2" s="221" customFormat="1" ht="12.75" x14ac:dyDescent="0.2">
      <c r="B61028" s="1168"/>
    </row>
    <row r="61029" spans="2:2" s="221" customFormat="1" ht="12.75" x14ac:dyDescent="0.2">
      <c r="B61029" s="1168"/>
    </row>
    <row r="61030" spans="2:2" s="221" customFormat="1" ht="12.75" x14ac:dyDescent="0.2">
      <c r="B61030" s="1168"/>
    </row>
    <row r="61031" spans="2:2" s="221" customFormat="1" ht="12.75" x14ac:dyDescent="0.2">
      <c r="B61031" s="1168"/>
    </row>
    <row r="61032" spans="2:2" s="221" customFormat="1" ht="12.75" x14ac:dyDescent="0.2">
      <c r="B61032" s="1168"/>
    </row>
    <row r="61033" spans="2:2" s="221" customFormat="1" ht="12.75" x14ac:dyDescent="0.2">
      <c r="B61033" s="1168"/>
    </row>
    <row r="61034" spans="2:2" s="221" customFormat="1" ht="12.75" x14ac:dyDescent="0.2">
      <c r="B61034" s="1168"/>
    </row>
    <row r="61035" spans="2:2" s="221" customFormat="1" ht="12.75" x14ac:dyDescent="0.2">
      <c r="B61035" s="1168"/>
    </row>
    <row r="61036" spans="2:2" s="221" customFormat="1" ht="12.75" x14ac:dyDescent="0.2">
      <c r="B61036" s="1168"/>
    </row>
    <row r="61037" spans="2:2" s="221" customFormat="1" ht="12.75" x14ac:dyDescent="0.2">
      <c r="B61037" s="1168"/>
    </row>
    <row r="61038" spans="2:2" s="221" customFormat="1" ht="12.75" x14ac:dyDescent="0.2">
      <c r="B61038" s="1168"/>
    </row>
    <row r="61039" spans="2:2" s="221" customFormat="1" ht="12.75" x14ac:dyDescent="0.2">
      <c r="B61039" s="1168"/>
    </row>
    <row r="61040" spans="2:2" s="221" customFormat="1" ht="12.75" x14ac:dyDescent="0.2">
      <c r="B61040" s="1168"/>
    </row>
    <row r="61041" spans="2:2" s="221" customFormat="1" ht="12.75" x14ac:dyDescent="0.2">
      <c r="B61041" s="1168"/>
    </row>
    <row r="61042" spans="2:2" s="221" customFormat="1" ht="12.75" x14ac:dyDescent="0.2">
      <c r="B61042" s="1168"/>
    </row>
    <row r="61043" spans="2:2" s="221" customFormat="1" ht="12.75" x14ac:dyDescent="0.2">
      <c r="B61043" s="1168"/>
    </row>
    <row r="61044" spans="2:2" s="221" customFormat="1" ht="12.75" x14ac:dyDescent="0.2">
      <c r="B61044" s="1168"/>
    </row>
    <row r="61045" spans="2:2" s="221" customFormat="1" ht="12.75" x14ac:dyDescent="0.2">
      <c r="B61045" s="1168"/>
    </row>
    <row r="61046" spans="2:2" s="221" customFormat="1" ht="12.75" x14ac:dyDescent="0.2">
      <c r="B61046" s="1168"/>
    </row>
    <row r="61047" spans="2:2" s="221" customFormat="1" ht="12.75" x14ac:dyDescent="0.2">
      <c r="B61047" s="1168"/>
    </row>
    <row r="61048" spans="2:2" s="221" customFormat="1" ht="12.75" x14ac:dyDescent="0.2">
      <c r="B61048" s="1168"/>
    </row>
    <row r="61049" spans="2:2" s="221" customFormat="1" ht="12.75" x14ac:dyDescent="0.2">
      <c r="B61049" s="1168"/>
    </row>
    <row r="61050" spans="2:2" s="221" customFormat="1" ht="12.75" x14ac:dyDescent="0.2">
      <c r="B61050" s="1168"/>
    </row>
    <row r="61051" spans="2:2" s="221" customFormat="1" ht="12.75" x14ac:dyDescent="0.2">
      <c r="B61051" s="1168"/>
    </row>
    <row r="61052" spans="2:2" s="221" customFormat="1" ht="12.75" x14ac:dyDescent="0.2">
      <c r="B61052" s="1168"/>
    </row>
    <row r="61053" spans="2:2" s="221" customFormat="1" ht="12.75" x14ac:dyDescent="0.2">
      <c r="B61053" s="1168"/>
    </row>
    <row r="61054" spans="2:2" s="221" customFormat="1" ht="12.75" x14ac:dyDescent="0.2">
      <c r="B61054" s="1168"/>
    </row>
    <row r="61055" spans="2:2" s="221" customFormat="1" ht="12.75" x14ac:dyDescent="0.2">
      <c r="B61055" s="1168"/>
    </row>
    <row r="61056" spans="2:2" s="221" customFormat="1" ht="12.75" x14ac:dyDescent="0.2">
      <c r="B61056" s="1168"/>
    </row>
    <row r="61057" spans="2:2" s="221" customFormat="1" ht="12.75" x14ac:dyDescent="0.2">
      <c r="B61057" s="1168"/>
    </row>
    <row r="61058" spans="2:2" s="221" customFormat="1" ht="12.75" x14ac:dyDescent="0.2">
      <c r="B61058" s="1168"/>
    </row>
    <row r="61059" spans="2:2" s="221" customFormat="1" ht="12.75" x14ac:dyDescent="0.2">
      <c r="B61059" s="1168"/>
    </row>
    <row r="61060" spans="2:2" s="221" customFormat="1" ht="12.75" x14ac:dyDescent="0.2">
      <c r="B61060" s="1168"/>
    </row>
    <row r="61061" spans="2:2" s="221" customFormat="1" ht="12.75" x14ac:dyDescent="0.2">
      <c r="B61061" s="1168"/>
    </row>
    <row r="61062" spans="2:2" s="221" customFormat="1" ht="12.75" x14ac:dyDescent="0.2">
      <c r="B61062" s="1168"/>
    </row>
    <row r="61063" spans="2:2" s="221" customFormat="1" ht="12.75" x14ac:dyDescent="0.2">
      <c r="B61063" s="1168"/>
    </row>
    <row r="61064" spans="2:2" s="221" customFormat="1" ht="12.75" x14ac:dyDescent="0.2">
      <c r="B61064" s="1168"/>
    </row>
    <row r="61065" spans="2:2" s="221" customFormat="1" ht="12.75" x14ac:dyDescent="0.2">
      <c r="B61065" s="1168"/>
    </row>
    <row r="61066" spans="2:2" s="221" customFormat="1" ht="12.75" x14ac:dyDescent="0.2">
      <c r="B61066" s="1168"/>
    </row>
    <row r="61067" spans="2:2" s="221" customFormat="1" ht="12.75" x14ac:dyDescent="0.2">
      <c r="B61067" s="1168"/>
    </row>
    <row r="61068" spans="2:2" s="221" customFormat="1" ht="12.75" x14ac:dyDescent="0.2">
      <c r="B61068" s="1168"/>
    </row>
    <row r="61069" spans="2:2" s="221" customFormat="1" ht="12.75" x14ac:dyDescent="0.2">
      <c r="B61069" s="1168"/>
    </row>
    <row r="61070" spans="2:2" s="221" customFormat="1" ht="12.75" x14ac:dyDescent="0.2">
      <c r="B61070" s="1168"/>
    </row>
    <row r="61071" spans="2:2" s="221" customFormat="1" ht="12.75" x14ac:dyDescent="0.2">
      <c r="B61071" s="1168"/>
    </row>
    <row r="61072" spans="2:2" s="221" customFormat="1" ht="12.75" x14ac:dyDescent="0.2">
      <c r="B61072" s="1168"/>
    </row>
    <row r="61073" spans="2:2" s="221" customFormat="1" ht="12.75" x14ac:dyDescent="0.2">
      <c r="B61073" s="1168"/>
    </row>
    <row r="61074" spans="2:2" s="221" customFormat="1" ht="12.75" x14ac:dyDescent="0.2">
      <c r="B61074" s="1168"/>
    </row>
    <row r="61075" spans="2:2" s="221" customFormat="1" ht="12.75" x14ac:dyDescent="0.2">
      <c r="B61075" s="1168"/>
    </row>
    <row r="61076" spans="2:2" s="221" customFormat="1" ht="12.75" x14ac:dyDescent="0.2">
      <c r="B61076" s="1168"/>
    </row>
    <row r="61077" spans="2:2" s="221" customFormat="1" ht="12.75" x14ac:dyDescent="0.2">
      <c r="B61077" s="1168"/>
    </row>
    <row r="61078" spans="2:2" s="221" customFormat="1" ht="12.75" x14ac:dyDescent="0.2">
      <c r="B61078" s="1168"/>
    </row>
    <row r="61079" spans="2:2" s="221" customFormat="1" ht="12.75" x14ac:dyDescent="0.2">
      <c r="B61079" s="1168"/>
    </row>
    <row r="61080" spans="2:2" s="221" customFormat="1" ht="12.75" x14ac:dyDescent="0.2">
      <c r="B61080" s="1168"/>
    </row>
    <row r="61081" spans="2:2" s="221" customFormat="1" ht="12.75" x14ac:dyDescent="0.2">
      <c r="B61081" s="1168"/>
    </row>
    <row r="61082" spans="2:2" s="221" customFormat="1" ht="12.75" x14ac:dyDescent="0.2">
      <c r="B61082" s="1168"/>
    </row>
    <row r="61083" spans="2:2" s="221" customFormat="1" ht="12.75" x14ac:dyDescent="0.2">
      <c r="B61083" s="1168"/>
    </row>
    <row r="61084" spans="2:2" s="221" customFormat="1" ht="12.75" x14ac:dyDescent="0.2">
      <c r="B61084" s="1168"/>
    </row>
    <row r="61085" spans="2:2" s="221" customFormat="1" ht="12.75" x14ac:dyDescent="0.2">
      <c r="B61085" s="1168"/>
    </row>
    <row r="61086" spans="2:2" s="221" customFormat="1" ht="12.75" x14ac:dyDescent="0.2">
      <c r="B61086" s="1168"/>
    </row>
    <row r="61087" spans="2:2" s="221" customFormat="1" ht="12.75" x14ac:dyDescent="0.2">
      <c r="B61087" s="1168"/>
    </row>
    <row r="61088" spans="2:2" s="221" customFormat="1" ht="12.75" x14ac:dyDescent="0.2">
      <c r="B61088" s="1168"/>
    </row>
    <row r="61089" spans="2:2" s="221" customFormat="1" ht="12.75" x14ac:dyDescent="0.2">
      <c r="B61089" s="1168"/>
    </row>
    <row r="61090" spans="2:2" s="221" customFormat="1" ht="12.75" x14ac:dyDescent="0.2">
      <c r="B61090" s="1168"/>
    </row>
    <row r="61091" spans="2:2" s="221" customFormat="1" ht="12.75" x14ac:dyDescent="0.2">
      <c r="B61091" s="1168"/>
    </row>
    <row r="61092" spans="2:2" s="221" customFormat="1" ht="12.75" x14ac:dyDescent="0.2">
      <c r="B61092" s="1168"/>
    </row>
    <row r="61093" spans="2:2" s="221" customFormat="1" ht="12.75" x14ac:dyDescent="0.2">
      <c r="B61093" s="1168"/>
    </row>
    <row r="61094" spans="2:2" s="221" customFormat="1" ht="12.75" x14ac:dyDescent="0.2">
      <c r="B61094" s="1168"/>
    </row>
    <row r="61095" spans="2:2" s="221" customFormat="1" ht="12.75" x14ac:dyDescent="0.2">
      <c r="B61095" s="1168"/>
    </row>
    <row r="61096" spans="2:2" s="221" customFormat="1" ht="12.75" x14ac:dyDescent="0.2">
      <c r="B61096" s="1168"/>
    </row>
    <row r="61097" spans="2:2" s="221" customFormat="1" ht="12.75" x14ac:dyDescent="0.2">
      <c r="B61097" s="1168"/>
    </row>
    <row r="61098" spans="2:2" s="221" customFormat="1" ht="12.75" x14ac:dyDescent="0.2">
      <c r="B61098" s="1168"/>
    </row>
    <row r="61099" spans="2:2" s="221" customFormat="1" ht="12.75" x14ac:dyDescent="0.2">
      <c r="B61099" s="1168"/>
    </row>
    <row r="61100" spans="2:2" s="221" customFormat="1" ht="12.75" x14ac:dyDescent="0.2">
      <c r="B61100" s="1168"/>
    </row>
    <row r="61101" spans="2:2" s="221" customFormat="1" ht="12.75" x14ac:dyDescent="0.2">
      <c r="B61101" s="1168"/>
    </row>
    <row r="61102" spans="2:2" s="221" customFormat="1" ht="12.75" x14ac:dyDescent="0.2">
      <c r="B61102" s="1168"/>
    </row>
    <row r="61103" spans="2:2" s="221" customFormat="1" ht="12.75" x14ac:dyDescent="0.2">
      <c r="B61103" s="1168"/>
    </row>
    <row r="61104" spans="2:2" s="221" customFormat="1" ht="12.75" x14ac:dyDescent="0.2">
      <c r="B61104" s="1168"/>
    </row>
    <row r="61105" spans="2:2" s="221" customFormat="1" ht="12.75" x14ac:dyDescent="0.2">
      <c r="B61105" s="1168"/>
    </row>
    <row r="61106" spans="2:2" s="221" customFormat="1" ht="12.75" x14ac:dyDescent="0.2">
      <c r="B61106" s="1168"/>
    </row>
    <row r="61107" spans="2:2" s="221" customFormat="1" ht="12.75" x14ac:dyDescent="0.2">
      <c r="B61107" s="1168"/>
    </row>
    <row r="61108" spans="2:2" s="221" customFormat="1" ht="12.75" x14ac:dyDescent="0.2">
      <c r="B61108" s="1168"/>
    </row>
    <row r="61109" spans="2:2" s="221" customFormat="1" ht="12.75" x14ac:dyDescent="0.2">
      <c r="B61109" s="1168"/>
    </row>
    <row r="61110" spans="2:2" s="221" customFormat="1" ht="12.75" x14ac:dyDescent="0.2">
      <c r="B61110" s="1168"/>
    </row>
    <row r="61111" spans="2:2" s="221" customFormat="1" ht="12.75" x14ac:dyDescent="0.2">
      <c r="B61111" s="1168"/>
    </row>
    <row r="61112" spans="2:2" s="221" customFormat="1" ht="12.75" x14ac:dyDescent="0.2">
      <c r="B61112" s="1168"/>
    </row>
    <row r="61113" spans="2:2" s="221" customFormat="1" ht="12.75" x14ac:dyDescent="0.2">
      <c r="B61113" s="1168"/>
    </row>
    <row r="61114" spans="2:2" s="221" customFormat="1" ht="12.75" x14ac:dyDescent="0.2">
      <c r="B61114" s="1168"/>
    </row>
    <row r="61115" spans="2:2" s="221" customFormat="1" ht="12.75" x14ac:dyDescent="0.2">
      <c r="B61115" s="1168"/>
    </row>
    <row r="61116" spans="2:2" s="221" customFormat="1" ht="12.75" x14ac:dyDescent="0.2">
      <c r="B61116" s="1168"/>
    </row>
    <row r="61117" spans="2:2" s="221" customFormat="1" ht="12.75" x14ac:dyDescent="0.2">
      <c r="B61117" s="1168"/>
    </row>
    <row r="61118" spans="2:2" s="221" customFormat="1" ht="12.75" x14ac:dyDescent="0.2">
      <c r="B61118" s="1168"/>
    </row>
    <row r="61119" spans="2:2" s="221" customFormat="1" ht="12.75" x14ac:dyDescent="0.2">
      <c r="B61119" s="1168"/>
    </row>
    <row r="61120" spans="2:2" s="221" customFormat="1" ht="12.75" x14ac:dyDescent="0.2">
      <c r="B61120" s="1168"/>
    </row>
    <row r="61121" spans="2:2" s="221" customFormat="1" ht="12.75" x14ac:dyDescent="0.2">
      <c r="B61121" s="1168"/>
    </row>
    <row r="61122" spans="2:2" s="221" customFormat="1" ht="12.75" x14ac:dyDescent="0.2">
      <c r="B61122" s="1168"/>
    </row>
    <row r="61123" spans="2:2" s="221" customFormat="1" ht="12.75" x14ac:dyDescent="0.2">
      <c r="B61123" s="1168"/>
    </row>
    <row r="61124" spans="2:2" s="221" customFormat="1" ht="12.75" x14ac:dyDescent="0.2">
      <c r="B61124" s="1168"/>
    </row>
    <row r="61125" spans="2:2" s="221" customFormat="1" ht="12.75" x14ac:dyDescent="0.2">
      <c r="B61125" s="1168"/>
    </row>
    <row r="61126" spans="2:2" s="221" customFormat="1" ht="12.75" x14ac:dyDescent="0.2">
      <c r="B61126" s="1168"/>
    </row>
    <row r="61127" spans="2:2" s="221" customFormat="1" ht="12.75" x14ac:dyDescent="0.2">
      <c r="B61127" s="1168"/>
    </row>
    <row r="61128" spans="2:2" s="221" customFormat="1" ht="12.75" x14ac:dyDescent="0.2">
      <c r="B61128" s="1168"/>
    </row>
    <row r="61129" spans="2:2" s="221" customFormat="1" ht="12.75" x14ac:dyDescent="0.2">
      <c r="B61129" s="1168"/>
    </row>
    <row r="61130" spans="2:2" s="221" customFormat="1" ht="12.75" x14ac:dyDescent="0.2">
      <c r="B61130" s="1168"/>
    </row>
    <row r="61131" spans="2:2" s="221" customFormat="1" ht="12.75" x14ac:dyDescent="0.2">
      <c r="B61131" s="1168"/>
    </row>
    <row r="61132" spans="2:2" s="221" customFormat="1" ht="12.75" x14ac:dyDescent="0.2">
      <c r="B61132" s="1168"/>
    </row>
    <row r="61133" spans="2:2" s="221" customFormat="1" ht="12.75" x14ac:dyDescent="0.2">
      <c r="B61133" s="1168"/>
    </row>
    <row r="61134" spans="2:2" s="221" customFormat="1" ht="12.75" x14ac:dyDescent="0.2">
      <c r="B61134" s="1168"/>
    </row>
    <row r="61135" spans="2:2" s="221" customFormat="1" ht="12.75" x14ac:dyDescent="0.2">
      <c r="B61135" s="1168"/>
    </row>
    <row r="61136" spans="2:2" s="221" customFormat="1" ht="12.75" x14ac:dyDescent="0.2">
      <c r="B61136" s="1168"/>
    </row>
    <row r="61137" spans="2:2" s="221" customFormat="1" ht="12.75" x14ac:dyDescent="0.2">
      <c r="B61137" s="1168"/>
    </row>
    <row r="61138" spans="2:2" s="221" customFormat="1" ht="12.75" x14ac:dyDescent="0.2">
      <c r="B61138" s="1168"/>
    </row>
    <row r="61139" spans="2:2" s="221" customFormat="1" ht="12.75" x14ac:dyDescent="0.2">
      <c r="B61139" s="1168"/>
    </row>
    <row r="61140" spans="2:2" s="221" customFormat="1" ht="12.75" x14ac:dyDescent="0.2">
      <c r="B61140" s="1168"/>
    </row>
    <row r="61141" spans="2:2" s="221" customFormat="1" ht="12.75" x14ac:dyDescent="0.2">
      <c r="B61141" s="1168"/>
    </row>
    <row r="61142" spans="2:2" s="221" customFormat="1" ht="12.75" x14ac:dyDescent="0.2">
      <c r="B61142" s="1168"/>
    </row>
    <row r="61143" spans="2:2" s="221" customFormat="1" ht="12.75" x14ac:dyDescent="0.2">
      <c r="B61143" s="1168"/>
    </row>
    <row r="61144" spans="2:2" s="221" customFormat="1" ht="12.75" x14ac:dyDescent="0.2">
      <c r="B61144" s="1168"/>
    </row>
    <row r="61145" spans="2:2" s="221" customFormat="1" ht="12.75" x14ac:dyDescent="0.2">
      <c r="B61145" s="1168"/>
    </row>
    <row r="61146" spans="2:2" s="221" customFormat="1" ht="12.75" x14ac:dyDescent="0.2">
      <c r="B61146" s="1168"/>
    </row>
    <row r="61147" spans="2:2" s="221" customFormat="1" ht="12.75" x14ac:dyDescent="0.2">
      <c r="B61147" s="1168"/>
    </row>
    <row r="61148" spans="2:2" s="221" customFormat="1" ht="12.75" x14ac:dyDescent="0.2">
      <c r="B61148" s="1168"/>
    </row>
    <row r="61149" spans="2:2" s="221" customFormat="1" ht="12.75" x14ac:dyDescent="0.2">
      <c r="B61149" s="1168"/>
    </row>
    <row r="61150" spans="2:2" s="221" customFormat="1" ht="12.75" x14ac:dyDescent="0.2">
      <c r="B61150" s="1168"/>
    </row>
    <row r="61151" spans="2:2" s="221" customFormat="1" ht="12.75" x14ac:dyDescent="0.2">
      <c r="B61151" s="1168"/>
    </row>
    <row r="61152" spans="2:2" s="221" customFormat="1" ht="12.75" x14ac:dyDescent="0.2">
      <c r="B61152" s="1168"/>
    </row>
    <row r="61153" spans="2:2" s="221" customFormat="1" ht="12.75" x14ac:dyDescent="0.2">
      <c r="B61153" s="1168"/>
    </row>
    <row r="61154" spans="2:2" s="221" customFormat="1" ht="12.75" x14ac:dyDescent="0.2">
      <c r="B61154" s="1168"/>
    </row>
    <row r="61155" spans="2:2" s="221" customFormat="1" ht="12.75" x14ac:dyDescent="0.2">
      <c r="B61155" s="1168"/>
    </row>
    <row r="61156" spans="2:2" s="221" customFormat="1" ht="12.75" x14ac:dyDescent="0.2">
      <c r="B61156" s="1168"/>
    </row>
    <row r="61157" spans="2:2" s="221" customFormat="1" ht="12.75" x14ac:dyDescent="0.2">
      <c r="B61157" s="1168"/>
    </row>
    <row r="61158" spans="2:2" s="221" customFormat="1" ht="12.75" x14ac:dyDescent="0.2">
      <c r="B61158" s="1168"/>
    </row>
    <row r="61159" spans="2:2" s="221" customFormat="1" ht="12.75" x14ac:dyDescent="0.2">
      <c r="B61159" s="1168"/>
    </row>
    <row r="61160" spans="2:2" s="221" customFormat="1" ht="12.75" x14ac:dyDescent="0.2">
      <c r="B61160" s="1168"/>
    </row>
    <row r="61161" spans="2:2" s="221" customFormat="1" ht="12.75" x14ac:dyDescent="0.2">
      <c r="B61161" s="1168"/>
    </row>
    <row r="61162" spans="2:2" s="221" customFormat="1" ht="12.75" x14ac:dyDescent="0.2">
      <c r="B61162" s="1168"/>
    </row>
    <row r="61163" spans="2:2" s="221" customFormat="1" ht="12.75" x14ac:dyDescent="0.2">
      <c r="B61163" s="1168"/>
    </row>
    <row r="61164" spans="2:2" s="221" customFormat="1" ht="12.75" x14ac:dyDescent="0.2">
      <c r="B61164" s="1168"/>
    </row>
    <row r="61165" spans="2:2" s="221" customFormat="1" ht="12.75" x14ac:dyDescent="0.2">
      <c r="B61165" s="1168"/>
    </row>
    <row r="61166" spans="2:2" s="221" customFormat="1" ht="12.75" x14ac:dyDescent="0.2">
      <c r="B61166" s="1168"/>
    </row>
    <row r="61167" spans="2:2" s="221" customFormat="1" ht="12.75" x14ac:dyDescent="0.2">
      <c r="B61167" s="1168"/>
    </row>
    <row r="61168" spans="2:2" s="221" customFormat="1" ht="12.75" x14ac:dyDescent="0.2">
      <c r="B61168" s="1168"/>
    </row>
    <row r="61169" spans="2:2" s="221" customFormat="1" ht="12.75" x14ac:dyDescent="0.2">
      <c r="B61169" s="1168"/>
    </row>
    <row r="61170" spans="2:2" s="221" customFormat="1" ht="12.75" x14ac:dyDescent="0.2">
      <c r="B61170" s="1168"/>
    </row>
    <row r="61171" spans="2:2" s="221" customFormat="1" ht="12.75" x14ac:dyDescent="0.2">
      <c r="B61171" s="1168"/>
    </row>
    <row r="61172" spans="2:2" s="221" customFormat="1" ht="12.75" x14ac:dyDescent="0.2">
      <c r="B61172" s="1168"/>
    </row>
    <row r="61173" spans="2:2" s="221" customFormat="1" ht="12.75" x14ac:dyDescent="0.2">
      <c r="B61173" s="1168"/>
    </row>
    <row r="61174" spans="2:2" s="221" customFormat="1" ht="12.75" x14ac:dyDescent="0.2">
      <c r="B61174" s="1168"/>
    </row>
    <row r="61175" spans="2:2" s="221" customFormat="1" ht="12.75" x14ac:dyDescent="0.2">
      <c r="B61175" s="1168"/>
    </row>
    <row r="61176" spans="2:2" s="221" customFormat="1" ht="12.75" x14ac:dyDescent="0.2">
      <c r="B61176" s="1168"/>
    </row>
    <row r="61177" spans="2:2" s="221" customFormat="1" ht="12.75" x14ac:dyDescent="0.2">
      <c r="B61177" s="1168"/>
    </row>
    <row r="61178" spans="2:2" s="221" customFormat="1" ht="12.75" x14ac:dyDescent="0.2">
      <c r="B61178" s="1168"/>
    </row>
    <row r="61179" spans="2:2" s="221" customFormat="1" ht="12.75" x14ac:dyDescent="0.2">
      <c r="B61179" s="1168"/>
    </row>
    <row r="61180" spans="2:2" s="221" customFormat="1" ht="12.75" x14ac:dyDescent="0.2">
      <c r="B61180" s="1168"/>
    </row>
    <row r="61181" spans="2:2" s="221" customFormat="1" ht="12.75" x14ac:dyDescent="0.2">
      <c r="B61181" s="1168"/>
    </row>
    <row r="61182" spans="2:2" s="221" customFormat="1" ht="12.75" x14ac:dyDescent="0.2">
      <c r="B61182" s="1168"/>
    </row>
    <row r="61183" spans="2:2" s="221" customFormat="1" ht="12.75" x14ac:dyDescent="0.2">
      <c r="B61183" s="1168"/>
    </row>
    <row r="61184" spans="2:2" s="221" customFormat="1" ht="12.75" x14ac:dyDescent="0.2">
      <c r="B61184" s="1168"/>
    </row>
    <row r="61185" spans="2:2" s="221" customFormat="1" ht="12.75" x14ac:dyDescent="0.2">
      <c r="B61185" s="1168"/>
    </row>
    <row r="61186" spans="2:2" s="221" customFormat="1" ht="12.75" x14ac:dyDescent="0.2">
      <c r="B61186" s="1168"/>
    </row>
    <row r="61187" spans="2:2" s="221" customFormat="1" ht="12.75" x14ac:dyDescent="0.2">
      <c r="B61187" s="1168"/>
    </row>
    <row r="61188" spans="2:2" s="221" customFormat="1" ht="12.75" x14ac:dyDescent="0.2">
      <c r="B61188" s="1168"/>
    </row>
    <row r="61189" spans="2:2" s="221" customFormat="1" ht="12.75" x14ac:dyDescent="0.2">
      <c r="B61189" s="1168"/>
    </row>
    <row r="61190" spans="2:2" s="221" customFormat="1" ht="12.75" x14ac:dyDescent="0.2">
      <c r="B61190" s="1168"/>
    </row>
    <row r="61191" spans="2:2" s="221" customFormat="1" ht="12.75" x14ac:dyDescent="0.2">
      <c r="B61191" s="1168"/>
    </row>
    <row r="61192" spans="2:2" s="221" customFormat="1" ht="12.75" x14ac:dyDescent="0.2">
      <c r="B61192" s="1168"/>
    </row>
    <row r="61193" spans="2:2" s="221" customFormat="1" ht="12.75" x14ac:dyDescent="0.2">
      <c r="B61193" s="1168"/>
    </row>
    <row r="61194" spans="2:2" s="221" customFormat="1" ht="12.75" x14ac:dyDescent="0.2">
      <c r="B61194" s="1168"/>
    </row>
    <row r="61195" spans="2:2" s="221" customFormat="1" ht="12.75" x14ac:dyDescent="0.2">
      <c r="B61195" s="1168"/>
    </row>
    <row r="61196" spans="2:2" s="221" customFormat="1" ht="12.75" x14ac:dyDescent="0.2">
      <c r="B61196" s="1168"/>
    </row>
    <row r="61197" spans="2:2" s="221" customFormat="1" ht="12.75" x14ac:dyDescent="0.2">
      <c r="B61197" s="1168"/>
    </row>
    <row r="61198" spans="2:2" s="221" customFormat="1" ht="12.75" x14ac:dyDescent="0.2">
      <c r="B61198" s="1168"/>
    </row>
    <row r="61199" spans="2:2" s="221" customFormat="1" ht="12.75" x14ac:dyDescent="0.2">
      <c r="B61199" s="1168"/>
    </row>
    <row r="61200" spans="2:2" s="221" customFormat="1" ht="12.75" x14ac:dyDescent="0.2">
      <c r="B61200" s="1168"/>
    </row>
    <row r="61201" spans="2:2" s="221" customFormat="1" ht="12.75" x14ac:dyDescent="0.2">
      <c r="B61201" s="1168"/>
    </row>
    <row r="61202" spans="2:2" s="221" customFormat="1" ht="12.75" x14ac:dyDescent="0.2">
      <c r="B61202" s="1168"/>
    </row>
    <row r="61203" spans="2:2" s="221" customFormat="1" ht="12.75" x14ac:dyDescent="0.2">
      <c r="B61203" s="1168"/>
    </row>
    <row r="61204" spans="2:2" s="221" customFormat="1" ht="12.75" x14ac:dyDescent="0.2">
      <c r="B61204" s="1168"/>
    </row>
    <row r="61205" spans="2:2" s="221" customFormat="1" ht="12.75" x14ac:dyDescent="0.2">
      <c r="B61205" s="1168"/>
    </row>
    <row r="61206" spans="2:2" s="221" customFormat="1" ht="12.75" x14ac:dyDescent="0.2">
      <c r="B61206" s="1168"/>
    </row>
    <row r="61207" spans="2:2" s="221" customFormat="1" ht="12.75" x14ac:dyDescent="0.2">
      <c r="B61207" s="1168"/>
    </row>
    <row r="61208" spans="2:2" s="221" customFormat="1" ht="12.75" x14ac:dyDescent="0.2">
      <c r="B61208" s="1168"/>
    </row>
    <row r="61209" spans="2:2" s="221" customFormat="1" ht="12.75" x14ac:dyDescent="0.2">
      <c r="B61209" s="1168"/>
    </row>
    <row r="61210" spans="2:2" s="221" customFormat="1" ht="12.75" x14ac:dyDescent="0.2">
      <c r="B61210" s="1168"/>
    </row>
    <row r="61211" spans="2:2" s="221" customFormat="1" ht="12.75" x14ac:dyDescent="0.2">
      <c r="B61211" s="1168"/>
    </row>
    <row r="61212" spans="2:2" s="221" customFormat="1" ht="12.75" x14ac:dyDescent="0.2">
      <c r="B61212" s="1168"/>
    </row>
    <row r="61213" spans="2:2" s="221" customFormat="1" ht="12.75" x14ac:dyDescent="0.2">
      <c r="B61213" s="1168"/>
    </row>
    <row r="61214" spans="2:2" s="221" customFormat="1" ht="12.75" x14ac:dyDescent="0.2">
      <c r="B61214" s="1168"/>
    </row>
    <row r="61215" spans="2:2" s="221" customFormat="1" ht="12.75" x14ac:dyDescent="0.2">
      <c r="B61215" s="1168"/>
    </row>
    <row r="61216" spans="2:2" s="221" customFormat="1" ht="12.75" x14ac:dyDescent="0.2">
      <c r="B61216" s="1168"/>
    </row>
    <row r="61217" spans="2:2" s="221" customFormat="1" ht="12.75" x14ac:dyDescent="0.2">
      <c r="B61217" s="1168"/>
    </row>
    <row r="61218" spans="2:2" s="221" customFormat="1" ht="12.75" x14ac:dyDescent="0.2">
      <c r="B61218" s="1168"/>
    </row>
    <row r="61219" spans="2:2" s="221" customFormat="1" ht="12.75" x14ac:dyDescent="0.2">
      <c r="B61219" s="1168"/>
    </row>
    <row r="61220" spans="2:2" s="221" customFormat="1" ht="12.75" x14ac:dyDescent="0.2">
      <c r="B61220" s="1168"/>
    </row>
    <row r="61221" spans="2:2" s="221" customFormat="1" ht="12.75" x14ac:dyDescent="0.2">
      <c r="B61221" s="1168"/>
    </row>
    <row r="61222" spans="2:2" s="221" customFormat="1" ht="12.75" x14ac:dyDescent="0.2">
      <c r="B61222" s="1168"/>
    </row>
    <row r="61223" spans="2:2" s="221" customFormat="1" ht="12.75" x14ac:dyDescent="0.2">
      <c r="B61223" s="1168"/>
    </row>
    <row r="61224" spans="2:2" s="221" customFormat="1" ht="12.75" x14ac:dyDescent="0.2">
      <c r="B61224" s="1168"/>
    </row>
    <row r="61225" spans="2:2" s="221" customFormat="1" ht="12.75" x14ac:dyDescent="0.2">
      <c r="B61225" s="1168"/>
    </row>
    <row r="61226" spans="2:2" s="221" customFormat="1" ht="12.75" x14ac:dyDescent="0.2">
      <c r="B61226" s="1168"/>
    </row>
    <row r="61227" spans="2:2" s="221" customFormat="1" ht="12.75" x14ac:dyDescent="0.2">
      <c r="B61227" s="1168"/>
    </row>
    <row r="61228" spans="2:2" s="221" customFormat="1" ht="12.75" x14ac:dyDescent="0.2">
      <c r="B61228" s="1168"/>
    </row>
    <row r="61229" spans="2:2" s="221" customFormat="1" ht="12.75" x14ac:dyDescent="0.2">
      <c r="B61229" s="1168"/>
    </row>
    <row r="61230" spans="2:2" s="221" customFormat="1" ht="12.75" x14ac:dyDescent="0.2">
      <c r="B61230" s="1168"/>
    </row>
    <row r="61231" spans="2:2" s="221" customFormat="1" ht="12.75" x14ac:dyDescent="0.2">
      <c r="B61231" s="1168"/>
    </row>
    <row r="61232" spans="2:2" s="221" customFormat="1" ht="12.75" x14ac:dyDescent="0.2">
      <c r="B61232" s="1168"/>
    </row>
    <row r="61233" spans="2:2" s="221" customFormat="1" ht="12.75" x14ac:dyDescent="0.2">
      <c r="B61233" s="1168"/>
    </row>
    <row r="61234" spans="2:2" s="221" customFormat="1" ht="12.75" x14ac:dyDescent="0.2">
      <c r="B61234" s="1168"/>
    </row>
    <row r="61235" spans="2:2" s="221" customFormat="1" ht="12.75" x14ac:dyDescent="0.2">
      <c r="B61235" s="1168"/>
    </row>
    <row r="61236" spans="2:2" s="221" customFormat="1" ht="12.75" x14ac:dyDescent="0.2">
      <c r="B61236" s="1168"/>
    </row>
    <row r="61237" spans="2:2" s="221" customFormat="1" ht="12.75" x14ac:dyDescent="0.2">
      <c r="B61237" s="1168"/>
    </row>
    <row r="61238" spans="2:2" s="221" customFormat="1" ht="12.75" x14ac:dyDescent="0.2">
      <c r="B61238" s="1168"/>
    </row>
    <row r="61239" spans="2:2" s="221" customFormat="1" ht="12.75" x14ac:dyDescent="0.2">
      <c r="B61239" s="1168"/>
    </row>
    <row r="61240" spans="2:2" s="221" customFormat="1" ht="12.75" x14ac:dyDescent="0.2">
      <c r="B61240" s="1168"/>
    </row>
    <row r="61241" spans="2:2" s="221" customFormat="1" ht="12.75" x14ac:dyDescent="0.2">
      <c r="B61241" s="1168"/>
    </row>
    <row r="61242" spans="2:2" s="221" customFormat="1" ht="12.75" x14ac:dyDescent="0.2">
      <c r="B61242" s="1168"/>
    </row>
    <row r="61243" spans="2:2" s="221" customFormat="1" ht="12.75" x14ac:dyDescent="0.2">
      <c r="B61243" s="1168"/>
    </row>
    <row r="61244" spans="2:2" s="221" customFormat="1" ht="12.75" x14ac:dyDescent="0.2">
      <c r="B61244" s="1168"/>
    </row>
    <row r="61245" spans="2:2" s="221" customFormat="1" ht="12.75" x14ac:dyDescent="0.2">
      <c r="B61245" s="1168"/>
    </row>
    <row r="61246" spans="2:2" s="221" customFormat="1" ht="12.75" x14ac:dyDescent="0.2">
      <c r="B61246" s="1168"/>
    </row>
    <row r="61247" spans="2:2" s="221" customFormat="1" ht="12.75" x14ac:dyDescent="0.2">
      <c r="B61247" s="1168"/>
    </row>
    <row r="61248" spans="2:2" s="221" customFormat="1" ht="12.75" x14ac:dyDescent="0.2">
      <c r="B61248" s="1168"/>
    </row>
    <row r="61249" spans="2:2" s="221" customFormat="1" ht="12.75" x14ac:dyDescent="0.2">
      <c r="B61249" s="1168"/>
    </row>
    <row r="61250" spans="2:2" s="221" customFormat="1" ht="12.75" x14ac:dyDescent="0.2">
      <c r="B61250" s="1168"/>
    </row>
    <row r="61251" spans="2:2" s="221" customFormat="1" ht="12.75" x14ac:dyDescent="0.2">
      <c r="B61251" s="1168"/>
    </row>
    <row r="61252" spans="2:2" s="221" customFormat="1" ht="12.75" x14ac:dyDescent="0.2">
      <c r="B61252" s="1168"/>
    </row>
    <row r="61253" spans="2:2" s="221" customFormat="1" ht="12.75" x14ac:dyDescent="0.2">
      <c r="B61253" s="1168"/>
    </row>
    <row r="61254" spans="2:2" s="221" customFormat="1" ht="12.75" x14ac:dyDescent="0.2">
      <c r="B61254" s="1168"/>
    </row>
    <row r="61255" spans="2:2" s="221" customFormat="1" ht="12.75" x14ac:dyDescent="0.2">
      <c r="B61255" s="1168"/>
    </row>
    <row r="61256" spans="2:2" s="221" customFormat="1" ht="12.75" x14ac:dyDescent="0.2">
      <c r="B61256" s="1168"/>
    </row>
    <row r="61257" spans="2:2" s="221" customFormat="1" ht="12.75" x14ac:dyDescent="0.2">
      <c r="B61257" s="1168"/>
    </row>
    <row r="61258" spans="2:2" s="221" customFormat="1" ht="12.75" x14ac:dyDescent="0.2">
      <c r="B61258" s="1168"/>
    </row>
    <row r="61259" spans="2:2" s="221" customFormat="1" ht="12.75" x14ac:dyDescent="0.2">
      <c r="B61259" s="1168"/>
    </row>
    <row r="61260" spans="2:2" s="221" customFormat="1" ht="12.75" x14ac:dyDescent="0.2">
      <c r="B61260" s="1168"/>
    </row>
    <row r="61261" spans="2:2" s="221" customFormat="1" ht="12.75" x14ac:dyDescent="0.2">
      <c r="B61261" s="1168"/>
    </row>
    <row r="61262" spans="2:2" s="221" customFormat="1" ht="12.75" x14ac:dyDescent="0.2">
      <c r="B61262" s="1168"/>
    </row>
    <row r="61263" spans="2:2" s="221" customFormat="1" ht="12.75" x14ac:dyDescent="0.2">
      <c r="B61263" s="1168"/>
    </row>
    <row r="61264" spans="2:2" s="221" customFormat="1" ht="12.75" x14ac:dyDescent="0.2">
      <c r="B61264" s="1168"/>
    </row>
    <row r="61265" spans="2:2" s="221" customFormat="1" ht="12.75" x14ac:dyDescent="0.2">
      <c r="B61265" s="1168"/>
    </row>
    <row r="61266" spans="2:2" s="221" customFormat="1" ht="12.75" x14ac:dyDescent="0.2">
      <c r="B61266" s="1168"/>
    </row>
    <row r="61267" spans="2:2" s="221" customFormat="1" ht="12.75" x14ac:dyDescent="0.2">
      <c r="B61267" s="1168"/>
    </row>
    <row r="61268" spans="2:2" s="221" customFormat="1" ht="12.75" x14ac:dyDescent="0.2">
      <c r="B61268" s="1168"/>
    </row>
    <row r="61269" spans="2:2" s="221" customFormat="1" ht="12.75" x14ac:dyDescent="0.2">
      <c r="B61269" s="1168"/>
    </row>
    <row r="61270" spans="2:2" s="221" customFormat="1" ht="12.75" x14ac:dyDescent="0.2">
      <c r="B61270" s="1168"/>
    </row>
    <row r="61271" spans="2:2" s="221" customFormat="1" ht="12.75" x14ac:dyDescent="0.2">
      <c r="B61271" s="1168"/>
    </row>
    <row r="61272" spans="2:2" s="221" customFormat="1" ht="12.75" x14ac:dyDescent="0.2">
      <c r="B61272" s="1168"/>
    </row>
    <row r="61273" spans="2:2" s="221" customFormat="1" ht="12.75" x14ac:dyDescent="0.2">
      <c r="B61273" s="1168"/>
    </row>
    <row r="61274" spans="2:2" s="221" customFormat="1" ht="12.75" x14ac:dyDescent="0.2">
      <c r="B61274" s="1168"/>
    </row>
    <row r="61275" spans="2:2" s="221" customFormat="1" ht="12.75" x14ac:dyDescent="0.2">
      <c r="B61275" s="1168"/>
    </row>
    <row r="61276" spans="2:2" s="221" customFormat="1" ht="12.75" x14ac:dyDescent="0.2">
      <c r="B61276" s="1168"/>
    </row>
    <row r="61277" spans="2:2" s="221" customFormat="1" ht="12.75" x14ac:dyDescent="0.2">
      <c r="B61277" s="1168"/>
    </row>
    <row r="61278" spans="2:2" s="221" customFormat="1" ht="12.75" x14ac:dyDescent="0.2">
      <c r="B61278" s="1168"/>
    </row>
    <row r="61279" spans="2:2" s="221" customFormat="1" ht="12.75" x14ac:dyDescent="0.2">
      <c r="B61279" s="1168"/>
    </row>
    <row r="61280" spans="2:2" s="221" customFormat="1" ht="12.75" x14ac:dyDescent="0.2">
      <c r="B61280" s="1168"/>
    </row>
    <row r="61281" spans="2:2" s="221" customFormat="1" ht="12.75" x14ac:dyDescent="0.2">
      <c r="B61281" s="1168"/>
    </row>
    <row r="61282" spans="2:2" s="221" customFormat="1" ht="12.75" x14ac:dyDescent="0.2">
      <c r="B61282" s="1168"/>
    </row>
    <row r="61283" spans="2:2" s="221" customFormat="1" ht="12.75" x14ac:dyDescent="0.2">
      <c r="B61283" s="1168"/>
    </row>
    <row r="61284" spans="2:2" s="221" customFormat="1" ht="12.75" x14ac:dyDescent="0.2">
      <c r="B61284" s="1168"/>
    </row>
    <row r="61285" spans="2:2" s="221" customFormat="1" ht="12.75" x14ac:dyDescent="0.2">
      <c r="B61285" s="1168"/>
    </row>
    <row r="61286" spans="2:2" s="221" customFormat="1" ht="12.75" x14ac:dyDescent="0.2">
      <c r="B61286" s="1168"/>
    </row>
    <row r="61287" spans="2:2" s="221" customFormat="1" ht="12.75" x14ac:dyDescent="0.2">
      <c r="B61287" s="1168"/>
    </row>
    <row r="61288" spans="2:2" s="221" customFormat="1" ht="12.75" x14ac:dyDescent="0.2">
      <c r="B61288" s="1168"/>
    </row>
    <row r="61289" spans="2:2" s="221" customFormat="1" ht="12.75" x14ac:dyDescent="0.2">
      <c r="B61289" s="1168"/>
    </row>
    <row r="61290" spans="2:2" s="221" customFormat="1" ht="12.75" x14ac:dyDescent="0.2">
      <c r="B61290" s="1168"/>
    </row>
    <row r="61291" spans="2:2" s="221" customFormat="1" ht="12.75" x14ac:dyDescent="0.2">
      <c r="B61291" s="1168"/>
    </row>
    <row r="61292" spans="2:2" s="221" customFormat="1" ht="12.75" x14ac:dyDescent="0.2">
      <c r="B61292" s="1168"/>
    </row>
    <row r="61293" spans="2:2" s="221" customFormat="1" ht="12.75" x14ac:dyDescent="0.2">
      <c r="B61293" s="1168"/>
    </row>
    <row r="61294" spans="2:2" s="221" customFormat="1" ht="12.75" x14ac:dyDescent="0.2">
      <c r="B61294" s="1168"/>
    </row>
    <row r="61295" spans="2:2" s="221" customFormat="1" ht="12.75" x14ac:dyDescent="0.2">
      <c r="B61295" s="1168"/>
    </row>
    <row r="61296" spans="2:2" s="221" customFormat="1" ht="12.75" x14ac:dyDescent="0.2">
      <c r="B61296" s="1168"/>
    </row>
    <row r="61297" spans="2:2" s="221" customFormat="1" ht="12.75" x14ac:dyDescent="0.2">
      <c r="B61297" s="1168"/>
    </row>
    <row r="61298" spans="2:2" s="221" customFormat="1" ht="12.75" x14ac:dyDescent="0.2">
      <c r="B61298" s="1168"/>
    </row>
    <row r="61299" spans="2:2" s="221" customFormat="1" ht="12.75" x14ac:dyDescent="0.2">
      <c r="B61299" s="1168"/>
    </row>
    <row r="61300" spans="2:2" s="221" customFormat="1" ht="12.75" x14ac:dyDescent="0.2">
      <c r="B61300" s="1168"/>
    </row>
    <row r="61301" spans="2:2" s="221" customFormat="1" ht="12.75" x14ac:dyDescent="0.2">
      <c r="B61301" s="1168"/>
    </row>
    <row r="61302" spans="2:2" s="221" customFormat="1" ht="12.75" x14ac:dyDescent="0.2">
      <c r="B61302" s="1168"/>
    </row>
    <row r="61303" spans="2:2" s="221" customFormat="1" ht="12.75" x14ac:dyDescent="0.2">
      <c r="B61303" s="1168"/>
    </row>
    <row r="61304" spans="2:2" s="221" customFormat="1" ht="12.75" x14ac:dyDescent="0.2">
      <c r="B61304" s="1168"/>
    </row>
    <row r="61305" spans="2:2" s="221" customFormat="1" ht="12.75" x14ac:dyDescent="0.2">
      <c r="B61305" s="1168"/>
    </row>
    <row r="61306" spans="2:2" s="221" customFormat="1" ht="12.75" x14ac:dyDescent="0.2">
      <c r="B61306" s="1168"/>
    </row>
    <row r="61307" spans="2:2" s="221" customFormat="1" ht="12.75" x14ac:dyDescent="0.2">
      <c r="B61307" s="1168"/>
    </row>
    <row r="61308" spans="2:2" s="221" customFormat="1" ht="12.75" x14ac:dyDescent="0.2">
      <c r="B61308" s="1168"/>
    </row>
    <row r="61309" spans="2:2" s="221" customFormat="1" ht="12.75" x14ac:dyDescent="0.2">
      <c r="B61309" s="1168"/>
    </row>
    <row r="61310" spans="2:2" s="221" customFormat="1" ht="12.75" x14ac:dyDescent="0.2">
      <c r="B61310" s="1168"/>
    </row>
    <row r="61311" spans="2:2" s="221" customFormat="1" ht="12.75" x14ac:dyDescent="0.2">
      <c r="B61311" s="1168"/>
    </row>
    <row r="61312" spans="2:2" s="221" customFormat="1" ht="12.75" x14ac:dyDescent="0.2">
      <c r="B61312" s="1168"/>
    </row>
    <row r="61313" spans="2:2" s="221" customFormat="1" ht="12.75" x14ac:dyDescent="0.2">
      <c r="B61313" s="1168"/>
    </row>
    <row r="61314" spans="2:2" s="221" customFormat="1" ht="12.75" x14ac:dyDescent="0.2">
      <c r="B61314" s="1168"/>
    </row>
    <row r="61315" spans="2:2" s="221" customFormat="1" ht="12.75" x14ac:dyDescent="0.2">
      <c r="B61315" s="1168"/>
    </row>
    <row r="61316" spans="2:2" s="221" customFormat="1" ht="12.75" x14ac:dyDescent="0.2">
      <c r="B61316" s="1168"/>
    </row>
    <row r="61317" spans="2:2" s="221" customFormat="1" ht="12.75" x14ac:dyDescent="0.2">
      <c r="B61317" s="1168"/>
    </row>
    <row r="61318" spans="2:2" s="221" customFormat="1" ht="12.75" x14ac:dyDescent="0.2">
      <c r="B61318" s="1168"/>
    </row>
    <row r="61319" spans="2:2" s="221" customFormat="1" ht="12.75" x14ac:dyDescent="0.2">
      <c r="B61319" s="1168"/>
    </row>
    <row r="61320" spans="2:2" s="221" customFormat="1" ht="12.75" x14ac:dyDescent="0.2">
      <c r="B61320" s="1168"/>
    </row>
    <row r="61321" spans="2:2" s="221" customFormat="1" ht="12.75" x14ac:dyDescent="0.2">
      <c r="B61321" s="1168"/>
    </row>
    <row r="61322" spans="2:2" s="221" customFormat="1" ht="12.75" x14ac:dyDescent="0.2">
      <c r="B61322" s="1168"/>
    </row>
    <row r="61323" spans="2:2" s="221" customFormat="1" ht="12.75" x14ac:dyDescent="0.2">
      <c r="B61323" s="1168"/>
    </row>
    <row r="61324" spans="2:2" s="221" customFormat="1" ht="12.75" x14ac:dyDescent="0.2">
      <c r="B61324" s="1168"/>
    </row>
    <row r="61325" spans="2:2" s="221" customFormat="1" ht="12.75" x14ac:dyDescent="0.2">
      <c r="B61325" s="1168"/>
    </row>
    <row r="61326" spans="2:2" s="221" customFormat="1" ht="12.75" x14ac:dyDescent="0.2">
      <c r="B61326" s="1168"/>
    </row>
    <row r="61327" spans="2:2" s="221" customFormat="1" ht="12.75" x14ac:dyDescent="0.2">
      <c r="B61327" s="1168"/>
    </row>
    <row r="61328" spans="2:2" s="221" customFormat="1" ht="12.75" x14ac:dyDescent="0.2">
      <c r="B61328" s="1168"/>
    </row>
    <row r="61329" spans="2:2" s="221" customFormat="1" ht="12.75" x14ac:dyDescent="0.2">
      <c r="B61329" s="1168"/>
    </row>
    <row r="61330" spans="2:2" s="221" customFormat="1" ht="12.75" x14ac:dyDescent="0.2">
      <c r="B61330" s="1168"/>
    </row>
    <row r="61331" spans="2:2" s="221" customFormat="1" ht="12.75" x14ac:dyDescent="0.2">
      <c r="B61331" s="1168"/>
    </row>
    <row r="61332" spans="2:2" s="221" customFormat="1" ht="12.75" x14ac:dyDescent="0.2">
      <c r="B61332" s="1168"/>
    </row>
    <row r="61333" spans="2:2" s="221" customFormat="1" ht="12.75" x14ac:dyDescent="0.2">
      <c r="B61333" s="1168"/>
    </row>
    <row r="61334" spans="2:2" s="221" customFormat="1" ht="12.75" x14ac:dyDescent="0.2">
      <c r="B61334" s="1168"/>
    </row>
    <row r="61335" spans="2:2" s="221" customFormat="1" ht="12.75" x14ac:dyDescent="0.2">
      <c r="B61335" s="1168"/>
    </row>
    <row r="61336" spans="2:2" s="221" customFormat="1" ht="12.75" x14ac:dyDescent="0.2">
      <c r="B61336" s="1168"/>
    </row>
    <row r="61337" spans="2:2" s="221" customFormat="1" ht="12.75" x14ac:dyDescent="0.2">
      <c r="B61337" s="1168"/>
    </row>
    <row r="61338" spans="2:2" s="221" customFormat="1" ht="12.75" x14ac:dyDescent="0.2">
      <c r="B61338" s="1168"/>
    </row>
    <row r="61339" spans="2:2" s="221" customFormat="1" ht="12.75" x14ac:dyDescent="0.2">
      <c r="B61339" s="1168"/>
    </row>
    <row r="61340" spans="2:2" s="221" customFormat="1" ht="12.75" x14ac:dyDescent="0.2">
      <c r="B61340" s="1168"/>
    </row>
    <row r="61341" spans="2:2" s="221" customFormat="1" ht="12.75" x14ac:dyDescent="0.2">
      <c r="B61341" s="1168"/>
    </row>
    <row r="61342" spans="2:2" s="221" customFormat="1" ht="12.75" x14ac:dyDescent="0.2">
      <c r="B61342" s="1168"/>
    </row>
    <row r="61343" spans="2:2" s="221" customFormat="1" ht="12.75" x14ac:dyDescent="0.2">
      <c r="B61343" s="1168"/>
    </row>
    <row r="61344" spans="2:2" s="221" customFormat="1" ht="12.75" x14ac:dyDescent="0.2">
      <c r="B61344" s="1168"/>
    </row>
    <row r="61345" spans="2:2" s="221" customFormat="1" ht="12.75" x14ac:dyDescent="0.2">
      <c r="B61345" s="1168"/>
    </row>
    <row r="61346" spans="2:2" s="221" customFormat="1" ht="12.75" x14ac:dyDescent="0.2">
      <c r="B61346" s="1168"/>
    </row>
    <row r="61347" spans="2:2" s="221" customFormat="1" ht="12.75" x14ac:dyDescent="0.2">
      <c r="B61347" s="1168"/>
    </row>
    <row r="61348" spans="2:2" s="221" customFormat="1" ht="12.75" x14ac:dyDescent="0.2">
      <c r="B61348" s="1168"/>
    </row>
    <row r="61349" spans="2:2" s="221" customFormat="1" ht="12.75" x14ac:dyDescent="0.2">
      <c r="B61349" s="1168"/>
    </row>
    <row r="61350" spans="2:2" s="221" customFormat="1" ht="12.75" x14ac:dyDescent="0.2">
      <c r="B61350" s="1168"/>
    </row>
    <row r="61351" spans="2:2" s="221" customFormat="1" ht="12.75" x14ac:dyDescent="0.2">
      <c r="B61351" s="1168"/>
    </row>
    <row r="61352" spans="2:2" s="221" customFormat="1" ht="12.75" x14ac:dyDescent="0.2">
      <c r="B61352" s="1168"/>
    </row>
    <row r="61353" spans="2:2" s="221" customFormat="1" ht="12.75" x14ac:dyDescent="0.2">
      <c r="B61353" s="1168"/>
    </row>
    <row r="61354" spans="2:2" s="221" customFormat="1" ht="12.75" x14ac:dyDescent="0.2">
      <c r="B61354" s="1168"/>
    </row>
    <row r="61355" spans="2:2" s="221" customFormat="1" ht="12.75" x14ac:dyDescent="0.2">
      <c r="B61355" s="1168"/>
    </row>
    <row r="61356" spans="2:2" s="221" customFormat="1" ht="12.75" x14ac:dyDescent="0.2">
      <c r="B61356" s="1168"/>
    </row>
    <row r="61357" spans="2:2" s="221" customFormat="1" ht="12.75" x14ac:dyDescent="0.2">
      <c r="B61357" s="1168"/>
    </row>
    <row r="61358" spans="2:2" s="221" customFormat="1" ht="12.75" x14ac:dyDescent="0.2">
      <c r="B61358" s="1168"/>
    </row>
    <row r="61359" spans="2:2" s="221" customFormat="1" ht="12.75" x14ac:dyDescent="0.2">
      <c r="B61359" s="1168"/>
    </row>
    <row r="61360" spans="2:2" s="221" customFormat="1" ht="12.75" x14ac:dyDescent="0.2">
      <c r="B61360" s="1168"/>
    </row>
    <row r="61361" spans="2:2" s="221" customFormat="1" ht="12.75" x14ac:dyDescent="0.2">
      <c r="B61361" s="1168"/>
    </row>
    <row r="61362" spans="2:2" s="221" customFormat="1" ht="12.75" x14ac:dyDescent="0.2">
      <c r="B61362" s="1168"/>
    </row>
    <row r="61363" spans="2:2" s="221" customFormat="1" ht="12.75" x14ac:dyDescent="0.2">
      <c r="B61363" s="1168"/>
    </row>
    <row r="61364" spans="2:2" s="221" customFormat="1" ht="12.75" x14ac:dyDescent="0.2">
      <c r="B61364" s="1168"/>
    </row>
    <row r="61365" spans="2:2" s="221" customFormat="1" ht="12.75" x14ac:dyDescent="0.2">
      <c r="B61365" s="1168"/>
    </row>
    <row r="61366" spans="2:2" s="221" customFormat="1" ht="12.75" x14ac:dyDescent="0.2">
      <c r="B61366" s="1168"/>
    </row>
    <row r="61367" spans="2:2" s="221" customFormat="1" ht="12.75" x14ac:dyDescent="0.2">
      <c r="B61367" s="1168"/>
    </row>
    <row r="61368" spans="2:2" s="221" customFormat="1" ht="12.75" x14ac:dyDescent="0.2">
      <c r="B61368" s="1168"/>
    </row>
    <row r="61369" spans="2:2" s="221" customFormat="1" ht="12.75" x14ac:dyDescent="0.2">
      <c r="B61369" s="1168"/>
    </row>
    <row r="61370" spans="2:2" s="221" customFormat="1" ht="12.75" x14ac:dyDescent="0.2">
      <c r="B61370" s="1168"/>
    </row>
    <row r="61371" spans="2:2" s="221" customFormat="1" ht="12.75" x14ac:dyDescent="0.2">
      <c r="B61371" s="1168"/>
    </row>
    <row r="61372" spans="2:2" s="221" customFormat="1" ht="12.75" x14ac:dyDescent="0.2">
      <c r="B61372" s="1168"/>
    </row>
    <row r="61373" spans="2:2" s="221" customFormat="1" ht="12.75" x14ac:dyDescent="0.2">
      <c r="B61373" s="1168"/>
    </row>
    <row r="61374" spans="2:2" s="221" customFormat="1" ht="12.75" x14ac:dyDescent="0.2">
      <c r="B61374" s="1168"/>
    </row>
    <row r="61375" spans="2:2" s="221" customFormat="1" ht="12.75" x14ac:dyDescent="0.2">
      <c r="B61375" s="1168"/>
    </row>
    <row r="61376" spans="2:2" s="221" customFormat="1" ht="12.75" x14ac:dyDescent="0.2">
      <c r="B61376" s="1168"/>
    </row>
    <row r="61377" spans="2:2" s="221" customFormat="1" ht="12.75" x14ac:dyDescent="0.2">
      <c r="B61377" s="1168"/>
    </row>
    <row r="61378" spans="2:2" s="221" customFormat="1" ht="12.75" x14ac:dyDescent="0.2">
      <c r="B61378" s="1168"/>
    </row>
    <row r="61379" spans="2:2" s="221" customFormat="1" ht="12.75" x14ac:dyDescent="0.2">
      <c r="B61379" s="1168"/>
    </row>
    <row r="61380" spans="2:2" s="221" customFormat="1" ht="12.75" x14ac:dyDescent="0.2">
      <c r="B61380" s="1168"/>
    </row>
    <row r="61381" spans="2:2" s="221" customFormat="1" ht="12.75" x14ac:dyDescent="0.2">
      <c r="B61381" s="1168"/>
    </row>
    <row r="61382" spans="2:2" s="221" customFormat="1" ht="12.75" x14ac:dyDescent="0.2">
      <c r="B61382" s="1168"/>
    </row>
    <row r="61383" spans="2:2" s="221" customFormat="1" ht="12.75" x14ac:dyDescent="0.2">
      <c r="B61383" s="1168"/>
    </row>
    <row r="61384" spans="2:2" s="221" customFormat="1" ht="12.75" x14ac:dyDescent="0.2">
      <c r="B61384" s="1168"/>
    </row>
    <row r="61385" spans="2:2" s="221" customFormat="1" ht="12.75" x14ac:dyDescent="0.2">
      <c r="B61385" s="1168"/>
    </row>
    <row r="61386" spans="2:2" s="221" customFormat="1" ht="12.75" x14ac:dyDescent="0.2">
      <c r="B61386" s="1168"/>
    </row>
    <row r="61387" spans="2:2" s="221" customFormat="1" ht="12.75" x14ac:dyDescent="0.2">
      <c r="B61387" s="1168"/>
    </row>
    <row r="61388" spans="2:2" s="221" customFormat="1" ht="12.75" x14ac:dyDescent="0.2">
      <c r="B61388" s="1168"/>
    </row>
    <row r="61389" spans="2:2" s="221" customFormat="1" ht="12.75" x14ac:dyDescent="0.2">
      <c r="B61389" s="1168"/>
    </row>
    <row r="61390" spans="2:2" s="221" customFormat="1" ht="12.75" x14ac:dyDescent="0.2">
      <c r="B61390" s="1168"/>
    </row>
    <row r="61391" spans="2:2" s="221" customFormat="1" ht="12.75" x14ac:dyDescent="0.2">
      <c r="B61391" s="1168"/>
    </row>
    <row r="61392" spans="2:2" s="221" customFormat="1" ht="12.75" x14ac:dyDescent="0.2">
      <c r="B61392" s="1168"/>
    </row>
    <row r="61393" spans="2:2" s="221" customFormat="1" ht="12.75" x14ac:dyDescent="0.2">
      <c r="B61393" s="1168"/>
    </row>
    <row r="61394" spans="2:2" s="221" customFormat="1" ht="12.75" x14ac:dyDescent="0.2">
      <c r="B61394" s="1168"/>
    </row>
    <row r="61395" spans="2:2" s="221" customFormat="1" ht="12.75" x14ac:dyDescent="0.2">
      <c r="B61395" s="1168"/>
    </row>
    <row r="61396" spans="2:2" s="221" customFormat="1" ht="12.75" x14ac:dyDescent="0.2">
      <c r="B61396" s="1168"/>
    </row>
    <row r="61397" spans="2:2" s="221" customFormat="1" ht="12.75" x14ac:dyDescent="0.2">
      <c r="B61397" s="1168"/>
    </row>
    <row r="61398" spans="2:2" s="221" customFormat="1" ht="12.75" x14ac:dyDescent="0.2">
      <c r="B61398" s="1168"/>
    </row>
    <row r="61399" spans="2:2" s="221" customFormat="1" ht="12.75" x14ac:dyDescent="0.2">
      <c r="B61399" s="1168"/>
    </row>
    <row r="61400" spans="2:2" s="221" customFormat="1" ht="12.75" x14ac:dyDescent="0.2">
      <c r="B61400" s="1168"/>
    </row>
    <row r="61401" spans="2:2" s="221" customFormat="1" ht="12.75" x14ac:dyDescent="0.2">
      <c r="B61401" s="1168"/>
    </row>
    <row r="61402" spans="2:2" s="221" customFormat="1" ht="12.75" x14ac:dyDescent="0.2">
      <c r="B61402" s="1168"/>
    </row>
    <row r="61403" spans="2:2" s="221" customFormat="1" ht="12.75" x14ac:dyDescent="0.2">
      <c r="B61403" s="1168"/>
    </row>
    <row r="61404" spans="2:2" s="221" customFormat="1" ht="12.75" x14ac:dyDescent="0.2">
      <c r="B61404" s="1168"/>
    </row>
    <row r="61405" spans="2:2" s="221" customFormat="1" ht="12.75" x14ac:dyDescent="0.2">
      <c r="B61405" s="1168"/>
    </row>
    <row r="61406" spans="2:2" s="221" customFormat="1" ht="12.75" x14ac:dyDescent="0.2">
      <c r="B61406" s="1168"/>
    </row>
    <row r="61407" spans="2:2" s="221" customFormat="1" ht="12.75" x14ac:dyDescent="0.2">
      <c r="B61407" s="1168"/>
    </row>
    <row r="61408" spans="2:2" s="221" customFormat="1" ht="12.75" x14ac:dyDescent="0.2">
      <c r="B61408" s="1168"/>
    </row>
    <row r="61409" spans="2:2" s="221" customFormat="1" ht="12.75" x14ac:dyDescent="0.2">
      <c r="B61409" s="1168"/>
    </row>
    <row r="61410" spans="2:2" s="221" customFormat="1" ht="12.75" x14ac:dyDescent="0.2">
      <c r="B61410" s="1168"/>
    </row>
    <row r="61411" spans="2:2" s="221" customFormat="1" ht="12.75" x14ac:dyDescent="0.2">
      <c r="B61411" s="1168"/>
    </row>
    <row r="61412" spans="2:2" s="221" customFormat="1" ht="12.75" x14ac:dyDescent="0.2">
      <c r="B61412" s="1168"/>
    </row>
    <row r="61413" spans="2:2" s="221" customFormat="1" ht="12.75" x14ac:dyDescent="0.2">
      <c r="B61413" s="1168"/>
    </row>
    <row r="61414" spans="2:2" s="221" customFormat="1" ht="12.75" x14ac:dyDescent="0.2">
      <c r="B61414" s="1168"/>
    </row>
    <row r="61415" spans="2:2" s="221" customFormat="1" ht="12.75" x14ac:dyDescent="0.2">
      <c r="B61415" s="1168"/>
    </row>
    <row r="61416" spans="2:2" s="221" customFormat="1" ht="12.75" x14ac:dyDescent="0.2">
      <c r="B61416" s="1168"/>
    </row>
    <row r="61417" spans="2:2" s="221" customFormat="1" ht="12.75" x14ac:dyDescent="0.2">
      <c r="B61417" s="1168"/>
    </row>
    <row r="61418" spans="2:2" s="221" customFormat="1" ht="12.75" x14ac:dyDescent="0.2">
      <c r="B61418" s="1168"/>
    </row>
    <row r="61419" spans="2:2" s="221" customFormat="1" ht="12.75" x14ac:dyDescent="0.2">
      <c r="B61419" s="1168"/>
    </row>
    <row r="61420" spans="2:2" s="221" customFormat="1" ht="12.75" x14ac:dyDescent="0.2">
      <c r="B61420" s="1168"/>
    </row>
    <row r="61421" spans="2:2" s="221" customFormat="1" ht="12.75" x14ac:dyDescent="0.2">
      <c r="B61421" s="1168"/>
    </row>
    <row r="61422" spans="2:2" s="221" customFormat="1" ht="12.75" x14ac:dyDescent="0.2">
      <c r="B61422" s="1168"/>
    </row>
    <row r="61423" spans="2:2" s="221" customFormat="1" ht="12.75" x14ac:dyDescent="0.2">
      <c r="B61423" s="1168"/>
    </row>
    <row r="61424" spans="2:2" s="221" customFormat="1" ht="12.75" x14ac:dyDescent="0.2">
      <c r="B61424" s="1168"/>
    </row>
    <row r="61425" spans="2:2" s="221" customFormat="1" ht="12.75" x14ac:dyDescent="0.2">
      <c r="B61425" s="1168"/>
    </row>
    <row r="61426" spans="2:2" s="221" customFormat="1" ht="12.75" x14ac:dyDescent="0.2">
      <c r="B61426" s="1168"/>
    </row>
    <row r="61427" spans="2:2" s="221" customFormat="1" ht="12.75" x14ac:dyDescent="0.2">
      <c r="B61427" s="1168"/>
    </row>
    <row r="61428" spans="2:2" s="221" customFormat="1" ht="12.75" x14ac:dyDescent="0.2">
      <c r="B61428" s="1168"/>
    </row>
    <row r="61429" spans="2:2" s="221" customFormat="1" ht="12.75" x14ac:dyDescent="0.2">
      <c r="B61429" s="1168"/>
    </row>
    <row r="61430" spans="2:2" s="221" customFormat="1" ht="12.75" x14ac:dyDescent="0.2">
      <c r="B61430" s="1168"/>
    </row>
    <row r="61431" spans="2:2" s="221" customFormat="1" ht="12.75" x14ac:dyDescent="0.2">
      <c r="B61431" s="1168"/>
    </row>
    <row r="61432" spans="2:2" s="221" customFormat="1" ht="12.75" x14ac:dyDescent="0.2">
      <c r="B61432" s="1168"/>
    </row>
    <row r="61433" spans="2:2" s="221" customFormat="1" ht="12.75" x14ac:dyDescent="0.2">
      <c r="B61433" s="1168"/>
    </row>
    <row r="61434" spans="2:2" s="221" customFormat="1" ht="12.75" x14ac:dyDescent="0.2">
      <c r="B61434" s="1168"/>
    </row>
    <row r="61435" spans="2:2" s="221" customFormat="1" ht="12.75" x14ac:dyDescent="0.2">
      <c r="B61435" s="1168"/>
    </row>
    <row r="61436" spans="2:2" s="221" customFormat="1" ht="12.75" x14ac:dyDescent="0.2">
      <c r="B61436" s="1168"/>
    </row>
    <row r="61437" spans="2:2" s="221" customFormat="1" ht="12.75" x14ac:dyDescent="0.2">
      <c r="B61437" s="1168"/>
    </row>
    <row r="61438" spans="2:2" s="221" customFormat="1" ht="12.75" x14ac:dyDescent="0.2">
      <c r="B61438" s="1168"/>
    </row>
    <row r="61439" spans="2:2" s="221" customFormat="1" ht="12.75" x14ac:dyDescent="0.2">
      <c r="B61439" s="1168"/>
    </row>
    <row r="61440" spans="2:2" s="221" customFormat="1" ht="12.75" x14ac:dyDescent="0.2">
      <c r="B61440" s="1168"/>
    </row>
    <row r="61441" spans="2:2" s="221" customFormat="1" ht="12.75" x14ac:dyDescent="0.2">
      <c r="B61441" s="1168"/>
    </row>
    <row r="61442" spans="2:2" s="221" customFormat="1" ht="12.75" x14ac:dyDescent="0.2">
      <c r="B61442" s="1168"/>
    </row>
    <row r="61443" spans="2:2" s="221" customFormat="1" ht="12.75" x14ac:dyDescent="0.2">
      <c r="B61443" s="1168"/>
    </row>
    <row r="61444" spans="2:2" s="221" customFormat="1" ht="12.75" x14ac:dyDescent="0.2">
      <c r="B61444" s="1168"/>
    </row>
    <row r="61445" spans="2:2" s="221" customFormat="1" ht="12.75" x14ac:dyDescent="0.2">
      <c r="B61445" s="1168"/>
    </row>
    <row r="61446" spans="2:2" s="221" customFormat="1" ht="12.75" x14ac:dyDescent="0.2">
      <c r="B61446" s="1168"/>
    </row>
    <row r="61447" spans="2:2" s="221" customFormat="1" ht="12.75" x14ac:dyDescent="0.2">
      <c r="B61447" s="1168"/>
    </row>
    <row r="61448" spans="2:2" s="221" customFormat="1" ht="12.75" x14ac:dyDescent="0.2">
      <c r="B61448" s="1168"/>
    </row>
    <row r="61449" spans="2:2" s="221" customFormat="1" ht="12.75" x14ac:dyDescent="0.2">
      <c r="B61449" s="1168"/>
    </row>
    <row r="61450" spans="2:2" s="221" customFormat="1" ht="12.75" x14ac:dyDescent="0.2">
      <c r="B61450" s="1168"/>
    </row>
    <row r="61451" spans="2:2" s="221" customFormat="1" ht="12.75" x14ac:dyDescent="0.2">
      <c r="B61451" s="1168"/>
    </row>
    <row r="61452" spans="2:2" s="221" customFormat="1" ht="12.75" x14ac:dyDescent="0.2">
      <c r="B61452" s="1168"/>
    </row>
    <row r="61453" spans="2:2" s="221" customFormat="1" ht="12.75" x14ac:dyDescent="0.2">
      <c r="B61453" s="1168"/>
    </row>
    <row r="61454" spans="2:2" s="221" customFormat="1" ht="12.75" x14ac:dyDescent="0.2">
      <c r="B61454" s="1168"/>
    </row>
    <row r="61455" spans="2:2" s="221" customFormat="1" ht="12.75" x14ac:dyDescent="0.2">
      <c r="B61455" s="1168"/>
    </row>
    <row r="61456" spans="2:2" s="221" customFormat="1" ht="12.75" x14ac:dyDescent="0.2">
      <c r="B61456" s="1168"/>
    </row>
    <row r="61457" spans="2:2" s="221" customFormat="1" ht="12.75" x14ac:dyDescent="0.2">
      <c r="B61457" s="1168"/>
    </row>
    <row r="61458" spans="2:2" s="221" customFormat="1" ht="12.75" x14ac:dyDescent="0.2">
      <c r="B61458" s="1168"/>
    </row>
    <row r="61459" spans="2:2" s="221" customFormat="1" ht="12.75" x14ac:dyDescent="0.2">
      <c r="B61459" s="1168"/>
    </row>
    <row r="61460" spans="2:2" s="221" customFormat="1" ht="12.75" x14ac:dyDescent="0.2">
      <c r="B61460" s="1168"/>
    </row>
    <row r="61461" spans="2:2" s="221" customFormat="1" ht="12.75" x14ac:dyDescent="0.2">
      <c r="B61461" s="1168"/>
    </row>
    <row r="61462" spans="2:2" s="221" customFormat="1" ht="12.75" x14ac:dyDescent="0.2">
      <c r="B61462" s="1168"/>
    </row>
    <row r="61463" spans="2:2" s="221" customFormat="1" ht="12.75" x14ac:dyDescent="0.2">
      <c r="B61463" s="1168"/>
    </row>
    <row r="61464" spans="2:2" s="221" customFormat="1" ht="12.75" x14ac:dyDescent="0.2">
      <c r="B61464" s="1168"/>
    </row>
    <row r="61465" spans="2:2" s="221" customFormat="1" ht="12.75" x14ac:dyDescent="0.2">
      <c r="B61465" s="1168"/>
    </row>
    <row r="61466" spans="2:2" s="221" customFormat="1" ht="12.75" x14ac:dyDescent="0.2">
      <c r="B61466" s="1168"/>
    </row>
    <row r="61467" spans="2:2" s="221" customFormat="1" ht="12.75" x14ac:dyDescent="0.2">
      <c r="B61467" s="1168"/>
    </row>
    <row r="61468" spans="2:2" s="221" customFormat="1" ht="12.75" x14ac:dyDescent="0.2">
      <c r="B61468" s="1168"/>
    </row>
    <row r="61469" spans="2:2" s="221" customFormat="1" ht="12.75" x14ac:dyDescent="0.2">
      <c r="B61469" s="1168"/>
    </row>
    <row r="61470" spans="2:2" s="221" customFormat="1" ht="12.75" x14ac:dyDescent="0.2">
      <c r="B61470" s="1168"/>
    </row>
    <row r="61471" spans="2:2" s="221" customFormat="1" ht="12.75" x14ac:dyDescent="0.2">
      <c r="B61471" s="1168"/>
    </row>
    <row r="61472" spans="2:2" s="221" customFormat="1" ht="12.75" x14ac:dyDescent="0.2">
      <c r="B61472" s="1168"/>
    </row>
    <row r="61473" spans="2:2" s="221" customFormat="1" ht="12.75" x14ac:dyDescent="0.2">
      <c r="B61473" s="1168"/>
    </row>
    <row r="61474" spans="2:2" s="221" customFormat="1" ht="12.75" x14ac:dyDescent="0.2">
      <c r="B61474" s="1168"/>
    </row>
    <row r="61475" spans="2:2" s="221" customFormat="1" ht="12.75" x14ac:dyDescent="0.2">
      <c r="B61475" s="1168"/>
    </row>
    <row r="61476" spans="2:2" s="221" customFormat="1" ht="12.75" x14ac:dyDescent="0.2">
      <c r="B61476" s="1168"/>
    </row>
    <row r="61477" spans="2:2" s="221" customFormat="1" ht="12.75" x14ac:dyDescent="0.2">
      <c r="B61477" s="1168"/>
    </row>
    <row r="61478" spans="2:2" s="221" customFormat="1" ht="12.75" x14ac:dyDescent="0.2">
      <c r="B61478" s="1168"/>
    </row>
    <row r="61479" spans="2:2" s="221" customFormat="1" ht="12.75" x14ac:dyDescent="0.2">
      <c r="B61479" s="1168"/>
    </row>
    <row r="61480" spans="2:2" s="221" customFormat="1" ht="12.75" x14ac:dyDescent="0.2">
      <c r="B61480" s="1168"/>
    </row>
    <row r="61481" spans="2:2" s="221" customFormat="1" ht="12.75" x14ac:dyDescent="0.2">
      <c r="B61481" s="1168"/>
    </row>
    <row r="61482" spans="2:2" s="221" customFormat="1" ht="12.75" x14ac:dyDescent="0.2">
      <c r="B61482" s="1168"/>
    </row>
    <row r="61483" spans="2:2" s="221" customFormat="1" ht="12.75" x14ac:dyDescent="0.2">
      <c r="B61483" s="1168"/>
    </row>
    <row r="61484" spans="2:2" s="221" customFormat="1" ht="12.75" x14ac:dyDescent="0.2">
      <c r="B61484" s="1168"/>
    </row>
    <row r="61485" spans="2:2" s="221" customFormat="1" ht="12.75" x14ac:dyDescent="0.2">
      <c r="B61485" s="1168"/>
    </row>
    <row r="61486" spans="2:2" s="221" customFormat="1" ht="12.75" x14ac:dyDescent="0.2">
      <c r="B61486" s="1168"/>
    </row>
    <row r="61487" spans="2:2" s="221" customFormat="1" ht="12.75" x14ac:dyDescent="0.2">
      <c r="B61487" s="1168"/>
    </row>
    <row r="61488" spans="2:2" s="221" customFormat="1" ht="12.75" x14ac:dyDescent="0.2">
      <c r="B61488" s="1168"/>
    </row>
    <row r="61489" spans="2:2" s="221" customFormat="1" ht="12.75" x14ac:dyDescent="0.2">
      <c r="B61489" s="1168"/>
    </row>
    <row r="61490" spans="2:2" s="221" customFormat="1" ht="12.75" x14ac:dyDescent="0.2">
      <c r="B61490" s="1168"/>
    </row>
    <row r="61491" spans="2:2" s="221" customFormat="1" ht="12.75" x14ac:dyDescent="0.2">
      <c r="B61491" s="1168"/>
    </row>
    <row r="61492" spans="2:2" s="221" customFormat="1" ht="12.75" x14ac:dyDescent="0.2">
      <c r="B61492" s="1168"/>
    </row>
    <row r="61493" spans="2:2" s="221" customFormat="1" ht="12.75" x14ac:dyDescent="0.2">
      <c r="B61493" s="1168"/>
    </row>
    <row r="61494" spans="2:2" s="221" customFormat="1" ht="12.75" x14ac:dyDescent="0.2">
      <c r="B61494" s="1168"/>
    </row>
    <row r="61495" spans="2:2" s="221" customFormat="1" ht="12.75" x14ac:dyDescent="0.2">
      <c r="B61495" s="1168"/>
    </row>
    <row r="61496" spans="2:2" s="221" customFormat="1" ht="12.75" x14ac:dyDescent="0.2">
      <c r="B61496" s="1168"/>
    </row>
    <row r="61497" spans="2:2" s="221" customFormat="1" ht="12.75" x14ac:dyDescent="0.2">
      <c r="B61497" s="1168"/>
    </row>
    <row r="61498" spans="2:2" s="221" customFormat="1" ht="12.75" x14ac:dyDescent="0.2">
      <c r="B61498" s="1168"/>
    </row>
    <row r="61499" spans="2:2" s="221" customFormat="1" ht="12.75" x14ac:dyDescent="0.2">
      <c r="B61499" s="1168"/>
    </row>
    <row r="61500" spans="2:2" s="221" customFormat="1" ht="12.75" x14ac:dyDescent="0.2">
      <c r="B61500" s="1168"/>
    </row>
    <row r="61501" spans="2:2" s="221" customFormat="1" ht="12.75" x14ac:dyDescent="0.2">
      <c r="B61501" s="1168"/>
    </row>
    <row r="61502" spans="2:2" s="221" customFormat="1" ht="12.75" x14ac:dyDescent="0.2">
      <c r="B61502" s="1168"/>
    </row>
    <row r="61503" spans="2:2" s="221" customFormat="1" ht="12.75" x14ac:dyDescent="0.2">
      <c r="B61503" s="1168"/>
    </row>
    <row r="61504" spans="2:2" s="221" customFormat="1" ht="12.75" x14ac:dyDescent="0.2">
      <c r="B61504" s="1168"/>
    </row>
    <row r="61505" spans="2:2" s="221" customFormat="1" ht="12.75" x14ac:dyDescent="0.2">
      <c r="B61505" s="1168"/>
    </row>
    <row r="61506" spans="2:2" s="221" customFormat="1" ht="12.75" x14ac:dyDescent="0.2">
      <c r="B61506" s="1168"/>
    </row>
    <row r="61507" spans="2:2" s="221" customFormat="1" ht="12.75" x14ac:dyDescent="0.2">
      <c r="B61507" s="1168"/>
    </row>
    <row r="61508" spans="2:2" s="221" customFormat="1" ht="12.75" x14ac:dyDescent="0.2">
      <c r="B61508" s="1168"/>
    </row>
    <row r="61509" spans="2:2" s="221" customFormat="1" ht="12.75" x14ac:dyDescent="0.2">
      <c r="B61509" s="1168"/>
    </row>
    <row r="61510" spans="2:2" s="221" customFormat="1" ht="12.75" x14ac:dyDescent="0.2">
      <c r="B61510" s="1168"/>
    </row>
    <row r="61511" spans="2:2" s="221" customFormat="1" ht="12.75" x14ac:dyDescent="0.2">
      <c r="B61511" s="1168"/>
    </row>
    <row r="61512" spans="2:2" s="221" customFormat="1" ht="12.75" x14ac:dyDescent="0.2">
      <c r="B61512" s="1168"/>
    </row>
    <row r="61513" spans="2:2" s="221" customFormat="1" ht="12.75" x14ac:dyDescent="0.2">
      <c r="B61513" s="1168"/>
    </row>
    <row r="61514" spans="2:2" s="221" customFormat="1" ht="12.75" x14ac:dyDescent="0.2">
      <c r="B61514" s="1168"/>
    </row>
    <row r="61515" spans="2:2" s="221" customFormat="1" ht="12.75" x14ac:dyDescent="0.2">
      <c r="B61515" s="1168"/>
    </row>
    <row r="61516" spans="2:2" s="221" customFormat="1" ht="12.75" x14ac:dyDescent="0.2">
      <c r="B61516" s="1168"/>
    </row>
    <row r="61517" spans="2:2" s="221" customFormat="1" ht="12.75" x14ac:dyDescent="0.2">
      <c r="B61517" s="1168"/>
    </row>
    <row r="61518" spans="2:2" s="221" customFormat="1" ht="12.75" x14ac:dyDescent="0.2">
      <c r="B61518" s="1168"/>
    </row>
    <row r="61519" spans="2:2" s="221" customFormat="1" ht="12.75" x14ac:dyDescent="0.2">
      <c r="B61519" s="1168"/>
    </row>
    <row r="61520" spans="2:2" s="221" customFormat="1" ht="12.75" x14ac:dyDescent="0.2">
      <c r="B61520" s="1168"/>
    </row>
    <row r="61521" spans="2:2" s="221" customFormat="1" ht="12.75" x14ac:dyDescent="0.2">
      <c r="B61521" s="1168"/>
    </row>
    <row r="61522" spans="2:2" s="221" customFormat="1" ht="12.75" x14ac:dyDescent="0.2">
      <c r="B61522" s="1168"/>
    </row>
    <row r="61523" spans="2:2" s="221" customFormat="1" ht="12.75" x14ac:dyDescent="0.2">
      <c r="B61523" s="1168"/>
    </row>
    <row r="61524" spans="2:2" s="221" customFormat="1" ht="12.75" x14ac:dyDescent="0.2">
      <c r="B61524" s="1168"/>
    </row>
    <row r="61525" spans="2:2" s="221" customFormat="1" ht="12.75" x14ac:dyDescent="0.2">
      <c r="B61525" s="1168"/>
    </row>
    <row r="61526" spans="2:2" s="221" customFormat="1" ht="12.75" x14ac:dyDescent="0.2">
      <c r="B61526" s="1168"/>
    </row>
    <row r="61527" spans="2:2" s="221" customFormat="1" ht="12.75" x14ac:dyDescent="0.2">
      <c r="B61527" s="1168"/>
    </row>
    <row r="61528" spans="2:2" s="221" customFormat="1" ht="12.75" x14ac:dyDescent="0.2">
      <c r="B61528" s="1168"/>
    </row>
    <row r="61529" spans="2:2" s="221" customFormat="1" ht="12.75" x14ac:dyDescent="0.2">
      <c r="B61529" s="1168"/>
    </row>
    <row r="61530" spans="2:2" s="221" customFormat="1" ht="12.75" x14ac:dyDescent="0.2">
      <c r="B61530" s="1168"/>
    </row>
    <row r="61531" spans="2:2" s="221" customFormat="1" ht="12.75" x14ac:dyDescent="0.2">
      <c r="B61531" s="1168"/>
    </row>
    <row r="61532" spans="2:2" s="221" customFormat="1" ht="12.75" x14ac:dyDescent="0.2">
      <c r="B61532" s="1168"/>
    </row>
    <row r="61533" spans="2:2" s="221" customFormat="1" ht="12.75" x14ac:dyDescent="0.2">
      <c r="B61533" s="1168"/>
    </row>
    <row r="61534" spans="2:2" s="221" customFormat="1" ht="12.75" x14ac:dyDescent="0.2">
      <c r="B61534" s="1168"/>
    </row>
    <row r="61535" spans="2:2" s="221" customFormat="1" ht="12.75" x14ac:dyDescent="0.2">
      <c r="B61535" s="1168"/>
    </row>
    <row r="61536" spans="2:2" s="221" customFormat="1" ht="12.75" x14ac:dyDescent="0.2">
      <c r="B61536" s="1168"/>
    </row>
    <row r="61537" spans="2:2" s="221" customFormat="1" ht="12.75" x14ac:dyDescent="0.2">
      <c r="B61537" s="1168"/>
    </row>
    <row r="61538" spans="2:2" s="221" customFormat="1" ht="12.75" x14ac:dyDescent="0.2">
      <c r="B61538" s="1168"/>
    </row>
    <row r="61539" spans="2:2" s="221" customFormat="1" ht="12.75" x14ac:dyDescent="0.2">
      <c r="B61539" s="1168"/>
    </row>
    <row r="61540" spans="2:2" s="221" customFormat="1" ht="12.75" x14ac:dyDescent="0.2">
      <c r="B61540" s="1168"/>
    </row>
    <row r="61541" spans="2:2" s="221" customFormat="1" ht="12.75" x14ac:dyDescent="0.2">
      <c r="B61541" s="1168"/>
    </row>
    <row r="61542" spans="2:2" s="221" customFormat="1" ht="12.75" x14ac:dyDescent="0.2">
      <c r="B61542" s="1168"/>
    </row>
    <row r="61543" spans="2:2" s="221" customFormat="1" ht="12.75" x14ac:dyDescent="0.2">
      <c r="B61543" s="1168"/>
    </row>
    <row r="61544" spans="2:2" s="221" customFormat="1" ht="12.75" x14ac:dyDescent="0.2">
      <c r="B61544" s="1168"/>
    </row>
    <row r="61545" spans="2:2" s="221" customFormat="1" ht="12.75" x14ac:dyDescent="0.2">
      <c r="B61545" s="1168"/>
    </row>
    <row r="61546" spans="2:2" s="221" customFormat="1" ht="12.75" x14ac:dyDescent="0.2">
      <c r="B61546" s="1168"/>
    </row>
    <row r="61547" spans="2:2" s="221" customFormat="1" ht="12.75" x14ac:dyDescent="0.2">
      <c r="B61547" s="1168"/>
    </row>
    <row r="61548" spans="2:2" s="221" customFormat="1" ht="12.75" x14ac:dyDescent="0.2">
      <c r="B61548" s="1168"/>
    </row>
    <row r="61549" spans="2:2" s="221" customFormat="1" ht="12.75" x14ac:dyDescent="0.2">
      <c r="B61549" s="1168"/>
    </row>
    <row r="61550" spans="2:2" s="221" customFormat="1" ht="12.75" x14ac:dyDescent="0.2">
      <c r="B61550" s="1168"/>
    </row>
    <row r="61551" spans="2:2" s="221" customFormat="1" ht="12.75" x14ac:dyDescent="0.2">
      <c r="B61551" s="1168"/>
    </row>
    <row r="61552" spans="2:2" s="221" customFormat="1" ht="12.75" x14ac:dyDescent="0.2">
      <c r="B61552" s="1168"/>
    </row>
    <row r="61553" spans="2:2" s="221" customFormat="1" ht="12.75" x14ac:dyDescent="0.2">
      <c r="B61553" s="1168"/>
    </row>
    <row r="61554" spans="2:2" s="221" customFormat="1" ht="12.75" x14ac:dyDescent="0.2">
      <c r="B61554" s="1168"/>
    </row>
    <row r="61555" spans="2:2" s="221" customFormat="1" ht="12.75" x14ac:dyDescent="0.2">
      <c r="B61555" s="1168"/>
    </row>
    <row r="61556" spans="2:2" s="221" customFormat="1" ht="12.75" x14ac:dyDescent="0.2">
      <c r="B61556" s="1168"/>
    </row>
    <row r="61557" spans="2:2" s="221" customFormat="1" ht="12.75" x14ac:dyDescent="0.2">
      <c r="B61557" s="1168"/>
    </row>
    <row r="61558" spans="2:2" s="221" customFormat="1" ht="12.75" x14ac:dyDescent="0.2">
      <c r="B61558" s="1168"/>
    </row>
    <row r="61559" spans="2:2" s="221" customFormat="1" ht="12.75" x14ac:dyDescent="0.2">
      <c r="B61559" s="1168"/>
    </row>
    <row r="61560" spans="2:2" s="221" customFormat="1" ht="12.75" x14ac:dyDescent="0.2">
      <c r="B61560" s="1168"/>
    </row>
    <row r="61561" spans="2:2" s="221" customFormat="1" ht="12.75" x14ac:dyDescent="0.2">
      <c r="B61561" s="1168"/>
    </row>
    <row r="61562" spans="2:2" s="221" customFormat="1" ht="12.75" x14ac:dyDescent="0.2">
      <c r="B61562" s="1168"/>
    </row>
    <row r="61563" spans="2:2" s="221" customFormat="1" ht="12.75" x14ac:dyDescent="0.2">
      <c r="B61563" s="1168"/>
    </row>
    <row r="61564" spans="2:2" s="221" customFormat="1" ht="12.75" x14ac:dyDescent="0.2">
      <c r="B61564" s="1168"/>
    </row>
    <row r="61565" spans="2:2" s="221" customFormat="1" ht="12.75" x14ac:dyDescent="0.2">
      <c r="B61565" s="1168"/>
    </row>
    <row r="61566" spans="2:2" s="221" customFormat="1" ht="12.75" x14ac:dyDescent="0.2">
      <c r="B61566" s="1168"/>
    </row>
    <row r="61567" spans="2:2" s="221" customFormat="1" ht="12.75" x14ac:dyDescent="0.2">
      <c r="B61567" s="1168"/>
    </row>
    <row r="61568" spans="2:2" s="221" customFormat="1" ht="12.75" x14ac:dyDescent="0.2">
      <c r="B61568" s="1168"/>
    </row>
    <row r="61569" spans="2:2" s="221" customFormat="1" ht="12.75" x14ac:dyDescent="0.2">
      <c r="B61569" s="1168"/>
    </row>
    <row r="61570" spans="2:2" s="221" customFormat="1" ht="12.75" x14ac:dyDescent="0.2">
      <c r="B61570" s="1168"/>
    </row>
    <row r="61571" spans="2:2" s="221" customFormat="1" ht="12.75" x14ac:dyDescent="0.2">
      <c r="B61571" s="1168"/>
    </row>
    <row r="61572" spans="2:2" s="221" customFormat="1" ht="12.75" x14ac:dyDescent="0.2">
      <c r="B61572" s="1168"/>
    </row>
    <row r="61573" spans="2:2" s="221" customFormat="1" ht="12.75" x14ac:dyDescent="0.2">
      <c r="B61573" s="1168"/>
    </row>
    <row r="61574" spans="2:2" s="221" customFormat="1" ht="12.75" x14ac:dyDescent="0.2">
      <c r="B61574" s="1168"/>
    </row>
    <row r="61575" spans="2:2" s="221" customFormat="1" ht="12.75" x14ac:dyDescent="0.2">
      <c r="B61575" s="1168"/>
    </row>
    <row r="61576" spans="2:2" s="221" customFormat="1" ht="12.75" x14ac:dyDescent="0.2">
      <c r="B61576" s="1168"/>
    </row>
    <row r="61577" spans="2:2" s="221" customFormat="1" ht="12.75" x14ac:dyDescent="0.2">
      <c r="B61577" s="1168"/>
    </row>
    <row r="61578" spans="2:2" s="221" customFormat="1" ht="12.75" x14ac:dyDescent="0.2">
      <c r="B61578" s="1168"/>
    </row>
    <row r="61579" spans="2:2" s="221" customFormat="1" ht="12.75" x14ac:dyDescent="0.2">
      <c r="B61579" s="1168"/>
    </row>
    <row r="61580" spans="2:2" s="221" customFormat="1" ht="12.75" x14ac:dyDescent="0.2">
      <c r="B61580" s="1168"/>
    </row>
    <row r="61581" spans="2:2" s="221" customFormat="1" ht="12.75" x14ac:dyDescent="0.2">
      <c r="B61581" s="1168"/>
    </row>
    <row r="61582" spans="2:2" s="221" customFormat="1" ht="12.75" x14ac:dyDescent="0.2">
      <c r="B61582" s="1168"/>
    </row>
    <row r="61583" spans="2:2" s="221" customFormat="1" ht="12.75" x14ac:dyDescent="0.2">
      <c r="B61583" s="1168"/>
    </row>
    <row r="61584" spans="2:2" s="221" customFormat="1" ht="12.75" x14ac:dyDescent="0.2">
      <c r="B61584" s="1168"/>
    </row>
    <row r="61585" spans="2:2" s="221" customFormat="1" ht="12.75" x14ac:dyDescent="0.2">
      <c r="B61585" s="1168"/>
    </row>
    <row r="61586" spans="2:2" s="221" customFormat="1" ht="12.75" x14ac:dyDescent="0.2">
      <c r="B61586" s="1168"/>
    </row>
    <row r="61587" spans="2:2" s="221" customFormat="1" ht="12.75" x14ac:dyDescent="0.2">
      <c r="B61587" s="1168"/>
    </row>
    <row r="61588" spans="2:2" s="221" customFormat="1" ht="12.75" x14ac:dyDescent="0.2">
      <c r="B61588" s="1168"/>
    </row>
    <row r="61589" spans="2:2" s="221" customFormat="1" ht="12.75" x14ac:dyDescent="0.2">
      <c r="B61589" s="1168"/>
    </row>
    <row r="61590" spans="2:2" s="221" customFormat="1" ht="12.75" x14ac:dyDescent="0.2">
      <c r="B61590" s="1168"/>
    </row>
    <row r="61591" spans="2:2" s="221" customFormat="1" ht="12.75" x14ac:dyDescent="0.2">
      <c r="B61591" s="1168"/>
    </row>
    <row r="61592" spans="2:2" s="221" customFormat="1" ht="12.75" x14ac:dyDescent="0.2">
      <c r="B61592" s="1168"/>
    </row>
    <row r="61593" spans="2:2" s="221" customFormat="1" ht="12.75" x14ac:dyDescent="0.2">
      <c r="B61593" s="1168"/>
    </row>
    <row r="61594" spans="2:2" s="221" customFormat="1" ht="12.75" x14ac:dyDescent="0.2">
      <c r="B61594" s="1168"/>
    </row>
    <row r="61595" spans="2:2" s="221" customFormat="1" ht="12.75" x14ac:dyDescent="0.2">
      <c r="B61595" s="1168"/>
    </row>
    <row r="61596" spans="2:2" s="221" customFormat="1" ht="12.75" x14ac:dyDescent="0.2">
      <c r="B61596" s="1168"/>
    </row>
    <row r="61597" spans="2:2" s="221" customFormat="1" ht="12.75" x14ac:dyDescent="0.2">
      <c r="B61597" s="1168"/>
    </row>
    <row r="61598" spans="2:2" s="221" customFormat="1" ht="12.75" x14ac:dyDescent="0.2">
      <c r="B61598" s="1168"/>
    </row>
    <row r="61599" spans="2:2" s="221" customFormat="1" ht="12.75" x14ac:dyDescent="0.2">
      <c r="B61599" s="1168"/>
    </row>
    <row r="61600" spans="2:2" s="221" customFormat="1" ht="12.75" x14ac:dyDescent="0.2">
      <c r="B61600" s="1168"/>
    </row>
    <row r="61601" spans="2:2" s="221" customFormat="1" ht="12.75" x14ac:dyDescent="0.2">
      <c r="B61601" s="1168"/>
    </row>
    <row r="61602" spans="2:2" s="221" customFormat="1" ht="12.75" x14ac:dyDescent="0.2">
      <c r="B61602" s="1168"/>
    </row>
    <row r="61603" spans="2:2" s="221" customFormat="1" ht="12.75" x14ac:dyDescent="0.2">
      <c r="B61603" s="1168"/>
    </row>
    <row r="61604" spans="2:2" s="221" customFormat="1" ht="12.75" x14ac:dyDescent="0.2">
      <c r="B61604" s="1168"/>
    </row>
    <row r="61605" spans="2:2" s="221" customFormat="1" ht="12.75" x14ac:dyDescent="0.2">
      <c r="B61605" s="1168"/>
    </row>
    <row r="61606" spans="2:2" s="221" customFormat="1" ht="12.75" x14ac:dyDescent="0.2">
      <c r="B61606" s="1168"/>
    </row>
    <row r="61607" spans="2:2" s="221" customFormat="1" ht="12.75" x14ac:dyDescent="0.2">
      <c r="B61607" s="1168"/>
    </row>
    <row r="61608" spans="2:2" s="221" customFormat="1" ht="12.75" x14ac:dyDescent="0.2">
      <c r="B61608" s="1168"/>
    </row>
    <row r="61609" spans="2:2" s="221" customFormat="1" ht="12.75" x14ac:dyDescent="0.2">
      <c r="B61609" s="1168"/>
    </row>
    <row r="61610" spans="2:2" s="221" customFormat="1" ht="12.75" x14ac:dyDescent="0.2">
      <c r="B61610" s="1168"/>
    </row>
    <row r="61611" spans="2:2" s="221" customFormat="1" ht="12.75" x14ac:dyDescent="0.2">
      <c r="B61611" s="1168"/>
    </row>
    <row r="61612" spans="2:2" s="221" customFormat="1" ht="12.75" x14ac:dyDescent="0.2">
      <c r="B61612" s="1168"/>
    </row>
    <row r="61613" spans="2:2" s="221" customFormat="1" ht="12.75" x14ac:dyDescent="0.2">
      <c r="B61613" s="1168"/>
    </row>
    <row r="61614" spans="2:2" s="221" customFormat="1" ht="12.75" x14ac:dyDescent="0.2">
      <c r="B61614" s="1168"/>
    </row>
    <row r="61615" spans="2:2" s="221" customFormat="1" ht="12.75" x14ac:dyDescent="0.2">
      <c r="B61615" s="1168"/>
    </row>
    <row r="61616" spans="2:2" s="221" customFormat="1" ht="12.75" x14ac:dyDescent="0.2">
      <c r="B61616" s="1168"/>
    </row>
    <row r="61617" spans="2:2" s="221" customFormat="1" ht="12.75" x14ac:dyDescent="0.2">
      <c r="B61617" s="1168"/>
    </row>
    <row r="61618" spans="2:2" s="221" customFormat="1" ht="12.75" x14ac:dyDescent="0.2">
      <c r="B61618" s="1168"/>
    </row>
    <row r="61619" spans="2:2" s="221" customFormat="1" ht="12.75" x14ac:dyDescent="0.2">
      <c r="B61619" s="1168"/>
    </row>
    <row r="61620" spans="2:2" s="221" customFormat="1" ht="12.75" x14ac:dyDescent="0.2">
      <c r="B61620" s="1168"/>
    </row>
    <row r="61621" spans="2:2" s="221" customFormat="1" ht="12.75" x14ac:dyDescent="0.2">
      <c r="B61621" s="1168"/>
    </row>
    <row r="61622" spans="2:2" s="221" customFormat="1" ht="12.75" x14ac:dyDescent="0.2">
      <c r="B61622" s="1168"/>
    </row>
    <row r="61623" spans="2:2" s="221" customFormat="1" ht="12.75" x14ac:dyDescent="0.2">
      <c r="B61623" s="1168"/>
    </row>
    <row r="61624" spans="2:2" s="221" customFormat="1" ht="12.75" x14ac:dyDescent="0.2">
      <c r="B61624" s="1168"/>
    </row>
    <row r="61625" spans="2:2" s="221" customFormat="1" ht="12.75" x14ac:dyDescent="0.2">
      <c r="B61625" s="1168"/>
    </row>
    <row r="61626" spans="2:2" s="221" customFormat="1" ht="12.75" x14ac:dyDescent="0.2">
      <c r="B61626" s="1168"/>
    </row>
    <row r="61627" spans="2:2" s="221" customFormat="1" ht="12.75" x14ac:dyDescent="0.2">
      <c r="B61627" s="1168"/>
    </row>
    <row r="61628" spans="2:2" s="221" customFormat="1" ht="12.75" x14ac:dyDescent="0.2">
      <c r="B61628" s="1168"/>
    </row>
    <row r="61629" spans="2:2" s="221" customFormat="1" ht="12.75" x14ac:dyDescent="0.2">
      <c r="B61629" s="1168"/>
    </row>
    <row r="61630" spans="2:2" s="221" customFormat="1" ht="12.75" x14ac:dyDescent="0.2">
      <c r="B61630" s="1168"/>
    </row>
    <row r="61631" spans="2:2" s="221" customFormat="1" ht="12.75" x14ac:dyDescent="0.2">
      <c r="B61631" s="1168"/>
    </row>
    <row r="61632" spans="2:2" s="221" customFormat="1" ht="12.75" x14ac:dyDescent="0.2">
      <c r="B61632" s="1168"/>
    </row>
    <row r="61633" spans="2:2" s="221" customFormat="1" ht="12.75" x14ac:dyDescent="0.2">
      <c r="B61633" s="1168"/>
    </row>
    <row r="61634" spans="2:2" s="221" customFormat="1" ht="12.75" x14ac:dyDescent="0.2">
      <c r="B61634" s="1168"/>
    </row>
    <row r="61635" spans="2:2" s="221" customFormat="1" ht="12.75" x14ac:dyDescent="0.2">
      <c r="B61635" s="1168"/>
    </row>
    <row r="61636" spans="2:2" s="221" customFormat="1" ht="12.75" x14ac:dyDescent="0.2">
      <c r="B61636" s="1168"/>
    </row>
    <row r="61637" spans="2:2" s="221" customFormat="1" ht="12.75" x14ac:dyDescent="0.2">
      <c r="B61637" s="1168"/>
    </row>
    <row r="61638" spans="2:2" s="221" customFormat="1" ht="12.75" x14ac:dyDescent="0.2">
      <c r="B61638" s="1168"/>
    </row>
    <row r="61639" spans="2:2" s="221" customFormat="1" ht="12.75" x14ac:dyDescent="0.2">
      <c r="B61639" s="1168"/>
    </row>
    <row r="61640" spans="2:2" s="221" customFormat="1" ht="12.75" x14ac:dyDescent="0.2">
      <c r="B61640" s="1168"/>
    </row>
    <row r="61641" spans="2:2" s="221" customFormat="1" ht="12.75" x14ac:dyDescent="0.2">
      <c r="B61641" s="1168"/>
    </row>
    <row r="61642" spans="2:2" s="221" customFormat="1" ht="12.75" x14ac:dyDescent="0.2">
      <c r="B61642" s="1168"/>
    </row>
    <row r="61643" spans="2:2" s="221" customFormat="1" ht="12.75" x14ac:dyDescent="0.2">
      <c r="B61643" s="1168"/>
    </row>
    <row r="61644" spans="2:2" s="221" customFormat="1" ht="12.75" x14ac:dyDescent="0.2">
      <c r="B61644" s="1168"/>
    </row>
    <row r="61645" spans="2:2" s="221" customFormat="1" ht="12.75" x14ac:dyDescent="0.2">
      <c r="B61645" s="1168"/>
    </row>
    <row r="61646" spans="2:2" s="221" customFormat="1" ht="12.75" x14ac:dyDescent="0.2">
      <c r="B61646" s="1168"/>
    </row>
    <row r="61647" spans="2:2" s="221" customFormat="1" ht="12.75" x14ac:dyDescent="0.2">
      <c r="B61647" s="1168"/>
    </row>
    <row r="61648" spans="2:2" s="221" customFormat="1" ht="12.75" x14ac:dyDescent="0.2">
      <c r="B61648" s="1168"/>
    </row>
    <row r="61649" spans="2:2" s="221" customFormat="1" ht="12.75" x14ac:dyDescent="0.2">
      <c r="B61649" s="1168"/>
    </row>
    <row r="61650" spans="2:2" s="221" customFormat="1" ht="12.75" x14ac:dyDescent="0.2">
      <c r="B61650" s="1168"/>
    </row>
    <row r="61651" spans="2:2" s="221" customFormat="1" ht="12.75" x14ac:dyDescent="0.2">
      <c r="B61651" s="1168"/>
    </row>
    <row r="61652" spans="2:2" s="221" customFormat="1" ht="12.75" x14ac:dyDescent="0.2">
      <c r="B61652" s="1168"/>
    </row>
    <row r="61653" spans="2:2" s="221" customFormat="1" ht="12.75" x14ac:dyDescent="0.2">
      <c r="B61653" s="1168"/>
    </row>
    <row r="61654" spans="2:2" s="221" customFormat="1" ht="12.75" x14ac:dyDescent="0.2">
      <c r="B61654" s="1168"/>
    </row>
    <row r="61655" spans="2:2" s="221" customFormat="1" ht="12.75" x14ac:dyDescent="0.2">
      <c r="B61655" s="1168"/>
    </row>
    <row r="61656" spans="2:2" s="221" customFormat="1" ht="12.75" x14ac:dyDescent="0.2">
      <c r="B61656" s="1168"/>
    </row>
    <row r="61657" spans="2:2" s="221" customFormat="1" ht="12.75" x14ac:dyDescent="0.2">
      <c r="B61657" s="1168"/>
    </row>
    <row r="61658" spans="2:2" s="221" customFormat="1" ht="12.75" x14ac:dyDescent="0.2">
      <c r="B61658" s="1168"/>
    </row>
    <row r="61659" spans="2:2" s="221" customFormat="1" ht="12.75" x14ac:dyDescent="0.2">
      <c r="B61659" s="1168"/>
    </row>
    <row r="61660" spans="2:2" s="221" customFormat="1" ht="12.75" x14ac:dyDescent="0.2">
      <c r="B61660" s="1168"/>
    </row>
    <row r="61661" spans="2:2" s="221" customFormat="1" ht="12.75" x14ac:dyDescent="0.2">
      <c r="B61661" s="1168"/>
    </row>
    <row r="61662" spans="2:2" s="221" customFormat="1" ht="12.75" x14ac:dyDescent="0.2">
      <c r="B61662" s="1168"/>
    </row>
    <row r="61663" spans="2:2" s="221" customFormat="1" ht="12.75" x14ac:dyDescent="0.2">
      <c r="B61663" s="1168"/>
    </row>
    <row r="61664" spans="2:2" s="221" customFormat="1" ht="12.75" x14ac:dyDescent="0.2">
      <c r="B61664" s="1168"/>
    </row>
    <row r="61665" spans="2:2" s="221" customFormat="1" ht="12.75" x14ac:dyDescent="0.2">
      <c r="B61665" s="1168"/>
    </row>
    <row r="61666" spans="2:2" s="221" customFormat="1" ht="12.75" x14ac:dyDescent="0.2">
      <c r="B61666" s="1168"/>
    </row>
    <row r="61667" spans="2:2" s="221" customFormat="1" ht="12.75" x14ac:dyDescent="0.2">
      <c r="B61667" s="1168"/>
    </row>
    <row r="61668" spans="2:2" s="221" customFormat="1" ht="12.75" x14ac:dyDescent="0.2">
      <c r="B61668" s="1168"/>
    </row>
    <row r="61669" spans="2:2" s="221" customFormat="1" ht="12.75" x14ac:dyDescent="0.2">
      <c r="B61669" s="1168"/>
    </row>
    <row r="61670" spans="2:2" s="221" customFormat="1" ht="12.75" x14ac:dyDescent="0.2">
      <c r="B61670" s="1168"/>
    </row>
    <row r="61671" spans="2:2" s="221" customFormat="1" ht="12.75" x14ac:dyDescent="0.2">
      <c r="B61671" s="1168"/>
    </row>
    <row r="61672" spans="2:2" s="221" customFormat="1" ht="12.75" x14ac:dyDescent="0.2">
      <c r="B61672" s="1168"/>
    </row>
    <row r="61673" spans="2:2" s="221" customFormat="1" ht="12.75" x14ac:dyDescent="0.2">
      <c r="B61673" s="1168"/>
    </row>
    <row r="61674" spans="2:2" s="221" customFormat="1" ht="12.75" x14ac:dyDescent="0.2">
      <c r="B61674" s="1168"/>
    </row>
    <row r="61675" spans="2:2" s="221" customFormat="1" ht="12.75" x14ac:dyDescent="0.2">
      <c r="B61675" s="1168"/>
    </row>
    <row r="61676" spans="2:2" s="221" customFormat="1" ht="12.75" x14ac:dyDescent="0.2">
      <c r="B61676" s="1168"/>
    </row>
    <row r="61677" spans="2:2" s="221" customFormat="1" ht="12.75" x14ac:dyDescent="0.2">
      <c r="B61677" s="1168"/>
    </row>
    <row r="61678" spans="2:2" s="221" customFormat="1" ht="12.75" x14ac:dyDescent="0.2">
      <c r="B61678" s="1168"/>
    </row>
    <row r="61679" spans="2:2" s="221" customFormat="1" ht="12.75" x14ac:dyDescent="0.2">
      <c r="B61679" s="1168"/>
    </row>
    <row r="61680" spans="2:2" s="221" customFormat="1" ht="12.75" x14ac:dyDescent="0.2">
      <c r="B61680" s="1168"/>
    </row>
    <row r="61681" spans="2:2" s="221" customFormat="1" ht="12.75" x14ac:dyDescent="0.2">
      <c r="B61681" s="1168"/>
    </row>
    <row r="61682" spans="2:2" s="221" customFormat="1" ht="12.75" x14ac:dyDescent="0.2">
      <c r="B61682" s="1168"/>
    </row>
    <row r="61683" spans="2:2" s="221" customFormat="1" ht="12.75" x14ac:dyDescent="0.2">
      <c r="B61683" s="1168"/>
    </row>
    <row r="61684" spans="2:2" s="221" customFormat="1" ht="12.75" x14ac:dyDescent="0.2">
      <c r="B61684" s="1168"/>
    </row>
    <row r="61685" spans="2:2" s="221" customFormat="1" ht="12.75" x14ac:dyDescent="0.2">
      <c r="B61685" s="1168"/>
    </row>
    <row r="61686" spans="2:2" s="221" customFormat="1" ht="12.75" x14ac:dyDescent="0.2">
      <c r="B61686" s="1168"/>
    </row>
    <row r="61687" spans="2:2" s="221" customFormat="1" ht="12.75" x14ac:dyDescent="0.2">
      <c r="B61687" s="1168"/>
    </row>
    <row r="61688" spans="2:2" s="221" customFormat="1" ht="12.75" x14ac:dyDescent="0.2">
      <c r="B61688" s="1168"/>
    </row>
    <row r="61689" spans="2:2" s="221" customFormat="1" ht="12.75" x14ac:dyDescent="0.2">
      <c r="B61689" s="1168"/>
    </row>
    <row r="61690" spans="2:2" s="221" customFormat="1" ht="12.75" x14ac:dyDescent="0.2">
      <c r="B61690" s="1168"/>
    </row>
    <row r="61691" spans="2:2" s="221" customFormat="1" ht="12.75" x14ac:dyDescent="0.2">
      <c r="B61691" s="1168"/>
    </row>
    <row r="61692" spans="2:2" s="221" customFormat="1" ht="12.75" x14ac:dyDescent="0.2">
      <c r="B61692" s="1168"/>
    </row>
    <row r="61693" spans="2:2" s="221" customFormat="1" ht="12.75" x14ac:dyDescent="0.2">
      <c r="B61693" s="1168"/>
    </row>
    <row r="61694" spans="2:2" s="221" customFormat="1" ht="12.75" x14ac:dyDescent="0.2">
      <c r="B61694" s="1168"/>
    </row>
    <row r="61695" spans="2:2" s="221" customFormat="1" ht="12.75" x14ac:dyDescent="0.2">
      <c r="B61695" s="1168"/>
    </row>
    <row r="61696" spans="2:2" s="221" customFormat="1" ht="12.75" x14ac:dyDescent="0.2">
      <c r="B61696" s="1168"/>
    </row>
    <row r="61697" spans="2:2" s="221" customFormat="1" ht="12.75" x14ac:dyDescent="0.2">
      <c r="B61697" s="1168"/>
    </row>
    <row r="61698" spans="2:2" s="221" customFormat="1" ht="12.75" x14ac:dyDescent="0.2">
      <c r="B61698" s="1168"/>
    </row>
    <row r="61699" spans="2:2" s="221" customFormat="1" ht="12.75" x14ac:dyDescent="0.2">
      <c r="B61699" s="1168"/>
    </row>
    <row r="61700" spans="2:2" s="221" customFormat="1" ht="12.75" x14ac:dyDescent="0.2">
      <c r="B61700" s="1168"/>
    </row>
    <row r="61701" spans="2:2" s="221" customFormat="1" ht="12.75" x14ac:dyDescent="0.2">
      <c r="B61701" s="1168"/>
    </row>
    <row r="61702" spans="2:2" s="221" customFormat="1" ht="12.75" x14ac:dyDescent="0.2">
      <c r="B61702" s="1168"/>
    </row>
    <row r="61703" spans="2:2" s="221" customFormat="1" ht="12.75" x14ac:dyDescent="0.2">
      <c r="B61703" s="1168"/>
    </row>
    <row r="61704" spans="2:2" s="221" customFormat="1" ht="12.75" x14ac:dyDescent="0.2">
      <c r="B61704" s="1168"/>
    </row>
    <row r="61705" spans="2:2" s="221" customFormat="1" ht="12.75" x14ac:dyDescent="0.2">
      <c r="B61705" s="1168"/>
    </row>
    <row r="61706" spans="2:2" s="221" customFormat="1" ht="12.75" x14ac:dyDescent="0.2">
      <c r="B61706" s="1168"/>
    </row>
    <row r="61707" spans="2:2" s="221" customFormat="1" ht="12.75" x14ac:dyDescent="0.2">
      <c r="B61707" s="1168"/>
    </row>
    <row r="61708" spans="2:2" s="221" customFormat="1" ht="12.75" x14ac:dyDescent="0.2">
      <c r="B61708" s="1168"/>
    </row>
    <row r="61709" spans="2:2" s="221" customFormat="1" ht="12.75" x14ac:dyDescent="0.2">
      <c r="B61709" s="1168"/>
    </row>
    <row r="61710" spans="2:2" s="221" customFormat="1" ht="12.75" x14ac:dyDescent="0.2">
      <c r="B61710" s="1168"/>
    </row>
    <row r="61711" spans="2:2" s="221" customFormat="1" ht="12.75" x14ac:dyDescent="0.2">
      <c r="B61711" s="1168"/>
    </row>
    <row r="61712" spans="2:2" s="221" customFormat="1" ht="12.75" x14ac:dyDescent="0.2">
      <c r="B61712" s="1168"/>
    </row>
    <row r="61713" spans="2:2" s="221" customFormat="1" ht="12.75" x14ac:dyDescent="0.2">
      <c r="B61713" s="1168"/>
    </row>
    <row r="61714" spans="2:2" s="221" customFormat="1" ht="12.75" x14ac:dyDescent="0.2">
      <c r="B61714" s="1168"/>
    </row>
    <row r="61715" spans="2:2" s="221" customFormat="1" ht="12.75" x14ac:dyDescent="0.2">
      <c r="B61715" s="1168"/>
    </row>
    <row r="61716" spans="2:2" s="221" customFormat="1" ht="12.75" x14ac:dyDescent="0.2">
      <c r="B61716" s="1168"/>
    </row>
    <row r="61717" spans="2:2" s="221" customFormat="1" ht="12.75" x14ac:dyDescent="0.2">
      <c r="B61717" s="1168"/>
    </row>
    <row r="61718" spans="2:2" s="221" customFormat="1" ht="12.75" x14ac:dyDescent="0.2">
      <c r="B61718" s="1168"/>
    </row>
    <row r="61719" spans="2:2" s="221" customFormat="1" ht="12.75" x14ac:dyDescent="0.2">
      <c r="B61719" s="1168"/>
    </row>
    <row r="61720" spans="2:2" s="221" customFormat="1" ht="12.75" x14ac:dyDescent="0.2">
      <c r="B61720" s="1168"/>
    </row>
    <row r="61721" spans="2:2" s="221" customFormat="1" ht="12.75" x14ac:dyDescent="0.2">
      <c r="B61721" s="1168"/>
    </row>
    <row r="61722" spans="2:2" s="221" customFormat="1" ht="12.75" x14ac:dyDescent="0.2">
      <c r="B61722" s="1168"/>
    </row>
    <row r="61723" spans="2:2" s="221" customFormat="1" ht="12.75" x14ac:dyDescent="0.2">
      <c r="B61723" s="1168"/>
    </row>
    <row r="61724" spans="2:2" s="221" customFormat="1" ht="12.75" x14ac:dyDescent="0.2">
      <c r="B61724" s="1168"/>
    </row>
    <row r="61725" spans="2:2" s="221" customFormat="1" ht="12.75" x14ac:dyDescent="0.2">
      <c r="B61725" s="1168"/>
    </row>
    <row r="61726" spans="2:2" s="221" customFormat="1" ht="12.75" x14ac:dyDescent="0.2">
      <c r="B61726" s="1168"/>
    </row>
    <row r="61727" spans="2:2" s="221" customFormat="1" ht="12.75" x14ac:dyDescent="0.2">
      <c r="B61727" s="1168"/>
    </row>
    <row r="61728" spans="2:2" s="221" customFormat="1" ht="12.75" x14ac:dyDescent="0.2">
      <c r="B61728" s="1168"/>
    </row>
    <row r="61729" spans="2:2" s="221" customFormat="1" ht="12.75" x14ac:dyDescent="0.2">
      <c r="B61729" s="1168"/>
    </row>
    <row r="61730" spans="2:2" s="221" customFormat="1" ht="12.75" x14ac:dyDescent="0.2">
      <c r="B61730" s="1168"/>
    </row>
    <row r="61731" spans="2:2" s="221" customFormat="1" ht="12.75" x14ac:dyDescent="0.2">
      <c r="B61731" s="1168"/>
    </row>
    <row r="61732" spans="2:2" s="221" customFormat="1" ht="12.75" x14ac:dyDescent="0.2">
      <c r="B61732" s="1168"/>
    </row>
    <row r="61733" spans="2:2" s="221" customFormat="1" ht="12.75" x14ac:dyDescent="0.2">
      <c r="B61733" s="1168"/>
    </row>
    <row r="61734" spans="2:2" s="221" customFormat="1" ht="12.75" x14ac:dyDescent="0.2">
      <c r="B61734" s="1168"/>
    </row>
    <row r="61735" spans="2:2" s="221" customFormat="1" ht="12.75" x14ac:dyDescent="0.2">
      <c r="B61735" s="1168"/>
    </row>
    <row r="61736" spans="2:2" s="221" customFormat="1" ht="12.75" x14ac:dyDescent="0.2">
      <c r="B61736" s="1168"/>
    </row>
    <row r="61737" spans="2:2" s="221" customFormat="1" ht="12.75" x14ac:dyDescent="0.2">
      <c r="B61737" s="1168"/>
    </row>
    <row r="61738" spans="2:2" s="221" customFormat="1" ht="12.75" x14ac:dyDescent="0.2">
      <c r="B61738" s="1168"/>
    </row>
    <row r="61739" spans="2:2" s="221" customFormat="1" ht="12.75" x14ac:dyDescent="0.2">
      <c r="B61739" s="1168"/>
    </row>
    <row r="61740" spans="2:2" s="221" customFormat="1" ht="12.75" x14ac:dyDescent="0.2">
      <c r="B61740" s="1168"/>
    </row>
    <row r="61741" spans="2:2" s="221" customFormat="1" ht="12.75" x14ac:dyDescent="0.2">
      <c r="B61741" s="1168"/>
    </row>
    <row r="61742" spans="2:2" s="221" customFormat="1" ht="12.75" x14ac:dyDescent="0.2">
      <c r="B61742" s="1168"/>
    </row>
    <row r="61743" spans="2:2" s="221" customFormat="1" ht="12.75" x14ac:dyDescent="0.2">
      <c r="B61743" s="1168"/>
    </row>
    <row r="61744" spans="2:2" s="221" customFormat="1" ht="12.75" x14ac:dyDescent="0.2">
      <c r="B61744" s="1168"/>
    </row>
    <row r="61745" spans="2:2" s="221" customFormat="1" ht="12.75" x14ac:dyDescent="0.2">
      <c r="B61745" s="1168"/>
    </row>
    <row r="61746" spans="2:2" s="221" customFormat="1" ht="12.75" x14ac:dyDescent="0.2">
      <c r="B61746" s="1168"/>
    </row>
    <row r="61747" spans="2:2" s="221" customFormat="1" ht="12.75" x14ac:dyDescent="0.2">
      <c r="B61747" s="1168"/>
    </row>
    <row r="61748" spans="2:2" s="221" customFormat="1" ht="12.75" x14ac:dyDescent="0.2">
      <c r="B61748" s="1168"/>
    </row>
    <row r="61749" spans="2:2" s="221" customFormat="1" ht="12.75" x14ac:dyDescent="0.2">
      <c r="B61749" s="1168"/>
    </row>
    <row r="61750" spans="2:2" s="221" customFormat="1" ht="12.75" x14ac:dyDescent="0.2">
      <c r="B61750" s="1168"/>
    </row>
    <row r="61751" spans="2:2" s="221" customFormat="1" ht="12.75" x14ac:dyDescent="0.2">
      <c r="B61751" s="1168"/>
    </row>
    <row r="61752" spans="2:2" s="221" customFormat="1" ht="12.75" x14ac:dyDescent="0.2">
      <c r="B61752" s="1168"/>
    </row>
    <row r="61753" spans="2:2" s="221" customFormat="1" ht="12.75" x14ac:dyDescent="0.2">
      <c r="B61753" s="1168"/>
    </row>
    <row r="61754" spans="2:2" s="221" customFormat="1" ht="12.75" x14ac:dyDescent="0.2">
      <c r="B61754" s="1168"/>
    </row>
    <row r="61755" spans="2:2" s="221" customFormat="1" ht="12.75" x14ac:dyDescent="0.2">
      <c r="B61755" s="1168"/>
    </row>
    <row r="61756" spans="2:2" s="221" customFormat="1" ht="12.75" x14ac:dyDescent="0.2">
      <c r="B61756" s="1168"/>
    </row>
    <row r="61757" spans="2:2" s="221" customFormat="1" ht="12.75" x14ac:dyDescent="0.2">
      <c r="B61757" s="1168"/>
    </row>
    <row r="61758" spans="2:2" s="221" customFormat="1" ht="12.75" x14ac:dyDescent="0.2">
      <c r="B61758" s="1168"/>
    </row>
    <row r="61759" spans="2:2" s="221" customFormat="1" ht="12.75" x14ac:dyDescent="0.2">
      <c r="B61759" s="1168"/>
    </row>
    <row r="61760" spans="2:2" s="221" customFormat="1" ht="12.75" x14ac:dyDescent="0.2">
      <c r="B61760" s="1168"/>
    </row>
    <row r="61761" spans="2:2" s="221" customFormat="1" ht="12.75" x14ac:dyDescent="0.2">
      <c r="B61761" s="1168"/>
    </row>
    <row r="61762" spans="2:2" s="221" customFormat="1" ht="12.75" x14ac:dyDescent="0.2">
      <c r="B61762" s="1168"/>
    </row>
    <row r="61763" spans="2:2" s="221" customFormat="1" ht="12.75" x14ac:dyDescent="0.2">
      <c r="B61763" s="1168"/>
    </row>
    <row r="61764" spans="2:2" s="221" customFormat="1" ht="12.75" x14ac:dyDescent="0.2">
      <c r="B61764" s="1168"/>
    </row>
    <row r="61765" spans="2:2" s="221" customFormat="1" ht="12.75" x14ac:dyDescent="0.2">
      <c r="B61765" s="1168"/>
    </row>
    <row r="61766" spans="2:2" s="221" customFormat="1" ht="12.75" x14ac:dyDescent="0.2">
      <c r="B61766" s="1168"/>
    </row>
    <row r="61767" spans="2:2" s="221" customFormat="1" ht="12.75" x14ac:dyDescent="0.2">
      <c r="B61767" s="1168"/>
    </row>
    <row r="61768" spans="2:2" s="221" customFormat="1" ht="12.75" x14ac:dyDescent="0.2">
      <c r="B61768" s="1168"/>
    </row>
    <row r="61769" spans="2:2" s="221" customFormat="1" ht="12.75" x14ac:dyDescent="0.2">
      <c r="B61769" s="1168"/>
    </row>
    <row r="61770" spans="2:2" s="221" customFormat="1" ht="12.75" x14ac:dyDescent="0.2">
      <c r="B61770" s="1168"/>
    </row>
    <row r="61771" spans="2:2" s="221" customFormat="1" ht="12.75" x14ac:dyDescent="0.2">
      <c r="B61771" s="1168"/>
    </row>
    <row r="61772" spans="2:2" s="221" customFormat="1" ht="12.75" x14ac:dyDescent="0.2">
      <c r="B61772" s="1168"/>
    </row>
    <row r="61773" spans="2:2" s="221" customFormat="1" ht="12.75" x14ac:dyDescent="0.2">
      <c r="B61773" s="1168"/>
    </row>
    <row r="61774" spans="2:2" s="221" customFormat="1" ht="12.75" x14ac:dyDescent="0.2">
      <c r="B61774" s="1168"/>
    </row>
    <row r="61775" spans="2:2" s="221" customFormat="1" ht="12.75" x14ac:dyDescent="0.2">
      <c r="B61775" s="1168"/>
    </row>
    <row r="61776" spans="2:2" s="221" customFormat="1" ht="12.75" x14ac:dyDescent="0.2">
      <c r="B61776" s="1168"/>
    </row>
    <row r="61777" spans="2:2" s="221" customFormat="1" ht="12.75" x14ac:dyDescent="0.2">
      <c r="B61777" s="1168"/>
    </row>
    <row r="61778" spans="2:2" s="221" customFormat="1" ht="12.75" x14ac:dyDescent="0.2">
      <c r="B61778" s="1168"/>
    </row>
    <row r="61779" spans="2:2" s="221" customFormat="1" ht="12.75" x14ac:dyDescent="0.2">
      <c r="B61779" s="1168"/>
    </row>
    <row r="61780" spans="2:2" s="221" customFormat="1" ht="12.75" x14ac:dyDescent="0.2">
      <c r="B61780" s="1168"/>
    </row>
    <row r="61781" spans="2:2" s="221" customFormat="1" ht="12.75" x14ac:dyDescent="0.2">
      <c r="B61781" s="1168"/>
    </row>
    <row r="61782" spans="2:2" s="221" customFormat="1" ht="12.75" x14ac:dyDescent="0.2">
      <c r="B61782" s="1168"/>
    </row>
    <row r="61783" spans="2:2" s="221" customFormat="1" ht="12.75" x14ac:dyDescent="0.2">
      <c r="B61783" s="1168"/>
    </row>
    <row r="61784" spans="2:2" s="221" customFormat="1" ht="12.75" x14ac:dyDescent="0.2">
      <c r="B61784" s="1168"/>
    </row>
    <row r="61785" spans="2:2" s="221" customFormat="1" ht="12.75" x14ac:dyDescent="0.2">
      <c r="B61785" s="1168"/>
    </row>
    <row r="61786" spans="2:2" s="221" customFormat="1" ht="12.75" x14ac:dyDescent="0.2">
      <c r="B61786" s="1168"/>
    </row>
    <row r="61787" spans="2:2" s="221" customFormat="1" ht="12.75" x14ac:dyDescent="0.2">
      <c r="B61787" s="1168"/>
    </row>
    <row r="61788" spans="2:2" s="221" customFormat="1" ht="12.75" x14ac:dyDescent="0.2">
      <c r="B61788" s="1168"/>
    </row>
    <row r="61789" spans="2:2" s="221" customFormat="1" ht="12.75" x14ac:dyDescent="0.2">
      <c r="B61789" s="1168"/>
    </row>
    <row r="61790" spans="2:2" s="221" customFormat="1" ht="12.75" x14ac:dyDescent="0.2">
      <c r="B61790" s="1168"/>
    </row>
    <row r="61791" spans="2:2" s="221" customFormat="1" ht="12.75" x14ac:dyDescent="0.2">
      <c r="B61791" s="1168"/>
    </row>
    <row r="61792" spans="2:2" s="221" customFormat="1" ht="12.75" x14ac:dyDescent="0.2">
      <c r="B61792" s="1168"/>
    </row>
    <row r="61793" spans="2:2" s="221" customFormat="1" ht="12.75" x14ac:dyDescent="0.2">
      <c r="B61793" s="1168"/>
    </row>
    <row r="61794" spans="2:2" s="221" customFormat="1" ht="12.75" x14ac:dyDescent="0.2">
      <c r="B61794" s="1168"/>
    </row>
    <row r="61795" spans="2:2" s="221" customFormat="1" ht="12.75" x14ac:dyDescent="0.2">
      <c r="B61795" s="1168"/>
    </row>
    <row r="61796" spans="2:2" s="221" customFormat="1" ht="12.75" x14ac:dyDescent="0.2">
      <c r="B61796" s="1168"/>
    </row>
    <row r="61797" spans="2:2" s="221" customFormat="1" ht="12.75" x14ac:dyDescent="0.2">
      <c r="B61797" s="1168"/>
    </row>
    <row r="61798" spans="2:2" s="221" customFormat="1" ht="12.75" x14ac:dyDescent="0.2">
      <c r="B61798" s="1168"/>
    </row>
    <row r="61799" spans="2:2" s="221" customFormat="1" ht="12.75" x14ac:dyDescent="0.2">
      <c r="B61799" s="1168"/>
    </row>
    <row r="61800" spans="2:2" s="221" customFormat="1" ht="12.75" x14ac:dyDescent="0.2">
      <c r="B61800" s="1168"/>
    </row>
    <row r="61801" spans="2:2" s="221" customFormat="1" ht="12.75" x14ac:dyDescent="0.2">
      <c r="B61801" s="1168"/>
    </row>
    <row r="61802" spans="2:2" s="221" customFormat="1" ht="12.75" x14ac:dyDescent="0.2">
      <c r="B61802" s="1168"/>
    </row>
    <row r="61803" spans="2:2" s="221" customFormat="1" ht="12.75" x14ac:dyDescent="0.2">
      <c r="B61803" s="1168"/>
    </row>
    <row r="61804" spans="2:2" s="221" customFormat="1" ht="12.75" x14ac:dyDescent="0.2">
      <c r="B61804" s="1168"/>
    </row>
    <row r="61805" spans="2:2" s="221" customFormat="1" ht="12.75" x14ac:dyDescent="0.2">
      <c r="B61805" s="1168"/>
    </row>
    <row r="61806" spans="2:2" s="221" customFormat="1" ht="12.75" x14ac:dyDescent="0.2">
      <c r="B61806" s="1168"/>
    </row>
    <row r="61807" spans="2:2" s="221" customFormat="1" ht="12.75" x14ac:dyDescent="0.2">
      <c r="B61807" s="1168"/>
    </row>
    <row r="61808" spans="2:2" s="221" customFormat="1" ht="12.75" x14ac:dyDescent="0.2">
      <c r="B61808" s="1168"/>
    </row>
    <row r="61809" spans="2:2" s="221" customFormat="1" ht="12.75" x14ac:dyDescent="0.2">
      <c r="B61809" s="1168"/>
    </row>
    <row r="61810" spans="2:2" s="221" customFormat="1" ht="12.75" x14ac:dyDescent="0.2">
      <c r="B61810" s="1168"/>
    </row>
    <row r="61811" spans="2:2" s="221" customFormat="1" ht="12.75" x14ac:dyDescent="0.2">
      <c r="B61811" s="1168"/>
    </row>
    <row r="61812" spans="2:2" s="221" customFormat="1" ht="12.75" x14ac:dyDescent="0.2">
      <c r="B61812" s="1168"/>
    </row>
    <row r="61813" spans="2:2" s="221" customFormat="1" ht="12.75" x14ac:dyDescent="0.2">
      <c r="B61813" s="1168"/>
    </row>
    <row r="61814" spans="2:2" s="221" customFormat="1" ht="12.75" x14ac:dyDescent="0.2">
      <c r="B61814" s="1168"/>
    </row>
    <row r="61815" spans="2:2" s="221" customFormat="1" ht="12.75" x14ac:dyDescent="0.2">
      <c r="B61815" s="1168"/>
    </row>
    <row r="61816" spans="2:2" s="221" customFormat="1" ht="12.75" x14ac:dyDescent="0.2">
      <c r="B61816" s="1168"/>
    </row>
    <row r="61817" spans="2:2" s="221" customFormat="1" ht="12.75" x14ac:dyDescent="0.2">
      <c r="B61817" s="1168"/>
    </row>
    <row r="61818" spans="2:2" s="221" customFormat="1" ht="12.75" x14ac:dyDescent="0.2">
      <c r="B61818" s="1168"/>
    </row>
    <row r="61819" spans="2:2" s="221" customFormat="1" ht="12.75" x14ac:dyDescent="0.2">
      <c r="B61819" s="1168"/>
    </row>
    <row r="61820" spans="2:2" s="221" customFormat="1" ht="12.75" x14ac:dyDescent="0.2">
      <c r="B61820" s="1168"/>
    </row>
    <row r="61821" spans="2:2" s="221" customFormat="1" ht="12.75" x14ac:dyDescent="0.2">
      <c r="B61821" s="1168"/>
    </row>
    <row r="61822" spans="2:2" s="221" customFormat="1" ht="12.75" x14ac:dyDescent="0.2">
      <c r="B61822" s="1168"/>
    </row>
    <row r="61823" spans="2:2" s="221" customFormat="1" ht="12.75" x14ac:dyDescent="0.2">
      <c r="B61823" s="1168"/>
    </row>
    <row r="61824" spans="2:2" s="221" customFormat="1" ht="12.75" x14ac:dyDescent="0.2">
      <c r="B61824" s="1168"/>
    </row>
    <row r="61825" spans="2:2" s="221" customFormat="1" ht="12.75" x14ac:dyDescent="0.2">
      <c r="B61825" s="1168"/>
    </row>
    <row r="61826" spans="2:2" s="221" customFormat="1" ht="12.75" x14ac:dyDescent="0.2">
      <c r="B61826" s="1168"/>
    </row>
    <row r="61827" spans="2:2" s="221" customFormat="1" ht="12.75" x14ac:dyDescent="0.2">
      <c r="B61827" s="1168"/>
    </row>
    <row r="61828" spans="2:2" s="221" customFormat="1" ht="12.75" x14ac:dyDescent="0.2">
      <c r="B61828" s="1168"/>
    </row>
    <row r="61829" spans="2:2" s="221" customFormat="1" ht="12.75" x14ac:dyDescent="0.2">
      <c r="B61829" s="1168"/>
    </row>
    <row r="61830" spans="2:2" s="221" customFormat="1" ht="12.75" x14ac:dyDescent="0.2">
      <c r="B61830" s="1168"/>
    </row>
    <row r="61831" spans="2:2" s="221" customFormat="1" ht="12.75" x14ac:dyDescent="0.2">
      <c r="B61831" s="1168"/>
    </row>
    <row r="61832" spans="2:2" s="221" customFormat="1" ht="12.75" x14ac:dyDescent="0.2">
      <c r="B61832" s="1168"/>
    </row>
    <row r="61833" spans="2:2" s="221" customFormat="1" ht="12.75" x14ac:dyDescent="0.2">
      <c r="B61833" s="1168"/>
    </row>
    <row r="61834" spans="2:2" s="221" customFormat="1" ht="12.75" x14ac:dyDescent="0.2">
      <c r="B61834" s="1168"/>
    </row>
    <row r="61835" spans="2:2" s="221" customFormat="1" ht="12.75" x14ac:dyDescent="0.2">
      <c r="B61835" s="1168"/>
    </row>
    <row r="61836" spans="2:2" s="221" customFormat="1" ht="12.75" x14ac:dyDescent="0.2">
      <c r="B61836" s="1168"/>
    </row>
    <row r="61837" spans="2:2" s="221" customFormat="1" ht="12.75" x14ac:dyDescent="0.2">
      <c r="B61837" s="1168"/>
    </row>
    <row r="61838" spans="2:2" s="221" customFormat="1" ht="12.75" x14ac:dyDescent="0.2">
      <c r="B61838" s="1168"/>
    </row>
    <row r="61839" spans="2:2" s="221" customFormat="1" ht="12.75" x14ac:dyDescent="0.2">
      <c r="B61839" s="1168"/>
    </row>
    <row r="61840" spans="2:2" s="221" customFormat="1" ht="12.75" x14ac:dyDescent="0.2">
      <c r="B61840" s="1168"/>
    </row>
    <row r="61841" spans="2:2" s="221" customFormat="1" ht="12.75" x14ac:dyDescent="0.2">
      <c r="B61841" s="1168"/>
    </row>
    <row r="61842" spans="2:2" s="221" customFormat="1" ht="12.75" x14ac:dyDescent="0.2">
      <c r="B61842" s="1168"/>
    </row>
    <row r="61843" spans="2:2" s="221" customFormat="1" ht="12.75" x14ac:dyDescent="0.2">
      <c r="B61843" s="1168"/>
    </row>
    <row r="61844" spans="2:2" s="221" customFormat="1" ht="12.75" x14ac:dyDescent="0.2">
      <c r="B61844" s="1168"/>
    </row>
    <row r="61845" spans="2:2" s="221" customFormat="1" ht="12.75" x14ac:dyDescent="0.2">
      <c r="B61845" s="1168"/>
    </row>
    <row r="61846" spans="2:2" s="221" customFormat="1" ht="12.75" x14ac:dyDescent="0.2">
      <c r="B61846" s="1168"/>
    </row>
    <row r="61847" spans="2:2" s="221" customFormat="1" ht="12.75" x14ac:dyDescent="0.2">
      <c r="B61847" s="1168"/>
    </row>
    <row r="61848" spans="2:2" s="221" customFormat="1" ht="12.75" x14ac:dyDescent="0.2">
      <c r="B61848" s="1168"/>
    </row>
    <row r="61849" spans="2:2" s="221" customFormat="1" ht="12.75" x14ac:dyDescent="0.2">
      <c r="B61849" s="1168"/>
    </row>
    <row r="61850" spans="2:2" s="221" customFormat="1" ht="12.75" x14ac:dyDescent="0.2">
      <c r="B61850" s="1168"/>
    </row>
    <row r="61851" spans="2:2" s="221" customFormat="1" ht="12.75" x14ac:dyDescent="0.2">
      <c r="B61851" s="1168"/>
    </row>
    <row r="61852" spans="2:2" s="221" customFormat="1" ht="12.75" x14ac:dyDescent="0.2">
      <c r="B61852" s="1168"/>
    </row>
    <row r="61853" spans="2:2" s="221" customFormat="1" ht="12.75" x14ac:dyDescent="0.2">
      <c r="B61853" s="1168"/>
    </row>
    <row r="61854" spans="2:2" s="221" customFormat="1" ht="12.75" x14ac:dyDescent="0.2">
      <c r="B61854" s="1168"/>
    </row>
    <row r="61855" spans="2:2" s="221" customFormat="1" ht="12.75" x14ac:dyDescent="0.2">
      <c r="B61855" s="1168"/>
    </row>
    <row r="61856" spans="2:2" s="221" customFormat="1" ht="12.75" x14ac:dyDescent="0.2">
      <c r="B61856" s="1168"/>
    </row>
    <row r="61857" spans="2:2" s="221" customFormat="1" ht="12.75" x14ac:dyDescent="0.2">
      <c r="B61857" s="1168"/>
    </row>
    <row r="61858" spans="2:2" s="221" customFormat="1" ht="12.75" x14ac:dyDescent="0.2">
      <c r="B61858" s="1168"/>
    </row>
    <row r="61859" spans="2:2" s="221" customFormat="1" ht="12.75" x14ac:dyDescent="0.2">
      <c r="B61859" s="1168"/>
    </row>
    <row r="61860" spans="2:2" s="221" customFormat="1" ht="12.75" x14ac:dyDescent="0.2">
      <c r="B61860" s="1168"/>
    </row>
    <row r="61861" spans="2:2" s="221" customFormat="1" ht="12.75" x14ac:dyDescent="0.2">
      <c r="B61861" s="1168"/>
    </row>
    <row r="61862" spans="2:2" s="221" customFormat="1" ht="12.75" x14ac:dyDescent="0.2">
      <c r="B61862" s="1168"/>
    </row>
    <row r="61863" spans="2:2" s="221" customFormat="1" ht="12.75" x14ac:dyDescent="0.2">
      <c r="B61863" s="1168"/>
    </row>
    <row r="61864" spans="2:2" s="221" customFormat="1" ht="12.75" x14ac:dyDescent="0.2">
      <c r="B61864" s="1168"/>
    </row>
    <row r="61865" spans="2:2" s="221" customFormat="1" ht="12.75" x14ac:dyDescent="0.2">
      <c r="B61865" s="1168"/>
    </row>
    <row r="61866" spans="2:2" s="221" customFormat="1" ht="12.75" x14ac:dyDescent="0.2">
      <c r="B61866" s="1168"/>
    </row>
    <row r="61867" spans="2:2" s="221" customFormat="1" ht="12.75" x14ac:dyDescent="0.2">
      <c r="B61867" s="1168"/>
    </row>
    <row r="61868" spans="2:2" s="221" customFormat="1" ht="12.75" x14ac:dyDescent="0.2">
      <c r="B61868" s="1168"/>
    </row>
    <row r="61869" spans="2:2" s="221" customFormat="1" ht="12.75" x14ac:dyDescent="0.2">
      <c r="B61869" s="1168"/>
    </row>
    <row r="61870" spans="2:2" s="221" customFormat="1" ht="12.75" x14ac:dyDescent="0.2">
      <c r="B61870" s="1168"/>
    </row>
    <row r="61871" spans="2:2" s="221" customFormat="1" ht="12.75" x14ac:dyDescent="0.2">
      <c r="B61871" s="1168"/>
    </row>
    <row r="61872" spans="2:2" s="221" customFormat="1" ht="12.75" x14ac:dyDescent="0.2">
      <c r="B61872" s="1168"/>
    </row>
    <row r="61873" spans="2:2" s="221" customFormat="1" ht="12.75" x14ac:dyDescent="0.2">
      <c r="B61873" s="1168"/>
    </row>
    <row r="61874" spans="2:2" s="221" customFormat="1" ht="12.75" x14ac:dyDescent="0.2">
      <c r="B61874" s="1168"/>
    </row>
    <row r="61875" spans="2:2" s="221" customFormat="1" ht="12.75" x14ac:dyDescent="0.2">
      <c r="B61875" s="1168"/>
    </row>
    <row r="61876" spans="2:2" s="221" customFormat="1" ht="12.75" x14ac:dyDescent="0.2">
      <c r="B61876" s="1168"/>
    </row>
    <row r="61877" spans="2:2" s="221" customFormat="1" ht="12.75" x14ac:dyDescent="0.2">
      <c r="B61877" s="1168"/>
    </row>
    <row r="61878" spans="2:2" s="221" customFormat="1" ht="12.75" x14ac:dyDescent="0.2">
      <c r="B61878" s="1168"/>
    </row>
    <row r="61879" spans="2:2" s="221" customFormat="1" ht="12.75" x14ac:dyDescent="0.2">
      <c r="B61879" s="1168"/>
    </row>
    <row r="61880" spans="2:2" s="221" customFormat="1" ht="12.75" x14ac:dyDescent="0.2">
      <c r="B61880" s="1168"/>
    </row>
    <row r="61881" spans="2:2" s="221" customFormat="1" ht="12.75" x14ac:dyDescent="0.2">
      <c r="B61881" s="1168"/>
    </row>
    <row r="61882" spans="2:2" s="221" customFormat="1" ht="12.75" x14ac:dyDescent="0.2">
      <c r="B61882" s="1168"/>
    </row>
    <row r="61883" spans="2:2" s="221" customFormat="1" ht="12.75" x14ac:dyDescent="0.2">
      <c r="B61883" s="1168"/>
    </row>
    <row r="61884" spans="2:2" s="221" customFormat="1" ht="12.75" x14ac:dyDescent="0.2">
      <c r="B61884" s="1168"/>
    </row>
    <row r="61885" spans="2:2" s="221" customFormat="1" ht="12.75" x14ac:dyDescent="0.2">
      <c r="B61885" s="1168"/>
    </row>
    <row r="61886" spans="2:2" s="221" customFormat="1" ht="12.75" x14ac:dyDescent="0.2">
      <c r="B61886" s="1168"/>
    </row>
    <row r="61887" spans="2:2" s="221" customFormat="1" ht="12.75" x14ac:dyDescent="0.2">
      <c r="B61887" s="1168"/>
    </row>
    <row r="61888" spans="2:2" s="221" customFormat="1" ht="12.75" x14ac:dyDescent="0.2">
      <c r="B61888" s="1168"/>
    </row>
    <row r="61889" spans="2:2" s="221" customFormat="1" ht="12.75" x14ac:dyDescent="0.2">
      <c r="B61889" s="1168"/>
    </row>
    <row r="61890" spans="2:2" s="221" customFormat="1" ht="12.75" x14ac:dyDescent="0.2">
      <c r="B61890" s="1168"/>
    </row>
    <row r="61891" spans="2:2" s="221" customFormat="1" ht="12.75" x14ac:dyDescent="0.2">
      <c r="B61891" s="1168"/>
    </row>
    <row r="61892" spans="2:2" s="221" customFormat="1" ht="12.75" x14ac:dyDescent="0.2">
      <c r="B61892" s="1168"/>
    </row>
    <row r="61893" spans="2:2" s="221" customFormat="1" ht="12.75" x14ac:dyDescent="0.2">
      <c r="B61893" s="1168"/>
    </row>
    <row r="61894" spans="2:2" s="221" customFormat="1" ht="12.75" x14ac:dyDescent="0.2">
      <c r="B61894" s="1168"/>
    </row>
    <row r="61895" spans="2:2" s="221" customFormat="1" ht="12.75" x14ac:dyDescent="0.2">
      <c r="B61895" s="1168"/>
    </row>
    <row r="61896" spans="2:2" s="221" customFormat="1" ht="12.75" x14ac:dyDescent="0.2">
      <c r="B61896" s="1168"/>
    </row>
    <row r="61897" spans="2:2" s="221" customFormat="1" ht="12.75" x14ac:dyDescent="0.2">
      <c r="B61897" s="1168"/>
    </row>
    <row r="61898" spans="2:2" s="221" customFormat="1" ht="12.75" x14ac:dyDescent="0.2">
      <c r="B61898" s="1168"/>
    </row>
    <row r="61899" spans="2:2" s="221" customFormat="1" ht="12.75" x14ac:dyDescent="0.2">
      <c r="B61899" s="1168"/>
    </row>
    <row r="61900" spans="2:2" s="221" customFormat="1" ht="12.75" x14ac:dyDescent="0.2">
      <c r="B61900" s="1168"/>
    </row>
    <row r="61901" spans="2:2" s="221" customFormat="1" ht="12.75" x14ac:dyDescent="0.2">
      <c r="B61901" s="1168"/>
    </row>
    <row r="61902" spans="2:2" s="221" customFormat="1" ht="12.75" x14ac:dyDescent="0.2">
      <c r="B61902" s="1168"/>
    </row>
    <row r="61903" spans="2:2" s="221" customFormat="1" ht="12.75" x14ac:dyDescent="0.2">
      <c r="B61903" s="1168"/>
    </row>
    <row r="61904" spans="2:2" s="221" customFormat="1" ht="12.75" x14ac:dyDescent="0.2">
      <c r="B61904" s="1168"/>
    </row>
    <row r="61905" spans="2:2" s="221" customFormat="1" ht="12.75" x14ac:dyDescent="0.2">
      <c r="B61905" s="1168"/>
    </row>
    <row r="61906" spans="2:2" s="221" customFormat="1" ht="12.75" x14ac:dyDescent="0.2">
      <c r="B61906" s="1168"/>
    </row>
    <row r="61907" spans="2:2" s="221" customFormat="1" ht="12.75" x14ac:dyDescent="0.2">
      <c r="B61907" s="1168"/>
    </row>
    <row r="61908" spans="2:2" s="221" customFormat="1" ht="12.75" x14ac:dyDescent="0.2">
      <c r="B61908" s="1168"/>
    </row>
    <row r="61909" spans="2:2" s="221" customFormat="1" ht="12.75" x14ac:dyDescent="0.2">
      <c r="B61909" s="1168"/>
    </row>
    <row r="61910" spans="2:2" s="221" customFormat="1" ht="12.75" x14ac:dyDescent="0.2">
      <c r="B61910" s="1168"/>
    </row>
    <row r="61911" spans="2:2" s="221" customFormat="1" ht="12.75" x14ac:dyDescent="0.2">
      <c r="B61911" s="1168"/>
    </row>
    <row r="61912" spans="2:2" s="221" customFormat="1" ht="12.75" x14ac:dyDescent="0.2">
      <c r="B61912" s="1168"/>
    </row>
    <row r="61913" spans="2:2" s="221" customFormat="1" ht="12.75" x14ac:dyDescent="0.2">
      <c r="B61913" s="1168"/>
    </row>
    <row r="61914" spans="2:2" s="221" customFormat="1" ht="12.75" x14ac:dyDescent="0.2">
      <c r="B61914" s="1168"/>
    </row>
    <row r="61915" spans="2:2" s="221" customFormat="1" ht="12.75" x14ac:dyDescent="0.2">
      <c r="B61915" s="1168"/>
    </row>
    <row r="61916" spans="2:2" s="221" customFormat="1" ht="12.75" x14ac:dyDescent="0.2">
      <c r="B61916" s="1168"/>
    </row>
    <row r="61917" spans="2:2" s="221" customFormat="1" ht="12.75" x14ac:dyDescent="0.2">
      <c r="B61917" s="1168"/>
    </row>
    <row r="61918" spans="2:2" s="221" customFormat="1" ht="12.75" x14ac:dyDescent="0.2">
      <c r="B61918" s="1168"/>
    </row>
    <row r="61919" spans="2:2" s="221" customFormat="1" ht="12.75" x14ac:dyDescent="0.2">
      <c r="B61919" s="1168"/>
    </row>
    <row r="61920" spans="2:2" s="221" customFormat="1" ht="12.75" x14ac:dyDescent="0.2">
      <c r="B61920" s="1168"/>
    </row>
    <row r="61921" spans="2:2" s="221" customFormat="1" ht="12.75" x14ac:dyDescent="0.2">
      <c r="B61921" s="1168"/>
    </row>
    <row r="61922" spans="2:2" s="221" customFormat="1" ht="12.75" x14ac:dyDescent="0.2">
      <c r="B61922" s="1168"/>
    </row>
    <row r="61923" spans="2:2" s="221" customFormat="1" ht="12.75" x14ac:dyDescent="0.2">
      <c r="B61923" s="1168"/>
    </row>
    <row r="61924" spans="2:2" s="221" customFormat="1" ht="12.75" x14ac:dyDescent="0.2">
      <c r="B61924" s="1168"/>
    </row>
    <row r="61925" spans="2:2" s="221" customFormat="1" ht="12.75" x14ac:dyDescent="0.2">
      <c r="B61925" s="1168"/>
    </row>
    <row r="61926" spans="2:2" s="221" customFormat="1" ht="12.75" x14ac:dyDescent="0.2">
      <c r="B61926" s="1168"/>
    </row>
    <row r="61927" spans="2:2" s="221" customFormat="1" ht="12.75" x14ac:dyDescent="0.2">
      <c r="B61927" s="1168"/>
    </row>
    <row r="61928" spans="2:2" s="221" customFormat="1" ht="12.75" x14ac:dyDescent="0.2">
      <c r="B61928" s="1168"/>
    </row>
    <row r="61929" spans="2:2" s="221" customFormat="1" ht="12.75" x14ac:dyDescent="0.2">
      <c r="B61929" s="1168"/>
    </row>
    <row r="61930" spans="2:2" s="221" customFormat="1" ht="12.75" x14ac:dyDescent="0.2">
      <c r="B61930" s="1168"/>
    </row>
    <row r="61931" spans="2:2" s="221" customFormat="1" ht="12.75" x14ac:dyDescent="0.2">
      <c r="B61931" s="1168"/>
    </row>
    <row r="61932" spans="2:2" s="221" customFormat="1" ht="12.75" x14ac:dyDescent="0.2">
      <c r="B61932" s="1168"/>
    </row>
    <row r="61933" spans="2:2" s="221" customFormat="1" ht="12.75" x14ac:dyDescent="0.2">
      <c r="B61933" s="1168"/>
    </row>
    <row r="61934" spans="2:2" s="221" customFormat="1" ht="12.75" x14ac:dyDescent="0.2">
      <c r="B61934" s="1168"/>
    </row>
    <row r="61935" spans="2:2" s="221" customFormat="1" ht="12.75" x14ac:dyDescent="0.2">
      <c r="B61935" s="1168"/>
    </row>
    <row r="61936" spans="2:2" s="221" customFormat="1" ht="12.75" x14ac:dyDescent="0.2">
      <c r="B61936" s="1168"/>
    </row>
    <row r="61937" spans="2:2" s="221" customFormat="1" ht="12.75" x14ac:dyDescent="0.2">
      <c r="B61937" s="1168"/>
    </row>
    <row r="61938" spans="2:2" s="221" customFormat="1" ht="12.75" x14ac:dyDescent="0.2">
      <c r="B61938" s="1168"/>
    </row>
    <row r="61939" spans="2:2" s="221" customFormat="1" ht="12.75" x14ac:dyDescent="0.2">
      <c r="B61939" s="1168"/>
    </row>
    <row r="61940" spans="2:2" s="221" customFormat="1" ht="12.75" x14ac:dyDescent="0.2">
      <c r="B61940" s="1168"/>
    </row>
    <row r="61941" spans="2:2" s="221" customFormat="1" ht="12.75" x14ac:dyDescent="0.2">
      <c r="B61941" s="1168"/>
    </row>
    <row r="61942" spans="2:2" s="221" customFormat="1" ht="12.75" x14ac:dyDescent="0.2">
      <c r="B61942" s="1168"/>
    </row>
    <row r="61943" spans="2:2" s="221" customFormat="1" ht="12.75" x14ac:dyDescent="0.2">
      <c r="B61943" s="1168"/>
    </row>
    <row r="61944" spans="2:2" s="221" customFormat="1" ht="12.75" x14ac:dyDescent="0.2">
      <c r="B61944" s="1168"/>
    </row>
    <row r="61945" spans="2:2" s="221" customFormat="1" ht="12.75" x14ac:dyDescent="0.2">
      <c r="B61945" s="1168"/>
    </row>
    <row r="61946" spans="2:2" s="221" customFormat="1" ht="12.75" x14ac:dyDescent="0.2">
      <c r="B61946" s="1168"/>
    </row>
    <row r="61947" spans="2:2" s="221" customFormat="1" ht="12.75" x14ac:dyDescent="0.2">
      <c r="B61947" s="1168"/>
    </row>
    <row r="61948" spans="2:2" s="221" customFormat="1" ht="12.75" x14ac:dyDescent="0.2">
      <c r="B61948" s="1168"/>
    </row>
    <row r="61949" spans="2:2" s="221" customFormat="1" ht="12.75" x14ac:dyDescent="0.2">
      <c r="B61949" s="1168"/>
    </row>
    <row r="61950" spans="2:2" s="221" customFormat="1" ht="12.75" x14ac:dyDescent="0.2">
      <c r="B61950" s="1168"/>
    </row>
    <row r="61951" spans="2:2" s="221" customFormat="1" ht="12.75" x14ac:dyDescent="0.2">
      <c r="B61951" s="1168"/>
    </row>
    <row r="61952" spans="2:2" s="221" customFormat="1" ht="12.75" x14ac:dyDescent="0.2">
      <c r="B61952" s="1168"/>
    </row>
    <row r="61953" spans="2:2" s="221" customFormat="1" ht="12.75" x14ac:dyDescent="0.2">
      <c r="B61953" s="1168"/>
    </row>
    <row r="61954" spans="2:2" s="221" customFormat="1" ht="12.75" x14ac:dyDescent="0.2">
      <c r="B61954" s="1168"/>
    </row>
    <row r="61955" spans="2:2" s="221" customFormat="1" ht="12.75" x14ac:dyDescent="0.2">
      <c r="B61955" s="1168"/>
    </row>
    <row r="61956" spans="2:2" s="221" customFormat="1" ht="12.75" x14ac:dyDescent="0.2">
      <c r="B61956" s="1168"/>
    </row>
    <row r="61957" spans="2:2" s="221" customFormat="1" ht="12.75" x14ac:dyDescent="0.2">
      <c r="B61957" s="1168"/>
    </row>
    <row r="61958" spans="2:2" s="221" customFormat="1" ht="12.75" x14ac:dyDescent="0.2">
      <c r="B61958" s="1168"/>
    </row>
    <row r="61959" spans="2:2" s="221" customFormat="1" ht="12.75" x14ac:dyDescent="0.2">
      <c r="B61959" s="1168"/>
    </row>
    <row r="61960" spans="2:2" s="221" customFormat="1" ht="12.75" x14ac:dyDescent="0.2">
      <c r="B61960" s="1168"/>
    </row>
    <row r="61961" spans="2:2" s="221" customFormat="1" ht="12.75" x14ac:dyDescent="0.2">
      <c r="B61961" s="1168"/>
    </row>
    <row r="61962" spans="2:2" s="221" customFormat="1" ht="12.75" x14ac:dyDescent="0.2">
      <c r="B61962" s="1168"/>
    </row>
    <row r="61963" spans="2:2" s="221" customFormat="1" ht="12.75" x14ac:dyDescent="0.2">
      <c r="B61963" s="1168"/>
    </row>
    <row r="61964" spans="2:2" s="221" customFormat="1" ht="12.75" x14ac:dyDescent="0.2">
      <c r="B61964" s="1168"/>
    </row>
    <row r="61965" spans="2:2" s="221" customFormat="1" ht="12.75" x14ac:dyDescent="0.2">
      <c r="B61965" s="1168"/>
    </row>
    <row r="61966" spans="2:2" s="221" customFormat="1" ht="12.75" x14ac:dyDescent="0.2">
      <c r="B61966" s="1168"/>
    </row>
    <row r="61967" spans="2:2" s="221" customFormat="1" ht="12.75" x14ac:dyDescent="0.2">
      <c r="B61967" s="1168"/>
    </row>
    <row r="61968" spans="2:2" s="221" customFormat="1" ht="12.75" x14ac:dyDescent="0.2">
      <c r="B61968" s="1168"/>
    </row>
    <row r="61969" spans="2:2" s="221" customFormat="1" ht="12.75" x14ac:dyDescent="0.2">
      <c r="B61969" s="1168"/>
    </row>
    <row r="61970" spans="2:2" s="221" customFormat="1" ht="12.75" x14ac:dyDescent="0.2">
      <c r="B61970" s="1168"/>
    </row>
    <row r="61971" spans="2:2" s="221" customFormat="1" ht="12.75" x14ac:dyDescent="0.2">
      <c r="B61971" s="1168"/>
    </row>
    <row r="61972" spans="2:2" s="221" customFormat="1" ht="12.75" x14ac:dyDescent="0.2">
      <c r="B61972" s="1168"/>
    </row>
    <row r="61973" spans="2:2" s="221" customFormat="1" ht="12.75" x14ac:dyDescent="0.2">
      <c r="B61973" s="1168"/>
    </row>
    <row r="61974" spans="2:2" s="221" customFormat="1" ht="12.75" x14ac:dyDescent="0.2">
      <c r="B61974" s="1168"/>
    </row>
    <row r="61975" spans="2:2" s="221" customFormat="1" ht="12.75" x14ac:dyDescent="0.2">
      <c r="B61975" s="1168"/>
    </row>
    <row r="61976" spans="2:2" s="221" customFormat="1" ht="12.75" x14ac:dyDescent="0.2">
      <c r="B61976" s="1168"/>
    </row>
    <row r="61977" spans="2:2" s="221" customFormat="1" ht="12.75" x14ac:dyDescent="0.2">
      <c r="B61977" s="1168"/>
    </row>
    <row r="61978" spans="2:2" s="221" customFormat="1" ht="12.75" x14ac:dyDescent="0.2">
      <c r="B61978" s="1168"/>
    </row>
    <row r="61979" spans="2:2" s="221" customFormat="1" ht="12.75" x14ac:dyDescent="0.2">
      <c r="B61979" s="1168"/>
    </row>
    <row r="61980" spans="2:2" s="221" customFormat="1" ht="12.75" x14ac:dyDescent="0.2">
      <c r="B61980" s="1168"/>
    </row>
    <row r="61981" spans="2:2" s="221" customFormat="1" ht="12.75" x14ac:dyDescent="0.2">
      <c r="B61981" s="1168"/>
    </row>
    <row r="61982" spans="2:2" s="221" customFormat="1" ht="12.75" x14ac:dyDescent="0.2">
      <c r="B61982" s="1168"/>
    </row>
    <row r="61983" spans="2:2" s="221" customFormat="1" ht="12.75" x14ac:dyDescent="0.2">
      <c r="B61983" s="1168"/>
    </row>
    <row r="61984" spans="2:2" s="221" customFormat="1" ht="12.75" x14ac:dyDescent="0.2">
      <c r="B61984" s="1168"/>
    </row>
    <row r="61985" spans="2:2" s="221" customFormat="1" ht="12.75" x14ac:dyDescent="0.2">
      <c r="B61985" s="1168"/>
    </row>
    <row r="61986" spans="2:2" s="221" customFormat="1" ht="12.75" x14ac:dyDescent="0.2">
      <c r="B61986" s="1168"/>
    </row>
    <row r="61987" spans="2:2" s="221" customFormat="1" ht="12.75" x14ac:dyDescent="0.2">
      <c r="B61987" s="1168"/>
    </row>
    <row r="61988" spans="2:2" s="221" customFormat="1" ht="12.75" x14ac:dyDescent="0.2">
      <c r="B61988" s="1168"/>
    </row>
    <row r="61989" spans="2:2" s="221" customFormat="1" ht="12.75" x14ac:dyDescent="0.2">
      <c r="B61989" s="1168"/>
    </row>
    <row r="61990" spans="2:2" s="221" customFormat="1" ht="12.75" x14ac:dyDescent="0.2">
      <c r="B61990" s="1168"/>
    </row>
    <row r="61991" spans="2:2" s="221" customFormat="1" ht="12.75" x14ac:dyDescent="0.2">
      <c r="B61991" s="1168"/>
    </row>
    <row r="61992" spans="2:2" s="221" customFormat="1" ht="12.75" x14ac:dyDescent="0.2">
      <c r="B61992" s="1168"/>
    </row>
    <row r="61993" spans="2:2" s="221" customFormat="1" ht="12.75" x14ac:dyDescent="0.2">
      <c r="B61993" s="1168"/>
    </row>
    <row r="61994" spans="2:2" s="221" customFormat="1" ht="12.75" x14ac:dyDescent="0.2">
      <c r="B61994" s="1168"/>
    </row>
    <row r="61995" spans="2:2" s="221" customFormat="1" ht="12.75" x14ac:dyDescent="0.2">
      <c r="B61995" s="1168"/>
    </row>
    <row r="61996" spans="2:2" s="221" customFormat="1" ht="12.75" x14ac:dyDescent="0.2">
      <c r="B61996" s="1168"/>
    </row>
    <row r="61997" spans="2:2" s="221" customFormat="1" ht="12.75" x14ac:dyDescent="0.2">
      <c r="B61997" s="1168"/>
    </row>
    <row r="61998" spans="2:2" s="221" customFormat="1" ht="12.75" x14ac:dyDescent="0.2">
      <c r="B61998" s="1168"/>
    </row>
    <row r="61999" spans="2:2" s="221" customFormat="1" ht="12.75" x14ac:dyDescent="0.2">
      <c r="B61999" s="1168"/>
    </row>
    <row r="62000" spans="2:2" s="221" customFormat="1" ht="12.75" x14ac:dyDescent="0.2">
      <c r="B62000" s="1168"/>
    </row>
    <row r="62001" spans="2:2" s="221" customFormat="1" ht="12.75" x14ac:dyDescent="0.2">
      <c r="B62001" s="1168"/>
    </row>
    <row r="62002" spans="2:2" s="221" customFormat="1" ht="12.75" x14ac:dyDescent="0.2">
      <c r="B62002" s="1168"/>
    </row>
    <row r="62003" spans="2:2" s="221" customFormat="1" ht="12.75" x14ac:dyDescent="0.2">
      <c r="B62003" s="1168"/>
    </row>
    <row r="62004" spans="2:2" s="221" customFormat="1" ht="12.75" x14ac:dyDescent="0.2">
      <c r="B62004" s="1168"/>
    </row>
    <row r="62005" spans="2:2" s="221" customFormat="1" ht="12.75" x14ac:dyDescent="0.2">
      <c r="B62005" s="1168"/>
    </row>
    <row r="62006" spans="2:2" s="221" customFormat="1" ht="12.75" x14ac:dyDescent="0.2">
      <c r="B62006" s="1168"/>
    </row>
    <row r="62007" spans="2:2" s="221" customFormat="1" ht="12.75" x14ac:dyDescent="0.2">
      <c r="B62007" s="1168"/>
    </row>
    <row r="62008" spans="2:2" s="221" customFormat="1" ht="12.75" x14ac:dyDescent="0.2">
      <c r="B62008" s="1168"/>
    </row>
    <row r="62009" spans="2:2" s="221" customFormat="1" ht="12.75" x14ac:dyDescent="0.2">
      <c r="B62009" s="1168"/>
    </row>
    <row r="62010" spans="2:2" s="221" customFormat="1" ht="12.75" x14ac:dyDescent="0.2">
      <c r="B62010" s="1168"/>
    </row>
    <row r="62011" spans="2:2" s="221" customFormat="1" ht="12.75" x14ac:dyDescent="0.2">
      <c r="B62011" s="1168"/>
    </row>
    <row r="62012" spans="2:2" s="221" customFormat="1" ht="12.75" x14ac:dyDescent="0.2">
      <c r="B62012" s="1168"/>
    </row>
    <row r="62013" spans="2:2" s="221" customFormat="1" ht="12.75" x14ac:dyDescent="0.2">
      <c r="B62013" s="1168"/>
    </row>
    <row r="62014" spans="2:2" s="221" customFormat="1" ht="12.75" x14ac:dyDescent="0.2">
      <c r="B62014" s="1168"/>
    </row>
    <row r="62015" spans="2:2" s="221" customFormat="1" ht="12.75" x14ac:dyDescent="0.2">
      <c r="B62015" s="1168"/>
    </row>
    <row r="62016" spans="2:2" s="221" customFormat="1" ht="12.75" x14ac:dyDescent="0.2">
      <c r="B62016" s="1168"/>
    </row>
    <row r="62017" spans="2:2" s="221" customFormat="1" ht="12.75" x14ac:dyDescent="0.2">
      <c r="B62017" s="1168"/>
    </row>
    <row r="62018" spans="2:2" s="221" customFormat="1" ht="12.75" x14ac:dyDescent="0.2">
      <c r="B62018" s="1168"/>
    </row>
    <row r="62019" spans="2:2" s="221" customFormat="1" ht="12.75" x14ac:dyDescent="0.2">
      <c r="B62019" s="1168"/>
    </row>
    <row r="62020" spans="2:2" s="221" customFormat="1" ht="12.75" x14ac:dyDescent="0.2">
      <c r="B62020" s="1168"/>
    </row>
    <row r="62021" spans="2:2" s="221" customFormat="1" ht="12.75" x14ac:dyDescent="0.2">
      <c r="B62021" s="1168"/>
    </row>
    <row r="62022" spans="2:2" s="221" customFormat="1" ht="12.75" x14ac:dyDescent="0.2">
      <c r="B62022" s="1168"/>
    </row>
    <row r="62023" spans="2:2" s="221" customFormat="1" ht="12.75" x14ac:dyDescent="0.2">
      <c r="B62023" s="1168"/>
    </row>
    <row r="62024" spans="2:2" s="221" customFormat="1" ht="12.75" x14ac:dyDescent="0.2">
      <c r="B62024" s="1168"/>
    </row>
    <row r="62025" spans="2:2" s="221" customFormat="1" ht="12.75" x14ac:dyDescent="0.2">
      <c r="B62025" s="1168"/>
    </row>
    <row r="62026" spans="2:2" s="221" customFormat="1" ht="12.75" x14ac:dyDescent="0.2">
      <c r="B62026" s="1168"/>
    </row>
    <row r="62027" spans="2:2" s="221" customFormat="1" ht="12.75" x14ac:dyDescent="0.2">
      <c r="B62027" s="1168"/>
    </row>
    <row r="62028" spans="2:2" s="221" customFormat="1" ht="12.75" x14ac:dyDescent="0.2">
      <c r="B62028" s="1168"/>
    </row>
    <row r="62029" spans="2:2" s="221" customFormat="1" ht="12.75" x14ac:dyDescent="0.2">
      <c r="B62029" s="1168"/>
    </row>
    <row r="62030" spans="2:2" s="221" customFormat="1" ht="12.75" x14ac:dyDescent="0.2">
      <c r="B62030" s="1168"/>
    </row>
    <row r="62031" spans="2:2" s="221" customFormat="1" ht="12.75" x14ac:dyDescent="0.2">
      <c r="B62031" s="1168"/>
    </row>
    <row r="62032" spans="2:2" s="221" customFormat="1" ht="12.75" x14ac:dyDescent="0.2">
      <c r="B62032" s="1168"/>
    </row>
    <row r="62033" spans="2:2" s="221" customFormat="1" ht="12.75" x14ac:dyDescent="0.2">
      <c r="B62033" s="1168"/>
    </row>
    <row r="62034" spans="2:2" s="221" customFormat="1" ht="12.75" x14ac:dyDescent="0.2">
      <c r="B62034" s="1168"/>
    </row>
    <row r="62035" spans="2:2" s="221" customFormat="1" ht="12.75" x14ac:dyDescent="0.2">
      <c r="B62035" s="1168"/>
    </row>
    <row r="62036" spans="2:2" s="221" customFormat="1" ht="12.75" x14ac:dyDescent="0.2">
      <c r="B62036" s="1168"/>
    </row>
    <row r="62037" spans="2:2" s="221" customFormat="1" ht="12.75" x14ac:dyDescent="0.2">
      <c r="B62037" s="1168"/>
    </row>
    <row r="62038" spans="2:2" s="221" customFormat="1" ht="12.75" x14ac:dyDescent="0.2">
      <c r="B62038" s="1168"/>
    </row>
    <row r="62039" spans="2:2" s="221" customFormat="1" ht="12.75" x14ac:dyDescent="0.2">
      <c r="B62039" s="1168"/>
    </row>
    <row r="62040" spans="2:2" s="221" customFormat="1" ht="12.75" x14ac:dyDescent="0.2">
      <c r="B62040" s="1168"/>
    </row>
    <row r="62041" spans="2:2" s="221" customFormat="1" ht="12.75" x14ac:dyDescent="0.2">
      <c r="B62041" s="1168"/>
    </row>
    <row r="62042" spans="2:2" s="221" customFormat="1" ht="12.75" x14ac:dyDescent="0.2">
      <c r="B62042" s="1168"/>
    </row>
    <row r="62043" spans="2:2" s="221" customFormat="1" ht="12.75" x14ac:dyDescent="0.2">
      <c r="B62043" s="1168"/>
    </row>
    <row r="62044" spans="2:2" s="221" customFormat="1" ht="12.75" x14ac:dyDescent="0.2">
      <c r="B62044" s="1168"/>
    </row>
    <row r="62045" spans="2:2" s="221" customFormat="1" ht="12.75" x14ac:dyDescent="0.2">
      <c r="B62045" s="1168"/>
    </row>
    <row r="62046" spans="2:2" s="221" customFormat="1" ht="12.75" x14ac:dyDescent="0.2">
      <c r="B62046" s="1168"/>
    </row>
    <row r="62047" spans="2:2" s="221" customFormat="1" ht="12.75" x14ac:dyDescent="0.2">
      <c r="B62047" s="1168"/>
    </row>
    <row r="62048" spans="2:2" s="221" customFormat="1" ht="12.75" x14ac:dyDescent="0.2">
      <c r="B62048" s="1168"/>
    </row>
    <row r="62049" spans="2:2" s="221" customFormat="1" ht="12.75" x14ac:dyDescent="0.2">
      <c r="B62049" s="1168"/>
    </row>
    <row r="62050" spans="2:2" s="221" customFormat="1" ht="12.75" x14ac:dyDescent="0.2">
      <c r="B62050" s="1168"/>
    </row>
    <row r="62051" spans="2:2" s="221" customFormat="1" ht="12.75" x14ac:dyDescent="0.2">
      <c r="B62051" s="1168"/>
    </row>
    <row r="62052" spans="2:2" s="221" customFormat="1" ht="12.75" x14ac:dyDescent="0.2">
      <c r="B62052" s="1168"/>
    </row>
    <row r="62053" spans="2:2" s="221" customFormat="1" ht="12.75" x14ac:dyDescent="0.2">
      <c r="B62053" s="1168"/>
    </row>
    <row r="62054" spans="2:2" s="221" customFormat="1" ht="12.75" x14ac:dyDescent="0.2">
      <c r="B62054" s="1168"/>
    </row>
    <row r="62055" spans="2:2" s="221" customFormat="1" ht="12.75" x14ac:dyDescent="0.2">
      <c r="B62055" s="1168"/>
    </row>
    <row r="62056" spans="2:2" s="221" customFormat="1" ht="12.75" x14ac:dyDescent="0.2">
      <c r="B62056" s="1168"/>
    </row>
    <row r="62057" spans="2:2" s="221" customFormat="1" ht="12.75" x14ac:dyDescent="0.2">
      <c r="B62057" s="1168"/>
    </row>
    <row r="62058" spans="2:2" s="221" customFormat="1" ht="12.75" x14ac:dyDescent="0.2">
      <c r="B62058" s="1168"/>
    </row>
    <row r="62059" spans="2:2" s="221" customFormat="1" ht="12.75" x14ac:dyDescent="0.2">
      <c r="B62059" s="1168"/>
    </row>
    <row r="62060" spans="2:2" s="221" customFormat="1" ht="12.75" x14ac:dyDescent="0.2">
      <c r="B62060" s="1168"/>
    </row>
    <row r="62061" spans="2:2" s="221" customFormat="1" ht="12.75" x14ac:dyDescent="0.2">
      <c r="B62061" s="1168"/>
    </row>
    <row r="62062" spans="2:2" s="221" customFormat="1" ht="12.75" x14ac:dyDescent="0.2">
      <c r="B62062" s="1168"/>
    </row>
    <row r="62063" spans="2:2" s="221" customFormat="1" ht="12.75" x14ac:dyDescent="0.2">
      <c r="B62063" s="1168"/>
    </row>
    <row r="62064" spans="2:2" s="221" customFormat="1" ht="12.75" x14ac:dyDescent="0.2">
      <c r="B62064" s="1168"/>
    </row>
    <row r="62065" spans="2:2" s="221" customFormat="1" ht="12.75" x14ac:dyDescent="0.2">
      <c r="B62065" s="1168"/>
    </row>
    <row r="62066" spans="2:2" s="221" customFormat="1" ht="12.75" x14ac:dyDescent="0.2">
      <c r="B62066" s="1168"/>
    </row>
    <row r="62067" spans="2:2" s="221" customFormat="1" ht="12.75" x14ac:dyDescent="0.2">
      <c r="B62067" s="1168"/>
    </row>
    <row r="62068" spans="2:2" s="221" customFormat="1" ht="12.75" x14ac:dyDescent="0.2">
      <c r="B62068" s="1168"/>
    </row>
    <row r="62069" spans="2:2" s="221" customFormat="1" ht="12.75" x14ac:dyDescent="0.2">
      <c r="B62069" s="1168"/>
    </row>
    <row r="62070" spans="2:2" s="221" customFormat="1" ht="12.75" x14ac:dyDescent="0.2">
      <c r="B62070" s="1168"/>
    </row>
    <row r="62071" spans="2:2" s="221" customFormat="1" ht="12.75" x14ac:dyDescent="0.2">
      <c r="B62071" s="1168"/>
    </row>
    <row r="62072" spans="2:2" s="221" customFormat="1" ht="12.75" x14ac:dyDescent="0.2">
      <c r="B62072" s="1168"/>
    </row>
    <row r="62073" spans="2:2" s="221" customFormat="1" ht="12.75" x14ac:dyDescent="0.2">
      <c r="B62073" s="1168"/>
    </row>
    <row r="62074" spans="2:2" s="221" customFormat="1" ht="12.75" x14ac:dyDescent="0.2">
      <c r="B62074" s="1168"/>
    </row>
    <row r="62075" spans="2:2" s="221" customFormat="1" ht="12.75" x14ac:dyDescent="0.2">
      <c r="B62075" s="1168"/>
    </row>
    <row r="62076" spans="2:2" s="221" customFormat="1" ht="12.75" x14ac:dyDescent="0.2">
      <c r="B62076" s="1168"/>
    </row>
    <row r="62077" spans="2:2" s="221" customFormat="1" ht="12.75" x14ac:dyDescent="0.2">
      <c r="B62077" s="1168"/>
    </row>
    <row r="62078" spans="2:2" s="221" customFormat="1" ht="12.75" x14ac:dyDescent="0.2">
      <c r="B62078" s="1168"/>
    </row>
    <row r="62079" spans="2:2" s="221" customFormat="1" ht="12.75" x14ac:dyDescent="0.2">
      <c r="B62079" s="1168"/>
    </row>
    <row r="62080" spans="2:2" s="221" customFormat="1" ht="12.75" x14ac:dyDescent="0.2">
      <c r="B62080" s="1168"/>
    </row>
    <row r="62081" spans="2:2" s="221" customFormat="1" ht="12.75" x14ac:dyDescent="0.2">
      <c r="B62081" s="1168"/>
    </row>
    <row r="62082" spans="2:2" s="221" customFormat="1" ht="12.75" x14ac:dyDescent="0.2">
      <c r="B62082" s="1168"/>
    </row>
    <row r="62083" spans="2:2" s="221" customFormat="1" ht="12.75" x14ac:dyDescent="0.2">
      <c r="B62083" s="1168"/>
    </row>
    <row r="62084" spans="2:2" s="221" customFormat="1" ht="12.75" x14ac:dyDescent="0.2">
      <c r="B62084" s="1168"/>
    </row>
    <row r="62085" spans="2:2" s="221" customFormat="1" ht="12.75" x14ac:dyDescent="0.2">
      <c r="B62085" s="1168"/>
    </row>
    <row r="62086" spans="2:2" s="221" customFormat="1" ht="12.75" x14ac:dyDescent="0.2">
      <c r="B62086" s="1168"/>
    </row>
    <row r="62087" spans="2:2" s="221" customFormat="1" ht="12.75" x14ac:dyDescent="0.2">
      <c r="B62087" s="1168"/>
    </row>
    <row r="62088" spans="2:2" s="221" customFormat="1" ht="12.75" x14ac:dyDescent="0.2">
      <c r="B62088" s="1168"/>
    </row>
    <row r="62089" spans="2:2" s="221" customFormat="1" ht="12.75" x14ac:dyDescent="0.2">
      <c r="B62089" s="1168"/>
    </row>
    <row r="62090" spans="2:2" s="221" customFormat="1" ht="12.75" x14ac:dyDescent="0.2">
      <c r="B62090" s="1168"/>
    </row>
    <row r="62091" spans="2:2" s="221" customFormat="1" ht="12.75" x14ac:dyDescent="0.2">
      <c r="B62091" s="1168"/>
    </row>
    <row r="62092" spans="2:2" s="221" customFormat="1" ht="12.75" x14ac:dyDescent="0.2">
      <c r="B62092" s="1168"/>
    </row>
    <row r="62093" spans="2:2" s="221" customFormat="1" ht="12.75" x14ac:dyDescent="0.2">
      <c r="B62093" s="1168"/>
    </row>
    <row r="62094" spans="2:2" s="221" customFormat="1" ht="12.75" x14ac:dyDescent="0.2">
      <c r="B62094" s="1168"/>
    </row>
    <row r="62095" spans="2:2" s="221" customFormat="1" ht="12.75" x14ac:dyDescent="0.2">
      <c r="B62095" s="1168"/>
    </row>
    <row r="62096" spans="2:2" s="221" customFormat="1" ht="12.75" x14ac:dyDescent="0.2">
      <c r="B62096" s="1168"/>
    </row>
    <row r="62097" spans="2:2" s="221" customFormat="1" ht="12.75" x14ac:dyDescent="0.2">
      <c r="B62097" s="1168"/>
    </row>
    <row r="62098" spans="2:2" s="221" customFormat="1" ht="12.75" x14ac:dyDescent="0.2">
      <c r="B62098" s="1168"/>
    </row>
    <row r="62099" spans="2:2" s="221" customFormat="1" ht="12.75" x14ac:dyDescent="0.2">
      <c r="B62099" s="1168"/>
    </row>
    <row r="62100" spans="2:2" s="221" customFormat="1" ht="12.75" x14ac:dyDescent="0.2">
      <c r="B62100" s="1168"/>
    </row>
    <row r="62101" spans="2:2" s="221" customFormat="1" ht="12.75" x14ac:dyDescent="0.2">
      <c r="B62101" s="1168"/>
    </row>
    <row r="62102" spans="2:2" s="221" customFormat="1" ht="12.75" x14ac:dyDescent="0.2">
      <c r="B62102" s="1168"/>
    </row>
    <row r="62103" spans="2:2" s="221" customFormat="1" ht="12.75" x14ac:dyDescent="0.2">
      <c r="B62103" s="1168"/>
    </row>
    <row r="62104" spans="2:2" s="221" customFormat="1" ht="12.75" x14ac:dyDescent="0.2">
      <c r="B62104" s="1168"/>
    </row>
    <row r="62105" spans="2:2" s="221" customFormat="1" ht="12.75" x14ac:dyDescent="0.2">
      <c r="B62105" s="1168"/>
    </row>
    <row r="62106" spans="2:2" s="221" customFormat="1" ht="12.75" x14ac:dyDescent="0.2">
      <c r="B62106" s="1168"/>
    </row>
    <row r="62107" spans="2:2" s="221" customFormat="1" ht="12.75" x14ac:dyDescent="0.2">
      <c r="B62107" s="1168"/>
    </row>
    <row r="62108" spans="2:2" s="221" customFormat="1" ht="12.75" x14ac:dyDescent="0.2">
      <c r="B62108" s="1168"/>
    </row>
    <row r="62109" spans="2:2" s="221" customFormat="1" ht="12.75" x14ac:dyDescent="0.2">
      <c r="B62109" s="1168"/>
    </row>
    <row r="62110" spans="2:2" s="221" customFormat="1" ht="12.75" x14ac:dyDescent="0.2">
      <c r="B62110" s="1168"/>
    </row>
    <row r="62111" spans="2:2" s="221" customFormat="1" ht="12.75" x14ac:dyDescent="0.2">
      <c r="B62111" s="1168"/>
    </row>
    <row r="62112" spans="2:2" s="221" customFormat="1" ht="12.75" x14ac:dyDescent="0.2">
      <c r="B62112" s="1168"/>
    </row>
    <row r="62113" spans="2:2" s="221" customFormat="1" ht="12.75" x14ac:dyDescent="0.2">
      <c r="B62113" s="1168"/>
    </row>
    <row r="62114" spans="2:2" s="221" customFormat="1" ht="12.75" x14ac:dyDescent="0.2">
      <c r="B62114" s="1168"/>
    </row>
    <row r="62115" spans="2:2" s="221" customFormat="1" ht="12.75" x14ac:dyDescent="0.2">
      <c r="B62115" s="1168"/>
    </row>
    <row r="62116" spans="2:2" s="221" customFormat="1" ht="12.75" x14ac:dyDescent="0.2">
      <c r="B62116" s="1168"/>
    </row>
    <row r="62117" spans="2:2" s="221" customFormat="1" ht="12.75" x14ac:dyDescent="0.2">
      <c r="B62117" s="1168"/>
    </row>
    <row r="62118" spans="2:2" s="221" customFormat="1" ht="12.75" x14ac:dyDescent="0.2">
      <c r="B62118" s="1168"/>
    </row>
    <row r="62119" spans="2:2" s="221" customFormat="1" ht="12.75" x14ac:dyDescent="0.2">
      <c r="B62119" s="1168"/>
    </row>
    <row r="62120" spans="2:2" s="221" customFormat="1" ht="12.75" x14ac:dyDescent="0.2">
      <c r="B62120" s="1168"/>
    </row>
    <row r="62121" spans="2:2" s="221" customFormat="1" ht="12.75" x14ac:dyDescent="0.2">
      <c r="B62121" s="1168"/>
    </row>
    <row r="62122" spans="2:2" s="221" customFormat="1" ht="12.75" x14ac:dyDescent="0.2">
      <c r="B62122" s="1168"/>
    </row>
    <row r="62123" spans="2:2" s="221" customFormat="1" ht="12.75" x14ac:dyDescent="0.2">
      <c r="B62123" s="1168"/>
    </row>
    <row r="62124" spans="2:2" s="221" customFormat="1" ht="12.75" x14ac:dyDescent="0.2">
      <c r="B62124" s="1168"/>
    </row>
    <row r="62125" spans="2:2" s="221" customFormat="1" ht="12.75" x14ac:dyDescent="0.2">
      <c r="B62125" s="1168"/>
    </row>
    <row r="62126" spans="2:2" s="221" customFormat="1" ht="12.75" x14ac:dyDescent="0.2">
      <c r="B62126" s="1168"/>
    </row>
    <row r="62127" spans="2:2" s="221" customFormat="1" ht="12.75" x14ac:dyDescent="0.2">
      <c r="B62127" s="1168"/>
    </row>
    <row r="62128" spans="2:2" s="221" customFormat="1" ht="12.75" x14ac:dyDescent="0.2">
      <c r="B62128" s="1168"/>
    </row>
    <row r="62129" spans="2:2" s="221" customFormat="1" ht="12.75" x14ac:dyDescent="0.2">
      <c r="B62129" s="1168"/>
    </row>
    <row r="62130" spans="2:2" s="221" customFormat="1" ht="12.75" x14ac:dyDescent="0.2">
      <c r="B62130" s="1168"/>
    </row>
    <row r="62131" spans="2:2" s="221" customFormat="1" ht="12.75" x14ac:dyDescent="0.2">
      <c r="B62131" s="1168"/>
    </row>
    <row r="62132" spans="2:2" s="221" customFormat="1" ht="12.75" x14ac:dyDescent="0.2">
      <c r="B62132" s="1168"/>
    </row>
    <row r="62133" spans="2:2" s="221" customFormat="1" ht="12.75" x14ac:dyDescent="0.2">
      <c r="B62133" s="1168"/>
    </row>
    <row r="62134" spans="2:2" s="221" customFormat="1" ht="12.75" x14ac:dyDescent="0.2">
      <c r="B62134" s="1168"/>
    </row>
    <row r="62135" spans="2:2" s="221" customFormat="1" ht="12.75" x14ac:dyDescent="0.2">
      <c r="B62135" s="1168"/>
    </row>
    <row r="62136" spans="2:2" s="221" customFormat="1" ht="12.75" x14ac:dyDescent="0.2">
      <c r="B62136" s="1168"/>
    </row>
    <row r="62137" spans="2:2" s="221" customFormat="1" ht="12.75" x14ac:dyDescent="0.2">
      <c r="B62137" s="1168"/>
    </row>
    <row r="62138" spans="2:2" s="221" customFormat="1" ht="12.75" x14ac:dyDescent="0.2">
      <c r="B62138" s="1168"/>
    </row>
    <row r="62139" spans="2:2" s="221" customFormat="1" ht="12.75" x14ac:dyDescent="0.2">
      <c r="B62139" s="1168"/>
    </row>
    <row r="62140" spans="2:2" s="221" customFormat="1" ht="12.75" x14ac:dyDescent="0.2">
      <c r="B62140" s="1168"/>
    </row>
    <row r="62141" spans="2:2" s="221" customFormat="1" ht="12.75" x14ac:dyDescent="0.2">
      <c r="B62141" s="1168"/>
    </row>
    <row r="62142" spans="2:2" s="221" customFormat="1" ht="12.75" x14ac:dyDescent="0.2">
      <c r="B62142" s="1168"/>
    </row>
    <row r="62143" spans="2:2" s="221" customFormat="1" ht="12.75" x14ac:dyDescent="0.2">
      <c r="B62143" s="1168"/>
    </row>
    <row r="62144" spans="2:2" s="221" customFormat="1" ht="12.75" x14ac:dyDescent="0.2">
      <c r="B62144" s="1168"/>
    </row>
    <row r="62145" spans="2:2" s="221" customFormat="1" ht="12.75" x14ac:dyDescent="0.2">
      <c r="B62145" s="1168"/>
    </row>
    <row r="62146" spans="2:2" s="221" customFormat="1" ht="12.75" x14ac:dyDescent="0.2">
      <c r="B62146" s="1168"/>
    </row>
    <row r="62147" spans="2:2" s="221" customFormat="1" ht="12.75" x14ac:dyDescent="0.2">
      <c r="B62147" s="1168"/>
    </row>
    <row r="62148" spans="2:2" s="221" customFormat="1" ht="12.75" x14ac:dyDescent="0.2">
      <c r="B62148" s="1168"/>
    </row>
    <row r="62149" spans="2:2" s="221" customFormat="1" ht="12.75" x14ac:dyDescent="0.2">
      <c r="B62149" s="1168"/>
    </row>
    <row r="62150" spans="2:2" s="221" customFormat="1" ht="12.75" x14ac:dyDescent="0.2">
      <c r="B62150" s="1168"/>
    </row>
    <row r="62151" spans="2:2" s="221" customFormat="1" ht="12.75" x14ac:dyDescent="0.2">
      <c r="B62151" s="1168"/>
    </row>
    <row r="62152" spans="2:2" s="221" customFormat="1" ht="12.75" x14ac:dyDescent="0.2">
      <c r="B62152" s="1168"/>
    </row>
    <row r="62153" spans="2:2" s="221" customFormat="1" ht="12.75" x14ac:dyDescent="0.2">
      <c r="B62153" s="1168"/>
    </row>
    <row r="62154" spans="2:2" s="221" customFormat="1" ht="12.75" x14ac:dyDescent="0.2">
      <c r="B62154" s="1168"/>
    </row>
    <row r="62155" spans="2:2" s="221" customFormat="1" ht="12.75" x14ac:dyDescent="0.2">
      <c r="B62155" s="1168"/>
    </row>
    <row r="62156" spans="2:2" s="221" customFormat="1" ht="12.75" x14ac:dyDescent="0.2">
      <c r="B62156" s="1168"/>
    </row>
    <row r="62157" spans="2:2" s="221" customFormat="1" ht="12.75" x14ac:dyDescent="0.2">
      <c r="B62157" s="1168"/>
    </row>
    <row r="62158" spans="2:2" s="221" customFormat="1" ht="12.75" x14ac:dyDescent="0.2">
      <c r="B62158" s="1168"/>
    </row>
    <row r="62159" spans="2:2" s="221" customFormat="1" ht="12.75" x14ac:dyDescent="0.2">
      <c r="B62159" s="1168"/>
    </row>
    <row r="62160" spans="2:2" s="221" customFormat="1" ht="12.75" x14ac:dyDescent="0.2">
      <c r="B62160" s="1168"/>
    </row>
    <row r="62161" spans="2:2" s="221" customFormat="1" ht="12.75" x14ac:dyDescent="0.2">
      <c r="B62161" s="1168"/>
    </row>
    <row r="62162" spans="2:2" s="221" customFormat="1" ht="12.75" x14ac:dyDescent="0.2">
      <c r="B62162" s="1168"/>
    </row>
    <row r="62163" spans="2:2" s="221" customFormat="1" ht="12.75" x14ac:dyDescent="0.2">
      <c r="B62163" s="1168"/>
    </row>
    <row r="62164" spans="2:2" s="221" customFormat="1" ht="12.75" x14ac:dyDescent="0.2">
      <c r="B62164" s="1168"/>
    </row>
    <row r="62165" spans="2:2" s="221" customFormat="1" ht="12.75" x14ac:dyDescent="0.2">
      <c r="B62165" s="1168"/>
    </row>
    <row r="62166" spans="2:2" s="221" customFormat="1" ht="12.75" x14ac:dyDescent="0.2">
      <c r="B62166" s="1168"/>
    </row>
    <row r="62167" spans="2:2" s="221" customFormat="1" ht="12.75" x14ac:dyDescent="0.2">
      <c r="B62167" s="1168"/>
    </row>
    <row r="62168" spans="2:2" s="221" customFormat="1" ht="12.75" x14ac:dyDescent="0.2">
      <c r="B62168" s="1168"/>
    </row>
    <row r="62169" spans="2:2" s="221" customFormat="1" ht="12.75" x14ac:dyDescent="0.2">
      <c r="B62169" s="1168"/>
    </row>
    <row r="62170" spans="2:2" s="221" customFormat="1" ht="12.75" x14ac:dyDescent="0.2">
      <c r="B62170" s="1168"/>
    </row>
    <row r="62171" spans="2:2" s="221" customFormat="1" ht="12.75" x14ac:dyDescent="0.2">
      <c r="B62171" s="1168"/>
    </row>
    <row r="62172" spans="2:2" s="221" customFormat="1" ht="12.75" x14ac:dyDescent="0.2">
      <c r="B62172" s="1168"/>
    </row>
    <row r="62173" spans="2:2" s="221" customFormat="1" ht="12.75" x14ac:dyDescent="0.2">
      <c r="B62173" s="1168"/>
    </row>
    <row r="62174" spans="2:2" s="221" customFormat="1" ht="12.75" x14ac:dyDescent="0.2">
      <c r="B62174" s="1168"/>
    </row>
    <row r="62175" spans="2:2" s="221" customFormat="1" ht="12.75" x14ac:dyDescent="0.2">
      <c r="B62175" s="1168"/>
    </row>
    <row r="62176" spans="2:2" s="221" customFormat="1" ht="12.75" x14ac:dyDescent="0.2">
      <c r="B62176" s="1168"/>
    </row>
    <row r="62177" spans="2:2" s="221" customFormat="1" ht="12.75" x14ac:dyDescent="0.2">
      <c r="B62177" s="1168"/>
    </row>
    <row r="62178" spans="2:2" s="221" customFormat="1" ht="12.75" x14ac:dyDescent="0.2">
      <c r="B62178" s="1168"/>
    </row>
    <row r="62179" spans="2:2" s="221" customFormat="1" ht="12.75" x14ac:dyDescent="0.2">
      <c r="B62179" s="1168"/>
    </row>
    <row r="62180" spans="2:2" s="221" customFormat="1" ht="12.75" x14ac:dyDescent="0.2">
      <c r="B62180" s="1168"/>
    </row>
    <row r="62181" spans="2:2" s="221" customFormat="1" ht="12.75" x14ac:dyDescent="0.2">
      <c r="B62181" s="1168"/>
    </row>
    <row r="62182" spans="2:2" s="221" customFormat="1" ht="12.75" x14ac:dyDescent="0.2">
      <c r="B62182" s="1168"/>
    </row>
    <row r="62183" spans="2:2" s="221" customFormat="1" ht="12.75" x14ac:dyDescent="0.2">
      <c r="B62183" s="1168"/>
    </row>
    <row r="62184" spans="2:2" s="221" customFormat="1" ht="12.75" x14ac:dyDescent="0.2">
      <c r="B62184" s="1168"/>
    </row>
    <row r="62185" spans="2:2" s="221" customFormat="1" ht="12.75" x14ac:dyDescent="0.2">
      <c r="B62185" s="1168"/>
    </row>
    <row r="62186" spans="2:2" s="221" customFormat="1" ht="12.75" x14ac:dyDescent="0.2">
      <c r="B62186" s="1168"/>
    </row>
    <row r="62187" spans="2:2" s="221" customFormat="1" ht="12.75" x14ac:dyDescent="0.2">
      <c r="B62187" s="1168"/>
    </row>
    <row r="62188" spans="2:2" s="221" customFormat="1" ht="12.75" x14ac:dyDescent="0.2">
      <c r="B62188" s="1168"/>
    </row>
    <row r="62189" spans="2:2" s="221" customFormat="1" ht="12.75" x14ac:dyDescent="0.2">
      <c r="B62189" s="1168"/>
    </row>
    <row r="62190" spans="2:2" s="221" customFormat="1" ht="12.75" x14ac:dyDescent="0.2">
      <c r="B62190" s="1168"/>
    </row>
    <row r="62191" spans="2:2" s="221" customFormat="1" ht="12.75" x14ac:dyDescent="0.2">
      <c r="B62191" s="1168"/>
    </row>
    <row r="62192" spans="2:2" s="221" customFormat="1" ht="12.75" x14ac:dyDescent="0.2">
      <c r="B62192" s="1168"/>
    </row>
    <row r="62193" spans="2:2" s="221" customFormat="1" ht="12.75" x14ac:dyDescent="0.2">
      <c r="B62193" s="1168"/>
    </row>
    <row r="62194" spans="2:2" s="221" customFormat="1" ht="12.75" x14ac:dyDescent="0.2">
      <c r="B62194" s="1168"/>
    </row>
    <row r="62195" spans="2:2" s="221" customFormat="1" ht="12.75" x14ac:dyDescent="0.2">
      <c r="B62195" s="1168"/>
    </row>
    <row r="62196" spans="2:2" s="221" customFormat="1" ht="12.75" x14ac:dyDescent="0.2">
      <c r="B62196" s="1168"/>
    </row>
    <row r="62197" spans="2:2" s="221" customFormat="1" ht="12.75" x14ac:dyDescent="0.2">
      <c r="B62197" s="1168"/>
    </row>
    <row r="62198" spans="2:2" s="221" customFormat="1" ht="12.75" x14ac:dyDescent="0.2">
      <c r="B62198" s="1168"/>
    </row>
    <row r="62199" spans="2:2" s="221" customFormat="1" ht="12.75" x14ac:dyDescent="0.2">
      <c r="B62199" s="1168"/>
    </row>
    <row r="62200" spans="2:2" s="221" customFormat="1" ht="12.75" x14ac:dyDescent="0.2">
      <c r="B62200" s="1168"/>
    </row>
    <row r="62201" spans="2:2" s="221" customFormat="1" ht="12.75" x14ac:dyDescent="0.2">
      <c r="B62201" s="1168"/>
    </row>
    <row r="62202" spans="2:2" s="221" customFormat="1" ht="12.75" x14ac:dyDescent="0.2">
      <c r="B62202" s="1168"/>
    </row>
    <row r="62203" spans="2:2" s="221" customFormat="1" ht="12.75" x14ac:dyDescent="0.2">
      <c r="B62203" s="1168"/>
    </row>
    <row r="62204" spans="2:2" s="221" customFormat="1" ht="12.75" x14ac:dyDescent="0.2">
      <c r="B62204" s="1168"/>
    </row>
    <row r="62205" spans="2:2" s="221" customFormat="1" ht="12.75" x14ac:dyDescent="0.2">
      <c r="B62205" s="1168"/>
    </row>
    <row r="62206" spans="2:2" s="221" customFormat="1" ht="12.75" x14ac:dyDescent="0.2">
      <c r="B62206" s="1168"/>
    </row>
    <row r="62207" spans="2:2" s="221" customFormat="1" ht="12.75" x14ac:dyDescent="0.2">
      <c r="B62207" s="1168"/>
    </row>
    <row r="62208" spans="2:2" s="221" customFormat="1" ht="12.75" x14ac:dyDescent="0.2">
      <c r="B62208" s="1168"/>
    </row>
    <row r="62209" spans="2:2" s="221" customFormat="1" ht="12.75" x14ac:dyDescent="0.2">
      <c r="B62209" s="1168"/>
    </row>
    <row r="62210" spans="2:2" s="221" customFormat="1" ht="12.75" x14ac:dyDescent="0.2">
      <c r="B62210" s="1168"/>
    </row>
    <row r="62211" spans="2:2" s="221" customFormat="1" ht="12.75" x14ac:dyDescent="0.2">
      <c r="B62211" s="1168"/>
    </row>
    <row r="62212" spans="2:2" s="221" customFormat="1" ht="12.75" x14ac:dyDescent="0.2">
      <c r="B62212" s="1168"/>
    </row>
    <row r="62213" spans="2:2" s="221" customFormat="1" ht="12.75" x14ac:dyDescent="0.2">
      <c r="B62213" s="1168"/>
    </row>
    <row r="62214" spans="2:2" s="221" customFormat="1" ht="12.75" x14ac:dyDescent="0.2">
      <c r="B62214" s="1168"/>
    </row>
    <row r="62215" spans="2:2" s="221" customFormat="1" ht="12.75" x14ac:dyDescent="0.2">
      <c r="B62215" s="1168"/>
    </row>
    <row r="62216" spans="2:2" s="221" customFormat="1" ht="12.75" x14ac:dyDescent="0.2">
      <c r="B62216" s="1168"/>
    </row>
    <row r="62217" spans="2:2" s="221" customFormat="1" ht="12.75" x14ac:dyDescent="0.2">
      <c r="B62217" s="1168"/>
    </row>
    <row r="62218" spans="2:2" s="221" customFormat="1" ht="12.75" x14ac:dyDescent="0.2">
      <c r="B62218" s="1168"/>
    </row>
    <row r="62219" spans="2:2" s="221" customFormat="1" ht="12.75" x14ac:dyDescent="0.2">
      <c r="B62219" s="1168"/>
    </row>
    <row r="62220" spans="2:2" s="221" customFormat="1" ht="12.75" x14ac:dyDescent="0.2">
      <c r="B62220" s="1168"/>
    </row>
    <row r="62221" spans="2:2" s="221" customFormat="1" ht="12.75" x14ac:dyDescent="0.2">
      <c r="B62221" s="1168"/>
    </row>
    <row r="62222" spans="2:2" s="221" customFormat="1" ht="12.75" x14ac:dyDescent="0.2">
      <c r="B62222" s="1168"/>
    </row>
    <row r="62223" spans="2:2" s="221" customFormat="1" ht="12.75" x14ac:dyDescent="0.2">
      <c r="B62223" s="1168"/>
    </row>
    <row r="62224" spans="2:2" s="221" customFormat="1" ht="12.75" x14ac:dyDescent="0.2">
      <c r="B62224" s="1168"/>
    </row>
    <row r="62225" spans="2:2" s="221" customFormat="1" ht="12.75" x14ac:dyDescent="0.2">
      <c r="B62225" s="1168"/>
    </row>
    <row r="62226" spans="2:2" s="221" customFormat="1" ht="12.75" x14ac:dyDescent="0.2">
      <c r="B62226" s="1168"/>
    </row>
    <row r="62227" spans="2:2" s="221" customFormat="1" ht="12.75" x14ac:dyDescent="0.2">
      <c r="B62227" s="1168"/>
    </row>
    <row r="62228" spans="2:2" s="221" customFormat="1" ht="12.75" x14ac:dyDescent="0.2">
      <c r="B62228" s="1168"/>
    </row>
    <row r="62229" spans="2:2" s="221" customFormat="1" ht="12.75" x14ac:dyDescent="0.2">
      <c r="B62229" s="1168"/>
    </row>
    <row r="62230" spans="2:2" s="221" customFormat="1" ht="12.75" x14ac:dyDescent="0.2">
      <c r="B62230" s="1168"/>
    </row>
    <row r="62231" spans="2:2" s="221" customFormat="1" ht="12.75" x14ac:dyDescent="0.2">
      <c r="B62231" s="1168"/>
    </row>
    <row r="62232" spans="2:2" s="221" customFormat="1" ht="12.75" x14ac:dyDescent="0.2">
      <c r="B62232" s="1168"/>
    </row>
    <row r="62233" spans="2:2" s="221" customFormat="1" ht="12.75" x14ac:dyDescent="0.2">
      <c r="B62233" s="1168"/>
    </row>
    <row r="62234" spans="2:2" s="221" customFormat="1" ht="12.75" x14ac:dyDescent="0.2">
      <c r="B62234" s="1168"/>
    </row>
    <row r="62235" spans="2:2" s="221" customFormat="1" ht="12.75" x14ac:dyDescent="0.2">
      <c r="B62235" s="1168"/>
    </row>
    <row r="62236" spans="2:2" s="221" customFormat="1" ht="12.75" x14ac:dyDescent="0.2">
      <c r="B62236" s="1168"/>
    </row>
    <row r="62237" spans="2:2" s="221" customFormat="1" ht="12.75" x14ac:dyDescent="0.2">
      <c r="B62237" s="1168"/>
    </row>
    <row r="62238" spans="2:2" s="221" customFormat="1" ht="12.75" x14ac:dyDescent="0.2">
      <c r="B62238" s="1168"/>
    </row>
    <row r="62239" spans="2:2" s="221" customFormat="1" ht="12.75" x14ac:dyDescent="0.2">
      <c r="B62239" s="1168"/>
    </row>
    <row r="62240" spans="2:2" s="221" customFormat="1" ht="12.75" x14ac:dyDescent="0.2">
      <c r="B62240" s="1168"/>
    </row>
    <row r="62241" spans="2:2" s="221" customFormat="1" ht="12.75" x14ac:dyDescent="0.2">
      <c r="B62241" s="1168"/>
    </row>
    <row r="62242" spans="2:2" s="221" customFormat="1" ht="12.75" x14ac:dyDescent="0.2">
      <c r="B62242" s="1168"/>
    </row>
    <row r="62243" spans="2:2" s="221" customFormat="1" ht="12.75" x14ac:dyDescent="0.2">
      <c r="B62243" s="1168"/>
    </row>
    <row r="62244" spans="2:2" s="221" customFormat="1" ht="12.75" x14ac:dyDescent="0.2">
      <c r="B62244" s="1168"/>
    </row>
    <row r="62245" spans="2:2" s="221" customFormat="1" ht="12.75" x14ac:dyDescent="0.2">
      <c r="B62245" s="1168"/>
    </row>
    <row r="62246" spans="2:2" s="221" customFormat="1" ht="12.75" x14ac:dyDescent="0.2">
      <c r="B62246" s="1168"/>
    </row>
    <row r="62247" spans="2:2" s="221" customFormat="1" ht="12.75" x14ac:dyDescent="0.2">
      <c r="B62247" s="1168"/>
    </row>
    <row r="62248" spans="2:2" s="221" customFormat="1" ht="12.75" x14ac:dyDescent="0.2">
      <c r="B62248" s="1168"/>
    </row>
    <row r="62249" spans="2:2" s="221" customFormat="1" ht="12.75" x14ac:dyDescent="0.2">
      <c r="B62249" s="1168"/>
    </row>
    <row r="62250" spans="2:2" s="221" customFormat="1" ht="12.75" x14ac:dyDescent="0.2">
      <c r="B62250" s="1168"/>
    </row>
    <row r="62251" spans="2:2" s="221" customFormat="1" ht="12.75" x14ac:dyDescent="0.2">
      <c r="B62251" s="1168"/>
    </row>
    <row r="62252" spans="2:2" s="221" customFormat="1" ht="12.75" x14ac:dyDescent="0.2">
      <c r="B62252" s="1168"/>
    </row>
    <row r="62253" spans="2:2" s="221" customFormat="1" ht="12.75" x14ac:dyDescent="0.2">
      <c r="B62253" s="1168"/>
    </row>
    <row r="62254" spans="2:2" s="221" customFormat="1" ht="12.75" x14ac:dyDescent="0.2">
      <c r="B62254" s="1168"/>
    </row>
    <row r="62255" spans="2:2" s="221" customFormat="1" ht="12.75" x14ac:dyDescent="0.2">
      <c r="B62255" s="1168"/>
    </row>
    <row r="62256" spans="2:2" s="221" customFormat="1" ht="12.75" x14ac:dyDescent="0.2">
      <c r="B62256" s="1168"/>
    </row>
    <row r="62257" spans="2:2" s="221" customFormat="1" ht="12.75" x14ac:dyDescent="0.2">
      <c r="B62257" s="1168"/>
    </row>
    <row r="62258" spans="2:2" s="221" customFormat="1" ht="12.75" x14ac:dyDescent="0.2">
      <c r="B62258" s="1168"/>
    </row>
    <row r="62259" spans="2:2" s="221" customFormat="1" ht="12.75" x14ac:dyDescent="0.2">
      <c r="B62259" s="1168"/>
    </row>
    <row r="62260" spans="2:2" s="221" customFormat="1" ht="12.75" x14ac:dyDescent="0.2">
      <c r="B62260" s="1168"/>
    </row>
    <row r="62261" spans="2:2" s="221" customFormat="1" ht="12.75" x14ac:dyDescent="0.2">
      <c r="B62261" s="1168"/>
    </row>
    <row r="62262" spans="2:2" s="221" customFormat="1" ht="12.75" x14ac:dyDescent="0.2">
      <c r="B62262" s="1168"/>
    </row>
    <row r="62263" spans="2:2" s="221" customFormat="1" ht="12.75" x14ac:dyDescent="0.2">
      <c r="B62263" s="1168"/>
    </row>
    <row r="62264" spans="2:2" s="221" customFormat="1" ht="12.75" x14ac:dyDescent="0.2">
      <c r="B62264" s="1168"/>
    </row>
    <row r="62265" spans="2:2" s="221" customFormat="1" ht="12.75" x14ac:dyDescent="0.2">
      <c r="B62265" s="1168"/>
    </row>
    <row r="62266" spans="2:2" s="221" customFormat="1" ht="12.75" x14ac:dyDescent="0.2">
      <c r="B62266" s="1168"/>
    </row>
    <row r="62267" spans="2:2" s="221" customFormat="1" ht="12.75" x14ac:dyDescent="0.2">
      <c r="B62267" s="1168"/>
    </row>
    <row r="62268" spans="2:2" s="221" customFormat="1" ht="12.75" x14ac:dyDescent="0.2">
      <c r="B62268" s="1168"/>
    </row>
    <row r="62269" spans="2:2" s="221" customFormat="1" ht="12.75" x14ac:dyDescent="0.2">
      <c r="B62269" s="1168"/>
    </row>
    <row r="62270" spans="2:2" s="221" customFormat="1" ht="12.75" x14ac:dyDescent="0.2">
      <c r="B62270" s="1168"/>
    </row>
    <row r="62271" spans="2:2" s="221" customFormat="1" ht="12.75" x14ac:dyDescent="0.2">
      <c r="B62271" s="1168"/>
    </row>
    <row r="62272" spans="2:2" s="221" customFormat="1" ht="12.75" x14ac:dyDescent="0.2">
      <c r="B62272" s="1168"/>
    </row>
    <row r="62273" spans="2:2" s="221" customFormat="1" ht="12.75" x14ac:dyDescent="0.2">
      <c r="B62273" s="1168"/>
    </row>
    <row r="62274" spans="2:2" s="221" customFormat="1" ht="12.75" x14ac:dyDescent="0.2">
      <c r="B62274" s="1168"/>
    </row>
    <row r="62275" spans="2:2" s="221" customFormat="1" ht="12.75" x14ac:dyDescent="0.2">
      <c r="B62275" s="1168"/>
    </row>
    <row r="62276" spans="2:2" s="221" customFormat="1" ht="12.75" x14ac:dyDescent="0.2">
      <c r="B62276" s="1168"/>
    </row>
    <row r="62277" spans="2:2" s="221" customFormat="1" ht="12.75" x14ac:dyDescent="0.2">
      <c r="B62277" s="1168"/>
    </row>
    <row r="62278" spans="2:2" s="221" customFormat="1" ht="12.75" x14ac:dyDescent="0.2">
      <c r="B62278" s="1168"/>
    </row>
    <row r="62279" spans="2:2" s="221" customFormat="1" ht="12.75" x14ac:dyDescent="0.2">
      <c r="B62279" s="1168"/>
    </row>
    <row r="62280" spans="2:2" s="221" customFormat="1" ht="12.75" x14ac:dyDescent="0.2">
      <c r="B62280" s="1168"/>
    </row>
    <row r="62281" spans="2:2" s="221" customFormat="1" ht="12.75" x14ac:dyDescent="0.2">
      <c r="B62281" s="1168"/>
    </row>
    <row r="62282" spans="2:2" s="221" customFormat="1" ht="12.75" x14ac:dyDescent="0.2">
      <c r="B62282" s="1168"/>
    </row>
    <row r="62283" spans="2:2" s="221" customFormat="1" ht="12.75" x14ac:dyDescent="0.2">
      <c r="B62283" s="1168"/>
    </row>
    <row r="62284" spans="2:2" s="221" customFormat="1" ht="12.75" x14ac:dyDescent="0.2">
      <c r="B62284" s="1168"/>
    </row>
    <row r="62285" spans="2:2" s="221" customFormat="1" ht="12.75" x14ac:dyDescent="0.2">
      <c r="B62285" s="1168"/>
    </row>
    <row r="62286" spans="2:2" s="221" customFormat="1" ht="12.75" x14ac:dyDescent="0.2">
      <c r="B62286" s="1168"/>
    </row>
    <row r="62287" spans="2:2" s="221" customFormat="1" ht="12.75" x14ac:dyDescent="0.2">
      <c r="B62287" s="1168"/>
    </row>
    <row r="62288" spans="2:2" s="221" customFormat="1" ht="12.75" x14ac:dyDescent="0.2">
      <c r="B62288" s="1168"/>
    </row>
    <row r="62289" spans="2:2" s="221" customFormat="1" ht="12.75" x14ac:dyDescent="0.2">
      <c r="B62289" s="1168"/>
    </row>
    <row r="62290" spans="2:2" s="221" customFormat="1" ht="12.75" x14ac:dyDescent="0.2">
      <c r="B62290" s="1168"/>
    </row>
    <row r="62291" spans="2:2" s="221" customFormat="1" ht="12.75" x14ac:dyDescent="0.2">
      <c r="B62291" s="1168"/>
    </row>
    <row r="62292" spans="2:2" s="221" customFormat="1" ht="12.75" x14ac:dyDescent="0.2">
      <c r="B62292" s="1168"/>
    </row>
    <row r="62293" spans="2:2" s="221" customFormat="1" ht="12.75" x14ac:dyDescent="0.2">
      <c r="B62293" s="1168"/>
    </row>
    <row r="62294" spans="2:2" s="221" customFormat="1" ht="12.75" x14ac:dyDescent="0.2">
      <c r="B62294" s="1168"/>
    </row>
    <row r="62295" spans="2:2" s="221" customFormat="1" ht="12.75" x14ac:dyDescent="0.2">
      <c r="B62295" s="1168"/>
    </row>
    <row r="62296" spans="2:2" s="221" customFormat="1" ht="12.75" x14ac:dyDescent="0.2">
      <c r="B62296" s="1168"/>
    </row>
    <row r="62297" spans="2:2" s="221" customFormat="1" ht="12.75" x14ac:dyDescent="0.2">
      <c r="B62297" s="1168"/>
    </row>
    <row r="62298" spans="2:2" s="221" customFormat="1" ht="12.75" x14ac:dyDescent="0.2">
      <c r="B62298" s="1168"/>
    </row>
    <row r="62299" spans="2:2" s="221" customFormat="1" ht="12.75" x14ac:dyDescent="0.2">
      <c r="B62299" s="1168"/>
    </row>
    <row r="62300" spans="2:2" s="221" customFormat="1" ht="12.75" x14ac:dyDescent="0.2">
      <c r="B62300" s="1168"/>
    </row>
    <row r="62301" spans="2:2" s="221" customFormat="1" ht="12.75" x14ac:dyDescent="0.2">
      <c r="B62301" s="1168"/>
    </row>
    <row r="62302" spans="2:2" s="221" customFormat="1" ht="12.75" x14ac:dyDescent="0.2">
      <c r="B62302" s="1168"/>
    </row>
    <row r="62303" spans="2:2" s="221" customFormat="1" ht="12.75" x14ac:dyDescent="0.2">
      <c r="B62303" s="1168"/>
    </row>
    <row r="62304" spans="2:2" s="221" customFormat="1" ht="12.75" x14ac:dyDescent="0.2">
      <c r="B62304" s="1168"/>
    </row>
    <row r="62305" spans="2:2" s="221" customFormat="1" ht="12.75" x14ac:dyDescent="0.2">
      <c r="B62305" s="1168"/>
    </row>
    <row r="62306" spans="2:2" s="221" customFormat="1" ht="12.75" x14ac:dyDescent="0.2">
      <c r="B62306" s="1168"/>
    </row>
    <row r="62307" spans="2:2" s="221" customFormat="1" ht="12.75" x14ac:dyDescent="0.2">
      <c r="B62307" s="1168"/>
    </row>
    <row r="62308" spans="2:2" s="221" customFormat="1" ht="12.75" x14ac:dyDescent="0.2">
      <c r="B62308" s="1168"/>
    </row>
    <row r="62309" spans="2:2" s="221" customFormat="1" ht="12.75" x14ac:dyDescent="0.2">
      <c r="B62309" s="1168"/>
    </row>
    <row r="62310" spans="2:2" s="221" customFormat="1" ht="12.75" x14ac:dyDescent="0.2">
      <c r="B62310" s="1168"/>
    </row>
    <row r="62311" spans="2:2" s="221" customFormat="1" ht="12.75" x14ac:dyDescent="0.2">
      <c r="B62311" s="1168"/>
    </row>
    <row r="62312" spans="2:2" s="221" customFormat="1" ht="12.75" x14ac:dyDescent="0.2">
      <c r="B62312" s="1168"/>
    </row>
    <row r="62313" spans="2:2" s="221" customFormat="1" ht="12.75" x14ac:dyDescent="0.2">
      <c r="B62313" s="1168"/>
    </row>
    <row r="62314" spans="2:2" s="221" customFormat="1" ht="12.75" x14ac:dyDescent="0.2">
      <c r="B62314" s="1168"/>
    </row>
    <row r="62315" spans="2:2" s="221" customFormat="1" ht="12.75" x14ac:dyDescent="0.2">
      <c r="B62315" s="1168"/>
    </row>
    <row r="62316" spans="2:2" s="221" customFormat="1" ht="12.75" x14ac:dyDescent="0.2">
      <c r="B62316" s="1168"/>
    </row>
    <row r="62317" spans="2:2" s="221" customFormat="1" ht="12.75" x14ac:dyDescent="0.2">
      <c r="B62317" s="1168"/>
    </row>
    <row r="62318" spans="2:2" s="221" customFormat="1" ht="12.75" x14ac:dyDescent="0.2">
      <c r="B62318" s="1168"/>
    </row>
    <row r="62319" spans="2:2" s="221" customFormat="1" ht="12.75" x14ac:dyDescent="0.2">
      <c r="B62319" s="1168"/>
    </row>
    <row r="62320" spans="2:2" s="221" customFormat="1" ht="12.75" x14ac:dyDescent="0.2">
      <c r="B62320" s="1168"/>
    </row>
    <row r="62321" spans="2:2" s="221" customFormat="1" ht="12.75" x14ac:dyDescent="0.2">
      <c r="B62321" s="1168"/>
    </row>
    <row r="62322" spans="2:2" s="221" customFormat="1" ht="12.75" x14ac:dyDescent="0.2">
      <c r="B62322" s="1168"/>
    </row>
    <row r="62323" spans="2:2" s="221" customFormat="1" ht="12.75" x14ac:dyDescent="0.2">
      <c r="B62323" s="1168"/>
    </row>
    <row r="62324" spans="2:2" s="221" customFormat="1" ht="12.75" x14ac:dyDescent="0.2">
      <c r="B62324" s="1168"/>
    </row>
    <row r="62325" spans="2:2" s="221" customFormat="1" ht="12.75" x14ac:dyDescent="0.2">
      <c r="B62325" s="1168"/>
    </row>
    <row r="62326" spans="2:2" s="221" customFormat="1" ht="12.75" x14ac:dyDescent="0.2">
      <c r="B62326" s="1168"/>
    </row>
    <row r="62327" spans="2:2" s="221" customFormat="1" ht="12.75" x14ac:dyDescent="0.2">
      <c r="B62327" s="1168"/>
    </row>
    <row r="62328" spans="2:2" s="221" customFormat="1" ht="12.75" x14ac:dyDescent="0.2">
      <c r="B62328" s="1168"/>
    </row>
    <row r="62329" spans="2:2" s="221" customFormat="1" ht="12.75" x14ac:dyDescent="0.2">
      <c r="B62329" s="1168"/>
    </row>
    <row r="62330" spans="2:2" s="221" customFormat="1" ht="12.75" x14ac:dyDescent="0.2">
      <c r="B62330" s="1168"/>
    </row>
    <row r="62331" spans="2:2" s="221" customFormat="1" ht="12.75" x14ac:dyDescent="0.2">
      <c r="B62331" s="1168"/>
    </row>
    <row r="62332" spans="2:2" s="221" customFormat="1" ht="12.75" x14ac:dyDescent="0.2">
      <c r="B62332" s="1168"/>
    </row>
    <row r="62333" spans="2:2" s="221" customFormat="1" ht="12.75" x14ac:dyDescent="0.2">
      <c r="B62333" s="1168"/>
    </row>
    <row r="62334" spans="2:2" s="221" customFormat="1" ht="12.75" x14ac:dyDescent="0.2">
      <c r="B62334" s="1168"/>
    </row>
    <row r="62335" spans="2:2" s="221" customFormat="1" ht="12.75" x14ac:dyDescent="0.2">
      <c r="B62335" s="1168"/>
    </row>
    <row r="62336" spans="2:2" s="221" customFormat="1" ht="12.75" x14ac:dyDescent="0.2">
      <c r="B62336" s="1168"/>
    </row>
    <row r="62337" spans="2:2" s="221" customFormat="1" ht="12.75" x14ac:dyDescent="0.2">
      <c r="B62337" s="1168"/>
    </row>
    <row r="62338" spans="2:2" s="221" customFormat="1" ht="12.75" x14ac:dyDescent="0.2">
      <c r="B62338" s="1168"/>
    </row>
    <row r="62339" spans="2:2" s="221" customFormat="1" ht="12.75" x14ac:dyDescent="0.2">
      <c r="B62339" s="1168"/>
    </row>
    <row r="62340" spans="2:2" s="221" customFormat="1" ht="12.75" x14ac:dyDescent="0.2">
      <c r="B62340" s="1168"/>
    </row>
    <row r="62341" spans="2:2" s="221" customFormat="1" ht="12.75" x14ac:dyDescent="0.2">
      <c r="B62341" s="1168"/>
    </row>
    <row r="62342" spans="2:2" s="221" customFormat="1" ht="12.75" x14ac:dyDescent="0.2">
      <c r="B62342" s="1168"/>
    </row>
    <row r="62343" spans="2:2" s="221" customFormat="1" ht="12.75" x14ac:dyDescent="0.2">
      <c r="B62343" s="1168"/>
    </row>
    <row r="62344" spans="2:2" s="221" customFormat="1" ht="12.75" x14ac:dyDescent="0.2">
      <c r="B62344" s="1168"/>
    </row>
    <row r="62345" spans="2:2" s="221" customFormat="1" ht="12.75" x14ac:dyDescent="0.2">
      <c r="B62345" s="1168"/>
    </row>
    <row r="62346" spans="2:2" s="221" customFormat="1" ht="12.75" x14ac:dyDescent="0.2">
      <c r="B62346" s="1168"/>
    </row>
    <row r="62347" spans="2:2" s="221" customFormat="1" ht="12.75" x14ac:dyDescent="0.2">
      <c r="B62347" s="1168"/>
    </row>
    <row r="62348" spans="2:2" s="221" customFormat="1" ht="12.75" x14ac:dyDescent="0.2">
      <c r="B62348" s="1168"/>
    </row>
    <row r="62349" spans="2:2" s="221" customFormat="1" ht="12.75" x14ac:dyDescent="0.2">
      <c r="B62349" s="1168"/>
    </row>
    <row r="62350" spans="2:2" s="221" customFormat="1" ht="12.75" x14ac:dyDescent="0.2">
      <c r="B62350" s="1168"/>
    </row>
    <row r="62351" spans="2:2" s="221" customFormat="1" ht="12.75" x14ac:dyDescent="0.2">
      <c r="B62351" s="1168"/>
    </row>
    <row r="62352" spans="2:2" s="221" customFormat="1" ht="12.75" x14ac:dyDescent="0.2">
      <c r="B62352" s="1168"/>
    </row>
    <row r="62353" spans="2:2" s="221" customFormat="1" ht="12.75" x14ac:dyDescent="0.2">
      <c r="B62353" s="1168"/>
    </row>
    <row r="62354" spans="2:2" s="221" customFormat="1" ht="12.75" x14ac:dyDescent="0.2">
      <c r="B62354" s="1168"/>
    </row>
    <row r="62355" spans="2:2" s="221" customFormat="1" ht="12.75" x14ac:dyDescent="0.2">
      <c r="B62355" s="1168"/>
    </row>
    <row r="62356" spans="2:2" s="221" customFormat="1" ht="12.75" x14ac:dyDescent="0.2">
      <c r="B62356" s="1168"/>
    </row>
    <row r="62357" spans="2:2" s="221" customFormat="1" ht="12.75" x14ac:dyDescent="0.2">
      <c r="B62357" s="1168"/>
    </row>
    <row r="62358" spans="2:2" s="221" customFormat="1" ht="12.75" x14ac:dyDescent="0.2">
      <c r="B62358" s="1168"/>
    </row>
    <row r="62359" spans="2:2" s="221" customFormat="1" ht="12.75" x14ac:dyDescent="0.2">
      <c r="B62359" s="1168"/>
    </row>
    <row r="62360" spans="2:2" s="221" customFormat="1" ht="12.75" x14ac:dyDescent="0.2">
      <c r="B62360" s="1168"/>
    </row>
    <row r="62361" spans="2:2" s="221" customFormat="1" ht="12.75" x14ac:dyDescent="0.2">
      <c r="B62361" s="1168"/>
    </row>
    <row r="62362" spans="2:2" s="221" customFormat="1" ht="12.75" x14ac:dyDescent="0.2">
      <c r="B62362" s="1168"/>
    </row>
    <row r="62363" spans="2:2" s="221" customFormat="1" ht="12.75" x14ac:dyDescent="0.2">
      <c r="B62363" s="1168"/>
    </row>
    <row r="62364" spans="2:2" s="221" customFormat="1" ht="12.75" x14ac:dyDescent="0.2">
      <c r="B62364" s="1168"/>
    </row>
    <row r="62365" spans="2:2" s="221" customFormat="1" ht="12.75" x14ac:dyDescent="0.2">
      <c r="B62365" s="1168"/>
    </row>
    <row r="62366" spans="2:2" s="221" customFormat="1" ht="12.75" x14ac:dyDescent="0.2">
      <c r="B62366" s="1168"/>
    </row>
    <row r="62367" spans="2:2" s="221" customFormat="1" ht="12.75" x14ac:dyDescent="0.2">
      <c r="B62367" s="1168"/>
    </row>
    <row r="62368" spans="2:2" s="221" customFormat="1" ht="12.75" x14ac:dyDescent="0.2">
      <c r="B62368" s="1168"/>
    </row>
    <row r="62369" spans="2:2" s="221" customFormat="1" ht="12.75" x14ac:dyDescent="0.2">
      <c r="B62369" s="1168"/>
    </row>
    <row r="62370" spans="2:2" s="221" customFormat="1" ht="12.75" x14ac:dyDescent="0.2">
      <c r="B62370" s="1168"/>
    </row>
    <row r="62371" spans="2:2" s="221" customFormat="1" ht="12.75" x14ac:dyDescent="0.2">
      <c r="B62371" s="1168"/>
    </row>
    <row r="62372" spans="2:2" s="221" customFormat="1" ht="12.75" x14ac:dyDescent="0.2">
      <c r="B62372" s="1168"/>
    </row>
    <row r="62373" spans="2:2" s="221" customFormat="1" ht="12.75" x14ac:dyDescent="0.2">
      <c r="B62373" s="1168"/>
    </row>
    <row r="62374" spans="2:2" s="221" customFormat="1" ht="12.75" x14ac:dyDescent="0.2">
      <c r="B62374" s="1168"/>
    </row>
    <row r="62375" spans="2:2" s="221" customFormat="1" ht="12.75" x14ac:dyDescent="0.2">
      <c r="B62375" s="1168"/>
    </row>
    <row r="62376" spans="2:2" s="221" customFormat="1" ht="12.75" x14ac:dyDescent="0.2">
      <c r="B62376" s="1168"/>
    </row>
    <row r="62377" spans="2:2" s="221" customFormat="1" ht="12.75" x14ac:dyDescent="0.2">
      <c r="B62377" s="1168"/>
    </row>
    <row r="62378" spans="2:2" s="221" customFormat="1" ht="12.75" x14ac:dyDescent="0.2">
      <c r="B62378" s="1168"/>
    </row>
    <row r="62379" spans="2:2" s="221" customFormat="1" ht="12.75" x14ac:dyDescent="0.2">
      <c r="B62379" s="1168"/>
    </row>
    <row r="62380" spans="2:2" s="221" customFormat="1" ht="12.75" x14ac:dyDescent="0.2">
      <c r="B62380" s="1168"/>
    </row>
    <row r="62381" spans="2:2" s="221" customFormat="1" ht="12.75" x14ac:dyDescent="0.2">
      <c r="B62381" s="1168"/>
    </row>
    <row r="62382" spans="2:2" s="221" customFormat="1" ht="12.75" x14ac:dyDescent="0.2">
      <c r="B62382" s="1168"/>
    </row>
    <row r="62383" spans="2:2" s="221" customFormat="1" ht="12.75" x14ac:dyDescent="0.2">
      <c r="B62383" s="1168"/>
    </row>
    <row r="62384" spans="2:2" s="221" customFormat="1" ht="12.75" x14ac:dyDescent="0.2">
      <c r="B62384" s="1168"/>
    </row>
    <row r="62385" spans="2:2" s="221" customFormat="1" ht="12.75" x14ac:dyDescent="0.2">
      <c r="B62385" s="1168"/>
    </row>
    <row r="62386" spans="2:2" s="221" customFormat="1" ht="12.75" x14ac:dyDescent="0.2">
      <c r="B62386" s="1168"/>
    </row>
    <row r="62387" spans="2:2" s="221" customFormat="1" ht="12.75" x14ac:dyDescent="0.2">
      <c r="B62387" s="1168"/>
    </row>
    <row r="62388" spans="2:2" s="221" customFormat="1" ht="12.75" x14ac:dyDescent="0.2">
      <c r="B62388" s="1168"/>
    </row>
    <row r="62389" spans="2:2" s="221" customFormat="1" ht="12.75" x14ac:dyDescent="0.2">
      <c r="B62389" s="1168"/>
    </row>
    <row r="62390" spans="2:2" s="221" customFormat="1" ht="12.75" x14ac:dyDescent="0.2">
      <c r="B62390" s="1168"/>
    </row>
    <row r="62391" spans="2:2" s="221" customFormat="1" ht="12.75" x14ac:dyDescent="0.2">
      <c r="B62391" s="1168"/>
    </row>
    <row r="62392" spans="2:2" s="221" customFormat="1" ht="12.75" x14ac:dyDescent="0.2">
      <c r="B62392" s="1168"/>
    </row>
    <row r="62393" spans="2:2" s="221" customFormat="1" ht="12.75" x14ac:dyDescent="0.2">
      <c r="B62393" s="1168"/>
    </row>
    <row r="62394" spans="2:2" s="221" customFormat="1" ht="12.75" x14ac:dyDescent="0.2">
      <c r="B62394" s="1168"/>
    </row>
    <row r="62395" spans="2:2" s="221" customFormat="1" ht="12.75" x14ac:dyDescent="0.2">
      <c r="B62395" s="1168"/>
    </row>
    <row r="62396" spans="2:2" s="221" customFormat="1" ht="12.75" x14ac:dyDescent="0.2">
      <c r="B62396" s="1168"/>
    </row>
    <row r="62397" spans="2:2" s="221" customFormat="1" ht="12.75" x14ac:dyDescent="0.2">
      <c r="B62397" s="1168"/>
    </row>
    <row r="62398" spans="2:2" s="221" customFormat="1" ht="12.75" x14ac:dyDescent="0.2">
      <c r="B62398" s="1168"/>
    </row>
    <row r="62399" spans="2:2" s="221" customFormat="1" ht="12.75" x14ac:dyDescent="0.2">
      <c r="B62399" s="1168"/>
    </row>
    <row r="62400" spans="2:2" s="221" customFormat="1" ht="12.75" x14ac:dyDescent="0.2">
      <c r="B62400" s="1168"/>
    </row>
    <row r="62401" spans="2:2" s="221" customFormat="1" ht="12.75" x14ac:dyDescent="0.2">
      <c r="B62401" s="1168"/>
    </row>
    <row r="62402" spans="2:2" s="221" customFormat="1" ht="12.75" x14ac:dyDescent="0.2">
      <c r="B62402" s="1168"/>
    </row>
    <row r="62403" spans="2:2" s="221" customFormat="1" ht="12.75" x14ac:dyDescent="0.2">
      <c r="B62403" s="1168"/>
    </row>
    <row r="62404" spans="2:2" s="221" customFormat="1" ht="12.75" x14ac:dyDescent="0.2">
      <c r="B62404" s="1168"/>
    </row>
    <row r="62405" spans="2:2" s="221" customFormat="1" ht="12.75" x14ac:dyDescent="0.2">
      <c r="B62405" s="1168"/>
    </row>
    <row r="62406" spans="2:2" s="221" customFormat="1" ht="12.75" x14ac:dyDescent="0.2">
      <c r="B62406" s="1168"/>
    </row>
    <row r="62407" spans="2:2" s="221" customFormat="1" ht="12.75" x14ac:dyDescent="0.2">
      <c r="B62407" s="1168"/>
    </row>
    <row r="62408" spans="2:2" s="221" customFormat="1" ht="12.75" x14ac:dyDescent="0.2">
      <c r="B62408" s="1168"/>
    </row>
    <row r="62409" spans="2:2" s="221" customFormat="1" ht="12.75" x14ac:dyDescent="0.2">
      <c r="B62409" s="1168"/>
    </row>
    <row r="62410" spans="2:2" s="221" customFormat="1" ht="12.75" x14ac:dyDescent="0.2">
      <c r="B62410" s="1168"/>
    </row>
    <row r="62411" spans="2:2" s="221" customFormat="1" ht="12.75" x14ac:dyDescent="0.2">
      <c r="B62411" s="1168"/>
    </row>
    <row r="62412" spans="2:2" s="221" customFormat="1" ht="12.75" x14ac:dyDescent="0.2">
      <c r="B62412" s="1168"/>
    </row>
    <row r="62413" spans="2:2" s="221" customFormat="1" ht="12.75" x14ac:dyDescent="0.2">
      <c r="B62413" s="1168"/>
    </row>
    <row r="62414" spans="2:2" s="221" customFormat="1" ht="12.75" x14ac:dyDescent="0.2">
      <c r="B62414" s="1168"/>
    </row>
    <row r="62415" spans="2:2" s="221" customFormat="1" ht="12.75" x14ac:dyDescent="0.2">
      <c r="B62415" s="1168"/>
    </row>
    <row r="62416" spans="2:2" s="221" customFormat="1" ht="12.75" x14ac:dyDescent="0.2">
      <c r="B62416" s="1168"/>
    </row>
    <row r="62417" spans="2:2" s="221" customFormat="1" ht="12.75" x14ac:dyDescent="0.2">
      <c r="B62417" s="1168"/>
    </row>
    <row r="62418" spans="2:2" s="221" customFormat="1" ht="12.75" x14ac:dyDescent="0.2">
      <c r="B62418" s="1168"/>
    </row>
    <row r="62419" spans="2:2" s="221" customFormat="1" ht="12.75" x14ac:dyDescent="0.2">
      <c r="B62419" s="1168"/>
    </row>
    <row r="62420" spans="2:2" s="221" customFormat="1" ht="12.75" x14ac:dyDescent="0.2">
      <c r="B62420" s="1168"/>
    </row>
    <row r="62421" spans="2:2" s="221" customFormat="1" ht="12.75" x14ac:dyDescent="0.2">
      <c r="B62421" s="1168"/>
    </row>
    <row r="62422" spans="2:2" s="221" customFormat="1" ht="12.75" x14ac:dyDescent="0.2">
      <c r="B62422" s="1168"/>
    </row>
    <row r="62423" spans="2:2" s="221" customFormat="1" ht="12.75" x14ac:dyDescent="0.2">
      <c r="B62423" s="1168"/>
    </row>
    <row r="62424" spans="2:2" s="221" customFormat="1" ht="12.75" x14ac:dyDescent="0.2">
      <c r="B62424" s="1168"/>
    </row>
    <row r="62425" spans="2:2" s="221" customFormat="1" ht="12.75" x14ac:dyDescent="0.2">
      <c r="B62425" s="1168"/>
    </row>
    <row r="62426" spans="2:2" s="221" customFormat="1" ht="12.75" x14ac:dyDescent="0.2">
      <c r="B62426" s="1168"/>
    </row>
    <row r="62427" spans="2:2" s="221" customFormat="1" ht="12.75" x14ac:dyDescent="0.2">
      <c r="B62427" s="1168"/>
    </row>
    <row r="62428" spans="2:2" s="221" customFormat="1" ht="12.75" x14ac:dyDescent="0.2">
      <c r="B62428" s="1168"/>
    </row>
    <row r="62429" spans="2:2" s="221" customFormat="1" ht="12.75" x14ac:dyDescent="0.2">
      <c r="B62429" s="1168"/>
    </row>
    <row r="62430" spans="2:2" s="221" customFormat="1" ht="12.75" x14ac:dyDescent="0.2">
      <c r="B62430" s="1168"/>
    </row>
    <row r="62431" spans="2:2" s="221" customFormat="1" ht="12.75" x14ac:dyDescent="0.2">
      <c r="B62431" s="1168"/>
    </row>
    <row r="62432" spans="2:2" s="221" customFormat="1" ht="12.75" x14ac:dyDescent="0.2">
      <c r="B62432" s="1168"/>
    </row>
    <row r="62433" spans="2:2" s="221" customFormat="1" ht="12.75" x14ac:dyDescent="0.2">
      <c r="B62433" s="1168"/>
    </row>
    <row r="62434" spans="2:2" s="221" customFormat="1" ht="12.75" x14ac:dyDescent="0.2">
      <c r="B62434" s="1168"/>
    </row>
    <row r="62435" spans="2:2" s="221" customFormat="1" ht="12.75" x14ac:dyDescent="0.2">
      <c r="B62435" s="1168"/>
    </row>
    <row r="62436" spans="2:2" s="221" customFormat="1" ht="12.75" x14ac:dyDescent="0.2">
      <c r="B62436" s="1168"/>
    </row>
    <row r="62437" spans="2:2" s="221" customFormat="1" ht="12.75" x14ac:dyDescent="0.2">
      <c r="B62437" s="1168"/>
    </row>
    <row r="62438" spans="2:2" s="221" customFormat="1" ht="12.75" x14ac:dyDescent="0.2">
      <c r="B62438" s="1168"/>
    </row>
    <row r="62439" spans="2:2" s="221" customFormat="1" ht="12.75" x14ac:dyDescent="0.2">
      <c r="B62439" s="1168"/>
    </row>
    <row r="62440" spans="2:2" s="221" customFormat="1" ht="12.75" x14ac:dyDescent="0.2">
      <c r="B62440" s="1168"/>
    </row>
    <row r="62441" spans="2:2" s="221" customFormat="1" ht="12.75" x14ac:dyDescent="0.2">
      <c r="B62441" s="1168"/>
    </row>
    <row r="62442" spans="2:2" s="221" customFormat="1" ht="12.75" x14ac:dyDescent="0.2">
      <c r="B62442" s="1168"/>
    </row>
    <row r="62443" spans="2:2" s="221" customFormat="1" ht="12.75" x14ac:dyDescent="0.2">
      <c r="B62443" s="1168"/>
    </row>
    <row r="62444" spans="2:2" s="221" customFormat="1" ht="12.75" x14ac:dyDescent="0.2">
      <c r="B62444" s="1168"/>
    </row>
    <row r="62445" spans="2:2" s="221" customFormat="1" ht="12.75" x14ac:dyDescent="0.2">
      <c r="B62445" s="1168"/>
    </row>
    <row r="62446" spans="2:2" s="221" customFormat="1" ht="12.75" x14ac:dyDescent="0.2">
      <c r="B62446" s="1168"/>
    </row>
    <row r="62447" spans="2:2" s="221" customFormat="1" ht="12.75" x14ac:dyDescent="0.2">
      <c r="B62447" s="1168"/>
    </row>
    <row r="62448" spans="2:2" s="221" customFormat="1" ht="12.75" x14ac:dyDescent="0.2">
      <c r="B62448" s="1168"/>
    </row>
    <row r="62449" spans="2:2" s="221" customFormat="1" ht="12.75" x14ac:dyDescent="0.2">
      <c r="B62449" s="1168"/>
    </row>
    <row r="62450" spans="2:2" s="221" customFormat="1" ht="12.75" x14ac:dyDescent="0.2">
      <c r="B62450" s="1168"/>
    </row>
    <row r="62451" spans="2:2" s="221" customFormat="1" ht="12.75" x14ac:dyDescent="0.2">
      <c r="B62451" s="1168"/>
    </row>
    <row r="62452" spans="2:2" s="221" customFormat="1" ht="12.75" x14ac:dyDescent="0.2">
      <c r="B62452" s="1168"/>
    </row>
    <row r="62453" spans="2:2" s="221" customFormat="1" ht="12.75" x14ac:dyDescent="0.2">
      <c r="B62453" s="1168"/>
    </row>
    <row r="62454" spans="2:2" s="221" customFormat="1" ht="12.75" x14ac:dyDescent="0.2">
      <c r="B62454" s="1168"/>
    </row>
    <row r="62455" spans="2:2" s="221" customFormat="1" ht="12.75" x14ac:dyDescent="0.2">
      <c r="B62455" s="1168"/>
    </row>
    <row r="62456" spans="2:2" s="221" customFormat="1" ht="12.75" x14ac:dyDescent="0.2">
      <c r="B62456" s="1168"/>
    </row>
    <row r="62457" spans="2:2" s="221" customFormat="1" ht="12.75" x14ac:dyDescent="0.2">
      <c r="B62457" s="1168"/>
    </row>
    <row r="62458" spans="2:2" s="221" customFormat="1" ht="12.75" x14ac:dyDescent="0.2">
      <c r="B62458" s="1168"/>
    </row>
    <row r="62459" spans="2:2" s="221" customFormat="1" ht="12.75" x14ac:dyDescent="0.2">
      <c r="B62459" s="1168"/>
    </row>
    <row r="62460" spans="2:2" s="221" customFormat="1" ht="12.75" x14ac:dyDescent="0.2">
      <c r="B62460" s="1168"/>
    </row>
    <row r="62461" spans="2:2" s="221" customFormat="1" ht="12.75" x14ac:dyDescent="0.2">
      <c r="B62461" s="1168"/>
    </row>
    <row r="62462" spans="2:2" s="221" customFormat="1" ht="12.75" x14ac:dyDescent="0.2">
      <c r="B62462" s="1168"/>
    </row>
    <row r="62463" spans="2:2" s="221" customFormat="1" ht="12.75" x14ac:dyDescent="0.2">
      <c r="B62463" s="1168"/>
    </row>
    <row r="62464" spans="2:2" s="221" customFormat="1" ht="12.75" x14ac:dyDescent="0.2">
      <c r="B62464" s="1168"/>
    </row>
    <row r="62465" spans="2:2" s="221" customFormat="1" ht="12.75" x14ac:dyDescent="0.2">
      <c r="B62465" s="1168"/>
    </row>
    <row r="62466" spans="2:2" s="221" customFormat="1" ht="12.75" x14ac:dyDescent="0.2">
      <c r="B62466" s="1168"/>
    </row>
    <row r="62467" spans="2:2" s="221" customFormat="1" ht="12.75" x14ac:dyDescent="0.2">
      <c r="B62467" s="1168"/>
    </row>
    <row r="62468" spans="2:2" s="221" customFormat="1" ht="12.75" x14ac:dyDescent="0.2">
      <c r="B62468" s="1168"/>
    </row>
    <row r="62469" spans="2:2" s="221" customFormat="1" ht="12.75" x14ac:dyDescent="0.2">
      <c r="B62469" s="1168"/>
    </row>
    <row r="62470" spans="2:2" s="221" customFormat="1" ht="12.75" x14ac:dyDescent="0.2">
      <c r="B62470" s="1168"/>
    </row>
    <row r="62471" spans="2:2" s="221" customFormat="1" ht="12.75" x14ac:dyDescent="0.2">
      <c r="B62471" s="1168"/>
    </row>
    <row r="62472" spans="2:2" s="221" customFormat="1" ht="12.75" x14ac:dyDescent="0.2">
      <c r="B62472" s="1168"/>
    </row>
    <row r="62473" spans="2:2" s="221" customFormat="1" ht="12.75" x14ac:dyDescent="0.2">
      <c r="B62473" s="1168"/>
    </row>
    <row r="62474" spans="2:2" s="221" customFormat="1" ht="12.75" x14ac:dyDescent="0.2">
      <c r="B62474" s="1168"/>
    </row>
    <row r="62475" spans="2:2" s="221" customFormat="1" ht="12.75" x14ac:dyDescent="0.2">
      <c r="B62475" s="1168"/>
    </row>
    <row r="62476" spans="2:2" s="221" customFormat="1" ht="12.75" x14ac:dyDescent="0.2">
      <c r="B62476" s="1168"/>
    </row>
    <row r="62477" spans="2:2" s="221" customFormat="1" ht="12.75" x14ac:dyDescent="0.2">
      <c r="B62477" s="1168"/>
    </row>
    <row r="62478" spans="2:2" s="221" customFormat="1" ht="12.75" x14ac:dyDescent="0.2">
      <c r="B62478" s="1168"/>
    </row>
    <row r="62479" spans="2:2" s="221" customFormat="1" ht="12.75" x14ac:dyDescent="0.2">
      <c r="B62479" s="1168"/>
    </row>
    <row r="62480" spans="2:2" s="221" customFormat="1" ht="12.75" x14ac:dyDescent="0.2">
      <c r="B62480" s="1168"/>
    </row>
    <row r="62481" spans="2:2" s="221" customFormat="1" ht="12.75" x14ac:dyDescent="0.2">
      <c r="B62481" s="1168"/>
    </row>
    <row r="62482" spans="2:2" s="221" customFormat="1" ht="12.75" x14ac:dyDescent="0.2">
      <c r="B62482" s="1168"/>
    </row>
    <row r="62483" spans="2:2" s="221" customFormat="1" ht="12.75" x14ac:dyDescent="0.2">
      <c r="B62483" s="1168"/>
    </row>
    <row r="62484" spans="2:2" s="221" customFormat="1" ht="12.75" x14ac:dyDescent="0.2">
      <c r="B62484" s="1168"/>
    </row>
    <row r="62485" spans="2:2" s="221" customFormat="1" ht="12.75" x14ac:dyDescent="0.2">
      <c r="B62485" s="1168"/>
    </row>
    <row r="62486" spans="2:2" s="221" customFormat="1" ht="12.75" x14ac:dyDescent="0.2">
      <c r="B62486" s="1168"/>
    </row>
    <row r="62487" spans="2:2" s="221" customFormat="1" ht="12.75" x14ac:dyDescent="0.2">
      <c r="B62487" s="1168"/>
    </row>
    <row r="62488" spans="2:2" s="221" customFormat="1" ht="12.75" x14ac:dyDescent="0.2">
      <c r="B62488" s="1168"/>
    </row>
    <row r="62489" spans="2:2" s="221" customFormat="1" ht="12.75" x14ac:dyDescent="0.2">
      <c r="B62489" s="1168"/>
    </row>
    <row r="62490" spans="2:2" s="221" customFormat="1" ht="12.75" x14ac:dyDescent="0.2">
      <c r="B62490" s="1168"/>
    </row>
    <row r="62491" spans="2:2" s="221" customFormat="1" ht="12.75" x14ac:dyDescent="0.2">
      <c r="B62491" s="1168"/>
    </row>
    <row r="62492" spans="2:2" s="221" customFormat="1" ht="12.75" x14ac:dyDescent="0.2">
      <c r="B62492" s="1168"/>
    </row>
    <row r="62493" spans="2:2" s="221" customFormat="1" ht="12.75" x14ac:dyDescent="0.2">
      <c r="B62493" s="1168"/>
    </row>
    <row r="62494" spans="2:2" s="221" customFormat="1" ht="12.75" x14ac:dyDescent="0.2">
      <c r="B62494" s="1168"/>
    </row>
    <row r="62495" spans="2:2" s="221" customFormat="1" ht="12.75" x14ac:dyDescent="0.2">
      <c r="B62495" s="1168"/>
    </row>
    <row r="62496" spans="2:2" s="221" customFormat="1" ht="12.75" x14ac:dyDescent="0.2">
      <c r="B62496" s="1168"/>
    </row>
    <row r="62497" spans="2:2" s="221" customFormat="1" ht="12.75" x14ac:dyDescent="0.2">
      <c r="B62497" s="1168"/>
    </row>
    <row r="62498" spans="2:2" s="221" customFormat="1" ht="12.75" x14ac:dyDescent="0.2">
      <c r="B62498" s="1168"/>
    </row>
    <row r="62499" spans="2:2" s="221" customFormat="1" ht="12.75" x14ac:dyDescent="0.2">
      <c r="B62499" s="1168"/>
    </row>
    <row r="62500" spans="2:2" s="221" customFormat="1" ht="12.75" x14ac:dyDescent="0.2">
      <c r="B62500" s="1168"/>
    </row>
    <row r="62501" spans="2:2" s="221" customFormat="1" ht="12.75" x14ac:dyDescent="0.2">
      <c r="B62501" s="1168"/>
    </row>
    <row r="62502" spans="2:2" s="221" customFormat="1" ht="12.75" x14ac:dyDescent="0.2">
      <c r="B62502" s="1168"/>
    </row>
    <row r="62503" spans="2:2" s="221" customFormat="1" ht="12.75" x14ac:dyDescent="0.2">
      <c r="B62503" s="1168"/>
    </row>
    <row r="62504" spans="2:2" s="221" customFormat="1" ht="12.75" x14ac:dyDescent="0.2">
      <c r="B62504" s="1168"/>
    </row>
    <row r="62505" spans="2:2" s="221" customFormat="1" ht="12.75" x14ac:dyDescent="0.2">
      <c r="B62505" s="1168"/>
    </row>
    <row r="62506" spans="2:2" s="221" customFormat="1" ht="12.75" x14ac:dyDescent="0.2">
      <c r="B62506" s="1168"/>
    </row>
    <row r="62507" spans="2:2" s="221" customFormat="1" ht="12.75" x14ac:dyDescent="0.2">
      <c r="B62507" s="1168"/>
    </row>
    <row r="62508" spans="2:2" s="221" customFormat="1" ht="12.75" x14ac:dyDescent="0.2">
      <c r="B62508" s="1168"/>
    </row>
    <row r="62509" spans="2:2" s="221" customFormat="1" ht="12.75" x14ac:dyDescent="0.2">
      <c r="B62509" s="1168"/>
    </row>
    <row r="62510" spans="2:2" s="221" customFormat="1" ht="12.75" x14ac:dyDescent="0.2">
      <c r="B62510" s="1168"/>
    </row>
    <row r="62511" spans="2:2" s="221" customFormat="1" ht="12.75" x14ac:dyDescent="0.2">
      <c r="B62511" s="1168"/>
    </row>
    <row r="62512" spans="2:2" s="221" customFormat="1" ht="12.75" x14ac:dyDescent="0.2">
      <c r="B62512" s="1168"/>
    </row>
    <row r="62513" spans="2:2" s="221" customFormat="1" ht="12.75" x14ac:dyDescent="0.2">
      <c r="B62513" s="1168"/>
    </row>
    <row r="62514" spans="2:2" s="221" customFormat="1" ht="12.75" x14ac:dyDescent="0.2">
      <c r="B62514" s="1168"/>
    </row>
    <row r="62515" spans="2:2" s="221" customFormat="1" ht="12.75" x14ac:dyDescent="0.2">
      <c r="B62515" s="1168"/>
    </row>
    <row r="62516" spans="2:2" s="221" customFormat="1" ht="12.75" x14ac:dyDescent="0.2">
      <c r="B62516" s="1168"/>
    </row>
    <row r="62517" spans="2:2" s="221" customFormat="1" ht="12.75" x14ac:dyDescent="0.2">
      <c r="B62517" s="1168"/>
    </row>
    <row r="62518" spans="2:2" s="221" customFormat="1" ht="12.75" x14ac:dyDescent="0.2">
      <c r="B62518" s="1168"/>
    </row>
    <row r="62519" spans="2:2" s="221" customFormat="1" ht="12.75" x14ac:dyDescent="0.2">
      <c r="B62519" s="1168"/>
    </row>
    <row r="62520" spans="2:2" s="221" customFormat="1" ht="12.75" x14ac:dyDescent="0.2">
      <c r="B62520" s="1168"/>
    </row>
    <row r="62521" spans="2:2" s="221" customFormat="1" ht="12.75" x14ac:dyDescent="0.2">
      <c r="B62521" s="1168"/>
    </row>
    <row r="62522" spans="2:2" s="221" customFormat="1" ht="12.75" x14ac:dyDescent="0.2">
      <c r="B62522" s="1168"/>
    </row>
    <row r="62523" spans="2:2" s="221" customFormat="1" ht="12.75" x14ac:dyDescent="0.2">
      <c r="B62523" s="1168"/>
    </row>
    <row r="62524" spans="2:2" s="221" customFormat="1" ht="12.75" x14ac:dyDescent="0.2">
      <c r="B62524" s="1168"/>
    </row>
    <row r="62525" spans="2:2" s="221" customFormat="1" ht="12.75" x14ac:dyDescent="0.2">
      <c r="B62525" s="1168"/>
    </row>
    <row r="62526" spans="2:2" s="221" customFormat="1" ht="12.75" x14ac:dyDescent="0.2">
      <c r="B62526" s="1168"/>
    </row>
    <row r="62527" spans="2:2" s="221" customFormat="1" ht="12.75" x14ac:dyDescent="0.2">
      <c r="B62527" s="1168"/>
    </row>
    <row r="62528" spans="2:2" s="221" customFormat="1" ht="12.75" x14ac:dyDescent="0.2">
      <c r="B62528" s="1168"/>
    </row>
    <row r="62529" spans="2:2" s="221" customFormat="1" ht="12.75" x14ac:dyDescent="0.2">
      <c r="B62529" s="1168"/>
    </row>
    <row r="62530" spans="2:2" s="221" customFormat="1" ht="12.75" x14ac:dyDescent="0.2">
      <c r="B62530" s="1168"/>
    </row>
    <row r="62531" spans="2:2" s="221" customFormat="1" ht="12.75" x14ac:dyDescent="0.2">
      <c r="B62531" s="1168"/>
    </row>
    <row r="62532" spans="2:2" s="221" customFormat="1" ht="12.75" x14ac:dyDescent="0.2">
      <c r="B62532" s="1168"/>
    </row>
    <row r="62533" spans="2:2" s="221" customFormat="1" ht="12.75" x14ac:dyDescent="0.2">
      <c r="B62533" s="1168"/>
    </row>
    <row r="62534" spans="2:2" s="221" customFormat="1" ht="12.75" x14ac:dyDescent="0.2">
      <c r="B62534" s="1168"/>
    </row>
    <row r="62535" spans="2:2" s="221" customFormat="1" ht="12.75" x14ac:dyDescent="0.2">
      <c r="B62535" s="1168"/>
    </row>
    <row r="62536" spans="2:2" s="221" customFormat="1" ht="12.75" x14ac:dyDescent="0.2">
      <c r="B62536" s="1168"/>
    </row>
    <row r="62537" spans="2:2" s="221" customFormat="1" ht="12.75" x14ac:dyDescent="0.2">
      <c r="B62537" s="1168"/>
    </row>
    <row r="62538" spans="2:2" s="221" customFormat="1" ht="12.75" x14ac:dyDescent="0.2">
      <c r="B62538" s="1168"/>
    </row>
    <row r="62539" spans="2:2" s="221" customFormat="1" ht="12.75" x14ac:dyDescent="0.2">
      <c r="B62539" s="1168"/>
    </row>
    <row r="62540" spans="2:2" s="221" customFormat="1" ht="12.75" x14ac:dyDescent="0.2">
      <c r="B62540" s="1168"/>
    </row>
    <row r="62541" spans="2:2" s="221" customFormat="1" ht="12.75" x14ac:dyDescent="0.2">
      <c r="B62541" s="1168"/>
    </row>
    <row r="62542" spans="2:2" s="221" customFormat="1" ht="12.75" x14ac:dyDescent="0.2">
      <c r="B62542" s="1168"/>
    </row>
    <row r="62543" spans="2:2" s="221" customFormat="1" ht="12.75" x14ac:dyDescent="0.2">
      <c r="B62543" s="1168"/>
    </row>
    <row r="62544" spans="2:2" s="221" customFormat="1" ht="12.75" x14ac:dyDescent="0.2">
      <c r="B62544" s="1168"/>
    </row>
    <row r="62545" spans="2:2" s="221" customFormat="1" ht="12.75" x14ac:dyDescent="0.2">
      <c r="B62545" s="1168"/>
    </row>
    <row r="62546" spans="2:2" s="221" customFormat="1" ht="12.75" x14ac:dyDescent="0.2">
      <c r="B62546" s="1168"/>
    </row>
    <row r="62547" spans="2:2" s="221" customFormat="1" ht="12.75" x14ac:dyDescent="0.2">
      <c r="B62547" s="1168"/>
    </row>
    <row r="62548" spans="2:2" s="221" customFormat="1" ht="12.75" x14ac:dyDescent="0.2">
      <c r="B62548" s="1168"/>
    </row>
    <row r="62549" spans="2:2" s="221" customFormat="1" ht="12.75" x14ac:dyDescent="0.2">
      <c r="B62549" s="1168"/>
    </row>
    <row r="62550" spans="2:2" s="221" customFormat="1" ht="12.75" x14ac:dyDescent="0.2">
      <c r="B62550" s="1168"/>
    </row>
    <row r="62551" spans="2:2" s="221" customFormat="1" ht="12.75" x14ac:dyDescent="0.2">
      <c r="B62551" s="1168"/>
    </row>
    <row r="62552" spans="2:2" s="221" customFormat="1" ht="12.75" x14ac:dyDescent="0.2">
      <c r="B62552" s="1168"/>
    </row>
    <row r="62553" spans="2:2" s="221" customFormat="1" ht="12.75" x14ac:dyDescent="0.2">
      <c r="B62553" s="1168"/>
    </row>
    <row r="62554" spans="2:2" s="221" customFormat="1" ht="12.75" x14ac:dyDescent="0.2">
      <c r="B62554" s="1168"/>
    </row>
    <row r="62555" spans="2:2" s="221" customFormat="1" ht="12.75" x14ac:dyDescent="0.2">
      <c r="B62555" s="1168"/>
    </row>
    <row r="62556" spans="2:2" s="221" customFormat="1" ht="12.75" x14ac:dyDescent="0.2">
      <c r="B62556" s="1168"/>
    </row>
    <row r="62557" spans="2:2" s="221" customFormat="1" ht="12.75" x14ac:dyDescent="0.2">
      <c r="B62557" s="1168"/>
    </row>
    <row r="62558" spans="2:2" s="221" customFormat="1" ht="12.75" x14ac:dyDescent="0.2">
      <c r="B62558" s="1168"/>
    </row>
    <row r="62559" spans="2:2" s="221" customFormat="1" ht="12.75" x14ac:dyDescent="0.2">
      <c r="B62559" s="1168"/>
    </row>
    <row r="62560" spans="2:2" s="221" customFormat="1" ht="12.75" x14ac:dyDescent="0.2">
      <c r="B62560" s="1168"/>
    </row>
    <row r="62561" spans="2:2" s="221" customFormat="1" ht="12.75" x14ac:dyDescent="0.2">
      <c r="B62561" s="1168"/>
    </row>
    <row r="62562" spans="2:2" s="221" customFormat="1" ht="12.75" x14ac:dyDescent="0.2">
      <c r="B62562" s="1168"/>
    </row>
    <row r="62563" spans="2:2" s="221" customFormat="1" ht="12.75" x14ac:dyDescent="0.2">
      <c r="B62563" s="1168"/>
    </row>
    <row r="62564" spans="2:2" s="221" customFormat="1" ht="12.75" x14ac:dyDescent="0.2">
      <c r="B62564" s="1168"/>
    </row>
    <row r="62565" spans="2:2" s="221" customFormat="1" ht="12.75" x14ac:dyDescent="0.2">
      <c r="B62565" s="1168"/>
    </row>
    <row r="62566" spans="2:2" s="221" customFormat="1" ht="12.75" x14ac:dyDescent="0.2">
      <c r="B62566" s="1168"/>
    </row>
    <row r="62567" spans="2:2" s="221" customFormat="1" ht="12.75" x14ac:dyDescent="0.2">
      <c r="B62567" s="1168"/>
    </row>
    <row r="62568" spans="2:2" s="221" customFormat="1" ht="12.75" x14ac:dyDescent="0.2">
      <c r="B62568" s="1168"/>
    </row>
    <row r="62569" spans="2:2" s="221" customFormat="1" ht="12.75" x14ac:dyDescent="0.2">
      <c r="B62569" s="1168"/>
    </row>
    <row r="62570" spans="2:2" s="221" customFormat="1" ht="12.75" x14ac:dyDescent="0.2">
      <c r="B62570" s="1168"/>
    </row>
    <row r="62571" spans="2:2" s="221" customFormat="1" ht="12.75" x14ac:dyDescent="0.2">
      <c r="B62571" s="1168"/>
    </row>
    <row r="62572" spans="2:2" s="221" customFormat="1" ht="12.75" x14ac:dyDescent="0.2">
      <c r="B62572" s="1168"/>
    </row>
    <row r="62573" spans="2:2" s="221" customFormat="1" ht="12.75" x14ac:dyDescent="0.2">
      <c r="B62573" s="1168"/>
    </row>
    <row r="62574" spans="2:2" s="221" customFormat="1" ht="12.75" x14ac:dyDescent="0.2">
      <c r="B62574" s="1168"/>
    </row>
    <row r="62575" spans="2:2" s="221" customFormat="1" ht="12.75" x14ac:dyDescent="0.2">
      <c r="B62575" s="1168"/>
    </row>
    <row r="62576" spans="2:2" s="221" customFormat="1" ht="12.75" x14ac:dyDescent="0.2">
      <c r="B62576" s="1168"/>
    </row>
    <row r="62577" spans="2:2" s="221" customFormat="1" ht="12.75" x14ac:dyDescent="0.2">
      <c r="B62577" s="1168"/>
    </row>
    <row r="62578" spans="2:2" s="221" customFormat="1" ht="12.75" x14ac:dyDescent="0.2">
      <c r="B62578" s="1168"/>
    </row>
    <row r="62579" spans="2:2" s="221" customFormat="1" ht="12.75" x14ac:dyDescent="0.2">
      <c r="B62579" s="1168"/>
    </row>
    <row r="62580" spans="2:2" s="221" customFormat="1" ht="12.75" x14ac:dyDescent="0.2">
      <c r="B62580" s="1168"/>
    </row>
    <row r="62581" spans="2:2" s="221" customFormat="1" ht="12.75" x14ac:dyDescent="0.2">
      <c r="B62581" s="1168"/>
    </row>
    <row r="62582" spans="2:2" s="221" customFormat="1" ht="12.75" x14ac:dyDescent="0.2">
      <c r="B62582" s="1168"/>
    </row>
    <row r="62583" spans="2:2" s="221" customFormat="1" ht="12.75" x14ac:dyDescent="0.2">
      <c r="B62583" s="1168"/>
    </row>
    <row r="62584" spans="2:2" s="221" customFormat="1" ht="12.75" x14ac:dyDescent="0.2">
      <c r="B62584" s="1168"/>
    </row>
    <row r="62585" spans="2:2" s="221" customFormat="1" ht="12.75" x14ac:dyDescent="0.2">
      <c r="B62585" s="1168"/>
    </row>
    <row r="62586" spans="2:2" s="221" customFormat="1" ht="12.75" x14ac:dyDescent="0.2">
      <c r="B62586" s="1168"/>
    </row>
    <row r="62587" spans="2:2" s="221" customFormat="1" ht="12.75" x14ac:dyDescent="0.2">
      <c r="B62587" s="1168"/>
    </row>
    <row r="62588" spans="2:2" s="221" customFormat="1" ht="12.75" x14ac:dyDescent="0.2">
      <c r="B62588" s="1168"/>
    </row>
    <row r="62589" spans="2:2" s="221" customFormat="1" ht="12.75" x14ac:dyDescent="0.2">
      <c r="B62589" s="1168"/>
    </row>
    <row r="62590" spans="2:2" s="221" customFormat="1" ht="12.75" x14ac:dyDescent="0.2">
      <c r="B62590" s="1168"/>
    </row>
    <row r="62591" spans="2:2" s="221" customFormat="1" ht="12.75" x14ac:dyDescent="0.2">
      <c r="B62591" s="1168"/>
    </row>
    <row r="62592" spans="2:2" s="221" customFormat="1" ht="12.75" x14ac:dyDescent="0.2">
      <c r="B62592" s="1168"/>
    </row>
    <row r="62593" spans="2:2" s="221" customFormat="1" ht="12.75" x14ac:dyDescent="0.2">
      <c r="B62593" s="1168"/>
    </row>
    <row r="62594" spans="2:2" s="221" customFormat="1" ht="12.75" x14ac:dyDescent="0.2">
      <c r="B62594" s="1168"/>
    </row>
    <row r="62595" spans="2:2" s="221" customFormat="1" ht="12.75" x14ac:dyDescent="0.2">
      <c r="B62595" s="1168"/>
    </row>
    <row r="62596" spans="2:2" s="221" customFormat="1" ht="12.75" x14ac:dyDescent="0.2">
      <c r="B62596" s="1168"/>
    </row>
    <row r="62597" spans="2:2" s="221" customFormat="1" ht="12.75" x14ac:dyDescent="0.2">
      <c r="B62597" s="1168"/>
    </row>
    <row r="62598" spans="2:2" s="221" customFormat="1" ht="12.75" x14ac:dyDescent="0.2">
      <c r="B62598" s="1168"/>
    </row>
    <row r="62599" spans="2:2" s="221" customFormat="1" ht="12.75" x14ac:dyDescent="0.2">
      <c r="B62599" s="1168"/>
    </row>
    <row r="62600" spans="2:2" s="221" customFormat="1" ht="12.75" x14ac:dyDescent="0.2">
      <c r="B62600" s="1168"/>
    </row>
    <row r="62601" spans="2:2" s="221" customFormat="1" ht="12.75" x14ac:dyDescent="0.2">
      <c r="B62601" s="1168"/>
    </row>
    <row r="62602" spans="2:2" s="221" customFormat="1" ht="12.75" x14ac:dyDescent="0.2">
      <c r="B62602" s="1168"/>
    </row>
    <row r="62603" spans="2:2" s="221" customFormat="1" ht="12.75" x14ac:dyDescent="0.2">
      <c r="B62603" s="1168"/>
    </row>
    <row r="62604" spans="2:2" s="221" customFormat="1" ht="12.75" x14ac:dyDescent="0.2">
      <c r="B62604" s="1168"/>
    </row>
    <row r="62605" spans="2:2" s="221" customFormat="1" ht="12.75" x14ac:dyDescent="0.2">
      <c r="B62605" s="1168"/>
    </row>
    <row r="62606" spans="2:2" s="221" customFormat="1" ht="12.75" x14ac:dyDescent="0.2">
      <c r="B62606" s="1168"/>
    </row>
    <row r="62607" spans="2:2" s="221" customFormat="1" ht="12.75" x14ac:dyDescent="0.2">
      <c r="B62607" s="1168"/>
    </row>
    <row r="62608" spans="2:2" s="221" customFormat="1" ht="12.75" x14ac:dyDescent="0.2">
      <c r="B62608" s="1168"/>
    </row>
    <row r="62609" spans="2:2" s="221" customFormat="1" ht="12.75" x14ac:dyDescent="0.2">
      <c r="B62609" s="1168"/>
    </row>
    <row r="62610" spans="2:2" s="221" customFormat="1" ht="12.75" x14ac:dyDescent="0.2">
      <c r="B62610" s="1168"/>
    </row>
    <row r="62611" spans="2:2" s="221" customFormat="1" ht="12.75" x14ac:dyDescent="0.2">
      <c r="B62611" s="1168"/>
    </row>
    <row r="62612" spans="2:2" s="221" customFormat="1" ht="12.75" x14ac:dyDescent="0.2">
      <c r="B62612" s="1168"/>
    </row>
    <row r="62613" spans="2:2" s="221" customFormat="1" ht="12.75" x14ac:dyDescent="0.2">
      <c r="B62613" s="1168"/>
    </row>
    <row r="62614" spans="2:2" s="221" customFormat="1" ht="12.75" x14ac:dyDescent="0.2">
      <c r="B62614" s="1168"/>
    </row>
    <row r="62615" spans="2:2" s="221" customFormat="1" ht="12.75" x14ac:dyDescent="0.2">
      <c r="B62615" s="1168"/>
    </row>
    <row r="62616" spans="2:2" s="221" customFormat="1" ht="12.75" x14ac:dyDescent="0.2">
      <c r="B62616" s="1168"/>
    </row>
    <row r="62617" spans="2:2" s="221" customFormat="1" ht="12.75" x14ac:dyDescent="0.2">
      <c r="B62617" s="1168"/>
    </row>
    <row r="62618" spans="2:2" s="221" customFormat="1" ht="12.75" x14ac:dyDescent="0.2">
      <c r="B62618" s="1168"/>
    </row>
    <row r="62619" spans="2:2" s="221" customFormat="1" ht="12.75" x14ac:dyDescent="0.2">
      <c r="B62619" s="1168"/>
    </row>
    <row r="62620" spans="2:2" s="221" customFormat="1" ht="12.75" x14ac:dyDescent="0.2">
      <c r="B62620" s="1168"/>
    </row>
    <row r="62621" spans="2:2" s="221" customFormat="1" ht="12.75" x14ac:dyDescent="0.2">
      <c r="B62621" s="1168"/>
    </row>
    <row r="62622" spans="2:2" s="221" customFormat="1" ht="12.75" x14ac:dyDescent="0.2">
      <c r="B62622" s="1168"/>
    </row>
    <row r="62623" spans="2:2" s="221" customFormat="1" ht="12.75" x14ac:dyDescent="0.2">
      <c r="B62623" s="1168"/>
    </row>
    <row r="62624" spans="2:2" s="221" customFormat="1" ht="12.75" x14ac:dyDescent="0.2">
      <c r="B62624" s="1168"/>
    </row>
    <row r="62625" spans="2:2" s="221" customFormat="1" ht="12.75" x14ac:dyDescent="0.2">
      <c r="B62625" s="1168"/>
    </row>
    <row r="62626" spans="2:2" s="221" customFormat="1" ht="12.75" x14ac:dyDescent="0.2">
      <c r="B62626" s="1168"/>
    </row>
    <row r="62627" spans="2:2" s="221" customFormat="1" ht="12.75" x14ac:dyDescent="0.2">
      <c r="B62627" s="1168"/>
    </row>
    <row r="62628" spans="2:2" s="221" customFormat="1" ht="12.75" x14ac:dyDescent="0.2">
      <c r="B62628" s="1168"/>
    </row>
    <row r="62629" spans="2:2" s="221" customFormat="1" ht="12.75" x14ac:dyDescent="0.2">
      <c r="B62629" s="1168"/>
    </row>
    <row r="62630" spans="2:2" s="221" customFormat="1" ht="12.75" x14ac:dyDescent="0.2">
      <c r="B62630" s="1168"/>
    </row>
    <row r="62631" spans="2:2" s="221" customFormat="1" ht="12.75" x14ac:dyDescent="0.2">
      <c r="B62631" s="1168"/>
    </row>
    <row r="62632" spans="2:2" s="221" customFormat="1" ht="12.75" x14ac:dyDescent="0.2">
      <c r="B62632" s="1168"/>
    </row>
    <row r="62633" spans="2:2" s="221" customFormat="1" ht="12.75" x14ac:dyDescent="0.2">
      <c r="B62633" s="1168"/>
    </row>
    <row r="62634" spans="2:2" s="221" customFormat="1" ht="12.75" x14ac:dyDescent="0.2">
      <c r="B62634" s="1168"/>
    </row>
    <row r="62635" spans="2:2" s="221" customFormat="1" ht="12.75" x14ac:dyDescent="0.2">
      <c r="B62635" s="1168"/>
    </row>
    <row r="62636" spans="2:2" s="221" customFormat="1" ht="12.75" x14ac:dyDescent="0.2">
      <c r="B62636" s="1168"/>
    </row>
    <row r="62637" spans="2:2" s="221" customFormat="1" ht="12.75" x14ac:dyDescent="0.2">
      <c r="B62637" s="1168"/>
    </row>
    <row r="62638" spans="2:2" s="221" customFormat="1" ht="12.75" x14ac:dyDescent="0.2">
      <c r="B62638" s="1168"/>
    </row>
    <row r="62639" spans="2:2" s="221" customFormat="1" ht="12.75" x14ac:dyDescent="0.2">
      <c r="B62639" s="1168"/>
    </row>
    <row r="62640" spans="2:2" s="221" customFormat="1" ht="12.75" x14ac:dyDescent="0.2">
      <c r="B62640" s="1168"/>
    </row>
    <row r="62641" spans="2:2" s="221" customFormat="1" ht="12.75" x14ac:dyDescent="0.2">
      <c r="B62641" s="1168"/>
    </row>
    <row r="62642" spans="2:2" s="221" customFormat="1" ht="12.75" x14ac:dyDescent="0.2">
      <c r="B62642" s="1168"/>
    </row>
    <row r="62643" spans="2:2" s="221" customFormat="1" ht="12.75" x14ac:dyDescent="0.2">
      <c r="B62643" s="1168"/>
    </row>
    <row r="62644" spans="2:2" s="221" customFormat="1" ht="12.75" x14ac:dyDescent="0.2">
      <c r="B62644" s="1168"/>
    </row>
    <row r="62645" spans="2:2" s="221" customFormat="1" ht="12.75" x14ac:dyDescent="0.2">
      <c r="B62645" s="1168"/>
    </row>
    <row r="62646" spans="2:2" s="221" customFormat="1" ht="12.75" x14ac:dyDescent="0.2">
      <c r="B62646" s="1168"/>
    </row>
    <row r="62647" spans="2:2" s="221" customFormat="1" ht="12.75" x14ac:dyDescent="0.2">
      <c r="B62647" s="1168"/>
    </row>
    <row r="62648" spans="2:2" s="221" customFormat="1" ht="12.75" x14ac:dyDescent="0.2">
      <c r="B62648" s="1168"/>
    </row>
    <row r="62649" spans="2:2" s="221" customFormat="1" ht="12.75" x14ac:dyDescent="0.2">
      <c r="B62649" s="1168"/>
    </row>
    <row r="62650" spans="2:2" s="221" customFormat="1" ht="12.75" x14ac:dyDescent="0.2">
      <c r="B62650" s="1168"/>
    </row>
    <row r="62651" spans="2:2" s="221" customFormat="1" ht="12.75" x14ac:dyDescent="0.2">
      <c r="B62651" s="1168"/>
    </row>
    <row r="62652" spans="2:2" s="221" customFormat="1" ht="12.75" x14ac:dyDescent="0.2">
      <c r="B62652" s="1168"/>
    </row>
    <row r="62653" spans="2:2" s="221" customFormat="1" ht="12.75" x14ac:dyDescent="0.2">
      <c r="B62653" s="1168"/>
    </row>
    <row r="62654" spans="2:2" s="221" customFormat="1" ht="12.75" x14ac:dyDescent="0.2">
      <c r="B62654" s="1168"/>
    </row>
    <row r="62655" spans="2:2" s="221" customFormat="1" ht="12.75" x14ac:dyDescent="0.2">
      <c r="B62655" s="1168"/>
    </row>
    <row r="62656" spans="2:2" s="221" customFormat="1" ht="12.75" x14ac:dyDescent="0.2">
      <c r="B62656" s="1168"/>
    </row>
    <row r="62657" spans="2:2" s="221" customFormat="1" ht="12.75" x14ac:dyDescent="0.2">
      <c r="B62657" s="1168"/>
    </row>
    <row r="62658" spans="2:2" s="221" customFormat="1" ht="12.75" x14ac:dyDescent="0.2">
      <c r="B62658" s="1168"/>
    </row>
    <row r="62659" spans="2:2" s="221" customFormat="1" ht="12.75" x14ac:dyDescent="0.2">
      <c r="B62659" s="1168"/>
    </row>
    <row r="62660" spans="2:2" s="221" customFormat="1" ht="12.75" x14ac:dyDescent="0.2">
      <c r="B62660" s="1168"/>
    </row>
    <row r="62661" spans="2:2" s="221" customFormat="1" ht="12.75" x14ac:dyDescent="0.2">
      <c r="B62661" s="1168"/>
    </row>
    <row r="62662" spans="2:2" s="221" customFormat="1" ht="12.75" x14ac:dyDescent="0.2">
      <c r="B62662" s="1168"/>
    </row>
    <row r="62663" spans="2:2" s="221" customFormat="1" ht="12.75" x14ac:dyDescent="0.2">
      <c r="B62663" s="1168"/>
    </row>
    <row r="62664" spans="2:2" s="221" customFormat="1" ht="12.75" x14ac:dyDescent="0.2">
      <c r="B62664" s="1168"/>
    </row>
    <row r="62665" spans="2:2" s="221" customFormat="1" ht="12.75" x14ac:dyDescent="0.2">
      <c r="B62665" s="1168"/>
    </row>
    <row r="62666" spans="2:2" s="221" customFormat="1" ht="12.75" x14ac:dyDescent="0.2">
      <c r="B62666" s="1168"/>
    </row>
    <row r="62667" spans="2:2" s="221" customFormat="1" ht="12.75" x14ac:dyDescent="0.2">
      <c r="B62667" s="1168"/>
    </row>
    <row r="62668" spans="2:2" s="221" customFormat="1" ht="12.75" x14ac:dyDescent="0.2">
      <c r="B62668" s="1168"/>
    </row>
    <row r="62669" spans="2:2" s="221" customFormat="1" ht="12.75" x14ac:dyDescent="0.2">
      <c r="B62669" s="1168"/>
    </row>
    <row r="62670" spans="2:2" s="221" customFormat="1" ht="12.75" x14ac:dyDescent="0.2">
      <c r="B62670" s="1168"/>
    </row>
    <row r="62671" spans="2:2" s="221" customFormat="1" ht="12.75" x14ac:dyDescent="0.2">
      <c r="B62671" s="1168"/>
    </row>
    <row r="62672" spans="2:2" s="221" customFormat="1" ht="12.75" x14ac:dyDescent="0.2">
      <c r="B62672" s="1168"/>
    </row>
    <row r="62673" spans="2:2" s="221" customFormat="1" ht="12.75" x14ac:dyDescent="0.2">
      <c r="B62673" s="1168"/>
    </row>
    <row r="62674" spans="2:2" s="221" customFormat="1" ht="12.75" x14ac:dyDescent="0.2">
      <c r="B62674" s="1168"/>
    </row>
    <row r="62675" spans="2:2" s="221" customFormat="1" ht="12.75" x14ac:dyDescent="0.2">
      <c r="B62675" s="1168"/>
    </row>
    <row r="62676" spans="2:2" s="221" customFormat="1" ht="12.75" x14ac:dyDescent="0.2">
      <c r="B62676" s="1168"/>
    </row>
    <row r="62677" spans="2:2" s="221" customFormat="1" ht="12.75" x14ac:dyDescent="0.2">
      <c r="B62677" s="1168"/>
    </row>
    <row r="62678" spans="2:2" s="221" customFormat="1" ht="12.75" x14ac:dyDescent="0.2">
      <c r="B62678" s="1168"/>
    </row>
    <row r="62679" spans="2:2" s="221" customFormat="1" ht="12.75" x14ac:dyDescent="0.2">
      <c r="B62679" s="1168"/>
    </row>
    <row r="62680" spans="2:2" s="221" customFormat="1" ht="12.75" x14ac:dyDescent="0.2">
      <c r="B62680" s="1168"/>
    </row>
    <row r="62681" spans="2:2" s="221" customFormat="1" ht="12.75" x14ac:dyDescent="0.2">
      <c r="B62681" s="1168"/>
    </row>
    <row r="62682" spans="2:2" s="221" customFormat="1" ht="12.75" x14ac:dyDescent="0.2">
      <c r="B62682" s="1168"/>
    </row>
    <row r="62683" spans="2:2" s="221" customFormat="1" ht="12.75" x14ac:dyDescent="0.2">
      <c r="B62683" s="1168"/>
    </row>
    <row r="62684" spans="2:2" s="221" customFormat="1" ht="12.75" x14ac:dyDescent="0.2">
      <c r="B62684" s="1168"/>
    </row>
    <row r="62685" spans="2:2" s="221" customFormat="1" ht="12.75" x14ac:dyDescent="0.2">
      <c r="B62685" s="1168"/>
    </row>
    <row r="62686" spans="2:2" s="221" customFormat="1" ht="12.75" x14ac:dyDescent="0.2">
      <c r="B62686" s="1168"/>
    </row>
    <row r="62687" spans="2:2" s="221" customFormat="1" ht="12.75" x14ac:dyDescent="0.2">
      <c r="B62687" s="1168"/>
    </row>
    <row r="62688" spans="2:2" s="221" customFormat="1" ht="12.75" x14ac:dyDescent="0.2">
      <c r="B62688" s="1168"/>
    </row>
    <row r="62689" spans="2:2" s="221" customFormat="1" ht="12.75" x14ac:dyDescent="0.2">
      <c r="B62689" s="1168"/>
    </row>
    <row r="62690" spans="2:2" s="221" customFormat="1" ht="12.75" x14ac:dyDescent="0.2">
      <c r="B62690" s="1168"/>
    </row>
    <row r="62691" spans="2:2" s="221" customFormat="1" ht="12.75" x14ac:dyDescent="0.2">
      <c r="B62691" s="1168"/>
    </row>
    <row r="62692" spans="2:2" s="221" customFormat="1" ht="12.75" x14ac:dyDescent="0.2">
      <c r="B62692" s="1168"/>
    </row>
    <row r="62693" spans="2:2" s="221" customFormat="1" ht="12.75" x14ac:dyDescent="0.2">
      <c r="B62693" s="1168"/>
    </row>
    <row r="62694" spans="2:2" s="221" customFormat="1" ht="12.75" x14ac:dyDescent="0.2">
      <c r="B62694" s="1168"/>
    </row>
    <row r="62695" spans="2:2" s="221" customFormat="1" ht="12.75" x14ac:dyDescent="0.2">
      <c r="B62695" s="1168"/>
    </row>
    <row r="62696" spans="2:2" s="221" customFormat="1" ht="12.75" x14ac:dyDescent="0.2">
      <c r="B62696" s="1168"/>
    </row>
    <row r="62697" spans="2:2" s="221" customFormat="1" ht="12.75" x14ac:dyDescent="0.2">
      <c r="B62697" s="1168"/>
    </row>
    <row r="62698" spans="2:2" s="221" customFormat="1" ht="12.75" x14ac:dyDescent="0.2">
      <c r="B62698" s="1168"/>
    </row>
    <row r="62699" spans="2:2" s="221" customFormat="1" ht="12.75" x14ac:dyDescent="0.2">
      <c r="B62699" s="1168"/>
    </row>
    <row r="62700" spans="2:2" s="221" customFormat="1" ht="12.75" x14ac:dyDescent="0.2">
      <c r="B62700" s="1168"/>
    </row>
    <row r="62701" spans="2:2" s="221" customFormat="1" ht="12.75" x14ac:dyDescent="0.2">
      <c r="B62701" s="1168"/>
    </row>
    <row r="62702" spans="2:2" s="221" customFormat="1" ht="12.75" x14ac:dyDescent="0.2">
      <c r="B62702" s="1168"/>
    </row>
    <row r="62703" spans="2:2" s="221" customFormat="1" ht="12.75" x14ac:dyDescent="0.2">
      <c r="B62703" s="1168"/>
    </row>
    <row r="62704" spans="2:2" s="221" customFormat="1" ht="12.75" x14ac:dyDescent="0.2">
      <c r="B62704" s="1168"/>
    </row>
    <row r="62705" spans="2:2" s="221" customFormat="1" ht="12.75" x14ac:dyDescent="0.2">
      <c r="B62705" s="1168"/>
    </row>
    <row r="62706" spans="2:2" s="221" customFormat="1" ht="12.75" x14ac:dyDescent="0.2">
      <c r="B62706" s="1168"/>
    </row>
    <row r="62707" spans="2:2" s="221" customFormat="1" ht="12.75" x14ac:dyDescent="0.2">
      <c r="B62707" s="1168"/>
    </row>
    <row r="62708" spans="2:2" s="221" customFormat="1" ht="12.75" x14ac:dyDescent="0.2">
      <c r="B62708" s="1168"/>
    </row>
    <row r="62709" spans="2:2" s="221" customFormat="1" ht="12.75" x14ac:dyDescent="0.2">
      <c r="B62709" s="1168"/>
    </row>
    <row r="62710" spans="2:2" s="221" customFormat="1" ht="12.75" x14ac:dyDescent="0.2">
      <c r="B62710" s="1168"/>
    </row>
    <row r="62711" spans="2:2" s="221" customFormat="1" ht="12.75" x14ac:dyDescent="0.2">
      <c r="B62711" s="1168"/>
    </row>
    <row r="62712" spans="2:2" s="221" customFormat="1" ht="12.75" x14ac:dyDescent="0.2">
      <c r="B62712" s="1168"/>
    </row>
    <row r="62713" spans="2:2" s="221" customFormat="1" ht="12.75" x14ac:dyDescent="0.2">
      <c r="B62713" s="1168"/>
    </row>
    <row r="62714" spans="2:2" s="221" customFormat="1" ht="12.75" x14ac:dyDescent="0.2">
      <c r="B62714" s="1168"/>
    </row>
    <row r="62715" spans="2:2" s="221" customFormat="1" ht="12.75" x14ac:dyDescent="0.2">
      <c r="B62715" s="1168"/>
    </row>
    <row r="62716" spans="2:2" s="221" customFormat="1" ht="12.75" x14ac:dyDescent="0.2">
      <c r="B62716" s="1168"/>
    </row>
    <row r="62717" spans="2:2" s="221" customFormat="1" ht="12.75" x14ac:dyDescent="0.2">
      <c r="B62717" s="1168"/>
    </row>
    <row r="62718" spans="2:2" s="221" customFormat="1" ht="12.75" x14ac:dyDescent="0.2">
      <c r="B62718" s="1168"/>
    </row>
    <row r="62719" spans="2:2" s="221" customFormat="1" ht="12.75" x14ac:dyDescent="0.2">
      <c r="B62719" s="1168"/>
    </row>
    <row r="62720" spans="2:2" s="221" customFormat="1" ht="12.75" x14ac:dyDescent="0.2">
      <c r="B62720" s="1168"/>
    </row>
    <row r="62721" spans="2:2" s="221" customFormat="1" ht="12.75" x14ac:dyDescent="0.2">
      <c r="B62721" s="1168"/>
    </row>
    <row r="62722" spans="2:2" s="221" customFormat="1" ht="12.75" x14ac:dyDescent="0.2">
      <c r="B62722" s="1168"/>
    </row>
    <row r="62723" spans="2:2" s="221" customFormat="1" ht="12.75" x14ac:dyDescent="0.2">
      <c r="B62723" s="1168"/>
    </row>
    <row r="62724" spans="2:2" s="221" customFormat="1" ht="12.75" x14ac:dyDescent="0.2">
      <c r="B62724" s="1168"/>
    </row>
    <row r="62725" spans="2:2" s="221" customFormat="1" ht="12.75" x14ac:dyDescent="0.2">
      <c r="B62725" s="1168"/>
    </row>
    <row r="62726" spans="2:2" s="221" customFormat="1" ht="12.75" x14ac:dyDescent="0.2">
      <c r="B62726" s="1168"/>
    </row>
    <row r="62727" spans="2:2" s="221" customFormat="1" ht="12.75" x14ac:dyDescent="0.2">
      <c r="B62727" s="1168"/>
    </row>
    <row r="62728" spans="2:2" s="221" customFormat="1" ht="12.75" x14ac:dyDescent="0.2">
      <c r="B62728" s="1168"/>
    </row>
    <row r="62729" spans="2:2" s="221" customFormat="1" ht="12.75" x14ac:dyDescent="0.2">
      <c r="B62729" s="1168"/>
    </row>
    <row r="62730" spans="2:2" s="221" customFormat="1" ht="12.75" x14ac:dyDescent="0.2">
      <c r="B62730" s="1168"/>
    </row>
    <row r="62731" spans="2:2" s="221" customFormat="1" ht="12.75" x14ac:dyDescent="0.2">
      <c r="B62731" s="1168"/>
    </row>
    <row r="62732" spans="2:2" s="221" customFormat="1" ht="12.75" x14ac:dyDescent="0.2">
      <c r="B62732" s="1168"/>
    </row>
    <row r="62733" spans="2:2" s="221" customFormat="1" ht="12.75" x14ac:dyDescent="0.2">
      <c r="B62733" s="1168"/>
    </row>
    <row r="62734" spans="2:2" s="221" customFormat="1" ht="12.75" x14ac:dyDescent="0.2">
      <c r="B62734" s="1168"/>
    </row>
    <row r="62735" spans="2:2" s="221" customFormat="1" ht="12.75" x14ac:dyDescent="0.2">
      <c r="B62735" s="1168"/>
    </row>
    <row r="62736" spans="2:2" s="221" customFormat="1" ht="12.75" x14ac:dyDescent="0.2">
      <c r="B62736" s="1168"/>
    </row>
    <row r="62737" spans="2:2" s="221" customFormat="1" ht="12.75" x14ac:dyDescent="0.2">
      <c r="B62737" s="1168"/>
    </row>
    <row r="62738" spans="2:2" s="221" customFormat="1" ht="12.75" x14ac:dyDescent="0.2">
      <c r="B62738" s="1168"/>
    </row>
    <row r="62739" spans="2:2" s="221" customFormat="1" ht="12.75" x14ac:dyDescent="0.2">
      <c r="B62739" s="1168"/>
    </row>
    <row r="62740" spans="2:2" s="221" customFormat="1" ht="12.75" x14ac:dyDescent="0.2">
      <c r="B62740" s="1168"/>
    </row>
    <row r="62741" spans="2:2" s="221" customFormat="1" ht="12.75" x14ac:dyDescent="0.2">
      <c r="B62741" s="1168"/>
    </row>
    <row r="62742" spans="2:2" s="221" customFormat="1" ht="12.75" x14ac:dyDescent="0.2">
      <c r="B62742" s="1168"/>
    </row>
    <row r="62743" spans="2:2" s="221" customFormat="1" ht="12.75" x14ac:dyDescent="0.2">
      <c r="B62743" s="1168"/>
    </row>
    <row r="62744" spans="2:2" s="221" customFormat="1" ht="12.75" x14ac:dyDescent="0.2">
      <c r="B62744" s="1168"/>
    </row>
    <row r="62745" spans="2:2" s="221" customFormat="1" ht="12.75" x14ac:dyDescent="0.2">
      <c r="B62745" s="1168"/>
    </row>
    <row r="62746" spans="2:2" s="221" customFormat="1" ht="12.75" x14ac:dyDescent="0.2">
      <c r="B62746" s="1168"/>
    </row>
    <row r="62747" spans="2:2" s="221" customFormat="1" ht="12.75" x14ac:dyDescent="0.2">
      <c r="B62747" s="1168"/>
    </row>
    <row r="62748" spans="2:2" s="221" customFormat="1" ht="12.75" x14ac:dyDescent="0.2">
      <c r="B62748" s="1168"/>
    </row>
    <row r="62749" spans="2:2" s="221" customFormat="1" ht="12.75" x14ac:dyDescent="0.2">
      <c r="B62749" s="1168"/>
    </row>
    <row r="62750" spans="2:2" s="221" customFormat="1" ht="12.75" x14ac:dyDescent="0.2">
      <c r="B62750" s="1168"/>
    </row>
    <row r="62751" spans="2:2" s="221" customFormat="1" ht="12.75" x14ac:dyDescent="0.2">
      <c r="B62751" s="1168"/>
    </row>
    <row r="62752" spans="2:2" s="221" customFormat="1" ht="12.75" x14ac:dyDescent="0.2">
      <c r="B62752" s="1168"/>
    </row>
    <row r="62753" spans="2:2" s="221" customFormat="1" ht="12.75" x14ac:dyDescent="0.2">
      <c r="B62753" s="1168"/>
    </row>
    <row r="62754" spans="2:2" s="221" customFormat="1" ht="12.75" x14ac:dyDescent="0.2">
      <c r="B62754" s="1168"/>
    </row>
    <row r="62755" spans="2:2" s="221" customFormat="1" ht="12.75" x14ac:dyDescent="0.2">
      <c r="B62755" s="1168"/>
    </row>
    <row r="62756" spans="2:2" s="221" customFormat="1" ht="12.75" x14ac:dyDescent="0.2">
      <c r="B62756" s="1168"/>
    </row>
    <row r="62757" spans="2:2" s="221" customFormat="1" ht="12.75" x14ac:dyDescent="0.2">
      <c r="B62757" s="1168"/>
    </row>
    <row r="62758" spans="2:2" s="221" customFormat="1" ht="12.75" x14ac:dyDescent="0.2">
      <c r="B62758" s="1168"/>
    </row>
    <row r="62759" spans="2:2" s="221" customFormat="1" ht="12.75" x14ac:dyDescent="0.2">
      <c r="B62759" s="1168"/>
    </row>
    <row r="62760" spans="2:2" s="221" customFormat="1" ht="12.75" x14ac:dyDescent="0.2">
      <c r="B62760" s="1168"/>
    </row>
    <row r="62761" spans="2:2" s="221" customFormat="1" ht="12.75" x14ac:dyDescent="0.2">
      <c r="B62761" s="1168"/>
    </row>
    <row r="62762" spans="2:2" s="221" customFormat="1" ht="12.75" x14ac:dyDescent="0.2">
      <c r="B62762" s="1168"/>
    </row>
    <row r="62763" spans="2:2" s="221" customFormat="1" ht="12.75" x14ac:dyDescent="0.2">
      <c r="B62763" s="1168"/>
    </row>
    <row r="62764" spans="2:2" s="221" customFormat="1" ht="12.75" x14ac:dyDescent="0.2">
      <c r="B62764" s="1168"/>
    </row>
    <row r="62765" spans="2:2" s="221" customFormat="1" ht="12.75" x14ac:dyDescent="0.2">
      <c r="B62765" s="1168"/>
    </row>
    <row r="62766" spans="2:2" s="221" customFormat="1" ht="12.75" x14ac:dyDescent="0.2">
      <c r="B62766" s="1168"/>
    </row>
    <row r="62767" spans="2:2" s="221" customFormat="1" ht="12.75" x14ac:dyDescent="0.2">
      <c r="B62767" s="1168"/>
    </row>
    <row r="62768" spans="2:2" s="221" customFormat="1" ht="12.75" x14ac:dyDescent="0.2">
      <c r="B62768" s="1168"/>
    </row>
    <row r="62769" spans="2:2" s="221" customFormat="1" ht="12.75" x14ac:dyDescent="0.2">
      <c r="B62769" s="1168"/>
    </row>
    <row r="62770" spans="2:2" s="221" customFormat="1" ht="12.75" x14ac:dyDescent="0.2">
      <c r="B62770" s="1168"/>
    </row>
    <row r="62771" spans="2:2" s="221" customFormat="1" ht="12.75" x14ac:dyDescent="0.2">
      <c r="B62771" s="1168"/>
    </row>
    <row r="62772" spans="2:2" s="221" customFormat="1" ht="12.75" x14ac:dyDescent="0.2">
      <c r="B62772" s="1168"/>
    </row>
    <row r="62773" spans="2:2" s="221" customFormat="1" ht="12.75" x14ac:dyDescent="0.2">
      <c r="B62773" s="1168"/>
    </row>
    <row r="62774" spans="2:2" s="221" customFormat="1" ht="12.75" x14ac:dyDescent="0.2">
      <c r="B62774" s="1168"/>
    </row>
    <row r="62775" spans="2:2" s="221" customFormat="1" ht="12.75" x14ac:dyDescent="0.2">
      <c r="B62775" s="1168"/>
    </row>
    <row r="62776" spans="2:2" s="221" customFormat="1" ht="12.75" x14ac:dyDescent="0.2">
      <c r="B62776" s="1168"/>
    </row>
    <row r="62777" spans="2:2" s="221" customFormat="1" ht="12.75" x14ac:dyDescent="0.2">
      <c r="B62777" s="1168"/>
    </row>
    <row r="62778" spans="2:2" s="221" customFormat="1" ht="12.75" x14ac:dyDescent="0.2">
      <c r="B62778" s="1168"/>
    </row>
    <row r="62779" spans="2:2" s="221" customFormat="1" ht="12.75" x14ac:dyDescent="0.2">
      <c r="B62779" s="1168"/>
    </row>
    <row r="62780" spans="2:2" s="221" customFormat="1" ht="12.75" x14ac:dyDescent="0.2">
      <c r="B62780" s="1168"/>
    </row>
    <row r="62781" spans="2:2" s="221" customFormat="1" ht="12.75" x14ac:dyDescent="0.2">
      <c r="B62781" s="1168"/>
    </row>
    <row r="62782" spans="2:2" s="221" customFormat="1" ht="12.75" x14ac:dyDescent="0.2">
      <c r="B62782" s="1168"/>
    </row>
    <row r="62783" spans="2:2" s="221" customFormat="1" ht="12.75" x14ac:dyDescent="0.2">
      <c r="B62783" s="1168"/>
    </row>
    <row r="62784" spans="2:2" s="221" customFormat="1" ht="12.75" x14ac:dyDescent="0.2">
      <c r="B62784" s="1168"/>
    </row>
    <row r="62785" spans="2:2" s="221" customFormat="1" ht="12.75" x14ac:dyDescent="0.2">
      <c r="B62785" s="1168"/>
    </row>
    <row r="62786" spans="2:2" s="221" customFormat="1" ht="12.75" x14ac:dyDescent="0.2">
      <c r="B62786" s="1168"/>
    </row>
    <row r="62787" spans="2:2" s="221" customFormat="1" ht="12.75" x14ac:dyDescent="0.2">
      <c r="B62787" s="1168"/>
    </row>
    <row r="62788" spans="2:2" s="221" customFormat="1" ht="12.75" x14ac:dyDescent="0.2">
      <c r="B62788" s="1168"/>
    </row>
    <row r="62789" spans="2:2" s="221" customFormat="1" ht="12.75" x14ac:dyDescent="0.2">
      <c r="B62789" s="1168"/>
    </row>
    <row r="62790" spans="2:2" s="221" customFormat="1" ht="12.75" x14ac:dyDescent="0.2">
      <c r="B62790" s="1168"/>
    </row>
    <row r="62791" spans="2:2" s="221" customFormat="1" ht="12.75" x14ac:dyDescent="0.2">
      <c r="B62791" s="1168"/>
    </row>
    <row r="62792" spans="2:2" s="221" customFormat="1" ht="12.75" x14ac:dyDescent="0.2">
      <c r="B62792" s="1168"/>
    </row>
    <row r="62793" spans="2:2" s="221" customFormat="1" ht="12.75" x14ac:dyDescent="0.2">
      <c r="B62793" s="1168"/>
    </row>
    <row r="62794" spans="2:2" s="221" customFormat="1" ht="12.75" x14ac:dyDescent="0.2">
      <c r="B62794" s="1168"/>
    </row>
    <row r="62795" spans="2:2" s="221" customFormat="1" ht="12.75" x14ac:dyDescent="0.2">
      <c r="B62795" s="1168"/>
    </row>
    <row r="62796" spans="2:2" s="221" customFormat="1" ht="12.75" x14ac:dyDescent="0.2">
      <c r="B62796" s="1168"/>
    </row>
    <row r="62797" spans="2:2" s="221" customFormat="1" ht="12.75" x14ac:dyDescent="0.2">
      <c r="B62797" s="1168"/>
    </row>
    <row r="62798" spans="2:2" s="221" customFormat="1" ht="12.75" x14ac:dyDescent="0.2">
      <c r="B62798" s="1168"/>
    </row>
    <row r="62799" spans="2:2" s="221" customFormat="1" ht="12.75" x14ac:dyDescent="0.2">
      <c r="B62799" s="1168"/>
    </row>
    <row r="62800" spans="2:2" s="221" customFormat="1" ht="12.75" x14ac:dyDescent="0.2">
      <c r="B62800" s="1168"/>
    </row>
    <row r="62801" spans="2:2" s="221" customFormat="1" ht="12.75" x14ac:dyDescent="0.2">
      <c r="B62801" s="1168"/>
    </row>
    <row r="62802" spans="2:2" s="221" customFormat="1" ht="12.75" x14ac:dyDescent="0.2">
      <c r="B62802" s="1168"/>
    </row>
    <row r="62803" spans="2:2" s="221" customFormat="1" ht="12.75" x14ac:dyDescent="0.2">
      <c r="B62803" s="1168"/>
    </row>
    <row r="62804" spans="2:2" s="221" customFormat="1" ht="12.75" x14ac:dyDescent="0.2">
      <c r="B62804" s="1168"/>
    </row>
    <row r="62805" spans="2:2" s="221" customFormat="1" ht="12.75" x14ac:dyDescent="0.2">
      <c r="B62805" s="1168"/>
    </row>
    <row r="62806" spans="2:2" s="221" customFormat="1" ht="12.75" x14ac:dyDescent="0.2">
      <c r="B62806" s="1168"/>
    </row>
    <row r="62807" spans="2:2" s="221" customFormat="1" ht="12.75" x14ac:dyDescent="0.2">
      <c r="B62807" s="1168"/>
    </row>
    <row r="62808" spans="2:2" s="221" customFormat="1" ht="12.75" x14ac:dyDescent="0.2">
      <c r="B62808" s="1168"/>
    </row>
    <row r="62809" spans="2:2" s="221" customFormat="1" ht="12.75" x14ac:dyDescent="0.2">
      <c r="B62809" s="1168"/>
    </row>
    <row r="62810" spans="2:2" s="221" customFormat="1" ht="12.75" x14ac:dyDescent="0.2">
      <c r="B62810" s="1168"/>
    </row>
    <row r="62811" spans="2:2" s="221" customFormat="1" ht="12.75" x14ac:dyDescent="0.2">
      <c r="B62811" s="1168"/>
    </row>
    <row r="62812" spans="2:2" s="221" customFormat="1" ht="12.75" x14ac:dyDescent="0.2">
      <c r="B62812" s="1168"/>
    </row>
    <row r="62813" spans="2:2" s="221" customFormat="1" ht="12.75" x14ac:dyDescent="0.2">
      <c r="B62813" s="1168"/>
    </row>
    <row r="62814" spans="2:2" s="221" customFormat="1" ht="12.75" x14ac:dyDescent="0.2">
      <c r="B62814" s="1168"/>
    </row>
    <row r="62815" spans="2:2" s="221" customFormat="1" ht="12.75" x14ac:dyDescent="0.2">
      <c r="B62815" s="1168"/>
    </row>
    <row r="62816" spans="2:2" s="221" customFormat="1" ht="12.75" x14ac:dyDescent="0.2">
      <c r="B62816" s="1168"/>
    </row>
    <row r="62817" spans="2:2" s="221" customFormat="1" ht="12.75" x14ac:dyDescent="0.2">
      <c r="B62817" s="1168"/>
    </row>
    <row r="62818" spans="2:2" s="221" customFormat="1" ht="12.75" x14ac:dyDescent="0.2">
      <c r="B62818" s="1168"/>
    </row>
    <row r="62819" spans="2:2" s="221" customFormat="1" ht="12.75" x14ac:dyDescent="0.2">
      <c r="B62819" s="1168"/>
    </row>
    <row r="62820" spans="2:2" s="221" customFormat="1" ht="12.75" x14ac:dyDescent="0.2">
      <c r="B62820" s="1168"/>
    </row>
    <row r="62821" spans="2:2" s="221" customFormat="1" ht="12.75" x14ac:dyDescent="0.2">
      <c r="B62821" s="1168"/>
    </row>
    <row r="62822" spans="2:2" s="221" customFormat="1" ht="12.75" x14ac:dyDescent="0.2">
      <c r="B62822" s="1168"/>
    </row>
    <row r="62823" spans="2:2" s="221" customFormat="1" ht="12.75" x14ac:dyDescent="0.2">
      <c r="B62823" s="1168"/>
    </row>
    <row r="62824" spans="2:2" s="221" customFormat="1" ht="12.75" x14ac:dyDescent="0.2">
      <c r="B62824" s="1168"/>
    </row>
    <row r="62825" spans="2:2" s="221" customFormat="1" ht="12.75" x14ac:dyDescent="0.2">
      <c r="B62825" s="1168"/>
    </row>
    <row r="62826" spans="2:2" s="221" customFormat="1" ht="12.75" x14ac:dyDescent="0.2">
      <c r="B62826" s="1168"/>
    </row>
    <row r="62827" spans="2:2" s="221" customFormat="1" ht="12.75" x14ac:dyDescent="0.2">
      <c r="B62827" s="1168"/>
    </row>
    <row r="62828" spans="2:2" s="221" customFormat="1" ht="12.75" x14ac:dyDescent="0.2">
      <c r="B62828" s="1168"/>
    </row>
    <row r="62829" spans="2:2" s="221" customFormat="1" ht="12.75" x14ac:dyDescent="0.2">
      <c r="B62829" s="1168"/>
    </row>
    <row r="62830" spans="2:2" s="221" customFormat="1" ht="12.75" x14ac:dyDescent="0.2">
      <c r="B62830" s="1168"/>
    </row>
    <row r="62831" spans="2:2" s="221" customFormat="1" ht="12.75" x14ac:dyDescent="0.2">
      <c r="B62831" s="1168"/>
    </row>
    <row r="62832" spans="2:2" s="221" customFormat="1" ht="12.75" x14ac:dyDescent="0.2">
      <c r="B62832" s="1168"/>
    </row>
    <row r="62833" spans="2:2" s="221" customFormat="1" ht="12.75" x14ac:dyDescent="0.2">
      <c r="B62833" s="1168"/>
    </row>
    <row r="62834" spans="2:2" s="221" customFormat="1" ht="12.75" x14ac:dyDescent="0.2">
      <c r="B62834" s="1168"/>
    </row>
    <row r="62835" spans="2:2" s="221" customFormat="1" ht="12.75" x14ac:dyDescent="0.2">
      <c r="B62835" s="1168"/>
    </row>
    <row r="62836" spans="2:2" s="221" customFormat="1" ht="12.75" x14ac:dyDescent="0.2">
      <c r="B62836" s="1168"/>
    </row>
    <row r="62837" spans="2:2" s="221" customFormat="1" ht="12.75" x14ac:dyDescent="0.2">
      <c r="B62837" s="1168"/>
    </row>
    <row r="62838" spans="2:2" s="221" customFormat="1" ht="12.75" x14ac:dyDescent="0.2">
      <c r="B62838" s="1168"/>
    </row>
    <row r="62839" spans="2:2" s="221" customFormat="1" ht="12.75" x14ac:dyDescent="0.2">
      <c r="B62839" s="1168"/>
    </row>
    <row r="62840" spans="2:2" s="221" customFormat="1" ht="12.75" x14ac:dyDescent="0.2">
      <c r="B62840" s="1168"/>
    </row>
    <row r="62841" spans="2:2" s="221" customFormat="1" ht="12.75" x14ac:dyDescent="0.2">
      <c r="B62841" s="1168"/>
    </row>
    <row r="62842" spans="2:2" s="221" customFormat="1" ht="12.75" x14ac:dyDescent="0.2">
      <c r="B62842" s="1168"/>
    </row>
    <row r="62843" spans="2:2" s="221" customFormat="1" ht="12.75" x14ac:dyDescent="0.2">
      <c r="B62843" s="1168"/>
    </row>
    <row r="62844" spans="2:2" s="221" customFormat="1" ht="12.75" x14ac:dyDescent="0.2">
      <c r="B62844" s="1168"/>
    </row>
    <row r="62845" spans="2:2" s="221" customFormat="1" ht="12.75" x14ac:dyDescent="0.2">
      <c r="B62845" s="1168"/>
    </row>
    <row r="62846" spans="2:2" s="221" customFormat="1" ht="12.75" x14ac:dyDescent="0.2">
      <c r="B62846" s="1168"/>
    </row>
    <row r="62847" spans="2:2" s="221" customFormat="1" ht="12.75" x14ac:dyDescent="0.2">
      <c r="B62847" s="1168"/>
    </row>
    <row r="62848" spans="2:2" s="221" customFormat="1" ht="12.75" x14ac:dyDescent="0.2">
      <c r="B62848" s="1168"/>
    </row>
    <row r="62849" spans="2:2" s="221" customFormat="1" ht="12.75" x14ac:dyDescent="0.2">
      <c r="B62849" s="1168"/>
    </row>
    <row r="62850" spans="2:2" s="221" customFormat="1" ht="12.75" x14ac:dyDescent="0.2">
      <c r="B62850" s="1168"/>
    </row>
    <row r="62851" spans="2:2" s="221" customFormat="1" ht="12.75" x14ac:dyDescent="0.2">
      <c r="B62851" s="1168"/>
    </row>
    <row r="62852" spans="2:2" s="221" customFormat="1" ht="12.75" x14ac:dyDescent="0.2">
      <c r="B62852" s="1168"/>
    </row>
    <row r="62853" spans="2:2" s="221" customFormat="1" ht="12.75" x14ac:dyDescent="0.2">
      <c r="B62853" s="1168"/>
    </row>
    <row r="62854" spans="2:2" s="221" customFormat="1" ht="12.75" x14ac:dyDescent="0.2">
      <c r="B62854" s="1168"/>
    </row>
    <row r="62855" spans="2:2" s="221" customFormat="1" ht="12.75" x14ac:dyDescent="0.2">
      <c r="B62855" s="1168"/>
    </row>
    <row r="62856" spans="2:2" s="221" customFormat="1" ht="12.75" x14ac:dyDescent="0.2">
      <c r="B62856" s="1168"/>
    </row>
    <row r="62857" spans="2:2" s="221" customFormat="1" ht="12.75" x14ac:dyDescent="0.2">
      <c r="B62857" s="1168"/>
    </row>
    <row r="62858" spans="2:2" s="221" customFormat="1" ht="12.75" x14ac:dyDescent="0.2">
      <c r="B62858" s="1168"/>
    </row>
    <row r="62859" spans="2:2" s="221" customFormat="1" ht="12.75" x14ac:dyDescent="0.2">
      <c r="B62859" s="1168"/>
    </row>
    <row r="62860" spans="2:2" s="221" customFormat="1" ht="12.75" x14ac:dyDescent="0.2">
      <c r="B62860" s="1168"/>
    </row>
    <row r="62861" spans="2:2" s="221" customFormat="1" ht="12.75" x14ac:dyDescent="0.2">
      <c r="B62861" s="1168"/>
    </row>
    <row r="62862" spans="2:2" s="221" customFormat="1" ht="12.75" x14ac:dyDescent="0.2">
      <c r="B62862" s="1168"/>
    </row>
    <row r="62863" spans="2:2" s="221" customFormat="1" ht="12.75" x14ac:dyDescent="0.2">
      <c r="B62863" s="1168"/>
    </row>
    <row r="62864" spans="2:2" s="221" customFormat="1" ht="12.75" x14ac:dyDescent="0.2">
      <c r="B62864" s="1168"/>
    </row>
    <row r="62865" spans="2:2" s="221" customFormat="1" ht="12.75" x14ac:dyDescent="0.2">
      <c r="B62865" s="1168"/>
    </row>
    <row r="62866" spans="2:2" s="221" customFormat="1" ht="12.75" x14ac:dyDescent="0.2">
      <c r="B62866" s="1168"/>
    </row>
    <row r="62867" spans="2:2" s="221" customFormat="1" ht="12.75" x14ac:dyDescent="0.2">
      <c r="B62867" s="1168"/>
    </row>
    <row r="62868" spans="2:2" s="221" customFormat="1" ht="12.75" x14ac:dyDescent="0.2">
      <c r="B62868" s="1168"/>
    </row>
    <row r="62869" spans="2:2" s="221" customFormat="1" ht="12.75" x14ac:dyDescent="0.2">
      <c r="B62869" s="1168"/>
    </row>
    <row r="62870" spans="2:2" s="221" customFormat="1" ht="12.75" x14ac:dyDescent="0.2">
      <c r="B62870" s="1168"/>
    </row>
    <row r="62871" spans="2:2" s="221" customFormat="1" ht="12.75" x14ac:dyDescent="0.2">
      <c r="B62871" s="1168"/>
    </row>
    <row r="62872" spans="2:2" s="221" customFormat="1" ht="12.75" x14ac:dyDescent="0.2">
      <c r="B62872" s="1168"/>
    </row>
    <row r="62873" spans="2:2" s="221" customFormat="1" ht="12.75" x14ac:dyDescent="0.2">
      <c r="B62873" s="1168"/>
    </row>
    <row r="62874" spans="2:2" s="221" customFormat="1" ht="12.75" x14ac:dyDescent="0.2">
      <c r="B62874" s="1168"/>
    </row>
    <row r="62875" spans="2:2" s="221" customFormat="1" ht="12.75" x14ac:dyDescent="0.2">
      <c r="B62875" s="1168"/>
    </row>
    <row r="62876" spans="2:2" s="221" customFormat="1" ht="12.75" x14ac:dyDescent="0.2">
      <c r="B62876" s="1168"/>
    </row>
    <row r="62877" spans="2:2" s="221" customFormat="1" ht="12.75" x14ac:dyDescent="0.2">
      <c r="B62877" s="1168"/>
    </row>
    <row r="62878" spans="2:2" s="221" customFormat="1" ht="12.75" x14ac:dyDescent="0.2">
      <c r="B62878" s="1168"/>
    </row>
    <row r="62879" spans="2:2" s="221" customFormat="1" ht="12.75" x14ac:dyDescent="0.2">
      <c r="B62879" s="1168"/>
    </row>
    <row r="62880" spans="2:2" s="221" customFormat="1" ht="12.75" x14ac:dyDescent="0.2">
      <c r="B62880" s="1168"/>
    </row>
    <row r="62881" spans="2:2" s="221" customFormat="1" ht="12.75" x14ac:dyDescent="0.2">
      <c r="B62881" s="1168"/>
    </row>
    <row r="62882" spans="2:2" s="221" customFormat="1" ht="12.75" x14ac:dyDescent="0.2">
      <c r="B62882" s="1168"/>
    </row>
    <row r="62883" spans="2:2" s="221" customFormat="1" ht="12.75" x14ac:dyDescent="0.2">
      <c r="B62883" s="1168"/>
    </row>
    <row r="62884" spans="2:2" s="221" customFormat="1" ht="12.75" x14ac:dyDescent="0.2">
      <c r="B62884" s="1168"/>
    </row>
    <row r="62885" spans="2:2" s="221" customFormat="1" ht="12.75" x14ac:dyDescent="0.2">
      <c r="B62885" s="1168"/>
    </row>
    <row r="62886" spans="2:2" s="221" customFormat="1" ht="12.75" x14ac:dyDescent="0.2">
      <c r="B62886" s="1168"/>
    </row>
    <row r="62887" spans="2:2" s="221" customFormat="1" ht="12.75" x14ac:dyDescent="0.2">
      <c r="B62887" s="1168"/>
    </row>
    <row r="62888" spans="2:2" s="221" customFormat="1" ht="12.75" x14ac:dyDescent="0.2">
      <c r="B62888" s="1168"/>
    </row>
    <row r="62889" spans="2:2" s="221" customFormat="1" ht="12.75" x14ac:dyDescent="0.2">
      <c r="B62889" s="1168"/>
    </row>
    <row r="62890" spans="2:2" s="221" customFormat="1" ht="12.75" x14ac:dyDescent="0.2">
      <c r="B62890" s="1168"/>
    </row>
    <row r="62891" spans="2:2" s="221" customFormat="1" ht="12.75" x14ac:dyDescent="0.2">
      <c r="B62891" s="1168"/>
    </row>
    <row r="62892" spans="2:2" s="221" customFormat="1" ht="12.75" x14ac:dyDescent="0.2">
      <c r="B62892" s="1168"/>
    </row>
    <row r="62893" spans="2:2" s="221" customFormat="1" ht="12.75" x14ac:dyDescent="0.2">
      <c r="B62893" s="1168"/>
    </row>
    <row r="62894" spans="2:2" s="221" customFormat="1" ht="12.75" x14ac:dyDescent="0.2">
      <c r="B62894" s="1168"/>
    </row>
    <row r="62895" spans="2:2" s="221" customFormat="1" ht="12.75" x14ac:dyDescent="0.2">
      <c r="B62895" s="1168"/>
    </row>
    <row r="62896" spans="2:2" s="221" customFormat="1" ht="12.75" x14ac:dyDescent="0.2">
      <c r="B62896" s="1168"/>
    </row>
    <row r="62897" spans="2:2" s="221" customFormat="1" ht="12.75" x14ac:dyDescent="0.2">
      <c r="B62897" s="1168"/>
    </row>
    <row r="62898" spans="2:2" s="221" customFormat="1" ht="12.75" x14ac:dyDescent="0.2">
      <c r="B62898" s="1168"/>
    </row>
    <row r="62899" spans="2:2" s="221" customFormat="1" ht="12.75" x14ac:dyDescent="0.2">
      <c r="B62899" s="1168"/>
    </row>
    <row r="62900" spans="2:2" s="221" customFormat="1" ht="12.75" x14ac:dyDescent="0.2">
      <c r="B62900" s="1168"/>
    </row>
    <row r="62901" spans="2:2" s="221" customFormat="1" ht="12.75" x14ac:dyDescent="0.2">
      <c r="B62901" s="1168"/>
    </row>
    <row r="62902" spans="2:2" s="221" customFormat="1" ht="12.75" x14ac:dyDescent="0.2">
      <c r="B62902" s="1168"/>
    </row>
    <row r="62903" spans="2:2" s="221" customFormat="1" ht="12.75" x14ac:dyDescent="0.2">
      <c r="B62903" s="1168"/>
    </row>
    <row r="62904" spans="2:2" s="221" customFormat="1" ht="12.75" x14ac:dyDescent="0.2">
      <c r="B62904" s="1168"/>
    </row>
    <row r="62905" spans="2:2" s="221" customFormat="1" ht="12.75" x14ac:dyDescent="0.2">
      <c r="B62905" s="1168"/>
    </row>
    <row r="62906" spans="2:2" s="221" customFormat="1" ht="12.75" x14ac:dyDescent="0.2">
      <c r="B62906" s="1168"/>
    </row>
    <row r="62907" spans="2:2" s="221" customFormat="1" ht="12.75" x14ac:dyDescent="0.2">
      <c r="B62907" s="1168"/>
    </row>
    <row r="62908" spans="2:2" s="221" customFormat="1" ht="12.75" x14ac:dyDescent="0.2">
      <c r="B62908" s="1168"/>
    </row>
    <row r="62909" spans="2:2" s="221" customFormat="1" ht="12.75" x14ac:dyDescent="0.2">
      <c r="B62909" s="1168"/>
    </row>
    <row r="62910" spans="2:2" s="221" customFormat="1" ht="12.75" x14ac:dyDescent="0.2">
      <c r="B62910" s="1168"/>
    </row>
    <row r="62911" spans="2:2" s="221" customFormat="1" ht="12.75" x14ac:dyDescent="0.2">
      <c r="B62911" s="1168"/>
    </row>
    <row r="62912" spans="2:2" s="221" customFormat="1" ht="12.75" x14ac:dyDescent="0.2">
      <c r="B62912" s="1168"/>
    </row>
    <row r="62913" spans="2:2" s="221" customFormat="1" ht="12.75" x14ac:dyDescent="0.2">
      <c r="B62913" s="1168"/>
    </row>
    <row r="62914" spans="2:2" s="221" customFormat="1" ht="12.75" x14ac:dyDescent="0.2">
      <c r="B62914" s="1168"/>
    </row>
    <row r="62915" spans="2:2" s="221" customFormat="1" ht="12.75" x14ac:dyDescent="0.2">
      <c r="B62915" s="1168"/>
    </row>
    <row r="62916" spans="2:2" s="221" customFormat="1" ht="12.75" x14ac:dyDescent="0.2">
      <c r="B62916" s="1168"/>
    </row>
    <row r="62917" spans="2:2" s="221" customFormat="1" ht="12.75" x14ac:dyDescent="0.2">
      <c r="B62917" s="1168"/>
    </row>
    <row r="62918" spans="2:2" s="221" customFormat="1" ht="12.75" x14ac:dyDescent="0.2">
      <c r="B62918" s="1168"/>
    </row>
    <row r="62919" spans="2:2" s="221" customFormat="1" ht="12.75" x14ac:dyDescent="0.2">
      <c r="B62919" s="1168"/>
    </row>
    <row r="62920" spans="2:2" s="221" customFormat="1" ht="12.75" x14ac:dyDescent="0.2">
      <c r="B62920" s="1168"/>
    </row>
    <row r="62921" spans="2:2" s="221" customFormat="1" ht="12.75" x14ac:dyDescent="0.2">
      <c r="B62921" s="1168"/>
    </row>
    <row r="62922" spans="2:2" s="221" customFormat="1" ht="12.75" x14ac:dyDescent="0.2">
      <c r="B62922" s="1168"/>
    </row>
    <row r="62923" spans="2:2" s="221" customFormat="1" ht="12.75" x14ac:dyDescent="0.2">
      <c r="B62923" s="1168"/>
    </row>
    <row r="62924" spans="2:2" s="221" customFormat="1" ht="12.75" x14ac:dyDescent="0.2">
      <c r="B62924" s="1168"/>
    </row>
    <row r="62925" spans="2:2" s="221" customFormat="1" ht="12.75" x14ac:dyDescent="0.2">
      <c r="B62925" s="1168"/>
    </row>
    <row r="62926" spans="2:2" s="221" customFormat="1" ht="12.75" x14ac:dyDescent="0.2">
      <c r="B62926" s="1168"/>
    </row>
    <row r="62927" spans="2:2" s="221" customFormat="1" ht="12.75" x14ac:dyDescent="0.2">
      <c r="B62927" s="1168"/>
    </row>
    <row r="62928" spans="2:2" s="221" customFormat="1" ht="12.75" x14ac:dyDescent="0.2">
      <c r="B62928" s="1168"/>
    </row>
    <row r="62929" spans="2:2" s="221" customFormat="1" ht="12.75" x14ac:dyDescent="0.2">
      <c r="B62929" s="1168"/>
    </row>
    <row r="62930" spans="2:2" s="221" customFormat="1" ht="12.75" x14ac:dyDescent="0.2">
      <c r="B62930" s="1168"/>
    </row>
    <row r="62931" spans="2:2" s="221" customFormat="1" ht="12.75" x14ac:dyDescent="0.2">
      <c r="B62931" s="1168"/>
    </row>
    <row r="62932" spans="2:2" s="221" customFormat="1" ht="12.75" x14ac:dyDescent="0.2">
      <c r="B62932" s="1168"/>
    </row>
    <row r="62933" spans="2:2" s="221" customFormat="1" ht="12.75" x14ac:dyDescent="0.2">
      <c r="B62933" s="1168"/>
    </row>
    <row r="62934" spans="2:2" s="221" customFormat="1" ht="12.75" x14ac:dyDescent="0.2">
      <c r="B62934" s="1168"/>
    </row>
    <row r="62935" spans="2:2" s="221" customFormat="1" ht="12.75" x14ac:dyDescent="0.2">
      <c r="B62935" s="1168"/>
    </row>
    <row r="62936" spans="2:2" s="221" customFormat="1" ht="12.75" x14ac:dyDescent="0.2">
      <c r="B62936" s="1168"/>
    </row>
    <row r="62937" spans="2:2" s="221" customFormat="1" ht="12.75" x14ac:dyDescent="0.2">
      <c r="B62937" s="1168"/>
    </row>
    <row r="62938" spans="2:2" s="221" customFormat="1" ht="12.75" x14ac:dyDescent="0.2">
      <c r="B62938" s="1168"/>
    </row>
    <row r="62939" spans="2:2" s="221" customFormat="1" ht="12.75" x14ac:dyDescent="0.2">
      <c r="B62939" s="1168"/>
    </row>
    <row r="62940" spans="2:2" s="221" customFormat="1" ht="12.75" x14ac:dyDescent="0.2">
      <c r="B62940" s="1168"/>
    </row>
    <row r="62941" spans="2:2" s="221" customFormat="1" ht="12.75" x14ac:dyDescent="0.2">
      <c r="B62941" s="1168"/>
    </row>
    <row r="62942" spans="2:2" s="221" customFormat="1" ht="12.75" x14ac:dyDescent="0.2">
      <c r="B62942" s="1168"/>
    </row>
    <row r="62943" spans="2:2" s="221" customFormat="1" ht="12.75" x14ac:dyDescent="0.2">
      <c r="B62943" s="1168"/>
    </row>
    <row r="62944" spans="2:2" s="221" customFormat="1" ht="12.75" x14ac:dyDescent="0.2">
      <c r="B62944" s="1168"/>
    </row>
    <row r="62945" spans="2:2" s="221" customFormat="1" ht="12.75" x14ac:dyDescent="0.2">
      <c r="B62945" s="1168"/>
    </row>
    <row r="62946" spans="2:2" s="221" customFormat="1" ht="12.75" x14ac:dyDescent="0.2">
      <c r="B62946" s="1168"/>
    </row>
    <row r="62947" spans="2:2" s="221" customFormat="1" ht="12.75" x14ac:dyDescent="0.2">
      <c r="B62947" s="1168"/>
    </row>
    <row r="62948" spans="2:2" s="221" customFormat="1" ht="12.75" x14ac:dyDescent="0.2">
      <c r="B62948" s="1168"/>
    </row>
    <row r="62949" spans="2:2" s="221" customFormat="1" ht="12.75" x14ac:dyDescent="0.2">
      <c r="B62949" s="1168"/>
    </row>
    <row r="62950" spans="2:2" s="221" customFormat="1" ht="12.75" x14ac:dyDescent="0.2">
      <c r="B62950" s="1168"/>
    </row>
    <row r="62951" spans="2:2" s="221" customFormat="1" ht="12.75" x14ac:dyDescent="0.2">
      <c r="B62951" s="1168"/>
    </row>
    <row r="62952" spans="2:2" s="221" customFormat="1" ht="12.75" x14ac:dyDescent="0.2">
      <c r="B62952" s="1168"/>
    </row>
    <row r="62953" spans="2:2" s="221" customFormat="1" ht="12.75" x14ac:dyDescent="0.2">
      <c r="B62953" s="1168"/>
    </row>
    <row r="62954" spans="2:2" s="221" customFormat="1" ht="12.75" x14ac:dyDescent="0.2">
      <c r="B62954" s="1168"/>
    </row>
    <row r="62955" spans="2:2" s="221" customFormat="1" ht="12.75" x14ac:dyDescent="0.2">
      <c r="B62955" s="1168"/>
    </row>
    <row r="62956" spans="2:2" s="221" customFormat="1" ht="12.75" x14ac:dyDescent="0.2">
      <c r="B62956" s="1168"/>
    </row>
    <row r="62957" spans="2:2" s="221" customFormat="1" ht="12.75" x14ac:dyDescent="0.2">
      <c r="B62957" s="1168"/>
    </row>
    <row r="62958" spans="2:2" s="221" customFormat="1" ht="12.75" x14ac:dyDescent="0.2">
      <c r="B62958" s="1168"/>
    </row>
    <row r="62959" spans="2:2" s="221" customFormat="1" ht="12.75" x14ac:dyDescent="0.2">
      <c r="B62959" s="1168"/>
    </row>
    <row r="62960" spans="2:2" s="221" customFormat="1" ht="12.75" x14ac:dyDescent="0.2">
      <c r="B62960" s="1168"/>
    </row>
    <row r="62961" spans="2:2" s="221" customFormat="1" ht="12.75" x14ac:dyDescent="0.2">
      <c r="B62961" s="1168"/>
    </row>
    <row r="62962" spans="2:2" s="221" customFormat="1" ht="12.75" x14ac:dyDescent="0.2">
      <c r="B62962" s="1168"/>
    </row>
    <row r="62963" spans="2:2" s="221" customFormat="1" ht="12.75" x14ac:dyDescent="0.2">
      <c r="B62963" s="1168"/>
    </row>
    <row r="62964" spans="2:2" s="221" customFormat="1" ht="12.75" x14ac:dyDescent="0.2">
      <c r="B62964" s="1168"/>
    </row>
    <row r="62965" spans="2:2" s="221" customFormat="1" ht="12.75" x14ac:dyDescent="0.2">
      <c r="B62965" s="1168"/>
    </row>
    <row r="62966" spans="2:2" s="221" customFormat="1" ht="12.75" x14ac:dyDescent="0.2">
      <c r="B62966" s="1168"/>
    </row>
    <row r="62967" spans="2:2" s="221" customFormat="1" ht="12.75" x14ac:dyDescent="0.2">
      <c r="B62967" s="1168"/>
    </row>
    <row r="62968" spans="2:2" s="221" customFormat="1" ht="12.75" x14ac:dyDescent="0.2">
      <c r="B62968" s="1168"/>
    </row>
    <row r="62969" spans="2:2" s="221" customFormat="1" ht="12.75" x14ac:dyDescent="0.2">
      <c r="B62969" s="1168"/>
    </row>
    <row r="62970" spans="2:2" s="221" customFormat="1" ht="12.75" x14ac:dyDescent="0.2">
      <c r="B62970" s="1168"/>
    </row>
    <row r="62971" spans="2:2" s="221" customFormat="1" ht="12.75" x14ac:dyDescent="0.2">
      <c r="B62971" s="1168"/>
    </row>
    <row r="62972" spans="2:2" s="221" customFormat="1" ht="12.75" x14ac:dyDescent="0.2">
      <c r="B62972" s="1168"/>
    </row>
    <row r="62973" spans="2:2" s="221" customFormat="1" ht="12.75" x14ac:dyDescent="0.2">
      <c r="B62973" s="1168"/>
    </row>
    <row r="62974" spans="2:2" s="221" customFormat="1" ht="12.75" x14ac:dyDescent="0.2">
      <c r="B62974" s="1168"/>
    </row>
    <row r="62975" spans="2:2" s="221" customFormat="1" ht="12.75" x14ac:dyDescent="0.2">
      <c r="B62975" s="1168"/>
    </row>
    <row r="62976" spans="2:2" s="221" customFormat="1" ht="12.75" x14ac:dyDescent="0.2">
      <c r="B62976" s="1168"/>
    </row>
    <row r="62977" spans="2:2" s="221" customFormat="1" ht="12.75" x14ac:dyDescent="0.2">
      <c r="B62977" s="1168"/>
    </row>
    <row r="62978" spans="2:2" s="221" customFormat="1" ht="12.75" x14ac:dyDescent="0.2">
      <c r="B62978" s="1168"/>
    </row>
    <row r="62979" spans="2:2" s="221" customFormat="1" ht="12.75" x14ac:dyDescent="0.2">
      <c r="B62979" s="1168"/>
    </row>
    <row r="62980" spans="2:2" s="221" customFormat="1" ht="12.75" x14ac:dyDescent="0.2">
      <c r="B62980" s="1168"/>
    </row>
    <row r="62981" spans="2:2" s="221" customFormat="1" ht="12.75" x14ac:dyDescent="0.2">
      <c r="B62981" s="1168"/>
    </row>
    <row r="62982" spans="2:2" s="221" customFormat="1" ht="12.75" x14ac:dyDescent="0.2">
      <c r="B62982" s="1168"/>
    </row>
    <row r="62983" spans="2:2" s="221" customFormat="1" ht="12.75" x14ac:dyDescent="0.2">
      <c r="B62983" s="1168"/>
    </row>
    <row r="62984" spans="2:2" s="221" customFormat="1" ht="12.75" x14ac:dyDescent="0.2">
      <c r="B62984" s="1168"/>
    </row>
    <row r="62985" spans="2:2" s="221" customFormat="1" ht="12.75" x14ac:dyDescent="0.2">
      <c r="B62985" s="1168"/>
    </row>
    <row r="62986" spans="2:2" s="221" customFormat="1" ht="12.75" x14ac:dyDescent="0.2">
      <c r="B62986" s="1168"/>
    </row>
    <row r="62987" spans="2:2" s="221" customFormat="1" ht="12.75" x14ac:dyDescent="0.2">
      <c r="B62987" s="1168"/>
    </row>
    <row r="62988" spans="2:2" s="221" customFormat="1" ht="12.75" x14ac:dyDescent="0.2">
      <c r="B62988" s="1168"/>
    </row>
    <row r="62989" spans="2:2" s="221" customFormat="1" ht="12.75" x14ac:dyDescent="0.2">
      <c r="B62989" s="1168"/>
    </row>
    <row r="62990" spans="2:2" s="221" customFormat="1" ht="12.75" x14ac:dyDescent="0.2">
      <c r="B62990" s="1168"/>
    </row>
    <row r="62991" spans="2:2" s="221" customFormat="1" ht="12.75" x14ac:dyDescent="0.2">
      <c r="B62991" s="1168"/>
    </row>
    <row r="62992" spans="2:2" s="221" customFormat="1" ht="12.75" x14ac:dyDescent="0.2">
      <c r="B62992" s="1168"/>
    </row>
    <row r="62993" spans="2:2" s="221" customFormat="1" ht="12.75" x14ac:dyDescent="0.2">
      <c r="B62993" s="1168"/>
    </row>
    <row r="62994" spans="2:2" s="221" customFormat="1" ht="12.75" x14ac:dyDescent="0.2">
      <c r="B62994" s="1168"/>
    </row>
    <row r="62995" spans="2:2" s="221" customFormat="1" ht="12.75" x14ac:dyDescent="0.2">
      <c r="B62995" s="1168"/>
    </row>
    <row r="62996" spans="2:2" s="221" customFormat="1" ht="12.75" x14ac:dyDescent="0.2">
      <c r="B62996" s="1168"/>
    </row>
    <row r="62997" spans="2:2" s="221" customFormat="1" ht="12.75" x14ac:dyDescent="0.2">
      <c r="B62997" s="1168"/>
    </row>
    <row r="62998" spans="2:2" s="221" customFormat="1" ht="12.75" x14ac:dyDescent="0.2">
      <c r="B62998" s="1168"/>
    </row>
    <row r="62999" spans="2:2" s="221" customFormat="1" ht="12.75" x14ac:dyDescent="0.2">
      <c r="B62999" s="1168"/>
    </row>
    <row r="63000" spans="2:2" s="221" customFormat="1" ht="12.75" x14ac:dyDescent="0.2">
      <c r="B63000" s="1168"/>
    </row>
    <row r="63001" spans="2:2" s="221" customFormat="1" ht="12.75" x14ac:dyDescent="0.2">
      <c r="B63001" s="1168"/>
    </row>
    <row r="63002" spans="2:2" s="221" customFormat="1" ht="12.75" x14ac:dyDescent="0.2">
      <c r="B63002" s="1168"/>
    </row>
    <row r="63003" spans="2:2" s="221" customFormat="1" ht="12.75" x14ac:dyDescent="0.2">
      <c r="B63003" s="1168"/>
    </row>
    <row r="63004" spans="2:2" s="221" customFormat="1" ht="12.75" x14ac:dyDescent="0.2">
      <c r="B63004" s="1168"/>
    </row>
    <row r="63005" spans="2:2" s="221" customFormat="1" ht="12.75" x14ac:dyDescent="0.2">
      <c r="B63005" s="1168"/>
    </row>
    <row r="63006" spans="2:2" s="221" customFormat="1" ht="12.75" x14ac:dyDescent="0.2">
      <c r="B63006" s="1168"/>
    </row>
    <row r="63007" spans="2:2" s="221" customFormat="1" ht="12.75" x14ac:dyDescent="0.2">
      <c r="B63007" s="1168"/>
    </row>
    <row r="63008" spans="2:2" s="221" customFormat="1" ht="12.75" x14ac:dyDescent="0.2">
      <c r="B63008" s="1168"/>
    </row>
    <row r="63009" spans="2:2" s="221" customFormat="1" ht="12.75" x14ac:dyDescent="0.2">
      <c r="B63009" s="1168"/>
    </row>
    <row r="63010" spans="2:2" s="221" customFormat="1" ht="12.75" x14ac:dyDescent="0.2">
      <c r="B63010" s="1168"/>
    </row>
    <row r="63011" spans="2:2" s="221" customFormat="1" ht="12.75" x14ac:dyDescent="0.2">
      <c r="B63011" s="1168"/>
    </row>
    <row r="63012" spans="2:2" s="221" customFormat="1" ht="12.75" x14ac:dyDescent="0.2">
      <c r="B63012" s="1168"/>
    </row>
    <row r="63013" spans="2:2" s="221" customFormat="1" ht="12.75" x14ac:dyDescent="0.2">
      <c r="B63013" s="1168"/>
    </row>
    <row r="63014" spans="2:2" s="221" customFormat="1" ht="12.75" x14ac:dyDescent="0.2">
      <c r="B63014" s="1168"/>
    </row>
    <row r="63015" spans="2:2" s="221" customFormat="1" ht="12.75" x14ac:dyDescent="0.2">
      <c r="B63015" s="1168"/>
    </row>
    <row r="63016" spans="2:2" s="221" customFormat="1" ht="12.75" x14ac:dyDescent="0.2">
      <c r="B63016" s="1168"/>
    </row>
    <row r="63017" spans="2:2" s="221" customFormat="1" ht="12.75" x14ac:dyDescent="0.2">
      <c r="B63017" s="1168"/>
    </row>
    <row r="63018" spans="2:2" s="221" customFormat="1" ht="12.75" x14ac:dyDescent="0.2">
      <c r="B63018" s="1168"/>
    </row>
    <row r="63019" spans="2:2" s="221" customFormat="1" ht="12.75" x14ac:dyDescent="0.2">
      <c r="B63019" s="1168"/>
    </row>
    <row r="63020" spans="2:2" s="221" customFormat="1" ht="12.75" x14ac:dyDescent="0.2">
      <c r="B63020" s="1168"/>
    </row>
    <row r="63021" spans="2:2" s="221" customFormat="1" ht="12.75" x14ac:dyDescent="0.2">
      <c r="B63021" s="1168"/>
    </row>
    <row r="63022" spans="2:2" s="221" customFormat="1" ht="12.75" x14ac:dyDescent="0.2">
      <c r="B63022" s="1168"/>
    </row>
    <row r="63023" spans="2:2" s="221" customFormat="1" ht="12.75" x14ac:dyDescent="0.2">
      <c r="B63023" s="1168"/>
    </row>
    <row r="63024" spans="2:2" s="221" customFormat="1" ht="12.75" x14ac:dyDescent="0.2">
      <c r="B63024" s="1168"/>
    </row>
    <row r="63025" spans="2:2" s="221" customFormat="1" ht="12.75" x14ac:dyDescent="0.2">
      <c r="B63025" s="1168"/>
    </row>
    <row r="63026" spans="2:2" s="221" customFormat="1" ht="12.75" x14ac:dyDescent="0.2">
      <c r="B63026" s="1168"/>
    </row>
    <row r="63027" spans="2:2" s="221" customFormat="1" ht="12.75" x14ac:dyDescent="0.2">
      <c r="B63027" s="1168"/>
    </row>
    <row r="63028" spans="2:2" s="221" customFormat="1" ht="12.75" x14ac:dyDescent="0.2">
      <c r="B63028" s="1168"/>
    </row>
    <row r="63029" spans="2:2" s="221" customFormat="1" ht="12.75" x14ac:dyDescent="0.2">
      <c r="B63029" s="1168"/>
    </row>
    <row r="63030" spans="2:2" s="221" customFormat="1" ht="12.75" x14ac:dyDescent="0.2">
      <c r="B63030" s="1168"/>
    </row>
    <row r="63031" spans="2:2" s="221" customFormat="1" ht="12.75" x14ac:dyDescent="0.2">
      <c r="B63031" s="1168"/>
    </row>
    <row r="63032" spans="2:2" s="221" customFormat="1" ht="12.75" x14ac:dyDescent="0.2">
      <c r="B63032" s="1168"/>
    </row>
    <row r="63033" spans="2:2" s="221" customFormat="1" ht="12.75" x14ac:dyDescent="0.2">
      <c r="B63033" s="1168"/>
    </row>
    <row r="63034" spans="2:2" s="221" customFormat="1" ht="12.75" x14ac:dyDescent="0.2">
      <c r="B63034" s="1168"/>
    </row>
    <row r="63035" spans="2:2" s="221" customFormat="1" ht="12.75" x14ac:dyDescent="0.2">
      <c r="B63035" s="1168"/>
    </row>
    <row r="63036" spans="2:2" s="221" customFormat="1" ht="12.75" x14ac:dyDescent="0.2">
      <c r="B63036" s="1168"/>
    </row>
    <row r="63037" spans="2:2" s="221" customFormat="1" ht="12.75" x14ac:dyDescent="0.2">
      <c r="B63037" s="1168"/>
    </row>
    <row r="63038" spans="2:2" s="221" customFormat="1" ht="12.75" x14ac:dyDescent="0.2">
      <c r="B63038" s="1168"/>
    </row>
    <row r="63039" spans="2:2" s="221" customFormat="1" ht="12.75" x14ac:dyDescent="0.2">
      <c r="B63039" s="1168"/>
    </row>
    <row r="63040" spans="2:2" s="221" customFormat="1" ht="12.75" x14ac:dyDescent="0.2">
      <c r="B63040" s="1168"/>
    </row>
    <row r="63041" spans="2:2" s="221" customFormat="1" ht="12.75" x14ac:dyDescent="0.2">
      <c r="B63041" s="1168"/>
    </row>
    <row r="63042" spans="2:2" s="221" customFormat="1" ht="12.75" x14ac:dyDescent="0.2">
      <c r="B63042" s="1168"/>
    </row>
    <row r="63043" spans="2:2" s="221" customFormat="1" ht="12.75" x14ac:dyDescent="0.2">
      <c r="B63043" s="1168"/>
    </row>
    <row r="63044" spans="2:2" s="221" customFormat="1" ht="12.75" x14ac:dyDescent="0.2">
      <c r="B63044" s="1168"/>
    </row>
    <row r="63045" spans="2:2" s="221" customFormat="1" ht="12.75" x14ac:dyDescent="0.2">
      <c r="B63045" s="1168"/>
    </row>
    <row r="63046" spans="2:2" s="221" customFormat="1" ht="12.75" x14ac:dyDescent="0.2">
      <c r="B63046" s="1168"/>
    </row>
    <row r="63047" spans="2:2" s="221" customFormat="1" ht="12.75" x14ac:dyDescent="0.2">
      <c r="B63047" s="1168"/>
    </row>
    <row r="63048" spans="2:2" s="221" customFormat="1" ht="12.75" x14ac:dyDescent="0.2">
      <c r="B63048" s="1168"/>
    </row>
    <row r="63049" spans="2:2" s="221" customFormat="1" ht="12.75" x14ac:dyDescent="0.2">
      <c r="B63049" s="1168"/>
    </row>
    <row r="63050" spans="2:2" s="221" customFormat="1" ht="12.75" x14ac:dyDescent="0.2">
      <c r="B63050" s="1168"/>
    </row>
    <row r="63051" spans="2:2" s="221" customFormat="1" ht="12.75" x14ac:dyDescent="0.2">
      <c r="B63051" s="1168"/>
    </row>
    <row r="63052" spans="2:2" s="221" customFormat="1" ht="12.75" x14ac:dyDescent="0.2">
      <c r="B63052" s="1168"/>
    </row>
    <row r="63053" spans="2:2" s="221" customFormat="1" ht="12.75" x14ac:dyDescent="0.2">
      <c r="B63053" s="1168"/>
    </row>
    <row r="63054" spans="2:2" s="221" customFormat="1" ht="12.75" x14ac:dyDescent="0.2">
      <c r="B63054" s="1168"/>
    </row>
    <row r="63055" spans="2:2" s="221" customFormat="1" ht="12.75" x14ac:dyDescent="0.2">
      <c r="B63055" s="1168"/>
    </row>
    <row r="63056" spans="2:2" s="221" customFormat="1" ht="12.75" x14ac:dyDescent="0.2">
      <c r="B63056" s="1168"/>
    </row>
    <row r="63057" spans="2:2" s="221" customFormat="1" ht="12.75" x14ac:dyDescent="0.2">
      <c r="B63057" s="1168"/>
    </row>
    <row r="63058" spans="2:2" s="221" customFormat="1" ht="12.75" x14ac:dyDescent="0.2">
      <c r="B63058" s="1168"/>
    </row>
    <row r="63059" spans="2:2" s="221" customFormat="1" ht="12.75" x14ac:dyDescent="0.2">
      <c r="B63059" s="1168"/>
    </row>
    <row r="63060" spans="2:2" s="221" customFormat="1" ht="12.75" x14ac:dyDescent="0.2">
      <c r="B63060" s="1168"/>
    </row>
    <row r="63061" spans="2:2" s="221" customFormat="1" ht="12.75" x14ac:dyDescent="0.2">
      <c r="B63061" s="1168"/>
    </row>
    <row r="63062" spans="2:2" s="221" customFormat="1" ht="12.75" x14ac:dyDescent="0.2">
      <c r="B63062" s="1168"/>
    </row>
    <row r="63063" spans="2:2" s="221" customFormat="1" ht="12.75" x14ac:dyDescent="0.2">
      <c r="B63063" s="1168"/>
    </row>
    <row r="63064" spans="2:2" s="221" customFormat="1" ht="12.75" x14ac:dyDescent="0.2">
      <c r="B63064" s="1168"/>
    </row>
    <row r="63065" spans="2:2" s="221" customFormat="1" ht="12.75" x14ac:dyDescent="0.2">
      <c r="B63065" s="1168"/>
    </row>
    <row r="63066" spans="2:2" s="221" customFormat="1" ht="12.75" x14ac:dyDescent="0.2">
      <c r="B63066" s="1168"/>
    </row>
    <row r="63067" spans="2:2" s="221" customFormat="1" ht="12.75" x14ac:dyDescent="0.2">
      <c r="B63067" s="1168"/>
    </row>
    <row r="63068" spans="2:2" s="221" customFormat="1" ht="12.75" x14ac:dyDescent="0.2">
      <c r="B63068" s="1168"/>
    </row>
    <row r="63069" spans="2:2" s="221" customFormat="1" ht="12.75" x14ac:dyDescent="0.2">
      <c r="B63069" s="1168"/>
    </row>
    <row r="63070" spans="2:2" s="221" customFormat="1" ht="12.75" x14ac:dyDescent="0.2">
      <c r="B63070" s="1168"/>
    </row>
    <row r="63071" spans="2:2" s="221" customFormat="1" ht="12.75" x14ac:dyDescent="0.2">
      <c r="B63071" s="1168"/>
    </row>
    <row r="63072" spans="2:2" s="221" customFormat="1" ht="12.75" x14ac:dyDescent="0.2">
      <c r="B63072" s="1168"/>
    </row>
    <row r="63073" spans="2:2" s="221" customFormat="1" ht="12.75" x14ac:dyDescent="0.2">
      <c r="B63073" s="1168"/>
    </row>
    <row r="63074" spans="2:2" s="221" customFormat="1" ht="12.75" x14ac:dyDescent="0.2">
      <c r="B63074" s="1168"/>
    </row>
    <row r="63075" spans="2:2" s="221" customFormat="1" ht="12.75" x14ac:dyDescent="0.2">
      <c r="B63075" s="1168"/>
    </row>
    <row r="63076" spans="2:2" s="221" customFormat="1" ht="12.75" x14ac:dyDescent="0.2">
      <c r="B63076" s="1168"/>
    </row>
    <row r="63077" spans="2:2" s="221" customFormat="1" ht="12.75" x14ac:dyDescent="0.2">
      <c r="B63077" s="1168"/>
    </row>
    <row r="63078" spans="2:2" s="221" customFormat="1" ht="12.75" x14ac:dyDescent="0.2">
      <c r="B63078" s="1168"/>
    </row>
    <row r="63079" spans="2:2" s="221" customFormat="1" ht="12.75" x14ac:dyDescent="0.2">
      <c r="B63079" s="1168"/>
    </row>
    <row r="63080" spans="2:2" s="221" customFormat="1" ht="12.75" x14ac:dyDescent="0.2">
      <c r="B63080" s="1168"/>
    </row>
    <row r="63081" spans="2:2" s="221" customFormat="1" ht="12.75" x14ac:dyDescent="0.2">
      <c r="B63081" s="1168"/>
    </row>
    <row r="63082" spans="2:2" s="221" customFormat="1" ht="12.75" x14ac:dyDescent="0.2">
      <c r="B63082" s="1168"/>
    </row>
    <row r="63083" spans="2:2" s="221" customFormat="1" ht="12.75" x14ac:dyDescent="0.2">
      <c r="B63083" s="1168"/>
    </row>
    <row r="63084" spans="2:2" s="221" customFormat="1" ht="12.75" x14ac:dyDescent="0.2">
      <c r="B63084" s="1168"/>
    </row>
    <row r="63085" spans="2:2" s="221" customFormat="1" ht="12.75" x14ac:dyDescent="0.2">
      <c r="B63085" s="1168"/>
    </row>
    <row r="63086" spans="2:2" s="221" customFormat="1" ht="12.75" x14ac:dyDescent="0.2">
      <c r="B63086" s="1168"/>
    </row>
    <row r="63087" spans="2:2" s="221" customFormat="1" ht="12.75" x14ac:dyDescent="0.2">
      <c r="B63087" s="1168"/>
    </row>
    <row r="63088" spans="2:2" s="221" customFormat="1" ht="12.75" x14ac:dyDescent="0.2">
      <c r="B63088" s="1168"/>
    </row>
    <row r="63089" spans="2:2" s="221" customFormat="1" ht="12.75" x14ac:dyDescent="0.2">
      <c r="B63089" s="1168"/>
    </row>
    <row r="63090" spans="2:2" s="221" customFormat="1" ht="12.75" x14ac:dyDescent="0.2">
      <c r="B63090" s="1168"/>
    </row>
    <row r="63091" spans="2:2" s="221" customFormat="1" ht="12.75" x14ac:dyDescent="0.2">
      <c r="B63091" s="1168"/>
    </row>
    <row r="63092" spans="2:2" s="221" customFormat="1" ht="12.75" x14ac:dyDescent="0.2">
      <c r="B63092" s="1168"/>
    </row>
    <row r="63093" spans="2:2" s="221" customFormat="1" ht="12.75" x14ac:dyDescent="0.2">
      <c r="B63093" s="1168"/>
    </row>
    <row r="63094" spans="2:2" s="221" customFormat="1" ht="12.75" x14ac:dyDescent="0.2">
      <c r="B63094" s="1168"/>
    </row>
    <row r="63095" spans="2:2" s="221" customFormat="1" ht="12.75" x14ac:dyDescent="0.2">
      <c r="B63095" s="1168"/>
    </row>
    <row r="63096" spans="2:2" s="221" customFormat="1" ht="12.75" x14ac:dyDescent="0.2">
      <c r="B63096" s="1168"/>
    </row>
    <row r="63097" spans="2:2" s="221" customFormat="1" ht="12.75" x14ac:dyDescent="0.2">
      <c r="B63097" s="1168"/>
    </row>
    <row r="63098" spans="2:2" s="221" customFormat="1" ht="12.75" x14ac:dyDescent="0.2">
      <c r="B63098" s="1168"/>
    </row>
    <row r="63099" spans="2:2" s="221" customFormat="1" ht="12.75" x14ac:dyDescent="0.2">
      <c r="B63099" s="1168"/>
    </row>
    <row r="63100" spans="2:2" s="221" customFormat="1" ht="12.75" x14ac:dyDescent="0.2">
      <c r="B63100" s="1168"/>
    </row>
    <row r="63101" spans="2:2" s="221" customFormat="1" ht="12.75" x14ac:dyDescent="0.2">
      <c r="B63101" s="1168"/>
    </row>
    <row r="63102" spans="2:2" s="221" customFormat="1" ht="12.75" x14ac:dyDescent="0.2">
      <c r="B63102" s="1168"/>
    </row>
    <row r="63103" spans="2:2" s="221" customFormat="1" ht="12.75" x14ac:dyDescent="0.2">
      <c r="B63103" s="1168"/>
    </row>
    <row r="63104" spans="2:2" s="221" customFormat="1" ht="12.75" x14ac:dyDescent="0.2">
      <c r="B63104" s="1168"/>
    </row>
    <row r="63105" spans="2:2" s="221" customFormat="1" ht="12.75" x14ac:dyDescent="0.2">
      <c r="B63105" s="1168"/>
    </row>
    <row r="63106" spans="2:2" s="221" customFormat="1" ht="12.75" x14ac:dyDescent="0.2">
      <c r="B63106" s="1168"/>
    </row>
    <row r="63107" spans="2:2" s="221" customFormat="1" ht="12.75" x14ac:dyDescent="0.2">
      <c r="B63107" s="1168"/>
    </row>
    <row r="63108" spans="2:2" s="221" customFormat="1" ht="12.75" x14ac:dyDescent="0.2">
      <c r="B63108" s="1168"/>
    </row>
    <row r="63109" spans="2:2" s="221" customFormat="1" ht="12.75" x14ac:dyDescent="0.2">
      <c r="B63109" s="1168"/>
    </row>
    <row r="63110" spans="2:2" s="221" customFormat="1" ht="12.75" x14ac:dyDescent="0.2">
      <c r="B63110" s="1168"/>
    </row>
    <row r="63111" spans="2:2" s="221" customFormat="1" ht="12.75" x14ac:dyDescent="0.2">
      <c r="B63111" s="1168"/>
    </row>
    <row r="63112" spans="2:2" s="221" customFormat="1" ht="12.75" x14ac:dyDescent="0.2">
      <c r="B63112" s="1168"/>
    </row>
    <row r="63113" spans="2:2" s="221" customFormat="1" ht="12.75" x14ac:dyDescent="0.2">
      <c r="B63113" s="1168"/>
    </row>
    <row r="63114" spans="2:2" s="221" customFormat="1" ht="12.75" x14ac:dyDescent="0.2">
      <c r="B63114" s="1168"/>
    </row>
    <row r="63115" spans="2:2" s="221" customFormat="1" ht="12.75" x14ac:dyDescent="0.2">
      <c r="B63115" s="1168"/>
    </row>
    <row r="63116" spans="2:2" s="221" customFormat="1" ht="12.75" x14ac:dyDescent="0.2">
      <c r="B63116" s="1168"/>
    </row>
    <row r="63117" spans="2:2" s="221" customFormat="1" ht="12.75" x14ac:dyDescent="0.2">
      <c r="B63117" s="1168"/>
    </row>
    <row r="63118" spans="2:2" s="221" customFormat="1" ht="12.75" x14ac:dyDescent="0.2">
      <c r="B63118" s="1168"/>
    </row>
    <row r="63119" spans="2:2" s="221" customFormat="1" ht="12.75" x14ac:dyDescent="0.2">
      <c r="B63119" s="1168"/>
    </row>
    <row r="63120" spans="2:2" s="221" customFormat="1" ht="12.75" x14ac:dyDescent="0.2">
      <c r="B63120" s="1168"/>
    </row>
    <row r="63121" spans="2:2" s="221" customFormat="1" ht="12.75" x14ac:dyDescent="0.2">
      <c r="B63121" s="1168"/>
    </row>
    <row r="63122" spans="2:2" s="221" customFormat="1" ht="12.75" x14ac:dyDescent="0.2">
      <c r="B63122" s="1168"/>
    </row>
    <row r="63123" spans="2:2" s="221" customFormat="1" ht="12.75" x14ac:dyDescent="0.2">
      <c r="B63123" s="1168"/>
    </row>
    <row r="63124" spans="2:2" s="221" customFormat="1" ht="12.75" x14ac:dyDescent="0.2">
      <c r="B63124" s="1168"/>
    </row>
    <row r="63125" spans="2:2" s="221" customFormat="1" ht="12.75" x14ac:dyDescent="0.2">
      <c r="B63125" s="1168"/>
    </row>
    <row r="63126" spans="2:2" s="221" customFormat="1" ht="12.75" x14ac:dyDescent="0.2">
      <c r="B63126" s="1168"/>
    </row>
    <row r="63127" spans="2:2" s="221" customFormat="1" ht="12.75" x14ac:dyDescent="0.2">
      <c r="B63127" s="1168"/>
    </row>
    <row r="63128" spans="2:2" s="221" customFormat="1" ht="12.75" x14ac:dyDescent="0.2">
      <c r="B63128" s="1168"/>
    </row>
    <row r="63129" spans="2:2" s="221" customFormat="1" ht="12.75" x14ac:dyDescent="0.2">
      <c r="B63129" s="1168"/>
    </row>
    <row r="63130" spans="2:2" s="221" customFormat="1" ht="12.75" x14ac:dyDescent="0.2">
      <c r="B63130" s="1168"/>
    </row>
    <row r="63131" spans="2:2" s="221" customFormat="1" ht="12.75" x14ac:dyDescent="0.2">
      <c r="B63131" s="1168"/>
    </row>
    <row r="63132" spans="2:2" s="221" customFormat="1" ht="12.75" x14ac:dyDescent="0.2">
      <c r="B63132" s="1168"/>
    </row>
    <row r="63133" spans="2:2" s="221" customFormat="1" ht="12.75" x14ac:dyDescent="0.2">
      <c r="B63133" s="1168"/>
    </row>
    <row r="63134" spans="2:2" s="221" customFormat="1" ht="12.75" x14ac:dyDescent="0.2">
      <c r="B63134" s="1168"/>
    </row>
    <row r="63135" spans="2:2" s="221" customFormat="1" ht="12.75" x14ac:dyDescent="0.2">
      <c r="B63135" s="1168"/>
    </row>
    <row r="63136" spans="2:2" s="221" customFormat="1" ht="12.75" x14ac:dyDescent="0.2">
      <c r="B63136" s="1168"/>
    </row>
    <row r="63137" spans="2:2" s="221" customFormat="1" ht="12.75" x14ac:dyDescent="0.2">
      <c r="B63137" s="1168"/>
    </row>
    <row r="63138" spans="2:2" s="221" customFormat="1" ht="12.75" x14ac:dyDescent="0.2">
      <c r="B63138" s="1168"/>
    </row>
    <row r="63139" spans="2:2" s="221" customFormat="1" ht="12.75" x14ac:dyDescent="0.2">
      <c r="B63139" s="1168"/>
    </row>
    <row r="63140" spans="2:2" s="221" customFormat="1" ht="12.75" x14ac:dyDescent="0.2">
      <c r="B63140" s="1168"/>
    </row>
    <row r="63141" spans="2:2" s="221" customFormat="1" ht="12.75" x14ac:dyDescent="0.2">
      <c r="B63141" s="1168"/>
    </row>
    <row r="63142" spans="2:2" s="221" customFormat="1" ht="12.75" x14ac:dyDescent="0.2">
      <c r="B63142" s="1168"/>
    </row>
    <row r="63143" spans="2:2" s="221" customFormat="1" ht="12.75" x14ac:dyDescent="0.2">
      <c r="B63143" s="1168"/>
    </row>
    <row r="63144" spans="2:2" s="221" customFormat="1" ht="12.75" x14ac:dyDescent="0.2">
      <c r="B63144" s="1168"/>
    </row>
    <row r="63145" spans="2:2" s="221" customFormat="1" ht="12.75" x14ac:dyDescent="0.2">
      <c r="B63145" s="1168"/>
    </row>
    <row r="63146" spans="2:2" s="221" customFormat="1" ht="12.75" x14ac:dyDescent="0.2">
      <c r="B63146" s="1168"/>
    </row>
    <row r="63147" spans="2:2" s="221" customFormat="1" ht="12.75" x14ac:dyDescent="0.2">
      <c r="B63147" s="1168"/>
    </row>
    <row r="63148" spans="2:2" s="221" customFormat="1" ht="12.75" x14ac:dyDescent="0.2">
      <c r="B63148" s="1168"/>
    </row>
    <row r="63149" spans="2:2" s="221" customFormat="1" ht="12.75" x14ac:dyDescent="0.2">
      <c r="B63149" s="1168"/>
    </row>
    <row r="63150" spans="2:2" s="221" customFormat="1" ht="12.75" x14ac:dyDescent="0.2">
      <c r="B63150" s="1168"/>
    </row>
    <row r="63151" spans="2:2" s="221" customFormat="1" ht="12.75" x14ac:dyDescent="0.2">
      <c r="B63151" s="1168"/>
    </row>
    <row r="63152" spans="2:2" s="221" customFormat="1" ht="12.75" x14ac:dyDescent="0.2">
      <c r="B63152" s="1168"/>
    </row>
    <row r="63153" spans="2:2" s="221" customFormat="1" ht="12.75" x14ac:dyDescent="0.2">
      <c r="B63153" s="1168"/>
    </row>
    <row r="63154" spans="2:2" s="221" customFormat="1" ht="12.75" x14ac:dyDescent="0.2">
      <c r="B63154" s="1168"/>
    </row>
    <row r="63155" spans="2:2" s="221" customFormat="1" ht="12.75" x14ac:dyDescent="0.2">
      <c r="B63155" s="1168"/>
    </row>
    <row r="63156" spans="2:2" s="221" customFormat="1" ht="12.75" x14ac:dyDescent="0.2">
      <c r="B63156" s="1168"/>
    </row>
    <row r="63157" spans="2:2" s="221" customFormat="1" ht="12.75" x14ac:dyDescent="0.2">
      <c r="B63157" s="1168"/>
    </row>
    <row r="63158" spans="2:2" s="221" customFormat="1" ht="12.75" x14ac:dyDescent="0.2">
      <c r="B63158" s="1168"/>
    </row>
    <row r="63159" spans="2:2" s="221" customFormat="1" ht="12.75" x14ac:dyDescent="0.2">
      <c r="B63159" s="1168"/>
    </row>
    <row r="63160" spans="2:2" s="221" customFormat="1" ht="12.75" x14ac:dyDescent="0.2">
      <c r="B63160" s="1168"/>
    </row>
    <row r="63161" spans="2:2" s="221" customFormat="1" ht="12.75" x14ac:dyDescent="0.2">
      <c r="B63161" s="1168"/>
    </row>
    <row r="63162" spans="2:2" s="221" customFormat="1" ht="12.75" x14ac:dyDescent="0.2">
      <c r="B63162" s="1168"/>
    </row>
    <row r="63163" spans="2:2" s="221" customFormat="1" ht="12.75" x14ac:dyDescent="0.2">
      <c r="B63163" s="1168"/>
    </row>
    <row r="63164" spans="2:2" s="221" customFormat="1" ht="12.75" x14ac:dyDescent="0.2">
      <c r="B63164" s="1168"/>
    </row>
    <row r="63165" spans="2:2" s="221" customFormat="1" ht="12.75" x14ac:dyDescent="0.2">
      <c r="B63165" s="1168"/>
    </row>
    <row r="63166" spans="2:2" s="221" customFormat="1" ht="12.75" x14ac:dyDescent="0.2">
      <c r="B63166" s="1168"/>
    </row>
    <row r="63167" spans="2:2" s="221" customFormat="1" ht="12.75" x14ac:dyDescent="0.2">
      <c r="B63167" s="1168"/>
    </row>
    <row r="63168" spans="2:2" s="221" customFormat="1" ht="12.75" x14ac:dyDescent="0.2">
      <c r="B63168" s="1168"/>
    </row>
    <row r="63169" spans="2:2" s="221" customFormat="1" ht="12.75" x14ac:dyDescent="0.2">
      <c r="B63169" s="1168"/>
    </row>
    <row r="63170" spans="2:2" s="221" customFormat="1" ht="12.75" x14ac:dyDescent="0.2">
      <c r="B63170" s="1168"/>
    </row>
    <row r="63171" spans="2:2" s="221" customFormat="1" ht="12.75" x14ac:dyDescent="0.2">
      <c r="B63171" s="1168"/>
    </row>
    <row r="63172" spans="2:2" s="221" customFormat="1" ht="12.75" x14ac:dyDescent="0.2">
      <c r="B63172" s="1168"/>
    </row>
    <row r="63173" spans="2:2" s="221" customFormat="1" ht="12.75" x14ac:dyDescent="0.2">
      <c r="B63173" s="1168"/>
    </row>
    <row r="63174" spans="2:2" s="221" customFormat="1" ht="12.75" x14ac:dyDescent="0.2">
      <c r="B63174" s="1168"/>
    </row>
    <row r="63175" spans="2:2" s="221" customFormat="1" ht="12.75" x14ac:dyDescent="0.2">
      <c r="B63175" s="1168"/>
    </row>
    <row r="63176" spans="2:2" s="221" customFormat="1" ht="12.75" x14ac:dyDescent="0.2">
      <c r="B63176" s="1168"/>
    </row>
    <row r="63177" spans="2:2" s="221" customFormat="1" ht="12.75" x14ac:dyDescent="0.2">
      <c r="B63177" s="1168"/>
    </row>
    <row r="63178" spans="2:2" s="221" customFormat="1" ht="12.75" x14ac:dyDescent="0.2">
      <c r="B63178" s="1168"/>
    </row>
    <row r="63179" spans="2:2" s="221" customFormat="1" ht="12.75" x14ac:dyDescent="0.2">
      <c r="B63179" s="1168"/>
    </row>
    <row r="63180" spans="2:2" s="221" customFormat="1" ht="12.75" x14ac:dyDescent="0.2">
      <c r="B63180" s="1168"/>
    </row>
    <row r="63181" spans="2:2" s="221" customFormat="1" ht="12.75" x14ac:dyDescent="0.2">
      <c r="B63181" s="1168"/>
    </row>
    <row r="63182" spans="2:2" s="221" customFormat="1" ht="12.75" x14ac:dyDescent="0.2">
      <c r="B63182" s="1168"/>
    </row>
    <row r="63183" spans="2:2" s="221" customFormat="1" ht="12.75" x14ac:dyDescent="0.2">
      <c r="B63183" s="1168"/>
    </row>
    <row r="63184" spans="2:2" s="221" customFormat="1" ht="12.75" x14ac:dyDescent="0.2">
      <c r="B63184" s="1168"/>
    </row>
    <row r="63185" spans="2:2" s="221" customFormat="1" ht="12.75" x14ac:dyDescent="0.2">
      <c r="B63185" s="1168"/>
    </row>
    <row r="63186" spans="2:2" s="221" customFormat="1" ht="12.75" x14ac:dyDescent="0.2">
      <c r="B63186" s="1168"/>
    </row>
    <row r="63187" spans="2:2" s="221" customFormat="1" ht="12.75" x14ac:dyDescent="0.2">
      <c r="B63187" s="1168"/>
    </row>
    <row r="63188" spans="2:2" s="221" customFormat="1" ht="12.75" x14ac:dyDescent="0.2">
      <c r="B63188" s="1168"/>
    </row>
    <row r="63189" spans="2:2" s="221" customFormat="1" ht="12.75" x14ac:dyDescent="0.2">
      <c r="B63189" s="1168"/>
    </row>
    <row r="63190" spans="2:2" s="221" customFormat="1" ht="12.75" x14ac:dyDescent="0.2">
      <c r="B63190" s="1168"/>
    </row>
    <row r="63191" spans="2:2" s="221" customFormat="1" ht="12.75" x14ac:dyDescent="0.2">
      <c r="B63191" s="1168"/>
    </row>
    <row r="63192" spans="2:2" s="221" customFormat="1" ht="12.75" x14ac:dyDescent="0.2">
      <c r="B63192" s="1168"/>
    </row>
    <row r="63193" spans="2:2" s="221" customFormat="1" ht="12.75" x14ac:dyDescent="0.2">
      <c r="B63193" s="1168"/>
    </row>
    <row r="63194" spans="2:2" s="221" customFormat="1" ht="12.75" x14ac:dyDescent="0.2">
      <c r="B63194" s="1168"/>
    </row>
    <row r="63195" spans="2:2" s="221" customFormat="1" ht="12.75" x14ac:dyDescent="0.2">
      <c r="B63195" s="1168"/>
    </row>
    <row r="63196" spans="2:2" s="221" customFormat="1" ht="12.75" x14ac:dyDescent="0.2">
      <c r="B63196" s="1168"/>
    </row>
    <row r="63197" spans="2:2" s="221" customFormat="1" ht="12.75" x14ac:dyDescent="0.2">
      <c r="B63197" s="1168"/>
    </row>
    <row r="63198" spans="2:2" s="221" customFormat="1" ht="12.75" x14ac:dyDescent="0.2">
      <c r="B63198" s="1168"/>
    </row>
    <row r="63199" spans="2:2" s="221" customFormat="1" ht="12.75" x14ac:dyDescent="0.2">
      <c r="B63199" s="1168"/>
    </row>
    <row r="63200" spans="2:2" s="221" customFormat="1" ht="12.75" x14ac:dyDescent="0.2">
      <c r="B63200" s="1168"/>
    </row>
    <row r="63201" spans="2:2" s="221" customFormat="1" ht="12.75" x14ac:dyDescent="0.2">
      <c r="B63201" s="1168"/>
    </row>
    <row r="63202" spans="2:2" s="221" customFormat="1" ht="12.75" x14ac:dyDescent="0.2">
      <c r="B63202" s="1168"/>
    </row>
    <row r="63203" spans="2:2" s="221" customFormat="1" ht="12.75" x14ac:dyDescent="0.2">
      <c r="B63203" s="1168"/>
    </row>
    <row r="63204" spans="2:2" s="221" customFormat="1" ht="12.75" x14ac:dyDescent="0.2">
      <c r="B63204" s="1168"/>
    </row>
    <row r="63205" spans="2:2" s="221" customFormat="1" ht="12.75" x14ac:dyDescent="0.2">
      <c r="B63205" s="1168"/>
    </row>
    <row r="63206" spans="2:2" s="221" customFormat="1" ht="12.75" x14ac:dyDescent="0.2">
      <c r="B63206" s="1168"/>
    </row>
    <row r="63207" spans="2:2" s="221" customFormat="1" ht="12.75" x14ac:dyDescent="0.2">
      <c r="B63207" s="1168"/>
    </row>
    <row r="63208" spans="2:2" s="221" customFormat="1" ht="12.75" x14ac:dyDescent="0.2">
      <c r="B63208" s="1168"/>
    </row>
    <row r="63209" spans="2:2" s="221" customFormat="1" ht="12.75" x14ac:dyDescent="0.2">
      <c r="B63209" s="1168"/>
    </row>
    <row r="63210" spans="2:2" s="221" customFormat="1" ht="12.75" x14ac:dyDescent="0.2">
      <c r="B63210" s="1168"/>
    </row>
    <row r="63211" spans="2:2" s="221" customFormat="1" ht="12.75" x14ac:dyDescent="0.2">
      <c r="B63211" s="1168"/>
    </row>
    <row r="63212" spans="2:2" s="221" customFormat="1" ht="12.75" x14ac:dyDescent="0.2">
      <c r="B63212" s="1168"/>
    </row>
    <row r="63213" spans="2:2" s="221" customFormat="1" ht="12.75" x14ac:dyDescent="0.2">
      <c r="B63213" s="1168"/>
    </row>
    <row r="63214" spans="2:2" s="221" customFormat="1" ht="12.75" x14ac:dyDescent="0.2">
      <c r="B63214" s="1168"/>
    </row>
    <row r="63215" spans="2:2" s="221" customFormat="1" ht="12.75" x14ac:dyDescent="0.2">
      <c r="B63215" s="1168"/>
    </row>
    <row r="63216" spans="2:2" s="221" customFormat="1" ht="12.75" x14ac:dyDescent="0.2">
      <c r="B63216" s="1168"/>
    </row>
    <row r="63217" spans="2:2" s="221" customFormat="1" ht="12.75" x14ac:dyDescent="0.2">
      <c r="B63217" s="1168"/>
    </row>
    <row r="63218" spans="2:2" s="221" customFormat="1" ht="12.75" x14ac:dyDescent="0.2">
      <c r="B63218" s="1168"/>
    </row>
    <row r="63219" spans="2:2" s="221" customFormat="1" ht="12.75" x14ac:dyDescent="0.2">
      <c r="B63219" s="1168"/>
    </row>
    <row r="63220" spans="2:2" s="221" customFormat="1" ht="12.75" x14ac:dyDescent="0.2">
      <c r="B63220" s="1168"/>
    </row>
    <row r="63221" spans="2:2" s="221" customFormat="1" ht="12.75" x14ac:dyDescent="0.2">
      <c r="B63221" s="1168"/>
    </row>
    <row r="63222" spans="2:2" s="221" customFormat="1" ht="12.75" x14ac:dyDescent="0.2">
      <c r="B63222" s="1168"/>
    </row>
    <row r="63223" spans="2:2" s="221" customFormat="1" ht="12.75" x14ac:dyDescent="0.2">
      <c r="B63223" s="1168"/>
    </row>
    <row r="63224" spans="2:2" s="221" customFormat="1" ht="12.75" x14ac:dyDescent="0.2">
      <c r="B63224" s="1168"/>
    </row>
    <row r="63225" spans="2:2" s="221" customFormat="1" ht="12.75" x14ac:dyDescent="0.2">
      <c r="B63225" s="1168"/>
    </row>
    <row r="63226" spans="2:2" s="221" customFormat="1" ht="12.75" x14ac:dyDescent="0.2">
      <c r="B63226" s="1168"/>
    </row>
    <row r="63227" spans="2:2" s="221" customFormat="1" ht="12.75" x14ac:dyDescent="0.2">
      <c r="B63227" s="1168"/>
    </row>
    <row r="63228" spans="2:2" s="221" customFormat="1" ht="12.75" x14ac:dyDescent="0.2">
      <c r="B63228" s="1168"/>
    </row>
    <row r="63229" spans="2:2" s="221" customFormat="1" ht="12.75" x14ac:dyDescent="0.2">
      <c r="B63229" s="1168"/>
    </row>
    <row r="63230" spans="2:2" s="221" customFormat="1" ht="12.75" x14ac:dyDescent="0.2">
      <c r="B63230" s="1168"/>
    </row>
    <row r="63231" spans="2:2" s="221" customFormat="1" ht="12.75" x14ac:dyDescent="0.2">
      <c r="B63231" s="1168"/>
    </row>
    <row r="63232" spans="2:2" s="221" customFormat="1" ht="12.75" x14ac:dyDescent="0.2">
      <c r="B63232" s="1168"/>
    </row>
    <row r="63233" spans="2:2" s="221" customFormat="1" ht="12.75" x14ac:dyDescent="0.2">
      <c r="B63233" s="1168"/>
    </row>
    <row r="63234" spans="2:2" s="221" customFormat="1" ht="12.75" x14ac:dyDescent="0.2">
      <c r="B63234" s="1168"/>
    </row>
    <row r="63235" spans="2:2" s="221" customFormat="1" ht="12.75" x14ac:dyDescent="0.2">
      <c r="B63235" s="1168"/>
    </row>
    <row r="63236" spans="2:2" s="221" customFormat="1" ht="12.75" x14ac:dyDescent="0.2">
      <c r="B63236" s="1168"/>
    </row>
    <row r="63237" spans="2:2" s="221" customFormat="1" ht="12.75" x14ac:dyDescent="0.2">
      <c r="B63237" s="1168"/>
    </row>
    <row r="63238" spans="2:2" s="221" customFormat="1" ht="12.75" x14ac:dyDescent="0.2">
      <c r="B63238" s="1168"/>
    </row>
    <row r="63239" spans="2:2" s="221" customFormat="1" ht="12.75" x14ac:dyDescent="0.2">
      <c r="B63239" s="1168"/>
    </row>
    <row r="63240" spans="2:2" s="221" customFormat="1" ht="12.75" x14ac:dyDescent="0.2">
      <c r="B63240" s="1168"/>
    </row>
    <row r="63241" spans="2:2" s="221" customFormat="1" ht="12.75" x14ac:dyDescent="0.2">
      <c r="B63241" s="1168"/>
    </row>
    <row r="63242" spans="2:2" s="221" customFormat="1" ht="12.75" x14ac:dyDescent="0.2">
      <c r="B63242" s="1168"/>
    </row>
    <row r="63243" spans="2:2" s="221" customFormat="1" ht="12.75" x14ac:dyDescent="0.2">
      <c r="B63243" s="1168"/>
    </row>
    <row r="63244" spans="2:2" s="221" customFormat="1" ht="12.75" x14ac:dyDescent="0.2">
      <c r="B63244" s="1168"/>
    </row>
    <row r="63245" spans="2:2" s="221" customFormat="1" ht="12.75" x14ac:dyDescent="0.2">
      <c r="B63245" s="1168"/>
    </row>
    <row r="63246" spans="2:2" s="221" customFormat="1" ht="12.75" x14ac:dyDescent="0.2">
      <c r="B63246" s="1168"/>
    </row>
    <row r="63247" spans="2:2" s="221" customFormat="1" ht="12.75" x14ac:dyDescent="0.2">
      <c r="B63247" s="1168"/>
    </row>
    <row r="63248" spans="2:2" s="221" customFormat="1" ht="12.75" x14ac:dyDescent="0.2">
      <c r="B63248" s="1168"/>
    </row>
    <row r="63249" spans="2:2" s="221" customFormat="1" ht="12.75" x14ac:dyDescent="0.2">
      <c r="B63249" s="1168"/>
    </row>
    <row r="63250" spans="2:2" s="221" customFormat="1" ht="12.75" x14ac:dyDescent="0.2">
      <c r="B63250" s="1168"/>
    </row>
    <row r="63251" spans="2:2" s="221" customFormat="1" ht="12.75" x14ac:dyDescent="0.2">
      <c r="B63251" s="1168"/>
    </row>
    <row r="63252" spans="2:2" s="221" customFormat="1" ht="12.75" x14ac:dyDescent="0.2">
      <c r="B63252" s="1168"/>
    </row>
    <row r="63253" spans="2:2" s="221" customFormat="1" ht="12.75" x14ac:dyDescent="0.2">
      <c r="B63253" s="1168"/>
    </row>
    <row r="63254" spans="2:2" s="221" customFormat="1" ht="12.75" x14ac:dyDescent="0.2">
      <c r="B63254" s="1168"/>
    </row>
    <row r="63255" spans="2:2" s="221" customFormat="1" ht="12.75" x14ac:dyDescent="0.2">
      <c r="B63255" s="1168"/>
    </row>
    <row r="63256" spans="2:2" s="221" customFormat="1" ht="12.75" x14ac:dyDescent="0.2">
      <c r="B63256" s="1168"/>
    </row>
    <row r="63257" spans="2:2" s="221" customFormat="1" ht="12.75" x14ac:dyDescent="0.2">
      <c r="B63257" s="1168"/>
    </row>
    <row r="63258" spans="2:2" s="221" customFormat="1" ht="12.75" x14ac:dyDescent="0.2">
      <c r="B63258" s="1168"/>
    </row>
    <row r="63259" spans="2:2" s="221" customFormat="1" ht="12.75" x14ac:dyDescent="0.2">
      <c r="B63259" s="1168"/>
    </row>
    <row r="63260" spans="2:2" s="221" customFormat="1" ht="12.75" x14ac:dyDescent="0.2">
      <c r="B63260" s="1168"/>
    </row>
    <row r="63261" spans="2:2" s="221" customFormat="1" ht="12.75" x14ac:dyDescent="0.2">
      <c r="B63261" s="1168"/>
    </row>
    <row r="63262" spans="2:2" s="221" customFormat="1" ht="12.75" x14ac:dyDescent="0.2">
      <c r="B63262" s="1168"/>
    </row>
    <row r="63263" spans="2:2" s="221" customFormat="1" ht="12.75" x14ac:dyDescent="0.2">
      <c r="B63263" s="1168"/>
    </row>
    <row r="63264" spans="2:2" s="221" customFormat="1" ht="12.75" x14ac:dyDescent="0.2">
      <c r="B63264" s="1168"/>
    </row>
    <row r="63265" spans="2:2" s="221" customFormat="1" ht="12.75" x14ac:dyDescent="0.2">
      <c r="B63265" s="1168"/>
    </row>
    <row r="63266" spans="2:2" s="221" customFormat="1" ht="12.75" x14ac:dyDescent="0.2">
      <c r="B63266" s="1168"/>
    </row>
    <row r="63267" spans="2:2" s="221" customFormat="1" ht="12.75" x14ac:dyDescent="0.2">
      <c r="B63267" s="1168"/>
    </row>
    <row r="63268" spans="2:2" s="221" customFormat="1" ht="12.75" x14ac:dyDescent="0.2">
      <c r="B63268" s="1168"/>
    </row>
    <row r="63269" spans="2:2" s="221" customFormat="1" ht="12.75" x14ac:dyDescent="0.2">
      <c r="B63269" s="1168"/>
    </row>
    <row r="63270" spans="2:2" s="221" customFormat="1" ht="12.75" x14ac:dyDescent="0.2">
      <c r="B63270" s="1168"/>
    </row>
    <row r="63271" spans="2:2" s="221" customFormat="1" ht="12.75" x14ac:dyDescent="0.2">
      <c r="B63271" s="1168"/>
    </row>
    <row r="63272" spans="2:2" s="221" customFormat="1" ht="12.75" x14ac:dyDescent="0.2">
      <c r="B63272" s="1168"/>
    </row>
    <row r="63273" spans="2:2" s="221" customFormat="1" ht="12.75" x14ac:dyDescent="0.2">
      <c r="B63273" s="1168"/>
    </row>
    <row r="63274" spans="2:2" s="221" customFormat="1" ht="12.75" x14ac:dyDescent="0.2">
      <c r="B63274" s="1168"/>
    </row>
    <row r="63275" spans="2:2" s="221" customFormat="1" ht="12.75" x14ac:dyDescent="0.2">
      <c r="B63275" s="1168"/>
    </row>
    <row r="63276" spans="2:2" s="221" customFormat="1" ht="12.75" x14ac:dyDescent="0.2">
      <c r="B63276" s="1168"/>
    </row>
    <row r="63277" spans="2:2" s="221" customFormat="1" ht="12.75" x14ac:dyDescent="0.2">
      <c r="B63277" s="1168"/>
    </row>
    <row r="63278" spans="2:2" s="221" customFormat="1" ht="12.75" x14ac:dyDescent="0.2">
      <c r="B63278" s="1168"/>
    </row>
    <row r="63279" spans="2:2" s="221" customFormat="1" ht="12.75" x14ac:dyDescent="0.2">
      <c r="B63279" s="1168"/>
    </row>
    <row r="63280" spans="2:2" s="221" customFormat="1" ht="12.75" x14ac:dyDescent="0.2">
      <c r="B63280" s="1168"/>
    </row>
    <row r="63281" spans="2:2" s="221" customFormat="1" ht="12.75" x14ac:dyDescent="0.2">
      <c r="B63281" s="1168"/>
    </row>
    <row r="63282" spans="2:2" s="221" customFormat="1" ht="12.75" x14ac:dyDescent="0.2">
      <c r="B63282" s="1168"/>
    </row>
    <row r="63283" spans="2:2" s="221" customFormat="1" ht="12.75" x14ac:dyDescent="0.2">
      <c r="B63283" s="1168"/>
    </row>
    <row r="63284" spans="2:2" s="221" customFormat="1" ht="12.75" x14ac:dyDescent="0.2">
      <c r="B63284" s="1168"/>
    </row>
    <row r="63285" spans="2:2" s="221" customFormat="1" ht="12.75" x14ac:dyDescent="0.2">
      <c r="B63285" s="1168"/>
    </row>
    <row r="63286" spans="2:2" s="221" customFormat="1" ht="12.75" x14ac:dyDescent="0.2">
      <c r="B63286" s="1168"/>
    </row>
    <row r="63287" spans="2:2" s="221" customFormat="1" ht="12.75" x14ac:dyDescent="0.2">
      <c r="B63287" s="1168"/>
    </row>
    <row r="63288" spans="2:2" s="221" customFormat="1" ht="12.75" x14ac:dyDescent="0.2">
      <c r="B63288" s="1168"/>
    </row>
    <row r="63289" spans="2:2" s="221" customFormat="1" ht="12.75" x14ac:dyDescent="0.2">
      <c r="B63289" s="1168"/>
    </row>
    <row r="63290" spans="2:2" s="221" customFormat="1" ht="12.75" x14ac:dyDescent="0.2">
      <c r="B63290" s="1168"/>
    </row>
    <row r="63291" spans="2:2" s="221" customFormat="1" ht="12.75" x14ac:dyDescent="0.2">
      <c r="B63291" s="1168"/>
    </row>
    <row r="63292" spans="2:2" s="221" customFormat="1" ht="12.75" x14ac:dyDescent="0.2">
      <c r="B63292" s="1168"/>
    </row>
    <row r="63293" spans="2:2" s="221" customFormat="1" ht="12.75" x14ac:dyDescent="0.2">
      <c r="B63293" s="1168"/>
    </row>
    <row r="63294" spans="2:2" s="221" customFormat="1" ht="12.75" x14ac:dyDescent="0.2">
      <c r="B63294" s="1168"/>
    </row>
    <row r="63295" spans="2:2" s="221" customFormat="1" ht="12.75" x14ac:dyDescent="0.2">
      <c r="B63295" s="1168"/>
    </row>
    <row r="63296" spans="2:2" s="221" customFormat="1" ht="12.75" x14ac:dyDescent="0.2">
      <c r="B63296" s="1168"/>
    </row>
    <row r="63297" spans="2:2" s="221" customFormat="1" ht="12.75" x14ac:dyDescent="0.2">
      <c r="B63297" s="1168"/>
    </row>
    <row r="63298" spans="2:2" s="221" customFormat="1" ht="12.75" x14ac:dyDescent="0.2">
      <c r="B63298" s="1168"/>
    </row>
    <row r="63299" spans="2:2" s="221" customFormat="1" ht="12.75" x14ac:dyDescent="0.2">
      <c r="B63299" s="1168"/>
    </row>
    <row r="63300" spans="2:2" s="221" customFormat="1" ht="12.75" x14ac:dyDescent="0.2">
      <c r="B63300" s="1168"/>
    </row>
    <row r="63301" spans="2:2" s="221" customFormat="1" ht="12.75" x14ac:dyDescent="0.2">
      <c r="B63301" s="1168"/>
    </row>
    <row r="63302" spans="2:2" s="221" customFormat="1" ht="12.75" x14ac:dyDescent="0.2">
      <c r="B63302" s="1168"/>
    </row>
    <row r="63303" spans="2:2" s="221" customFormat="1" ht="12.75" x14ac:dyDescent="0.2">
      <c r="B63303" s="1168"/>
    </row>
    <row r="63304" spans="2:2" s="221" customFormat="1" ht="12.75" x14ac:dyDescent="0.2">
      <c r="B63304" s="1168"/>
    </row>
    <row r="63305" spans="2:2" s="221" customFormat="1" ht="12.75" x14ac:dyDescent="0.2">
      <c r="B63305" s="1168"/>
    </row>
    <row r="63306" spans="2:2" s="221" customFormat="1" ht="12.75" x14ac:dyDescent="0.2">
      <c r="B63306" s="1168"/>
    </row>
    <row r="63307" spans="2:2" s="221" customFormat="1" ht="12.75" x14ac:dyDescent="0.2">
      <c r="B63307" s="1168"/>
    </row>
    <row r="63308" spans="2:2" s="221" customFormat="1" ht="12.75" x14ac:dyDescent="0.2">
      <c r="B63308" s="1168"/>
    </row>
    <row r="63309" spans="2:2" s="221" customFormat="1" ht="12.75" x14ac:dyDescent="0.2">
      <c r="B63309" s="1168"/>
    </row>
    <row r="63310" spans="2:2" s="221" customFormat="1" ht="12.75" x14ac:dyDescent="0.2">
      <c r="B63310" s="1168"/>
    </row>
    <row r="63311" spans="2:2" s="221" customFormat="1" ht="12.75" x14ac:dyDescent="0.2">
      <c r="B63311" s="1168"/>
    </row>
    <row r="63312" spans="2:2" s="221" customFormat="1" ht="12.75" x14ac:dyDescent="0.2">
      <c r="B63312" s="1168"/>
    </row>
    <row r="63313" spans="2:2" s="221" customFormat="1" ht="12.75" x14ac:dyDescent="0.2">
      <c r="B63313" s="1168"/>
    </row>
    <row r="63314" spans="2:2" s="221" customFormat="1" ht="12.75" x14ac:dyDescent="0.2">
      <c r="B63314" s="1168"/>
    </row>
    <row r="63315" spans="2:2" s="221" customFormat="1" ht="12.75" x14ac:dyDescent="0.2">
      <c r="B63315" s="1168"/>
    </row>
    <row r="63316" spans="2:2" s="221" customFormat="1" ht="12.75" x14ac:dyDescent="0.2">
      <c r="B63316" s="1168"/>
    </row>
    <row r="63317" spans="2:2" s="221" customFormat="1" ht="12.75" x14ac:dyDescent="0.2">
      <c r="B63317" s="1168"/>
    </row>
    <row r="63318" spans="2:2" s="221" customFormat="1" ht="12.75" x14ac:dyDescent="0.2">
      <c r="B63318" s="1168"/>
    </row>
    <row r="63319" spans="2:2" s="221" customFormat="1" ht="12.75" x14ac:dyDescent="0.2">
      <c r="B63319" s="1168"/>
    </row>
    <row r="63320" spans="2:2" s="221" customFormat="1" ht="12.75" x14ac:dyDescent="0.2">
      <c r="B63320" s="1168"/>
    </row>
    <row r="63321" spans="2:2" s="221" customFormat="1" ht="12.75" x14ac:dyDescent="0.2">
      <c r="B63321" s="1168"/>
    </row>
    <row r="63322" spans="2:2" s="221" customFormat="1" ht="12.75" x14ac:dyDescent="0.2">
      <c r="B63322" s="1168"/>
    </row>
    <row r="63323" spans="2:2" s="221" customFormat="1" ht="12.75" x14ac:dyDescent="0.2">
      <c r="B63323" s="1168"/>
    </row>
    <row r="63324" spans="2:2" s="221" customFormat="1" ht="12.75" x14ac:dyDescent="0.2">
      <c r="B63324" s="1168"/>
    </row>
    <row r="63325" spans="2:2" s="221" customFormat="1" ht="12.75" x14ac:dyDescent="0.2">
      <c r="B63325" s="1168"/>
    </row>
    <row r="63326" spans="2:2" s="221" customFormat="1" ht="12.75" x14ac:dyDescent="0.2">
      <c r="B63326" s="1168"/>
    </row>
    <row r="63327" spans="2:2" s="221" customFormat="1" ht="12.75" x14ac:dyDescent="0.2">
      <c r="B63327" s="1168"/>
    </row>
    <row r="63328" spans="2:2" s="221" customFormat="1" ht="12.75" x14ac:dyDescent="0.2">
      <c r="B63328" s="1168"/>
    </row>
    <row r="63329" spans="2:2" s="221" customFormat="1" ht="12.75" x14ac:dyDescent="0.2">
      <c r="B63329" s="1168"/>
    </row>
    <row r="63330" spans="2:2" s="221" customFormat="1" ht="12.75" x14ac:dyDescent="0.2">
      <c r="B63330" s="1168"/>
    </row>
    <row r="63331" spans="2:2" s="221" customFormat="1" ht="12.75" x14ac:dyDescent="0.2">
      <c r="B63331" s="1168"/>
    </row>
    <row r="63332" spans="2:2" s="221" customFormat="1" ht="12.75" x14ac:dyDescent="0.2">
      <c r="B63332" s="1168"/>
    </row>
    <row r="63333" spans="2:2" s="221" customFormat="1" ht="12.75" x14ac:dyDescent="0.2">
      <c r="B63333" s="1168"/>
    </row>
    <row r="63334" spans="2:2" s="221" customFormat="1" ht="12.75" x14ac:dyDescent="0.2">
      <c r="B63334" s="1168"/>
    </row>
    <row r="63335" spans="2:2" s="221" customFormat="1" ht="12.75" x14ac:dyDescent="0.2">
      <c r="B63335" s="1168"/>
    </row>
    <row r="63336" spans="2:2" s="221" customFormat="1" ht="12.75" x14ac:dyDescent="0.2">
      <c r="B63336" s="1168"/>
    </row>
    <row r="63337" spans="2:2" s="221" customFormat="1" ht="12.75" x14ac:dyDescent="0.2">
      <c r="B63337" s="1168"/>
    </row>
    <row r="63338" spans="2:2" s="221" customFormat="1" ht="12.75" x14ac:dyDescent="0.2">
      <c r="B63338" s="1168"/>
    </row>
    <row r="63339" spans="2:2" s="221" customFormat="1" ht="12.75" x14ac:dyDescent="0.2">
      <c r="B63339" s="1168"/>
    </row>
    <row r="63340" spans="2:2" s="221" customFormat="1" ht="12.75" x14ac:dyDescent="0.2">
      <c r="B63340" s="1168"/>
    </row>
    <row r="63341" spans="2:2" s="221" customFormat="1" ht="12.75" x14ac:dyDescent="0.2">
      <c r="B63341" s="1168"/>
    </row>
    <row r="63342" spans="2:2" s="221" customFormat="1" ht="12.75" x14ac:dyDescent="0.2">
      <c r="B63342" s="1168"/>
    </row>
    <row r="63343" spans="2:2" s="221" customFormat="1" ht="12.75" x14ac:dyDescent="0.2">
      <c r="B63343" s="1168"/>
    </row>
    <row r="63344" spans="2:2" s="221" customFormat="1" ht="12.75" x14ac:dyDescent="0.2">
      <c r="B63344" s="1168"/>
    </row>
    <row r="63345" spans="2:2" s="221" customFormat="1" ht="12.75" x14ac:dyDescent="0.2">
      <c r="B63345" s="1168"/>
    </row>
    <row r="63346" spans="2:2" s="221" customFormat="1" ht="12.75" x14ac:dyDescent="0.2">
      <c r="B63346" s="1168"/>
    </row>
    <row r="63347" spans="2:2" s="221" customFormat="1" ht="12.75" x14ac:dyDescent="0.2">
      <c r="B63347" s="1168"/>
    </row>
    <row r="63348" spans="2:2" s="221" customFormat="1" ht="12.75" x14ac:dyDescent="0.2">
      <c r="B63348" s="1168"/>
    </row>
    <row r="63349" spans="2:2" s="221" customFormat="1" ht="12.75" x14ac:dyDescent="0.2">
      <c r="B63349" s="1168"/>
    </row>
    <row r="63350" spans="2:2" s="221" customFormat="1" ht="12.75" x14ac:dyDescent="0.2">
      <c r="B63350" s="1168"/>
    </row>
    <row r="63351" spans="2:2" s="221" customFormat="1" ht="12.75" x14ac:dyDescent="0.2">
      <c r="B63351" s="1168"/>
    </row>
    <row r="63352" spans="2:2" s="221" customFormat="1" ht="12.75" x14ac:dyDescent="0.2">
      <c r="B63352" s="1168"/>
    </row>
    <row r="63353" spans="2:2" s="221" customFormat="1" ht="12.75" x14ac:dyDescent="0.2">
      <c r="B63353" s="1168"/>
    </row>
    <row r="63354" spans="2:2" s="221" customFormat="1" ht="12.75" x14ac:dyDescent="0.2">
      <c r="B63354" s="1168"/>
    </row>
    <row r="63355" spans="2:2" s="221" customFormat="1" ht="12.75" x14ac:dyDescent="0.2">
      <c r="B63355" s="1168"/>
    </row>
    <row r="63356" spans="2:2" s="221" customFormat="1" ht="12.75" x14ac:dyDescent="0.2">
      <c r="B63356" s="1168"/>
    </row>
    <row r="63357" spans="2:2" s="221" customFormat="1" ht="12.75" x14ac:dyDescent="0.2">
      <c r="B63357" s="1168"/>
    </row>
    <row r="63358" spans="2:2" s="221" customFormat="1" ht="12.75" x14ac:dyDescent="0.2">
      <c r="B63358" s="1168"/>
    </row>
    <row r="63359" spans="2:2" s="221" customFormat="1" ht="12.75" x14ac:dyDescent="0.2">
      <c r="B63359" s="1168"/>
    </row>
    <row r="63360" spans="2:2" s="221" customFormat="1" ht="12.75" x14ac:dyDescent="0.2">
      <c r="B63360" s="1168"/>
    </row>
    <row r="63361" spans="2:2" s="221" customFormat="1" ht="12.75" x14ac:dyDescent="0.2">
      <c r="B63361" s="1168"/>
    </row>
    <row r="63362" spans="2:2" s="221" customFormat="1" ht="12.75" x14ac:dyDescent="0.2">
      <c r="B63362" s="1168"/>
    </row>
    <row r="63363" spans="2:2" s="221" customFormat="1" ht="12.75" x14ac:dyDescent="0.2">
      <c r="B63363" s="1168"/>
    </row>
    <row r="63364" spans="2:2" s="221" customFormat="1" ht="12.75" x14ac:dyDescent="0.2">
      <c r="B63364" s="1168"/>
    </row>
    <row r="63365" spans="2:2" s="221" customFormat="1" ht="12.75" x14ac:dyDescent="0.2">
      <c r="B63365" s="1168"/>
    </row>
    <row r="63366" spans="2:2" s="221" customFormat="1" ht="12.75" x14ac:dyDescent="0.2">
      <c r="B63366" s="1168"/>
    </row>
    <row r="63367" spans="2:2" s="221" customFormat="1" ht="12.75" x14ac:dyDescent="0.2">
      <c r="B63367" s="1168"/>
    </row>
    <row r="63368" spans="2:2" s="221" customFormat="1" ht="12.75" x14ac:dyDescent="0.2">
      <c r="B63368" s="1168"/>
    </row>
    <row r="63369" spans="2:2" s="221" customFormat="1" ht="12.75" x14ac:dyDescent="0.2">
      <c r="B63369" s="1168"/>
    </row>
    <row r="63370" spans="2:2" s="221" customFormat="1" ht="12.75" x14ac:dyDescent="0.2">
      <c r="B63370" s="1168"/>
    </row>
    <row r="63371" spans="2:2" s="221" customFormat="1" ht="12.75" x14ac:dyDescent="0.2">
      <c r="B63371" s="1168"/>
    </row>
    <row r="63372" spans="2:2" s="221" customFormat="1" ht="12.75" x14ac:dyDescent="0.2">
      <c r="B63372" s="1168"/>
    </row>
    <row r="63373" spans="2:2" s="221" customFormat="1" ht="12.75" x14ac:dyDescent="0.2">
      <c r="B63373" s="1168"/>
    </row>
    <row r="63374" spans="2:2" s="221" customFormat="1" ht="12.75" x14ac:dyDescent="0.2">
      <c r="B63374" s="1168"/>
    </row>
    <row r="63375" spans="2:2" s="221" customFormat="1" ht="12.75" x14ac:dyDescent="0.2">
      <c r="B63375" s="1168"/>
    </row>
    <row r="63376" spans="2:2" s="221" customFormat="1" ht="12.75" x14ac:dyDescent="0.2">
      <c r="B63376" s="1168"/>
    </row>
    <row r="63377" spans="2:2" s="221" customFormat="1" ht="12.75" x14ac:dyDescent="0.2">
      <c r="B63377" s="1168"/>
    </row>
    <row r="63378" spans="2:2" s="221" customFormat="1" ht="12.75" x14ac:dyDescent="0.2">
      <c r="B63378" s="1168"/>
    </row>
    <row r="63379" spans="2:2" s="221" customFormat="1" ht="12.75" x14ac:dyDescent="0.2">
      <c r="B63379" s="1168"/>
    </row>
    <row r="63380" spans="2:2" s="221" customFormat="1" ht="12.75" x14ac:dyDescent="0.2">
      <c r="B63380" s="1168"/>
    </row>
    <row r="63381" spans="2:2" s="221" customFormat="1" ht="12.75" x14ac:dyDescent="0.2">
      <c r="B63381" s="1168"/>
    </row>
    <row r="63382" spans="2:2" s="221" customFormat="1" ht="12.75" x14ac:dyDescent="0.2">
      <c r="B63382" s="1168"/>
    </row>
    <row r="63383" spans="2:2" s="221" customFormat="1" ht="12.75" x14ac:dyDescent="0.2">
      <c r="B63383" s="1168"/>
    </row>
    <row r="63384" spans="2:2" s="221" customFormat="1" ht="12.75" x14ac:dyDescent="0.2">
      <c r="B63384" s="1168"/>
    </row>
    <row r="63385" spans="2:2" s="221" customFormat="1" ht="12.75" x14ac:dyDescent="0.2">
      <c r="B63385" s="1168"/>
    </row>
    <row r="63386" spans="2:2" s="221" customFormat="1" ht="12.75" x14ac:dyDescent="0.2">
      <c r="B63386" s="1168"/>
    </row>
    <row r="63387" spans="2:2" s="221" customFormat="1" ht="12.75" x14ac:dyDescent="0.2">
      <c r="B63387" s="1168"/>
    </row>
    <row r="63388" spans="2:2" s="221" customFormat="1" ht="12.75" x14ac:dyDescent="0.2">
      <c r="B63388" s="1168"/>
    </row>
    <row r="63389" spans="2:2" s="221" customFormat="1" ht="12.75" x14ac:dyDescent="0.2">
      <c r="B63389" s="1168"/>
    </row>
    <row r="63390" spans="2:2" s="221" customFormat="1" ht="12.75" x14ac:dyDescent="0.2">
      <c r="B63390" s="1168"/>
    </row>
    <row r="63391" spans="2:2" s="221" customFormat="1" ht="12.75" x14ac:dyDescent="0.2">
      <c r="B63391" s="1168"/>
    </row>
    <row r="63392" spans="2:2" s="221" customFormat="1" ht="12.75" x14ac:dyDescent="0.2">
      <c r="B63392" s="1168"/>
    </row>
    <row r="63393" spans="2:2" s="221" customFormat="1" ht="12.75" x14ac:dyDescent="0.2">
      <c r="B63393" s="1168"/>
    </row>
    <row r="63394" spans="2:2" s="221" customFormat="1" ht="12.75" x14ac:dyDescent="0.2">
      <c r="B63394" s="1168"/>
    </row>
    <row r="63395" spans="2:2" s="221" customFormat="1" ht="12.75" x14ac:dyDescent="0.2">
      <c r="B63395" s="1168"/>
    </row>
    <row r="63396" spans="2:2" s="221" customFormat="1" ht="12.75" x14ac:dyDescent="0.2">
      <c r="B63396" s="1168"/>
    </row>
    <row r="63397" spans="2:2" s="221" customFormat="1" ht="12.75" x14ac:dyDescent="0.2">
      <c r="B63397" s="1168"/>
    </row>
    <row r="63398" spans="2:2" s="221" customFormat="1" ht="12.75" x14ac:dyDescent="0.2">
      <c r="B63398" s="1168"/>
    </row>
    <row r="63399" spans="2:2" s="221" customFormat="1" ht="12.75" x14ac:dyDescent="0.2">
      <c r="B63399" s="1168"/>
    </row>
    <row r="63400" spans="2:2" s="221" customFormat="1" ht="12.75" x14ac:dyDescent="0.2">
      <c r="B63400" s="1168"/>
    </row>
    <row r="63401" spans="2:2" s="221" customFormat="1" ht="12.75" x14ac:dyDescent="0.2">
      <c r="B63401" s="1168"/>
    </row>
    <row r="63402" spans="2:2" s="221" customFormat="1" ht="12.75" x14ac:dyDescent="0.2">
      <c r="B63402" s="1168"/>
    </row>
    <row r="63403" spans="2:2" s="221" customFormat="1" ht="12.75" x14ac:dyDescent="0.2">
      <c r="B63403" s="1168"/>
    </row>
    <row r="63404" spans="2:2" s="221" customFormat="1" ht="12.75" x14ac:dyDescent="0.2">
      <c r="B63404" s="1168"/>
    </row>
    <row r="63405" spans="2:2" s="221" customFormat="1" ht="12.75" x14ac:dyDescent="0.2">
      <c r="B63405" s="1168"/>
    </row>
    <row r="63406" spans="2:2" s="221" customFormat="1" ht="12.75" x14ac:dyDescent="0.2">
      <c r="B63406" s="1168"/>
    </row>
    <row r="63407" spans="2:2" s="221" customFormat="1" ht="12.75" x14ac:dyDescent="0.2">
      <c r="B63407" s="1168"/>
    </row>
    <row r="63408" spans="2:2" s="221" customFormat="1" ht="12.75" x14ac:dyDescent="0.2">
      <c r="B63408" s="1168"/>
    </row>
    <row r="63409" spans="2:2" s="221" customFormat="1" ht="12.75" x14ac:dyDescent="0.2">
      <c r="B63409" s="1168"/>
    </row>
    <row r="63410" spans="2:2" s="221" customFormat="1" ht="12.75" x14ac:dyDescent="0.2">
      <c r="B63410" s="1168"/>
    </row>
    <row r="63411" spans="2:2" s="221" customFormat="1" ht="12.75" x14ac:dyDescent="0.2">
      <c r="B63411" s="1168"/>
    </row>
    <row r="63412" spans="2:2" s="221" customFormat="1" ht="12.75" x14ac:dyDescent="0.2">
      <c r="B63412" s="1168"/>
    </row>
    <row r="63413" spans="2:2" s="221" customFormat="1" ht="12.75" x14ac:dyDescent="0.2">
      <c r="B63413" s="1168"/>
    </row>
    <row r="63414" spans="2:2" s="221" customFormat="1" ht="12.75" x14ac:dyDescent="0.2">
      <c r="B63414" s="1168"/>
    </row>
    <row r="63415" spans="2:2" s="221" customFormat="1" ht="12.75" x14ac:dyDescent="0.2">
      <c r="B63415" s="1168"/>
    </row>
    <row r="63416" spans="2:2" s="221" customFormat="1" ht="12.75" x14ac:dyDescent="0.2">
      <c r="B63416" s="1168"/>
    </row>
    <row r="63417" spans="2:2" s="221" customFormat="1" ht="12.75" x14ac:dyDescent="0.2">
      <c r="B63417" s="1168"/>
    </row>
    <row r="63418" spans="2:2" s="221" customFormat="1" ht="12.75" x14ac:dyDescent="0.2">
      <c r="B63418" s="1168"/>
    </row>
    <row r="63419" spans="2:2" s="221" customFormat="1" ht="12.75" x14ac:dyDescent="0.2">
      <c r="B63419" s="1168"/>
    </row>
    <row r="63420" spans="2:2" s="221" customFormat="1" ht="12.75" x14ac:dyDescent="0.2">
      <c r="B63420" s="1168"/>
    </row>
    <row r="63421" spans="2:2" s="221" customFormat="1" ht="12.75" x14ac:dyDescent="0.2">
      <c r="B63421" s="1168"/>
    </row>
    <row r="63422" spans="2:2" s="221" customFormat="1" ht="12.75" x14ac:dyDescent="0.2">
      <c r="B63422" s="1168"/>
    </row>
    <row r="63423" spans="2:2" s="221" customFormat="1" ht="12.75" x14ac:dyDescent="0.2">
      <c r="B63423" s="1168"/>
    </row>
    <row r="63424" spans="2:2" s="221" customFormat="1" ht="12.75" x14ac:dyDescent="0.2">
      <c r="B63424" s="1168"/>
    </row>
    <row r="63425" spans="2:2" s="221" customFormat="1" ht="12.75" x14ac:dyDescent="0.2">
      <c r="B63425" s="1168"/>
    </row>
    <row r="63426" spans="2:2" s="221" customFormat="1" ht="12.75" x14ac:dyDescent="0.2">
      <c r="B63426" s="1168"/>
    </row>
    <row r="63427" spans="2:2" s="221" customFormat="1" ht="12.75" x14ac:dyDescent="0.2">
      <c r="B63427" s="1168"/>
    </row>
    <row r="63428" spans="2:2" s="221" customFormat="1" ht="12.75" x14ac:dyDescent="0.2">
      <c r="B63428" s="1168"/>
    </row>
    <row r="63429" spans="2:2" s="221" customFormat="1" ht="12.75" x14ac:dyDescent="0.2">
      <c r="B63429" s="1168"/>
    </row>
    <row r="63430" spans="2:2" s="221" customFormat="1" ht="12.75" x14ac:dyDescent="0.2">
      <c r="B63430" s="1168"/>
    </row>
    <row r="63431" spans="2:2" s="221" customFormat="1" ht="12.75" x14ac:dyDescent="0.2">
      <c r="B63431" s="1168"/>
    </row>
    <row r="63432" spans="2:2" s="221" customFormat="1" ht="12.75" x14ac:dyDescent="0.2">
      <c r="B63432" s="1168"/>
    </row>
    <row r="63433" spans="2:2" s="221" customFormat="1" ht="12.75" x14ac:dyDescent="0.2">
      <c r="B63433" s="1168"/>
    </row>
    <row r="63434" spans="2:2" s="221" customFormat="1" ht="12.75" x14ac:dyDescent="0.2">
      <c r="B63434" s="1168"/>
    </row>
    <row r="63435" spans="2:2" s="221" customFormat="1" ht="12.75" x14ac:dyDescent="0.2">
      <c r="B63435" s="1168"/>
    </row>
    <row r="63436" spans="2:2" s="221" customFormat="1" ht="12.75" x14ac:dyDescent="0.2">
      <c r="B63436" s="1168"/>
    </row>
    <row r="63437" spans="2:2" s="221" customFormat="1" ht="12.75" x14ac:dyDescent="0.2">
      <c r="B63437" s="1168"/>
    </row>
    <row r="63438" spans="2:2" s="221" customFormat="1" ht="12.75" x14ac:dyDescent="0.2">
      <c r="B63438" s="1168"/>
    </row>
    <row r="63439" spans="2:2" s="221" customFormat="1" ht="12.75" x14ac:dyDescent="0.2">
      <c r="B63439" s="1168"/>
    </row>
    <row r="63440" spans="2:2" s="221" customFormat="1" ht="12.75" x14ac:dyDescent="0.2">
      <c r="B63440" s="1168"/>
    </row>
    <row r="63441" spans="2:2" s="221" customFormat="1" ht="12.75" x14ac:dyDescent="0.2">
      <c r="B63441" s="1168"/>
    </row>
    <row r="63442" spans="2:2" s="221" customFormat="1" ht="12.75" x14ac:dyDescent="0.2">
      <c r="B63442" s="1168"/>
    </row>
    <row r="63443" spans="2:2" s="221" customFormat="1" ht="12.75" x14ac:dyDescent="0.2">
      <c r="B63443" s="1168"/>
    </row>
    <row r="63444" spans="2:2" s="221" customFormat="1" ht="12.75" x14ac:dyDescent="0.2">
      <c r="B63444" s="1168"/>
    </row>
    <row r="63445" spans="2:2" s="221" customFormat="1" ht="12.75" x14ac:dyDescent="0.2">
      <c r="B63445" s="1168"/>
    </row>
    <row r="63446" spans="2:2" s="221" customFormat="1" ht="12.75" x14ac:dyDescent="0.2">
      <c r="B63446" s="1168"/>
    </row>
    <row r="63447" spans="2:2" s="221" customFormat="1" ht="12.75" x14ac:dyDescent="0.2">
      <c r="B63447" s="1168"/>
    </row>
    <row r="63448" spans="2:2" s="221" customFormat="1" ht="12.75" x14ac:dyDescent="0.2">
      <c r="B63448" s="1168"/>
    </row>
    <row r="63449" spans="2:2" s="221" customFormat="1" ht="12.75" x14ac:dyDescent="0.2">
      <c r="B63449" s="1168"/>
    </row>
    <row r="63450" spans="2:2" s="221" customFormat="1" ht="12.75" x14ac:dyDescent="0.2">
      <c r="B63450" s="1168"/>
    </row>
    <row r="63451" spans="2:2" s="221" customFormat="1" ht="12.75" x14ac:dyDescent="0.2">
      <c r="B63451" s="1168"/>
    </row>
    <row r="63452" spans="2:2" s="221" customFormat="1" ht="12.75" x14ac:dyDescent="0.2">
      <c r="B63452" s="1168"/>
    </row>
    <row r="63453" spans="2:2" s="221" customFormat="1" ht="12.75" x14ac:dyDescent="0.2">
      <c r="B63453" s="1168"/>
    </row>
    <row r="63454" spans="2:2" s="221" customFormat="1" ht="12.75" x14ac:dyDescent="0.2">
      <c r="B63454" s="1168"/>
    </row>
    <row r="63455" spans="2:2" s="221" customFormat="1" ht="12.75" x14ac:dyDescent="0.2">
      <c r="B63455" s="1168"/>
    </row>
    <row r="63456" spans="2:2" s="221" customFormat="1" ht="12.75" x14ac:dyDescent="0.2">
      <c r="B63456" s="1168"/>
    </row>
    <row r="63457" spans="2:2" s="221" customFormat="1" ht="12.75" x14ac:dyDescent="0.2">
      <c r="B63457" s="1168"/>
    </row>
    <row r="63458" spans="2:2" s="221" customFormat="1" ht="12.75" x14ac:dyDescent="0.2">
      <c r="B63458" s="1168"/>
    </row>
    <row r="63459" spans="2:2" s="221" customFormat="1" ht="12.75" x14ac:dyDescent="0.2">
      <c r="B63459" s="1168"/>
    </row>
    <row r="63460" spans="2:2" s="221" customFormat="1" ht="12.75" x14ac:dyDescent="0.2">
      <c r="B63460" s="1168"/>
    </row>
    <row r="63461" spans="2:2" s="221" customFormat="1" ht="12.75" x14ac:dyDescent="0.2">
      <c r="B63461" s="1168"/>
    </row>
    <row r="63462" spans="2:2" s="221" customFormat="1" ht="12.75" x14ac:dyDescent="0.2">
      <c r="B63462" s="1168"/>
    </row>
    <row r="63463" spans="2:2" s="221" customFormat="1" ht="12.75" x14ac:dyDescent="0.2">
      <c r="B63463" s="1168"/>
    </row>
    <row r="63464" spans="2:2" s="221" customFormat="1" ht="12.75" x14ac:dyDescent="0.2">
      <c r="B63464" s="1168"/>
    </row>
    <row r="63465" spans="2:2" s="221" customFormat="1" ht="12.75" x14ac:dyDescent="0.2">
      <c r="B63465" s="1168"/>
    </row>
    <row r="63466" spans="2:2" s="221" customFormat="1" ht="12.75" x14ac:dyDescent="0.2">
      <c r="B63466" s="1168"/>
    </row>
    <row r="63467" spans="2:2" s="221" customFormat="1" ht="12.75" x14ac:dyDescent="0.2">
      <c r="B63467" s="1168"/>
    </row>
    <row r="63468" spans="2:2" s="221" customFormat="1" ht="12.75" x14ac:dyDescent="0.2">
      <c r="B63468" s="1168"/>
    </row>
    <row r="63469" spans="2:2" s="221" customFormat="1" ht="12.75" x14ac:dyDescent="0.2">
      <c r="B63469" s="1168"/>
    </row>
    <row r="63470" spans="2:2" s="221" customFormat="1" ht="12.75" x14ac:dyDescent="0.2">
      <c r="B63470" s="1168"/>
    </row>
    <row r="63471" spans="2:2" s="221" customFormat="1" ht="12.75" x14ac:dyDescent="0.2">
      <c r="B63471" s="1168"/>
    </row>
    <row r="63472" spans="2:2" s="221" customFormat="1" ht="12.75" x14ac:dyDescent="0.2">
      <c r="B63472" s="1168"/>
    </row>
    <row r="63473" spans="2:2" s="221" customFormat="1" ht="12.75" x14ac:dyDescent="0.2">
      <c r="B63473" s="1168"/>
    </row>
    <row r="63474" spans="2:2" s="221" customFormat="1" ht="12.75" x14ac:dyDescent="0.2">
      <c r="B63474" s="1168"/>
    </row>
    <row r="63475" spans="2:2" s="221" customFormat="1" ht="12.75" x14ac:dyDescent="0.2">
      <c r="B63475" s="1168"/>
    </row>
    <row r="63476" spans="2:2" s="221" customFormat="1" ht="12.75" x14ac:dyDescent="0.2">
      <c r="B63476" s="1168"/>
    </row>
    <row r="63477" spans="2:2" s="221" customFormat="1" ht="12.75" x14ac:dyDescent="0.2">
      <c r="B63477" s="1168"/>
    </row>
    <row r="63478" spans="2:2" s="221" customFormat="1" ht="12.75" x14ac:dyDescent="0.2">
      <c r="B63478" s="1168"/>
    </row>
    <row r="63479" spans="2:2" s="221" customFormat="1" ht="12.75" x14ac:dyDescent="0.2">
      <c r="B63479" s="1168"/>
    </row>
    <row r="63480" spans="2:2" s="221" customFormat="1" ht="12.75" x14ac:dyDescent="0.2">
      <c r="B63480" s="1168"/>
    </row>
    <row r="63481" spans="2:2" s="221" customFormat="1" ht="12.75" x14ac:dyDescent="0.2">
      <c r="B63481" s="1168"/>
    </row>
    <row r="63482" spans="2:2" s="221" customFormat="1" ht="12.75" x14ac:dyDescent="0.2">
      <c r="B63482" s="1168"/>
    </row>
    <row r="63483" spans="2:2" s="221" customFormat="1" ht="12.75" x14ac:dyDescent="0.2">
      <c r="B63483" s="1168"/>
    </row>
    <row r="63484" spans="2:2" s="221" customFormat="1" ht="12.75" x14ac:dyDescent="0.2">
      <c r="B63484" s="1168"/>
    </row>
    <row r="63485" spans="2:2" s="221" customFormat="1" ht="12.75" x14ac:dyDescent="0.2">
      <c r="B63485" s="1168"/>
    </row>
    <row r="63486" spans="2:2" s="221" customFormat="1" ht="12.75" x14ac:dyDescent="0.2">
      <c r="B63486" s="1168"/>
    </row>
    <row r="63487" spans="2:2" s="221" customFormat="1" ht="12.75" x14ac:dyDescent="0.2">
      <c r="B63487" s="1168"/>
    </row>
    <row r="63488" spans="2:2" s="221" customFormat="1" ht="12.75" x14ac:dyDescent="0.2">
      <c r="B63488" s="1168"/>
    </row>
    <row r="63489" spans="2:2" s="221" customFormat="1" ht="12.75" x14ac:dyDescent="0.2">
      <c r="B63489" s="1168"/>
    </row>
    <row r="63490" spans="2:2" s="221" customFormat="1" ht="12.75" x14ac:dyDescent="0.2">
      <c r="B63490" s="1168"/>
    </row>
    <row r="63491" spans="2:2" s="221" customFormat="1" ht="12.75" x14ac:dyDescent="0.2">
      <c r="B63491" s="1168"/>
    </row>
    <row r="63492" spans="2:2" s="221" customFormat="1" ht="12.75" x14ac:dyDescent="0.2">
      <c r="B63492" s="1168"/>
    </row>
    <row r="63493" spans="2:2" s="221" customFormat="1" ht="12.75" x14ac:dyDescent="0.2">
      <c r="B63493" s="1168"/>
    </row>
    <row r="63494" spans="2:2" s="221" customFormat="1" ht="12.75" x14ac:dyDescent="0.2">
      <c r="B63494" s="1168"/>
    </row>
    <row r="63495" spans="2:2" s="221" customFormat="1" ht="12.75" x14ac:dyDescent="0.2">
      <c r="B63495" s="1168"/>
    </row>
    <row r="63496" spans="2:2" s="221" customFormat="1" ht="12.75" x14ac:dyDescent="0.2">
      <c r="B63496" s="1168"/>
    </row>
    <row r="63497" spans="2:2" s="221" customFormat="1" ht="12.75" x14ac:dyDescent="0.2">
      <c r="B63497" s="1168"/>
    </row>
    <row r="63498" spans="2:2" s="221" customFormat="1" ht="12.75" x14ac:dyDescent="0.2">
      <c r="B63498" s="1168"/>
    </row>
    <row r="63499" spans="2:2" s="221" customFormat="1" ht="12.75" x14ac:dyDescent="0.2">
      <c r="B63499" s="1168"/>
    </row>
    <row r="63500" spans="2:2" s="221" customFormat="1" ht="12.75" x14ac:dyDescent="0.2">
      <c r="B63500" s="1168"/>
    </row>
    <row r="63501" spans="2:2" s="221" customFormat="1" ht="12.75" x14ac:dyDescent="0.2">
      <c r="B63501" s="1168"/>
    </row>
    <row r="63502" spans="2:2" s="221" customFormat="1" ht="12.75" x14ac:dyDescent="0.2">
      <c r="B63502" s="1168"/>
    </row>
    <row r="63503" spans="2:2" s="221" customFormat="1" ht="12.75" x14ac:dyDescent="0.2">
      <c r="B63503" s="1168"/>
    </row>
    <row r="63504" spans="2:2" s="221" customFormat="1" ht="12.75" x14ac:dyDescent="0.2">
      <c r="B63504" s="1168"/>
    </row>
    <row r="63505" spans="2:2" s="221" customFormat="1" ht="12.75" x14ac:dyDescent="0.2">
      <c r="B63505" s="1168"/>
    </row>
    <row r="63506" spans="2:2" s="221" customFormat="1" ht="12.75" x14ac:dyDescent="0.2">
      <c r="B63506" s="1168"/>
    </row>
    <row r="63507" spans="2:2" s="221" customFormat="1" ht="12.75" x14ac:dyDescent="0.2">
      <c r="B63507" s="1168"/>
    </row>
    <row r="63508" spans="2:2" s="221" customFormat="1" ht="12.75" x14ac:dyDescent="0.2">
      <c r="B63508" s="1168"/>
    </row>
    <row r="63509" spans="2:2" s="221" customFormat="1" ht="12.75" x14ac:dyDescent="0.2">
      <c r="B63509" s="1168"/>
    </row>
    <row r="63510" spans="2:2" s="221" customFormat="1" ht="12.75" x14ac:dyDescent="0.2">
      <c r="B63510" s="1168"/>
    </row>
    <row r="63511" spans="2:2" s="221" customFormat="1" ht="12.75" x14ac:dyDescent="0.2">
      <c r="B63511" s="1168"/>
    </row>
    <row r="63512" spans="2:2" s="221" customFormat="1" ht="12.75" x14ac:dyDescent="0.2">
      <c r="B63512" s="1168"/>
    </row>
    <row r="63513" spans="2:2" s="221" customFormat="1" ht="12.75" x14ac:dyDescent="0.2">
      <c r="B63513" s="1168"/>
    </row>
    <row r="63514" spans="2:2" s="221" customFormat="1" ht="12.75" x14ac:dyDescent="0.2">
      <c r="B63514" s="1168"/>
    </row>
    <row r="63515" spans="2:2" s="221" customFormat="1" ht="12.75" x14ac:dyDescent="0.2">
      <c r="B63515" s="1168"/>
    </row>
    <row r="63516" spans="2:2" s="221" customFormat="1" ht="12.75" x14ac:dyDescent="0.2">
      <c r="B63516" s="1168"/>
    </row>
    <row r="63517" spans="2:2" s="221" customFormat="1" ht="12.75" x14ac:dyDescent="0.2">
      <c r="B63517" s="1168"/>
    </row>
    <row r="63518" spans="2:2" s="221" customFormat="1" ht="12.75" x14ac:dyDescent="0.2">
      <c r="B63518" s="1168"/>
    </row>
    <row r="63519" spans="2:2" s="221" customFormat="1" ht="12.75" x14ac:dyDescent="0.2">
      <c r="B63519" s="1168"/>
    </row>
    <row r="63520" spans="2:2" s="221" customFormat="1" ht="12.75" x14ac:dyDescent="0.2">
      <c r="B63520" s="1168"/>
    </row>
    <row r="63521" spans="2:2" s="221" customFormat="1" ht="12.75" x14ac:dyDescent="0.2">
      <c r="B63521" s="1168"/>
    </row>
    <row r="63522" spans="2:2" s="221" customFormat="1" ht="12.75" x14ac:dyDescent="0.2">
      <c r="B63522" s="1168"/>
    </row>
    <row r="63523" spans="2:2" s="221" customFormat="1" ht="12.75" x14ac:dyDescent="0.2">
      <c r="B63523" s="1168"/>
    </row>
    <row r="63524" spans="2:2" s="221" customFormat="1" ht="12.75" x14ac:dyDescent="0.2">
      <c r="B63524" s="1168"/>
    </row>
    <row r="63525" spans="2:2" s="221" customFormat="1" ht="12.75" x14ac:dyDescent="0.2">
      <c r="B63525" s="1168"/>
    </row>
    <row r="63526" spans="2:2" s="221" customFormat="1" ht="12.75" x14ac:dyDescent="0.2">
      <c r="B63526" s="1168"/>
    </row>
    <row r="63527" spans="2:2" s="221" customFormat="1" ht="12.75" x14ac:dyDescent="0.2">
      <c r="B63527" s="1168"/>
    </row>
    <row r="63528" spans="2:2" s="221" customFormat="1" ht="12.75" x14ac:dyDescent="0.2">
      <c r="B63528" s="1168"/>
    </row>
    <row r="63529" spans="2:2" s="221" customFormat="1" ht="12.75" x14ac:dyDescent="0.2">
      <c r="B63529" s="1168"/>
    </row>
    <row r="63530" spans="2:2" s="221" customFormat="1" ht="12.75" x14ac:dyDescent="0.2">
      <c r="B63530" s="1168"/>
    </row>
    <row r="63531" spans="2:2" s="221" customFormat="1" ht="12.75" x14ac:dyDescent="0.2">
      <c r="B63531" s="1168"/>
    </row>
    <row r="63532" spans="2:2" s="221" customFormat="1" ht="12.75" x14ac:dyDescent="0.2">
      <c r="B63532" s="1168"/>
    </row>
    <row r="63533" spans="2:2" s="221" customFormat="1" ht="12.75" x14ac:dyDescent="0.2">
      <c r="B63533" s="1168"/>
    </row>
    <row r="63534" spans="2:2" s="221" customFormat="1" ht="12.75" x14ac:dyDescent="0.2">
      <c r="B63534" s="1168"/>
    </row>
    <row r="63535" spans="2:2" s="221" customFormat="1" ht="12.75" x14ac:dyDescent="0.2">
      <c r="B63535" s="1168"/>
    </row>
    <row r="63536" spans="2:2" s="221" customFormat="1" ht="12.75" x14ac:dyDescent="0.2">
      <c r="B63536" s="1168"/>
    </row>
    <row r="63537" spans="2:2" s="221" customFormat="1" ht="12.75" x14ac:dyDescent="0.2">
      <c r="B63537" s="1168"/>
    </row>
    <row r="63538" spans="2:2" s="221" customFormat="1" ht="12.75" x14ac:dyDescent="0.2">
      <c r="B63538" s="1168"/>
    </row>
    <row r="63539" spans="2:2" s="221" customFormat="1" ht="12.75" x14ac:dyDescent="0.2">
      <c r="B63539" s="1168"/>
    </row>
    <row r="63540" spans="2:2" s="221" customFormat="1" ht="12.75" x14ac:dyDescent="0.2">
      <c r="B63540" s="1168"/>
    </row>
    <row r="63541" spans="2:2" s="221" customFormat="1" ht="12.75" x14ac:dyDescent="0.2">
      <c r="B63541" s="1168"/>
    </row>
    <row r="63542" spans="2:2" s="221" customFormat="1" ht="12.75" x14ac:dyDescent="0.2">
      <c r="B63542" s="1168"/>
    </row>
    <row r="63543" spans="2:2" s="221" customFormat="1" ht="12.75" x14ac:dyDescent="0.2">
      <c r="B63543" s="1168"/>
    </row>
    <row r="63544" spans="2:2" s="221" customFormat="1" ht="12.75" x14ac:dyDescent="0.2">
      <c r="B63544" s="1168"/>
    </row>
    <row r="63545" spans="2:2" s="221" customFormat="1" ht="12.75" x14ac:dyDescent="0.2">
      <c r="B63545" s="1168"/>
    </row>
    <row r="63546" spans="2:2" s="221" customFormat="1" ht="12.75" x14ac:dyDescent="0.2">
      <c r="B63546" s="1168"/>
    </row>
    <row r="63547" spans="2:2" s="221" customFormat="1" ht="12.75" x14ac:dyDescent="0.2">
      <c r="B63547" s="1168"/>
    </row>
    <row r="63548" spans="2:2" s="221" customFormat="1" ht="12.75" x14ac:dyDescent="0.2">
      <c r="B63548" s="1168"/>
    </row>
    <row r="63549" spans="2:2" s="221" customFormat="1" ht="12.75" x14ac:dyDescent="0.2">
      <c r="B63549" s="1168"/>
    </row>
    <row r="63550" spans="2:2" s="221" customFormat="1" ht="12.75" x14ac:dyDescent="0.2">
      <c r="B63550" s="1168"/>
    </row>
    <row r="63551" spans="2:2" s="221" customFormat="1" ht="12.75" x14ac:dyDescent="0.2">
      <c r="B63551" s="1168"/>
    </row>
    <row r="63552" spans="2:2" s="221" customFormat="1" ht="12.75" x14ac:dyDescent="0.2">
      <c r="B63552" s="1168"/>
    </row>
    <row r="63553" spans="2:2" s="221" customFormat="1" ht="12.75" x14ac:dyDescent="0.2">
      <c r="B63553" s="1168"/>
    </row>
    <row r="63554" spans="2:2" s="221" customFormat="1" ht="12.75" x14ac:dyDescent="0.2">
      <c r="B63554" s="1168"/>
    </row>
    <row r="63555" spans="2:2" s="221" customFormat="1" ht="12.75" x14ac:dyDescent="0.2">
      <c r="B63555" s="1168"/>
    </row>
    <row r="63556" spans="2:2" s="221" customFormat="1" ht="12.75" x14ac:dyDescent="0.2">
      <c r="B63556" s="1168"/>
    </row>
    <row r="63557" spans="2:2" s="221" customFormat="1" ht="12.75" x14ac:dyDescent="0.2">
      <c r="B63557" s="1168"/>
    </row>
    <row r="63558" spans="2:2" s="221" customFormat="1" ht="12.75" x14ac:dyDescent="0.2">
      <c r="B63558" s="1168"/>
    </row>
    <row r="63559" spans="2:2" s="221" customFormat="1" ht="12.75" x14ac:dyDescent="0.2">
      <c r="B63559" s="1168"/>
    </row>
    <row r="63560" spans="2:2" s="221" customFormat="1" ht="12.75" x14ac:dyDescent="0.2">
      <c r="B63560" s="1168"/>
    </row>
    <row r="63561" spans="2:2" s="221" customFormat="1" ht="12.75" x14ac:dyDescent="0.2">
      <c r="B63561" s="1168"/>
    </row>
    <row r="63562" spans="2:2" s="221" customFormat="1" ht="12.75" x14ac:dyDescent="0.2">
      <c r="B63562" s="1168"/>
    </row>
    <row r="63563" spans="2:2" s="221" customFormat="1" ht="12.75" x14ac:dyDescent="0.2">
      <c r="B63563" s="1168"/>
    </row>
    <row r="63564" spans="2:2" s="221" customFormat="1" ht="12.75" x14ac:dyDescent="0.2">
      <c r="B63564" s="1168"/>
    </row>
    <row r="63565" spans="2:2" s="221" customFormat="1" ht="12.75" x14ac:dyDescent="0.2">
      <c r="B63565" s="1168"/>
    </row>
    <row r="63566" spans="2:2" s="221" customFormat="1" ht="12.75" x14ac:dyDescent="0.2">
      <c r="B63566" s="1168"/>
    </row>
    <row r="63567" spans="2:2" s="221" customFormat="1" ht="12.75" x14ac:dyDescent="0.2">
      <c r="B63567" s="1168"/>
    </row>
    <row r="63568" spans="2:2" s="221" customFormat="1" ht="12.75" x14ac:dyDescent="0.2">
      <c r="B63568" s="1168"/>
    </row>
    <row r="63569" spans="2:2" s="221" customFormat="1" ht="12.75" x14ac:dyDescent="0.2">
      <c r="B63569" s="1168"/>
    </row>
    <row r="63570" spans="2:2" s="221" customFormat="1" ht="12.75" x14ac:dyDescent="0.2">
      <c r="B63570" s="1168"/>
    </row>
    <row r="63571" spans="2:2" s="221" customFormat="1" ht="12.75" x14ac:dyDescent="0.2">
      <c r="B63571" s="1168"/>
    </row>
    <row r="63572" spans="2:2" s="221" customFormat="1" ht="12.75" x14ac:dyDescent="0.2">
      <c r="B63572" s="1168"/>
    </row>
    <row r="63573" spans="2:2" s="221" customFormat="1" ht="12.75" x14ac:dyDescent="0.2">
      <c r="B63573" s="1168"/>
    </row>
    <row r="63574" spans="2:2" s="221" customFormat="1" ht="12.75" x14ac:dyDescent="0.2">
      <c r="B63574" s="1168"/>
    </row>
    <row r="63575" spans="2:2" s="221" customFormat="1" ht="12.75" x14ac:dyDescent="0.2">
      <c r="B63575" s="1168"/>
    </row>
    <row r="63576" spans="2:2" s="221" customFormat="1" ht="12.75" x14ac:dyDescent="0.2">
      <c r="B63576" s="1168"/>
    </row>
    <row r="63577" spans="2:2" s="221" customFormat="1" ht="12.75" x14ac:dyDescent="0.2">
      <c r="B63577" s="1168"/>
    </row>
    <row r="63578" spans="2:2" s="221" customFormat="1" ht="12.75" x14ac:dyDescent="0.2">
      <c r="B63578" s="1168"/>
    </row>
    <row r="63579" spans="2:2" s="221" customFormat="1" ht="12.75" x14ac:dyDescent="0.2">
      <c r="B63579" s="1168"/>
    </row>
    <row r="63580" spans="2:2" s="221" customFormat="1" ht="12.75" x14ac:dyDescent="0.2">
      <c r="B63580" s="1168"/>
    </row>
    <row r="63581" spans="2:2" s="221" customFormat="1" ht="12.75" x14ac:dyDescent="0.2">
      <c r="B63581" s="1168"/>
    </row>
    <row r="63582" spans="2:2" s="221" customFormat="1" ht="12.75" x14ac:dyDescent="0.2">
      <c r="B63582" s="1168"/>
    </row>
    <row r="63583" spans="2:2" s="221" customFormat="1" ht="12.75" x14ac:dyDescent="0.2">
      <c r="B63583" s="1168"/>
    </row>
    <row r="63584" spans="2:2" s="221" customFormat="1" ht="12.75" x14ac:dyDescent="0.2">
      <c r="B63584" s="1168"/>
    </row>
    <row r="63585" spans="2:2" s="221" customFormat="1" ht="12.75" x14ac:dyDescent="0.2">
      <c r="B63585" s="1168"/>
    </row>
    <row r="63586" spans="2:2" s="221" customFormat="1" ht="12.75" x14ac:dyDescent="0.2">
      <c r="B63586" s="1168"/>
    </row>
    <row r="63587" spans="2:2" s="221" customFormat="1" ht="12.75" x14ac:dyDescent="0.2">
      <c r="B63587" s="1168"/>
    </row>
    <row r="63588" spans="2:2" s="221" customFormat="1" ht="12.75" x14ac:dyDescent="0.2">
      <c r="B63588" s="1168"/>
    </row>
    <row r="63589" spans="2:2" s="221" customFormat="1" ht="12.75" x14ac:dyDescent="0.2">
      <c r="B63589" s="1168"/>
    </row>
    <row r="63590" spans="2:2" s="221" customFormat="1" ht="12.75" x14ac:dyDescent="0.2">
      <c r="B63590" s="1168"/>
    </row>
    <row r="63591" spans="2:2" s="221" customFormat="1" ht="12.75" x14ac:dyDescent="0.2">
      <c r="B63591" s="1168"/>
    </row>
    <row r="63592" spans="2:2" s="221" customFormat="1" ht="12.75" x14ac:dyDescent="0.2">
      <c r="B63592" s="1168"/>
    </row>
    <row r="63593" spans="2:2" s="221" customFormat="1" ht="12.75" x14ac:dyDescent="0.2">
      <c r="B63593" s="1168"/>
    </row>
    <row r="63594" spans="2:2" s="221" customFormat="1" ht="12.75" x14ac:dyDescent="0.2">
      <c r="B63594" s="1168"/>
    </row>
    <row r="63595" spans="2:2" s="221" customFormat="1" ht="12.75" x14ac:dyDescent="0.2">
      <c r="B63595" s="1168"/>
    </row>
    <row r="63596" spans="2:2" s="221" customFormat="1" ht="12.75" x14ac:dyDescent="0.2">
      <c r="B63596" s="1168"/>
    </row>
    <row r="63597" spans="2:2" s="221" customFormat="1" ht="12.75" x14ac:dyDescent="0.2">
      <c r="B63597" s="1168"/>
    </row>
    <row r="63598" spans="2:2" s="221" customFormat="1" ht="12.75" x14ac:dyDescent="0.2">
      <c r="B63598" s="1168"/>
    </row>
    <row r="63599" spans="2:2" s="221" customFormat="1" ht="12.75" x14ac:dyDescent="0.2">
      <c r="B63599" s="1168"/>
    </row>
    <row r="63600" spans="2:2" s="221" customFormat="1" ht="12.75" x14ac:dyDescent="0.2">
      <c r="B63600" s="1168"/>
    </row>
    <row r="63601" spans="2:2" s="221" customFormat="1" ht="12.75" x14ac:dyDescent="0.2">
      <c r="B63601" s="1168"/>
    </row>
    <row r="63602" spans="2:2" s="221" customFormat="1" ht="12.75" x14ac:dyDescent="0.2">
      <c r="B63602" s="1168"/>
    </row>
    <row r="63603" spans="2:2" s="221" customFormat="1" ht="12.75" x14ac:dyDescent="0.2">
      <c r="B63603" s="1168"/>
    </row>
    <row r="63604" spans="2:2" s="221" customFormat="1" ht="12.75" x14ac:dyDescent="0.2">
      <c r="B63604" s="1168"/>
    </row>
    <row r="63605" spans="2:2" s="221" customFormat="1" ht="12.75" x14ac:dyDescent="0.2">
      <c r="B63605" s="1168"/>
    </row>
    <row r="63606" spans="2:2" s="221" customFormat="1" ht="12.75" x14ac:dyDescent="0.2">
      <c r="B63606" s="1168"/>
    </row>
    <row r="63607" spans="2:2" s="221" customFormat="1" ht="12.75" x14ac:dyDescent="0.2">
      <c r="B63607" s="1168"/>
    </row>
    <row r="63608" spans="2:2" s="221" customFormat="1" ht="12.75" x14ac:dyDescent="0.2">
      <c r="B63608" s="1168"/>
    </row>
    <row r="63609" spans="2:2" s="221" customFormat="1" ht="12.75" x14ac:dyDescent="0.2">
      <c r="B63609" s="1168"/>
    </row>
    <row r="63610" spans="2:2" s="221" customFormat="1" ht="12.75" x14ac:dyDescent="0.2">
      <c r="B63610" s="1168"/>
    </row>
    <row r="63611" spans="2:2" s="221" customFormat="1" ht="12.75" x14ac:dyDescent="0.2">
      <c r="B63611" s="1168"/>
    </row>
    <row r="63612" spans="2:2" s="221" customFormat="1" ht="12.75" x14ac:dyDescent="0.2">
      <c r="B63612" s="1168"/>
    </row>
    <row r="63613" spans="2:2" s="221" customFormat="1" ht="12.75" x14ac:dyDescent="0.2">
      <c r="B63613" s="1168"/>
    </row>
    <row r="63614" spans="2:2" s="221" customFormat="1" ht="12.75" x14ac:dyDescent="0.2">
      <c r="B63614" s="1168"/>
    </row>
    <row r="63615" spans="2:2" s="221" customFormat="1" ht="12.75" x14ac:dyDescent="0.2">
      <c r="B63615" s="1168"/>
    </row>
    <row r="63616" spans="2:2" s="221" customFormat="1" ht="12.75" x14ac:dyDescent="0.2">
      <c r="B63616" s="1168"/>
    </row>
    <row r="63617" spans="2:2" s="221" customFormat="1" ht="12.75" x14ac:dyDescent="0.2">
      <c r="B63617" s="1168"/>
    </row>
    <row r="63618" spans="2:2" s="221" customFormat="1" ht="12.75" x14ac:dyDescent="0.2">
      <c r="B63618" s="1168"/>
    </row>
    <row r="63619" spans="2:2" s="221" customFormat="1" ht="12.75" x14ac:dyDescent="0.2">
      <c r="B63619" s="1168"/>
    </row>
    <row r="63620" spans="2:2" s="221" customFormat="1" ht="12.75" x14ac:dyDescent="0.2">
      <c r="B63620" s="1168"/>
    </row>
    <row r="63621" spans="2:2" s="221" customFormat="1" ht="12.75" x14ac:dyDescent="0.2">
      <c r="B63621" s="1168"/>
    </row>
    <row r="63622" spans="2:2" s="221" customFormat="1" ht="12.75" x14ac:dyDescent="0.2">
      <c r="B63622" s="1168"/>
    </row>
    <row r="63623" spans="2:2" s="221" customFormat="1" ht="12.75" x14ac:dyDescent="0.2">
      <c r="B63623" s="1168"/>
    </row>
    <row r="63624" spans="2:2" s="221" customFormat="1" ht="12.75" x14ac:dyDescent="0.2">
      <c r="B63624" s="1168"/>
    </row>
    <row r="63625" spans="2:2" s="221" customFormat="1" ht="12.75" x14ac:dyDescent="0.2">
      <c r="B63625" s="1168"/>
    </row>
    <row r="63626" spans="2:2" s="221" customFormat="1" ht="12.75" x14ac:dyDescent="0.2">
      <c r="B63626" s="1168"/>
    </row>
    <row r="63627" spans="2:2" s="221" customFormat="1" ht="12.75" x14ac:dyDescent="0.2">
      <c r="B63627" s="1168"/>
    </row>
    <row r="63628" spans="2:2" s="221" customFormat="1" ht="12.75" x14ac:dyDescent="0.2">
      <c r="B63628" s="1168"/>
    </row>
    <row r="63629" spans="2:2" s="221" customFormat="1" ht="12.75" x14ac:dyDescent="0.2">
      <c r="B63629" s="1168"/>
    </row>
    <row r="63630" spans="2:2" s="221" customFormat="1" ht="12.75" x14ac:dyDescent="0.2">
      <c r="B63630" s="1168"/>
    </row>
    <row r="63631" spans="2:2" s="221" customFormat="1" ht="12.75" x14ac:dyDescent="0.2">
      <c r="B63631" s="1168"/>
    </row>
    <row r="63632" spans="2:2" s="221" customFormat="1" ht="12.75" x14ac:dyDescent="0.2">
      <c r="B63632" s="1168"/>
    </row>
    <row r="63633" spans="2:2" s="221" customFormat="1" ht="12.75" x14ac:dyDescent="0.2">
      <c r="B63633" s="1168"/>
    </row>
    <row r="63634" spans="2:2" s="221" customFormat="1" ht="12.75" x14ac:dyDescent="0.2">
      <c r="B63634" s="1168"/>
    </row>
    <row r="63635" spans="2:2" s="221" customFormat="1" ht="12.75" x14ac:dyDescent="0.2">
      <c r="B63635" s="1168"/>
    </row>
    <row r="63636" spans="2:2" s="221" customFormat="1" ht="12.75" x14ac:dyDescent="0.2">
      <c r="B63636" s="1168"/>
    </row>
    <row r="63637" spans="2:2" s="221" customFormat="1" ht="12.75" x14ac:dyDescent="0.2">
      <c r="B63637" s="1168"/>
    </row>
    <row r="63638" spans="2:2" s="221" customFormat="1" ht="12.75" x14ac:dyDescent="0.2">
      <c r="B63638" s="1168"/>
    </row>
    <row r="63639" spans="2:2" s="221" customFormat="1" ht="12.75" x14ac:dyDescent="0.2">
      <c r="B63639" s="1168"/>
    </row>
    <row r="63640" spans="2:2" s="221" customFormat="1" ht="12.75" x14ac:dyDescent="0.2">
      <c r="B63640" s="1168"/>
    </row>
    <row r="63641" spans="2:2" s="221" customFormat="1" ht="12.75" x14ac:dyDescent="0.2">
      <c r="B63641" s="1168"/>
    </row>
    <row r="63642" spans="2:2" s="221" customFormat="1" ht="12.75" x14ac:dyDescent="0.2">
      <c r="B63642" s="1168"/>
    </row>
    <row r="63643" spans="2:2" s="221" customFormat="1" ht="12.75" x14ac:dyDescent="0.2">
      <c r="B63643" s="1168"/>
    </row>
    <row r="63644" spans="2:2" s="221" customFormat="1" ht="12.75" x14ac:dyDescent="0.2">
      <c r="B63644" s="1168"/>
    </row>
    <row r="63645" spans="2:2" s="221" customFormat="1" ht="12.75" x14ac:dyDescent="0.2">
      <c r="B63645" s="1168"/>
    </row>
    <row r="63646" spans="2:2" s="221" customFormat="1" ht="12.75" x14ac:dyDescent="0.2">
      <c r="B63646" s="1168"/>
    </row>
    <row r="63647" spans="2:2" s="221" customFormat="1" ht="12.75" x14ac:dyDescent="0.2">
      <c r="B63647" s="1168"/>
    </row>
    <row r="63648" spans="2:2" s="221" customFormat="1" ht="12.75" x14ac:dyDescent="0.2">
      <c r="B63648" s="1168"/>
    </row>
    <row r="63649" spans="2:2" s="221" customFormat="1" ht="12.75" x14ac:dyDescent="0.2">
      <c r="B63649" s="1168"/>
    </row>
    <row r="63650" spans="2:2" s="221" customFormat="1" ht="12.75" x14ac:dyDescent="0.2">
      <c r="B63650" s="1168"/>
    </row>
    <row r="63651" spans="2:2" s="221" customFormat="1" ht="12.75" x14ac:dyDescent="0.2">
      <c r="B63651" s="1168"/>
    </row>
    <row r="63652" spans="2:2" s="221" customFormat="1" ht="12.75" x14ac:dyDescent="0.2">
      <c r="B63652" s="1168"/>
    </row>
    <row r="63653" spans="2:2" s="221" customFormat="1" ht="12.75" x14ac:dyDescent="0.2">
      <c r="B63653" s="1168"/>
    </row>
    <row r="63654" spans="2:2" s="221" customFormat="1" ht="12.75" x14ac:dyDescent="0.2">
      <c r="B63654" s="1168"/>
    </row>
    <row r="63655" spans="2:2" s="221" customFormat="1" ht="12.75" x14ac:dyDescent="0.2">
      <c r="B63655" s="1168"/>
    </row>
    <row r="63656" spans="2:2" s="221" customFormat="1" ht="12.75" x14ac:dyDescent="0.2">
      <c r="B63656" s="1168"/>
    </row>
    <row r="63657" spans="2:2" s="221" customFormat="1" ht="12.75" x14ac:dyDescent="0.2">
      <c r="B63657" s="1168"/>
    </row>
    <row r="63658" spans="2:2" s="221" customFormat="1" ht="12.75" x14ac:dyDescent="0.2">
      <c r="B63658" s="1168"/>
    </row>
    <row r="63659" spans="2:2" s="221" customFormat="1" ht="12.75" x14ac:dyDescent="0.2">
      <c r="B63659" s="1168"/>
    </row>
    <row r="63660" spans="2:2" s="221" customFormat="1" ht="12.75" x14ac:dyDescent="0.2">
      <c r="B63660" s="1168"/>
    </row>
    <row r="63661" spans="2:2" s="221" customFormat="1" ht="12.75" x14ac:dyDescent="0.2">
      <c r="B63661" s="1168"/>
    </row>
    <row r="63662" spans="2:2" s="221" customFormat="1" ht="12.75" x14ac:dyDescent="0.2">
      <c r="B63662" s="1168"/>
    </row>
    <row r="63663" spans="2:2" s="221" customFormat="1" ht="12.75" x14ac:dyDescent="0.2">
      <c r="B63663" s="1168"/>
    </row>
    <row r="63664" spans="2:2" s="221" customFormat="1" ht="12.75" x14ac:dyDescent="0.2">
      <c r="B63664" s="1168"/>
    </row>
    <row r="63665" spans="2:2" s="221" customFormat="1" ht="12.75" x14ac:dyDescent="0.2">
      <c r="B63665" s="1168"/>
    </row>
    <row r="63666" spans="2:2" s="221" customFormat="1" ht="12.75" x14ac:dyDescent="0.2">
      <c r="B63666" s="1168"/>
    </row>
    <row r="63667" spans="2:2" s="221" customFormat="1" ht="12.75" x14ac:dyDescent="0.2">
      <c r="B63667" s="1168"/>
    </row>
    <row r="63668" spans="2:2" s="221" customFormat="1" ht="12.75" x14ac:dyDescent="0.2">
      <c r="B63668" s="1168"/>
    </row>
    <row r="63669" spans="2:2" s="221" customFormat="1" ht="12.75" x14ac:dyDescent="0.2">
      <c r="B63669" s="1168"/>
    </row>
    <row r="63670" spans="2:2" s="221" customFormat="1" ht="12.75" x14ac:dyDescent="0.2">
      <c r="B63670" s="1168"/>
    </row>
    <row r="63671" spans="2:2" s="221" customFormat="1" ht="12.75" x14ac:dyDescent="0.2">
      <c r="B63671" s="1168"/>
    </row>
    <row r="63672" spans="2:2" s="221" customFormat="1" ht="12.75" x14ac:dyDescent="0.2">
      <c r="B63672" s="1168"/>
    </row>
    <row r="63673" spans="2:2" s="221" customFormat="1" ht="12.75" x14ac:dyDescent="0.2">
      <c r="B63673" s="1168"/>
    </row>
    <row r="63674" spans="2:2" s="221" customFormat="1" ht="12.75" x14ac:dyDescent="0.2">
      <c r="B63674" s="1168"/>
    </row>
    <row r="63675" spans="2:2" s="221" customFormat="1" ht="12.75" x14ac:dyDescent="0.2">
      <c r="B63675" s="1168"/>
    </row>
    <row r="63676" spans="2:2" s="221" customFormat="1" ht="12.75" x14ac:dyDescent="0.2">
      <c r="B63676" s="1168"/>
    </row>
    <row r="63677" spans="2:2" s="221" customFormat="1" ht="12.75" x14ac:dyDescent="0.2">
      <c r="B63677" s="1168"/>
    </row>
    <row r="63678" spans="2:2" s="221" customFormat="1" ht="12.75" x14ac:dyDescent="0.2">
      <c r="B63678" s="1168"/>
    </row>
    <row r="63679" spans="2:2" s="221" customFormat="1" ht="12.75" x14ac:dyDescent="0.2">
      <c r="B63679" s="1168"/>
    </row>
    <row r="63680" spans="2:2" s="221" customFormat="1" ht="12.75" x14ac:dyDescent="0.2">
      <c r="B63680" s="1168"/>
    </row>
    <row r="63681" spans="2:2" s="221" customFormat="1" ht="12.75" x14ac:dyDescent="0.2">
      <c r="B63681" s="1168"/>
    </row>
    <row r="63682" spans="2:2" s="221" customFormat="1" ht="12.75" x14ac:dyDescent="0.2">
      <c r="B63682" s="1168"/>
    </row>
    <row r="63683" spans="2:2" s="221" customFormat="1" ht="12.75" x14ac:dyDescent="0.2">
      <c r="B63683" s="1168"/>
    </row>
    <row r="63684" spans="2:2" s="221" customFormat="1" ht="12.75" x14ac:dyDescent="0.2">
      <c r="B63684" s="1168"/>
    </row>
    <row r="63685" spans="2:2" s="221" customFormat="1" ht="12.75" x14ac:dyDescent="0.2">
      <c r="B63685" s="1168"/>
    </row>
    <row r="63686" spans="2:2" s="221" customFormat="1" ht="12.75" x14ac:dyDescent="0.2">
      <c r="B63686" s="1168"/>
    </row>
    <row r="63687" spans="2:2" s="221" customFormat="1" ht="12.75" x14ac:dyDescent="0.2">
      <c r="B63687" s="1168"/>
    </row>
    <row r="63688" spans="2:2" s="221" customFormat="1" ht="12.75" x14ac:dyDescent="0.2">
      <c r="B63688" s="1168"/>
    </row>
    <row r="63689" spans="2:2" s="221" customFormat="1" ht="12.75" x14ac:dyDescent="0.2">
      <c r="B63689" s="1168"/>
    </row>
    <row r="63690" spans="2:2" s="221" customFormat="1" ht="12.75" x14ac:dyDescent="0.2">
      <c r="B63690" s="1168"/>
    </row>
    <row r="63691" spans="2:2" s="221" customFormat="1" ht="12.75" x14ac:dyDescent="0.2">
      <c r="B63691" s="1168"/>
    </row>
    <row r="63692" spans="2:2" s="221" customFormat="1" ht="12.75" x14ac:dyDescent="0.2">
      <c r="B63692" s="1168"/>
    </row>
    <row r="63693" spans="2:2" s="221" customFormat="1" ht="12.75" x14ac:dyDescent="0.2">
      <c r="B63693" s="1168"/>
    </row>
    <row r="63694" spans="2:2" s="221" customFormat="1" ht="12.75" x14ac:dyDescent="0.2">
      <c r="B63694" s="1168"/>
    </row>
    <row r="63695" spans="2:2" s="221" customFormat="1" ht="12.75" x14ac:dyDescent="0.2">
      <c r="B63695" s="1168"/>
    </row>
    <row r="63696" spans="2:2" s="221" customFormat="1" ht="12.75" x14ac:dyDescent="0.2">
      <c r="B63696" s="1168"/>
    </row>
    <row r="63697" spans="2:2" s="221" customFormat="1" ht="12.75" x14ac:dyDescent="0.2">
      <c r="B63697" s="1168"/>
    </row>
    <row r="63698" spans="2:2" s="221" customFormat="1" ht="12.75" x14ac:dyDescent="0.2">
      <c r="B63698" s="1168"/>
    </row>
    <row r="63699" spans="2:2" s="221" customFormat="1" ht="12.75" x14ac:dyDescent="0.2">
      <c r="B63699" s="1168"/>
    </row>
    <row r="63700" spans="2:2" s="221" customFormat="1" ht="12.75" x14ac:dyDescent="0.2">
      <c r="B63700" s="1168"/>
    </row>
    <row r="63701" spans="2:2" s="221" customFormat="1" ht="12.75" x14ac:dyDescent="0.2">
      <c r="B63701" s="1168"/>
    </row>
    <row r="63702" spans="2:2" s="221" customFormat="1" ht="12.75" x14ac:dyDescent="0.2">
      <c r="B63702" s="1168"/>
    </row>
    <row r="63703" spans="2:2" s="221" customFormat="1" ht="12.75" x14ac:dyDescent="0.2">
      <c r="B63703" s="1168"/>
    </row>
    <row r="63704" spans="2:2" s="221" customFormat="1" ht="12.75" x14ac:dyDescent="0.2">
      <c r="B63704" s="1168"/>
    </row>
    <row r="63705" spans="2:2" s="221" customFormat="1" ht="12.75" x14ac:dyDescent="0.2">
      <c r="B63705" s="1168"/>
    </row>
    <row r="63706" spans="2:2" s="221" customFormat="1" ht="12.75" x14ac:dyDescent="0.2">
      <c r="B63706" s="1168"/>
    </row>
    <row r="63707" spans="2:2" s="221" customFormat="1" ht="12.75" x14ac:dyDescent="0.2">
      <c r="B63707" s="1168"/>
    </row>
    <row r="63708" spans="2:2" s="221" customFormat="1" ht="12.75" x14ac:dyDescent="0.2">
      <c r="B63708" s="1168"/>
    </row>
    <row r="63709" spans="2:2" s="221" customFormat="1" ht="12.75" x14ac:dyDescent="0.2">
      <c r="B63709" s="1168"/>
    </row>
    <row r="63710" spans="2:2" s="221" customFormat="1" ht="12.75" x14ac:dyDescent="0.2">
      <c r="B63710" s="1168"/>
    </row>
    <row r="63711" spans="2:2" s="221" customFormat="1" ht="12.75" x14ac:dyDescent="0.2">
      <c r="B63711" s="1168"/>
    </row>
    <row r="63712" spans="2:2" s="221" customFormat="1" ht="12.75" x14ac:dyDescent="0.2">
      <c r="B63712" s="1168"/>
    </row>
    <row r="63713" spans="2:2" s="221" customFormat="1" ht="12.75" x14ac:dyDescent="0.2">
      <c r="B63713" s="1168"/>
    </row>
    <row r="63714" spans="2:2" s="221" customFormat="1" ht="12.75" x14ac:dyDescent="0.2">
      <c r="B63714" s="1168"/>
    </row>
    <row r="63715" spans="2:2" s="221" customFormat="1" ht="12.75" x14ac:dyDescent="0.2">
      <c r="B63715" s="1168"/>
    </row>
    <row r="63716" spans="2:2" s="221" customFormat="1" ht="12.75" x14ac:dyDescent="0.2">
      <c r="B63716" s="1168"/>
    </row>
    <row r="63717" spans="2:2" s="221" customFormat="1" ht="12.75" x14ac:dyDescent="0.2">
      <c r="B63717" s="1168"/>
    </row>
    <row r="63718" spans="2:2" s="221" customFormat="1" ht="12.75" x14ac:dyDescent="0.2">
      <c r="B63718" s="1168"/>
    </row>
    <row r="63719" spans="2:2" s="221" customFormat="1" ht="12.75" x14ac:dyDescent="0.2">
      <c r="B63719" s="1168"/>
    </row>
    <row r="63720" spans="2:2" s="221" customFormat="1" ht="12.75" x14ac:dyDescent="0.2">
      <c r="B63720" s="1168"/>
    </row>
    <row r="63721" spans="2:2" s="221" customFormat="1" ht="12.75" x14ac:dyDescent="0.2">
      <c r="B63721" s="1168"/>
    </row>
    <row r="63722" spans="2:2" s="221" customFormat="1" ht="12.75" x14ac:dyDescent="0.2">
      <c r="B63722" s="1168"/>
    </row>
    <row r="63723" spans="2:2" s="221" customFormat="1" ht="12.75" x14ac:dyDescent="0.2">
      <c r="B63723" s="1168"/>
    </row>
    <row r="63724" spans="2:2" s="221" customFormat="1" ht="12.75" x14ac:dyDescent="0.2">
      <c r="B63724" s="1168"/>
    </row>
    <row r="63725" spans="2:2" s="221" customFormat="1" ht="12.75" x14ac:dyDescent="0.2">
      <c r="B63725" s="1168"/>
    </row>
    <row r="63726" spans="2:2" s="221" customFormat="1" ht="12.75" x14ac:dyDescent="0.2">
      <c r="B63726" s="1168"/>
    </row>
    <row r="63727" spans="2:2" s="221" customFormat="1" ht="12.75" x14ac:dyDescent="0.2">
      <c r="B63727" s="1168"/>
    </row>
    <row r="63728" spans="2:2" s="221" customFormat="1" ht="12.75" x14ac:dyDescent="0.2">
      <c r="B63728" s="1168"/>
    </row>
    <row r="63729" spans="2:2" s="221" customFormat="1" ht="12.75" x14ac:dyDescent="0.2">
      <c r="B63729" s="1168"/>
    </row>
    <row r="63730" spans="2:2" s="221" customFormat="1" ht="12.75" x14ac:dyDescent="0.2">
      <c r="B63730" s="1168"/>
    </row>
    <row r="63731" spans="2:2" s="221" customFormat="1" ht="12.75" x14ac:dyDescent="0.2">
      <c r="B63731" s="1168"/>
    </row>
    <row r="63732" spans="2:2" s="221" customFormat="1" ht="12.75" x14ac:dyDescent="0.2">
      <c r="B63732" s="1168"/>
    </row>
    <row r="63733" spans="2:2" s="221" customFormat="1" ht="12.75" x14ac:dyDescent="0.2">
      <c r="B63733" s="1168"/>
    </row>
    <row r="63734" spans="2:2" s="221" customFormat="1" ht="12.75" x14ac:dyDescent="0.2">
      <c r="B63734" s="1168"/>
    </row>
    <row r="63735" spans="2:2" s="221" customFormat="1" ht="12.75" x14ac:dyDescent="0.2">
      <c r="B63735" s="1168"/>
    </row>
    <row r="63736" spans="2:2" s="221" customFormat="1" ht="12.75" x14ac:dyDescent="0.2">
      <c r="B63736" s="1168"/>
    </row>
    <row r="63737" spans="2:2" s="221" customFormat="1" ht="12.75" x14ac:dyDescent="0.2">
      <c r="B63737" s="1168"/>
    </row>
    <row r="63738" spans="2:2" s="221" customFormat="1" ht="12.75" x14ac:dyDescent="0.2">
      <c r="B63738" s="1168"/>
    </row>
    <row r="63739" spans="2:2" s="221" customFormat="1" ht="12.75" x14ac:dyDescent="0.2">
      <c r="B63739" s="1168"/>
    </row>
    <row r="63740" spans="2:2" s="221" customFormat="1" ht="12.75" x14ac:dyDescent="0.2">
      <c r="B63740" s="1168"/>
    </row>
    <row r="63741" spans="2:2" s="221" customFormat="1" ht="12.75" x14ac:dyDescent="0.2">
      <c r="B63741" s="1168"/>
    </row>
    <row r="63742" spans="2:2" s="221" customFormat="1" ht="12.75" x14ac:dyDescent="0.2">
      <c r="B63742" s="1168"/>
    </row>
    <row r="63743" spans="2:2" s="221" customFormat="1" ht="12.75" x14ac:dyDescent="0.2">
      <c r="B63743" s="1168"/>
    </row>
    <row r="63744" spans="2:2" s="221" customFormat="1" ht="12.75" x14ac:dyDescent="0.2">
      <c r="B63744" s="1168"/>
    </row>
    <row r="63745" spans="2:2" s="221" customFormat="1" ht="12.75" x14ac:dyDescent="0.2">
      <c r="B63745" s="1168"/>
    </row>
    <row r="63746" spans="2:2" s="221" customFormat="1" ht="12.75" x14ac:dyDescent="0.2">
      <c r="B63746" s="1168"/>
    </row>
    <row r="63747" spans="2:2" s="221" customFormat="1" ht="12.75" x14ac:dyDescent="0.2">
      <c r="B63747" s="1168"/>
    </row>
    <row r="63748" spans="2:2" s="221" customFormat="1" ht="12.75" x14ac:dyDescent="0.2">
      <c r="B63748" s="1168"/>
    </row>
    <row r="63749" spans="2:2" s="221" customFormat="1" ht="12.75" x14ac:dyDescent="0.2">
      <c r="B63749" s="1168"/>
    </row>
    <row r="63750" spans="2:2" s="221" customFormat="1" ht="12.75" x14ac:dyDescent="0.2">
      <c r="B63750" s="1168"/>
    </row>
    <row r="63751" spans="2:2" s="221" customFormat="1" ht="12.75" x14ac:dyDescent="0.2">
      <c r="B63751" s="1168"/>
    </row>
    <row r="63752" spans="2:2" s="221" customFormat="1" ht="12.75" x14ac:dyDescent="0.2">
      <c r="B63752" s="1168"/>
    </row>
    <row r="63753" spans="2:2" s="221" customFormat="1" ht="12.75" x14ac:dyDescent="0.2">
      <c r="B63753" s="1168"/>
    </row>
    <row r="63754" spans="2:2" s="221" customFormat="1" ht="12.75" x14ac:dyDescent="0.2">
      <c r="B63754" s="1168"/>
    </row>
    <row r="63755" spans="2:2" s="221" customFormat="1" ht="12.75" x14ac:dyDescent="0.2">
      <c r="B63755" s="1168"/>
    </row>
    <row r="63756" spans="2:2" s="221" customFormat="1" ht="12.75" x14ac:dyDescent="0.2">
      <c r="B63756" s="1168"/>
    </row>
    <row r="63757" spans="2:2" s="221" customFormat="1" ht="12.75" x14ac:dyDescent="0.2">
      <c r="B63757" s="1168"/>
    </row>
    <row r="63758" spans="2:2" s="221" customFormat="1" ht="12.75" x14ac:dyDescent="0.2">
      <c r="B63758" s="1168"/>
    </row>
    <row r="63759" spans="2:2" s="221" customFormat="1" ht="12.75" x14ac:dyDescent="0.2">
      <c r="B63759" s="1168"/>
    </row>
    <row r="63760" spans="2:2" s="221" customFormat="1" ht="12.75" x14ac:dyDescent="0.2">
      <c r="B63760" s="1168"/>
    </row>
    <row r="63761" spans="2:2" s="221" customFormat="1" ht="12.75" x14ac:dyDescent="0.2">
      <c r="B63761" s="1168"/>
    </row>
    <row r="63762" spans="2:2" s="221" customFormat="1" ht="12.75" x14ac:dyDescent="0.2">
      <c r="B63762" s="1168"/>
    </row>
    <row r="63763" spans="2:2" s="221" customFormat="1" ht="12.75" x14ac:dyDescent="0.2">
      <c r="B63763" s="1168"/>
    </row>
    <row r="63764" spans="2:2" s="221" customFormat="1" ht="12.75" x14ac:dyDescent="0.2">
      <c r="B63764" s="1168"/>
    </row>
    <row r="63765" spans="2:2" s="221" customFormat="1" ht="12.75" x14ac:dyDescent="0.2">
      <c r="B63765" s="1168"/>
    </row>
    <row r="63766" spans="2:2" s="221" customFormat="1" ht="12.75" x14ac:dyDescent="0.2">
      <c r="B63766" s="1168"/>
    </row>
    <row r="63767" spans="2:2" s="221" customFormat="1" ht="12.75" x14ac:dyDescent="0.2">
      <c r="B63767" s="1168"/>
    </row>
    <row r="63768" spans="2:2" s="221" customFormat="1" ht="12.75" x14ac:dyDescent="0.2">
      <c r="B63768" s="1168"/>
    </row>
    <row r="63769" spans="2:2" s="221" customFormat="1" ht="12.75" x14ac:dyDescent="0.2">
      <c r="B63769" s="1168"/>
    </row>
    <row r="63770" spans="2:2" s="221" customFormat="1" ht="12.75" x14ac:dyDescent="0.2">
      <c r="B63770" s="1168"/>
    </row>
    <row r="63771" spans="2:2" s="221" customFormat="1" ht="12.75" x14ac:dyDescent="0.2">
      <c r="B63771" s="1168"/>
    </row>
    <row r="63772" spans="2:2" s="221" customFormat="1" ht="12.75" x14ac:dyDescent="0.2">
      <c r="B63772" s="1168"/>
    </row>
    <row r="63773" spans="2:2" s="221" customFormat="1" ht="12.75" x14ac:dyDescent="0.2">
      <c r="B63773" s="1168"/>
    </row>
    <row r="63774" spans="2:2" s="221" customFormat="1" ht="12.75" x14ac:dyDescent="0.2">
      <c r="B63774" s="1168"/>
    </row>
    <row r="63775" spans="2:2" s="221" customFormat="1" ht="12.75" x14ac:dyDescent="0.2">
      <c r="B63775" s="1168"/>
    </row>
    <row r="63776" spans="2:2" s="221" customFormat="1" ht="12.75" x14ac:dyDescent="0.2">
      <c r="B63776" s="1168"/>
    </row>
    <row r="63777" spans="2:2" s="221" customFormat="1" ht="12.75" x14ac:dyDescent="0.2">
      <c r="B63777" s="1168"/>
    </row>
    <row r="63778" spans="2:2" s="221" customFormat="1" ht="12.75" x14ac:dyDescent="0.2">
      <c r="B63778" s="1168"/>
    </row>
    <row r="63779" spans="2:2" s="221" customFormat="1" ht="12.75" x14ac:dyDescent="0.2">
      <c r="B63779" s="1168"/>
    </row>
    <row r="63780" spans="2:2" s="221" customFormat="1" ht="12.75" x14ac:dyDescent="0.2">
      <c r="B63780" s="1168"/>
    </row>
    <row r="63781" spans="2:2" s="221" customFormat="1" ht="12.75" x14ac:dyDescent="0.2">
      <c r="B63781" s="1168"/>
    </row>
    <row r="63782" spans="2:2" s="221" customFormat="1" ht="12.75" x14ac:dyDescent="0.2">
      <c r="B63782" s="1168"/>
    </row>
    <row r="63783" spans="2:2" s="221" customFormat="1" ht="12.75" x14ac:dyDescent="0.2">
      <c r="B63783" s="1168"/>
    </row>
    <row r="63784" spans="2:2" s="221" customFormat="1" ht="12.75" x14ac:dyDescent="0.2">
      <c r="B63784" s="1168"/>
    </row>
    <row r="63785" spans="2:2" s="221" customFormat="1" ht="12.75" x14ac:dyDescent="0.2">
      <c r="B63785" s="1168"/>
    </row>
    <row r="63786" spans="2:2" s="221" customFormat="1" ht="12.75" x14ac:dyDescent="0.2">
      <c r="B63786" s="1168"/>
    </row>
    <row r="63787" spans="2:2" s="221" customFormat="1" ht="12.75" x14ac:dyDescent="0.2">
      <c r="B63787" s="1168"/>
    </row>
    <row r="63788" spans="2:2" s="221" customFormat="1" ht="12.75" x14ac:dyDescent="0.2">
      <c r="B63788" s="1168"/>
    </row>
    <row r="63789" spans="2:2" s="221" customFormat="1" ht="12.75" x14ac:dyDescent="0.2">
      <c r="B63789" s="1168"/>
    </row>
    <row r="63790" spans="2:2" s="221" customFormat="1" ht="12.75" x14ac:dyDescent="0.2">
      <c r="B63790" s="1168"/>
    </row>
    <row r="63791" spans="2:2" s="221" customFormat="1" ht="12.75" x14ac:dyDescent="0.2">
      <c r="B63791" s="1168"/>
    </row>
    <row r="63792" spans="2:2" s="221" customFormat="1" ht="12.75" x14ac:dyDescent="0.2">
      <c r="B63792" s="1168"/>
    </row>
    <row r="63793" spans="2:2" s="221" customFormat="1" ht="12.75" x14ac:dyDescent="0.2">
      <c r="B63793" s="1168"/>
    </row>
    <row r="63794" spans="2:2" s="221" customFormat="1" ht="12.75" x14ac:dyDescent="0.2">
      <c r="B63794" s="1168"/>
    </row>
    <row r="63795" spans="2:2" s="221" customFormat="1" ht="12.75" x14ac:dyDescent="0.2">
      <c r="B63795" s="1168"/>
    </row>
    <row r="63796" spans="2:2" s="221" customFormat="1" ht="12.75" x14ac:dyDescent="0.2">
      <c r="B63796" s="1168"/>
    </row>
    <row r="63797" spans="2:2" s="221" customFormat="1" ht="12.75" x14ac:dyDescent="0.2">
      <c r="B63797" s="1168"/>
    </row>
    <row r="63798" spans="2:2" s="221" customFormat="1" ht="12.75" x14ac:dyDescent="0.2">
      <c r="B63798" s="1168"/>
    </row>
    <row r="63799" spans="2:2" s="221" customFormat="1" ht="12.75" x14ac:dyDescent="0.2">
      <c r="B63799" s="1168"/>
    </row>
    <row r="63800" spans="2:2" s="221" customFormat="1" ht="12.75" x14ac:dyDescent="0.2">
      <c r="B63800" s="1168"/>
    </row>
    <row r="63801" spans="2:2" s="221" customFormat="1" ht="12.75" x14ac:dyDescent="0.2">
      <c r="B63801" s="1168"/>
    </row>
    <row r="63802" spans="2:2" s="221" customFormat="1" ht="12.75" x14ac:dyDescent="0.2">
      <c r="B63802" s="1168"/>
    </row>
    <row r="63803" spans="2:2" s="221" customFormat="1" ht="12.75" x14ac:dyDescent="0.2">
      <c r="B63803" s="1168"/>
    </row>
    <row r="63804" spans="2:2" s="221" customFormat="1" ht="12.75" x14ac:dyDescent="0.2">
      <c r="B63804" s="1168"/>
    </row>
    <row r="63805" spans="2:2" s="221" customFormat="1" ht="12.75" x14ac:dyDescent="0.2">
      <c r="B63805" s="1168"/>
    </row>
    <row r="63806" spans="2:2" s="221" customFormat="1" ht="12.75" x14ac:dyDescent="0.2">
      <c r="B63806" s="1168"/>
    </row>
    <row r="63807" spans="2:2" s="221" customFormat="1" ht="12.75" x14ac:dyDescent="0.2">
      <c r="B63807" s="1168"/>
    </row>
    <row r="63808" spans="2:2" s="221" customFormat="1" ht="12.75" x14ac:dyDescent="0.2">
      <c r="B63808" s="1168"/>
    </row>
    <row r="63809" spans="2:2" s="221" customFormat="1" ht="12.75" x14ac:dyDescent="0.2">
      <c r="B63809" s="1168"/>
    </row>
    <row r="63810" spans="2:2" s="221" customFormat="1" ht="12.75" x14ac:dyDescent="0.2">
      <c r="B63810" s="1168"/>
    </row>
    <row r="63811" spans="2:2" s="221" customFormat="1" ht="12.75" x14ac:dyDescent="0.2">
      <c r="B63811" s="1168"/>
    </row>
    <row r="63812" spans="2:2" s="221" customFormat="1" ht="12.75" x14ac:dyDescent="0.2">
      <c r="B63812" s="1168"/>
    </row>
    <row r="63813" spans="2:2" s="221" customFormat="1" ht="12.75" x14ac:dyDescent="0.2">
      <c r="B63813" s="1168"/>
    </row>
    <row r="63814" spans="2:2" s="221" customFormat="1" ht="12.75" x14ac:dyDescent="0.2">
      <c r="B63814" s="1168"/>
    </row>
    <row r="63815" spans="2:2" s="221" customFormat="1" ht="12.75" x14ac:dyDescent="0.2">
      <c r="B63815" s="1168"/>
    </row>
    <row r="63816" spans="2:2" s="221" customFormat="1" ht="12.75" x14ac:dyDescent="0.2">
      <c r="B63816" s="1168"/>
    </row>
    <row r="63817" spans="2:2" s="221" customFormat="1" ht="12.75" x14ac:dyDescent="0.2">
      <c r="B63817" s="1168"/>
    </row>
    <row r="63818" spans="2:2" s="221" customFormat="1" ht="12.75" x14ac:dyDescent="0.2">
      <c r="B63818" s="1168"/>
    </row>
    <row r="63819" spans="2:2" s="221" customFormat="1" ht="12.75" x14ac:dyDescent="0.2">
      <c r="B63819" s="1168"/>
    </row>
    <row r="63820" spans="2:2" s="221" customFormat="1" ht="12.75" x14ac:dyDescent="0.2">
      <c r="B63820" s="1168"/>
    </row>
    <row r="63821" spans="2:2" s="221" customFormat="1" ht="12.75" x14ac:dyDescent="0.2">
      <c r="B63821" s="1168"/>
    </row>
    <row r="63822" spans="2:2" s="221" customFormat="1" ht="12.75" x14ac:dyDescent="0.2">
      <c r="B63822" s="1168"/>
    </row>
    <row r="63823" spans="2:2" s="221" customFormat="1" ht="12.75" x14ac:dyDescent="0.2">
      <c r="B63823" s="1168"/>
    </row>
    <row r="63824" spans="2:2" s="221" customFormat="1" ht="12.75" x14ac:dyDescent="0.2">
      <c r="B63824" s="1168"/>
    </row>
    <row r="63825" spans="2:2" s="221" customFormat="1" ht="12.75" x14ac:dyDescent="0.2">
      <c r="B63825" s="1168"/>
    </row>
    <row r="63826" spans="2:2" s="221" customFormat="1" ht="12.75" x14ac:dyDescent="0.2">
      <c r="B63826" s="1168"/>
    </row>
    <row r="63827" spans="2:2" s="221" customFormat="1" ht="12.75" x14ac:dyDescent="0.2">
      <c r="B63827" s="1168"/>
    </row>
    <row r="63828" spans="2:2" s="221" customFormat="1" ht="12.75" x14ac:dyDescent="0.2">
      <c r="B63828" s="1168"/>
    </row>
    <row r="63829" spans="2:2" s="221" customFormat="1" ht="12.75" x14ac:dyDescent="0.2">
      <c r="B63829" s="1168"/>
    </row>
    <row r="63830" spans="2:2" s="221" customFormat="1" ht="12.75" x14ac:dyDescent="0.2">
      <c r="B63830" s="1168"/>
    </row>
    <row r="63831" spans="2:2" s="221" customFormat="1" ht="12.75" x14ac:dyDescent="0.2">
      <c r="B63831" s="1168"/>
    </row>
    <row r="63832" spans="2:2" s="221" customFormat="1" ht="12.75" x14ac:dyDescent="0.2">
      <c r="B63832" s="1168"/>
    </row>
    <row r="63833" spans="2:2" s="221" customFormat="1" ht="12.75" x14ac:dyDescent="0.2">
      <c r="B63833" s="1168"/>
    </row>
    <row r="63834" spans="2:2" s="221" customFormat="1" ht="12.75" x14ac:dyDescent="0.2">
      <c r="B63834" s="1168"/>
    </row>
    <row r="63835" spans="2:2" s="221" customFormat="1" ht="12.75" x14ac:dyDescent="0.2">
      <c r="B63835" s="1168"/>
    </row>
    <row r="63836" spans="2:2" s="221" customFormat="1" ht="12.75" x14ac:dyDescent="0.2">
      <c r="B63836" s="1168"/>
    </row>
    <row r="63837" spans="2:2" s="221" customFormat="1" ht="12.75" x14ac:dyDescent="0.2">
      <c r="B63837" s="1168"/>
    </row>
    <row r="63838" spans="2:2" s="221" customFormat="1" ht="12.75" x14ac:dyDescent="0.2">
      <c r="B63838" s="1168"/>
    </row>
    <row r="63839" spans="2:2" s="221" customFormat="1" ht="12.75" x14ac:dyDescent="0.2">
      <c r="B63839" s="1168"/>
    </row>
    <row r="63840" spans="2:2" s="221" customFormat="1" ht="12.75" x14ac:dyDescent="0.2">
      <c r="B63840" s="1168"/>
    </row>
    <row r="63841" spans="2:2" s="221" customFormat="1" ht="12.75" x14ac:dyDescent="0.2">
      <c r="B63841" s="1168"/>
    </row>
    <row r="63842" spans="2:2" s="221" customFormat="1" ht="12.75" x14ac:dyDescent="0.2">
      <c r="B63842" s="1168"/>
    </row>
    <row r="63843" spans="2:2" s="221" customFormat="1" ht="12.75" x14ac:dyDescent="0.2">
      <c r="B63843" s="1168"/>
    </row>
    <row r="63844" spans="2:2" s="221" customFormat="1" ht="12.75" x14ac:dyDescent="0.2">
      <c r="B63844" s="1168"/>
    </row>
    <row r="63845" spans="2:2" s="221" customFormat="1" ht="12.75" x14ac:dyDescent="0.2">
      <c r="B63845" s="1168"/>
    </row>
    <row r="63846" spans="2:2" s="221" customFormat="1" ht="12.75" x14ac:dyDescent="0.2">
      <c r="B63846" s="1168"/>
    </row>
    <row r="63847" spans="2:2" s="221" customFormat="1" ht="12.75" x14ac:dyDescent="0.2">
      <c r="B63847" s="1168"/>
    </row>
    <row r="63848" spans="2:2" s="221" customFormat="1" ht="12.75" x14ac:dyDescent="0.2">
      <c r="B63848" s="1168"/>
    </row>
    <row r="63849" spans="2:2" s="221" customFormat="1" ht="12.75" x14ac:dyDescent="0.2">
      <c r="B63849" s="1168"/>
    </row>
    <row r="63850" spans="2:2" s="221" customFormat="1" ht="12.75" x14ac:dyDescent="0.2">
      <c r="B63850" s="1168"/>
    </row>
    <row r="63851" spans="2:2" s="221" customFormat="1" ht="12.75" x14ac:dyDescent="0.2">
      <c r="B63851" s="1168"/>
    </row>
    <row r="63852" spans="2:2" s="221" customFormat="1" ht="12.75" x14ac:dyDescent="0.2">
      <c r="B63852" s="1168"/>
    </row>
    <row r="63853" spans="2:2" s="221" customFormat="1" ht="12.75" x14ac:dyDescent="0.2">
      <c r="B63853" s="1168"/>
    </row>
    <row r="63854" spans="2:2" s="221" customFormat="1" ht="12.75" x14ac:dyDescent="0.2">
      <c r="B63854" s="1168"/>
    </row>
    <row r="63855" spans="2:2" s="221" customFormat="1" ht="12.75" x14ac:dyDescent="0.2">
      <c r="B63855" s="1168"/>
    </row>
    <row r="63856" spans="2:2" s="221" customFormat="1" ht="12.75" x14ac:dyDescent="0.2">
      <c r="B63856" s="1168"/>
    </row>
    <row r="63857" spans="2:2" s="221" customFormat="1" ht="12.75" x14ac:dyDescent="0.2">
      <c r="B63857" s="1168"/>
    </row>
    <row r="63858" spans="2:2" s="221" customFormat="1" ht="12.75" x14ac:dyDescent="0.2">
      <c r="B63858" s="1168"/>
    </row>
    <row r="63859" spans="2:2" s="221" customFormat="1" ht="12.75" x14ac:dyDescent="0.2">
      <c r="B63859" s="1168"/>
    </row>
    <row r="63860" spans="2:2" s="221" customFormat="1" ht="12.75" x14ac:dyDescent="0.2">
      <c r="B63860" s="1168"/>
    </row>
    <row r="63861" spans="2:2" s="221" customFormat="1" ht="12.75" x14ac:dyDescent="0.2">
      <c r="B63861" s="1168"/>
    </row>
    <row r="63862" spans="2:2" s="221" customFormat="1" ht="12.75" x14ac:dyDescent="0.2">
      <c r="B63862" s="1168"/>
    </row>
    <row r="63863" spans="2:2" s="221" customFormat="1" ht="12.75" x14ac:dyDescent="0.2">
      <c r="B63863" s="1168"/>
    </row>
    <row r="63864" spans="2:2" s="221" customFormat="1" ht="12.75" x14ac:dyDescent="0.2">
      <c r="B63864" s="1168"/>
    </row>
    <row r="63865" spans="2:2" s="221" customFormat="1" ht="12.75" x14ac:dyDescent="0.2">
      <c r="B63865" s="1168"/>
    </row>
    <row r="63866" spans="2:2" s="221" customFormat="1" ht="12.75" x14ac:dyDescent="0.2">
      <c r="B63866" s="1168"/>
    </row>
    <row r="63867" spans="2:2" s="221" customFormat="1" ht="12.75" x14ac:dyDescent="0.2">
      <c r="B63867" s="1168"/>
    </row>
    <row r="63868" spans="2:2" s="221" customFormat="1" ht="12.75" x14ac:dyDescent="0.2">
      <c r="B63868" s="1168"/>
    </row>
    <row r="63869" spans="2:2" s="221" customFormat="1" ht="12.75" x14ac:dyDescent="0.2">
      <c r="B63869" s="1168"/>
    </row>
    <row r="63870" spans="2:2" s="221" customFormat="1" ht="12.75" x14ac:dyDescent="0.2">
      <c r="B63870" s="1168"/>
    </row>
    <row r="63871" spans="2:2" s="221" customFormat="1" ht="12.75" x14ac:dyDescent="0.2">
      <c r="B63871" s="1168"/>
    </row>
    <row r="63872" spans="2:2" s="221" customFormat="1" ht="12.75" x14ac:dyDescent="0.2">
      <c r="B63872" s="1168"/>
    </row>
    <row r="63873" spans="2:2" s="221" customFormat="1" ht="12.75" x14ac:dyDescent="0.2">
      <c r="B63873" s="1168"/>
    </row>
    <row r="63874" spans="2:2" s="221" customFormat="1" ht="12.75" x14ac:dyDescent="0.2">
      <c r="B63874" s="1168"/>
    </row>
    <row r="63875" spans="2:2" s="221" customFormat="1" ht="12.75" x14ac:dyDescent="0.2">
      <c r="B63875" s="1168"/>
    </row>
    <row r="63876" spans="2:2" s="221" customFormat="1" ht="12.75" x14ac:dyDescent="0.2">
      <c r="B63876" s="1168"/>
    </row>
    <row r="63877" spans="2:2" s="221" customFormat="1" ht="12.75" x14ac:dyDescent="0.2">
      <c r="B63877" s="1168"/>
    </row>
    <row r="63878" spans="2:2" s="221" customFormat="1" ht="12.75" x14ac:dyDescent="0.2">
      <c r="B63878" s="1168"/>
    </row>
    <row r="63879" spans="2:2" s="221" customFormat="1" ht="12.75" x14ac:dyDescent="0.2">
      <c r="B63879" s="1168"/>
    </row>
    <row r="63880" spans="2:2" s="221" customFormat="1" ht="12.75" x14ac:dyDescent="0.2">
      <c r="B63880" s="1168"/>
    </row>
    <row r="63881" spans="2:2" s="221" customFormat="1" ht="12.75" x14ac:dyDescent="0.2">
      <c r="B63881" s="1168"/>
    </row>
    <row r="63882" spans="2:2" s="221" customFormat="1" ht="12.75" x14ac:dyDescent="0.2">
      <c r="B63882" s="1168"/>
    </row>
    <row r="63883" spans="2:2" s="221" customFormat="1" ht="12.75" x14ac:dyDescent="0.2">
      <c r="B63883" s="1168"/>
    </row>
    <row r="63884" spans="2:2" s="221" customFormat="1" ht="12.75" x14ac:dyDescent="0.2">
      <c r="B63884" s="1168"/>
    </row>
    <row r="63885" spans="2:2" s="221" customFormat="1" ht="12.75" x14ac:dyDescent="0.2">
      <c r="B63885" s="1168"/>
    </row>
    <row r="63886" spans="2:2" s="221" customFormat="1" ht="12.75" x14ac:dyDescent="0.2">
      <c r="B63886" s="1168"/>
    </row>
    <row r="63887" spans="2:2" s="221" customFormat="1" ht="12.75" x14ac:dyDescent="0.2">
      <c r="B63887" s="1168"/>
    </row>
    <row r="63888" spans="2:2" s="221" customFormat="1" ht="12.75" x14ac:dyDescent="0.2">
      <c r="B63888" s="1168"/>
    </row>
    <row r="63889" spans="2:2" s="221" customFormat="1" ht="12.75" x14ac:dyDescent="0.2">
      <c r="B63889" s="1168"/>
    </row>
    <row r="63890" spans="2:2" s="221" customFormat="1" ht="12.75" x14ac:dyDescent="0.2">
      <c r="B63890" s="1168"/>
    </row>
    <row r="63891" spans="2:2" s="221" customFormat="1" ht="12.75" x14ac:dyDescent="0.2">
      <c r="B63891" s="1168"/>
    </row>
    <row r="63892" spans="2:2" s="221" customFormat="1" ht="12.75" x14ac:dyDescent="0.2">
      <c r="B63892" s="1168"/>
    </row>
    <row r="63893" spans="2:2" s="221" customFormat="1" ht="12.75" x14ac:dyDescent="0.2">
      <c r="B63893" s="1168"/>
    </row>
    <row r="63894" spans="2:2" s="221" customFormat="1" ht="12.75" x14ac:dyDescent="0.2">
      <c r="B63894" s="1168"/>
    </row>
    <row r="63895" spans="2:2" s="221" customFormat="1" ht="12.75" x14ac:dyDescent="0.2">
      <c r="B63895" s="1168"/>
    </row>
    <row r="63896" spans="2:2" s="221" customFormat="1" ht="12.75" x14ac:dyDescent="0.2">
      <c r="B63896" s="1168"/>
    </row>
    <row r="63897" spans="2:2" s="221" customFormat="1" ht="12.75" x14ac:dyDescent="0.2">
      <c r="B63897" s="1168"/>
    </row>
    <row r="63898" spans="2:2" s="221" customFormat="1" ht="12.75" x14ac:dyDescent="0.2">
      <c r="B63898" s="1168"/>
    </row>
    <row r="63899" spans="2:2" s="221" customFormat="1" ht="12.75" x14ac:dyDescent="0.2">
      <c r="B63899" s="1168"/>
    </row>
    <row r="63900" spans="2:2" s="221" customFormat="1" ht="12.75" x14ac:dyDescent="0.2">
      <c r="B63900" s="1168"/>
    </row>
    <row r="63901" spans="2:2" s="221" customFormat="1" ht="12.75" x14ac:dyDescent="0.2">
      <c r="B63901" s="1168"/>
    </row>
    <row r="63902" spans="2:2" s="221" customFormat="1" ht="12.75" x14ac:dyDescent="0.2">
      <c r="B63902" s="1168"/>
    </row>
    <row r="63903" spans="2:2" s="221" customFormat="1" ht="12.75" x14ac:dyDescent="0.2">
      <c r="B63903" s="1168"/>
    </row>
    <row r="63904" spans="2:2" s="221" customFormat="1" ht="12.75" x14ac:dyDescent="0.2">
      <c r="B63904" s="1168"/>
    </row>
    <row r="63905" spans="2:2" s="221" customFormat="1" ht="12.75" x14ac:dyDescent="0.2">
      <c r="B63905" s="1168"/>
    </row>
    <row r="63906" spans="2:2" s="221" customFormat="1" ht="12.75" x14ac:dyDescent="0.2">
      <c r="B63906" s="1168"/>
    </row>
    <row r="63907" spans="2:2" s="221" customFormat="1" ht="12.75" x14ac:dyDescent="0.2">
      <c r="B63907" s="1168"/>
    </row>
    <row r="63908" spans="2:2" s="221" customFormat="1" ht="12.75" x14ac:dyDescent="0.2">
      <c r="B63908" s="1168"/>
    </row>
    <row r="63909" spans="2:2" s="221" customFormat="1" ht="12.75" x14ac:dyDescent="0.2">
      <c r="B63909" s="1168"/>
    </row>
    <row r="63910" spans="2:2" s="221" customFormat="1" ht="12.75" x14ac:dyDescent="0.2">
      <c r="B63910" s="1168"/>
    </row>
    <row r="63911" spans="2:2" s="221" customFormat="1" ht="12.75" x14ac:dyDescent="0.2">
      <c r="B63911" s="1168"/>
    </row>
    <row r="63912" spans="2:2" s="221" customFormat="1" ht="12.75" x14ac:dyDescent="0.2">
      <c r="B63912" s="1168"/>
    </row>
    <row r="63913" spans="2:2" s="221" customFormat="1" ht="12.75" x14ac:dyDescent="0.2">
      <c r="B63913" s="1168"/>
    </row>
    <row r="63914" spans="2:2" s="221" customFormat="1" ht="12.75" x14ac:dyDescent="0.2">
      <c r="B63914" s="1168"/>
    </row>
    <row r="63915" spans="2:2" s="221" customFormat="1" ht="12.75" x14ac:dyDescent="0.2">
      <c r="B63915" s="1168"/>
    </row>
    <row r="63916" spans="2:2" s="221" customFormat="1" ht="12.75" x14ac:dyDescent="0.2">
      <c r="B63916" s="1168"/>
    </row>
    <row r="63917" spans="2:2" s="221" customFormat="1" ht="12.75" x14ac:dyDescent="0.2">
      <c r="B63917" s="1168"/>
    </row>
    <row r="63918" spans="2:2" s="221" customFormat="1" ht="12.75" x14ac:dyDescent="0.2">
      <c r="B63918" s="1168"/>
    </row>
    <row r="63919" spans="2:2" s="221" customFormat="1" ht="12.75" x14ac:dyDescent="0.2">
      <c r="B63919" s="1168"/>
    </row>
    <row r="63920" spans="2:2" s="221" customFormat="1" ht="12.75" x14ac:dyDescent="0.2">
      <c r="B63920" s="1168"/>
    </row>
    <row r="63921" spans="2:2" s="221" customFormat="1" ht="12.75" x14ac:dyDescent="0.2">
      <c r="B63921" s="1168"/>
    </row>
    <row r="63922" spans="2:2" s="221" customFormat="1" ht="12.75" x14ac:dyDescent="0.2">
      <c r="B63922" s="1168"/>
    </row>
    <row r="63923" spans="2:2" s="221" customFormat="1" ht="12.75" x14ac:dyDescent="0.2">
      <c r="B63923" s="1168"/>
    </row>
    <row r="63924" spans="2:2" s="221" customFormat="1" ht="12.75" x14ac:dyDescent="0.2">
      <c r="B63924" s="1168"/>
    </row>
    <row r="63925" spans="2:2" s="221" customFormat="1" ht="12.75" x14ac:dyDescent="0.2">
      <c r="B63925" s="1168"/>
    </row>
    <row r="63926" spans="2:2" s="221" customFormat="1" ht="12.75" x14ac:dyDescent="0.2">
      <c r="B63926" s="1168"/>
    </row>
    <row r="63927" spans="2:2" s="221" customFormat="1" ht="12.75" x14ac:dyDescent="0.2">
      <c r="B63927" s="1168"/>
    </row>
    <row r="63928" spans="2:2" s="221" customFormat="1" ht="12.75" x14ac:dyDescent="0.2">
      <c r="B63928" s="1168"/>
    </row>
    <row r="63929" spans="2:2" s="221" customFormat="1" ht="12.75" x14ac:dyDescent="0.2">
      <c r="B63929" s="1168"/>
    </row>
    <row r="63930" spans="2:2" s="221" customFormat="1" ht="12.75" x14ac:dyDescent="0.2">
      <c r="B63930" s="1168"/>
    </row>
    <row r="63931" spans="2:2" s="221" customFormat="1" ht="12.75" x14ac:dyDescent="0.2">
      <c r="B63931" s="1168"/>
    </row>
    <row r="63932" spans="2:2" s="221" customFormat="1" ht="12.75" x14ac:dyDescent="0.2">
      <c r="B63932" s="1168"/>
    </row>
    <row r="63933" spans="2:2" s="221" customFormat="1" ht="12.75" x14ac:dyDescent="0.2">
      <c r="B63933" s="1168"/>
    </row>
    <row r="63934" spans="2:2" s="221" customFormat="1" ht="12.75" x14ac:dyDescent="0.2">
      <c r="B63934" s="1168"/>
    </row>
    <row r="63935" spans="2:2" s="221" customFormat="1" ht="12.75" x14ac:dyDescent="0.2">
      <c r="B63935" s="1168"/>
    </row>
    <row r="63936" spans="2:2" s="221" customFormat="1" ht="12.75" x14ac:dyDescent="0.2">
      <c r="B63936" s="1168"/>
    </row>
    <row r="63937" spans="2:2" s="221" customFormat="1" ht="12.75" x14ac:dyDescent="0.2">
      <c r="B63937" s="1168"/>
    </row>
    <row r="63938" spans="2:2" s="221" customFormat="1" ht="12.75" x14ac:dyDescent="0.2">
      <c r="B63938" s="1168"/>
    </row>
    <row r="63939" spans="2:2" s="221" customFormat="1" ht="12.75" x14ac:dyDescent="0.2">
      <c r="B63939" s="1168"/>
    </row>
    <row r="63940" spans="2:2" s="221" customFormat="1" ht="12.75" x14ac:dyDescent="0.2">
      <c r="B63940" s="1168"/>
    </row>
    <row r="63941" spans="2:2" s="221" customFormat="1" ht="12.75" x14ac:dyDescent="0.2">
      <c r="B63941" s="1168"/>
    </row>
    <row r="63942" spans="2:2" s="221" customFormat="1" ht="12.75" x14ac:dyDescent="0.2">
      <c r="B63942" s="1168"/>
    </row>
    <row r="63943" spans="2:2" s="221" customFormat="1" ht="12.75" x14ac:dyDescent="0.2">
      <c r="B63943" s="1168"/>
    </row>
    <row r="63944" spans="2:2" s="221" customFormat="1" ht="12.75" x14ac:dyDescent="0.2">
      <c r="B63944" s="1168"/>
    </row>
    <row r="63945" spans="2:2" s="221" customFormat="1" ht="12.75" x14ac:dyDescent="0.2">
      <c r="B63945" s="1168"/>
    </row>
    <row r="63946" spans="2:2" s="221" customFormat="1" ht="12.75" x14ac:dyDescent="0.2">
      <c r="B63946" s="1168"/>
    </row>
    <row r="63947" spans="2:2" s="221" customFormat="1" ht="12.75" x14ac:dyDescent="0.2">
      <c r="B63947" s="1168"/>
    </row>
    <row r="63948" spans="2:2" s="221" customFormat="1" ht="12.75" x14ac:dyDescent="0.2">
      <c r="B63948" s="1168"/>
    </row>
    <row r="63949" spans="2:2" s="221" customFormat="1" ht="12.75" x14ac:dyDescent="0.2">
      <c r="B63949" s="1168"/>
    </row>
    <row r="63950" spans="2:2" s="221" customFormat="1" ht="12.75" x14ac:dyDescent="0.2">
      <c r="B63950" s="1168"/>
    </row>
    <row r="63951" spans="2:2" s="221" customFormat="1" ht="12.75" x14ac:dyDescent="0.2">
      <c r="B63951" s="1168"/>
    </row>
    <row r="63952" spans="2:2" s="221" customFormat="1" ht="12.75" x14ac:dyDescent="0.2">
      <c r="B63952" s="1168"/>
    </row>
    <row r="63953" spans="2:2" s="221" customFormat="1" ht="12.75" x14ac:dyDescent="0.2">
      <c r="B63953" s="1168"/>
    </row>
    <row r="63954" spans="2:2" s="221" customFormat="1" ht="12.75" x14ac:dyDescent="0.2">
      <c r="B63954" s="1168"/>
    </row>
    <row r="63955" spans="2:2" s="221" customFormat="1" ht="12.75" x14ac:dyDescent="0.2">
      <c r="B63955" s="1168"/>
    </row>
    <row r="63956" spans="2:2" s="221" customFormat="1" ht="12.75" x14ac:dyDescent="0.2">
      <c r="B63956" s="1168"/>
    </row>
    <row r="63957" spans="2:2" s="221" customFormat="1" ht="12.75" x14ac:dyDescent="0.2">
      <c r="B63957" s="1168"/>
    </row>
    <row r="63958" spans="2:2" s="221" customFormat="1" ht="12.75" x14ac:dyDescent="0.2">
      <c r="B63958" s="1168"/>
    </row>
    <row r="63959" spans="2:2" s="221" customFormat="1" ht="12.75" x14ac:dyDescent="0.2">
      <c r="B63959" s="1168"/>
    </row>
    <row r="63960" spans="2:2" s="221" customFormat="1" ht="12.75" x14ac:dyDescent="0.2">
      <c r="B63960" s="1168"/>
    </row>
    <row r="63961" spans="2:2" s="221" customFormat="1" ht="12.75" x14ac:dyDescent="0.2">
      <c r="B63961" s="1168"/>
    </row>
    <row r="63962" spans="2:2" s="221" customFormat="1" ht="12.75" x14ac:dyDescent="0.2">
      <c r="B63962" s="1168"/>
    </row>
    <row r="63963" spans="2:2" s="221" customFormat="1" ht="12.75" x14ac:dyDescent="0.2">
      <c r="B63963" s="1168"/>
    </row>
    <row r="63964" spans="2:2" s="221" customFormat="1" ht="12.75" x14ac:dyDescent="0.2">
      <c r="B63964" s="1168"/>
    </row>
    <row r="63965" spans="2:2" s="221" customFormat="1" ht="12.75" x14ac:dyDescent="0.2">
      <c r="B63965" s="1168"/>
    </row>
    <row r="63966" spans="2:2" s="221" customFormat="1" ht="12.75" x14ac:dyDescent="0.2">
      <c r="B63966" s="1168"/>
    </row>
    <row r="63967" spans="2:2" s="221" customFormat="1" ht="12.75" x14ac:dyDescent="0.2">
      <c r="B63967" s="1168"/>
    </row>
    <row r="63968" spans="2:2" s="221" customFormat="1" ht="12.75" x14ac:dyDescent="0.2">
      <c r="B63968" s="1168"/>
    </row>
    <row r="63969" spans="2:2" s="221" customFormat="1" ht="12.75" x14ac:dyDescent="0.2">
      <c r="B63969" s="1168"/>
    </row>
    <row r="63970" spans="2:2" s="221" customFormat="1" ht="12.75" x14ac:dyDescent="0.2">
      <c r="B63970" s="1168"/>
    </row>
    <row r="63971" spans="2:2" s="221" customFormat="1" ht="12.75" x14ac:dyDescent="0.2">
      <c r="B63971" s="1168"/>
    </row>
    <row r="63972" spans="2:2" s="221" customFormat="1" ht="12.75" x14ac:dyDescent="0.2">
      <c r="B63972" s="1168"/>
    </row>
    <row r="63973" spans="2:2" s="221" customFormat="1" ht="12.75" x14ac:dyDescent="0.2">
      <c r="B63973" s="1168"/>
    </row>
    <row r="63974" spans="2:2" s="221" customFormat="1" ht="12.75" x14ac:dyDescent="0.2">
      <c r="B63974" s="1168"/>
    </row>
    <row r="63975" spans="2:2" s="221" customFormat="1" ht="12.75" x14ac:dyDescent="0.2">
      <c r="B63975" s="1168"/>
    </row>
    <row r="63976" spans="2:2" s="221" customFormat="1" ht="12.75" x14ac:dyDescent="0.2">
      <c r="B63976" s="1168"/>
    </row>
    <row r="63977" spans="2:2" s="221" customFormat="1" ht="12.75" x14ac:dyDescent="0.2">
      <c r="B63977" s="1168"/>
    </row>
    <row r="63978" spans="2:2" s="221" customFormat="1" ht="12.75" x14ac:dyDescent="0.2">
      <c r="B63978" s="1168"/>
    </row>
    <row r="63979" spans="2:2" s="221" customFormat="1" ht="12.75" x14ac:dyDescent="0.2">
      <c r="B63979" s="1168"/>
    </row>
    <row r="63980" spans="2:2" s="221" customFormat="1" ht="12.75" x14ac:dyDescent="0.2">
      <c r="B63980" s="1168"/>
    </row>
    <row r="63981" spans="2:2" s="221" customFormat="1" ht="12.75" x14ac:dyDescent="0.2">
      <c r="B63981" s="1168"/>
    </row>
    <row r="63982" spans="2:2" s="221" customFormat="1" ht="12.75" x14ac:dyDescent="0.2">
      <c r="B63982" s="1168"/>
    </row>
    <row r="63983" spans="2:2" s="221" customFormat="1" ht="12.75" x14ac:dyDescent="0.2">
      <c r="B63983" s="1168"/>
    </row>
    <row r="63984" spans="2:2" s="221" customFormat="1" ht="12.75" x14ac:dyDescent="0.2">
      <c r="B63984" s="1168"/>
    </row>
    <row r="63985" spans="2:2" s="221" customFormat="1" ht="12.75" x14ac:dyDescent="0.2">
      <c r="B63985" s="1168"/>
    </row>
    <row r="63986" spans="2:2" s="221" customFormat="1" ht="12.75" x14ac:dyDescent="0.2">
      <c r="B63986" s="1168"/>
    </row>
    <row r="63987" spans="2:2" s="221" customFormat="1" ht="12.75" x14ac:dyDescent="0.2">
      <c r="B63987" s="1168"/>
    </row>
    <row r="63988" spans="2:2" s="221" customFormat="1" ht="12.75" x14ac:dyDescent="0.2">
      <c r="B63988" s="1168"/>
    </row>
    <row r="63989" spans="2:2" s="221" customFormat="1" ht="12.75" x14ac:dyDescent="0.2">
      <c r="B63989" s="1168"/>
    </row>
    <row r="63990" spans="2:2" s="221" customFormat="1" ht="12.75" x14ac:dyDescent="0.2">
      <c r="B63990" s="1168"/>
    </row>
    <row r="63991" spans="2:2" s="221" customFormat="1" ht="12.75" x14ac:dyDescent="0.2">
      <c r="B63991" s="1168"/>
    </row>
    <row r="63992" spans="2:2" s="221" customFormat="1" ht="12.75" x14ac:dyDescent="0.2">
      <c r="B63992" s="1168"/>
    </row>
    <row r="63993" spans="2:2" s="221" customFormat="1" ht="12.75" x14ac:dyDescent="0.2">
      <c r="B63993" s="1168"/>
    </row>
    <row r="63994" spans="2:2" s="221" customFormat="1" ht="12.75" x14ac:dyDescent="0.2">
      <c r="B63994" s="1168"/>
    </row>
    <row r="63995" spans="2:2" s="221" customFormat="1" ht="12.75" x14ac:dyDescent="0.2">
      <c r="B63995" s="1168"/>
    </row>
    <row r="63996" spans="2:2" s="221" customFormat="1" ht="12.75" x14ac:dyDescent="0.2">
      <c r="B63996" s="1168"/>
    </row>
    <row r="63997" spans="2:2" s="221" customFormat="1" ht="12.75" x14ac:dyDescent="0.2">
      <c r="B63997" s="1168"/>
    </row>
    <row r="63998" spans="2:2" s="221" customFormat="1" ht="12.75" x14ac:dyDescent="0.2">
      <c r="B63998" s="1168"/>
    </row>
    <row r="63999" spans="2:2" s="221" customFormat="1" ht="12.75" x14ac:dyDescent="0.2">
      <c r="B63999" s="1168"/>
    </row>
    <row r="64000" spans="2:2" s="221" customFormat="1" ht="12.75" x14ac:dyDescent="0.2">
      <c r="B64000" s="1168"/>
    </row>
    <row r="64001" spans="2:2" s="221" customFormat="1" ht="12.75" x14ac:dyDescent="0.2">
      <c r="B64001" s="1168"/>
    </row>
    <row r="64002" spans="2:2" s="221" customFormat="1" ht="12.75" x14ac:dyDescent="0.2">
      <c r="B64002" s="1168"/>
    </row>
    <row r="64003" spans="2:2" s="221" customFormat="1" ht="12.75" x14ac:dyDescent="0.2">
      <c r="B64003" s="1168"/>
    </row>
    <row r="64004" spans="2:2" s="221" customFormat="1" ht="12.75" x14ac:dyDescent="0.2">
      <c r="B64004" s="1168"/>
    </row>
    <row r="64005" spans="2:2" s="221" customFormat="1" ht="12.75" x14ac:dyDescent="0.2">
      <c r="B64005" s="1168"/>
    </row>
    <row r="64006" spans="2:2" s="221" customFormat="1" ht="12.75" x14ac:dyDescent="0.2">
      <c r="B64006" s="1168"/>
    </row>
    <row r="64007" spans="2:2" s="221" customFormat="1" ht="12.75" x14ac:dyDescent="0.2">
      <c r="B64007" s="1168"/>
    </row>
    <row r="64008" spans="2:2" s="221" customFormat="1" ht="12.75" x14ac:dyDescent="0.2">
      <c r="B64008" s="1168"/>
    </row>
    <row r="64009" spans="2:2" s="221" customFormat="1" ht="12.75" x14ac:dyDescent="0.2">
      <c r="B64009" s="1168"/>
    </row>
    <row r="64010" spans="2:2" s="221" customFormat="1" ht="12.75" x14ac:dyDescent="0.2">
      <c r="B64010" s="1168"/>
    </row>
    <row r="64011" spans="2:2" s="221" customFormat="1" ht="12.75" x14ac:dyDescent="0.2">
      <c r="B64011" s="1168"/>
    </row>
    <row r="64012" spans="2:2" s="221" customFormat="1" ht="12.75" x14ac:dyDescent="0.2">
      <c r="B64012" s="1168"/>
    </row>
    <row r="64013" spans="2:2" s="221" customFormat="1" ht="12.75" x14ac:dyDescent="0.2">
      <c r="B64013" s="1168"/>
    </row>
    <row r="64014" spans="2:2" s="221" customFormat="1" ht="12.75" x14ac:dyDescent="0.2">
      <c r="B64014" s="1168"/>
    </row>
    <row r="64015" spans="2:2" s="221" customFormat="1" ht="12.75" x14ac:dyDescent="0.2">
      <c r="B64015" s="1168"/>
    </row>
    <row r="64016" spans="2:2" s="221" customFormat="1" ht="12.75" x14ac:dyDescent="0.2">
      <c r="B64016" s="1168"/>
    </row>
    <row r="64017" spans="2:2" s="221" customFormat="1" ht="12.75" x14ac:dyDescent="0.2">
      <c r="B64017" s="1168"/>
    </row>
    <row r="64018" spans="2:2" s="221" customFormat="1" ht="12.75" x14ac:dyDescent="0.2">
      <c r="B64018" s="1168"/>
    </row>
    <row r="64019" spans="2:2" s="221" customFormat="1" ht="12.75" x14ac:dyDescent="0.2">
      <c r="B64019" s="1168"/>
    </row>
    <row r="64020" spans="2:2" s="221" customFormat="1" ht="12.75" x14ac:dyDescent="0.2">
      <c r="B64020" s="1168"/>
    </row>
    <row r="64021" spans="2:2" s="221" customFormat="1" ht="12.75" x14ac:dyDescent="0.2">
      <c r="B64021" s="1168"/>
    </row>
    <row r="64022" spans="2:2" s="221" customFormat="1" ht="12.75" x14ac:dyDescent="0.2">
      <c r="B64022" s="1168"/>
    </row>
    <row r="64023" spans="2:2" s="221" customFormat="1" ht="12.75" x14ac:dyDescent="0.2">
      <c r="B64023" s="1168"/>
    </row>
    <row r="64024" spans="2:2" s="221" customFormat="1" ht="12.75" x14ac:dyDescent="0.2">
      <c r="B64024" s="1168"/>
    </row>
    <row r="64025" spans="2:2" s="221" customFormat="1" ht="12.75" x14ac:dyDescent="0.2">
      <c r="B64025" s="1168"/>
    </row>
    <row r="64026" spans="2:2" s="221" customFormat="1" ht="12.75" x14ac:dyDescent="0.2">
      <c r="B64026" s="1168"/>
    </row>
    <row r="64027" spans="2:2" s="221" customFormat="1" ht="12.75" x14ac:dyDescent="0.2">
      <c r="B64027" s="1168"/>
    </row>
    <row r="64028" spans="2:2" s="221" customFormat="1" ht="12.75" x14ac:dyDescent="0.2">
      <c r="B64028" s="1168"/>
    </row>
    <row r="64029" spans="2:2" s="221" customFormat="1" ht="12.75" x14ac:dyDescent="0.2">
      <c r="B64029" s="1168"/>
    </row>
    <row r="64030" spans="2:2" s="221" customFormat="1" ht="12.75" x14ac:dyDescent="0.2">
      <c r="B64030" s="1168"/>
    </row>
    <row r="64031" spans="2:2" s="221" customFormat="1" ht="12.75" x14ac:dyDescent="0.2">
      <c r="B64031" s="1168"/>
    </row>
    <row r="64032" spans="2:2" s="221" customFormat="1" ht="12.75" x14ac:dyDescent="0.2">
      <c r="B64032" s="1168"/>
    </row>
    <row r="64033" spans="2:2" s="221" customFormat="1" ht="12.75" x14ac:dyDescent="0.2">
      <c r="B64033" s="1168"/>
    </row>
    <row r="64034" spans="2:2" s="221" customFormat="1" ht="12.75" x14ac:dyDescent="0.2">
      <c r="B64034" s="1168"/>
    </row>
    <row r="64035" spans="2:2" s="221" customFormat="1" ht="12.75" x14ac:dyDescent="0.2">
      <c r="B64035" s="1168"/>
    </row>
    <row r="64036" spans="2:2" s="221" customFormat="1" ht="12.75" x14ac:dyDescent="0.2">
      <c r="B64036" s="1168"/>
    </row>
    <row r="64037" spans="2:2" s="221" customFormat="1" ht="12.75" x14ac:dyDescent="0.2">
      <c r="B64037" s="1168"/>
    </row>
    <row r="64038" spans="2:2" s="221" customFormat="1" ht="12.75" x14ac:dyDescent="0.2">
      <c r="B64038" s="1168"/>
    </row>
    <row r="64039" spans="2:2" s="221" customFormat="1" ht="12.75" x14ac:dyDescent="0.2">
      <c r="B64039" s="1168"/>
    </row>
    <row r="64040" spans="2:2" s="221" customFormat="1" ht="12.75" x14ac:dyDescent="0.2">
      <c r="B64040" s="1168"/>
    </row>
    <row r="64041" spans="2:2" s="221" customFormat="1" ht="12.75" x14ac:dyDescent="0.2">
      <c r="B64041" s="1168"/>
    </row>
    <row r="64042" spans="2:2" s="221" customFormat="1" ht="12.75" x14ac:dyDescent="0.2">
      <c r="B64042" s="1168"/>
    </row>
    <row r="64043" spans="2:2" s="221" customFormat="1" ht="12.75" x14ac:dyDescent="0.2">
      <c r="B64043" s="1168"/>
    </row>
    <row r="64044" spans="2:2" s="221" customFormat="1" ht="12.75" x14ac:dyDescent="0.2">
      <c r="B64044" s="1168"/>
    </row>
    <row r="64045" spans="2:2" s="221" customFormat="1" ht="12.75" x14ac:dyDescent="0.2">
      <c r="B64045" s="1168"/>
    </row>
    <row r="64046" spans="2:2" s="221" customFormat="1" ht="12.75" x14ac:dyDescent="0.2">
      <c r="B64046" s="1168"/>
    </row>
    <row r="64047" spans="2:2" s="221" customFormat="1" ht="12.75" x14ac:dyDescent="0.2">
      <c r="B64047" s="1168"/>
    </row>
    <row r="64048" spans="2:2" s="221" customFormat="1" ht="12.75" x14ac:dyDescent="0.2">
      <c r="B64048" s="1168"/>
    </row>
    <row r="64049" spans="2:2" s="221" customFormat="1" ht="12.75" x14ac:dyDescent="0.2">
      <c r="B64049" s="1168"/>
    </row>
    <row r="64050" spans="2:2" s="221" customFormat="1" ht="12.75" x14ac:dyDescent="0.2">
      <c r="B64050" s="1168"/>
    </row>
    <row r="64051" spans="2:2" s="221" customFormat="1" ht="12.75" x14ac:dyDescent="0.2">
      <c r="B64051" s="1168"/>
    </row>
    <row r="64052" spans="2:2" s="221" customFormat="1" ht="12.75" x14ac:dyDescent="0.2">
      <c r="B64052" s="1168"/>
    </row>
    <row r="64053" spans="2:2" s="221" customFormat="1" ht="12.75" x14ac:dyDescent="0.2">
      <c r="B64053" s="1168"/>
    </row>
    <row r="64054" spans="2:2" s="221" customFormat="1" ht="12.75" x14ac:dyDescent="0.2">
      <c r="B64054" s="1168"/>
    </row>
    <row r="64055" spans="2:2" s="221" customFormat="1" ht="12.75" x14ac:dyDescent="0.2">
      <c r="B64055" s="1168"/>
    </row>
    <row r="64056" spans="2:2" s="221" customFormat="1" ht="12.75" x14ac:dyDescent="0.2">
      <c r="B64056" s="1168"/>
    </row>
    <row r="64057" spans="2:2" s="221" customFormat="1" ht="12.75" x14ac:dyDescent="0.2">
      <c r="B64057" s="1168"/>
    </row>
    <row r="64058" spans="2:2" s="221" customFormat="1" ht="12.75" x14ac:dyDescent="0.2">
      <c r="B64058" s="1168"/>
    </row>
    <row r="64059" spans="2:2" s="221" customFormat="1" ht="12.75" x14ac:dyDescent="0.2">
      <c r="B64059" s="1168"/>
    </row>
    <row r="64060" spans="2:2" s="221" customFormat="1" ht="12.75" x14ac:dyDescent="0.2">
      <c r="B64060" s="1168"/>
    </row>
    <row r="64061" spans="2:2" s="221" customFormat="1" ht="12.75" x14ac:dyDescent="0.2">
      <c r="B64061" s="1168"/>
    </row>
    <row r="64062" spans="2:2" s="221" customFormat="1" ht="12.75" x14ac:dyDescent="0.2">
      <c r="B64062" s="1168"/>
    </row>
    <row r="64063" spans="2:2" s="221" customFormat="1" ht="12.75" x14ac:dyDescent="0.2">
      <c r="B64063" s="1168"/>
    </row>
    <row r="64064" spans="2:2" s="221" customFormat="1" ht="12.75" x14ac:dyDescent="0.2">
      <c r="B64064" s="1168"/>
    </row>
    <row r="64065" spans="2:2" s="221" customFormat="1" ht="12.75" x14ac:dyDescent="0.2">
      <c r="B64065" s="1168"/>
    </row>
    <row r="64066" spans="2:2" s="221" customFormat="1" ht="12.75" x14ac:dyDescent="0.2">
      <c r="B64066" s="1168"/>
    </row>
    <row r="64067" spans="2:2" s="221" customFormat="1" ht="12.75" x14ac:dyDescent="0.2">
      <c r="B64067" s="1168"/>
    </row>
    <row r="64068" spans="2:2" s="221" customFormat="1" ht="12.75" x14ac:dyDescent="0.2">
      <c r="B64068" s="1168"/>
    </row>
    <row r="64069" spans="2:2" s="221" customFormat="1" ht="12.75" x14ac:dyDescent="0.2">
      <c r="B64069" s="1168"/>
    </row>
    <row r="64070" spans="2:2" s="221" customFormat="1" ht="12.75" x14ac:dyDescent="0.2">
      <c r="B64070" s="1168"/>
    </row>
    <row r="64071" spans="2:2" s="221" customFormat="1" ht="12.75" x14ac:dyDescent="0.2">
      <c r="B64071" s="1168"/>
    </row>
    <row r="64072" spans="2:2" s="221" customFormat="1" ht="12.75" x14ac:dyDescent="0.2">
      <c r="B64072" s="1168"/>
    </row>
    <row r="64073" spans="2:2" s="221" customFormat="1" ht="12.75" x14ac:dyDescent="0.2">
      <c r="B64073" s="1168"/>
    </row>
    <row r="64074" spans="2:2" s="221" customFormat="1" ht="12.75" x14ac:dyDescent="0.2">
      <c r="B64074" s="1168"/>
    </row>
    <row r="64075" spans="2:2" s="221" customFormat="1" ht="12.75" x14ac:dyDescent="0.2">
      <c r="B64075" s="1168"/>
    </row>
    <row r="64076" spans="2:2" s="221" customFormat="1" ht="12.75" x14ac:dyDescent="0.2">
      <c r="B64076" s="1168"/>
    </row>
    <row r="64077" spans="2:2" s="221" customFormat="1" ht="12.75" x14ac:dyDescent="0.2">
      <c r="B64077" s="1168"/>
    </row>
    <row r="64078" spans="2:2" s="221" customFormat="1" ht="12.75" x14ac:dyDescent="0.2">
      <c r="B64078" s="1168"/>
    </row>
    <row r="64079" spans="2:2" s="221" customFormat="1" ht="12.75" x14ac:dyDescent="0.2">
      <c r="B64079" s="1168"/>
    </row>
    <row r="64080" spans="2:2" s="221" customFormat="1" ht="12.75" x14ac:dyDescent="0.2">
      <c r="B64080" s="1168"/>
    </row>
    <row r="64081" spans="2:2" s="221" customFormat="1" ht="12.75" x14ac:dyDescent="0.2">
      <c r="B64081" s="1168"/>
    </row>
    <row r="64082" spans="2:2" s="221" customFormat="1" ht="12.75" x14ac:dyDescent="0.2">
      <c r="B64082" s="1168"/>
    </row>
    <row r="64083" spans="2:2" s="221" customFormat="1" ht="12.75" x14ac:dyDescent="0.2">
      <c r="B64083" s="1168"/>
    </row>
    <row r="64084" spans="2:2" s="221" customFormat="1" ht="12.75" x14ac:dyDescent="0.2">
      <c r="B64084" s="1168"/>
    </row>
    <row r="64085" spans="2:2" s="221" customFormat="1" ht="12.75" x14ac:dyDescent="0.2">
      <c r="B64085" s="1168"/>
    </row>
    <row r="64086" spans="2:2" s="221" customFormat="1" ht="12.75" x14ac:dyDescent="0.2">
      <c r="B64086" s="1168"/>
    </row>
    <row r="64087" spans="2:2" s="221" customFormat="1" ht="12.75" x14ac:dyDescent="0.2">
      <c r="B64087" s="1168"/>
    </row>
    <row r="64088" spans="2:2" s="221" customFormat="1" ht="12.75" x14ac:dyDescent="0.2">
      <c r="B64088" s="1168"/>
    </row>
    <row r="64089" spans="2:2" s="221" customFormat="1" ht="12.75" x14ac:dyDescent="0.2">
      <c r="B64089" s="1168"/>
    </row>
    <row r="64090" spans="2:2" s="221" customFormat="1" ht="12.75" x14ac:dyDescent="0.2">
      <c r="B64090" s="1168"/>
    </row>
    <row r="64091" spans="2:2" s="221" customFormat="1" ht="12.75" x14ac:dyDescent="0.2">
      <c r="B64091" s="1168"/>
    </row>
    <row r="64092" spans="2:2" s="221" customFormat="1" ht="12.75" x14ac:dyDescent="0.2">
      <c r="B64092" s="1168"/>
    </row>
    <row r="64093" spans="2:2" s="221" customFormat="1" ht="12.75" x14ac:dyDescent="0.2">
      <c r="B64093" s="1168"/>
    </row>
    <row r="64094" spans="2:2" s="221" customFormat="1" ht="12.75" x14ac:dyDescent="0.2">
      <c r="B64094" s="1168"/>
    </row>
    <row r="64095" spans="2:2" s="221" customFormat="1" ht="12.75" x14ac:dyDescent="0.2">
      <c r="B64095" s="1168"/>
    </row>
    <row r="64096" spans="2:2" s="221" customFormat="1" ht="12.75" x14ac:dyDescent="0.2">
      <c r="B64096" s="1168"/>
    </row>
    <row r="64097" spans="2:2" s="221" customFormat="1" ht="12.75" x14ac:dyDescent="0.2">
      <c r="B64097" s="1168"/>
    </row>
    <row r="64098" spans="2:2" s="221" customFormat="1" ht="12.75" x14ac:dyDescent="0.2">
      <c r="B64098" s="1168"/>
    </row>
    <row r="64099" spans="2:2" s="221" customFormat="1" ht="12.75" x14ac:dyDescent="0.2">
      <c r="B64099" s="1168"/>
    </row>
    <row r="64100" spans="2:2" s="221" customFormat="1" ht="12.75" x14ac:dyDescent="0.2">
      <c r="B64100" s="1168"/>
    </row>
    <row r="64101" spans="2:2" s="221" customFormat="1" ht="12.75" x14ac:dyDescent="0.2">
      <c r="B64101" s="1168"/>
    </row>
    <row r="64102" spans="2:2" s="221" customFormat="1" ht="12.75" x14ac:dyDescent="0.2">
      <c r="B64102" s="1168"/>
    </row>
    <row r="64103" spans="2:2" s="221" customFormat="1" ht="12.75" x14ac:dyDescent="0.2">
      <c r="B64103" s="1168"/>
    </row>
    <row r="64104" spans="2:2" s="221" customFormat="1" ht="12.75" x14ac:dyDescent="0.2">
      <c r="B64104" s="1168"/>
    </row>
    <row r="64105" spans="2:2" s="221" customFormat="1" ht="12.75" x14ac:dyDescent="0.2">
      <c r="B64105" s="1168"/>
    </row>
    <row r="64106" spans="2:2" s="221" customFormat="1" ht="12.75" x14ac:dyDescent="0.2">
      <c r="B64106" s="1168"/>
    </row>
    <row r="64107" spans="2:2" s="221" customFormat="1" ht="12.75" x14ac:dyDescent="0.2">
      <c r="B64107" s="1168"/>
    </row>
    <row r="64108" spans="2:2" s="221" customFormat="1" ht="12.75" x14ac:dyDescent="0.2">
      <c r="B64108" s="1168"/>
    </row>
    <row r="64109" spans="2:2" s="221" customFormat="1" ht="12.75" x14ac:dyDescent="0.2">
      <c r="B64109" s="1168"/>
    </row>
    <row r="64110" spans="2:2" s="221" customFormat="1" ht="12.75" x14ac:dyDescent="0.2">
      <c r="B64110" s="1168"/>
    </row>
    <row r="64111" spans="2:2" s="221" customFormat="1" ht="12.75" x14ac:dyDescent="0.2">
      <c r="B64111" s="1168"/>
    </row>
    <row r="64112" spans="2:2" s="221" customFormat="1" ht="12.75" x14ac:dyDescent="0.2">
      <c r="B64112" s="1168"/>
    </row>
    <row r="64113" spans="2:2" s="221" customFormat="1" ht="12.75" x14ac:dyDescent="0.2">
      <c r="B64113" s="1168"/>
    </row>
    <row r="64114" spans="2:2" s="221" customFormat="1" ht="12.75" x14ac:dyDescent="0.2">
      <c r="B64114" s="1168"/>
    </row>
    <row r="64115" spans="2:2" s="221" customFormat="1" ht="12.75" x14ac:dyDescent="0.2">
      <c r="B64115" s="1168"/>
    </row>
    <row r="64116" spans="2:2" s="221" customFormat="1" ht="12.75" x14ac:dyDescent="0.2">
      <c r="B64116" s="1168"/>
    </row>
    <row r="64117" spans="2:2" s="221" customFormat="1" ht="12.75" x14ac:dyDescent="0.2">
      <c r="B64117" s="1168"/>
    </row>
    <row r="64118" spans="2:2" s="221" customFormat="1" ht="12.75" x14ac:dyDescent="0.2">
      <c r="B64118" s="1168"/>
    </row>
    <row r="64119" spans="2:2" s="221" customFormat="1" ht="12.75" x14ac:dyDescent="0.2">
      <c r="B64119" s="1168"/>
    </row>
    <row r="64120" spans="2:2" s="221" customFormat="1" ht="12.75" x14ac:dyDescent="0.2">
      <c r="B64120" s="1168"/>
    </row>
    <row r="64121" spans="2:2" s="221" customFormat="1" ht="12.75" x14ac:dyDescent="0.2">
      <c r="B64121" s="1168"/>
    </row>
    <row r="64122" spans="2:2" s="221" customFormat="1" ht="12.75" x14ac:dyDescent="0.2">
      <c r="B64122" s="1168"/>
    </row>
    <row r="64123" spans="2:2" s="221" customFormat="1" ht="12.75" x14ac:dyDescent="0.2">
      <c r="B64123" s="1168"/>
    </row>
    <row r="64124" spans="2:2" s="221" customFormat="1" ht="12.75" x14ac:dyDescent="0.2">
      <c r="B64124" s="1168"/>
    </row>
    <row r="64125" spans="2:2" s="221" customFormat="1" ht="12.75" x14ac:dyDescent="0.2">
      <c r="B64125" s="1168"/>
    </row>
    <row r="64126" spans="2:2" s="221" customFormat="1" ht="12.75" x14ac:dyDescent="0.2">
      <c r="B64126" s="1168"/>
    </row>
    <row r="64127" spans="2:2" s="221" customFormat="1" ht="12.75" x14ac:dyDescent="0.2">
      <c r="B64127" s="1168"/>
    </row>
    <row r="64128" spans="2:2" s="221" customFormat="1" ht="12.75" x14ac:dyDescent="0.2">
      <c r="B64128" s="1168"/>
    </row>
    <row r="64129" spans="2:2" s="221" customFormat="1" ht="12.75" x14ac:dyDescent="0.2">
      <c r="B64129" s="1168"/>
    </row>
    <row r="64130" spans="2:2" s="221" customFormat="1" ht="12.75" x14ac:dyDescent="0.2">
      <c r="B64130" s="1168"/>
    </row>
    <row r="64131" spans="2:2" s="221" customFormat="1" ht="12.75" x14ac:dyDescent="0.2">
      <c r="B64131" s="1168"/>
    </row>
    <row r="64132" spans="2:2" s="221" customFormat="1" ht="12.75" x14ac:dyDescent="0.2">
      <c r="B64132" s="1168"/>
    </row>
    <row r="64133" spans="2:2" s="221" customFormat="1" ht="12.75" x14ac:dyDescent="0.2">
      <c r="B64133" s="1168"/>
    </row>
    <row r="64134" spans="2:2" s="221" customFormat="1" ht="12.75" x14ac:dyDescent="0.2">
      <c r="B64134" s="1168"/>
    </row>
    <row r="64135" spans="2:2" s="221" customFormat="1" ht="12.75" x14ac:dyDescent="0.2">
      <c r="B64135" s="1168"/>
    </row>
    <row r="64136" spans="2:2" s="221" customFormat="1" ht="12.75" x14ac:dyDescent="0.2">
      <c r="B64136" s="1168"/>
    </row>
    <row r="64137" spans="2:2" s="221" customFormat="1" ht="12.75" x14ac:dyDescent="0.2">
      <c r="B64137" s="1168"/>
    </row>
    <row r="64138" spans="2:2" s="221" customFormat="1" ht="12.75" x14ac:dyDescent="0.2">
      <c r="B64138" s="1168"/>
    </row>
    <row r="64139" spans="2:2" s="221" customFormat="1" ht="12.75" x14ac:dyDescent="0.2">
      <c r="B64139" s="1168"/>
    </row>
    <row r="64140" spans="2:2" s="221" customFormat="1" ht="12.75" x14ac:dyDescent="0.2">
      <c r="B64140" s="1168"/>
    </row>
    <row r="64141" spans="2:2" s="221" customFormat="1" ht="12.75" x14ac:dyDescent="0.2">
      <c r="B64141" s="1168"/>
    </row>
    <row r="64142" spans="2:2" s="221" customFormat="1" ht="12.75" x14ac:dyDescent="0.2">
      <c r="B64142" s="1168"/>
    </row>
    <row r="64143" spans="2:2" s="221" customFormat="1" ht="12.75" x14ac:dyDescent="0.2">
      <c r="B64143" s="1168"/>
    </row>
    <row r="64144" spans="2:2" s="221" customFormat="1" ht="12.75" x14ac:dyDescent="0.2">
      <c r="B64144" s="1168"/>
    </row>
    <row r="64145" spans="2:2" s="221" customFormat="1" ht="12.75" x14ac:dyDescent="0.2">
      <c r="B64145" s="1168"/>
    </row>
    <row r="64146" spans="2:2" s="221" customFormat="1" ht="12.75" x14ac:dyDescent="0.2">
      <c r="B64146" s="1168"/>
    </row>
    <row r="64147" spans="2:2" s="221" customFormat="1" ht="12.75" x14ac:dyDescent="0.2">
      <c r="B64147" s="1168"/>
    </row>
    <row r="64148" spans="2:2" s="221" customFormat="1" ht="12.75" x14ac:dyDescent="0.2">
      <c r="B64148" s="1168"/>
    </row>
    <row r="64149" spans="2:2" s="221" customFormat="1" ht="12.75" x14ac:dyDescent="0.2">
      <c r="B64149" s="1168"/>
    </row>
    <row r="64150" spans="2:2" s="221" customFormat="1" ht="12.75" x14ac:dyDescent="0.2">
      <c r="B64150" s="1168"/>
    </row>
    <row r="64151" spans="2:2" s="221" customFormat="1" ht="12.75" x14ac:dyDescent="0.2">
      <c r="B64151" s="1168"/>
    </row>
    <row r="64152" spans="2:2" s="221" customFormat="1" ht="12.75" x14ac:dyDescent="0.2">
      <c r="B64152" s="1168"/>
    </row>
    <row r="64153" spans="2:2" s="221" customFormat="1" ht="12.75" x14ac:dyDescent="0.2">
      <c r="B64153" s="1168"/>
    </row>
    <row r="64154" spans="2:2" s="221" customFormat="1" ht="12.75" x14ac:dyDescent="0.2">
      <c r="B64154" s="1168"/>
    </row>
    <row r="64155" spans="2:2" s="221" customFormat="1" ht="12.75" x14ac:dyDescent="0.2">
      <c r="B64155" s="1168"/>
    </row>
    <row r="64156" spans="2:2" s="221" customFormat="1" ht="12.75" x14ac:dyDescent="0.2">
      <c r="B64156" s="1168"/>
    </row>
    <row r="64157" spans="2:2" s="221" customFormat="1" ht="12.75" x14ac:dyDescent="0.2">
      <c r="B64157" s="1168"/>
    </row>
    <row r="64158" spans="2:2" s="221" customFormat="1" ht="12.75" x14ac:dyDescent="0.2">
      <c r="B64158" s="1168"/>
    </row>
    <row r="64159" spans="2:2" s="221" customFormat="1" ht="12.75" x14ac:dyDescent="0.2">
      <c r="B64159" s="1168"/>
    </row>
    <row r="64160" spans="2:2" s="221" customFormat="1" ht="12.75" x14ac:dyDescent="0.2">
      <c r="B64160" s="1168"/>
    </row>
    <row r="64161" spans="2:2" s="221" customFormat="1" ht="12.75" x14ac:dyDescent="0.2">
      <c r="B64161" s="1168"/>
    </row>
    <row r="64162" spans="2:2" s="221" customFormat="1" ht="12.75" x14ac:dyDescent="0.2">
      <c r="B64162" s="1168"/>
    </row>
    <row r="64163" spans="2:2" s="221" customFormat="1" ht="12.75" x14ac:dyDescent="0.2">
      <c r="B64163" s="1168"/>
    </row>
    <row r="64164" spans="2:2" s="221" customFormat="1" ht="12.75" x14ac:dyDescent="0.2">
      <c r="B64164" s="1168"/>
    </row>
    <row r="64165" spans="2:2" s="221" customFormat="1" ht="12.75" x14ac:dyDescent="0.2">
      <c r="B64165" s="1168"/>
    </row>
    <row r="64166" spans="2:2" s="221" customFormat="1" ht="12.75" x14ac:dyDescent="0.2">
      <c r="B64166" s="1168"/>
    </row>
    <row r="64167" spans="2:2" s="221" customFormat="1" ht="12.75" x14ac:dyDescent="0.2">
      <c r="B64167" s="1168"/>
    </row>
    <row r="64168" spans="2:2" s="221" customFormat="1" ht="12.75" x14ac:dyDescent="0.2">
      <c r="B64168" s="1168"/>
    </row>
    <row r="64169" spans="2:2" s="221" customFormat="1" ht="12.75" x14ac:dyDescent="0.2">
      <c r="B64169" s="1168"/>
    </row>
    <row r="64170" spans="2:2" s="221" customFormat="1" ht="12.75" x14ac:dyDescent="0.2">
      <c r="B64170" s="1168"/>
    </row>
    <row r="64171" spans="2:2" s="221" customFormat="1" ht="12.75" x14ac:dyDescent="0.2">
      <c r="B64171" s="1168"/>
    </row>
    <row r="64172" spans="2:2" s="221" customFormat="1" ht="12.75" x14ac:dyDescent="0.2">
      <c r="B64172" s="1168"/>
    </row>
    <row r="64173" spans="2:2" s="221" customFormat="1" ht="12.75" x14ac:dyDescent="0.2">
      <c r="B64173" s="1168"/>
    </row>
    <row r="64174" spans="2:2" s="221" customFormat="1" ht="12.75" x14ac:dyDescent="0.2">
      <c r="B64174" s="1168"/>
    </row>
    <row r="64175" spans="2:2" s="221" customFormat="1" ht="12.75" x14ac:dyDescent="0.2">
      <c r="B64175" s="1168"/>
    </row>
    <row r="64176" spans="2:2" s="221" customFormat="1" ht="12.75" x14ac:dyDescent="0.2">
      <c r="B64176" s="1168"/>
    </row>
    <row r="64177" spans="2:2" s="221" customFormat="1" ht="12.75" x14ac:dyDescent="0.2">
      <c r="B64177" s="1168"/>
    </row>
    <row r="64178" spans="2:2" s="221" customFormat="1" ht="12.75" x14ac:dyDescent="0.2">
      <c r="B64178" s="1168"/>
    </row>
    <row r="64179" spans="2:2" s="221" customFormat="1" ht="12.75" x14ac:dyDescent="0.2">
      <c r="B64179" s="1168"/>
    </row>
    <row r="64180" spans="2:2" s="221" customFormat="1" ht="12.75" x14ac:dyDescent="0.2">
      <c r="B64180" s="1168"/>
    </row>
    <row r="64181" spans="2:2" s="221" customFormat="1" ht="12.75" x14ac:dyDescent="0.2">
      <c r="B64181" s="1168"/>
    </row>
    <row r="64182" spans="2:2" s="221" customFormat="1" ht="12.75" x14ac:dyDescent="0.2">
      <c r="B64182" s="1168"/>
    </row>
    <row r="64183" spans="2:2" s="221" customFormat="1" ht="12.75" x14ac:dyDescent="0.2">
      <c r="B64183" s="1168"/>
    </row>
    <row r="64184" spans="2:2" s="221" customFormat="1" ht="12.75" x14ac:dyDescent="0.2">
      <c r="B64184" s="1168"/>
    </row>
    <row r="64185" spans="2:2" s="221" customFormat="1" ht="12.75" x14ac:dyDescent="0.2">
      <c r="B64185" s="1168"/>
    </row>
    <row r="64186" spans="2:2" s="221" customFormat="1" ht="12.75" x14ac:dyDescent="0.2">
      <c r="B64186" s="1168"/>
    </row>
    <row r="64187" spans="2:2" s="221" customFormat="1" ht="12.75" x14ac:dyDescent="0.2">
      <c r="B64187" s="1168"/>
    </row>
    <row r="64188" spans="2:2" s="221" customFormat="1" ht="12.75" x14ac:dyDescent="0.2">
      <c r="B64188" s="1168"/>
    </row>
    <row r="64189" spans="2:2" s="221" customFormat="1" ht="12.75" x14ac:dyDescent="0.2">
      <c r="B64189" s="1168"/>
    </row>
    <row r="64190" spans="2:2" s="221" customFormat="1" ht="12.75" x14ac:dyDescent="0.2">
      <c r="B64190" s="1168"/>
    </row>
    <row r="64191" spans="2:2" s="221" customFormat="1" ht="12.75" x14ac:dyDescent="0.2">
      <c r="B64191" s="1168"/>
    </row>
    <row r="64192" spans="2:2" s="221" customFormat="1" ht="12.75" x14ac:dyDescent="0.2">
      <c r="B64192" s="1168"/>
    </row>
    <row r="64193" spans="2:2" s="221" customFormat="1" ht="12.75" x14ac:dyDescent="0.2">
      <c r="B64193" s="1168"/>
    </row>
    <row r="64194" spans="2:2" s="221" customFormat="1" ht="12.75" x14ac:dyDescent="0.2">
      <c r="B64194" s="1168"/>
    </row>
    <row r="64195" spans="2:2" s="221" customFormat="1" ht="12.75" x14ac:dyDescent="0.2">
      <c r="B64195" s="1168"/>
    </row>
    <row r="64196" spans="2:2" s="221" customFormat="1" ht="12.75" x14ac:dyDescent="0.2">
      <c r="B64196" s="1168"/>
    </row>
    <row r="64197" spans="2:2" s="221" customFormat="1" ht="12.75" x14ac:dyDescent="0.2">
      <c r="B64197" s="1168"/>
    </row>
    <row r="64198" spans="2:2" s="221" customFormat="1" ht="12.75" x14ac:dyDescent="0.2">
      <c r="B64198" s="1168"/>
    </row>
    <row r="64199" spans="2:2" s="221" customFormat="1" ht="12.75" x14ac:dyDescent="0.2">
      <c r="B64199" s="1168"/>
    </row>
    <row r="64200" spans="2:2" s="221" customFormat="1" ht="12.75" x14ac:dyDescent="0.2">
      <c r="B64200" s="1168"/>
    </row>
    <row r="64201" spans="2:2" s="221" customFormat="1" ht="12.75" x14ac:dyDescent="0.2">
      <c r="B64201" s="1168"/>
    </row>
    <row r="64202" spans="2:2" s="221" customFormat="1" ht="12.75" x14ac:dyDescent="0.2">
      <c r="B64202" s="1168"/>
    </row>
    <row r="64203" spans="2:2" s="221" customFormat="1" ht="12.75" x14ac:dyDescent="0.2">
      <c r="B64203" s="1168"/>
    </row>
    <row r="64204" spans="2:2" s="221" customFormat="1" ht="12.75" x14ac:dyDescent="0.2">
      <c r="B64204" s="1168"/>
    </row>
    <row r="64205" spans="2:2" s="221" customFormat="1" ht="12.75" x14ac:dyDescent="0.2">
      <c r="B64205" s="1168"/>
    </row>
    <row r="64206" spans="2:2" s="221" customFormat="1" ht="12.75" x14ac:dyDescent="0.2">
      <c r="B64206" s="1168"/>
    </row>
    <row r="64207" spans="2:2" s="221" customFormat="1" ht="12.75" x14ac:dyDescent="0.2">
      <c r="B64207" s="1168"/>
    </row>
    <row r="64208" spans="2:2" s="221" customFormat="1" ht="12.75" x14ac:dyDescent="0.2">
      <c r="B64208" s="1168"/>
    </row>
    <row r="64209" spans="2:2" s="221" customFormat="1" ht="12.75" x14ac:dyDescent="0.2">
      <c r="B64209" s="1168"/>
    </row>
    <row r="64210" spans="2:2" s="221" customFormat="1" ht="12.75" x14ac:dyDescent="0.2">
      <c r="B64210" s="1168"/>
    </row>
    <row r="64211" spans="2:2" s="221" customFormat="1" ht="12.75" x14ac:dyDescent="0.2">
      <c r="B64211" s="1168"/>
    </row>
    <row r="64212" spans="2:2" s="221" customFormat="1" ht="12.75" x14ac:dyDescent="0.2">
      <c r="B64212" s="1168"/>
    </row>
    <row r="64213" spans="2:2" s="221" customFormat="1" ht="12.75" x14ac:dyDescent="0.2">
      <c r="B64213" s="1168"/>
    </row>
    <row r="64214" spans="2:2" s="221" customFormat="1" ht="12.75" x14ac:dyDescent="0.2">
      <c r="B64214" s="1168"/>
    </row>
    <row r="64215" spans="2:2" s="221" customFormat="1" ht="12.75" x14ac:dyDescent="0.2">
      <c r="B64215" s="1168"/>
    </row>
    <row r="64216" spans="2:2" s="221" customFormat="1" ht="12.75" x14ac:dyDescent="0.2">
      <c r="B64216" s="1168"/>
    </row>
    <row r="64217" spans="2:2" s="221" customFormat="1" ht="12.75" x14ac:dyDescent="0.2">
      <c r="B64217" s="1168"/>
    </row>
    <row r="64218" spans="2:2" s="221" customFormat="1" ht="12.75" x14ac:dyDescent="0.2">
      <c r="B64218" s="1168"/>
    </row>
    <row r="64219" spans="2:2" s="221" customFormat="1" ht="12.75" x14ac:dyDescent="0.2">
      <c r="B64219" s="1168"/>
    </row>
    <row r="64220" spans="2:2" s="221" customFormat="1" ht="12.75" x14ac:dyDescent="0.2">
      <c r="B64220" s="1168"/>
    </row>
    <row r="64221" spans="2:2" s="221" customFormat="1" ht="12.75" x14ac:dyDescent="0.2">
      <c r="B64221" s="1168"/>
    </row>
    <row r="64222" spans="2:2" s="221" customFormat="1" ht="12.75" x14ac:dyDescent="0.2">
      <c r="B64222" s="1168"/>
    </row>
    <row r="64223" spans="2:2" s="221" customFormat="1" ht="12.75" x14ac:dyDescent="0.2">
      <c r="B64223" s="1168"/>
    </row>
    <row r="64224" spans="2:2" s="221" customFormat="1" ht="12.75" x14ac:dyDescent="0.2">
      <c r="B64224" s="1168"/>
    </row>
    <row r="64225" spans="2:2" s="221" customFormat="1" ht="12.75" x14ac:dyDescent="0.2">
      <c r="B64225" s="1168"/>
    </row>
    <row r="64226" spans="2:2" s="221" customFormat="1" ht="12.75" x14ac:dyDescent="0.2">
      <c r="B64226" s="1168"/>
    </row>
    <row r="64227" spans="2:2" s="221" customFormat="1" ht="12.75" x14ac:dyDescent="0.2">
      <c r="B64227" s="1168"/>
    </row>
    <row r="64228" spans="2:2" s="221" customFormat="1" ht="12.75" x14ac:dyDescent="0.2">
      <c r="B64228" s="1168"/>
    </row>
    <row r="64229" spans="2:2" s="221" customFormat="1" ht="12.75" x14ac:dyDescent="0.2">
      <c r="B64229" s="1168"/>
    </row>
    <row r="64230" spans="2:2" s="221" customFormat="1" ht="12.75" x14ac:dyDescent="0.2">
      <c r="B64230" s="1168"/>
    </row>
    <row r="64231" spans="2:2" s="221" customFormat="1" ht="12.75" x14ac:dyDescent="0.2">
      <c r="B64231" s="1168"/>
    </row>
    <row r="64232" spans="2:2" s="221" customFormat="1" ht="12.75" x14ac:dyDescent="0.2">
      <c r="B64232" s="1168"/>
    </row>
    <row r="64233" spans="2:2" s="221" customFormat="1" ht="12.75" x14ac:dyDescent="0.2">
      <c r="B64233" s="1168"/>
    </row>
    <row r="64234" spans="2:2" s="221" customFormat="1" ht="12.75" x14ac:dyDescent="0.2">
      <c r="B64234" s="1168"/>
    </row>
    <row r="64235" spans="2:2" s="221" customFormat="1" ht="12.75" x14ac:dyDescent="0.2">
      <c r="B64235" s="1168"/>
    </row>
    <row r="64236" spans="2:2" s="221" customFormat="1" ht="12.75" x14ac:dyDescent="0.2">
      <c r="B64236" s="1168"/>
    </row>
    <row r="64237" spans="2:2" s="221" customFormat="1" ht="12.75" x14ac:dyDescent="0.2">
      <c r="B64237" s="1168"/>
    </row>
    <row r="64238" spans="2:2" s="221" customFormat="1" ht="12.75" x14ac:dyDescent="0.2">
      <c r="B64238" s="1168"/>
    </row>
    <row r="64239" spans="2:2" s="221" customFormat="1" ht="12.75" x14ac:dyDescent="0.2">
      <c r="B64239" s="1168"/>
    </row>
    <row r="64240" spans="2:2" s="221" customFormat="1" ht="12.75" x14ac:dyDescent="0.2">
      <c r="B64240" s="1168"/>
    </row>
    <row r="64241" spans="2:2" s="221" customFormat="1" ht="12.75" x14ac:dyDescent="0.2">
      <c r="B64241" s="1168"/>
    </row>
    <row r="64242" spans="2:2" s="221" customFormat="1" ht="12.75" x14ac:dyDescent="0.2">
      <c r="B64242" s="1168"/>
    </row>
    <row r="64243" spans="2:2" s="221" customFormat="1" ht="12.75" x14ac:dyDescent="0.2">
      <c r="B64243" s="1168"/>
    </row>
    <row r="64244" spans="2:2" s="221" customFormat="1" ht="12.75" x14ac:dyDescent="0.2">
      <c r="B64244" s="1168"/>
    </row>
    <row r="64245" spans="2:2" s="221" customFormat="1" ht="12.75" x14ac:dyDescent="0.2">
      <c r="B64245" s="1168"/>
    </row>
    <row r="64246" spans="2:2" s="221" customFormat="1" ht="12.75" x14ac:dyDescent="0.2">
      <c r="B64246" s="1168"/>
    </row>
    <row r="64247" spans="2:2" s="221" customFormat="1" ht="12.75" x14ac:dyDescent="0.2">
      <c r="B64247" s="1168"/>
    </row>
    <row r="64248" spans="2:2" s="221" customFormat="1" ht="12.75" x14ac:dyDescent="0.2">
      <c r="B64248" s="1168"/>
    </row>
    <row r="64249" spans="2:2" s="221" customFormat="1" ht="12.75" x14ac:dyDescent="0.2">
      <c r="B64249" s="1168"/>
    </row>
    <row r="64250" spans="2:2" s="221" customFormat="1" ht="12.75" x14ac:dyDescent="0.2">
      <c r="B64250" s="1168"/>
    </row>
    <row r="64251" spans="2:2" s="221" customFormat="1" ht="12.75" x14ac:dyDescent="0.2">
      <c r="B64251" s="1168"/>
    </row>
    <row r="64252" spans="2:2" s="221" customFormat="1" ht="12.75" x14ac:dyDescent="0.2">
      <c r="B64252" s="1168"/>
    </row>
    <row r="64253" spans="2:2" s="221" customFormat="1" ht="12.75" x14ac:dyDescent="0.2">
      <c r="B64253" s="1168"/>
    </row>
    <row r="64254" spans="2:2" s="221" customFormat="1" ht="12.75" x14ac:dyDescent="0.2">
      <c r="B64254" s="1168"/>
    </row>
    <row r="64255" spans="2:2" s="221" customFormat="1" ht="12.75" x14ac:dyDescent="0.2">
      <c r="B64255" s="1168"/>
    </row>
    <row r="64256" spans="2:2" s="221" customFormat="1" ht="12.75" x14ac:dyDescent="0.2">
      <c r="B64256" s="1168"/>
    </row>
    <row r="64257" spans="2:2" s="221" customFormat="1" ht="12.75" x14ac:dyDescent="0.2">
      <c r="B64257" s="1168"/>
    </row>
    <row r="64258" spans="2:2" s="221" customFormat="1" ht="12.75" x14ac:dyDescent="0.2">
      <c r="B64258" s="1168"/>
    </row>
    <row r="64259" spans="2:2" s="221" customFormat="1" ht="12.75" x14ac:dyDescent="0.2">
      <c r="B64259" s="1168"/>
    </row>
    <row r="64260" spans="2:2" s="221" customFormat="1" ht="12.75" x14ac:dyDescent="0.2">
      <c r="B64260" s="1168"/>
    </row>
    <row r="64261" spans="2:2" s="221" customFormat="1" ht="12.75" x14ac:dyDescent="0.2">
      <c r="B64261" s="1168"/>
    </row>
    <row r="64262" spans="2:2" s="221" customFormat="1" ht="12.75" x14ac:dyDescent="0.2">
      <c r="B64262" s="1168"/>
    </row>
    <row r="64263" spans="2:2" s="221" customFormat="1" ht="12.75" x14ac:dyDescent="0.2">
      <c r="B64263" s="1168"/>
    </row>
    <row r="64264" spans="2:2" s="221" customFormat="1" ht="12.75" x14ac:dyDescent="0.2">
      <c r="B64264" s="1168"/>
    </row>
    <row r="64265" spans="2:2" s="221" customFormat="1" ht="12.75" x14ac:dyDescent="0.2">
      <c r="B64265" s="1168"/>
    </row>
    <row r="64266" spans="2:2" s="221" customFormat="1" ht="12.75" x14ac:dyDescent="0.2">
      <c r="B64266" s="1168"/>
    </row>
    <row r="64267" spans="2:2" s="221" customFormat="1" ht="12.75" x14ac:dyDescent="0.2">
      <c r="B64267" s="1168"/>
    </row>
    <row r="64268" spans="2:2" s="221" customFormat="1" ht="12.75" x14ac:dyDescent="0.2">
      <c r="B64268" s="1168"/>
    </row>
    <row r="64269" spans="2:2" s="221" customFormat="1" ht="12.75" x14ac:dyDescent="0.2">
      <c r="B64269" s="1168"/>
    </row>
    <row r="64270" spans="2:2" s="221" customFormat="1" ht="12.75" x14ac:dyDescent="0.2">
      <c r="B64270" s="1168"/>
    </row>
    <row r="64271" spans="2:2" s="221" customFormat="1" ht="12.75" x14ac:dyDescent="0.2">
      <c r="B64271" s="1168"/>
    </row>
    <row r="64272" spans="2:2" s="221" customFormat="1" ht="12.75" x14ac:dyDescent="0.2">
      <c r="B64272" s="1168"/>
    </row>
    <row r="64273" spans="2:2" s="221" customFormat="1" ht="12.75" x14ac:dyDescent="0.2">
      <c r="B64273" s="1168"/>
    </row>
    <row r="64274" spans="2:2" s="221" customFormat="1" ht="12.75" x14ac:dyDescent="0.2">
      <c r="B64274" s="1168"/>
    </row>
    <row r="64275" spans="2:2" s="221" customFormat="1" ht="12.75" x14ac:dyDescent="0.2">
      <c r="B64275" s="1168"/>
    </row>
    <row r="64276" spans="2:2" s="221" customFormat="1" ht="12.75" x14ac:dyDescent="0.2">
      <c r="B64276" s="1168"/>
    </row>
    <row r="64277" spans="2:2" s="221" customFormat="1" ht="12.75" x14ac:dyDescent="0.2">
      <c r="B64277" s="1168"/>
    </row>
    <row r="64278" spans="2:2" s="221" customFormat="1" ht="12.75" x14ac:dyDescent="0.2">
      <c r="B64278" s="1168"/>
    </row>
    <row r="64279" spans="2:2" s="221" customFormat="1" ht="12.75" x14ac:dyDescent="0.2">
      <c r="B64279" s="1168"/>
    </row>
    <row r="64280" spans="2:2" s="221" customFormat="1" ht="12.75" x14ac:dyDescent="0.2">
      <c r="B64280" s="1168"/>
    </row>
    <row r="64281" spans="2:2" s="221" customFormat="1" ht="12.75" x14ac:dyDescent="0.2">
      <c r="B64281" s="1168"/>
    </row>
    <row r="64282" spans="2:2" s="221" customFormat="1" ht="12.75" x14ac:dyDescent="0.2">
      <c r="B64282" s="1168"/>
    </row>
    <row r="64283" spans="2:2" s="221" customFormat="1" ht="12.75" x14ac:dyDescent="0.2">
      <c r="B64283" s="1168"/>
    </row>
    <row r="64284" spans="2:2" s="221" customFormat="1" ht="12.75" x14ac:dyDescent="0.2">
      <c r="B64284" s="1168"/>
    </row>
    <row r="64285" spans="2:2" s="221" customFormat="1" ht="12.75" x14ac:dyDescent="0.2">
      <c r="B64285" s="1168"/>
    </row>
    <row r="64286" spans="2:2" s="221" customFormat="1" ht="12.75" x14ac:dyDescent="0.2">
      <c r="B64286" s="1168"/>
    </row>
    <row r="64287" spans="2:2" s="221" customFormat="1" ht="12.75" x14ac:dyDescent="0.2">
      <c r="B64287" s="1168"/>
    </row>
    <row r="64288" spans="2:2" s="221" customFormat="1" ht="12.75" x14ac:dyDescent="0.2">
      <c r="B64288" s="1168"/>
    </row>
    <row r="64289" spans="2:2" s="221" customFormat="1" ht="12.75" x14ac:dyDescent="0.2">
      <c r="B64289" s="1168"/>
    </row>
    <row r="64290" spans="2:2" s="221" customFormat="1" ht="12.75" x14ac:dyDescent="0.2">
      <c r="B64290" s="1168"/>
    </row>
    <row r="64291" spans="2:2" s="221" customFormat="1" ht="12.75" x14ac:dyDescent="0.2">
      <c r="B64291" s="1168"/>
    </row>
    <row r="64292" spans="2:2" s="221" customFormat="1" ht="12.75" x14ac:dyDescent="0.2">
      <c r="B64292" s="1168"/>
    </row>
    <row r="64293" spans="2:2" s="221" customFormat="1" ht="12.75" x14ac:dyDescent="0.2">
      <c r="B64293" s="1168"/>
    </row>
    <row r="64294" spans="2:2" s="221" customFormat="1" ht="12.75" x14ac:dyDescent="0.2">
      <c r="B64294" s="1168"/>
    </row>
    <row r="64295" spans="2:2" s="221" customFormat="1" ht="12.75" x14ac:dyDescent="0.2">
      <c r="B64295" s="1168"/>
    </row>
    <row r="64296" spans="2:2" s="221" customFormat="1" ht="12.75" x14ac:dyDescent="0.2">
      <c r="B64296" s="1168"/>
    </row>
    <row r="64297" spans="2:2" s="221" customFormat="1" ht="12.75" x14ac:dyDescent="0.2">
      <c r="B64297" s="1168"/>
    </row>
    <row r="64298" spans="2:2" s="221" customFormat="1" ht="12.75" x14ac:dyDescent="0.2">
      <c r="B64298" s="1168"/>
    </row>
    <row r="64299" spans="2:2" s="221" customFormat="1" ht="12.75" x14ac:dyDescent="0.2">
      <c r="B64299" s="1168"/>
    </row>
    <row r="64300" spans="2:2" s="221" customFormat="1" ht="12.75" x14ac:dyDescent="0.2">
      <c r="B64300" s="1168"/>
    </row>
    <row r="64301" spans="2:2" s="221" customFormat="1" ht="12.75" x14ac:dyDescent="0.2">
      <c r="B64301" s="1168"/>
    </row>
    <row r="64302" spans="2:2" s="221" customFormat="1" ht="12.75" x14ac:dyDescent="0.2">
      <c r="B64302" s="1168"/>
    </row>
    <row r="64303" spans="2:2" s="221" customFormat="1" ht="12.75" x14ac:dyDescent="0.2">
      <c r="B64303" s="1168"/>
    </row>
    <row r="64304" spans="2:2" s="221" customFormat="1" ht="12.75" x14ac:dyDescent="0.2">
      <c r="B64304" s="1168"/>
    </row>
    <row r="64305" spans="2:2" s="221" customFormat="1" ht="12.75" x14ac:dyDescent="0.2">
      <c r="B64305" s="1168"/>
    </row>
    <row r="64306" spans="2:2" s="221" customFormat="1" ht="12.75" x14ac:dyDescent="0.2">
      <c r="B64306" s="1168"/>
    </row>
    <row r="64307" spans="2:2" s="221" customFormat="1" ht="12.75" x14ac:dyDescent="0.2">
      <c r="B64307" s="1168"/>
    </row>
    <row r="64308" spans="2:2" s="221" customFormat="1" ht="12.75" x14ac:dyDescent="0.2">
      <c r="B64308" s="1168"/>
    </row>
    <row r="64309" spans="2:2" s="221" customFormat="1" ht="12.75" x14ac:dyDescent="0.2">
      <c r="B64309" s="1168"/>
    </row>
    <row r="64310" spans="2:2" s="221" customFormat="1" ht="12.75" x14ac:dyDescent="0.2">
      <c r="B64310" s="1168"/>
    </row>
    <row r="64311" spans="2:2" s="221" customFormat="1" ht="12.75" x14ac:dyDescent="0.2">
      <c r="B64311" s="1168"/>
    </row>
    <row r="64312" spans="2:2" s="221" customFormat="1" ht="12.75" x14ac:dyDescent="0.2">
      <c r="B64312" s="1168"/>
    </row>
    <row r="64313" spans="2:2" s="221" customFormat="1" ht="12.75" x14ac:dyDescent="0.2">
      <c r="B64313" s="1168"/>
    </row>
    <row r="64314" spans="2:2" s="221" customFormat="1" ht="12.75" x14ac:dyDescent="0.2">
      <c r="B64314" s="1168"/>
    </row>
    <row r="64315" spans="2:2" s="221" customFormat="1" ht="12.75" x14ac:dyDescent="0.2">
      <c r="B64315" s="1168"/>
    </row>
    <row r="64316" spans="2:2" s="221" customFormat="1" ht="12.75" x14ac:dyDescent="0.2">
      <c r="B64316" s="1168"/>
    </row>
    <row r="64317" spans="2:2" s="221" customFormat="1" ht="12.75" x14ac:dyDescent="0.2">
      <c r="B64317" s="1168"/>
    </row>
    <row r="64318" spans="2:2" s="221" customFormat="1" ht="12.75" x14ac:dyDescent="0.2">
      <c r="B64318" s="1168"/>
    </row>
    <row r="64319" spans="2:2" s="221" customFormat="1" ht="12.75" x14ac:dyDescent="0.2">
      <c r="B64319" s="1168"/>
    </row>
    <row r="64320" spans="2:2" s="221" customFormat="1" ht="12.75" x14ac:dyDescent="0.2">
      <c r="B64320" s="1168"/>
    </row>
    <row r="64321" spans="2:2" s="221" customFormat="1" ht="12.75" x14ac:dyDescent="0.2">
      <c r="B64321" s="1168"/>
    </row>
    <row r="64322" spans="2:2" s="221" customFormat="1" ht="12.75" x14ac:dyDescent="0.2">
      <c r="B64322" s="1168"/>
    </row>
    <row r="64323" spans="2:2" s="221" customFormat="1" ht="12.75" x14ac:dyDescent="0.2">
      <c r="B64323" s="1168"/>
    </row>
    <row r="64324" spans="2:2" s="221" customFormat="1" ht="12.75" x14ac:dyDescent="0.2">
      <c r="B64324" s="1168"/>
    </row>
    <row r="64325" spans="2:2" s="221" customFormat="1" ht="12.75" x14ac:dyDescent="0.2">
      <c r="B64325" s="1168"/>
    </row>
    <row r="64326" spans="2:2" s="221" customFormat="1" ht="12.75" x14ac:dyDescent="0.2">
      <c r="B64326" s="1168"/>
    </row>
    <row r="64327" spans="2:2" s="221" customFormat="1" ht="12.75" x14ac:dyDescent="0.2">
      <c r="B64327" s="1168"/>
    </row>
    <row r="64328" spans="2:2" s="221" customFormat="1" ht="12.75" x14ac:dyDescent="0.2">
      <c r="B64328" s="1168"/>
    </row>
    <row r="64329" spans="2:2" s="221" customFormat="1" ht="12.75" x14ac:dyDescent="0.2">
      <c r="B64329" s="1168"/>
    </row>
    <row r="64330" spans="2:2" s="221" customFormat="1" ht="12.75" x14ac:dyDescent="0.2">
      <c r="B64330" s="1168"/>
    </row>
    <row r="64331" spans="2:2" s="221" customFormat="1" ht="12.75" x14ac:dyDescent="0.2">
      <c r="B64331" s="1168"/>
    </row>
    <row r="64332" spans="2:2" s="221" customFormat="1" ht="12.75" x14ac:dyDescent="0.2">
      <c r="B64332" s="1168"/>
    </row>
    <row r="64333" spans="2:2" s="221" customFormat="1" ht="12.75" x14ac:dyDescent="0.2">
      <c r="B64333" s="1168"/>
    </row>
    <row r="64334" spans="2:2" s="221" customFormat="1" ht="12.75" x14ac:dyDescent="0.2">
      <c r="B64334" s="1168"/>
    </row>
    <row r="64335" spans="2:2" s="221" customFormat="1" ht="12.75" x14ac:dyDescent="0.2">
      <c r="B64335" s="1168"/>
    </row>
    <row r="64336" spans="2:2" s="221" customFormat="1" ht="12.75" x14ac:dyDescent="0.2">
      <c r="B64336" s="1168"/>
    </row>
    <row r="64337" spans="2:2" s="221" customFormat="1" ht="12.75" x14ac:dyDescent="0.2">
      <c r="B64337" s="1168"/>
    </row>
    <row r="64338" spans="2:2" s="221" customFormat="1" ht="12.75" x14ac:dyDescent="0.2">
      <c r="B64338" s="1168"/>
    </row>
    <row r="64339" spans="2:2" s="221" customFormat="1" ht="12.75" x14ac:dyDescent="0.2">
      <c r="B64339" s="1168"/>
    </row>
    <row r="64340" spans="2:2" s="221" customFormat="1" ht="12.75" x14ac:dyDescent="0.2">
      <c r="B64340" s="1168"/>
    </row>
    <row r="64341" spans="2:2" s="221" customFormat="1" ht="12.75" x14ac:dyDescent="0.2">
      <c r="B64341" s="1168"/>
    </row>
    <row r="64342" spans="2:2" s="221" customFormat="1" ht="12.75" x14ac:dyDescent="0.2">
      <c r="B64342" s="1168"/>
    </row>
    <row r="64343" spans="2:2" s="221" customFormat="1" ht="12.75" x14ac:dyDescent="0.2">
      <c r="B64343" s="1168"/>
    </row>
    <row r="64344" spans="2:2" s="221" customFormat="1" ht="12.75" x14ac:dyDescent="0.2">
      <c r="B64344" s="1168"/>
    </row>
    <row r="64345" spans="2:2" s="221" customFormat="1" ht="12.75" x14ac:dyDescent="0.2">
      <c r="B64345" s="1168"/>
    </row>
    <row r="64346" spans="2:2" s="221" customFormat="1" ht="12.75" x14ac:dyDescent="0.2">
      <c r="B64346" s="1168"/>
    </row>
    <row r="64347" spans="2:2" s="221" customFormat="1" ht="12.75" x14ac:dyDescent="0.2">
      <c r="B64347" s="1168"/>
    </row>
    <row r="64348" spans="2:2" s="221" customFormat="1" ht="12.75" x14ac:dyDescent="0.2">
      <c r="B64348" s="1168"/>
    </row>
    <row r="64349" spans="2:2" s="221" customFormat="1" ht="12.75" x14ac:dyDescent="0.2">
      <c r="B64349" s="1168"/>
    </row>
    <row r="64350" spans="2:2" s="221" customFormat="1" ht="12.75" x14ac:dyDescent="0.2">
      <c r="B64350" s="1168"/>
    </row>
    <row r="64351" spans="2:2" s="221" customFormat="1" ht="12.75" x14ac:dyDescent="0.2">
      <c r="B64351" s="1168"/>
    </row>
    <row r="64352" spans="2:2" s="221" customFormat="1" ht="12.75" x14ac:dyDescent="0.2">
      <c r="B64352" s="1168"/>
    </row>
    <row r="64353" spans="2:2" s="221" customFormat="1" ht="12.75" x14ac:dyDescent="0.2">
      <c r="B64353" s="1168"/>
    </row>
    <row r="64354" spans="2:2" s="221" customFormat="1" ht="12.75" x14ac:dyDescent="0.2">
      <c r="B64354" s="1168"/>
    </row>
    <row r="64355" spans="2:2" s="221" customFormat="1" ht="12.75" x14ac:dyDescent="0.2">
      <c r="B64355" s="1168"/>
    </row>
    <row r="64356" spans="2:2" s="221" customFormat="1" ht="12.75" x14ac:dyDescent="0.2">
      <c r="B64356" s="1168"/>
    </row>
    <row r="64357" spans="2:2" s="221" customFormat="1" ht="12.75" x14ac:dyDescent="0.2">
      <c r="B64357" s="1168"/>
    </row>
    <row r="64358" spans="2:2" s="221" customFormat="1" ht="12.75" x14ac:dyDescent="0.2">
      <c r="B64358" s="1168"/>
    </row>
    <row r="64359" spans="2:2" s="221" customFormat="1" ht="12.75" x14ac:dyDescent="0.2">
      <c r="B64359" s="1168"/>
    </row>
    <row r="64360" spans="2:2" s="221" customFormat="1" ht="12.75" x14ac:dyDescent="0.2">
      <c r="B64360" s="1168"/>
    </row>
    <row r="64361" spans="2:2" s="221" customFormat="1" ht="12.75" x14ac:dyDescent="0.2">
      <c r="B64361" s="1168"/>
    </row>
    <row r="64362" spans="2:2" s="221" customFormat="1" ht="12.75" x14ac:dyDescent="0.2">
      <c r="B64362" s="1168"/>
    </row>
    <row r="64363" spans="2:2" s="221" customFormat="1" ht="12.75" x14ac:dyDescent="0.2">
      <c r="B64363" s="1168"/>
    </row>
    <row r="64364" spans="2:2" s="221" customFormat="1" ht="12.75" x14ac:dyDescent="0.2">
      <c r="B64364" s="1168"/>
    </row>
    <row r="64365" spans="2:2" s="221" customFormat="1" ht="12.75" x14ac:dyDescent="0.2">
      <c r="B64365" s="1168"/>
    </row>
    <row r="64366" spans="2:2" s="221" customFormat="1" ht="12.75" x14ac:dyDescent="0.2">
      <c r="B64366" s="1168"/>
    </row>
    <row r="64367" spans="2:2" s="221" customFormat="1" ht="12.75" x14ac:dyDescent="0.2">
      <c r="B64367" s="1168"/>
    </row>
    <row r="64368" spans="2:2" s="221" customFormat="1" ht="12.75" x14ac:dyDescent="0.2">
      <c r="B64368" s="1168"/>
    </row>
    <row r="64369" spans="2:2" s="221" customFormat="1" ht="12.75" x14ac:dyDescent="0.2">
      <c r="B64369" s="1168"/>
    </row>
    <row r="64370" spans="2:2" s="221" customFormat="1" ht="12.75" x14ac:dyDescent="0.2">
      <c r="B64370" s="1168"/>
    </row>
    <row r="64371" spans="2:2" s="221" customFormat="1" ht="12.75" x14ac:dyDescent="0.2">
      <c r="B64371" s="1168"/>
    </row>
    <row r="64372" spans="2:2" s="221" customFormat="1" ht="12.75" x14ac:dyDescent="0.2">
      <c r="B64372" s="1168"/>
    </row>
    <row r="64373" spans="2:2" s="221" customFormat="1" ht="12.75" x14ac:dyDescent="0.2">
      <c r="B64373" s="1168"/>
    </row>
    <row r="64374" spans="2:2" s="221" customFormat="1" ht="12.75" x14ac:dyDescent="0.2">
      <c r="B64374" s="1168"/>
    </row>
    <row r="64375" spans="2:2" s="221" customFormat="1" ht="12.75" x14ac:dyDescent="0.2">
      <c r="B64375" s="1168"/>
    </row>
    <row r="64376" spans="2:2" s="221" customFormat="1" ht="12.75" x14ac:dyDescent="0.2">
      <c r="B64376" s="1168"/>
    </row>
    <row r="64377" spans="2:2" s="221" customFormat="1" ht="12.75" x14ac:dyDescent="0.2">
      <c r="B64377" s="1168"/>
    </row>
    <row r="64378" spans="2:2" s="221" customFormat="1" ht="12.75" x14ac:dyDescent="0.2">
      <c r="B64378" s="1168"/>
    </row>
    <row r="64379" spans="2:2" s="221" customFormat="1" ht="12.75" x14ac:dyDescent="0.2">
      <c r="B64379" s="1168"/>
    </row>
    <row r="64380" spans="2:2" s="221" customFormat="1" ht="12.75" x14ac:dyDescent="0.2">
      <c r="B64380" s="1168"/>
    </row>
    <row r="64381" spans="2:2" s="221" customFormat="1" ht="12.75" x14ac:dyDescent="0.2">
      <c r="B64381" s="1168"/>
    </row>
    <row r="64382" spans="2:2" s="221" customFormat="1" ht="12.75" x14ac:dyDescent="0.2">
      <c r="B64382" s="1168"/>
    </row>
    <row r="64383" spans="2:2" s="221" customFormat="1" ht="12.75" x14ac:dyDescent="0.2">
      <c r="B64383" s="1168"/>
    </row>
    <row r="64384" spans="2:2" s="221" customFormat="1" ht="12.75" x14ac:dyDescent="0.2">
      <c r="B64384" s="1168"/>
    </row>
    <row r="64385" spans="2:2" s="221" customFormat="1" ht="12.75" x14ac:dyDescent="0.2">
      <c r="B64385" s="1168"/>
    </row>
    <row r="64386" spans="2:2" s="221" customFormat="1" ht="12.75" x14ac:dyDescent="0.2">
      <c r="B64386" s="1168"/>
    </row>
    <row r="64387" spans="2:2" s="221" customFormat="1" ht="12.75" x14ac:dyDescent="0.2">
      <c r="B64387" s="1168"/>
    </row>
    <row r="64388" spans="2:2" s="221" customFormat="1" ht="12.75" x14ac:dyDescent="0.2">
      <c r="B64388" s="1168"/>
    </row>
    <row r="64389" spans="2:2" s="221" customFormat="1" ht="12.75" x14ac:dyDescent="0.2">
      <c r="B64389" s="1168"/>
    </row>
    <row r="64390" spans="2:2" s="221" customFormat="1" ht="12.75" x14ac:dyDescent="0.2">
      <c r="B64390" s="1168"/>
    </row>
    <row r="64391" spans="2:2" s="221" customFormat="1" ht="12.75" x14ac:dyDescent="0.2">
      <c r="B64391" s="1168"/>
    </row>
    <row r="64392" spans="2:2" s="221" customFormat="1" ht="12.75" x14ac:dyDescent="0.2">
      <c r="B64392" s="1168"/>
    </row>
    <row r="64393" spans="2:2" s="221" customFormat="1" ht="12.75" x14ac:dyDescent="0.2">
      <c r="B64393" s="1168"/>
    </row>
    <row r="64394" spans="2:2" s="221" customFormat="1" ht="12.75" x14ac:dyDescent="0.2">
      <c r="B64394" s="1168"/>
    </row>
    <row r="64395" spans="2:2" s="221" customFormat="1" ht="12.75" x14ac:dyDescent="0.2">
      <c r="B64395" s="1168"/>
    </row>
    <row r="64396" spans="2:2" s="221" customFormat="1" ht="12.75" x14ac:dyDescent="0.2">
      <c r="B64396" s="1168"/>
    </row>
    <row r="64397" spans="2:2" s="221" customFormat="1" ht="12.75" x14ac:dyDescent="0.2">
      <c r="B64397" s="1168"/>
    </row>
    <row r="64398" spans="2:2" s="221" customFormat="1" ht="12.75" x14ac:dyDescent="0.2">
      <c r="B64398" s="1168"/>
    </row>
    <row r="64399" spans="2:2" s="221" customFormat="1" ht="12.75" x14ac:dyDescent="0.2">
      <c r="B64399" s="1168"/>
    </row>
    <row r="64400" spans="2:2" s="221" customFormat="1" ht="12.75" x14ac:dyDescent="0.2">
      <c r="B64400" s="1168"/>
    </row>
    <row r="64401" spans="2:2" s="221" customFormat="1" ht="12.75" x14ac:dyDescent="0.2">
      <c r="B64401" s="1168"/>
    </row>
    <row r="64402" spans="2:2" s="221" customFormat="1" ht="12.75" x14ac:dyDescent="0.2">
      <c r="B64402" s="1168"/>
    </row>
    <row r="64403" spans="2:2" s="221" customFormat="1" ht="12.75" x14ac:dyDescent="0.2">
      <c r="B64403" s="1168"/>
    </row>
    <row r="64404" spans="2:2" s="221" customFormat="1" ht="12.75" x14ac:dyDescent="0.2">
      <c r="B64404" s="1168"/>
    </row>
    <row r="64405" spans="2:2" s="221" customFormat="1" ht="12.75" x14ac:dyDescent="0.2">
      <c r="B64405" s="1168"/>
    </row>
    <row r="64406" spans="2:2" s="221" customFormat="1" ht="12.75" x14ac:dyDescent="0.2">
      <c r="B64406" s="1168"/>
    </row>
    <row r="64407" spans="2:2" s="221" customFormat="1" ht="12.75" x14ac:dyDescent="0.2">
      <c r="B64407" s="1168"/>
    </row>
    <row r="64408" spans="2:2" s="221" customFormat="1" ht="12.75" x14ac:dyDescent="0.2">
      <c r="B64408" s="1168"/>
    </row>
    <row r="64409" spans="2:2" s="221" customFormat="1" ht="12.75" x14ac:dyDescent="0.2">
      <c r="B64409" s="1168"/>
    </row>
    <row r="64410" spans="2:2" s="221" customFormat="1" ht="12.75" x14ac:dyDescent="0.2">
      <c r="B64410" s="1168"/>
    </row>
    <row r="64411" spans="2:2" s="221" customFormat="1" ht="12.75" x14ac:dyDescent="0.2">
      <c r="B64411" s="1168"/>
    </row>
    <row r="64412" spans="2:2" s="221" customFormat="1" ht="12.75" x14ac:dyDescent="0.2">
      <c r="B64412" s="1168"/>
    </row>
    <row r="64413" spans="2:2" s="221" customFormat="1" ht="12.75" x14ac:dyDescent="0.2">
      <c r="B64413" s="1168"/>
    </row>
    <row r="64414" spans="2:2" s="221" customFormat="1" ht="12.75" x14ac:dyDescent="0.2">
      <c r="B64414" s="1168"/>
    </row>
    <row r="64415" spans="2:2" s="221" customFormat="1" ht="12.75" x14ac:dyDescent="0.2">
      <c r="B64415" s="1168"/>
    </row>
    <row r="64416" spans="2:2" s="221" customFormat="1" ht="12.75" x14ac:dyDescent="0.2">
      <c r="B64416" s="1168"/>
    </row>
    <row r="64417" spans="2:2" s="221" customFormat="1" ht="12.75" x14ac:dyDescent="0.2">
      <c r="B64417" s="1168"/>
    </row>
    <row r="64418" spans="2:2" s="221" customFormat="1" ht="12.75" x14ac:dyDescent="0.2">
      <c r="B64418" s="1168"/>
    </row>
    <row r="64419" spans="2:2" s="221" customFormat="1" ht="12.75" x14ac:dyDescent="0.2">
      <c r="B64419" s="1168"/>
    </row>
    <row r="64420" spans="2:2" s="221" customFormat="1" ht="12.75" x14ac:dyDescent="0.2">
      <c r="B64420" s="1168"/>
    </row>
    <row r="64421" spans="2:2" s="221" customFormat="1" ht="12.75" x14ac:dyDescent="0.2">
      <c r="B64421" s="1168"/>
    </row>
    <row r="64422" spans="2:2" s="221" customFormat="1" ht="12.75" x14ac:dyDescent="0.2">
      <c r="B64422" s="1168"/>
    </row>
    <row r="64423" spans="2:2" s="221" customFormat="1" ht="12.75" x14ac:dyDescent="0.2">
      <c r="B64423" s="1168"/>
    </row>
    <row r="64424" spans="2:2" s="221" customFormat="1" ht="12.75" x14ac:dyDescent="0.2">
      <c r="B64424" s="1168"/>
    </row>
    <row r="64425" spans="2:2" s="221" customFormat="1" ht="12.75" x14ac:dyDescent="0.2">
      <c r="B64425" s="1168"/>
    </row>
    <row r="64426" spans="2:2" s="221" customFormat="1" ht="12.75" x14ac:dyDescent="0.2">
      <c r="B64426" s="1168"/>
    </row>
    <row r="64427" spans="2:2" s="221" customFormat="1" ht="12.75" x14ac:dyDescent="0.2">
      <c r="B64427" s="1168"/>
    </row>
    <row r="64428" spans="2:2" s="221" customFormat="1" ht="12.75" x14ac:dyDescent="0.2">
      <c r="B64428" s="1168"/>
    </row>
    <row r="64429" spans="2:2" s="221" customFormat="1" ht="12.75" x14ac:dyDescent="0.2">
      <c r="B64429" s="1168"/>
    </row>
    <row r="64430" spans="2:2" s="221" customFormat="1" ht="12.75" x14ac:dyDescent="0.2">
      <c r="B64430" s="1168"/>
    </row>
    <row r="64431" spans="2:2" s="221" customFormat="1" ht="12.75" x14ac:dyDescent="0.2">
      <c r="B64431" s="1168"/>
    </row>
    <row r="64432" spans="2:2" s="221" customFormat="1" ht="12.75" x14ac:dyDescent="0.2">
      <c r="B64432" s="1168"/>
    </row>
    <row r="64433" spans="2:2" s="221" customFormat="1" ht="12.75" x14ac:dyDescent="0.2">
      <c r="B64433" s="1168"/>
    </row>
    <row r="64434" spans="2:2" s="221" customFormat="1" ht="12.75" x14ac:dyDescent="0.2">
      <c r="B64434" s="1168"/>
    </row>
    <row r="64435" spans="2:2" s="221" customFormat="1" ht="12.75" x14ac:dyDescent="0.2">
      <c r="B64435" s="1168"/>
    </row>
    <row r="64436" spans="2:2" s="221" customFormat="1" ht="12.75" x14ac:dyDescent="0.2">
      <c r="B64436" s="1168"/>
    </row>
    <row r="64437" spans="2:2" s="221" customFormat="1" ht="12.75" x14ac:dyDescent="0.2">
      <c r="B64437" s="1168"/>
    </row>
    <row r="64438" spans="2:2" s="221" customFormat="1" ht="12.75" x14ac:dyDescent="0.2">
      <c r="B64438" s="1168"/>
    </row>
    <row r="64439" spans="2:2" s="221" customFormat="1" ht="12.75" x14ac:dyDescent="0.2">
      <c r="B64439" s="1168"/>
    </row>
    <row r="64440" spans="2:2" s="221" customFormat="1" ht="12.75" x14ac:dyDescent="0.2">
      <c r="B64440" s="1168"/>
    </row>
    <row r="64441" spans="2:2" s="221" customFormat="1" ht="12.75" x14ac:dyDescent="0.2">
      <c r="B64441" s="1168"/>
    </row>
    <row r="64442" spans="2:2" s="221" customFormat="1" ht="12.75" x14ac:dyDescent="0.2">
      <c r="B64442" s="1168"/>
    </row>
    <row r="64443" spans="2:2" s="221" customFormat="1" ht="12.75" x14ac:dyDescent="0.2">
      <c r="B64443" s="1168"/>
    </row>
    <row r="64444" spans="2:2" s="221" customFormat="1" ht="12.75" x14ac:dyDescent="0.2">
      <c r="B64444" s="1168"/>
    </row>
    <row r="64445" spans="2:2" s="221" customFormat="1" ht="12.75" x14ac:dyDescent="0.2">
      <c r="B64445" s="1168"/>
    </row>
    <row r="64446" spans="2:2" s="221" customFormat="1" ht="12.75" x14ac:dyDescent="0.2">
      <c r="B64446" s="1168"/>
    </row>
    <row r="64447" spans="2:2" s="221" customFormat="1" ht="12.75" x14ac:dyDescent="0.2">
      <c r="B64447" s="1168"/>
    </row>
    <row r="64448" spans="2:2" s="221" customFormat="1" ht="12.75" x14ac:dyDescent="0.2">
      <c r="B64448" s="1168"/>
    </row>
    <row r="64449" spans="2:2" s="221" customFormat="1" ht="12.75" x14ac:dyDescent="0.2">
      <c r="B64449" s="1168"/>
    </row>
    <row r="64450" spans="2:2" s="221" customFormat="1" ht="12.75" x14ac:dyDescent="0.2">
      <c r="B64450" s="1168"/>
    </row>
    <row r="64451" spans="2:2" s="221" customFormat="1" ht="12.75" x14ac:dyDescent="0.2">
      <c r="B64451" s="1168"/>
    </row>
    <row r="64452" spans="2:2" s="221" customFormat="1" ht="12.75" x14ac:dyDescent="0.2">
      <c r="B64452" s="1168"/>
    </row>
    <row r="64453" spans="2:2" s="221" customFormat="1" ht="12.75" x14ac:dyDescent="0.2">
      <c r="B64453" s="1168"/>
    </row>
    <row r="64454" spans="2:2" s="221" customFormat="1" ht="12.75" x14ac:dyDescent="0.2">
      <c r="B64454" s="1168"/>
    </row>
    <row r="64455" spans="2:2" s="221" customFormat="1" ht="12.75" x14ac:dyDescent="0.2">
      <c r="B64455" s="1168"/>
    </row>
    <row r="64456" spans="2:2" s="221" customFormat="1" ht="12.75" x14ac:dyDescent="0.2">
      <c r="B64456" s="1168"/>
    </row>
    <row r="64457" spans="2:2" s="221" customFormat="1" ht="12.75" x14ac:dyDescent="0.2">
      <c r="B64457" s="1168"/>
    </row>
    <row r="64458" spans="2:2" s="221" customFormat="1" ht="12.75" x14ac:dyDescent="0.2">
      <c r="B64458" s="1168"/>
    </row>
    <row r="64459" spans="2:2" s="221" customFormat="1" ht="12.75" x14ac:dyDescent="0.2">
      <c r="B64459" s="1168"/>
    </row>
    <row r="64460" spans="2:2" s="221" customFormat="1" ht="12.75" x14ac:dyDescent="0.2">
      <c r="B64460" s="1168"/>
    </row>
    <row r="64461" spans="2:2" s="221" customFormat="1" ht="12.75" x14ac:dyDescent="0.2">
      <c r="B64461" s="1168"/>
    </row>
    <row r="64462" spans="2:2" s="221" customFormat="1" ht="12.75" x14ac:dyDescent="0.2">
      <c r="B64462" s="1168"/>
    </row>
    <row r="64463" spans="2:2" s="221" customFormat="1" ht="12.75" x14ac:dyDescent="0.2">
      <c r="B64463" s="1168"/>
    </row>
    <row r="64464" spans="2:2" s="221" customFormat="1" ht="12.75" x14ac:dyDescent="0.2">
      <c r="B64464" s="1168"/>
    </row>
    <row r="64465" spans="2:2" s="221" customFormat="1" ht="12.75" x14ac:dyDescent="0.2">
      <c r="B64465" s="1168"/>
    </row>
    <row r="64466" spans="2:2" s="221" customFormat="1" ht="12.75" x14ac:dyDescent="0.2">
      <c r="B64466" s="1168"/>
    </row>
    <row r="64467" spans="2:2" s="221" customFormat="1" ht="12.75" x14ac:dyDescent="0.2">
      <c r="B64467" s="1168"/>
    </row>
    <row r="64468" spans="2:2" s="221" customFormat="1" ht="12.75" x14ac:dyDescent="0.2">
      <c r="B64468" s="1168"/>
    </row>
    <row r="64469" spans="2:2" s="221" customFormat="1" ht="12.75" x14ac:dyDescent="0.2">
      <c r="B64469" s="1168"/>
    </row>
    <row r="64470" spans="2:2" s="221" customFormat="1" ht="12.75" x14ac:dyDescent="0.2">
      <c r="B64470" s="1168"/>
    </row>
    <row r="64471" spans="2:2" s="221" customFormat="1" ht="12.75" x14ac:dyDescent="0.2">
      <c r="B64471" s="1168"/>
    </row>
    <row r="64472" spans="2:2" s="221" customFormat="1" ht="12.75" x14ac:dyDescent="0.2">
      <c r="B64472" s="1168"/>
    </row>
    <row r="64473" spans="2:2" s="221" customFormat="1" ht="12.75" x14ac:dyDescent="0.2">
      <c r="B64473" s="1168"/>
    </row>
    <row r="64474" spans="2:2" s="221" customFormat="1" ht="12.75" x14ac:dyDescent="0.2">
      <c r="B64474" s="1168"/>
    </row>
    <row r="64475" spans="2:2" s="221" customFormat="1" ht="12.75" x14ac:dyDescent="0.2">
      <c r="B64475" s="1168"/>
    </row>
    <row r="64476" spans="2:2" s="221" customFormat="1" ht="12.75" x14ac:dyDescent="0.2">
      <c r="B64476" s="1168"/>
    </row>
    <row r="64477" spans="2:2" s="221" customFormat="1" ht="12.75" x14ac:dyDescent="0.2">
      <c r="B64477" s="1168"/>
    </row>
    <row r="64478" spans="2:2" s="221" customFormat="1" ht="12.75" x14ac:dyDescent="0.2">
      <c r="B64478" s="1168"/>
    </row>
    <row r="64479" spans="2:2" s="221" customFormat="1" ht="12.75" x14ac:dyDescent="0.2">
      <c r="B64479" s="1168"/>
    </row>
    <row r="64480" spans="2:2" s="221" customFormat="1" ht="12.75" x14ac:dyDescent="0.2">
      <c r="B64480" s="1168"/>
    </row>
    <row r="64481" spans="2:2" s="221" customFormat="1" ht="12.75" x14ac:dyDescent="0.2">
      <c r="B64481" s="1168"/>
    </row>
    <row r="64482" spans="2:2" s="221" customFormat="1" ht="12.75" x14ac:dyDescent="0.2">
      <c r="B64482" s="1168"/>
    </row>
    <row r="64483" spans="2:2" s="221" customFormat="1" ht="12.75" x14ac:dyDescent="0.2">
      <c r="B64483" s="1168"/>
    </row>
    <row r="64484" spans="2:2" s="221" customFormat="1" ht="12.75" x14ac:dyDescent="0.2">
      <c r="B64484" s="1168"/>
    </row>
    <row r="64485" spans="2:2" s="221" customFormat="1" ht="12.75" x14ac:dyDescent="0.2">
      <c r="B64485" s="1168"/>
    </row>
    <row r="64486" spans="2:2" s="221" customFormat="1" ht="12.75" x14ac:dyDescent="0.2">
      <c r="B64486" s="1168"/>
    </row>
    <row r="64487" spans="2:2" s="221" customFormat="1" ht="12.75" x14ac:dyDescent="0.2">
      <c r="B64487" s="1168"/>
    </row>
    <row r="64488" spans="2:2" s="221" customFormat="1" ht="12.75" x14ac:dyDescent="0.2">
      <c r="B64488" s="1168"/>
    </row>
    <row r="64489" spans="2:2" s="221" customFormat="1" ht="12.75" x14ac:dyDescent="0.2">
      <c r="B64489" s="1168"/>
    </row>
    <row r="64490" spans="2:2" s="221" customFormat="1" ht="12.75" x14ac:dyDescent="0.2">
      <c r="B64490" s="1168"/>
    </row>
    <row r="64491" spans="2:2" s="221" customFormat="1" ht="12.75" x14ac:dyDescent="0.2">
      <c r="B64491" s="1168"/>
    </row>
    <row r="64492" spans="2:2" s="221" customFormat="1" ht="12.75" x14ac:dyDescent="0.2">
      <c r="B64492" s="1168"/>
    </row>
    <row r="64493" spans="2:2" s="221" customFormat="1" ht="12.75" x14ac:dyDescent="0.2">
      <c r="B64493" s="1168"/>
    </row>
    <row r="64494" spans="2:2" s="221" customFormat="1" ht="12.75" x14ac:dyDescent="0.2">
      <c r="B64494" s="1168"/>
    </row>
    <row r="64495" spans="2:2" s="221" customFormat="1" ht="12.75" x14ac:dyDescent="0.2">
      <c r="B64495" s="1168"/>
    </row>
    <row r="64496" spans="2:2" s="221" customFormat="1" ht="12.75" x14ac:dyDescent="0.2">
      <c r="B64496" s="1168"/>
    </row>
    <row r="64497" spans="2:2" s="221" customFormat="1" ht="12.75" x14ac:dyDescent="0.2">
      <c r="B64497" s="1168"/>
    </row>
    <row r="64498" spans="2:2" s="221" customFormat="1" ht="12.75" x14ac:dyDescent="0.2">
      <c r="B64498" s="1168"/>
    </row>
    <row r="64499" spans="2:2" s="221" customFormat="1" ht="12.75" x14ac:dyDescent="0.2">
      <c r="B64499" s="1168"/>
    </row>
    <row r="64500" spans="2:2" s="221" customFormat="1" ht="12.75" x14ac:dyDescent="0.2">
      <c r="B64500" s="1168"/>
    </row>
    <row r="64501" spans="2:2" s="221" customFormat="1" ht="12.75" x14ac:dyDescent="0.2">
      <c r="B64501" s="1168"/>
    </row>
    <row r="64502" spans="2:2" s="221" customFormat="1" ht="12.75" x14ac:dyDescent="0.2">
      <c r="B64502" s="1168"/>
    </row>
    <row r="64503" spans="2:2" s="221" customFormat="1" ht="12.75" x14ac:dyDescent="0.2">
      <c r="B64503" s="1168"/>
    </row>
    <row r="64504" spans="2:2" s="221" customFormat="1" ht="12.75" x14ac:dyDescent="0.2">
      <c r="B64504" s="1168"/>
    </row>
    <row r="64505" spans="2:2" s="221" customFormat="1" ht="12.75" x14ac:dyDescent="0.2">
      <c r="B64505" s="1168"/>
    </row>
    <row r="64506" spans="2:2" s="221" customFormat="1" ht="12.75" x14ac:dyDescent="0.2">
      <c r="B64506" s="1168"/>
    </row>
    <row r="64507" spans="2:2" s="221" customFormat="1" ht="12.75" x14ac:dyDescent="0.2">
      <c r="B64507" s="1168"/>
    </row>
    <row r="64508" spans="2:2" s="221" customFormat="1" ht="12.75" x14ac:dyDescent="0.2">
      <c r="B64508" s="1168"/>
    </row>
    <row r="64509" spans="2:2" s="221" customFormat="1" ht="12.75" x14ac:dyDescent="0.2">
      <c r="B64509" s="1168"/>
    </row>
    <row r="64510" spans="2:2" s="221" customFormat="1" ht="12.75" x14ac:dyDescent="0.2">
      <c r="B64510" s="1168"/>
    </row>
    <row r="64511" spans="2:2" s="221" customFormat="1" ht="12.75" x14ac:dyDescent="0.2">
      <c r="B64511" s="1168"/>
    </row>
    <row r="64512" spans="2:2" s="221" customFormat="1" ht="12.75" x14ac:dyDescent="0.2">
      <c r="B64512" s="1168"/>
    </row>
    <row r="64513" spans="2:2" s="221" customFormat="1" ht="12.75" x14ac:dyDescent="0.2">
      <c r="B64513" s="1168"/>
    </row>
    <row r="64514" spans="2:2" s="221" customFormat="1" ht="12.75" x14ac:dyDescent="0.2">
      <c r="B64514" s="1168"/>
    </row>
    <row r="64515" spans="2:2" s="221" customFormat="1" ht="12.75" x14ac:dyDescent="0.2">
      <c r="B64515" s="1168"/>
    </row>
    <row r="64516" spans="2:2" s="221" customFormat="1" ht="12.75" x14ac:dyDescent="0.2">
      <c r="B64516" s="1168"/>
    </row>
    <row r="64517" spans="2:2" s="221" customFormat="1" ht="12.75" x14ac:dyDescent="0.2">
      <c r="B64517" s="1168"/>
    </row>
    <row r="64518" spans="2:2" s="221" customFormat="1" ht="12.75" x14ac:dyDescent="0.2">
      <c r="B64518" s="1168"/>
    </row>
    <row r="64519" spans="2:2" s="221" customFormat="1" ht="12.75" x14ac:dyDescent="0.2">
      <c r="B64519" s="1168"/>
    </row>
    <row r="64520" spans="2:2" s="221" customFormat="1" ht="12.75" x14ac:dyDescent="0.2">
      <c r="B64520" s="1168"/>
    </row>
    <row r="64521" spans="2:2" s="221" customFormat="1" ht="12.75" x14ac:dyDescent="0.2">
      <c r="B64521" s="1168"/>
    </row>
    <row r="64522" spans="2:2" s="221" customFormat="1" ht="12.75" x14ac:dyDescent="0.2">
      <c r="B64522" s="1168"/>
    </row>
    <row r="64523" spans="2:2" s="221" customFormat="1" ht="12.75" x14ac:dyDescent="0.2">
      <c r="B64523" s="1168"/>
    </row>
    <row r="64524" spans="2:2" s="221" customFormat="1" ht="12.75" x14ac:dyDescent="0.2">
      <c r="B64524" s="1168"/>
    </row>
    <row r="64525" spans="2:2" s="221" customFormat="1" ht="12.75" x14ac:dyDescent="0.2">
      <c r="B64525" s="1168"/>
    </row>
    <row r="64526" spans="2:2" s="221" customFormat="1" ht="12.75" x14ac:dyDescent="0.2">
      <c r="B64526" s="1168"/>
    </row>
    <row r="64527" spans="2:2" s="221" customFormat="1" ht="12.75" x14ac:dyDescent="0.2">
      <c r="B64527" s="1168"/>
    </row>
    <row r="64528" spans="2:2" s="221" customFormat="1" ht="12.75" x14ac:dyDescent="0.2">
      <c r="B64528" s="1168"/>
    </row>
    <row r="64529" spans="2:2" s="221" customFormat="1" ht="12.75" x14ac:dyDescent="0.2">
      <c r="B64529" s="1168"/>
    </row>
    <row r="64530" spans="2:2" s="221" customFormat="1" ht="12.75" x14ac:dyDescent="0.2">
      <c r="B64530" s="1168"/>
    </row>
    <row r="64531" spans="2:2" s="221" customFormat="1" ht="12.75" x14ac:dyDescent="0.2">
      <c r="B64531" s="1168"/>
    </row>
    <row r="64532" spans="2:2" s="221" customFormat="1" ht="12.75" x14ac:dyDescent="0.2">
      <c r="B64532" s="1168"/>
    </row>
    <row r="64533" spans="2:2" s="221" customFormat="1" ht="12.75" x14ac:dyDescent="0.2">
      <c r="B64533" s="1168"/>
    </row>
    <row r="64534" spans="2:2" s="221" customFormat="1" ht="12.75" x14ac:dyDescent="0.2">
      <c r="B64534" s="1168"/>
    </row>
    <row r="64535" spans="2:2" s="221" customFormat="1" ht="12.75" x14ac:dyDescent="0.2">
      <c r="B64535" s="1168"/>
    </row>
    <row r="64536" spans="2:2" s="221" customFormat="1" ht="12.75" x14ac:dyDescent="0.2">
      <c r="B64536" s="1168"/>
    </row>
    <row r="64537" spans="2:2" s="221" customFormat="1" ht="12.75" x14ac:dyDescent="0.2">
      <c r="B64537" s="1168"/>
    </row>
    <row r="64538" spans="2:2" s="221" customFormat="1" ht="12.75" x14ac:dyDescent="0.2">
      <c r="B64538" s="1168"/>
    </row>
    <row r="64539" spans="2:2" s="221" customFormat="1" ht="12.75" x14ac:dyDescent="0.2">
      <c r="B64539" s="1168"/>
    </row>
    <row r="64540" spans="2:2" s="221" customFormat="1" ht="12.75" x14ac:dyDescent="0.2">
      <c r="B64540" s="1168"/>
    </row>
    <row r="64541" spans="2:2" s="221" customFormat="1" ht="12.75" x14ac:dyDescent="0.2">
      <c r="B64541" s="1168"/>
    </row>
    <row r="64542" spans="2:2" s="221" customFormat="1" ht="12.75" x14ac:dyDescent="0.2">
      <c r="B64542" s="1168"/>
    </row>
    <row r="64543" spans="2:2" s="221" customFormat="1" ht="12.75" x14ac:dyDescent="0.2">
      <c r="B64543" s="1168"/>
    </row>
    <row r="64544" spans="2:2" s="221" customFormat="1" ht="12.75" x14ac:dyDescent="0.2">
      <c r="B64544" s="1168"/>
    </row>
    <row r="64545" spans="2:2" s="221" customFormat="1" ht="12.75" x14ac:dyDescent="0.2">
      <c r="B64545" s="1168"/>
    </row>
    <row r="64546" spans="2:2" s="221" customFormat="1" ht="12.75" x14ac:dyDescent="0.2">
      <c r="B64546" s="1168"/>
    </row>
    <row r="64547" spans="2:2" s="221" customFormat="1" ht="12.75" x14ac:dyDescent="0.2">
      <c r="B64547" s="1168"/>
    </row>
    <row r="64548" spans="2:2" s="221" customFormat="1" ht="12.75" x14ac:dyDescent="0.2">
      <c r="B64548" s="1168"/>
    </row>
    <row r="64549" spans="2:2" s="221" customFormat="1" ht="12.75" x14ac:dyDescent="0.2">
      <c r="B64549" s="1168"/>
    </row>
    <row r="64550" spans="2:2" s="221" customFormat="1" ht="12.75" x14ac:dyDescent="0.2">
      <c r="B64550" s="1168"/>
    </row>
    <row r="64551" spans="2:2" s="221" customFormat="1" ht="12.75" x14ac:dyDescent="0.2">
      <c r="B64551" s="1168"/>
    </row>
    <row r="64552" spans="2:2" s="221" customFormat="1" ht="12.75" x14ac:dyDescent="0.2">
      <c r="B64552" s="1168"/>
    </row>
    <row r="64553" spans="2:2" s="221" customFormat="1" ht="12.75" x14ac:dyDescent="0.2">
      <c r="B64553" s="1168"/>
    </row>
    <row r="64554" spans="2:2" s="221" customFormat="1" ht="12.75" x14ac:dyDescent="0.2">
      <c r="B64554" s="1168"/>
    </row>
    <row r="64555" spans="2:2" s="221" customFormat="1" ht="12.75" x14ac:dyDescent="0.2">
      <c r="B64555" s="1168"/>
    </row>
    <row r="64556" spans="2:2" s="221" customFormat="1" ht="12.75" x14ac:dyDescent="0.2">
      <c r="B64556" s="1168"/>
    </row>
    <row r="64557" spans="2:2" s="221" customFormat="1" ht="12.75" x14ac:dyDescent="0.2">
      <c r="B64557" s="1168"/>
    </row>
    <row r="64558" spans="2:2" s="221" customFormat="1" ht="12.75" x14ac:dyDescent="0.2">
      <c r="B64558" s="1168"/>
    </row>
    <row r="64559" spans="2:2" s="221" customFormat="1" ht="12.75" x14ac:dyDescent="0.2">
      <c r="B64559" s="1168"/>
    </row>
    <row r="64560" spans="2:2" s="221" customFormat="1" ht="12.75" x14ac:dyDescent="0.2">
      <c r="B64560" s="1168"/>
    </row>
    <row r="64561" spans="2:2" s="221" customFormat="1" ht="12.75" x14ac:dyDescent="0.2">
      <c r="B64561" s="1168"/>
    </row>
    <row r="64562" spans="2:2" s="221" customFormat="1" ht="12.75" x14ac:dyDescent="0.2">
      <c r="B64562" s="1168"/>
    </row>
    <row r="64563" spans="2:2" s="221" customFormat="1" ht="12.75" x14ac:dyDescent="0.2">
      <c r="B64563" s="1168"/>
    </row>
    <row r="64564" spans="2:2" s="221" customFormat="1" ht="12.75" x14ac:dyDescent="0.2">
      <c r="B64564" s="1168"/>
    </row>
    <row r="64565" spans="2:2" s="221" customFormat="1" ht="12.75" x14ac:dyDescent="0.2">
      <c r="B64565" s="1168"/>
    </row>
    <row r="64566" spans="2:2" s="221" customFormat="1" ht="12.75" x14ac:dyDescent="0.2">
      <c r="B64566" s="1168"/>
    </row>
    <row r="64567" spans="2:2" s="221" customFormat="1" ht="12.75" x14ac:dyDescent="0.2">
      <c r="B64567" s="1168"/>
    </row>
    <row r="64568" spans="2:2" s="221" customFormat="1" ht="12.75" x14ac:dyDescent="0.2">
      <c r="B64568" s="1168"/>
    </row>
    <row r="64569" spans="2:2" s="221" customFormat="1" ht="12.75" x14ac:dyDescent="0.2">
      <c r="B64569" s="1168"/>
    </row>
    <row r="64570" spans="2:2" s="221" customFormat="1" ht="12.75" x14ac:dyDescent="0.2">
      <c r="B64570" s="1168"/>
    </row>
    <row r="64571" spans="2:2" s="221" customFormat="1" ht="12.75" x14ac:dyDescent="0.2">
      <c r="B64571" s="1168"/>
    </row>
    <row r="64572" spans="2:2" s="221" customFormat="1" ht="12.75" x14ac:dyDescent="0.2">
      <c r="B64572" s="1168"/>
    </row>
    <row r="64573" spans="2:2" s="221" customFormat="1" ht="12.75" x14ac:dyDescent="0.2">
      <c r="B64573" s="1168"/>
    </row>
    <row r="64574" spans="2:2" s="221" customFormat="1" ht="12.75" x14ac:dyDescent="0.2">
      <c r="B64574" s="1168"/>
    </row>
    <row r="64575" spans="2:2" s="221" customFormat="1" ht="12.75" x14ac:dyDescent="0.2">
      <c r="B64575" s="1168"/>
    </row>
    <row r="64576" spans="2:2" s="221" customFormat="1" ht="12.75" x14ac:dyDescent="0.2">
      <c r="B64576" s="1168"/>
    </row>
    <row r="64577" spans="2:2" s="221" customFormat="1" ht="12.75" x14ac:dyDescent="0.2">
      <c r="B64577" s="1168"/>
    </row>
    <row r="64578" spans="2:2" s="221" customFormat="1" ht="12.75" x14ac:dyDescent="0.2">
      <c r="B64578" s="1168"/>
    </row>
    <row r="64579" spans="2:2" s="221" customFormat="1" ht="12.75" x14ac:dyDescent="0.2">
      <c r="B64579" s="1168"/>
    </row>
    <row r="64580" spans="2:2" s="221" customFormat="1" ht="12.75" x14ac:dyDescent="0.2">
      <c r="B64580" s="1168"/>
    </row>
    <row r="64581" spans="2:2" s="221" customFormat="1" ht="12.75" x14ac:dyDescent="0.2">
      <c r="B64581" s="1168"/>
    </row>
    <row r="64582" spans="2:2" s="221" customFormat="1" ht="12.75" x14ac:dyDescent="0.2">
      <c r="B64582" s="1168"/>
    </row>
    <row r="64583" spans="2:2" s="221" customFormat="1" ht="12.75" x14ac:dyDescent="0.2">
      <c r="B64583" s="1168"/>
    </row>
    <row r="64584" spans="2:2" s="221" customFormat="1" ht="12.75" x14ac:dyDescent="0.2">
      <c r="B64584" s="1168"/>
    </row>
    <row r="64585" spans="2:2" s="221" customFormat="1" ht="12.75" x14ac:dyDescent="0.2">
      <c r="B64585" s="1168"/>
    </row>
    <row r="64586" spans="2:2" s="221" customFormat="1" ht="12.75" x14ac:dyDescent="0.2">
      <c r="B64586" s="1168"/>
    </row>
    <row r="64587" spans="2:2" s="221" customFormat="1" ht="12.75" x14ac:dyDescent="0.2">
      <c r="B64587" s="1168"/>
    </row>
    <row r="64588" spans="2:2" s="221" customFormat="1" ht="12.75" x14ac:dyDescent="0.2">
      <c r="B64588" s="1168"/>
    </row>
    <row r="64589" spans="2:2" s="221" customFormat="1" ht="12.75" x14ac:dyDescent="0.2">
      <c r="B64589" s="1168"/>
    </row>
    <row r="64590" spans="2:2" s="221" customFormat="1" ht="12.75" x14ac:dyDescent="0.2">
      <c r="B64590" s="1168"/>
    </row>
    <row r="64591" spans="2:2" s="221" customFormat="1" ht="12.75" x14ac:dyDescent="0.2">
      <c r="B64591" s="1168"/>
    </row>
    <row r="64592" spans="2:2" s="221" customFormat="1" ht="12.75" x14ac:dyDescent="0.2">
      <c r="B64592" s="1168"/>
    </row>
    <row r="64593" spans="2:2" s="221" customFormat="1" ht="12.75" x14ac:dyDescent="0.2">
      <c r="B64593" s="1168"/>
    </row>
    <row r="64594" spans="2:2" s="221" customFormat="1" ht="12.75" x14ac:dyDescent="0.2">
      <c r="B64594" s="1168"/>
    </row>
    <row r="64595" spans="2:2" s="221" customFormat="1" ht="12.75" x14ac:dyDescent="0.2">
      <c r="B64595" s="1168"/>
    </row>
    <row r="64596" spans="2:2" s="221" customFormat="1" ht="12.75" x14ac:dyDescent="0.2">
      <c r="B64596" s="1168"/>
    </row>
    <row r="64597" spans="2:2" s="221" customFormat="1" ht="12.75" x14ac:dyDescent="0.2">
      <c r="B64597" s="1168"/>
    </row>
    <row r="64598" spans="2:2" s="221" customFormat="1" ht="12.75" x14ac:dyDescent="0.2">
      <c r="B64598" s="1168"/>
    </row>
    <row r="64599" spans="2:2" s="221" customFormat="1" ht="12.75" x14ac:dyDescent="0.2">
      <c r="B64599" s="1168"/>
    </row>
    <row r="64600" spans="2:2" s="221" customFormat="1" ht="12.75" x14ac:dyDescent="0.2">
      <c r="B64600" s="1168"/>
    </row>
    <row r="64601" spans="2:2" s="221" customFormat="1" ht="12.75" x14ac:dyDescent="0.2">
      <c r="B64601" s="1168"/>
    </row>
    <row r="64602" spans="2:2" s="221" customFormat="1" ht="12.75" x14ac:dyDescent="0.2">
      <c r="B64602" s="1168"/>
    </row>
    <row r="64603" spans="2:2" s="221" customFormat="1" ht="12.75" x14ac:dyDescent="0.2">
      <c r="B64603" s="1168"/>
    </row>
    <row r="64604" spans="2:2" s="221" customFormat="1" ht="12.75" x14ac:dyDescent="0.2">
      <c r="B64604" s="1168"/>
    </row>
    <row r="64605" spans="2:2" s="221" customFormat="1" ht="12.75" x14ac:dyDescent="0.2">
      <c r="B64605" s="1168"/>
    </row>
    <row r="64606" spans="2:2" s="221" customFormat="1" ht="12.75" x14ac:dyDescent="0.2">
      <c r="B64606" s="1168"/>
    </row>
    <row r="64607" spans="2:2" s="221" customFormat="1" ht="12.75" x14ac:dyDescent="0.2">
      <c r="B64607" s="1168"/>
    </row>
    <row r="64608" spans="2:2" s="221" customFormat="1" ht="12.75" x14ac:dyDescent="0.2">
      <c r="B64608" s="1168"/>
    </row>
    <row r="64609" spans="2:2" s="221" customFormat="1" ht="12.75" x14ac:dyDescent="0.2">
      <c r="B64609" s="1168"/>
    </row>
    <row r="64610" spans="2:2" s="221" customFormat="1" ht="12.75" x14ac:dyDescent="0.2">
      <c r="B64610" s="1168"/>
    </row>
    <row r="64611" spans="2:2" s="221" customFormat="1" ht="12.75" x14ac:dyDescent="0.2">
      <c r="B64611" s="1168"/>
    </row>
    <row r="64612" spans="2:2" s="221" customFormat="1" ht="12.75" x14ac:dyDescent="0.2">
      <c r="B64612" s="1168"/>
    </row>
    <row r="64613" spans="2:2" s="221" customFormat="1" ht="12.75" x14ac:dyDescent="0.2">
      <c r="B64613" s="1168"/>
    </row>
    <row r="64614" spans="2:2" s="221" customFormat="1" ht="12.75" x14ac:dyDescent="0.2">
      <c r="B64614" s="1168"/>
    </row>
    <row r="64615" spans="2:2" s="221" customFormat="1" ht="12.75" x14ac:dyDescent="0.2">
      <c r="B64615" s="1168"/>
    </row>
    <row r="64616" spans="2:2" s="221" customFormat="1" ht="12.75" x14ac:dyDescent="0.2">
      <c r="B64616" s="1168"/>
    </row>
    <row r="64617" spans="2:2" s="221" customFormat="1" ht="12.75" x14ac:dyDescent="0.2">
      <c r="B64617" s="1168"/>
    </row>
    <row r="64618" spans="2:2" s="221" customFormat="1" ht="12.75" x14ac:dyDescent="0.2">
      <c r="B64618" s="1168"/>
    </row>
    <row r="64619" spans="2:2" s="221" customFormat="1" ht="12.75" x14ac:dyDescent="0.2">
      <c r="B64619" s="1168"/>
    </row>
    <row r="64620" spans="2:2" s="221" customFormat="1" ht="12.75" x14ac:dyDescent="0.2">
      <c r="B64620" s="1168"/>
    </row>
    <row r="64621" spans="2:2" s="221" customFormat="1" ht="12.75" x14ac:dyDescent="0.2">
      <c r="B64621" s="1168"/>
    </row>
    <row r="64622" spans="2:2" s="221" customFormat="1" ht="12.75" x14ac:dyDescent="0.2">
      <c r="B64622" s="1168"/>
    </row>
    <row r="64623" spans="2:2" s="221" customFormat="1" ht="12.75" x14ac:dyDescent="0.2">
      <c r="B64623" s="1168"/>
    </row>
    <row r="64624" spans="2:2" s="221" customFormat="1" ht="12.75" x14ac:dyDescent="0.2">
      <c r="B64624" s="1168"/>
    </row>
    <row r="64625" spans="2:2" s="221" customFormat="1" ht="12.75" x14ac:dyDescent="0.2">
      <c r="B64625" s="1168"/>
    </row>
    <row r="64626" spans="2:2" s="221" customFormat="1" ht="12.75" x14ac:dyDescent="0.2">
      <c r="B64626" s="1168"/>
    </row>
    <row r="64627" spans="2:2" s="221" customFormat="1" ht="12.75" x14ac:dyDescent="0.2">
      <c r="B64627" s="1168"/>
    </row>
    <row r="64628" spans="2:2" s="221" customFormat="1" ht="12.75" x14ac:dyDescent="0.2">
      <c r="B64628" s="1168"/>
    </row>
    <row r="64629" spans="2:2" s="221" customFormat="1" ht="12.75" x14ac:dyDescent="0.2">
      <c r="B64629" s="1168"/>
    </row>
    <row r="64630" spans="2:2" s="221" customFormat="1" ht="12.75" x14ac:dyDescent="0.2">
      <c r="B64630" s="1168"/>
    </row>
    <row r="64631" spans="2:2" s="221" customFormat="1" ht="12.75" x14ac:dyDescent="0.2">
      <c r="B64631" s="1168"/>
    </row>
    <row r="64632" spans="2:2" s="221" customFormat="1" ht="12.75" x14ac:dyDescent="0.2">
      <c r="B64632" s="1168"/>
    </row>
    <row r="64633" spans="2:2" s="221" customFormat="1" ht="12.75" x14ac:dyDescent="0.2">
      <c r="B64633" s="1168"/>
    </row>
    <row r="64634" spans="2:2" s="221" customFormat="1" ht="12.75" x14ac:dyDescent="0.2">
      <c r="B64634" s="1168"/>
    </row>
    <row r="64635" spans="2:2" s="221" customFormat="1" ht="12.75" x14ac:dyDescent="0.2">
      <c r="B64635" s="1168"/>
    </row>
    <row r="64636" spans="2:2" s="221" customFormat="1" ht="12.75" x14ac:dyDescent="0.2">
      <c r="B64636" s="1168"/>
    </row>
    <row r="64637" spans="2:2" s="221" customFormat="1" ht="12.75" x14ac:dyDescent="0.2">
      <c r="B64637" s="1168"/>
    </row>
    <row r="64638" spans="2:2" s="221" customFormat="1" ht="12.75" x14ac:dyDescent="0.2">
      <c r="B64638" s="1168"/>
    </row>
    <row r="64639" spans="2:2" s="221" customFormat="1" ht="12.75" x14ac:dyDescent="0.2">
      <c r="B64639" s="1168"/>
    </row>
    <row r="64640" spans="2:2" s="221" customFormat="1" ht="12.75" x14ac:dyDescent="0.2">
      <c r="B64640" s="1168"/>
    </row>
    <row r="64641" spans="2:2" s="221" customFormat="1" ht="12.75" x14ac:dyDescent="0.2">
      <c r="B64641" s="1168"/>
    </row>
    <row r="64642" spans="2:2" s="221" customFormat="1" ht="12.75" x14ac:dyDescent="0.2">
      <c r="B64642" s="1168"/>
    </row>
    <row r="64643" spans="2:2" s="221" customFormat="1" ht="12.75" x14ac:dyDescent="0.2">
      <c r="B64643" s="1168"/>
    </row>
    <row r="64644" spans="2:2" s="221" customFormat="1" ht="12.75" x14ac:dyDescent="0.2">
      <c r="B64644" s="1168"/>
    </row>
    <row r="64645" spans="2:2" s="221" customFormat="1" ht="12.75" x14ac:dyDescent="0.2">
      <c r="B64645" s="1168"/>
    </row>
    <row r="64646" spans="2:2" s="221" customFormat="1" ht="12.75" x14ac:dyDescent="0.2">
      <c r="B64646" s="1168"/>
    </row>
    <row r="64647" spans="2:2" s="221" customFormat="1" ht="12.75" x14ac:dyDescent="0.2">
      <c r="B64647" s="1168"/>
    </row>
    <row r="64648" spans="2:2" s="221" customFormat="1" ht="12.75" x14ac:dyDescent="0.2">
      <c r="B64648" s="1168"/>
    </row>
    <row r="64649" spans="2:2" s="221" customFormat="1" ht="12.75" x14ac:dyDescent="0.2">
      <c r="B64649" s="1168"/>
    </row>
    <row r="64650" spans="2:2" s="221" customFormat="1" ht="12.75" x14ac:dyDescent="0.2">
      <c r="B64650" s="1168"/>
    </row>
    <row r="64651" spans="2:2" s="221" customFormat="1" ht="12.75" x14ac:dyDescent="0.2">
      <c r="B64651" s="1168"/>
    </row>
    <row r="64652" spans="2:2" s="221" customFormat="1" ht="12.75" x14ac:dyDescent="0.2">
      <c r="B64652" s="1168"/>
    </row>
    <row r="64653" spans="2:2" s="221" customFormat="1" ht="12.75" x14ac:dyDescent="0.2">
      <c r="B64653" s="1168"/>
    </row>
    <row r="64654" spans="2:2" s="221" customFormat="1" ht="12.75" x14ac:dyDescent="0.2">
      <c r="B64654" s="1168"/>
    </row>
    <row r="64655" spans="2:2" s="221" customFormat="1" ht="12.75" x14ac:dyDescent="0.2">
      <c r="B64655" s="1168"/>
    </row>
    <row r="64656" spans="2:2" s="221" customFormat="1" ht="12.75" x14ac:dyDescent="0.2">
      <c r="B64656" s="1168"/>
    </row>
    <row r="64657" spans="2:2" s="221" customFormat="1" ht="12.75" x14ac:dyDescent="0.2">
      <c r="B64657" s="1168"/>
    </row>
    <row r="64658" spans="2:2" s="221" customFormat="1" ht="12.75" x14ac:dyDescent="0.2">
      <c r="B64658" s="1168"/>
    </row>
    <row r="64659" spans="2:2" s="221" customFormat="1" ht="12.75" x14ac:dyDescent="0.2">
      <c r="B64659" s="1168"/>
    </row>
    <row r="64660" spans="2:2" s="221" customFormat="1" ht="12.75" x14ac:dyDescent="0.2">
      <c r="B64660" s="1168"/>
    </row>
    <row r="64661" spans="2:2" s="221" customFormat="1" ht="12.75" x14ac:dyDescent="0.2">
      <c r="B64661" s="1168"/>
    </row>
    <row r="64662" spans="2:2" s="221" customFormat="1" ht="12.75" x14ac:dyDescent="0.2">
      <c r="B64662" s="1168"/>
    </row>
    <row r="64663" spans="2:2" s="221" customFormat="1" ht="12.75" x14ac:dyDescent="0.2">
      <c r="B64663" s="1168"/>
    </row>
    <row r="64664" spans="2:2" s="221" customFormat="1" ht="12.75" x14ac:dyDescent="0.2">
      <c r="B64664" s="1168"/>
    </row>
    <row r="64665" spans="2:2" s="221" customFormat="1" ht="12.75" x14ac:dyDescent="0.2">
      <c r="B64665" s="1168"/>
    </row>
    <row r="64666" spans="2:2" s="221" customFormat="1" ht="12.75" x14ac:dyDescent="0.2">
      <c r="B64666" s="1168"/>
    </row>
    <row r="64667" spans="2:2" s="221" customFormat="1" ht="12.75" x14ac:dyDescent="0.2">
      <c r="B64667" s="1168"/>
    </row>
    <row r="64668" spans="2:2" s="221" customFormat="1" ht="12.75" x14ac:dyDescent="0.2">
      <c r="B64668" s="1168"/>
    </row>
    <row r="64669" spans="2:2" s="221" customFormat="1" ht="12.75" x14ac:dyDescent="0.2">
      <c r="B64669" s="1168"/>
    </row>
    <row r="64670" spans="2:2" s="221" customFormat="1" ht="12.75" x14ac:dyDescent="0.2">
      <c r="B64670" s="1168"/>
    </row>
    <row r="64671" spans="2:2" s="221" customFormat="1" ht="12.75" x14ac:dyDescent="0.2">
      <c r="B64671" s="1168"/>
    </row>
    <row r="64672" spans="2:2" s="221" customFormat="1" ht="12.75" x14ac:dyDescent="0.2">
      <c r="B64672" s="1168"/>
    </row>
    <row r="64673" spans="2:2" s="221" customFormat="1" ht="12.75" x14ac:dyDescent="0.2">
      <c r="B64673" s="1168"/>
    </row>
    <row r="64674" spans="2:2" s="221" customFormat="1" ht="12.75" x14ac:dyDescent="0.2">
      <c r="B64674" s="1168"/>
    </row>
    <row r="64675" spans="2:2" s="221" customFormat="1" ht="12.75" x14ac:dyDescent="0.2">
      <c r="B64675" s="1168"/>
    </row>
    <row r="64676" spans="2:2" s="221" customFormat="1" ht="12.75" x14ac:dyDescent="0.2">
      <c r="B64676" s="1168"/>
    </row>
    <row r="64677" spans="2:2" s="221" customFormat="1" ht="12.75" x14ac:dyDescent="0.2">
      <c r="B64677" s="1168"/>
    </row>
    <row r="64678" spans="2:2" s="221" customFormat="1" ht="12.75" x14ac:dyDescent="0.2">
      <c r="B64678" s="1168"/>
    </row>
    <row r="64679" spans="2:2" s="221" customFormat="1" ht="12.75" x14ac:dyDescent="0.2">
      <c r="B64679" s="1168"/>
    </row>
    <row r="64680" spans="2:2" s="221" customFormat="1" ht="12.75" x14ac:dyDescent="0.2">
      <c r="B64680" s="1168"/>
    </row>
    <row r="64681" spans="2:2" s="221" customFormat="1" ht="12.75" x14ac:dyDescent="0.2">
      <c r="B64681" s="1168"/>
    </row>
    <row r="64682" spans="2:2" s="221" customFormat="1" ht="12.75" x14ac:dyDescent="0.2">
      <c r="B64682" s="1168"/>
    </row>
    <row r="64683" spans="2:2" s="221" customFormat="1" ht="12.75" x14ac:dyDescent="0.2">
      <c r="B64683" s="1168"/>
    </row>
    <row r="64684" spans="2:2" s="221" customFormat="1" ht="12.75" x14ac:dyDescent="0.2">
      <c r="B64684" s="1168"/>
    </row>
    <row r="64685" spans="2:2" s="221" customFormat="1" ht="12.75" x14ac:dyDescent="0.2">
      <c r="B64685" s="1168"/>
    </row>
    <row r="64686" spans="2:2" s="221" customFormat="1" ht="12.75" x14ac:dyDescent="0.2">
      <c r="B64686" s="1168"/>
    </row>
    <row r="64687" spans="2:2" s="221" customFormat="1" ht="12.75" x14ac:dyDescent="0.2">
      <c r="B64687" s="1168"/>
    </row>
    <row r="64688" spans="2:2" s="221" customFormat="1" ht="12.75" x14ac:dyDescent="0.2">
      <c r="B64688" s="1168"/>
    </row>
    <row r="64689" spans="2:2" s="221" customFormat="1" ht="12.75" x14ac:dyDescent="0.2">
      <c r="B64689" s="1168"/>
    </row>
    <row r="64690" spans="2:2" s="221" customFormat="1" ht="12.75" x14ac:dyDescent="0.2">
      <c r="B64690" s="1168"/>
    </row>
    <row r="64691" spans="2:2" s="221" customFormat="1" ht="12.75" x14ac:dyDescent="0.2">
      <c r="B64691" s="1168"/>
    </row>
    <row r="64692" spans="2:2" s="221" customFormat="1" ht="12.75" x14ac:dyDescent="0.2">
      <c r="B64692" s="1168"/>
    </row>
    <row r="64693" spans="2:2" s="221" customFormat="1" ht="12.75" x14ac:dyDescent="0.2">
      <c r="B64693" s="1168"/>
    </row>
    <row r="64694" spans="2:2" s="221" customFormat="1" ht="12.75" x14ac:dyDescent="0.2">
      <c r="B64694" s="1168"/>
    </row>
    <row r="64695" spans="2:2" s="221" customFormat="1" ht="12.75" x14ac:dyDescent="0.2">
      <c r="B64695" s="1168"/>
    </row>
    <row r="64696" spans="2:2" s="221" customFormat="1" ht="12.75" x14ac:dyDescent="0.2">
      <c r="B64696" s="1168"/>
    </row>
    <row r="64697" spans="2:2" s="221" customFormat="1" ht="12.75" x14ac:dyDescent="0.2">
      <c r="B64697" s="1168"/>
    </row>
    <row r="64698" spans="2:2" s="221" customFormat="1" ht="12.75" x14ac:dyDescent="0.2">
      <c r="B64698" s="1168"/>
    </row>
    <row r="64699" spans="2:2" s="221" customFormat="1" ht="12.75" x14ac:dyDescent="0.2">
      <c r="B64699" s="1168"/>
    </row>
    <row r="64700" spans="2:2" s="221" customFormat="1" ht="12.75" x14ac:dyDescent="0.2">
      <c r="B64700" s="1168"/>
    </row>
    <row r="64701" spans="2:2" s="221" customFormat="1" ht="12.75" x14ac:dyDescent="0.2">
      <c r="B64701" s="1168"/>
    </row>
    <row r="64702" spans="2:2" s="221" customFormat="1" ht="12.75" x14ac:dyDescent="0.2">
      <c r="B64702" s="1168"/>
    </row>
    <row r="64703" spans="2:2" s="221" customFormat="1" ht="12.75" x14ac:dyDescent="0.2">
      <c r="B64703" s="1168"/>
    </row>
    <row r="64704" spans="2:2" s="221" customFormat="1" ht="12.75" x14ac:dyDescent="0.2">
      <c r="B64704" s="1168"/>
    </row>
    <row r="64705" spans="2:2" s="221" customFormat="1" ht="12.75" x14ac:dyDescent="0.2">
      <c r="B64705" s="1168"/>
    </row>
    <row r="64706" spans="2:2" s="221" customFormat="1" ht="12.75" x14ac:dyDescent="0.2">
      <c r="B64706" s="1168"/>
    </row>
    <row r="64707" spans="2:2" s="221" customFormat="1" ht="12.75" x14ac:dyDescent="0.2">
      <c r="B64707" s="1168"/>
    </row>
    <row r="64708" spans="2:2" s="221" customFormat="1" ht="12.75" x14ac:dyDescent="0.2">
      <c r="B64708" s="1168"/>
    </row>
    <row r="64709" spans="2:2" s="221" customFormat="1" ht="12.75" x14ac:dyDescent="0.2">
      <c r="B64709" s="1168"/>
    </row>
    <row r="64710" spans="2:2" s="221" customFormat="1" ht="12.75" x14ac:dyDescent="0.2">
      <c r="B64710" s="1168"/>
    </row>
    <row r="64711" spans="2:2" s="221" customFormat="1" ht="12.75" x14ac:dyDescent="0.2">
      <c r="B64711" s="1168"/>
    </row>
    <row r="64712" spans="2:2" s="221" customFormat="1" ht="12.75" x14ac:dyDescent="0.2">
      <c r="B64712" s="1168"/>
    </row>
    <row r="64713" spans="2:2" s="221" customFormat="1" ht="12.75" x14ac:dyDescent="0.2">
      <c r="B64713" s="1168"/>
    </row>
    <row r="64714" spans="2:2" s="221" customFormat="1" ht="12.75" x14ac:dyDescent="0.2">
      <c r="B64714" s="1168"/>
    </row>
    <row r="64715" spans="2:2" s="221" customFormat="1" ht="12.75" x14ac:dyDescent="0.2">
      <c r="B64715" s="1168"/>
    </row>
    <row r="64716" spans="2:2" s="221" customFormat="1" ht="12.75" x14ac:dyDescent="0.2">
      <c r="B64716" s="1168"/>
    </row>
    <row r="64717" spans="2:2" s="221" customFormat="1" ht="12.75" x14ac:dyDescent="0.2">
      <c r="B64717" s="1168"/>
    </row>
    <row r="64718" spans="2:2" s="221" customFormat="1" ht="12.75" x14ac:dyDescent="0.2">
      <c r="B64718" s="1168"/>
    </row>
    <row r="64719" spans="2:2" s="221" customFormat="1" ht="12.75" x14ac:dyDescent="0.2">
      <c r="B64719" s="1168"/>
    </row>
    <row r="64720" spans="2:2" s="221" customFormat="1" ht="12.75" x14ac:dyDescent="0.2">
      <c r="B64720" s="1168"/>
    </row>
    <row r="64721" spans="2:2" s="221" customFormat="1" ht="12.75" x14ac:dyDescent="0.2">
      <c r="B64721" s="1168"/>
    </row>
    <row r="64722" spans="2:2" s="221" customFormat="1" ht="12.75" x14ac:dyDescent="0.2">
      <c r="B64722" s="1168"/>
    </row>
    <row r="64723" spans="2:2" s="221" customFormat="1" ht="12.75" x14ac:dyDescent="0.2">
      <c r="B64723" s="1168"/>
    </row>
    <row r="64724" spans="2:2" s="221" customFormat="1" ht="12.75" x14ac:dyDescent="0.2">
      <c r="B64724" s="1168"/>
    </row>
    <row r="64725" spans="2:2" s="221" customFormat="1" ht="12.75" x14ac:dyDescent="0.2">
      <c r="B64725" s="1168"/>
    </row>
    <row r="64726" spans="2:2" s="221" customFormat="1" ht="12.75" x14ac:dyDescent="0.2">
      <c r="B64726" s="1168"/>
    </row>
    <row r="64727" spans="2:2" s="221" customFormat="1" ht="12.75" x14ac:dyDescent="0.2">
      <c r="B64727" s="1168"/>
    </row>
    <row r="64728" spans="2:2" s="221" customFormat="1" ht="12.75" x14ac:dyDescent="0.2">
      <c r="B64728" s="1168"/>
    </row>
    <row r="64729" spans="2:2" s="221" customFormat="1" ht="12.75" x14ac:dyDescent="0.2">
      <c r="B64729" s="1168"/>
    </row>
    <row r="64730" spans="2:2" s="221" customFormat="1" ht="12.75" x14ac:dyDescent="0.2">
      <c r="B64730" s="1168"/>
    </row>
    <row r="64731" spans="2:2" s="221" customFormat="1" ht="12.75" x14ac:dyDescent="0.2">
      <c r="B64731" s="1168"/>
    </row>
    <row r="64732" spans="2:2" s="221" customFormat="1" ht="12.75" x14ac:dyDescent="0.2">
      <c r="B64732" s="1168"/>
    </row>
    <row r="64733" spans="2:2" s="221" customFormat="1" ht="12.75" x14ac:dyDescent="0.2">
      <c r="B64733" s="1168"/>
    </row>
    <row r="64734" spans="2:2" s="221" customFormat="1" ht="12.75" x14ac:dyDescent="0.2">
      <c r="B64734" s="1168"/>
    </row>
    <row r="64735" spans="2:2" s="221" customFormat="1" ht="12.75" x14ac:dyDescent="0.2">
      <c r="B64735" s="1168"/>
    </row>
    <row r="64736" spans="2:2" s="221" customFormat="1" ht="12.75" x14ac:dyDescent="0.2">
      <c r="B64736" s="1168"/>
    </row>
    <row r="64737" spans="2:2" s="221" customFormat="1" ht="12.75" x14ac:dyDescent="0.2">
      <c r="B64737" s="1168"/>
    </row>
    <row r="64738" spans="2:2" s="221" customFormat="1" ht="12.75" x14ac:dyDescent="0.2">
      <c r="B64738" s="1168"/>
    </row>
    <row r="64739" spans="2:2" s="221" customFormat="1" ht="12.75" x14ac:dyDescent="0.2">
      <c r="B64739" s="1168"/>
    </row>
    <row r="64740" spans="2:2" s="221" customFormat="1" ht="12.75" x14ac:dyDescent="0.2">
      <c r="B64740" s="1168"/>
    </row>
    <row r="64741" spans="2:2" s="221" customFormat="1" ht="12.75" x14ac:dyDescent="0.2">
      <c r="B64741" s="1168"/>
    </row>
    <row r="64742" spans="2:2" s="221" customFormat="1" ht="12.75" x14ac:dyDescent="0.2">
      <c r="B64742" s="1168"/>
    </row>
    <row r="64743" spans="2:2" s="221" customFormat="1" ht="12.75" x14ac:dyDescent="0.2">
      <c r="B64743" s="1168"/>
    </row>
    <row r="64744" spans="2:2" s="221" customFormat="1" ht="12.75" x14ac:dyDescent="0.2">
      <c r="B64744" s="1168"/>
    </row>
    <row r="64745" spans="2:2" s="221" customFormat="1" ht="12.75" x14ac:dyDescent="0.2">
      <c r="B64745" s="1168"/>
    </row>
    <row r="64746" spans="2:2" s="221" customFormat="1" ht="12.75" x14ac:dyDescent="0.2">
      <c r="B64746" s="1168"/>
    </row>
    <row r="64747" spans="2:2" s="221" customFormat="1" ht="12.75" x14ac:dyDescent="0.2">
      <c r="B64747" s="1168"/>
    </row>
    <row r="64748" spans="2:2" s="221" customFormat="1" ht="12.75" x14ac:dyDescent="0.2">
      <c r="B64748" s="1168"/>
    </row>
    <row r="64749" spans="2:2" s="221" customFormat="1" ht="12.75" x14ac:dyDescent="0.2">
      <c r="B64749" s="1168"/>
    </row>
    <row r="64750" spans="2:2" s="221" customFormat="1" ht="12.75" x14ac:dyDescent="0.2">
      <c r="B64750" s="1168"/>
    </row>
    <row r="64751" spans="2:2" s="221" customFormat="1" ht="12.75" x14ac:dyDescent="0.2">
      <c r="B64751" s="1168"/>
    </row>
    <row r="64752" spans="2:2" s="221" customFormat="1" ht="12.75" x14ac:dyDescent="0.2">
      <c r="B64752" s="1168"/>
    </row>
    <row r="64753" spans="2:2" s="221" customFormat="1" ht="12.75" x14ac:dyDescent="0.2">
      <c r="B64753" s="1168"/>
    </row>
    <row r="64754" spans="2:2" s="221" customFormat="1" ht="12.75" x14ac:dyDescent="0.2">
      <c r="B64754" s="1168"/>
    </row>
    <row r="64755" spans="2:2" s="221" customFormat="1" ht="12.75" x14ac:dyDescent="0.2">
      <c r="B64755" s="1168"/>
    </row>
    <row r="64756" spans="2:2" s="221" customFormat="1" ht="12.75" x14ac:dyDescent="0.2">
      <c r="B64756" s="1168"/>
    </row>
    <row r="64757" spans="2:2" s="221" customFormat="1" ht="12.75" x14ac:dyDescent="0.2">
      <c r="B64757" s="1168"/>
    </row>
    <row r="64758" spans="2:2" s="221" customFormat="1" ht="12.75" x14ac:dyDescent="0.2">
      <c r="B64758" s="1168"/>
    </row>
    <row r="64759" spans="2:2" s="221" customFormat="1" ht="12.75" x14ac:dyDescent="0.2">
      <c r="B64759" s="1168"/>
    </row>
    <row r="64760" spans="2:2" s="221" customFormat="1" ht="12.75" x14ac:dyDescent="0.2">
      <c r="B64760" s="1168"/>
    </row>
    <row r="64761" spans="2:2" s="221" customFormat="1" ht="12.75" x14ac:dyDescent="0.2">
      <c r="B64761" s="1168"/>
    </row>
    <row r="64762" spans="2:2" s="221" customFormat="1" ht="12.75" x14ac:dyDescent="0.2">
      <c r="B64762" s="1168"/>
    </row>
    <row r="64763" spans="2:2" s="221" customFormat="1" ht="12.75" x14ac:dyDescent="0.2">
      <c r="B64763" s="1168"/>
    </row>
    <row r="64764" spans="2:2" s="221" customFormat="1" ht="12.75" x14ac:dyDescent="0.2">
      <c r="B64764" s="1168"/>
    </row>
    <row r="64765" spans="2:2" s="221" customFormat="1" ht="12.75" x14ac:dyDescent="0.2">
      <c r="B64765" s="1168"/>
    </row>
    <row r="64766" spans="2:2" s="221" customFormat="1" ht="12.75" x14ac:dyDescent="0.2">
      <c r="B64766" s="1168"/>
    </row>
    <row r="64767" spans="2:2" s="221" customFormat="1" ht="12.75" x14ac:dyDescent="0.2">
      <c r="B64767" s="1168"/>
    </row>
    <row r="64768" spans="2:2" s="221" customFormat="1" ht="12.75" x14ac:dyDescent="0.2">
      <c r="B64768" s="1168"/>
    </row>
    <row r="64769" spans="2:2" s="221" customFormat="1" ht="12.75" x14ac:dyDescent="0.2">
      <c r="B64769" s="1168"/>
    </row>
    <row r="64770" spans="2:2" s="221" customFormat="1" ht="12.75" x14ac:dyDescent="0.2">
      <c r="B64770" s="1168"/>
    </row>
    <row r="64771" spans="2:2" s="221" customFormat="1" ht="12.75" x14ac:dyDescent="0.2">
      <c r="B64771" s="1168"/>
    </row>
    <row r="64772" spans="2:2" s="221" customFormat="1" ht="12.75" x14ac:dyDescent="0.2">
      <c r="B64772" s="1168"/>
    </row>
    <row r="64773" spans="2:2" s="221" customFormat="1" ht="12.75" x14ac:dyDescent="0.2">
      <c r="B64773" s="1168"/>
    </row>
    <row r="64774" spans="2:2" s="221" customFormat="1" ht="12.75" x14ac:dyDescent="0.2">
      <c r="B64774" s="1168"/>
    </row>
    <row r="64775" spans="2:2" s="221" customFormat="1" ht="12.75" x14ac:dyDescent="0.2">
      <c r="B64775" s="1168"/>
    </row>
    <row r="64776" spans="2:2" s="221" customFormat="1" ht="12.75" x14ac:dyDescent="0.2">
      <c r="B64776" s="1168"/>
    </row>
    <row r="64777" spans="2:2" s="221" customFormat="1" ht="12.75" x14ac:dyDescent="0.2">
      <c r="B64777" s="1168"/>
    </row>
    <row r="64778" spans="2:2" s="221" customFormat="1" ht="12.75" x14ac:dyDescent="0.2">
      <c r="B64778" s="1168"/>
    </row>
    <row r="64779" spans="2:2" s="221" customFormat="1" ht="12.75" x14ac:dyDescent="0.2">
      <c r="B64779" s="1168"/>
    </row>
    <row r="64780" spans="2:2" s="221" customFormat="1" ht="12.75" x14ac:dyDescent="0.2">
      <c r="B64780" s="1168"/>
    </row>
    <row r="64781" spans="2:2" s="221" customFormat="1" ht="12.75" x14ac:dyDescent="0.2">
      <c r="B64781" s="1168"/>
    </row>
    <row r="64782" spans="2:2" s="221" customFormat="1" ht="12.75" x14ac:dyDescent="0.2">
      <c r="B64782" s="1168"/>
    </row>
    <row r="64783" spans="2:2" s="221" customFormat="1" ht="12.75" x14ac:dyDescent="0.2">
      <c r="B64783" s="1168"/>
    </row>
    <row r="64784" spans="2:2" s="221" customFormat="1" ht="12.75" x14ac:dyDescent="0.2">
      <c r="B64784" s="1168"/>
    </row>
    <row r="64785" spans="2:2" s="221" customFormat="1" ht="12.75" x14ac:dyDescent="0.2">
      <c r="B64785" s="1168"/>
    </row>
    <row r="64786" spans="2:2" s="221" customFormat="1" ht="12.75" x14ac:dyDescent="0.2">
      <c r="B64786" s="1168"/>
    </row>
    <row r="64787" spans="2:2" s="221" customFormat="1" ht="12.75" x14ac:dyDescent="0.2">
      <c r="B64787" s="1168"/>
    </row>
    <row r="64788" spans="2:2" s="221" customFormat="1" ht="12.75" x14ac:dyDescent="0.2">
      <c r="B64788" s="1168"/>
    </row>
    <row r="64789" spans="2:2" s="221" customFormat="1" ht="12.75" x14ac:dyDescent="0.2">
      <c r="B64789" s="1168"/>
    </row>
    <row r="64790" spans="2:2" s="221" customFormat="1" ht="12.75" x14ac:dyDescent="0.2">
      <c r="B64790" s="1168"/>
    </row>
    <row r="64791" spans="2:2" s="221" customFormat="1" ht="12.75" x14ac:dyDescent="0.2">
      <c r="B64791" s="1168"/>
    </row>
    <row r="64792" spans="2:2" s="221" customFormat="1" ht="12.75" x14ac:dyDescent="0.2">
      <c r="B64792" s="1168"/>
    </row>
    <row r="64793" spans="2:2" s="221" customFormat="1" ht="12.75" x14ac:dyDescent="0.2">
      <c r="B64793" s="1168"/>
    </row>
    <row r="64794" spans="2:2" s="221" customFormat="1" ht="12.75" x14ac:dyDescent="0.2">
      <c r="B64794" s="1168"/>
    </row>
    <row r="64795" spans="2:2" s="221" customFormat="1" ht="12.75" x14ac:dyDescent="0.2">
      <c r="B64795" s="1168"/>
    </row>
    <row r="64796" spans="2:2" s="221" customFormat="1" ht="12.75" x14ac:dyDescent="0.2">
      <c r="B64796" s="1168"/>
    </row>
    <row r="64797" spans="2:2" s="221" customFormat="1" ht="12.75" x14ac:dyDescent="0.2">
      <c r="B64797" s="1168"/>
    </row>
    <row r="64798" spans="2:2" s="221" customFormat="1" ht="12.75" x14ac:dyDescent="0.2">
      <c r="B64798" s="1168"/>
    </row>
    <row r="64799" spans="2:2" s="221" customFormat="1" ht="12.75" x14ac:dyDescent="0.2">
      <c r="B64799" s="1168"/>
    </row>
    <row r="64800" spans="2:2" s="221" customFormat="1" ht="12.75" x14ac:dyDescent="0.2">
      <c r="B64800" s="1168"/>
    </row>
    <row r="64801" spans="2:2" s="221" customFormat="1" ht="12.75" x14ac:dyDescent="0.2">
      <c r="B64801" s="1168"/>
    </row>
    <row r="64802" spans="2:2" s="221" customFormat="1" ht="12.75" x14ac:dyDescent="0.2">
      <c r="B64802" s="1168"/>
    </row>
    <row r="64803" spans="2:2" s="221" customFormat="1" ht="12.75" x14ac:dyDescent="0.2">
      <c r="B64803" s="1168"/>
    </row>
    <row r="64804" spans="2:2" s="221" customFormat="1" ht="12.75" x14ac:dyDescent="0.2">
      <c r="B64804" s="1168"/>
    </row>
    <row r="64805" spans="2:2" s="221" customFormat="1" ht="12.75" x14ac:dyDescent="0.2">
      <c r="B64805" s="1168"/>
    </row>
    <row r="64806" spans="2:2" s="221" customFormat="1" ht="12.75" x14ac:dyDescent="0.2">
      <c r="B64806" s="1168"/>
    </row>
    <row r="64807" spans="2:2" s="221" customFormat="1" ht="12.75" x14ac:dyDescent="0.2">
      <c r="B64807" s="1168"/>
    </row>
    <row r="64808" spans="2:2" s="221" customFormat="1" ht="12.75" x14ac:dyDescent="0.2">
      <c r="B64808" s="1168"/>
    </row>
    <row r="64809" spans="2:2" s="221" customFormat="1" ht="12.75" x14ac:dyDescent="0.2">
      <c r="B64809" s="1168"/>
    </row>
    <row r="64810" spans="2:2" s="221" customFormat="1" ht="12.75" x14ac:dyDescent="0.2">
      <c r="B64810" s="1168"/>
    </row>
    <row r="64811" spans="2:2" s="221" customFormat="1" ht="12.75" x14ac:dyDescent="0.2">
      <c r="B64811" s="1168"/>
    </row>
    <row r="64812" spans="2:2" s="221" customFormat="1" ht="12.75" x14ac:dyDescent="0.2">
      <c r="B64812" s="1168"/>
    </row>
    <row r="64813" spans="2:2" s="221" customFormat="1" ht="12.75" x14ac:dyDescent="0.2">
      <c r="B64813" s="1168"/>
    </row>
    <row r="64814" spans="2:2" s="221" customFormat="1" ht="12.75" x14ac:dyDescent="0.2">
      <c r="B64814" s="1168"/>
    </row>
    <row r="64815" spans="2:2" s="221" customFormat="1" ht="12.75" x14ac:dyDescent="0.2">
      <c r="B64815" s="1168"/>
    </row>
    <row r="64816" spans="2:2" s="221" customFormat="1" ht="12.75" x14ac:dyDescent="0.2">
      <c r="B64816" s="1168"/>
    </row>
    <row r="64817" spans="2:2" s="221" customFormat="1" ht="12.75" x14ac:dyDescent="0.2">
      <c r="B64817" s="1168"/>
    </row>
    <row r="64818" spans="2:2" s="221" customFormat="1" ht="12.75" x14ac:dyDescent="0.2">
      <c r="B64818" s="1168"/>
    </row>
    <row r="64819" spans="2:2" s="221" customFormat="1" ht="12.75" x14ac:dyDescent="0.2">
      <c r="B64819" s="1168"/>
    </row>
    <row r="64820" spans="2:2" s="221" customFormat="1" ht="12.75" x14ac:dyDescent="0.2">
      <c r="B64820" s="1168"/>
    </row>
    <row r="64821" spans="2:2" s="221" customFormat="1" ht="12.75" x14ac:dyDescent="0.2">
      <c r="B64821" s="1168"/>
    </row>
    <row r="64822" spans="2:2" s="221" customFormat="1" ht="12.75" x14ac:dyDescent="0.2">
      <c r="B64822" s="1168"/>
    </row>
    <row r="64823" spans="2:2" s="221" customFormat="1" ht="12.75" x14ac:dyDescent="0.2">
      <c r="B64823" s="1168"/>
    </row>
    <row r="64824" spans="2:2" s="221" customFormat="1" ht="12.75" x14ac:dyDescent="0.2">
      <c r="B64824" s="1168"/>
    </row>
    <row r="64825" spans="2:2" s="221" customFormat="1" ht="12.75" x14ac:dyDescent="0.2">
      <c r="B64825" s="1168"/>
    </row>
    <row r="64826" spans="2:2" s="221" customFormat="1" ht="12.75" x14ac:dyDescent="0.2">
      <c r="B64826" s="1168"/>
    </row>
    <row r="64827" spans="2:2" s="221" customFormat="1" ht="12.75" x14ac:dyDescent="0.2">
      <c r="B64827" s="1168"/>
    </row>
    <row r="64828" spans="2:2" s="221" customFormat="1" ht="12.75" x14ac:dyDescent="0.2">
      <c r="B64828" s="1168"/>
    </row>
    <row r="64829" spans="2:2" s="221" customFormat="1" ht="12.75" x14ac:dyDescent="0.2">
      <c r="B64829" s="1168"/>
    </row>
    <row r="64830" spans="2:2" s="221" customFormat="1" ht="12.75" x14ac:dyDescent="0.2">
      <c r="B64830" s="1168"/>
    </row>
    <row r="64831" spans="2:2" s="221" customFormat="1" ht="12.75" x14ac:dyDescent="0.2">
      <c r="B64831" s="1168"/>
    </row>
    <row r="64832" spans="2:2" s="221" customFormat="1" ht="12.75" x14ac:dyDescent="0.2">
      <c r="B64832" s="1168"/>
    </row>
    <row r="64833" spans="2:2" s="221" customFormat="1" ht="12.75" x14ac:dyDescent="0.2">
      <c r="B64833" s="1168"/>
    </row>
    <row r="64834" spans="2:2" s="221" customFormat="1" ht="12.75" x14ac:dyDescent="0.2">
      <c r="B64834" s="1168"/>
    </row>
    <row r="64835" spans="2:2" s="221" customFormat="1" ht="12.75" x14ac:dyDescent="0.2">
      <c r="B64835" s="1168"/>
    </row>
    <row r="64836" spans="2:2" s="221" customFormat="1" ht="12.75" x14ac:dyDescent="0.2">
      <c r="B64836" s="1168"/>
    </row>
    <row r="64837" spans="2:2" s="221" customFormat="1" ht="12.75" x14ac:dyDescent="0.2">
      <c r="B64837" s="1168"/>
    </row>
    <row r="64838" spans="2:2" s="221" customFormat="1" ht="12.75" x14ac:dyDescent="0.2">
      <c r="B64838" s="1168"/>
    </row>
    <row r="64839" spans="2:2" s="221" customFormat="1" ht="12.75" x14ac:dyDescent="0.2">
      <c r="B64839" s="1168"/>
    </row>
    <row r="64840" spans="2:2" s="221" customFormat="1" ht="12.75" x14ac:dyDescent="0.2">
      <c r="B64840" s="1168"/>
    </row>
    <row r="64841" spans="2:2" s="221" customFormat="1" ht="12.75" x14ac:dyDescent="0.2">
      <c r="B64841" s="1168"/>
    </row>
    <row r="64842" spans="2:2" s="221" customFormat="1" ht="12.75" x14ac:dyDescent="0.2">
      <c r="B64842" s="1168"/>
    </row>
    <row r="64843" spans="2:2" s="221" customFormat="1" ht="12.75" x14ac:dyDescent="0.2">
      <c r="B64843" s="1168"/>
    </row>
    <row r="64844" spans="2:2" s="221" customFormat="1" ht="12.75" x14ac:dyDescent="0.2">
      <c r="B64844" s="1168"/>
    </row>
    <row r="64845" spans="2:2" s="221" customFormat="1" ht="12.75" x14ac:dyDescent="0.2">
      <c r="B64845" s="1168"/>
    </row>
    <row r="64846" spans="2:2" s="221" customFormat="1" ht="12.75" x14ac:dyDescent="0.2">
      <c r="B64846" s="1168"/>
    </row>
    <row r="64847" spans="2:2" s="221" customFormat="1" ht="12.75" x14ac:dyDescent="0.2">
      <c r="B64847" s="1168"/>
    </row>
    <row r="64848" spans="2:2" s="221" customFormat="1" ht="12.75" x14ac:dyDescent="0.2">
      <c r="B64848" s="1168"/>
    </row>
    <row r="64849" spans="2:2" s="221" customFormat="1" ht="12.75" x14ac:dyDescent="0.2">
      <c r="B64849" s="1168"/>
    </row>
    <row r="64850" spans="2:2" s="221" customFormat="1" ht="12.75" x14ac:dyDescent="0.2">
      <c r="B64850" s="1168"/>
    </row>
    <row r="64851" spans="2:2" s="221" customFormat="1" ht="12.75" x14ac:dyDescent="0.2">
      <c r="B64851" s="1168"/>
    </row>
    <row r="64852" spans="2:2" s="221" customFormat="1" ht="12.75" x14ac:dyDescent="0.2">
      <c r="B64852" s="1168"/>
    </row>
    <row r="64853" spans="2:2" s="221" customFormat="1" ht="12.75" x14ac:dyDescent="0.2">
      <c r="B64853" s="1168"/>
    </row>
    <row r="64854" spans="2:2" s="221" customFormat="1" ht="12.75" x14ac:dyDescent="0.2">
      <c r="B64854" s="1168"/>
    </row>
    <row r="64855" spans="2:2" s="221" customFormat="1" ht="12.75" x14ac:dyDescent="0.2">
      <c r="B64855" s="1168"/>
    </row>
    <row r="64856" spans="2:2" s="221" customFormat="1" ht="12.75" x14ac:dyDescent="0.2">
      <c r="B64856" s="1168"/>
    </row>
    <row r="64857" spans="2:2" s="221" customFormat="1" ht="12.75" x14ac:dyDescent="0.2">
      <c r="B64857" s="1168"/>
    </row>
    <row r="64858" spans="2:2" s="221" customFormat="1" ht="12.75" x14ac:dyDescent="0.2">
      <c r="B64858" s="1168"/>
    </row>
    <row r="64859" spans="2:2" s="221" customFormat="1" ht="12.75" x14ac:dyDescent="0.2">
      <c r="B64859" s="1168"/>
    </row>
    <row r="64860" spans="2:2" s="221" customFormat="1" ht="12.75" x14ac:dyDescent="0.2">
      <c r="B64860" s="1168"/>
    </row>
    <row r="64861" spans="2:2" s="221" customFormat="1" ht="12.75" x14ac:dyDescent="0.2">
      <c r="B64861" s="1168"/>
    </row>
    <row r="64862" spans="2:2" s="221" customFormat="1" ht="12.75" x14ac:dyDescent="0.2">
      <c r="B64862" s="1168"/>
    </row>
    <row r="64863" spans="2:2" s="221" customFormat="1" ht="12.75" x14ac:dyDescent="0.2">
      <c r="B64863" s="1168"/>
    </row>
    <row r="64864" spans="2:2" s="221" customFormat="1" ht="12.75" x14ac:dyDescent="0.2">
      <c r="B64864" s="1168"/>
    </row>
    <row r="64865" spans="2:2" s="221" customFormat="1" ht="12.75" x14ac:dyDescent="0.2">
      <c r="B64865" s="1168"/>
    </row>
    <row r="64866" spans="2:2" s="221" customFormat="1" ht="12.75" x14ac:dyDescent="0.2">
      <c r="B64866" s="1168"/>
    </row>
    <row r="64867" spans="2:2" s="221" customFormat="1" ht="12.75" x14ac:dyDescent="0.2">
      <c r="B64867" s="1168"/>
    </row>
    <row r="64868" spans="2:2" s="221" customFormat="1" ht="12.75" x14ac:dyDescent="0.2">
      <c r="B64868" s="1168"/>
    </row>
    <row r="64869" spans="2:2" s="221" customFormat="1" ht="12.75" x14ac:dyDescent="0.2">
      <c r="B64869" s="1168"/>
    </row>
    <row r="64870" spans="2:2" s="221" customFormat="1" ht="12.75" x14ac:dyDescent="0.2">
      <c r="B64870" s="1168"/>
    </row>
    <row r="64871" spans="2:2" s="221" customFormat="1" ht="12.75" x14ac:dyDescent="0.2">
      <c r="B64871" s="1168"/>
    </row>
    <row r="64872" spans="2:2" s="221" customFormat="1" ht="12.75" x14ac:dyDescent="0.2">
      <c r="B64872" s="1168"/>
    </row>
    <row r="64873" spans="2:2" s="221" customFormat="1" ht="12.75" x14ac:dyDescent="0.2">
      <c r="B64873" s="1168"/>
    </row>
    <row r="64874" spans="2:2" s="221" customFormat="1" ht="12.75" x14ac:dyDescent="0.2">
      <c r="B64874" s="1168"/>
    </row>
    <row r="64875" spans="2:2" s="221" customFormat="1" ht="12.75" x14ac:dyDescent="0.2">
      <c r="B64875" s="1168"/>
    </row>
    <row r="64876" spans="2:2" s="221" customFormat="1" ht="12.75" x14ac:dyDescent="0.2">
      <c r="B64876" s="1168"/>
    </row>
    <row r="64877" spans="2:2" s="221" customFormat="1" ht="12.75" x14ac:dyDescent="0.2">
      <c r="B64877" s="1168"/>
    </row>
    <row r="64878" spans="2:2" s="221" customFormat="1" ht="12.75" x14ac:dyDescent="0.2">
      <c r="B64878" s="1168"/>
    </row>
    <row r="64879" spans="2:2" s="221" customFormat="1" ht="12.75" x14ac:dyDescent="0.2">
      <c r="B64879" s="1168"/>
    </row>
    <row r="64880" spans="2:2" s="221" customFormat="1" ht="12.75" x14ac:dyDescent="0.2">
      <c r="B64880" s="1168"/>
    </row>
    <row r="64881" spans="2:2" s="221" customFormat="1" ht="12.75" x14ac:dyDescent="0.2">
      <c r="B64881" s="1168"/>
    </row>
    <row r="64882" spans="2:2" s="221" customFormat="1" ht="12.75" x14ac:dyDescent="0.2">
      <c r="B64882" s="1168"/>
    </row>
    <row r="64883" spans="2:2" s="221" customFormat="1" ht="12.75" x14ac:dyDescent="0.2">
      <c r="B64883" s="1168"/>
    </row>
    <row r="64884" spans="2:2" s="221" customFormat="1" ht="12.75" x14ac:dyDescent="0.2">
      <c r="B64884" s="1168"/>
    </row>
    <row r="64885" spans="2:2" s="221" customFormat="1" ht="12.75" x14ac:dyDescent="0.2">
      <c r="B64885" s="1168"/>
    </row>
    <row r="64886" spans="2:2" s="221" customFormat="1" ht="12.75" x14ac:dyDescent="0.2">
      <c r="B64886" s="1168"/>
    </row>
    <row r="64887" spans="2:2" s="221" customFormat="1" ht="12.75" x14ac:dyDescent="0.2">
      <c r="B64887" s="1168"/>
    </row>
    <row r="64888" spans="2:2" s="221" customFormat="1" ht="12.75" x14ac:dyDescent="0.2">
      <c r="B64888" s="1168"/>
    </row>
    <row r="64889" spans="2:2" s="221" customFormat="1" ht="12.75" x14ac:dyDescent="0.2">
      <c r="B64889" s="1168"/>
    </row>
    <row r="64890" spans="2:2" s="221" customFormat="1" ht="12.75" x14ac:dyDescent="0.2">
      <c r="B64890" s="1168"/>
    </row>
    <row r="64891" spans="2:2" s="221" customFormat="1" ht="12.75" x14ac:dyDescent="0.2">
      <c r="B64891" s="1168"/>
    </row>
    <row r="64892" spans="2:2" s="221" customFormat="1" ht="12.75" x14ac:dyDescent="0.2">
      <c r="B64892" s="1168"/>
    </row>
    <row r="64893" spans="2:2" s="221" customFormat="1" ht="12.75" x14ac:dyDescent="0.2">
      <c r="B64893" s="1168"/>
    </row>
    <row r="64894" spans="2:2" s="221" customFormat="1" ht="12.75" x14ac:dyDescent="0.2">
      <c r="B64894" s="1168"/>
    </row>
    <row r="64895" spans="2:2" s="221" customFormat="1" ht="12.75" x14ac:dyDescent="0.2">
      <c r="B64895" s="1168"/>
    </row>
    <row r="64896" spans="2:2" s="221" customFormat="1" ht="12.75" x14ac:dyDescent="0.2">
      <c r="B64896" s="1168"/>
    </row>
    <row r="64897" spans="2:2" s="221" customFormat="1" ht="12.75" x14ac:dyDescent="0.2">
      <c r="B64897" s="1168"/>
    </row>
    <row r="64898" spans="2:2" s="221" customFormat="1" ht="12.75" x14ac:dyDescent="0.2">
      <c r="B64898" s="1168"/>
    </row>
    <row r="64899" spans="2:2" s="221" customFormat="1" ht="12.75" x14ac:dyDescent="0.2">
      <c r="B64899" s="1168"/>
    </row>
    <row r="64900" spans="2:2" s="221" customFormat="1" ht="12.75" x14ac:dyDescent="0.2">
      <c r="B64900" s="1168"/>
    </row>
    <row r="64901" spans="2:2" s="221" customFormat="1" ht="12.75" x14ac:dyDescent="0.2">
      <c r="B64901" s="1168"/>
    </row>
    <row r="64902" spans="2:2" s="221" customFormat="1" ht="12.75" x14ac:dyDescent="0.2">
      <c r="B64902" s="1168"/>
    </row>
    <row r="64903" spans="2:2" s="221" customFormat="1" ht="12.75" x14ac:dyDescent="0.2">
      <c r="B64903" s="1168"/>
    </row>
    <row r="64904" spans="2:2" s="221" customFormat="1" ht="12.75" x14ac:dyDescent="0.2">
      <c r="B64904" s="1168"/>
    </row>
    <row r="64905" spans="2:2" s="221" customFormat="1" ht="12.75" x14ac:dyDescent="0.2">
      <c r="B64905" s="1168"/>
    </row>
    <row r="64906" spans="2:2" s="221" customFormat="1" ht="12.75" x14ac:dyDescent="0.2">
      <c r="B64906" s="1168"/>
    </row>
    <row r="64907" spans="2:2" s="221" customFormat="1" ht="12.75" x14ac:dyDescent="0.2">
      <c r="B64907" s="1168"/>
    </row>
    <row r="64908" spans="2:2" s="221" customFormat="1" ht="12.75" x14ac:dyDescent="0.2">
      <c r="B64908" s="1168"/>
    </row>
    <row r="64909" spans="2:2" s="221" customFormat="1" ht="12.75" x14ac:dyDescent="0.2">
      <c r="B64909" s="1168"/>
    </row>
    <row r="64910" spans="2:2" s="221" customFormat="1" ht="12.75" x14ac:dyDescent="0.2">
      <c r="B64910" s="1168"/>
    </row>
    <row r="64911" spans="2:2" s="221" customFormat="1" ht="12.75" x14ac:dyDescent="0.2">
      <c r="B64911" s="1168"/>
    </row>
    <row r="64912" spans="2:2" s="221" customFormat="1" ht="12.75" x14ac:dyDescent="0.2">
      <c r="B64912" s="1168"/>
    </row>
    <row r="64913" spans="2:2" s="221" customFormat="1" ht="12.75" x14ac:dyDescent="0.2">
      <c r="B64913" s="1168"/>
    </row>
    <row r="64914" spans="2:2" s="221" customFormat="1" ht="12.75" x14ac:dyDescent="0.2">
      <c r="B64914" s="1168"/>
    </row>
    <row r="64915" spans="2:2" s="221" customFormat="1" ht="12.75" x14ac:dyDescent="0.2">
      <c r="B64915" s="1168"/>
    </row>
    <row r="64916" spans="2:2" s="221" customFormat="1" ht="12.75" x14ac:dyDescent="0.2">
      <c r="B64916" s="1168"/>
    </row>
    <row r="64917" spans="2:2" s="221" customFormat="1" ht="12.75" x14ac:dyDescent="0.2">
      <c r="B64917" s="1168"/>
    </row>
    <row r="64918" spans="2:2" s="221" customFormat="1" ht="12.75" x14ac:dyDescent="0.2">
      <c r="B64918" s="1168"/>
    </row>
    <row r="64919" spans="2:2" s="221" customFormat="1" ht="12.75" x14ac:dyDescent="0.2">
      <c r="B64919" s="1168"/>
    </row>
    <row r="64920" spans="2:2" s="221" customFormat="1" ht="12.75" x14ac:dyDescent="0.2">
      <c r="B64920" s="1168"/>
    </row>
    <row r="64921" spans="2:2" s="221" customFormat="1" ht="12.75" x14ac:dyDescent="0.2">
      <c r="B64921" s="1168"/>
    </row>
    <row r="64922" spans="2:2" s="221" customFormat="1" ht="12.75" x14ac:dyDescent="0.2">
      <c r="B64922" s="1168"/>
    </row>
    <row r="64923" spans="2:2" s="221" customFormat="1" ht="12.75" x14ac:dyDescent="0.2">
      <c r="B64923" s="1168"/>
    </row>
    <row r="64924" spans="2:2" s="221" customFormat="1" ht="12.75" x14ac:dyDescent="0.2">
      <c r="B64924" s="1168"/>
    </row>
    <row r="64925" spans="2:2" s="221" customFormat="1" ht="12.75" x14ac:dyDescent="0.2">
      <c r="B64925" s="1168"/>
    </row>
    <row r="64926" spans="2:2" s="221" customFormat="1" ht="12.75" x14ac:dyDescent="0.2">
      <c r="B64926" s="1168"/>
    </row>
    <row r="64927" spans="2:2" s="221" customFormat="1" ht="12.75" x14ac:dyDescent="0.2">
      <c r="B64927" s="1168"/>
    </row>
    <row r="64928" spans="2:2" s="221" customFormat="1" ht="12.75" x14ac:dyDescent="0.2">
      <c r="B64928" s="1168"/>
    </row>
    <row r="64929" spans="2:2" s="221" customFormat="1" ht="12.75" x14ac:dyDescent="0.2">
      <c r="B64929" s="1168"/>
    </row>
    <row r="64930" spans="2:2" s="221" customFormat="1" ht="12.75" x14ac:dyDescent="0.2">
      <c r="B64930" s="1168"/>
    </row>
    <row r="64931" spans="2:2" s="221" customFormat="1" ht="12.75" x14ac:dyDescent="0.2">
      <c r="B64931" s="1168"/>
    </row>
    <row r="64932" spans="2:2" s="221" customFormat="1" ht="12.75" x14ac:dyDescent="0.2">
      <c r="B64932" s="1168"/>
    </row>
    <row r="64933" spans="2:2" s="221" customFormat="1" ht="12.75" x14ac:dyDescent="0.2">
      <c r="B64933" s="1168"/>
    </row>
    <row r="64934" spans="2:2" s="221" customFormat="1" ht="12.75" x14ac:dyDescent="0.2">
      <c r="B64934" s="1168"/>
    </row>
    <row r="64935" spans="2:2" s="221" customFormat="1" ht="12.75" x14ac:dyDescent="0.2">
      <c r="B64935" s="1168"/>
    </row>
    <row r="64936" spans="2:2" s="221" customFormat="1" ht="12.75" x14ac:dyDescent="0.2">
      <c r="B64936" s="1168"/>
    </row>
    <row r="64937" spans="2:2" s="221" customFormat="1" ht="12.75" x14ac:dyDescent="0.2">
      <c r="B64937" s="1168"/>
    </row>
    <row r="64938" spans="2:2" s="221" customFormat="1" ht="12.75" x14ac:dyDescent="0.2">
      <c r="B64938" s="1168"/>
    </row>
    <row r="64939" spans="2:2" s="221" customFormat="1" ht="12.75" x14ac:dyDescent="0.2">
      <c r="B64939" s="1168"/>
    </row>
    <row r="64940" spans="2:2" s="221" customFormat="1" ht="12.75" x14ac:dyDescent="0.2">
      <c r="B64940" s="1168"/>
    </row>
    <row r="64941" spans="2:2" s="221" customFormat="1" ht="12.75" x14ac:dyDescent="0.2">
      <c r="B64941" s="1168"/>
    </row>
    <row r="64942" spans="2:2" s="221" customFormat="1" ht="12.75" x14ac:dyDescent="0.2">
      <c r="B64942" s="1168"/>
    </row>
    <row r="64943" spans="2:2" s="221" customFormat="1" ht="12.75" x14ac:dyDescent="0.2">
      <c r="B64943" s="1168"/>
    </row>
    <row r="64944" spans="2:2" s="221" customFormat="1" ht="12.75" x14ac:dyDescent="0.2">
      <c r="B64944" s="1168"/>
    </row>
    <row r="64945" spans="2:2" s="221" customFormat="1" ht="12.75" x14ac:dyDescent="0.2">
      <c r="B64945" s="1168"/>
    </row>
    <row r="64946" spans="2:2" s="221" customFormat="1" ht="12.75" x14ac:dyDescent="0.2">
      <c r="B64946" s="1168"/>
    </row>
    <row r="64947" spans="2:2" s="221" customFormat="1" ht="12.75" x14ac:dyDescent="0.2">
      <c r="B64947" s="1168"/>
    </row>
    <row r="64948" spans="2:2" s="221" customFormat="1" ht="12.75" x14ac:dyDescent="0.2">
      <c r="B64948" s="1168"/>
    </row>
    <row r="64949" spans="2:2" s="221" customFormat="1" ht="12.75" x14ac:dyDescent="0.2">
      <c r="B64949" s="1168"/>
    </row>
    <row r="64950" spans="2:2" s="221" customFormat="1" ht="12.75" x14ac:dyDescent="0.2">
      <c r="B64950" s="1168"/>
    </row>
    <row r="64951" spans="2:2" s="221" customFormat="1" ht="12.75" x14ac:dyDescent="0.2">
      <c r="B64951" s="1168"/>
    </row>
    <row r="64952" spans="2:2" s="221" customFormat="1" ht="12.75" x14ac:dyDescent="0.2">
      <c r="B64952" s="1168"/>
    </row>
    <row r="64953" spans="2:2" s="221" customFormat="1" ht="12.75" x14ac:dyDescent="0.2">
      <c r="B64953" s="1168"/>
    </row>
    <row r="64954" spans="2:2" s="221" customFormat="1" ht="12.75" x14ac:dyDescent="0.2">
      <c r="B64954" s="1168"/>
    </row>
    <row r="64955" spans="2:2" s="221" customFormat="1" ht="12.75" x14ac:dyDescent="0.2">
      <c r="B64955" s="1168"/>
    </row>
    <row r="64956" spans="2:2" s="221" customFormat="1" ht="12.75" x14ac:dyDescent="0.2">
      <c r="B64956" s="1168"/>
    </row>
    <row r="64957" spans="2:2" s="221" customFormat="1" ht="12.75" x14ac:dyDescent="0.2">
      <c r="B64957" s="1168"/>
    </row>
    <row r="64958" spans="2:2" s="221" customFormat="1" ht="12.75" x14ac:dyDescent="0.2">
      <c r="B64958" s="1168"/>
    </row>
    <row r="64959" spans="2:2" s="221" customFormat="1" ht="12.75" x14ac:dyDescent="0.2">
      <c r="B64959" s="1168"/>
    </row>
    <row r="64960" spans="2:2" s="221" customFormat="1" ht="12.75" x14ac:dyDescent="0.2">
      <c r="B64960" s="1168"/>
    </row>
    <row r="64961" spans="2:2" s="221" customFormat="1" ht="12.75" x14ac:dyDescent="0.2">
      <c r="B64961" s="1168"/>
    </row>
    <row r="64962" spans="2:2" s="221" customFormat="1" ht="12.75" x14ac:dyDescent="0.2">
      <c r="B64962" s="1168"/>
    </row>
    <row r="64963" spans="2:2" s="221" customFormat="1" ht="12.75" x14ac:dyDescent="0.2">
      <c r="B64963" s="1168"/>
    </row>
    <row r="64964" spans="2:2" s="221" customFormat="1" ht="12.75" x14ac:dyDescent="0.2">
      <c r="B64964" s="1168"/>
    </row>
    <row r="64965" spans="2:2" s="221" customFormat="1" ht="12.75" x14ac:dyDescent="0.2">
      <c r="B64965" s="1168"/>
    </row>
    <row r="64966" spans="2:2" s="221" customFormat="1" ht="12.75" x14ac:dyDescent="0.2">
      <c r="B64966" s="1168"/>
    </row>
    <row r="64967" spans="2:2" s="221" customFormat="1" ht="12.75" x14ac:dyDescent="0.2">
      <c r="B64967" s="1168"/>
    </row>
    <row r="64968" spans="2:2" s="221" customFormat="1" ht="12.75" x14ac:dyDescent="0.2">
      <c r="B64968" s="1168"/>
    </row>
    <row r="64969" spans="2:2" s="221" customFormat="1" ht="12.75" x14ac:dyDescent="0.2">
      <c r="B64969" s="1168"/>
    </row>
    <row r="64970" spans="2:2" s="221" customFormat="1" ht="12.75" x14ac:dyDescent="0.2">
      <c r="B64970" s="1168"/>
    </row>
    <row r="64971" spans="2:2" s="221" customFormat="1" ht="12.75" x14ac:dyDescent="0.2">
      <c r="B64971" s="1168"/>
    </row>
    <row r="64972" spans="2:2" s="221" customFormat="1" ht="12.75" x14ac:dyDescent="0.2">
      <c r="B64972" s="1168"/>
    </row>
    <row r="64973" spans="2:2" s="221" customFormat="1" ht="12.75" x14ac:dyDescent="0.2">
      <c r="B64973" s="1168"/>
    </row>
    <row r="64974" spans="2:2" s="221" customFormat="1" ht="12.75" x14ac:dyDescent="0.2">
      <c r="B64974" s="1168"/>
    </row>
    <row r="64975" spans="2:2" s="221" customFormat="1" ht="12.75" x14ac:dyDescent="0.2">
      <c r="B64975" s="1168"/>
    </row>
    <row r="64976" spans="2:2" s="221" customFormat="1" ht="12.75" x14ac:dyDescent="0.2">
      <c r="B64976" s="1168"/>
    </row>
    <row r="64977" spans="2:2" s="221" customFormat="1" ht="12.75" x14ac:dyDescent="0.2">
      <c r="B64977" s="1168"/>
    </row>
    <row r="64978" spans="2:2" s="221" customFormat="1" ht="12.75" x14ac:dyDescent="0.2">
      <c r="B64978" s="1168"/>
    </row>
    <row r="64979" spans="2:2" s="221" customFormat="1" ht="12.75" x14ac:dyDescent="0.2">
      <c r="B64979" s="1168"/>
    </row>
    <row r="64980" spans="2:2" s="221" customFormat="1" ht="12.75" x14ac:dyDescent="0.2">
      <c r="B64980" s="1168"/>
    </row>
    <row r="64981" spans="2:2" s="221" customFormat="1" ht="12.75" x14ac:dyDescent="0.2">
      <c r="B64981" s="1168"/>
    </row>
    <row r="64982" spans="2:2" s="221" customFormat="1" ht="12.75" x14ac:dyDescent="0.2">
      <c r="B64982" s="1168"/>
    </row>
    <row r="64983" spans="2:2" s="221" customFormat="1" ht="12.75" x14ac:dyDescent="0.2">
      <c r="B64983" s="1168"/>
    </row>
    <row r="64984" spans="2:2" s="221" customFormat="1" ht="12.75" x14ac:dyDescent="0.2">
      <c r="B64984" s="1168"/>
    </row>
    <row r="64985" spans="2:2" s="221" customFormat="1" ht="12.75" x14ac:dyDescent="0.2">
      <c r="B64985" s="1168"/>
    </row>
    <row r="64986" spans="2:2" s="221" customFormat="1" ht="12.75" x14ac:dyDescent="0.2">
      <c r="B64986" s="1168"/>
    </row>
    <row r="64987" spans="2:2" s="221" customFormat="1" ht="12.75" x14ac:dyDescent="0.2">
      <c r="B64987" s="1168"/>
    </row>
    <row r="64988" spans="2:2" s="221" customFormat="1" ht="12.75" x14ac:dyDescent="0.2">
      <c r="B64988" s="1168"/>
    </row>
    <row r="64989" spans="2:2" s="221" customFormat="1" ht="12.75" x14ac:dyDescent="0.2">
      <c r="B64989" s="1168"/>
    </row>
    <row r="64990" spans="2:2" s="221" customFormat="1" ht="12.75" x14ac:dyDescent="0.2">
      <c r="B64990" s="1168"/>
    </row>
    <row r="64991" spans="2:2" s="221" customFormat="1" ht="12.75" x14ac:dyDescent="0.2">
      <c r="B64991" s="1168"/>
    </row>
    <row r="64992" spans="2:2" s="221" customFormat="1" ht="12.75" x14ac:dyDescent="0.2">
      <c r="B64992" s="1168"/>
    </row>
    <row r="64993" spans="2:2" s="221" customFormat="1" ht="12.75" x14ac:dyDescent="0.2">
      <c r="B64993" s="1168"/>
    </row>
    <row r="64994" spans="2:2" s="221" customFormat="1" ht="12.75" x14ac:dyDescent="0.2">
      <c r="B64994" s="1168"/>
    </row>
    <row r="64995" spans="2:2" s="221" customFormat="1" ht="12.75" x14ac:dyDescent="0.2">
      <c r="B64995" s="1168"/>
    </row>
    <row r="64996" spans="2:2" s="221" customFormat="1" ht="12.75" x14ac:dyDescent="0.2">
      <c r="B64996" s="1168"/>
    </row>
    <row r="64997" spans="2:2" s="221" customFormat="1" ht="12.75" x14ac:dyDescent="0.2">
      <c r="B64997" s="1168"/>
    </row>
    <row r="64998" spans="2:2" s="221" customFormat="1" ht="12.75" x14ac:dyDescent="0.2">
      <c r="B64998" s="1168"/>
    </row>
    <row r="64999" spans="2:2" s="221" customFormat="1" ht="12.75" x14ac:dyDescent="0.2">
      <c r="B64999" s="1168"/>
    </row>
    <row r="65000" spans="2:2" s="221" customFormat="1" ht="12.75" x14ac:dyDescent="0.2">
      <c r="B65000" s="1168"/>
    </row>
    <row r="65001" spans="2:2" s="221" customFormat="1" ht="12.75" x14ac:dyDescent="0.2">
      <c r="B65001" s="1168"/>
    </row>
    <row r="65002" spans="2:2" s="221" customFormat="1" ht="12.75" x14ac:dyDescent="0.2">
      <c r="B65002" s="1168"/>
    </row>
    <row r="65003" spans="2:2" s="221" customFormat="1" ht="12.75" x14ac:dyDescent="0.2">
      <c r="B65003" s="1168"/>
    </row>
    <row r="65004" spans="2:2" s="221" customFormat="1" ht="12.75" x14ac:dyDescent="0.2">
      <c r="B65004" s="1168"/>
    </row>
    <row r="65005" spans="2:2" s="221" customFormat="1" ht="12.75" x14ac:dyDescent="0.2">
      <c r="B65005" s="1168"/>
    </row>
    <row r="65006" spans="2:2" s="221" customFormat="1" ht="12.75" x14ac:dyDescent="0.2">
      <c r="B65006" s="1168"/>
    </row>
    <row r="65007" spans="2:2" s="221" customFormat="1" ht="12.75" x14ac:dyDescent="0.2">
      <c r="B65007" s="1168"/>
    </row>
    <row r="65008" spans="2:2" s="221" customFormat="1" ht="12.75" x14ac:dyDescent="0.2">
      <c r="B65008" s="1168"/>
    </row>
    <row r="65009" spans="2:2" s="221" customFormat="1" ht="12.75" x14ac:dyDescent="0.2">
      <c r="B65009" s="1168"/>
    </row>
    <row r="65010" spans="2:2" s="221" customFormat="1" ht="12.75" x14ac:dyDescent="0.2">
      <c r="B65010" s="1168"/>
    </row>
    <row r="65011" spans="2:2" s="221" customFormat="1" ht="12.75" x14ac:dyDescent="0.2">
      <c r="B65011" s="1168"/>
    </row>
    <row r="65012" spans="2:2" s="221" customFormat="1" ht="12.75" x14ac:dyDescent="0.2">
      <c r="B65012" s="1168"/>
    </row>
    <row r="65013" spans="2:2" s="221" customFormat="1" ht="12.75" x14ac:dyDescent="0.2">
      <c r="B65013" s="1168"/>
    </row>
    <row r="65014" spans="2:2" s="221" customFormat="1" ht="12.75" x14ac:dyDescent="0.2">
      <c r="B65014" s="1168"/>
    </row>
    <row r="65015" spans="2:2" s="221" customFormat="1" ht="12.75" x14ac:dyDescent="0.2">
      <c r="B65015" s="1168"/>
    </row>
    <row r="65016" spans="2:2" s="221" customFormat="1" ht="12.75" x14ac:dyDescent="0.2">
      <c r="B65016" s="1168"/>
    </row>
    <row r="65017" spans="2:2" s="221" customFormat="1" ht="12.75" x14ac:dyDescent="0.2">
      <c r="B65017" s="1168"/>
    </row>
    <row r="65018" spans="2:2" s="221" customFormat="1" ht="12.75" x14ac:dyDescent="0.2">
      <c r="B65018" s="1168"/>
    </row>
    <row r="65019" spans="2:2" s="221" customFormat="1" ht="12.75" x14ac:dyDescent="0.2">
      <c r="B65019" s="1168"/>
    </row>
    <row r="65020" spans="2:2" s="221" customFormat="1" ht="12.75" x14ac:dyDescent="0.2">
      <c r="B65020" s="1168"/>
    </row>
    <row r="65021" spans="2:2" s="221" customFormat="1" ht="12.75" x14ac:dyDescent="0.2">
      <c r="B65021" s="1168"/>
    </row>
    <row r="65022" spans="2:2" s="221" customFormat="1" ht="12.75" x14ac:dyDescent="0.2">
      <c r="B65022" s="1168"/>
    </row>
    <row r="65023" spans="2:2" s="221" customFormat="1" ht="12.75" x14ac:dyDescent="0.2">
      <c r="B65023" s="1168"/>
    </row>
    <row r="65024" spans="2:2" s="221" customFormat="1" ht="12.75" x14ac:dyDescent="0.2">
      <c r="B65024" s="1168"/>
    </row>
    <row r="65025" spans="2:2" s="221" customFormat="1" ht="12.75" x14ac:dyDescent="0.2">
      <c r="B65025" s="1168"/>
    </row>
    <row r="65026" spans="2:2" s="221" customFormat="1" ht="12.75" x14ac:dyDescent="0.2">
      <c r="B65026" s="1168"/>
    </row>
    <row r="65027" spans="2:2" s="221" customFormat="1" ht="12.75" x14ac:dyDescent="0.2">
      <c r="B65027" s="1168"/>
    </row>
    <row r="65028" spans="2:2" s="221" customFormat="1" ht="12.75" x14ac:dyDescent="0.2">
      <c r="B65028" s="1168"/>
    </row>
    <row r="65029" spans="2:2" s="221" customFormat="1" ht="12.75" x14ac:dyDescent="0.2">
      <c r="B65029" s="1168"/>
    </row>
    <row r="65030" spans="2:2" s="221" customFormat="1" ht="12.75" x14ac:dyDescent="0.2">
      <c r="B65030" s="1168"/>
    </row>
    <row r="65031" spans="2:2" s="221" customFormat="1" ht="12.75" x14ac:dyDescent="0.2">
      <c r="B65031" s="1168"/>
    </row>
    <row r="65032" spans="2:2" s="221" customFormat="1" ht="12.75" x14ac:dyDescent="0.2">
      <c r="B65032" s="1168"/>
    </row>
    <row r="65033" spans="2:2" s="221" customFormat="1" ht="12.75" x14ac:dyDescent="0.2">
      <c r="B65033" s="1168"/>
    </row>
    <row r="65034" spans="2:2" s="221" customFormat="1" ht="12.75" x14ac:dyDescent="0.2">
      <c r="B65034" s="1168"/>
    </row>
    <row r="65035" spans="2:2" s="221" customFormat="1" ht="12.75" x14ac:dyDescent="0.2">
      <c r="B65035" s="1168"/>
    </row>
    <row r="65036" spans="2:2" s="221" customFormat="1" ht="12.75" x14ac:dyDescent="0.2">
      <c r="B65036" s="1168"/>
    </row>
    <row r="65037" spans="2:2" s="221" customFormat="1" ht="12.75" x14ac:dyDescent="0.2">
      <c r="B65037" s="1168"/>
    </row>
    <row r="65038" spans="2:2" s="221" customFormat="1" ht="12.75" x14ac:dyDescent="0.2">
      <c r="B65038" s="1168"/>
    </row>
    <row r="65039" spans="2:2" s="221" customFormat="1" ht="12.75" x14ac:dyDescent="0.2">
      <c r="B65039" s="1168"/>
    </row>
    <row r="65040" spans="2:2" s="221" customFormat="1" ht="12.75" x14ac:dyDescent="0.2">
      <c r="B65040" s="1168"/>
    </row>
    <row r="65041" spans="2:2" s="221" customFormat="1" ht="12.75" x14ac:dyDescent="0.2">
      <c r="B65041" s="1168"/>
    </row>
    <row r="65042" spans="2:2" s="221" customFormat="1" ht="12.75" x14ac:dyDescent="0.2">
      <c r="B65042" s="1168"/>
    </row>
    <row r="65043" spans="2:2" s="221" customFormat="1" ht="12.75" x14ac:dyDescent="0.2">
      <c r="B65043" s="1168"/>
    </row>
    <row r="65044" spans="2:2" s="221" customFormat="1" ht="12.75" x14ac:dyDescent="0.2">
      <c r="B65044" s="1168"/>
    </row>
    <row r="65045" spans="2:2" s="221" customFormat="1" ht="12.75" x14ac:dyDescent="0.2">
      <c r="B65045" s="1168"/>
    </row>
    <row r="65046" spans="2:2" s="221" customFormat="1" ht="12.75" x14ac:dyDescent="0.2">
      <c r="B65046" s="1168"/>
    </row>
    <row r="65047" spans="2:2" s="221" customFormat="1" ht="12.75" x14ac:dyDescent="0.2">
      <c r="B65047" s="1168"/>
    </row>
    <row r="65048" spans="2:2" s="221" customFormat="1" ht="12.75" x14ac:dyDescent="0.2">
      <c r="B65048" s="1168"/>
    </row>
    <row r="65049" spans="2:2" s="221" customFormat="1" ht="12.75" x14ac:dyDescent="0.2">
      <c r="B65049" s="1168"/>
    </row>
    <row r="65050" spans="2:2" s="221" customFormat="1" ht="12.75" x14ac:dyDescent="0.2">
      <c r="B65050" s="1168"/>
    </row>
    <row r="65051" spans="2:2" s="221" customFormat="1" ht="12.75" x14ac:dyDescent="0.2">
      <c r="B65051" s="1168"/>
    </row>
    <row r="65052" spans="2:2" s="221" customFormat="1" ht="12.75" x14ac:dyDescent="0.2">
      <c r="B65052" s="1168"/>
    </row>
    <row r="65053" spans="2:2" s="221" customFormat="1" ht="12.75" x14ac:dyDescent="0.2">
      <c r="B65053" s="1168"/>
    </row>
    <row r="65054" spans="2:2" s="221" customFormat="1" ht="12.75" x14ac:dyDescent="0.2">
      <c r="B65054" s="1168"/>
    </row>
    <row r="65055" spans="2:2" s="221" customFormat="1" ht="12.75" x14ac:dyDescent="0.2">
      <c r="B65055" s="1168"/>
    </row>
    <row r="65056" spans="2:2" s="221" customFormat="1" ht="12.75" x14ac:dyDescent="0.2">
      <c r="B65056" s="1168"/>
    </row>
    <row r="65057" spans="2:2" s="221" customFormat="1" ht="12.75" x14ac:dyDescent="0.2">
      <c r="B65057" s="1168"/>
    </row>
    <row r="65058" spans="2:2" s="221" customFormat="1" ht="12.75" x14ac:dyDescent="0.2">
      <c r="B65058" s="1168"/>
    </row>
    <row r="65059" spans="2:2" s="221" customFormat="1" ht="12.75" x14ac:dyDescent="0.2">
      <c r="B65059" s="1168"/>
    </row>
    <row r="65060" spans="2:2" s="221" customFormat="1" ht="12.75" x14ac:dyDescent="0.2">
      <c r="B65060" s="1168"/>
    </row>
    <row r="65061" spans="2:2" s="221" customFormat="1" ht="12.75" x14ac:dyDescent="0.2">
      <c r="B65061" s="1168"/>
    </row>
    <row r="65062" spans="2:2" s="221" customFormat="1" ht="12.75" x14ac:dyDescent="0.2">
      <c r="B65062" s="1168"/>
    </row>
    <row r="65063" spans="2:2" s="221" customFormat="1" ht="12.75" x14ac:dyDescent="0.2">
      <c r="B65063" s="1168"/>
    </row>
    <row r="65064" spans="2:2" s="221" customFormat="1" ht="12.75" x14ac:dyDescent="0.2">
      <c r="B65064" s="1168"/>
    </row>
    <row r="65065" spans="2:2" s="221" customFormat="1" ht="12.75" x14ac:dyDescent="0.2">
      <c r="B65065" s="1168"/>
    </row>
    <row r="65066" spans="2:2" s="221" customFormat="1" ht="12.75" x14ac:dyDescent="0.2">
      <c r="B65066" s="1168"/>
    </row>
    <row r="65067" spans="2:2" s="221" customFormat="1" ht="12.75" x14ac:dyDescent="0.2">
      <c r="B65067" s="1168"/>
    </row>
    <row r="65068" spans="2:2" s="221" customFormat="1" ht="12.75" x14ac:dyDescent="0.2">
      <c r="B65068" s="1168"/>
    </row>
    <row r="65069" spans="2:2" s="221" customFormat="1" ht="12.75" x14ac:dyDescent="0.2">
      <c r="B65069" s="1168"/>
    </row>
    <row r="65070" spans="2:2" s="221" customFormat="1" ht="12.75" x14ac:dyDescent="0.2">
      <c r="B65070" s="1168"/>
    </row>
    <row r="65071" spans="2:2" s="221" customFormat="1" ht="12.75" x14ac:dyDescent="0.2">
      <c r="B65071" s="1168"/>
    </row>
    <row r="65072" spans="2:2" s="221" customFormat="1" ht="12.75" x14ac:dyDescent="0.2">
      <c r="B65072" s="1168"/>
    </row>
    <row r="65073" spans="2:2" s="221" customFormat="1" ht="12.75" x14ac:dyDescent="0.2">
      <c r="B65073" s="1168"/>
    </row>
    <row r="65074" spans="2:2" s="221" customFormat="1" ht="12.75" x14ac:dyDescent="0.2">
      <c r="B65074" s="1168"/>
    </row>
    <row r="65075" spans="2:2" s="221" customFormat="1" ht="12.75" x14ac:dyDescent="0.2">
      <c r="B65075" s="1168"/>
    </row>
    <row r="65076" spans="2:2" s="221" customFormat="1" ht="12.75" x14ac:dyDescent="0.2">
      <c r="B65076" s="1168"/>
    </row>
    <row r="65077" spans="2:2" s="221" customFormat="1" ht="12.75" x14ac:dyDescent="0.2">
      <c r="B65077" s="1168"/>
    </row>
    <row r="65078" spans="2:2" s="221" customFormat="1" ht="12.75" x14ac:dyDescent="0.2">
      <c r="B65078" s="1168"/>
    </row>
    <row r="65079" spans="2:2" s="221" customFormat="1" ht="12.75" x14ac:dyDescent="0.2">
      <c r="B65079" s="1168"/>
    </row>
    <row r="65080" spans="2:2" s="221" customFormat="1" ht="12.75" x14ac:dyDescent="0.2">
      <c r="B65080" s="1168"/>
    </row>
    <row r="65081" spans="2:2" s="221" customFormat="1" ht="12.75" x14ac:dyDescent="0.2">
      <c r="B65081" s="1168"/>
    </row>
    <row r="65082" spans="2:2" s="221" customFormat="1" ht="12.75" x14ac:dyDescent="0.2">
      <c r="B65082" s="1168"/>
    </row>
    <row r="65083" spans="2:2" s="221" customFormat="1" ht="12.75" x14ac:dyDescent="0.2">
      <c r="B65083" s="1168"/>
    </row>
    <row r="65084" spans="2:2" s="221" customFormat="1" ht="12.75" x14ac:dyDescent="0.2">
      <c r="B65084" s="1168"/>
    </row>
    <row r="65085" spans="2:2" s="221" customFormat="1" ht="12.75" x14ac:dyDescent="0.2">
      <c r="B65085" s="1168"/>
    </row>
    <row r="65086" spans="2:2" s="221" customFormat="1" ht="12.75" x14ac:dyDescent="0.2">
      <c r="B65086" s="1168"/>
    </row>
    <row r="65087" spans="2:2" s="221" customFormat="1" ht="12.75" x14ac:dyDescent="0.2">
      <c r="B65087" s="1168"/>
    </row>
    <row r="65088" spans="2:2" s="221" customFormat="1" ht="12.75" x14ac:dyDescent="0.2">
      <c r="B65088" s="1168"/>
    </row>
    <row r="65089" spans="2:2" s="221" customFormat="1" ht="12.75" x14ac:dyDescent="0.2">
      <c r="B65089" s="1168"/>
    </row>
    <row r="65090" spans="2:2" s="221" customFormat="1" ht="12.75" x14ac:dyDescent="0.2">
      <c r="B65090" s="1168"/>
    </row>
    <row r="65091" spans="2:2" s="221" customFormat="1" ht="12.75" x14ac:dyDescent="0.2">
      <c r="B65091" s="1168"/>
    </row>
    <row r="65092" spans="2:2" s="221" customFormat="1" ht="12.75" x14ac:dyDescent="0.2">
      <c r="B65092" s="1168"/>
    </row>
    <row r="65093" spans="2:2" s="221" customFormat="1" ht="12.75" x14ac:dyDescent="0.2">
      <c r="B65093" s="1168"/>
    </row>
    <row r="65094" spans="2:2" s="221" customFormat="1" ht="12.75" x14ac:dyDescent="0.2">
      <c r="B65094" s="1168"/>
    </row>
    <row r="65095" spans="2:2" s="221" customFormat="1" ht="12.75" x14ac:dyDescent="0.2">
      <c r="B65095" s="1168"/>
    </row>
    <row r="65096" spans="2:2" s="221" customFormat="1" ht="12.75" x14ac:dyDescent="0.2">
      <c r="B65096" s="1168"/>
    </row>
    <row r="65097" spans="2:2" s="221" customFormat="1" ht="12.75" x14ac:dyDescent="0.2">
      <c r="B65097" s="1168"/>
    </row>
    <row r="65098" spans="2:2" s="221" customFormat="1" ht="12.75" x14ac:dyDescent="0.2">
      <c r="B65098" s="1168"/>
    </row>
    <row r="65099" spans="2:2" s="221" customFormat="1" ht="12.75" x14ac:dyDescent="0.2">
      <c r="B65099" s="1168"/>
    </row>
    <row r="65100" spans="2:2" s="221" customFormat="1" ht="12.75" x14ac:dyDescent="0.2">
      <c r="B65100" s="1168"/>
    </row>
    <row r="65101" spans="2:2" s="221" customFormat="1" ht="12.75" x14ac:dyDescent="0.2">
      <c r="B65101" s="1168"/>
    </row>
    <row r="65102" spans="2:2" s="221" customFormat="1" ht="12.75" x14ac:dyDescent="0.2">
      <c r="B65102" s="1168"/>
    </row>
    <row r="65103" spans="2:2" s="221" customFormat="1" ht="12.75" x14ac:dyDescent="0.2">
      <c r="B65103" s="1168"/>
    </row>
    <row r="65104" spans="2:2" s="221" customFormat="1" ht="12.75" x14ac:dyDescent="0.2">
      <c r="B65104" s="1168"/>
    </row>
    <row r="65105" spans="2:2" s="221" customFormat="1" ht="12.75" x14ac:dyDescent="0.2">
      <c r="B65105" s="1168"/>
    </row>
    <row r="65106" spans="2:2" s="221" customFormat="1" ht="12.75" x14ac:dyDescent="0.2">
      <c r="B65106" s="1168"/>
    </row>
    <row r="65107" spans="2:2" s="221" customFormat="1" ht="12.75" x14ac:dyDescent="0.2">
      <c r="B65107" s="1168"/>
    </row>
    <row r="65108" spans="2:2" s="221" customFormat="1" ht="12.75" x14ac:dyDescent="0.2">
      <c r="B65108" s="1168"/>
    </row>
    <row r="65109" spans="2:2" s="221" customFormat="1" ht="12.75" x14ac:dyDescent="0.2">
      <c r="B65109" s="1168"/>
    </row>
    <row r="65110" spans="2:2" s="221" customFormat="1" ht="12.75" x14ac:dyDescent="0.2">
      <c r="B65110" s="1168"/>
    </row>
    <row r="65111" spans="2:2" s="221" customFormat="1" ht="12.75" x14ac:dyDescent="0.2">
      <c r="B65111" s="1168"/>
    </row>
    <row r="65112" spans="2:2" s="221" customFormat="1" ht="12.75" x14ac:dyDescent="0.2">
      <c r="B65112" s="1168"/>
    </row>
    <row r="65113" spans="2:2" s="221" customFormat="1" ht="12.75" x14ac:dyDescent="0.2">
      <c r="B65113" s="1168"/>
    </row>
    <row r="65114" spans="2:2" s="221" customFormat="1" ht="12.75" x14ac:dyDescent="0.2">
      <c r="B65114" s="1168"/>
    </row>
    <row r="65115" spans="2:2" s="221" customFormat="1" ht="12.75" x14ac:dyDescent="0.2">
      <c r="B65115" s="1168"/>
    </row>
    <row r="65116" spans="2:2" s="221" customFormat="1" ht="12.75" x14ac:dyDescent="0.2">
      <c r="B65116" s="1168"/>
    </row>
    <row r="65117" spans="2:2" s="221" customFormat="1" ht="12.75" x14ac:dyDescent="0.2">
      <c r="B65117" s="1168"/>
    </row>
    <row r="65118" spans="2:2" s="221" customFormat="1" ht="12.75" x14ac:dyDescent="0.2">
      <c r="B65118" s="1168"/>
    </row>
    <row r="65119" spans="2:2" s="221" customFormat="1" ht="12.75" x14ac:dyDescent="0.2">
      <c r="B65119" s="1168"/>
    </row>
    <row r="65120" spans="2:2" s="221" customFormat="1" ht="12.75" x14ac:dyDescent="0.2">
      <c r="B65120" s="1168"/>
    </row>
    <row r="65121" spans="2:2" s="221" customFormat="1" ht="12.75" x14ac:dyDescent="0.2">
      <c r="B65121" s="1168"/>
    </row>
    <row r="65122" spans="2:2" s="221" customFormat="1" ht="12.75" x14ac:dyDescent="0.2">
      <c r="B65122" s="1168"/>
    </row>
    <row r="65123" spans="2:2" s="221" customFormat="1" ht="12.75" x14ac:dyDescent="0.2">
      <c r="B65123" s="1168"/>
    </row>
    <row r="65124" spans="2:2" s="221" customFormat="1" ht="12.75" x14ac:dyDescent="0.2">
      <c r="B65124" s="1168"/>
    </row>
    <row r="65125" spans="2:2" s="221" customFormat="1" ht="12.75" x14ac:dyDescent="0.2">
      <c r="B65125" s="1168"/>
    </row>
    <row r="65126" spans="2:2" s="221" customFormat="1" ht="12.75" x14ac:dyDescent="0.2">
      <c r="B65126" s="1168"/>
    </row>
    <row r="65127" spans="2:2" s="221" customFormat="1" ht="12.75" x14ac:dyDescent="0.2">
      <c r="B65127" s="1168"/>
    </row>
    <row r="65128" spans="2:2" s="221" customFormat="1" ht="12.75" x14ac:dyDescent="0.2">
      <c r="B65128" s="1168"/>
    </row>
    <row r="65129" spans="2:2" s="221" customFormat="1" ht="12.75" x14ac:dyDescent="0.2">
      <c r="B65129" s="1168"/>
    </row>
    <row r="65130" spans="2:2" s="221" customFormat="1" ht="12.75" x14ac:dyDescent="0.2">
      <c r="B65130" s="1168"/>
    </row>
    <row r="65131" spans="2:2" s="221" customFormat="1" ht="12.75" x14ac:dyDescent="0.2">
      <c r="B65131" s="1168"/>
    </row>
    <row r="65132" spans="2:2" s="221" customFormat="1" ht="12.75" x14ac:dyDescent="0.2">
      <c r="B65132" s="1168"/>
    </row>
    <row r="65133" spans="2:2" s="221" customFormat="1" ht="12.75" x14ac:dyDescent="0.2">
      <c r="B65133" s="1168"/>
    </row>
    <row r="65134" spans="2:2" s="221" customFormat="1" ht="12.75" x14ac:dyDescent="0.2">
      <c r="B65134" s="1168"/>
    </row>
    <row r="65135" spans="2:2" s="221" customFormat="1" ht="12.75" x14ac:dyDescent="0.2">
      <c r="B65135" s="1168"/>
    </row>
    <row r="65136" spans="2:2" s="221" customFormat="1" ht="12.75" x14ac:dyDescent="0.2">
      <c r="B65136" s="1168"/>
    </row>
    <row r="65137" spans="2:2" s="221" customFormat="1" ht="12.75" x14ac:dyDescent="0.2">
      <c r="B65137" s="1168"/>
    </row>
    <row r="65138" spans="2:2" s="221" customFormat="1" ht="12.75" x14ac:dyDescent="0.2">
      <c r="B65138" s="1168"/>
    </row>
    <row r="65139" spans="2:2" s="221" customFormat="1" ht="12.75" x14ac:dyDescent="0.2">
      <c r="B65139" s="1168"/>
    </row>
    <row r="65140" spans="2:2" s="221" customFormat="1" ht="12.75" x14ac:dyDescent="0.2">
      <c r="B65140" s="1168"/>
    </row>
    <row r="65141" spans="2:2" s="221" customFormat="1" ht="12.75" x14ac:dyDescent="0.2">
      <c r="B65141" s="1168"/>
    </row>
    <row r="65142" spans="2:2" s="221" customFormat="1" ht="12.75" x14ac:dyDescent="0.2">
      <c r="B65142" s="1168"/>
    </row>
    <row r="65143" spans="2:2" s="221" customFormat="1" ht="12.75" x14ac:dyDescent="0.2">
      <c r="B65143" s="1168"/>
    </row>
    <row r="65144" spans="2:2" s="221" customFormat="1" ht="12.75" x14ac:dyDescent="0.2">
      <c r="B65144" s="1168"/>
    </row>
    <row r="65145" spans="2:2" s="221" customFormat="1" ht="12.75" x14ac:dyDescent="0.2">
      <c r="B65145" s="1168"/>
    </row>
    <row r="65146" spans="2:2" s="221" customFormat="1" ht="12.75" x14ac:dyDescent="0.2">
      <c r="B65146" s="1168"/>
    </row>
    <row r="65147" spans="2:2" s="221" customFormat="1" ht="12.75" x14ac:dyDescent="0.2">
      <c r="B65147" s="1168"/>
    </row>
    <row r="65148" spans="2:2" s="221" customFormat="1" ht="12.75" x14ac:dyDescent="0.2">
      <c r="B65148" s="1168"/>
    </row>
    <row r="65149" spans="2:2" s="221" customFormat="1" ht="12.75" x14ac:dyDescent="0.2">
      <c r="B65149" s="1168"/>
    </row>
    <row r="65150" spans="2:2" s="221" customFormat="1" ht="12.75" x14ac:dyDescent="0.2">
      <c r="B65150" s="1168"/>
    </row>
    <row r="65151" spans="2:2" s="221" customFormat="1" ht="12.75" x14ac:dyDescent="0.2">
      <c r="B65151" s="1168"/>
    </row>
    <row r="65152" spans="2:2" s="221" customFormat="1" ht="12.75" x14ac:dyDescent="0.2">
      <c r="B65152" s="1168"/>
    </row>
    <row r="65153" spans="2:2" s="221" customFormat="1" ht="12.75" x14ac:dyDescent="0.2">
      <c r="B65153" s="1168"/>
    </row>
    <row r="65154" spans="2:2" s="221" customFormat="1" ht="12.75" x14ac:dyDescent="0.2">
      <c r="B65154" s="1168"/>
    </row>
    <row r="65155" spans="2:2" s="221" customFormat="1" ht="12.75" x14ac:dyDescent="0.2">
      <c r="B65155" s="1168"/>
    </row>
    <row r="65156" spans="2:2" s="221" customFormat="1" ht="12.75" x14ac:dyDescent="0.2">
      <c r="B65156" s="1168"/>
    </row>
    <row r="65157" spans="2:2" s="221" customFormat="1" ht="12.75" x14ac:dyDescent="0.2">
      <c r="B65157" s="1168"/>
    </row>
    <row r="65158" spans="2:2" s="221" customFormat="1" ht="12.75" x14ac:dyDescent="0.2">
      <c r="B65158" s="1168"/>
    </row>
    <row r="65159" spans="2:2" s="221" customFormat="1" ht="12.75" x14ac:dyDescent="0.2">
      <c r="B65159" s="1168"/>
    </row>
    <row r="65160" spans="2:2" s="221" customFormat="1" ht="12.75" x14ac:dyDescent="0.2">
      <c r="B65160" s="1168"/>
    </row>
    <row r="65161" spans="2:2" s="221" customFormat="1" ht="12.75" x14ac:dyDescent="0.2">
      <c r="B65161" s="1168"/>
    </row>
    <row r="65162" spans="2:2" s="221" customFormat="1" ht="12.75" x14ac:dyDescent="0.2">
      <c r="B65162" s="1168"/>
    </row>
    <row r="65163" spans="2:2" s="221" customFormat="1" ht="12.75" x14ac:dyDescent="0.2">
      <c r="B65163" s="1168"/>
    </row>
    <row r="65164" spans="2:2" s="221" customFormat="1" ht="12.75" x14ac:dyDescent="0.2">
      <c r="B65164" s="1168"/>
    </row>
    <row r="65165" spans="2:2" s="221" customFormat="1" ht="12.75" x14ac:dyDescent="0.2">
      <c r="B65165" s="1168"/>
    </row>
    <row r="65166" spans="2:2" s="221" customFormat="1" ht="12.75" x14ac:dyDescent="0.2">
      <c r="B65166" s="1168"/>
    </row>
    <row r="65167" spans="2:2" s="221" customFormat="1" ht="12.75" x14ac:dyDescent="0.2">
      <c r="B65167" s="1168"/>
    </row>
    <row r="65168" spans="2:2" s="221" customFormat="1" ht="12.75" x14ac:dyDescent="0.2">
      <c r="B65168" s="1168"/>
    </row>
    <row r="65169" spans="2:2" s="221" customFormat="1" ht="12.75" x14ac:dyDescent="0.2">
      <c r="B65169" s="1168"/>
    </row>
    <row r="65170" spans="2:2" s="221" customFormat="1" ht="12.75" x14ac:dyDescent="0.2">
      <c r="B65170" s="1168"/>
    </row>
    <row r="65171" spans="2:2" s="221" customFormat="1" ht="12.75" x14ac:dyDescent="0.2">
      <c r="B65171" s="1168"/>
    </row>
    <row r="65172" spans="2:2" s="221" customFormat="1" ht="12.75" x14ac:dyDescent="0.2">
      <c r="B65172" s="1168"/>
    </row>
    <row r="65173" spans="2:2" s="221" customFormat="1" ht="12.75" x14ac:dyDescent="0.2">
      <c r="B65173" s="1168"/>
    </row>
    <row r="65174" spans="2:2" s="221" customFormat="1" ht="12.75" x14ac:dyDescent="0.2">
      <c r="B65174" s="1168"/>
    </row>
    <row r="65175" spans="2:2" s="221" customFormat="1" ht="12.75" x14ac:dyDescent="0.2">
      <c r="B65175" s="1168"/>
    </row>
    <row r="65176" spans="2:2" s="221" customFormat="1" ht="12.75" x14ac:dyDescent="0.2">
      <c r="B65176" s="1168"/>
    </row>
    <row r="65177" spans="2:2" s="221" customFormat="1" ht="12.75" x14ac:dyDescent="0.2">
      <c r="B65177" s="1168"/>
    </row>
    <row r="65178" spans="2:2" s="221" customFormat="1" ht="12.75" x14ac:dyDescent="0.2">
      <c r="B65178" s="1168"/>
    </row>
    <row r="65179" spans="2:2" s="221" customFormat="1" ht="12.75" x14ac:dyDescent="0.2">
      <c r="B65179" s="1168"/>
    </row>
    <row r="65180" spans="2:2" s="221" customFormat="1" ht="12.75" x14ac:dyDescent="0.2">
      <c r="B65180" s="1168"/>
    </row>
    <row r="65181" spans="2:2" s="221" customFormat="1" ht="12.75" x14ac:dyDescent="0.2">
      <c r="B65181" s="1168"/>
    </row>
    <row r="65182" spans="2:2" s="221" customFormat="1" ht="12.75" x14ac:dyDescent="0.2">
      <c r="B65182" s="1168"/>
    </row>
    <row r="65183" spans="2:2" s="221" customFormat="1" ht="12.75" x14ac:dyDescent="0.2">
      <c r="B65183" s="1168"/>
    </row>
    <row r="65184" spans="2:2" s="221" customFormat="1" ht="12.75" x14ac:dyDescent="0.2">
      <c r="B65184" s="1168"/>
    </row>
    <row r="65185" spans="2:2" s="221" customFormat="1" ht="12.75" x14ac:dyDescent="0.2">
      <c r="B65185" s="1168"/>
    </row>
    <row r="65186" spans="2:2" s="221" customFormat="1" ht="12.75" x14ac:dyDescent="0.2">
      <c r="B65186" s="1168"/>
    </row>
    <row r="65187" spans="2:2" s="221" customFormat="1" ht="12.75" x14ac:dyDescent="0.2">
      <c r="B65187" s="1168"/>
    </row>
    <row r="65188" spans="2:2" s="221" customFormat="1" ht="12.75" x14ac:dyDescent="0.2">
      <c r="B65188" s="1168"/>
    </row>
    <row r="65189" spans="2:2" s="221" customFormat="1" ht="12.75" x14ac:dyDescent="0.2">
      <c r="B65189" s="1168"/>
    </row>
    <row r="65190" spans="2:2" s="221" customFormat="1" ht="12.75" x14ac:dyDescent="0.2">
      <c r="B65190" s="1168"/>
    </row>
    <row r="65191" spans="2:2" s="221" customFormat="1" ht="12.75" x14ac:dyDescent="0.2">
      <c r="B65191" s="1168"/>
    </row>
    <row r="65192" spans="2:2" s="221" customFormat="1" ht="12.75" x14ac:dyDescent="0.2">
      <c r="B65192" s="1168"/>
    </row>
    <row r="65193" spans="2:2" s="221" customFormat="1" ht="12.75" x14ac:dyDescent="0.2">
      <c r="B65193" s="1168"/>
    </row>
    <row r="65194" spans="2:2" s="221" customFormat="1" ht="12.75" x14ac:dyDescent="0.2">
      <c r="B65194" s="1168"/>
    </row>
    <row r="65195" spans="2:2" s="221" customFormat="1" ht="12.75" x14ac:dyDescent="0.2">
      <c r="B65195" s="1168"/>
    </row>
    <row r="65196" spans="2:2" s="221" customFormat="1" ht="12.75" x14ac:dyDescent="0.2">
      <c r="B65196" s="1168"/>
    </row>
    <row r="65197" spans="2:2" s="221" customFormat="1" ht="12.75" x14ac:dyDescent="0.2">
      <c r="B65197" s="1168"/>
    </row>
    <row r="65198" spans="2:2" s="221" customFormat="1" ht="12.75" x14ac:dyDescent="0.2">
      <c r="B65198" s="1168"/>
    </row>
    <row r="65199" spans="2:2" s="221" customFormat="1" ht="12.75" x14ac:dyDescent="0.2">
      <c r="B65199" s="1168"/>
    </row>
    <row r="65200" spans="2:2" s="221" customFormat="1" ht="12.75" x14ac:dyDescent="0.2">
      <c r="B65200" s="1168"/>
    </row>
    <row r="65201" spans="2:2" s="221" customFormat="1" ht="12.75" x14ac:dyDescent="0.2">
      <c r="B65201" s="1168"/>
    </row>
    <row r="65202" spans="2:2" s="221" customFormat="1" ht="12.75" x14ac:dyDescent="0.2">
      <c r="B65202" s="1168"/>
    </row>
    <row r="65203" spans="2:2" s="221" customFormat="1" ht="12.75" x14ac:dyDescent="0.2">
      <c r="B65203" s="1168"/>
    </row>
    <row r="65204" spans="2:2" s="221" customFormat="1" ht="12.75" x14ac:dyDescent="0.2">
      <c r="B65204" s="1168"/>
    </row>
    <row r="65205" spans="2:2" s="221" customFormat="1" ht="12.75" x14ac:dyDescent="0.2">
      <c r="B65205" s="1168"/>
    </row>
    <row r="65206" spans="2:2" s="221" customFormat="1" ht="12.75" x14ac:dyDescent="0.2">
      <c r="B65206" s="1168"/>
    </row>
    <row r="65207" spans="2:2" s="221" customFormat="1" ht="12.75" x14ac:dyDescent="0.2">
      <c r="B65207" s="1168"/>
    </row>
    <row r="65208" spans="2:2" s="221" customFormat="1" ht="12.75" x14ac:dyDescent="0.2">
      <c r="B65208" s="1168"/>
    </row>
    <row r="65209" spans="2:2" s="221" customFormat="1" ht="12.75" x14ac:dyDescent="0.2">
      <c r="B65209" s="1168"/>
    </row>
    <row r="65210" spans="2:2" s="221" customFormat="1" ht="12.75" x14ac:dyDescent="0.2">
      <c r="B65210" s="1168"/>
    </row>
    <row r="65211" spans="2:2" s="221" customFormat="1" ht="12.75" x14ac:dyDescent="0.2">
      <c r="B65211" s="1168"/>
    </row>
    <row r="65212" spans="2:2" s="221" customFormat="1" ht="12.75" x14ac:dyDescent="0.2">
      <c r="B65212" s="1168"/>
    </row>
    <row r="65213" spans="2:2" s="221" customFormat="1" ht="12.75" x14ac:dyDescent="0.2">
      <c r="B65213" s="1168"/>
    </row>
    <row r="65214" spans="2:2" s="221" customFormat="1" ht="12.75" x14ac:dyDescent="0.2">
      <c r="B65214" s="1168"/>
    </row>
    <row r="65215" spans="2:2" s="221" customFormat="1" ht="12.75" x14ac:dyDescent="0.2">
      <c r="B65215" s="1168"/>
    </row>
    <row r="65216" spans="2:2" s="221" customFormat="1" ht="12.75" x14ac:dyDescent="0.2">
      <c r="B65216" s="1168"/>
    </row>
    <row r="65217" spans="2:2" s="221" customFormat="1" ht="12.75" x14ac:dyDescent="0.2">
      <c r="B65217" s="1168"/>
    </row>
    <row r="65218" spans="2:2" s="221" customFormat="1" ht="12.75" x14ac:dyDescent="0.2">
      <c r="B65218" s="1168"/>
    </row>
    <row r="65219" spans="2:2" s="221" customFormat="1" ht="12.75" x14ac:dyDescent="0.2">
      <c r="B65219" s="1168"/>
    </row>
    <row r="65220" spans="2:2" s="221" customFormat="1" ht="12.75" x14ac:dyDescent="0.2">
      <c r="B65220" s="1168"/>
    </row>
    <row r="65221" spans="2:2" s="221" customFormat="1" ht="12.75" x14ac:dyDescent="0.2">
      <c r="B65221" s="1168"/>
    </row>
    <row r="65222" spans="2:2" s="221" customFormat="1" ht="12.75" x14ac:dyDescent="0.2">
      <c r="B65222" s="1168"/>
    </row>
    <row r="65223" spans="2:2" s="221" customFormat="1" ht="12.75" x14ac:dyDescent="0.2">
      <c r="B65223" s="1168"/>
    </row>
    <row r="65224" spans="2:2" s="221" customFormat="1" ht="12.75" x14ac:dyDescent="0.2">
      <c r="B65224" s="1168"/>
    </row>
    <row r="65225" spans="2:2" s="221" customFormat="1" ht="12.75" x14ac:dyDescent="0.2">
      <c r="B65225" s="1168"/>
    </row>
    <row r="65226" spans="2:2" s="221" customFormat="1" ht="12.75" x14ac:dyDescent="0.2">
      <c r="B65226" s="1168"/>
    </row>
    <row r="65227" spans="2:2" s="221" customFormat="1" ht="12.75" x14ac:dyDescent="0.2">
      <c r="B65227" s="1168"/>
    </row>
    <row r="65228" spans="2:2" s="221" customFormat="1" ht="12.75" x14ac:dyDescent="0.2">
      <c r="B65228" s="1168"/>
    </row>
    <row r="65229" spans="2:2" s="221" customFormat="1" ht="12.75" x14ac:dyDescent="0.2">
      <c r="B65229" s="1168"/>
    </row>
    <row r="65230" spans="2:2" s="221" customFormat="1" ht="12.75" x14ac:dyDescent="0.2">
      <c r="B65230" s="1168"/>
    </row>
    <row r="65231" spans="2:2" s="221" customFormat="1" ht="12.75" x14ac:dyDescent="0.2">
      <c r="B65231" s="1168"/>
    </row>
    <row r="65232" spans="2:2" s="221" customFormat="1" ht="12.75" x14ac:dyDescent="0.2">
      <c r="B65232" s="1168"/>
    </row>
    <row r="65233" spans="2:2" s="221" customFormat="1" ht="12.75" x14ac:dyDescent="0.2">
      <c r="B65233" s="1168"/>
    </row>
    <row r="65234" spans="2:2" s="221" customFormat="1" ht="12.75" x14ac:dyDescent="0.2">
      <c r="B65234" s="1168"/>
    </row>
    <row r="65235" spans="2:2" s="221" customFormat="1" ht="12.75" x14ac:dyDescent="0.2">
      <c r="B65235" s="1168"/>
    </row>
    <row r="65236" spans="2:2" s="221" customFormat="1" ht="12.75" x14ac:dyDescent="0.2">
      <c r="B65236" s="1168"/>
    </row>
    <row r="65237" spans="2:2" s="221" customFormat="1" ht="12.75" x14ac:dyDescent="0.2">
      <c r="B65237" s="1168"/>
    </row>
    <row r="65238" spans="2:2" s="221" customFormat="1" ht="12.75" x14ac:dyDescent="0.2">
      <c r="B65238" s="1168"/>
    </row>
    <row r="65239" spans="2:2" s="221" customFormat="1" ht="12.75" x14ac:dyDescent="0.2">
      <c r="B65239" s="1168"/>
    </row>
    <row r="65240" spans="2:2" s="221" customFormat="1" ht="12.75" x14ac:dyDescent="0.2">
      <c r="B65240" s="1168"/>
    </row>
    <row r="65241" spans="2:2" s="221" customFormat="1" ht="12.75" x14ac:dyDescent="0.2">
      <c r="B65241" s="1168"/>
    </row>
    <row r="65242" spans="2:2" s="221" customFormat="1" ht="12.75" x14ac:dyDescent="0.2">
      <c r="B65242" s="1168"/>
    </row>
    <row r="65243" spans="2:2" s="221" customFormat="1" ht="12.75" x14ac:dyDescent="0.2">
      <c r="B65243" s="1168"/>
    </row>
    <row r="65244" spans="2:2" s="221" customFormat="1" ht="12.75" x14ac:dyDescent="0.2">
      <c r="B65244" s="1168"/>
    </row>
    <row r="65245" spans="2:2" s="221" customFormat="1" ht="12.75" x14ac:dyDescent="0.2">
      <c r="B65245" s="1168"/>
    </row>
    <row r="65246" spans="2:2" s="221" customFormat="1" ht="12.75" x14ac:dyDescent="0.2">
      <c r="B65246" s="1168"/>
    </row>
    <row r="65247" spans="2:2" s="221" customFormat="1" ht="12.75" x14ac:dyDescent="0.2">
      <c r="B65247" s="1168"/>
    </row>
    <row r="65248" spans="2:2" s="221" customFormat="1" ht="12.75" x14ac:dyDescent="0.2">
      <c r="B65248" s="1168"/>
    </row>
    <row r="65249" spans="2:2" s="221" customFormat="1" ht="12.75" x14ac:dyDescent="0.2">
      <c r="B65249" s="1168"/>
    </row>
    <row r="65250" spans="2:2" s="221" customFormat="1" ht="12.75" x14ac:dyDescent="0.2">
      <c r="B65250" s="1168"/>
    </row>
    <row r="65251" spans="2:2" s="221" customFormat="1" ht="12.75" x14ac:dyDescent="0.2">
      <c r="B65251" s="1168"/>
    </row>
    <row r="65252" spans="2:2" s="221" customFormat="1" ht="12.75" x14ac:dyDescent="0.2">
      <c r="B65252" s="1168"/>
    </row>
    <row r="65253" spans="2:2" s="221" customFormat="1" ht="12.75" x14ac:dyDescent="0.2">
      <c r="B65253" s="1168"/>
    </row>
    <row r="65254" spans="2:2" s="221" customFormat="1" ht="12.75" x14ac:dyDescent="0.2">
      <c r="B65254" s="1168"/>
    </row>
    <row r="65255" spans="2:2" s="221" customFormat="1" ht="12.75" x14ac:dyDescent="0.2">
      <c r="B65255" s="1168"/>
    </row>
    <row r="65256" spans="2:2" s="221" customFormat="1" ht="12.75" x14ac:dyDescent="0.2">
      <c r="B65256" s="1168"/>
    </row>
    <row r="65257" spans="2:2" s="221" customFormat="1" ht="12.75" x14ac:dyDescent="0.2">
      <c r="B65257" s="1168"/>
    </row>
    <row r="65258" spans="2:2" s="221" customFormat="1" ht="12.75" x14ac:dyDescent="0.2">
      <c r="B65258" s="1168"/>
    </row>
    <row r="65259" spans="2:2" s="221" customFormat="1" ht="12.75" x14ac:dyDescent="0.2">
      <c r="B65259" s="1168"/>
    </row>
    <row r="65260" spans="2:2" s="221" customFormat="1" ht="12.75" x14ac:dyDescent="0.2">
      <c r="B65260" s="1168"/>
    </row>
    <row r="65261" spans="2:2" s="221" customFormat="1" ht="12.75" x14ac:dyDescent="0.2">
      <c r="B65261" s="1168"/>
    </row>
    <row r="65262" spans="2:2" s="221" customFormat="1" ht="12.75" x14ac:dyDescent="0.2">
      <c r="B65262" s="1168"/>
    </row>
    <row r="65263" spans="2:2" s="221" customFormat="1" ht="12.75" x14ac:dyDescent="0.2">
      <c r="B65263" s="1168"/>
    </row>
    <row r="65264" spans="2:2" s="221" customFormat="1" ht="12.75" x14ac:dyDescent="0.2">
      <c r="B65264" s="1168"/>
    </row>
    <row r="65265" spans="2:2" s="221" customFormat="1" ht="12.75" x14ac:dyDescent="0.2">
      <c r="B65265" s="1168"/>
    </row>
    <row r="65266" spans="2:2" s="221" customFormat="1" ht="12.75" x14ac:dyDescent="0.2">
      <c r="B65266" s="1168"/>
    </row>
    <row r="65267" spans="2:2" s="221" customFormat="1" ht="12.75" x14ac:dyDescent="0.2">
      <c r="B65267" s="1168"/>
    </row>
    <row r="65268" spans="2:2" s="221" customFormat="1" ht="12.75" x14ac:dyDescent="0.2">
      <c r="B65268" s="1168"/>
    </row>
    <row r="65269" spans="2:2" s="221" customFormat="1" ht="12.75" x14ac:dyDescent="0.2">
      <c r="B65269" s="1168"/>
    </row>
    <row r="65270" spans="2:2" s="221" customFormat="1" ht="12.75" x14ac:dyDescent="0.2">
      <c r="B65270" s="1168"/>
    </row>
    <row r="65271" spans="2:2" s="221" customFormat="1" ht="12.75" x14ac:dyDescent="0.2">
      <c r="B65271" s="1168"/>
    </row>
    <row r="65272" spans="2:2" s="221" customFormat="1" ht="12.75" x14ac:dyDescent="0.2">
      <c r="B65272" s="1168"/>
    </row>
    <row r="65273" spans="2:2" s="221" customFormat="1" ht="12.75" x14ac:dyDescent="0.2">
      <c r="B65273" s="1168"/>
    </row>
    <row r="65274" spans="2:2" s="221" customFormat="1" ht="12.75" x14ac:dyDescent="0.2">
      <c r="B65274" s="1168"/>
    </row>
    <row r="65275" spans="2:2" s="221" customFormat="1" ht="12.75" x14ac:dyDescent="0.2">
      <c r="B65275" s="1168"/>
    </row>
    <row r="65276" spans="2:2" s="221" customFormat="1" ht="12.75" x14ac:dyDescent="0.2">
      <c r="B65276" s="1168"/>
    </row>
    <row r="65277" spans="2:2" s="221" customFormat="1" ht="12.75" x14ac:dyDescent="0.2">
      <c r="B65277" s="1168"/>
    </row>
    <row r="65278" spans="2:2" s="221" customFormat="1" ht="12.75" x14ac:dyDescent="0.2">
      <c r="B65278" s="1168"/>
    </row>
    <row r="65279" spans="2:2" s="221" customFormat="1" ht="12.75" x14ac:dyDescent="0.2">
      <c r="B65279" s="1168"/>
    </row>
    <row r="65280" spans="2:2" s="221" customFormat="1" ht="12.75" x14ac:dyDescent="0.2">
      <c r="B65280" s="1168"/>
    </row>
    <row r="65281" spans="2:2" s="221" customFormat="1" ht="12.75" x14ac:dyDescent="0.2">
      <c r="B65281" s="1168"/>
    </row>
    <row r="65282" spans="2:2" s="221" customFormat="1" ht="12.75" x14ac:dyDescent="0.2">
      <c r="B65282" s="1168"/>
    </row>
    <row r="65283" spans="2:2" s="221" customFormat="1" ht="12.75" x14ac:dyDescent="0.2">
      <c r="B65283" s="1168"/>
    </row>
    <row r="65284" spans="2:2" s="221" customFormat="1" ht="12.75" x14ac:dyDescent="0.2">
      <c r="B65284" s="1168"/>
    </row>
    <row r="65285" spans="2:2" s="221" customFormat="1" ht="12.75" x14ac:dyDescent="0.2">
      <c r="B65285" s="1168"/>
    </row>
    <row r="65286" spans="2:2" s="221" customFormat="1" ht="12.75" x14ac:dyDescent="0.2">
      <c r="B65286" s="1168"/>
    </row>
    <row r="65287" spans="2:2" s="221" customFormat="1" ht="12.75" x14ac:dyDescent="0.2">
      <c r="B65287" s="1168"/>
    </row>
    <row r="65288" spans="2:2" s="221" customFormat="1" ht="12.75" x14ac:dyDescent="0.2">
      <c r="B65288" s="1168"/>
    </row>
    <row r="65289" spans="2:2" s="221" customFormat="1" ht="12.75" x14ac:dyDescent="0.2">
      <c r="B65289" s="1168"/>
    </row>
    <row r="65290" spans="2:2" s="221" customFormat="1" ht="12.75" x14ac:dyDescent="0.2">
      <c r="B65290" s="1168"/>
    </row>
    <row r="65291" spans="2:2" s="221" customFormat="1" ht="12.75" x14ac:dyDescent="0.2">
      <c r="B65291" s="1168"/>
    </row>
    <row r="65292" spans="2:2" s="221" customFormat="1" ht="12.75" x14ac:dyDescent="0.2">
      <c r="B65292" s="1168"/>
    </row>
    <row r="65293" spans="2:2" s="221" customFormat="1" ht="12.75" x14ac:dyDescent="0.2">
      <c r="B65293" s="1168"/>
    </row>
    <row r="65294" spans="2:2" s="221" customFormat="1" ht="12.75" x14ac:dyDescent="0.2">
      <c r="B65294" s="1168"/>
    </row>
    <row r="65295" spans="2:2" s="221" customFormat="1" ht="12.75" x14ac:dyDescent="0.2">
      <c r="B65295" s="1168"/>
    </row>
    <row r="65296" spans="2:2" s="221" customFormat="1" ht="12.75" x14ac:dyDescent="0.2">
      <c r="B65296" s="1168"/>
    </row>
    <row r="65297" spans="2:2" s="221" customFormat="1" ht="12.75" x14ac:dyDescent="0.2">
      <c r="B65297" s="1168"/>
    </row>
    <row r="65298" spans="2:2" s="221" customFormat="1" ht="12.75" x14ac:dyDescent="0.2">
      <c r="B65298" s="1168"/>
    </row>
    <row r="65299" spans="2:2" s="221" customFormat="1" ht="12.75" x14ac:dyDescent="0.2">
      <c r="B65299" s="1168"/>
    </row>
    <row r="65300" spans="2:2" s="221" customFormat="1" ht="12.75" x14ac:dyDescent="0.2">
      <c r="B65300" s="1168"/>
    </row>
    <row r="65301" spans="2:2" s="221" customFormat="1" ht="12.75" x14ac:dyDescent="0.2">
      <c r="B65301" s="1168"/>
    </row>
    <row r="65302" spans="2:2" s="221" customFormat="1" ht="12.75" x14ac:dyDescent="0.2">
      <c r="B65302" s="1168"/>
    </row>
    <row r="65303" spans="2:2" s="221" customFormat="1" ht="12.75" x14ac:dyDescent="0.2">
      <c r="B65303" s="1168"/>
    </row>
    <row r="65304" spans="2:2" s="221" customFormat="1" ht="12.75" x14ac:dyDescent="0.2">
      <c r="B65304" s="1168"/>
    </row>
    <row r="65305" spans="2:2" s="221" customFormat="1" ht="12.75" x14ac:dyDescent="0.2">
      <c r="B65305" s="1168"/>
    </row>
    <row r="65306" spans="2:2" s="221" customFormat="1" ht="12.75" x14ac:dyDescent="0.2">
      <c r="B65306" s="1168"/>
    </row>
    <row r="65307" spans="2:2" s="221" customFormat="1" ht="12.75" x14ac:dyDescent="0.2">
      <c r="B65307" s="1168"/>
    </row>
    <row r="65308" spans="2:2" s="221" customFormat="1" ht="12.75" x14ac:dyDescent="0.2">
      <c r="B65308" s="1168"/>
    </row>
    <row r="65309" spans="2:2" s="221" customFormat="1" ht="12.75" x14ac:dyDescent="0.2">
      <c r="B65309" s="1168"/>
    </row>
    <row r="65310" spans="2:2" s="221" customFormat="1" ht="12.75" x14ac:dyDescent="0.2">
      <c r="B65310" s="1168"/>
    </row>
    <row r="65311" spans="2:2" s="221" customFormat="1" ht="12.75" x14ac:dyDescent="0.2">
      <c r="B65311" s="1168"/>
    </row>
    <row r="65312" spans="2:2" s="221" customFormat="1" ht="12.75" x14ac:dyDescent="0.2">
      <c r="B65312" s="1168"/>
    </row>
    <row r="65313" spans="2:2" s="221" customFormat="1" ht="12.75" x14ac:dyDescent="0.2">
      <c r="B65313" s="1168"/>
    </row>
    <row r="65314" spans="2:2" s="221" customFormat="1" ht="12.75" x14ac:dyDescent="0.2">
      <c r="B65314" s="1168"/>
    </row>
    <row r="65315" spans="2:2" s="221" customFormat="1" ht="12.75" x14ac:dyDescent="0.2">
      <c r="B65315" s="1168"/>
    </row>
    <row r="65316" spans="2:2" s="221" customFormat="1" ht="12.75" x14ac:dyDescent="0.2">
      <c r="B65316" s="1168"/>
    </row>
    <row r="65317" spans="2:2" s="221" customFormat="1" ht="12.75" x14ac:dyDescent="0.2">
      <c r="B65317" s="1168"/>
    </row>
    <row r="65318" spans="2:2" s="221" customFormat="1" ht="12.75" x14ac:dyDescent="0.2">
      <c r="B65318" s="1168"/>
    </row>
    <row r="65319" spans="2:2" s="221" customFormat="1" ht="12.75" x14ac:dyDescent="0.2">
      <c r="B65319" s="1168"/>
    </row>
    <row r="65320" spans="2:2" s="221" customFormat="1" ht="12.75" x14ac:dyDescent="0.2">
      <c r="B65320" s="1168"/>
    </row>
    <row r="65321" spans="2:2" s="221" customFormat="1" ht="12.75" x14ac:dyDescent="0.2">
      <c r="B65321" s="1168"/>
    </row>
    <row r="65322" spans="2:2" s="221" customFormat="1" ht="12.75" x14ac:dyDescent="0.2">
      <c r="B65322" s="1168"/>
    </row>
    <row r="65323" spans="2:2" s="221" customFormat="1" ht="12.75" x14ac:dyDescent="0.2">
      <c r="B65323" s="1168"/>
    </row>
    <row r="65324" spans="2:2" s="221" customFormat="1" ht="12.75" x14ac:dyDescent="0.2">
      <c r="B65324" s="1168"/>
    </row>
    <row r="65325" spans="2:2" s="221" customFormat="1" ht="12.75" x14ac:dyDescent="0.2">
      <c r="B65325" s="1168"/>
    </row>
    <row r="65326" spans="2:2" s="221" customFormat="1" ht="12.75" x14ac:dyDescent="0.2">
      <c r="B65326" s="1168"/>
    </row>
    <row r="65327" spans="2:2" s="221" customFormat="1" ht="12.75" x14ac:dyDescent="0.2">
      <c r="B65327" s="1168"/>
    </row>
    <row r="65328" spans="2:2" s="221" customFormat="1" ht="12.75" x14ac:dyDescent="0.2">
      <c r="B65328" s="1168"/>
    </row>
    <row r="65329" spans="2:2" s="221" customFormat="1" ht="12.75" x14ac:dyDescent="0.2">
      <c r="B65329" s="1168"/>
    </row>
    <row r="65330" spans="2:2" s="221" customFormat="1" ht="12.75" x14ac:dyDescent="0.2">
      <c r="B65330" s="1168"/>
    </row>
    <row r="65331" spans="2:2" s="221" customFormat="1" ht="12.75" x14ac:dyDescent="0.2">
      <c r="B65331" s="1168"/>
    </row>
    <row r="65332" spans="2:2" s="221" customFormat="1" ht="12.75" x14ac:dyDescent="0.2">
      <c r="B65332" s="1168"/>
    </row>
    <row r="65333" spans="2:2" s="221" customFormat="1" ht="12.75" x14ac:dyDescent="0.2">
      <c r="B65333" s="1168"/>
    </row>
    <row r="65334" spans="2:2" s="221" customFormat="1" ht="12.75" x14ac:dyDescent="0.2">
      <c r="B65334" s="1168"/>
    </row>
    <row r="65335" spans="2:2" s="221" customFormat="1" ht="12.75" x14ac:dyDescent="0.2">
      <c r="B65335" s="1168"/>
    </row>
    <row r="65336" spans="2:2" s="221" customFormat="1" ht="12.75" x14ac:dyDescent="0.2">
      <c r="B65336" s="1168"/>
    </row>
    <row r="65337" spans="2:2" s="221" customFormat="1" ht="12.75" x14ac:dyDescent="0.2">
      <c r="B65337" s="1168"/>
    </row>
    <row r="65338" spans="2:2" s="221" customFormat="1" ht="12.75" x14ac:dyDescent="0.2">
      <c r="B65338" s="1168"/>
    </row>
    <row r="65339" spans="2:2" s="221" customFormat="1" ht="12.75" x14ac:dyDescent="0.2">
      <c r="B65339" s="1168"/>
    </row>
    <row r="65340" spans="2:2" s="221" customFormat="1" ht="12.75" x14ac:dyDescent="0.2">
      <c r="B65340" s="1168"/>
    </row>
    <row r="65341" spans="2:2" s="221" customFormat="1" ht="12.75" x14ac:dyDescent="0.2">
      <c r="B65341" s="1168"/>
    </row>
    <row r="65342" spans="2:2" s="221" customFormat="1" ht="12.75" x14ac:dyDescent="0.2">
      <c r="B65342" s="1168"/>
    </row>
    <row r="65343" spans="2:2" s="221" customFormat="1" ht="12.75" x14ac:dyDescent="0.2">
      <c r="B65343" s="1168"/>
    </row>
    <row r="65344" spans="2:2" s="221" customFormat="1" ht="12.75" x14ac:dyDescent="0.2">
      <c r="B65344" s="1168"/>
    </row>
    <row r="65345" spans="2:2" s="221" customFormat="1" ht="12.75" x14ac:dyDescent="0.2">
      <c r="B65345" s="1168"/>
    </row>
    <row r="65346" spans="2:2" s="221" customFormat="1" ht="12.75" x14ac:dyDescent="0.2">
      <c r="B65346" s="1168"/>
    </row>
    <row r="65347" spans="2:2" s="221" customFormat="1" ht="12.75" x14ac:dyDescent="0.2">
      <c r="B65347" s="1168"/>
    </row>
    <row r="65348" spans="2:2" s="221" customFormat="1" ht="12.75" x14ac:dyDescent="0.2">
      <c r="B65348" s="1168"/>
    </row>
    <row r="65349" spans="2:2" s="221" customFormat="1" ht="12.75" x14ac:dyDescent="0.2">
      <c r="B65349" s="1168"/>
    </row>
    <row r="65350" spans="2:2" s="221" customFormat="1" ht="12.75" x14ac:dyDescent="0.2">
      <c r="B65350" s="1168"/>
    </row>
    <row r="65351" spans="2:2" s="221" customFormat="1" ht="12.75" x14ac:dyDescent="0.2">
      <c r="B65351" s="1168"/>
    </row>
    <row r="65352" spans="2:2" s="221" customFormat="1" ht="12.75" x14ac:dyDescent="0.2">
      <c r="B65352" s="1168"/>
    </row>
    <row r="65353" spans="2:2" s="221" customFormat="1" ht="12.75" x14ac:dyDescent="0.2">
      <c r="B65353" s="1168"/>
    </row>
    <row r="65354" spans="2:2" s="221" customFormat="1" ht="12.75" x14ac:dyDescent="0.2">
      <c r="B65354" s="1168"/>
    </row>
    <row r="65355" spans="2:2" s="221" customFormat="1" ht="12.75" x14ac:dyDescent="0.2">
      <c r="B65355" s="1168"/>
    </row>
    <row r="65356" spans="2:2" s="221" customFormat="1" ht="12.75" x14ac:dyDescent="0.2">
      <c r="B65356" s="1168"/>
    </row>
    <row r="65357" spans="2:2" s="221" customFormat="1" ht="12.75" x14ac:dyDescent="0.2">
      <c r="B65357" s="1168"/>
    </row>
    <row r="65358" spans="2:2" s="221" customFormat="1" ht="12.75" x14ac:dyDescent="0.2">
      <c r="B65358" s="1168"/>
    </row>
    <row r="65359" spans="2:2" s="221" customFormat="1" ht="12.75" x14ac:dyDescent="0.2">
      <c r="B65359" s="1168"/>
    </row>
    <row r="65360" spans="2:2" s="221" customFormat="1" ht="12.75" x14ac:dyDescent="0.2">
      <c r="B65360" s="1168"/>
    </row>
    <row r="65361" spans="2:2" s="221" customFormat="1" ht="12.75" x14ac:dyDescent="0.2">
      <c r="B65361" s="1168"/>
    </row>
    <row r="65362" spans="2:2" s="221" customFormat="1" ht="12.75" x14ac:dyDescent="0.2">
      <c r="B65362" s="1168"/>
    </row>
    <row r="65363" spans="2:2" s="221" customFormat="1" ht="12.75" x14ac:dyDescent="0.2">
      <c r="B65363" s="1168"/>
    </row>
    <row r="65364" spans="2:2" s="221" customFormat="1" ht="12.75" x14ac:dyDescent="0.2">
      <c r="B65364" s="1168"/>
    </row>
    <row r="65365" spans="2:2" s="221" customFormat="1" ht="12.75" x14ac:dyDescent="0.2">
      <c r="B65365" s="1168"/>
    </row>
    <row r="65366" spans="2:2" s="221" customFormat="1" ht="12.75" x14ac:dyDescent="0.2">
      <c r="B65366" s="1168"/>
    </row>
    <row r="65367" spans="2:2" s="221" customFormat="1" ht="12.75" x14ac:dyDescent="0.2">
      <c r="B65367" s="1168"/>
    </row>
    <row r="65368" spans="2:2" s="221" customFormat="1" ht="12.75" x14ac:dyDescent="0.2">
      <c r="B65368" s="1168"/>
    </row>
    <row r="65369" spans="2:2" s="221" customFormat="1" ht="12.75" x14ac:dyDescent="0.2">
      <c r="B65369" s="1168"/>
    </row>
    <row r="65370" spans="2:2" s="221" customFormat="1" ht="12.75" x14ac:dyDescent="0.2">
      <c r="B65370" s="1168"/>
    </row>
    <row r="65371" spans="2:2" s="221" customFormat="1" ht="12.75" x14ac:dyDescent="0.2">
      <c r="B65371" s="1168"/>
    </row>
    <row r="65372" spans="2:2" s="221" customFormat="1" ht="12.75" x14ac:dyDescent="0.2">
      <c r="B65372" s="1168"/>
    </row>
    <row r="65373" spans="2:2" s="221" customFormat="1" ht="12.75" x14ac:dyDescent="0.2">
      <c r="B65373" s="1168"/>
    </row>
    <row r="65374" spans="2:2" s="221" customFormat="1" ht="12.75" x14ac:dyDescent="0.2">
      <c r="B65374" s="1168"/>
    </row>
    <row r="65375" spans="2:2" s="221" customFormat="1" ht="12.75" x14ac:dyDescent="0.2">
      <c r="B65375" s="1168"/>
    </row>
    <row r="65376" spans="2:2" s="221" customFormat="1" ht="12.75" x14ac:dyDescent="0.2">
      <c r="B65376" s="1168"/>
    </row>
    <row r="65377" spans="2:2" s="221" customFormat="1" ht="12.75" x14ac:dyDescent="0.2">
      <c r="B65377" s="1168"/>
    </row>
    <row r="65378" spans="2:2" s="221" customFormat="1" ht="12.75" x14ac:dyDescent="0.2">
      <c r="B65378" s="1168"/>
    </row>
    <row r="65379" spans="2:2" s="221" customFormat="1" ht="12.75" x14ac:dyDescent="0.2">
      <c r="B65379" s="1168"/>
    </row>
    <row r="65380" spans="2:2" s="221" customFormat="1" ht="12.75" x14ac:dyDescent="0.2">
      <c r="B65380" s="1168"/>
    </row>
    <row r="65381" spans="2:2" s="221" customFormat="1" ht="12.75" x14ac:dyDescent="0.2">
      <c r="B65381" s="1168"/>
    </row>
    <row r="65382" spans="2:2" s="221" customFormat="1" ht="12.75" x14ac:dyDescent="0.2">
      <c r="B65382" s="1168"/>
    </row>
    <row r="65383" spans="2:2" s="221" customFormat="1" ht="12.75" x14ac:dyDescent="0.2">
      <c r="B65383" s="1168"/>
    </row>
    <row r="65384" spans="2:2" s="221" customFormat="1" ht="12.75" x14ac:dyDescent="0.2">
      <c r="B65384" s="1168"/>
    </row>
    <row r="65385" spans="2:2" s="221" customFormat="1" ht="12.75" x14ac:dyDescent="0.2">
      <c r="B65385" s="1168"/>
    </row>
    <row r="65386" spans="2:2" s="221" customFormat="1" ht="12.75" x14ac:dyDescent="0.2">
      <c r="B65386" s="1168"/>
    </row>
    <row r="65387" spans="2:2" s="221" customFormat="1" ht="12.75" x14ac:dyDescent="0.2">
      <c r="B65387" s="1168"/>
    </row>
    <row r="65388" spans="2:2" s="221" customFormat="1" ht="12.75" x14ac:dyDescent="0.2">
      <c r="B65388" s="1168"/>
    </row>
    <row r="65389" spans="2:2" s="221" customFormat="1" ht="12.75" x14ac:dyDescent="0.2">
      <c r="B65389" s="1168"/>
    </row>
    <row r="65390" spans="2:2" s="221" customFormat="1" ht="12.75" x14ac:dyDescent="0.2">
      <c r="B65390" s="1168"/>
    </row>
    <row r="65391" spans="2:2" s="221" customFormat="1" ht="12.75" x14ac:dyDescent="0.2">
      <c r="B65391" s="1168"/>
    </row>
    <row r="65392" spans="2:2" s="221" customFormat="1" ht="12.75" x14ac:dyDescent="0.2">
      <c r="B65392" s="1168"/>
    </row>
    <row r="65393" spans="2:2" s="221" customFormat="1" ht="12.75" x14ac:dyDescent="0.2">
      <c r="B65393" s="1168"/>
    </row>
    <row r="65394" spans="2:2" s="221" customFormat="1" ht="12.75" x14ac:dyDescent="0.2">
      <c r="B65394" s="1168"/>
    </row>
    <row r="65395" spans="2:2" s="221" customFormat="1" ht="12.75" x14ac:dyDescent="0.2">
      <c r="B65395" s="1168"/>
    </row>
    <row r="65396" spans="2:2" s="221" customFormat="1" ht="12.75" x14ac:dyDescent="0.2">
      <c r="B65396" s="1168"/>
    </row>
    <row r="65397" spans="2:2" s="221" customFormat="1" ht="12.75" x14ac:dyDescent="0.2">
      <c r="B65397" s="1168"/>
    </row>
    <row r="65398" spans="2:2" s="221" customFormat="1" ht="12.75" x14ac:dyDescent="0.2">
      <c r="B65398" s="1168"/>
    </row>
    <row r="65399" spans="2:2" s="221" customFormat="1" ht="12.75" x14ac:dyDescent="0.2">
      <c r="B65399" s="1168"/>
    </row>
    <row r="65400" spans="2:2" s="221" customFormat="1" ht="12.75" x14ac:dyDescent="0.2">
      <c r="B65400" s="1168"/>
    </row>
    <row r="65401" spans="2:2" s="221" customFormat="1" ht="12.75" x14ac:dyDescent="0.2">
      <c r="B65401" s="1168"/>
    </row>
    <row r="65402" spans="2:2" s="221" customFormat="1" ht="12.75" x14ac:dyDescent="0.2">
      <c r="B65402" s="1168"/>
    </row>
    <row r="65403" spans="2:2" s="221" customFormat="1" ht="12.75" x14ac:dyDescent="0.2">
      <c r="B65403" s="1168"/>
    </row>
    <row r="65404" spans="2:2" s="221" customFormat="1" ht="12.75" x14ac:dyDescent="0.2">
      <c r="B65404" s="1168"/>
    </row>
    <row r="65405" spans="2:2" s="221" customFormat="1" ht="12.75" x14ac:dyDescent="0.2">
      <c r="B65405" s="1168"/>
    </row>
    <row r="65406" spans="2:2" s="221" customFormat="1" ht="12.75" x14ac:dyDescent="0.2">
      <c r="B65406" s="1168"/>
    </row>
    <row r="65407" spans="2:2" s="221" customFormat="1" ht="12.75" x14ac:dyDescent="0.2">
      <c r="B65407" s="1168"/>
    </row>
    <row r="65408" spans="2:2" s="221" customFormat="1" ht="12.75" x14ac:dyDescent="0.2">
      <c r="B65408" s="1168"/>
    </row>
    <row r="65409" spans="2:2" s="221" customFormat="1" ht="12.75" x14ac:dyDescent="0.2">
      <c r="B65409" s="1168"/>
    </row>
    <row r="65410" spans="2:2" s="221" customFormat="1" ht="12.75" x14ac:dyDescent="0.2">
      <c r="B65410" s="1168"/>
    </row>
    <row r="65411" spans="2:2" s="221" customFormat="1" ht="12.75" x14ac:dyDescent="0.2">
      <c r="B65411" s="1168"/>
    </row>
    <row r="65412" spans="2:2" s="221" customFormat="1" ht="12.75" x14ac:dyDescent="0.2">
      <c r="B65412" s="1168"/>
    </row>
    <row r="65413" spans="2:2" s="221" customFormat="1" ht="12.75" x14ac:dyDescent="0.2">
      <c r="B65413" s="1168"/>
    </row>
    <row r="65414" spans="2:2" s="221" customFormat="1" ht="12.75" x14ac:dyDescent="0.2">
      <c r="B65414" s="1168"/>
    </row>
    <row r="65415" spans="2:2" s="221" customFormat="1" ht="12.75" x14ac:dyDescent="0.2">
      <c r="B65415" s="1168"/>
    </row>
    <row r="65416" spans="2:2" s="221" customFormat="1" ht="12.75" x14ac:dyDescent="0.2">
      <c r="B65416" s="1168"/>
    </row>
    <row r="65417" spans="2:2" s="221" customFormat="1" ht="12.75" x14ac:dyDescent="0.2">
      <c r="B65417" s="1168"/>
    </row>
    <row r="65418" spans="2:2" s="221" customFormat="1" ht="12.75" x14ac:dyDescent="0.2">
      <c r="B65418" s="1168"/>
    </row>
    <row r="65419" spans="2:2" s="221" customFormat="1" ht="12.75" x14ac:dyDescent="0.2">
      <c r="B65419" s="1168"/>
    </row>
    <row r="65420" spans="2:2" s="221" customFormat="1" ht="12.75" x14ac:dyDescent="0.2">
      <c r="B65420" s="1168"/>
    </row>
    <row r="65421" spans="2:2" s="221" customFormat="1" ht="12.75" x14ac:dyDescent="0.2">
      <c r="B65421" s="1168"/>
    </row>
    <row r="65422" spans="2:2" s="221" customFormat="1" ht="12.75" x14ac:dyDescent="0.2">
      <c r="B65422" s="1168"/>
    </row>
    <row r="65423" spans="2:2" s="221" customFormat="1" ht="12.75" x14ac:dyDescent="0.2">
      <c r="B65423" s="1168"/>
    </row>
    <row r="65424" spans="2:2" s="221" customFormat="1" ht="12.75" x14ac:dyDescent="0.2">
      <c r="B65424" s="1168"/>
    </row>
    <row r="65425" spans="2:2" s="221" customFormat="1" ht="12.75" x14ac:dyDescent="0.2">
      <c r="B65425" s="1168"/>
    </row>
    <row r="65426" spans="2:2" s="221" customFormat="1" ht="12.75" x14ac:dyDescent="0.2">
      <c r="B65426" s="1168"/>
    </row>
    <row r="65427" spans="2:2" s="221" customFormat="1" ht="12.75" x14ac:dyDescent="0.2">
      <c r="B65427" s="1168"/>
    </row>
    <row r="65428" spans="2:2" s="221" customFormat="1" ht="12.75" x14ac:dyDescent="0.2">
      <c r="B65428" s="1168"/>
    </row>
    <row r="65429" spans="2:2" s="221" customFormat="1" ht="12.75" x14ac:dyDescent="0.2">
      <c r="B65429" s="1168"/>
    </row>
    <row r="65430" spans="2:2" s="221" customFormat="1" ht="12.75" x14ac:dyDescent="0.2">
      <c r="B65430" s="1168"/>
    </row>
    <row r="65431" spans="2:2" s="221" customFormat="1" ht="12.75" x14ac:dyDescent="0.2">
      <c r="B65431" s="1168"/>
    </row>
    <row r="65432" spans="2:2" s="221" customFormat="1" ht="12.75" x14ac:dyDescent="0.2">
      <c r="B65432" s="1168"/>
    </row>
    <row r="65433" spans="2:2" s="221" customFormat="1" ht="12.75" x14ac:dyDescent="0.2">
      <c r="B65433" s="1168"/>
    </row>
    <row r="65434" spans="2:2" s="221" customFormat="1" ht="12.75" x14ac:dyDescent="0.2">
      <c r="B65434" s="1168"/>
    </row>
    <row r="65435" spans="2:2" s="221" customFormat="1" ht="12.75" x14ac:dyDescent="0.2">
      <c r="B65435" s="1168"/>
    </row>
    <row r="65436" spans="2:2" s="221" customFormat="1" ht="12.75" x14ac:dyDescent="0.2">
      <c r="B65436" s="1168"/>
    </row>
    <row r="65437" spans="2:2" s="221" customFormat="1" ht="12.75" x14ac:dyDescent="0.2">
      <c r="B65437" s="1168"/>
    </row>
    <row r="65438" spans="2:2" s="221" customFormat="1" ht="12.75" x14ac:dyDescent="0.2">
      <c r="B65438" s="1168"/>
    </row>
    <row r="65439" spans="2:2" s="221" customFormat="1" ht="12.75" x14ac:dyDescent="0.2">
      <c r="B65439" s="1168"/>
    </row>
    <row r="65440" spans="2:2" s="221" customFormat="1" ht="12.75" x14ac:dyDescent="0.2">
      <c r="B65440" s="1168"/>
    </row>
    <row r="65441" spans="2:2" s="221" customFormat="1" ht="12.75" x14ac:dyDescent="0.2">
      <c r="B65441" s="1168"/>
    </row>
    <row r="65442" spans="2:2" s="221" customFormat="1" ht="12.75" x14ac:dyDescent="0.2">
      <c r="B65442" s="1168"/>
    </row>
    <row r="65443" spans="2:2" s="221" customFormat="1" ht="12.75" x14ac:dyDescent="0.2">
      <c r="B65443" s="1168"/>
    </row>
    <row r="65444" spans="2:2" s="221" customFormat="1" ht="12.75" x14ac:dyDescent="0.2">
      <c r="B65444" s="1168"/>
    </row>
    <row r="65445" spans="2:2" s="221" customFormat="1" ht="12.75" x14ac:dyDescent="0.2">
      <c r="B65445" s="1168"/>
    </row>
    <row r="65446" spans="2:2" s="221" customFormat="1" ht="12.75" x14ac:dyDescent="0.2">
      <c r="B65446" s="1168"/>
    </row>
    <row r="65447" spans="2:2" s="221" customFormat="1" ht="12.75" x14ac:dyDescent="0.2">
      <c r="B65447" s="1168"/>
    </row>
    <row r="65448" spans="2:2" s="221" customFormat="1" ht="12.75" x14ac:dyDescent="0.2">
      <c r="B65448" s="1168"/>
    </row>
    <row r="65449" spans="2:2" s="221" customFormat="1" ht="12.75" x14ac:dyDescent="0.2">
      <c r="B65449" s="1168"/>
    </row>
    <row r="65450" spans="2:2" s="221" customFormat="1" ht="12.75" x14ac:dyDescent="0.2">
      <c r="B65450" s="1168"/>
    </row>
    <row r="65451" spans="2:2" s="221" customFormat="1" ht="12.75" x14ac:dyDescent="0.2">
      <c r="B65451" s="1168"/>
    </row>
    <row r="65452" spans="2:2" s="221" customFormat="1" ht="12.75" x14ac:dyDescent="0.2">
      <c r="B65452" s="1168"/>
    </row>
    <row r="65453" spans="2:2" s="221" customFormat="1" ht="12.75" x14ac:dyDescent="0.2">
      <c r="B65453" s="1168"/>
    </row>
    <row r="65454" spans="2:2" s="221" customFormat="1" ht="12.75" x14ac:dyDescent="0.2">
      <c r="B65454" s="1168"/>
    </row>
    <row r="65455" spans="2:2" s="221" customFormat="1" ht="12.75" x14ac:dyDescent="0.2">
      <c r="B65455" s="1168"/>
    </row>
    <row r="65456" spans="2:2" s="221" customFormat="1" ht="12.75" x14ac:dyDescent="0.2">
      <c r="B65456" s="1168"/>
    </row>
    <row r="65457" spans="2:2" s="221" customFormat="1" ht="12.75" x14ac:dyDescent="0.2">
      <c r="B65457" s="1168"/>
    </row>
    <row r="65458" spans="2:2" s="221" customFormat="1" ht="12.75" x14ac:dyDescent="0.2">
      <c r="B65458" s="1168"/>
    </row>
    <row r="65459" spans="2:2" s="221" customFormat="1" ht="12.75" x14ac:dyDescent="0.2">
      <c r="B65459" s="1168"/>
    </row>
    <row r="65460" spans="2:2" s="221" customFormat="1" ht="12.75" x14ac:dyDescent="0.2">
      <c r="B65460" s="1168"/>
    </row>
    <row r="65461" spans="2:2" s="221" customFormat="1" ht="12.75" x14ac:dyDescent="0.2">
      <c r="B65461" s="1168"/>
    </row>
    <row r="65462" spans="2:2" s="221" customFormat="1" ht="12.75" x14ac:dyDescent="0.2">
      <c r="B65462" s="1168"/>
    </row>
    <row r="65463" spans="2:2" s="221" customFormat="1" ht="12.75" x14ac:dyDescent="0.2">
      <c r="B65463" s="1168"/>
    </row>
    <row r="65464" spans="2:2" s="221" customFormat="1" ht="12.75" x14ac:dyDescent="0.2">
      <c r="B65464" s="1168"/>
    </row>
    <row r="65465" spans="2:2" s="221" customFormat="1" ht="12.75" x14ac:dyDescent="0.2">
      <c r="B65465" s="1168"/>
    </row>
    <row r="65466" spans="2:2" s="221" customFormat="1" ht="12.75" x14ac:dyDescent="0.2">
      <c r="B65466" s="1168"/>
    </row>
    <row r="65467" spans="2:2" s="221" customFormat="1" ht="12.75" x14ac:dyDescent="0.2">
      <c r="B65467" s="1168"/>
    </row>
    <row r="65468" spans="2:2" s="221" customFormat="1" ht="12.75" x14ac:dyDescent="0.2">
      <c r="B65468" s="1168"/>
    </row>
    <row r="65469" spans="2:2" s="221" customFormat="1" ht="12.75" x14ac:dyDescent="0.2">
      <c r="B65469" s="1168"/>
    </row>
    <row r="65470" spans="2:2" s="221" customFormat="1" ht="12.75" x14ac:dyDescent="0.2">
      <c r="B65470" s="1168"/>
    </row>
    <row r="65471" spans="2:2" s="221" customFormat="1" ht="12.75" x14ac:dyDescent="0.2">
      <c r="B65471" s="1168"/>
    </row>
    <row r="65472" spans="2:2" s="221" customFormat="1" ht="12.75" x14ac:dyDescent="0.2">
      <c r="B65472" s="1168"/>
    </row>
    <row r="65473" spans="2:2" s="221" customFormat="1" ht="12.75" x14ac:dyDescent="0.2">
      <c r="B65473" s="1168"/>
    </row>
    <row r="65474" spans="2:2" s="221" customFormat="1" ht="12.75" x14ac:dyDescent="0.2">
      <c r="B65474" s="1168"/>
    </row>
    <row r="65475" spans="2:2" s="221" customFormat="1" ht="12.75" x14ac:dyDescent="0.2">
      <c r="B65475" s="1168"/>
    </row>
    <row r="65476" spans="2:2" s="221" customFormat="1" ht="12.75" x14ac:dyDescent="0.2">
      <c r="B65476" s="1168"/>
    </row>
    <row r="65477" spans="2:2" s="221" customFormat="1" ht="12.75" x14ac:dyDescent="0.2">
      <c r="B65477" s="1168"/>
    </row>
    <row r="65478" spans="2:2" s="221" customFormat="1" ht="12.75" x14ac:dyDescent="0.2">
      <c r="B65478" s="1168"/>
    </row>
    <row r="65479" spans="2:2" s="221" customFormat="1" ht="12.75" x14ac:dyDescent="0.2">
      <c r="B65479" s="1168"/>
    </row>
    <row r="65480" spans="2:2" s="221" customFormat="1" ht="12.75" x14ac:dyDescent="0.2">
      <c r="B65480" s="1168"/>
    </row>
    <row r="65481" spans="2:2" s="221" customFormat="1" ht="12.75" x14ac:dyDescent="0.2">
      <c r="B65481" s="1168"/>
    </row>
    <row r="65482" spans="2:2" s="221" customFormat="1" ht="12.75" x14ac:dyDescent="0.2">
      <c r="B65482" s="1168"/>
    </row>
    <row r="65483" spans="2:2" s="221" customFormat="1" ht="12.75" x14ac:dyDescent="0.2">
      <c r="B65483" s="1168"/>
    </row>
    <row r="65484" spans="2:2" s="221" customFormat="1" ht="12.75" x14ac:dyDescent="0.2">
      <c r="B65484" s="1168"/>
    </row>
    <row r="65485" spans="2:2" s="221" customFormat="1" ht="12.75" x14ac:dyDescent="0.2">
      <c r="B65485" s="1168"/>
    </row>
    <row r="65486" spans="2:2" s="221" customFormat="1" ht="12.75" x14ac:dyDescent="0.2">
      <c r="B65486" s="1168"/>
    </row>
    <row r="65487" spans="2:2" s="221" customFormat="1" ht="12.75" x14ac:dyDescent="0.2">
      <c r="B65487" s="1168"/>
    </row>
    <row r="65488" spans="2:2" s="221" customFormat="1" ht="12.75" x14ac:dyDescent="0.2">
      <c r="B65488" s="1168"/>
    </row>
    <row r="65489" spans="2:2" s="221" customFormat="1" ht="12.75" x14ac:dyDescent="0.2">
      <c r="B65489" s="1168"/>
    </row>
    <row r="65490" spans="2:2" s="221" customFormat="1" ht="12.75" x14ac:dyDescent="0.2">
      <c r="B65490" s="1168"/>
    </row>
    <row r="65491" spans="2:2" s="221" customFormat="1" ht="12.75" x14ac:dyDescent="0.2">
      <c r="B65491" s="1168"/>
    </row>
    <row r="65492" spans="2:2" s="221" customFormat="1" ht="12.75" x14ac:dyDescent="0.2">
      <c r="B65492" s="1168"/>
    </row>
    <row r="65493" spans="2:2" s="221" customFormat="1" ht="12.75" x14ac:dyDescent="0.2">
      <c r="B65493" s="1168"/>
    </row>
    <row r="65494" spans="2:2" s="221" customFormat="1" ht="12.75" x14ac:dyDescent="0.2">
      <c r="B65494" s="1168"/>
    </row>
    <row r="65495" spans="2:2" s="221" customFormat="1" ht="12.75" x14ac:dyDescent="0.2">
      <c r="B65495" s="1168"/>
    </row>
    <row r="65496" spans="2:2" s="221" customFormat="1" ht="12.75" x14ac:dyDescent="0.2">
      <c r="B65496" s="1168"/>
    </row>
    <row r="65497" spans="2:2" s="221" customFormat="1" ht="12.75" x14ac:dyDescent="0.2">
      <c r="B65497" s="1168"/>
    </row>
    <row r="65498" spans="2:2" s="221" customFormat="1" ht="12.75" x14ac:dyDescent="0.2">
      <c r="B65498" s="1168"/>
    </row>
    <row r="65499" spans="2:2" s="221" customFormat="1" ht="12.75" x14ac:dyDescent="0.2">
      <c r="B65499" s="1168"/>
    </row>
    <row r="65500" spans="2:2" s="221" customFormat="1" ht="12.75" x14ac:dyDescent="0.2">
      <c r="B65500" s="1168"/>
    </row>
    <row r="65501" spans="2:2" s="221" customFormat="1" ht="12.75" x14ac:dyDescent="0.2">
      <c r="B65501" s="1168"/>
    </row>
    <row r="65502" spans="2:2" s="221" customFormat="1" ht="12.75" x14ac:dyDescent="0.2">
      <c r="B65502" s="1168"/>
    </row>
    <row r="65503" spans="2:2" s="221" customFormat="1" ht="12.75" x14ac:dyDescent="0.2">
      <c r="B65503" s="1168"/>
    </row>
    <row r="65504" spans="2:2" s="221" customFormat="1" ht="12.75" x14ac:dyDescent="0.2">
      <c r="B65504" s="1168"/>
    </row>
    <row r="65505" spans="2:2" s="221" customFormat="1" ht="12.75" x14ac:dyDescent="0.2">
      <c r="B65505" s="1168"/>
    </row>
    <row r="65506" spans="2:2" s="221" customFormat="1" ht="12.75" x14ac:dyDescent="0.2">
      <c r="B65506" s="1168"/>
    </row>
    <row r="65507" spans="2:2" s="221" customFormat="1" ht="12.75" x14ac:dyDescent="0.2">
      <c r="B65507" s="1168"/>
    </row>
    <row r="65508" spans="2:2" s="221" customFormat="1" ht="12.75" x14ac:dyDescent="0.2">
      <c r="B65508" s="1168"/>
    </row>
    <row r="65509" spans="2:2" s="221" customFormat="1" ht="12.75" x14ac:dyDescent="0.2">
      <c r="B65509" s="1168"/>
    </row>
    <row r="65510" spans="2:2" s="221" customFormat="1" ht="12.75" x14ac:dyDescent="0.2">
      <c r="B65510" s="1168"/>
    </row>
    <row r="65511" spans="2:2" s="221" customFormat="1" ht="12.75" x14ac:dyDescent="0.2">
      <c r="B65511" s="1168"/>
    </row>
    <row r="65512" spans="2:2" s="221" customFormat="1" ht="12.75" x14ac:dyDescent="0.2">
      <c r="B65512" s="1168"/>
    </row>
    <row r="65513" spans="2:2" s="221" customFormat="1" ht="12.75" x14ac:dyDescent="0.2">
      <c r="B65513" s="1168"/>
    </row>
    <row r="65514" spans="2:2" s="221" customFormat="1" ht="12.75" x14ac:dyDescent="0.2">
      <c r="B65514" s="1168"/>
    </row>
    <row r="65515" spans="2:2" s="221" customFormat="1" ht="12.75" x14ac:dyDescent="0.2">
      <c r="B65515" s="1168"/>
    </row>
    <row r="65516" spans="2:2" s="221" customFormat="1" ht="12.75" x14ac:dyDescent="0.2">
      <c r="B65516" s="1168"/>
    </row>
    <row r="65517" spans="2:2" s="221" customFormat="1" ht="12.75" x14ac:dyDescent="0.2">
      <c r="B65517" s="1168"/>
    </row>
    <row r="65518" spans="2:2" s="221" customFormat="1" ht="12.75" x14ac:dyDescent="0.2">
      <c r="B65518" s="1168"/>
    </row>
    <row r="65519" spans="2:2" s="221" customFormat="1" ht="12.75" x14ac:dyDescent="0.2">
      <c r="B65519" s="1168"/>
    </row>
    <row r="65520" spans="2:2" s="221" customFormat="1" ht="12.75" x14ac:dyDescent="0.2">
      <c r="B65520" s="1168"/>
    </row>
    <row r="65521" spans="2:2" s="221" customFormat="1" ht="12.75" x14ac:dyDescent="0.2">
      <c r="B65521" s="1168"/>
    </row>
    <row r="65522" spans="2:2" s="221" customFormat="1" ht="12.75" x14ac:dyDescent="0.2">
      <c r="B65522" s="1168"/>
    </row>
    <row r="65523" spans="2:2" s="221" customFormat="1" ht="12.75" x14ac:dyDescent="0.2">
      <c r="B65523" s="1168"/>
    </row>
    <row r="65524" spans="2:2" s="221" customFormat="1" ht="12.75" x14ac:dyDescent="0.2">
      <c r="B65524" s="1168"/>
    </row>
    <row r="65525" spans="2:2" s="221" customFormat="1" ht="12.75" x14ac:dyDescent="0.2">
      <c r="B65525" s="1168"/>
    </row>
    <row r="65526" spans="2:2" s="221" customFormat="1" ht="12.75" x14ac:dyDescent="0.2">
      <c r="B65526" s="1168"/>
    </row>
    <row r="65527" spans="2:2" s="221" customFormat="1" ht="12.75" x14ac:dyDescent="0.2">
      <c r="B65527" s="1168"/>
    </row>
    <row r="65528" spans="2:2" s="221" customFormat="1" ht="12.75" x14ac:dyDescent="0.2">
      <c r="B65528" s="1168"/>
    </row>
    <row r="65529" spans="2:2" s="221" customFormat="1" ht="12.75" x14ac:dyDescent="0.2">
      <c r="B65529" s="1168"/>
    </row>
    <row r="65530" spans="2:2" s="221" customFormat="1" ht="12.75" x14ac:dyDescent="0.2">
      <c r="B65530" s="1168"/>
    </row>
    <row r="65531" spans="2:2" s="221" customFormat="1" ht="12.75" x14ac:dyDescent="0.2">
      <c r="B65531" s="1168"/>
    </row>
    <row r="65532" spans="2:2" s="221" customFormat="1" ht="12.75" x14ac:dyDescent="0.2">
      <c r="B65532" s="1168"/>
    </row>
    <row r="65533" spans="2:2" s="221" customFormat="1" ht="12.75" x14ac:dyDescent="0.2">
      <c r="B65533" s="1168"/>
    </row>
    <row r="65534" spans="2:2" s="221" customFormat="1" ht="12.75" x14ac:dyDescent="0.2">
      <c r="B65534" s="1168"/>
    </row>
    <row r="65535" spans="2:2" s="221" customFormat="1" ht="12.75" x14ac:dyDescent="0.2">
      <c r="B65535" s="1168"/>
    </row>
    <row r="65536" spans="2:2" s="221" customFormat="1" ht="12.75" x14ac:dyDescent="0.2">
      <c r="B65536" s="1168"/>
    </row>
    <row r="65537" spans="2:2" s="221" customFormat="1" ht="12.75" x14ac:dyDescent="0.2">
      <c r="B65537" s="1168"/>
    </row>
    <row r="65538" spans="2:2" s="221" customFormat="1" ht="12.75" x14ac:dyDescent="0.2">
      <c r="B65538" s="1168"/>
    </row>
    <row r="65539" spans="2:2" s="221" customFormat="1" ht="12.75" x14ac:dyDescent="0.2">
      <c r="B65539" s="1168"/>
    </row>
    <row r="65540" spans="2:2" s="221" customFormat="1" ht="12.75" x14ac:dyDescent="0.2">
      <c r="B65540" s="1168"/>
    </row>
    <row r="65541" spans="2:2" s="221" customFormat="1" ht="12.75" x14ac:dyDescent="0.2">
      <c r="B65541" s="1168"/>
    </row>
    <row r="65542" spans="2:2" s="221" customFormat="1" ht="12.75" x14ac:dyDescent="0.2">
      <c r="B65542" s="1168"/>
    </row>
    <row r="65543" spans="2:2" s="221" customFormat="1" ht="12.75" x14ac:dyDescent="0.2">
      <c r="B65543" s="1168"/>
    </row>
    <row r="65544" spans="2:2" s="221" customFormat="1" ht="12.75" x14ac:dyDescent="0.2">
      <c r="B65544" s="1168"/>
    </row>
    <row r="65545" spans="2:2" s="221" customFormat="1" ht="12.75" x14ac:dyDescent="0.2">
      <c r="B65545" s="1168"/>
    </row>
    <row r="65546" spans="2:2" s="221" customFormat="1" ht="12.75" x14ac:dyDescent="0.2">
      <c r="B65546" s="1168"/>
    </row>
    <row r="65547" spans="2:2" s="221" customFormat="1" ht="12.75" x14ac:dyDescent="0.2">
      <c r="B65547" s="1168"/>
    </row>
    <row r="65548" spans="2:2" s="221" customFormat="1" ht="12.75" x14ac:dyDescent="0.2">
      <c r="B65548" s="1168"/>
    </row>
    <row r="65549" spans="2:2" s="221" customFormat="1" ht="12.75" x14ac:dyDescent="0.2">
      <c r="B65549" s="1168"/>
    </row>
    <row r="65550" spans="2:2" s="221" customFormat="1" ht="12.75" x14ac:dyDescent="0.2">
      <c r="B65550" s="1168"/>
    </row>
    <row r="65551" spans="2:2" s="221" customFormat="1" ht="12.75" x14ac:dyDescent="0.2">
      <c r="B65551" s="1168"/>
    </row>
    <row r="65552" spans="2:2" s="221" customFormat="1" ht="12.75" x14ac:dyDescent="0.2">
      <c r="B65552" s="1168"/>
    </row>
    <row r="65553" spans="1:7" s="221" customFormat="1" ht="12.75" x14ac:dyDescent="0.2">
      <c r="B65553" s="1168"/>
    </row>
    <row r="65554" spans="1:7" s="221" customFormat="1" ht="12.75" x14ac:dyDescent="0.2">
      <c r="B65554" s="1168"/>
    </row>
    <row r="65555" spans="1:7" s="221" customFormat="1" ht="12.75" x14ac:dyDescent="0.2">
      <c r="B65555" s="1168"/>
    </row>
    <row r="65556" spans="1:7" s="221" customFormat="1" ht="12.75" x14ac:dyDescent="0.2">
      <c r="B65556" s="1168"/>
    </row>
    <row r="65557" spans="1:7" s="221" customFormat="1" x14ac:dyDescent="0.2">
      <c r="A65557" s="178"/>
      <c r="B65557" s="1161"/>
      <c r="C65557" s="180"/>
    </row>
    <row r="65558" spans="1:7" s="221" customFormat="1" x14ac:dyDescent="0.2">
      <c r="A65558" s="178"/>
      <c r="B65558" s="1161"/>
      <c r="C65558" s="180"/>
    </row>
    <row r="65559" spans="1:7" s="221" customFormat="1" x14ac:dyDescent="0.2">
      <c r="A65559" s="178"/>
      <c r="B65559" s="1161"/>
      <c r="C65559" s="180"/>
    </row>
    <row r="65560" spans="1:7" s="221" customFormat="1" x14ac:dyDescent="0.2">
      <c r="A65560" s="178"/>
      <c r="B65560" s="1161"/>
      <c r="C65560" s="180"/>
    </row>
    <row r="65561" spans="1:7" s="221" customFormat="1" x14ac:dyDescent="0.2">
      <c r="A65561" s="178"/>
      <c r="B65561" s="1161"/>
      <c r="C65561" s="180"/>
    </row>
    <row r="65562" spans="1:7" s="221" customFormat="1" x14ac:dyDescent="0.2">
      <c r="A65562" s="178"/>
      <c r="B65562" s="1161"/>
      <c r="C65562" s="180"/>
    </row>
    <row r="65563" spans="1:7" s="221" customFormat="1" x14ac:dyDescent="0.2">
      <c r="A65563" s="178"/>
      <c r="B65563" s="1161"/>
      <c r="C65563" s="180"/>
      <c r="D65563" s="180"/>
      <c r="E65563" s="178"/>
      <c r="F65563" s="178"/>
      <c r="G65563" s="178"/>
    </row>
    <row r="65564" spans="1:7" x14ac:dyDescent="0.25"/>
    <row r="65565" spans="1:7" x14ac:dyDescent="0.25"/>
    <row r="65566" spans="1:7" x14ac:dyDescent="0.25"/>
    <row r="65567" spans="1:7" x14ac:dyDescent="0.25"/>
    <row r="65568" spans="1:7" x14ac:dyDescent="0.25"/>
    <row r="65569" x14ac:dyDescent="0.25"/>
    <row r="65570" x14ac:dyDescent="0.25"/>
    <row r="65571" x14ac:dyDescent="0.25"/>
    <row r="65572" x14ac:dyDescent="0.25"/>
    <row r="65573" x14ac:dyDescent="0.25"/>
    <row r="65574" x14ac:dyDescent="0.25"/>
    <row r="65575" x14ac:dyDescent="0.25"/>
    <row r="65576" x14ac:dyDescent="0.25"/>
    <row r="65577" x14ac:dyDescent="0.25"/>
    <row r="65578" x14ac:dyDescent="0.25"/>
    <row r="65579" x14ac:dyDescent="0.25"/>
    <row r="65580" x14ac:dyDescent="0.25"/>
    <row r="65581" x14ac:dyDescent="0.25"/>
    <row r="65582" x14ac:dyDescent="0.25"/>
    <row r="65583" x14ac:dyDescent="0.25"/>
    <row r="65584" x14ac:dyDescent="0.25"/>
    <row r="65585" x14ac:dyDescent="0.25"/>
    <row r="65586" x14ac:dyDescent="0.25"/>
    <row r="65587" x14ac:dyDescent="0.25"/>
    <row r="65588" x14ac:dyDescent="0.25"/>
    <row r="65589" x14ac:dyDescent="0.25"/>
    <row r="65590" x14ac:dyDescent="0.25"/>
    <row r="65591" x14ac:dyDescent="0.25"/>
    <row r="65592" x14ac:dyDescent="0.25"/>
    <row r="65593" x14ac:dyDescent="0.25"/>
    <row r="65594" x14ac:dyDescent="0.25"/>
    <row r="65595" x14ac:dyDescent="0.25"/>
    <row r="65596" x14ac:dyDescent="0.25"/>
    <row r="65597" x14ac:dyDescent="0.25"/>
    <row r="65598" x14ac:dyDescent="0.25"/>
    <row r="65599" x14ac:dyDescent="0.25"/>
    <row r="65600" x14ac:dyDescent="0.25"/>
    <row r="65601" x14ac:dyDescent="0.25"/>
    <row r="65602" x14ac:dyDescent="0.25"/>
    <row r="65603" x14ac:dyDescent="0.25"/>
    <row r="65604" x14ac:dyDescent="0.25"/>
    <row r="65605" x14ac:dyDescent="0.25"/>
    <row r="65606" x14ac:dyDescent="0.25"/>
    <row r="65607" x14ac:dyDescent="0.25"/>
    <row r="65608" x14ac:dyDescent="0.25"/>
    <row r="65609" x14ac:dyDescent="0.25"/>
    <row r="65610" x14ac:dyDescent="0.25"/>
    <row r="65611" x14ac:dyDescent="0.25"/>
    <row r="65612" x14ac:dyDescent="0.25"/>
  </sheetData>
  <mergeCells count="2">
    <mergeCell ref="A112:C113"/>
    <mergeCell ref="A106:B106"/>
  </mergeCells>
  <printOptions horizontalCentered="1"/>
  <pageMargins left="0.59055118110236227" right="0.39370078740157483" top="0.55118110236220474" bottom="0.43307086614173229" header="0.51181102362204722" footer="0.35433070866141736"/>
  <pageSetup paperSize="9" scale="72" fitToHeight="2" orientation="portrait" r:id="rId1"/>
  <rowBreaks count="1" manualBreakCount="1">
    <brk id="56" max="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66"/>
  <sheetViews>
    <sheetView showGridLines="0" view="pageBreakPreview" topLeftCell="A50" zoomScale="115" zoomScaleNormal="100" zoomScaleSheetLayoutView="115" workbookViewId="0">
      <selection activeCell="A63" sqref="A63"/>
    </sheetView>
  </sheetViews>
  <sheetFormatPr defaultRowHeight="16.5" x14ac:dyDescent="0.3"/>
  <cols>
    <col min="1" max="1" width="9.5703125" style="224" customWidth="1"/>
    <col min="2" max="2" width="20.42578125" style="224" customWidth="1"/>
    <col min="3" max="3" width="16.140625" style="224" customWidth="1"/>
    <col min="4" max="4" width="14.42578125" style="224" customWidth="1"/>
    <col min="5" max="5" width="13.85546875" style="224" customWidth="1"/>
    <col min="6" max="6" width="15.42578125" style="224" customWidth="1"/>
    <col min="7" max="8" width="16.140625" style="224" customWidth="1"/>
    <col min="9" max="9" width="12.28515625" style="224" bestFit="1" customWidth="1"/>
    <col min="10" max="256" width="9.140625" style="224"/>
    <col min="257" max="257" width="9.5703125" style="224" customWidth="1"/>
    <col min="258" max="258" width="20.42578125" style="224" customWidth="1"/>
    <col min="259" max="259" width="16.140625" style="224" customWidth="1"/>
    <col min="260" max="260" width="14.42578125" style="224" customWidth="1"/>
    <col min="261" max="261" width="13.85546875" style="224" customWidth="1"/>
    <col min="262" max="262" width="15.42578125" style="224" customWidth="1"/>
    <col min="263" max="263" width="16.140625" style="224" customWidth="1"/>
    <col min="264" max="264" width="15.42578125" style="224" customWidth="1"/>
    <col min="265" max="512" width="9.140625" style="224"/>
    <col min="513" max="513" width="9.5703125" style="224" customWidth="1"/>
    <col min="514" max="514" width="20.42578125" style="224" customWidth="1"/>
    <col min="515" max="515" width="16.140625" style="224" customWidth="1"/>
    <col min="516" max="516" width="14.42578125" style="224" customWidth="1"/>
    <col min="517" max="517" width="13.85546875" style="224" customWidth="1"/>
    <col min="518" max="518" width="15.42578125" style="224" customWidth="1"/>
    <col min="519" max="519" width="16.140625" style="224" customWidth="1"/>
    <col min="520" max="520" width="15.42578125" style="224" customWidth="1"/>
    <col min="521" max="768" width="9.140625" style="224"/>
    <col min="769" max="769" width="9.5703125" style="224" customWidth="1"/>
    <col min="770" max="770" width="20.42578125" style="224" customWidth="1"/>
    <col min="771" max="771" width="16.140625" style="224" customWidth="1"/>
    <col min="772" max="772" width="14.42578125" style="224" customWidth="1"/>
    <col min="773" max="773" width="13.85546875" style="224" customWidth="1"/>
    <col min="774" max="774" width="15.42578125" style="224" customWidth="1"/>
    <col min="775" max="775" width="16.140625" style="224" customWidth="1"/>
    <col min="776" max="776" width="15.42578125" style="224" customWidth="1"/>
    <col min="777" max="1024" width="9.140625" style="224"/>
    <col min="1025" max="1025" width="9.5703125" style="224" customWidth="1"/>
    <col min="1026" max="1026" width="20.42578125" style="224" customWidth="1"/>
    <col min="1027" max="1027" width="16.140625" style="224" customWidth="1"/>
    <col min="1028" max="1028" width="14.42578125" style="224" customWidth="1"/>
    <col min="1029" max="1029" width="13.85546875" style="224" customWidth="1"/>
    <col min="1030" max="1030" width="15.42578125" style="224" customWidth="1"/>
    <col min="1031" max="1031" width="16.140625" style="224" customWidth="1"/>
    <col min="1032" max="1032" width="15.42578125" style="224" customWidth="1"/>
    <col min="1033" max="1280" width="9.140625" style="224"/>
    <col min="1281" max="1281" width="9.5703125" style="224" customWidth="1"/>
    <col min="1282" max="1282" width="20.42578125" style="224" customWidth="1"/>
    <col min="1283" max="1283" width="16.140625" style="224" customWidth="1"/>
    <col min="1284" max="1284" width="14.42578125" style="224" customWidth="1"/>
    <col min="1285" max="1285" width="13.85546875" style="224" customWidth="1"/>
    <col min="1286" max="1286" width="15.42578125" style="224" customWidth="1"/>
    <col min="1287" max="1287" width="16.140625" style="224" customWidth="1"/>
    <col min="1288" max="1288" width="15.42578125" style="224" customWidth="1"/>
    <col min="1289" max="1536" width="9.140625" style="224"/>
    <col min="1537" max="1537" width="9.5703125" style="224" customWidth="1"/>
    <col min="1538" max="1538" width="20.42578125" style="224" customWidth="1"/>
    <col min="1539" max="1539" width="16.140625" style="224" customWidth="1"/>
    <col min="1540" max="1540" width="14.42578125" style="224" customWidth="1"/>
    <col min="1541" max="1541" width="13.85546875" style="224" customWidth="1"/>
    <col min="1542" max="1542" width="15.42578125" style="224" customWidth="1"/>
    <col min="1543" max="1543" width="16.140625" style="224" customWidth="1"/>
    <col min="1544" max="1544" width="15.42578125" style="224" customWidth="1"/>
    <col min="1545" max="1792" width="9.140625" style="224"/>
    <col min="1793" max="1793" width="9.5703125" style="224" customWidth="1"/>
    <col min="1794" max="1794" width="20.42578125" style="224" customWidth="1"/>
    <col min="1795" max="1795" width="16.140625" style="224" customWidth="1"/>
    <col min="1796" max="1796" width="14.42578125" style="224" customWidth="1"/>
    <col min="1797" max="1797" width="13.85546875" style="224" customWidth="1"/>
    <col min="1798" max="1798" width="15.42578125" style="224" customWidth="1"/>
    <col min="1799" max="1799" width="16.140625" style="224" customWidth="1"/>
    <col min="1800" max="1800" width="15.42578125" style="224" customWidth="1"/>
    <col min="1801" max="2048" width="9.140625" style="224"/>
    <col min="2049" max="2049" width="9.5703125" style="224" customWidth="1"/>
    <col min="2050" max="2050" width="20.42578125" style="224" customWidth="1"/>
    <col min="2051" max="2051" width="16.140625" style="224" customWidth="1"/>
    <col min="2052" max="2052" width="14.42578125" style="224" customWidth="1"/>
    <col min="2053" max="2053" width="13.85546875" style="224" customWidth="1"/>
    <col min="2054" max="2054" width="15.42578125" style="224" customWidth="1"/>
    <col min="2055" max="2055" width="16.140625" style="224" customWidth="1"/>
    <col min="2056" max="2056" width="15.42578125" style="224" customWidth="1"/>
    <col min="2057" max="2304" width="9.140625" style="224"/>
    <col min="2305" max="2305" width="9.5703125" style="224" customWidth="1"/>
    <col min="2306" max="2306" width="20.42578125" style="224" customWidth="1"/>
    <col min="2307" max="2307" width="16.140625" style="224" customWidth="1"/>
    <col min="2308" max="2308" width="14.42578125" style="224" customWidth="1"/>
    <col min="2309" max="2309" width="13.85546875" style="224" customWidth="1"/>
    <col min="2310" max="2310" width="15.42578125" style="224" customWidth="1"/>
    <col min="2311" max="2311" width="16.140625" style="224" customWidth="1"/>
    <col min="2312" max="2312" width="15.42578125" style="224" customWidth="1"/>
    <col min="2313" max="2560" width="9.140625" style="224"/>
    <col min="2561" max="2561" width="9.5703125" style="224" customWidth="1"/>
    <col min="2562" max="2562" width="20.42578125" style="224" customWidth="1"/>
    <col min="2563" max="2563" width="16.140625" style="224" customWidth="1"/>
    <col min="2564" max="2564" width="14.42578125" style="224" customWidth="1"/>
    <col min="2565" max="2565" width="13.85546875" style="224" customWidth="1"/>
    <col min="2566" max="2566" width="15.42578125" style="224" customWidth="1"/>
    <col min="2567" max="2567" width="16.140625" style="224" customWidth="1"/>
    <col min="2568" max="2568" width="15.42578125" style="224" customWidth="1"/>
    <col min="2569" max="2816" width="9.140625" style="224"/>
    <col min="2817" max="2817" width="9.5703125" style="224" customWidth="1"/>
    <col min="2818" max="2818" width="20.42578125" style="224" customWidth="1"/>
    <col min="2819" max="2819" width="16.140625" style="224" customWidth="1"/>
    <col min="2820" max="2820" width="14.42578125" style="224" customWidth="1"/>
    <col min="2821" max="2821" width="13.85546875" style="224" customWidth="1"/>
    <col min="2822" max="2822" width="15.42578125" style="224" customWidth="1"/>
    <col min="2823" max="2823" width="16.140625" style="224" customWidth="1"/>
    <col min="2824" max="2824" width="15.42578125" style="224" customWidth="1"/>
    <col min="2825" max="3072" width="9.140625" style="224"/>
    <col min="3073" max="3073" width="9.5703125" style="224" customWidth="1"/>
    <col min="3074" max="3074" width="20.42578125" style="224" customWidth="1"/>
    <col min="3075" max="3075" width="16.140625" style="224" customWidth="1"/>
    <col min="3076" max="3076" width="14.42578125" style="224" customWidth="1"/>
    <col min="3077" max="3077" width="13.85546875" style="224" customWidth="1"/>
    <col min="3078" max="3078" width="15.42578125" style="224" customWidth="1"/>
    <col min="3079" max="3079" width="16.140625" style="224" customWidth="1"/>
    <col min="3080" max="3080" width="15.42578125" style="224" customWidth="1"/>
    <col min="3081" max="3328" width="9.140625" style="224"/>
    <col min="3329" max="3329" width="9.5703125" style="224" customWidth="1"/>
    <col min="3330" max="3330" width="20.42578125" style="224" customWidth="1"/>
    <col min="3331" max="3331" width="16.140625" style="224" customWidth="1"/>
    <col min="3332" max="3332" width="14.42578125" style="224" customWidth="1"/>
    <col min="3333" max="3333" width="13.85546875" style="224" customWidth="1"/>
    <col min="3334" max="3334" width="15.42578125" style="224" customWidth="1"/>
    <col min="3335" max="3335" width="16.140625" style="224" customWidth="1"/>
    <col min="3336" max="3336" width="15.42578125" style="224" customWidth="1"/>
    <col min="3337" max="3584" width="9.140625" style="224"/>
    <col min="3585" max="3585" width="9.5703125" style="224" customWidth="1"/>
    <col min="3586" max="3586" width="20.42578125" style="224" customWidth="1"/>
    <col min="3587" max="3587" width="16.140625" style="224" customWidth="1"/>
    <col min="3588" max="3588" width="14.42578125" style="224" customWidth="1"/>
    <col min="3589" max="3589" width="13.85546875" style="224" customWidth="1"/>
    <col min="3590" max="3590" width="15.42578125" style="224" customWidth="1"/>
    <col min="3591" max="3591" width="16.140625" style="224" customWidth="1"/>
    <col min="3592" max="3592" width="15.42578125" style="224" customWidth="1"/>
    <col min="3593" max="3840" width="9.140625" style="224"/>
    <col min="3841" max="3841" width="9.5703125" style="224" customWidth="1"/>
    <col min="3842" max="3842" width="20.42578125" style="224" customWidth="1"/>
    <col min="3843" max="3843" width="16.140625" style="224" customWidth="1"/>
    <col min="3844" max="3844" width="14.42578125" style="224" customWidth="1"/>
    <col min="3845" max="3845" width="13.85546875" style="224" customWidth="1"/>
    <col min="3846" max="3846" width="15.42578125" style="224" customWidth="1"/>
    <col min="3847" max="3847" width="16.140625" style="224" customWidth="1"/>
    <col min="3848" max="3848" width="15.42578125" style="224" customWidth="1"/>
    <col min="3849" max="4096" width="9.140625" style="224"/>
    <col min="4097" max="4097" width="9.5703125" style="224" customWidth="1"/>
    <col min="4098" max="4098" width="20.42578125" style="224" customWidth="1"/>
    <col min="4099" max="4099" width="16.140625" style="224" customWidth="1"/>
    <col min="4100" max="4100" width="14.42578125" style="224" customWidth="1"/>
    <col min="4101" max="4101" width="13.85546875" style="224" customWidth="1"/>
    <col min="4102" max="4102" width="15.42578125" style="224" customWidth="1"/>
    <col min="4103" max="4103" width="16.140625" style="224" customWidth="1"/>
    <col min="4104" max="4104" width="15.42578125" style="224" customWidth="1"/>
    <col min="4105" max="4352" width="9.140625" style="224"/>
    <col min="4353" max="4353" width="9.5703125" style="224" customWidth="1"/>
    <col min="4354" max="4354" width="20.42578125" style="224" customWidth="1"/>
    <col min="4355" max="4355" width="16.140625" style="224" customWidth="1"/>
    <col min="4356" max="4356" width="14.42578125" style="224" customWidth="1"/>
    <col min="4357" max="4357" width="13.85546875" style="224" customWidth="1"/>
    <col min="4358" max="4358" width="15.42578125" style="224" customWidth="1"/>
    <col min="4359" max="4359" width="16.140625" style="224" customWidth="1"/>
    <col min="4360" max="4360" width="15.42578125" style="224" customWidth="1"/>
    <col min="4361" max="4608" width="9.140625" style="224"/>
    <col min="4609" max="4609" width="9.5703125" style="224" customWidth="1"/>
    <col min="4610" max="4610" width="20.42578125" style="224" customWidth="1"/>
    <col min="4611" max="4611" width="16.140625" style="224" customWidth="1"/>
    <col min="4612" max="4612" width="14.42578125" style="224" customWidth="1"/>
    <col min="4613" max="4613" width="13.85546875" style="224" customWidth="1"/>
    <col min="4614" max="4614" width="15.42578125" style="224" customWidth="1"/>
    <col min="4615" max="4615" width="16.140625" style="224" customWidth="1"/>
    <col min="4616" max="4616" width="15.42578125" style="224" customWidth="1"/>
    <col min="4617" max="4864" width="9.140625" style="224"/>
    <col min="4865" max="4865" width="9.5703125" style="224" customWidth="1"/>
    <col min="4866" max="4866" width="20.42578125" style="224" customWidth="1"/>
    <col min="4867" max="4867" width="16.140625" style="224" customWidth="1"/>
    <col min="4868" max="4868" width="14.42578125" style="224" customWidth="1"/>
    <col min="4869" max="4869" width="13.85546875" style="224" customWidth="1"/>
    <col min="4870" max="4870" width="15.42578125" style="224" customWidth="1"/>
    <col min="4871" max="4871" width="16.140625" style="224" customWidth="1"/>
    <col min="4872" max="4872" width="15.42578125" style="224" customWidth="1"/>
    <col min="4873" max="5120" width="9.140625" style="224"/>
    <col min="5121" max="5121" width="9.5703125" style="224" customWidth="1"/>
    <col min="5122" max="5122" width="20.42578125" style="224" customWidth="1"/>
    <col min="5123" max="5123" width="16.140625" style="224" customWidth="1"/>
    <col min="5124" max="5124" width="14.42578125" style="224" customWidth="1"/>
    <col min="5125" max="5125" width="13.85546875" style="224" customWidth="1"/>
    <col min="5126" max="5126" width="15.42578125" style="224" customWidth="1"/>
    <col min="5127" max="5127" width="16.140625" style="224" customWidth="1"/>
    <col min="5128" max="5128" width="15.42578125" style="224" customWidth="1"/>
    <col min="5129" max="5376" width="9.140625" style="224"/>
    <col min="5377" max="5377" width="9.5703125" style="224" customWidth="1"/>
    <col min="5378" max="5378" width="20.42578125" style="224" customWidth="1"/>
    <col min="5379" max="5379" width="16.140625" style="224" customWidth="1"/>
    <col min="5380" max="5380" width="14.42578125" style="224" customWidth="1"/>
    <col min="5381" max="5381" width="13.85546875" style="224" customWidth="1"/>
    <col min="5382" max="5382" width="15.42578125" style="224" customWidth="1"/>
    <col min="5383" max="5383" width="16.140625" style="224" customWidth="1"/>
    <col min="5384" max="5384" width="15.42578125" style="224" customWidth="1"/>
    <col min="5385" max="5632" width="9.140625" style="224"/>
    <col min="5633" max="5633" width="9.5703125" style="224" customWidth="1"/>
    <col min="5634" max="5634" width="20.42578125" style="224" customWidth="1"/>
    <col min="5635" max="5635" width="16.140625" style="224" customWidth="1"/>
    <col min="5636" max="5636" width="14.42578125" style="224" customWidth="1"/>
    <col min="5637" max="5637" width="13.85546875" style="224" customWidth="1"/>
    <col min="5638" max="5638" width="15.42578125" style="224" customWidth="1"/>
    <col min="5639" max="5639" width="16.140625" style="224" customWidth="1"/>
    <col min="5640" max="5640" width="15.42578125" style="224" customWidth="1"/>
    <col min="5641" max="5888" width="9.140625" style="224"/>
    <col min="5889" max="5889" width="9.5703125" style="224" customWidth="1"/>
    <col min="5890" max="5890" width="20.42578125" style="224" customWidth="1"/>
    <col min="5891" max="5891" width="16.140625" style="224" customWidth="1"/>
    <col min="5892" max="5892" width="14.42578125" style="224" customWidth="1"/>
    <col min="5893" max="5893" width="13.85546875" style="224" customWidth="1"/>
    <col min="5894" max="5894" width="15.42578125" style="224" customWidth="1"/>
    <col min="5895" max="5895" width="16.140625" style="224" customWidth="1"/>
    <col min="5896" max="5896" width="15.42578125" style="224" customWidth="1"/>
    <col min="5897" max="6144" width="9.140625" style="224"/>
    <col min="6145" max="6145" width="9.5703125" style="224" customWidth="1"/>
    <col min="6146" max="6146" width="20.42578125" style="224" customWidth="1"/>
    <col min="6147" max="6147" width="16.140625" style="224" customWidth="1"/>
    <col min="6148" max="6148" width="14.42578125" style="224" customWidth="1"/>
    <col min="6149" max="6149" width="13.85546875" style="224" customWidth="1"/>
    <col min="6150" max="6150" width="15.42578125" style="224" customWidth="1"/>
    <col min="6151" max="6151" width="16.140625" style="224" customWidth="1"/>
    <col min="6152" max="6152" width="15.42578125" style="224" customWidth="1"/>
    <col min="6153" max="6400" width="9.140625" style="224"/>
    <col min="6401" max="6401" width="9.5703125" style="224" customWidth="1"/>
    <col min="6402" max="6402" width="20.42578125" style="224" customWidth="1"/>
    <col min="6403" max="6403" width="16.140625" style="224" customWidth="1"/>
    <col min="6404" max="6404" width="14.42578125" style="224" customWidth="1"/>
    <col min="6405" max="6405" width="13.85546875" style="224" customWidth="1"/>
    <col min="6406" max="6406" width="15.42578125" style="224" customWidth="1"/>
    <col min="6407" max="6407" width="16.140625" style="224" customWidth="1"/>
    <col min="6408" max="6408" width="15.42578125" style="224" customWidth="1"/>
    <col min="6409" max="6656" width="9.140625" style="224"/>
    <col min="6657" max="6657" width="9.5703125" style="224" customWidth="1"/>
    <col min="6658" max="6658" width="20.42578125" style="224" customWidth="1"/>
    <col min="6659" max="6659" width="16.140625" style="224" customWidth="1"/>
    <col min="6660" max="6660" width="14.42578125" style="224" customWidth="1"/>
    <col min="6661" max="6661" width="13.85546875" style="224" customWidth="1"/>
    <col min="6662" max="6662" width="15.42578125" style="224" customWidth="1"/>
    <col min="6663" max="6663" width="16.140625" style="224" customWidth="1"/>
    <col min="6664" max="6664" width="15.42578125" style="224" customWidth="1"/>
    <col min="6665" max="6912" width="9.140625" style="224"/>
    <col min="6913" max="6913" width="9.5703125" style="224" customWidth="1"/>
    <col min="6914" max="6914" width="20.42578125" style="224" customWidth="1"/>
    <col min="6915" max="6915" width="16.140625" style="224" customWidth="1"/>
    <col min="6916" max="6916" width="14.42578125" style="224" customWidth="1"/>
    <col min="6917" max="6917" width="13.85546875" style="224" customWidth="1"/>
    <col min="6918" max="6918" width="15.42578125" style="224" customWidth="1"/>
    <col min="6919" max="6919" width="16.140625" style="224" customWidth="1"/>
    <col min="6920" max="6920" width="15.42578125" style="224" customWidth="1"/>
    <col min="6921" max="7168" width="9.140625" style="224"/>
    <col min="7169" max="7169" width="9.5703125" style="224" customWidth="1"/>
    <col min="7170" max="7170" width="20.42578125" style="224" customWidth="1"/>
    <col min="7171" max="7171" width="16.140625" style="224" customWidth="1"/>
    <col min="7172" max="7172" width="14.42578125" style="224" customWidth="1"/>
    <col min="7173" max="7173" width="13.85546875" style="224" customWidth="1"/>
    <col min="7174" max="7174" width="15.42578125" style="224" customWidth="1"/>
    <col min="7175" max="7175" width="16.140625" style="224" customWidth="1"/>
    <col min="7176" max="7176" width="15.42578125" style="224" customWidth="1"/>
    <col min="7177" max="7424" width="9.140625" style="224"/>
    <col min="7425" max="7425" width="9.5703125" style="224" customWidth="1"/>
    <col min="7426" max="7426" width="20.42578125" style="224" customWidth="1"/>
    <col min="7427" max="7427" width="16.140625" style="224" customWidth="1"/>
    <col min="7428" max="7428" width="14.42578125" style="224" customWidth="1"/>
    <col min="7429" max="7429" width="13.85546875" style="224" customWidth="1"/>
    <col min="7430" max="7430" width="15.42578125" style="224" customWidth="1"/>
    <col min="7431" max="7431" width="16.140625" style="224" customWidth="1"/>
    <col min="7432" max="7432" width="15.42578125" style="224" customWidth="1"/>
    <col min="7433" max="7680" width="9.140625" style="224"/>
    <col min="7681" max="7681" width="9.5703125" style="224" customWidth="1"/>
    <col min="7682" max="7682" width="20.42578125" style="224" customWidth="1"/>
    <col min="7683" max="7683" width="16.140625" style="224" customWidth="1"/>
    <col min="7684" max="7684" width="14.42578125" style="224" customWidth="1"/>
    <col min="7685" max="7685" width="13.85546875" style="224" customWidth="1"/>
    <col min="7686" max="7686" width="15.42578125" style="224" customWidth="1"/>
    <col min="7687" max="7687" width="16.140625" style="224" customWidth="1"/>
    <col min="7688" max="7688" width="15.42578125" style="224" customWidth="1"/>
    <col min="7689" max="7936" width="9.140625" style="224"/>
    <col min="7937" max="7937" width="9.5703125" style="224" customWidth="1"/>
    <col min="7938" max="7938" width="20.42578125" style="224" customWidth="1"/>
    <col min="7939" max="7939" width="16.140625" style="224" customWidth="1"/>
    <col min="7940" max="7940" width="14.42578125" style="224" customWidth="1"/>
    <col min="7941" max="7941" width="13.85546875" style="224" customWidth="1"/>
    <col min="7942" max="7942" width="15.42578125" style="224" customWidth="1"/>
    <col min="7943" max="7943" width="16.140625" style="224" customWidth="1"/>
    <col min="7944" max="7944" width="15.42578125" style="224" customWidth="1"/>
    <col min="7945" max="8192" width="9.140625" style="224"/>
    <col min="8193" max="8193" width="9.5703125" style="224" customWidth="1"/>
    <col min="8194" max="8194" width="20.42578125" style="224" customWidth="1"/>
    <col min="8195" max="8195" width="16.140625" style="224" customWidth="1"/>
    <col min="8196" max="8196" width="14.42578125" style="224" customWidth="1"/>
    <col min="8197" max="8197" width="13.85546875" style="224" customWidth="1"/>
    <col min="8198" max="8198" width="15.42578125" style="224" customWidth="1"/>
    <col min="8199" max="8199" width="16.140625" style="224" customWidth="1"/>
    <col min="8200" max="8200" width="15.42578125" style="224" customWidth="1"/>
    <col min="8201" max="8448" width="9.140625" style="224"/>
    <col min="8449" max="8449" width="9.5703125" style="224" customWidth="1"/>
    <col min="8450" max="8450" width="20.42578125" style="224" customWidth="1"/>
    <col min="8451" max="8451" width="16.140625" style="224" customWidth="1"/>
    <col min="8452" max="8452" width="14.42578125" style="224" customWidth="1"/>
    <col min="8453" max="8453" width="13.85546875" style="224" customWidth="1"/>
    <col min="8454" max="8454" width="15.42578125" style="224" customWidth="1"/>
    <col min="8455" max="8455" width="16.140625" style="224" customWidth="1"/>
    <col min="8456" max="8456" width="15.42578125" style="224" customWidth="1"/>
    <col min="8457" max="8704" width="9.140625" style="224"/>
    <col min="8705" max="8705" width="9.5703125" style="224" customWidth="1"/>
    <col min="8706" max="8706" width="20.42578125" style="224" customWidth="1"/>
    <col min="8707" max="8707" width="16.140625" style="224" customWidth="1"/>
    <col min="8708" max="8708" width="14.42578125" style="224" customWidth="1"/>
    <col min="8709" max="8709" width="13.85546875" style="224" customWidth="1"/>
    <col min="8710" max="8710" width="15.42578125" style="224" customWidth="1"/>
    <col min="8711" max="8711" width="16.140625" style="224" customWidth="1"/>
    <col min="8712" max="8712" width="15.42578125" style="224" customWidth="1"/>
    <col min="8713" max="8960" width="9.140625" style="224"/>
    <col min="8961" max="8961" width="9.5703125" style="224" customWidth="1"/>
    <col min="8962" max="8962" width="20.42578125" style="224" customWidth="1"/>
    <col min="8963" max="8963" width="16.140625" style="224" customWidth="1"/>
    <col min="8964" max="8964" width="14.42578125" style="224" customWidth="1"/>
    <col min="8965" max="8965" width="13.85546875" style="224" customWidth="1"/>
    <col min="8966" max="8966" width="15.42578125" style="224" customWidth="1"/>
    <col min="8967" max="8967" width="16.140625" style="224" customWidth="1"/>
    <col min="8968" max="8968" width="15.42578125" style="224" customWidth="1"/>
    <col min="8969" max="9216" width="9.140625" style="224"/>
    <col min="9217" max="9217" width="9.5703125" style="224" customWidth="1"/>
    <col min="9218" max="9218" width="20.42578125" style="224" customWidth="1"/>
    <col min="9219" max="9219" width="16.140625" style="224" customWidth="1"/>
    <col min="9220" max="9220" width="14.42578125" style="224" customWidth="1"/>
    <col min="9221" max="9221" width="13.85546875" style="224" customWidth="1"/>
    <col min="9222" max="9222" width="15.42578125" style="224" customWidth="1"/>
    <col min="9223" max="9223" width="16.140625" style="224" customWidth="1"/>
    <col min="9224" max="9224" width="15.42578125" style="224" customWidth="1"/>
    <col min="9225" max="9472" width="9.140625" style="224"/>
    <col min="9473" max="9473" width="9.5703125" style="224" customWidth="1"/>
    <col min="9474" max="9474" width="20.42578125" style="224" customWidth="1"/>
    <col min="9475" max="9475" width="16.140625" style="224" customWidth="1"/>
    <col min="9476" max="9476" width="14.42578125" style="224" customWidth="1"/>
    <col min="9477" max="9477" width="13.85546875" style="224" customWidth="1"/>
    <col min="9478" max="9478" width="15.42578125" style="224" customWidth="1"/>
    <col min="9479" max="9479" width="16.140625" style="224" customWidth="1"/>
    <col min="9480" max="9480" width="15.42578125" style="224" customWidth="1"/>
    <col min="9481" max="9728" width="9.140625" style="224"/>
    <col min="9729" max="9729" width="9.5703125" style="224" customWidth="1"/>
    <col min="9730" max="9730" width="20.42578125" style="224" customWidth="1"/>
    <col min="9731" max="9731" width="16.140625" style="224" customWidth="1"/>
    <col min="9732" max="9732" width="14.42578125" style="224" customWidth="1"/>
    <col min="9733" max="9733" width="13.85546875" style="224" customWidth="1"/>
    <col min="9734" max="9734" width="15.42578125" style="224" customWidth="1"/>
    <col min="9735" max="9735" width="16.140625" style="224" customWidth="1"/>
    <col min="9736" max="9736" width="15.42578125" style="224" customWidth="1"/>
    <col min="9737" max="9984" width="9.140625" style="224"/>
    <col min="9985" max="9985" width="9.5703125" style="224" customWidth="1"/>
    <col min="9986" max="9986" width="20.42578125" style="224" customWidth="1"/>
    <col min="9987" max="9987" width="16.140625" style="224" customWidth="1"/>
    <col min="9988" max="9988" width="14.42578125" style="224" customWidth="1"/>
    <col min="9989" max="9989" width="13.85546875" style="224" customWidth="1"/>
    <col min="9990" max="9990" width="15.42578125" style="224" customWidth="1"/>
    <col min="9991" max="9991" width="16.140625" style="224" customWidth="1"/>
    <col min="9992" max="9992" width="15.42578125" style="224" customWidth="1"/>
    <col min="9993" max="10240" width="9.140625" style="224"/>
    <col min="10241" max="10241" width="9.5703125" style="224" customWidth="1"/>
    <col min="10242" max="10242" width="20.42578125" style="224" customWidth="1"/>
    <col min="10243" max="10243" width="16.140625" style="224" customWidth="1"/>
    <col min="10244" max="10244" width="14.42578125" style="224" customWidth="1"/>
    <col min="10245" max="10245" width="13.85546875" style="224" customWidth="1"/>
    <col min="10246" max="10246" width="15.42578125" style="224" customWidth="1"/>
    <col min="10247" max="10247" width="16.140625" style="224" customWidth="1"/>
    <col min="10248" max="10248" width="15.42578125" style="224" customWidth="1"/>
    <col min="10249" max="10496" width="9.140625" style="224"/>
    <col min="10497" max="10497" width="9.5703125" style="224" customWidth="1"/>
    <col min="10498" max="10498" width="20.42578125" style="224" customWidth="1"/>
    <col min="10499" max="10499" width="16.140625" style="224" customWidth="1"/>
    <col min="10500" max="10500" width="14.42578125" style="224" customWidth="1"/>
    <col min="10501" max="10501" width="13.85546875" style="224" customWidth="1"/>
    <col min="10502" max="10502" width="15.42578125" style="224" customWidth="1"/>
    <col min="10503" max="10503" width="16.140625" style="224" customWidth="1"/>
    <col min="10504" max="10504" width="15.42578125" style="224" customWidth="1"/>
    <col min="10505" max="10752" width="9.140625" style="224"/>
    <col min="10753" max="10753" width="9.5703125" style="224" customWidth="1"/>
    <col min="10754" max="10754" width="20.42578125" style="224" customWidth="1"/>
    <col min="10755" max="10755" width="16.140625" style="224" customWidth="1"/>
    <col min="10756" max="10756" width="14.42578125" style="224" customWidth="1"/>
    <col min="10757" max="10757" width="13.85546875" style="224" customWidth="1"/>
    <col min="10758" max="10758" width="15.42578125" style="224" customWidth="1"/>
    <col min="10759" max="10759" width="16.140625" style="224" customWidth="1"/>
    <col min="10760" max="10760" width="15.42578125" style="224" customWidth="1"/>
    <col min="10761" max="11008" width="9.140625" style="224"/>
    <col min="11009" max="11009" width="9.5703125" style="224" customWidth="1"/>
    <col min="11010" max="11010" width="20.42578125" style="224" customWidth="1"/>
    <col min="11011" max="11011" width="16.140625" style="224" customWidth="1"/>
    <col min="11012" max="11012" width="14.42578125" style="224" customWidth="1"/>
    <col min="11013" max="11013" width="13.85546875" style="224" customWidth="1"/>
    <col min="11014" max="11014" width="15.42578125" style="224" customWidth="1"/>
    <col min="11015" max="11015" width="16.140625" style="224" customWidth="1"/>
    <col min="11016" max="11016" width="15.42578125" style="224" customWidth="1"/>
    <col min="11017" max="11264" width="9.140625" style="224"/>
    <col min="11265" max="11265" width="9.5703125" style="224" customWidth="1"/>
    <col min="11266" max="11266" width="20.42578125" style="224" customWidth="1"/>
    <col min="11267" max="11267" width="16.140625" style="224" customWidth="1"/>
    <col min="11268" max="11268" width="14.42578125" style="224" customWidth="1"/>
    <col min="11269" max="11269" width="13.85546875" style="224" customWidth="1"/>
    <col min="11270" max="11270" width="15.42578125" style="224" customWidth="1"/>
    <col min="11271" max="11271" width="16.140625" style="224" customWidth="1"/>
    <col min="11272" max="11272" width="15.42578125" style="224" customWidth="1"/>
    <col min="11273" max="11520" width="9.140625" style="224"/>
    <col min="11521" max="11521" width="9.5703125" style="224" customWidth="1"/>
    <col min="11522" max="11522" width="20.42578125" style="224" customWidth="1"/>
    <col min="11523" max="11523" width="16.140625" style="224" customWidth="1"/>
    <col min="11524" max="11524" width="14.42578125" style="224" customWidth="1"/>
    <col min="11525" max="11525" width="13.85546875" style="224" customWidth="1"/>
    <col min="11526" max="11526" width="15.42578125" style="224" customWidth="1"/>
    <col min="11527" max="11527" width="16.140625" style="224" customWidth="1"/>
    <col min="11528" max="11528" width="15.42578125" style="224" customWidth="1"/>
    <col min="11529" max="11776" width="9.140625" style="224"/>
    <col min="11777" max="11777" width="9.5703125" style="224" customWidth="1"/>
    <col min="11778" max="11778" width="20.42578125" style="224" customWidth="1"/>
    <col min="11779" max="11779" width="16.140625" style="224" customWidth="1"/>
    <col min="11780" max="11780" width="14.42578125" style="224" customWidth="1"/>
    <col min="11781" max="11781" width="13.85546875" style="224" customWidth="1"/>
    <col min="11782" max="11782" width="15.42578125" style="224" customWidth="1"/>
    <col min="11783" max="11783" width="16.140625" style="224" customWidth="1"/>
    <col min="11784" max="11784" width="15.42578125" style="224" customWidth="1"/>
    <col min="11785" max="12032" width="9.140625" style="224"/>
    <col min="12033" max="12033" width="9.5703125" style="224" customWidth="1"/>
    <col min="12034" max="12034" width="20.42578125" style="224" customWidth="1"/>
    <col min="12035" max="12035" width="16.140625" style="224" customWidth="1"/>
    <col min="12036" max="12036" width="14.42578125" style="224" customWidth="1"/>
    <col min="12037" max="12037" width="13.85546875" style="224" customWidth="1"/>
    <col min="12038" max="12038" width="15.42578125" style="224" customWidth="1"/>
    <col min="12039" max="12039" width="16.140625" style="224" customWidth="1"/>
    <col min="12040" max="12040" width="15.42578125" style="224" customWidth="1"/>
    <col min="12041" max="12288" width="9.140625" style="224"/>
    <col min="12289" max="12289" width="9.5703125" style="224" customWidth="1"/>
    <col min="12290" max="12290" width="20.42578125" style="224" customWidth="1"/>
    <col min="12291" max="12291" width="16.140625" style="224" customWidth="1"/>
    <col min="12292" max="12292" width="14.42578125" style="224" customWidth="1"/>
    <col min="12293" max="12293" width="13.85546875" style="224" customWidth="1"/>
    <col min="12294" max="12294" width="15.42578125" style="224" customWidth="1"/>
    <col min="12295" max="12295" width="16.140625" style="224" customWidth="1"/>
    <col min="12296" max="12296" width="15.42578125" style="224" customWidth="1"/>
    <col min="12297" max="12544" width="9.140625" style="224"/>
    <col min="12545" max="12545" width="9.5703125" style="224" customWidth="1"/>
    <col min="12546" max="12546" width="20.42578125" style="224" customWidth="1"/>
    <col min="12547" max="12547" width="16.140625" style="224" customWidth="1"/>
    <col min="12548" max="12548" width="14.42578125" style="224" customWidth="1"/>
    <col min="12549" max="12549" width="13.85546875" style="224" customWidth="1"/>
    <col min="12550" max="12550" width="15.42578125" style="224" customWidth="1"/>
    <col min="12551" max="12551" width="16.140625" style="224" customWidth="1"/>
    <col min="12552" max="12552" width="15.42578125" style="224" customWidth="1"/>
    <col min="12553" max="12800" width="9.140625" style="224"/>
    <col min="12801" max="12801" width="9.5703125" style="224" customWidth="1"/>
    <col min="12802" max="12802" width="20.42578125" style="224" customWidth="1"/>
    <col min="12803" max="12803" width="16.140625" style="224" customWidth="1"/>
    <col min="12804" max="12804" width="14.42578125" style="224" customWidth="1"/>
    <col min="12805" max="12805" width="13.85546875" style="224" customWidth="1"/>
    <col min="12806" max="12806" width="15.42578125" style="224" customWidth="1"/>
    <col min="12807" max="12807" width="16.140625" style="224" customWidth="1"/>
    <col min="12808" max="12808" width="15.42578125" style="224" customWidth="1"/>
    <col min="12809" max="13056" width="9.140625" style="224"/>
    <col min="13057" max="13057" width="9.5703125" style="224" customWidth="1"/>
    <col min="13058" max="13058" width="20.42578125" style="224" customWidth="1"/>
    <col min="13059" max="13059" width="16.140625" style="224" customWidth="1"/>
    <col min="13060" max="13060" width="14.42578125" style="224" customWidth="1"/>
    <col min="13061" max="13061" width="13.85546875" style="224" customWidth="1"/>
    <col min="13062" max="13062" width="15.42578125" style="224" customWidth="1"/>
    <col min="13063" max="13063" width="16.140625" style="224" customWidth="1"/>
    <col min="13064" max="13064" width="15.42578125" style="224" customWidth="1"/>
    <col min="13065" max="13312" width="9.140625" style="224"/>
    <col min="13313" max="13313" width="9.5703125" style="224" customWidth="1"/>
    <col min="13314" max="13314" width="20.42578125" style="224" customWidth="1"/>
    <col min="13315" max="13315" width="16.140625" style="224" customWidth="1"/>
    <col min="13316" max="13316" width="14.42578125" style="224" customWidth="1"/>
    <col min="13317" max="13317" width="13.85546875" style="224" customWidth="1"/>
    <col min="13318" max="13318" width="15.42578125" style="224" customWidth="1"/>
    <col min="13319" max="13319" width="16.140625" style="224" customWidth="1"/>
    <col min="13320" max="13320" width="15.42578125" style="224" customWidth="1"/>
    <col min="13321" max="13568" width="9.140625" style="224"/>
    <col min="13569" max="13569" width="9.5703125" style="224" customWidth="1"/>
    <col min="13570" max="13570" width="20.42578125" style="224" customWidth="1"/>
    <col min="13571" max="13571" width="16.140625" style="224" customWidth="1"/>
    <col min="13572" max="13572" width="14.42578125" style="224" customWidth="1"/>
    <col min="13573" max="13573" width="13.85546875" style="224" customWidth="1"/>
    <col min="13574" max="13574" width="15.42578125" style="224" customWidth="1"/>
    <col min="13575" max="13575" width="16.140625" style="224" customWidth="1"/>
    <col min="13576" max="13576" width="15.42578125" style="224" customWidth="1"/>
    <col min="13577" max="13824" width="9.140625" style="224"/>
    <col min="13825" max="13825" width="9.5703125" style="224" customWidth="1"/>
    <col min="13826" max="13826" width="20.42578125" style="224" customWidth="1"/>
    <col min="13827" max="13827" width="16.140625" style="224" customWidth="1"/>
    <col min="13828" max="13828" width="14.42578125" style="224" customWidth="1"/>
    <col min="13829" max="13829" width="13.85546875" style="224" customWidth="1"/>
    <col min="13830" max="13830" width="15.42578125" style="224" customWidth="1"/>
    <col min="13831" max="13831" width="16.140625" style="224" customWidth="1"/>
    <col min="13832" max="13832" width="15.42578125" style="224" customWidth="1"/>
    <col min="13833" max="14080" width="9.140625" style="224"/>
    <col min="14081" max="14081" width="9.5703125" style="224" customWidth="1"/>
    <col min="14082" max="14082" width="20.42578125" style="224" customWidth="1"/>
    <col min="14083" max="14083" width="16.140625" style="224" customWidth="1"/>
    <col min="14084" max="14084" width="14.42578125" style="224" customWidth="1"/>
    <col min="14085" max="14085" width="13.85546875" style="224" customWidth="1"/>
    <col min="14086" max="14086" width="15.42578125" style="224" customWidth="1"/>
    <col min="14087" max="14087" width="16.140625" style="224" customWidth="1"/>
    <col min="14088" max="14088" width="15.42578125" style="224" customWidth="1"/>
    <col min="14089" max="14336" width="9.140625" style="224"/>
    <col min="14337" max="14337" width="9.5703125" style="224" customWidth="1"/>
    <col min="14338" max="14338" width="20.42578125" style="224" customWidth="1"/>
    <col min="14339" max="14339" width="16.140625" style="224" customWidth="1"/>
    <col min="14340" max="14340" width="14.42578125" style="224" customWidth="1"/>
    <col min="14341" max="14341" width="13.85546875" style="224" customWidth="1"/>
    <col min="14342" max="14342" width="15.42578125" style="224" customWidth="1"/>
    <col min="14343" max="14343" width="16.140625" style="224" customWidth="1"/>
    <col min="14344" max="14344" width="15.42578125" style="224" customWidth="1"/>
    <col min="14345" max="14592" width="9.140625" style="224"/>
    <col min="14593" max="14593" width="9.5703125" style="224" customWidth="1"/>
    <col min="14594" max="14594" width="20.42578125" style="224" customWidth="1"/>
    <col min="14595" max="14595" width="16.140625" style="224" customWidth="1"/>
    <col min="14596" max="14596" width="14.42578125" style="224" customWidth="1"/>
    <col min="14597" max="14597" width="13.85546875" style="224" customWidth="1"/>
    <col min="14598" max="14598" width="15.42578125" style="224" customWidth="1"/>
    <col min="14599" max="14599" width="16.140625" style="224" customWidth="1"/>
    <col min="14600" max="14600" width="15.42578125" style="224" customWidth="1"/>
    <col min="14601" max="14848" width="9.140625" style="224"/>
    <col min="14849" max="14849" width="9.5703125" style="224" customWidth="1"/>
    <col min="14850" max="14850" width="20.42578125" style="224" customWidth="1"/>
    <col min="14851" max="14851" width="16.140625" style="224" customWidth="1"/>
    <col min="14852" max="14852" width="14.42578125" style="224" customWidth="1"/>
    <col min="14853" max="14853" width="13.85546875" style="224" customWidth="1"/>
    <col min="14854" max="14854" width="15.42578125" style="224" customWidth="1"/>
    <col min="14855" max="14855" width="16.140625" style="224" customWidth="1"/>
    <col min="14856" max="14856" width="15.42578125" style="224" customWidth="1"/>
    <col min="14857" max="15104" width="9.140625" style="224"/>
    <col min="15105" max="15105" width="9.5703125" style="224" customWidth="1"/>
    <col min="15106" max="15106" width="20.42578125" style="224" customWidth="1"/>
    <col min="15107" max="15107" width="16.140625" style="224" customWidth="1"/>
    <col min="15108" max="15108" width="14.42578125" style="224" customWidth="1"/>
    <col min="15109" max="15109" width="13.85546875" style="224" customWidth="1"/>
    <col min="15110" max="15110" width="15.42578125" style="224" customWidth="1"/>
    <col min="15111" max="15111" width="16.140625" style="224" customWidth="1"/>
    <col min="15112" max="15112" width="15.42578125" style="224" customWidth="1"/>
    <col min="15113" max="15360" width="9.140625" style="224"/>
    <col min="15361" max="15361" width="9.5703125" style="224" customWidth="1"/>
    <col min="15362" max="15362" width="20.42578125" style="224" customWidth="1"/>
    <col min="15363" max="15363" width="16.140625" style="224" customWidth="1"/>
    <col min="15364" max="15364" width="14.42578125" style="224" customWidth="1"/>
    <col min="15365" max="15365" width="13.85546875" style="224" customWidth="1"/>
    <col min="15366" max="15366" width="15.42578125" style="224" customWidth="1"/>
    <col min="15367" max="15367" width="16.140625" style="224" customWidth="1"/>
    <col min="15368" max="15368" width="15.42578125" style="224" customWidth="1"/>
    <col min="15369" max="15616" width="9.140625" style="224"/>
    <col min="15617" max="15617" width="9.5703125" style="224" customWidth="1"/>
    <col min="15618" max="15618" width="20.42578125" style="224" customWidth="1"/>
    <col min="15619" max="15619" width="16.140625" style="224" customWidth="1"/>
    <col min="15620" max="15620" width="14.42578125" style="224" customWidth="1"/>
    <col min="15621" max="15621" width="13.85546875" style="224" customWidth="1"/>
    <col min="15622" max="15622" width="15.42578125" style="224" customWidth="1"/>
    <col min="15623" max="15623" width="16.140625" style="224" customWidth="1"/>
    <col min="15624" max="15624" width="15.42578125" style="224" customWidth="1"/>
    <col min="15625" max="15872" width="9.140625" style="224"/>
    <col min="15873" max="15873" width="9.5703125" style="224" customWidth="1"/>
    <col min="15874" max="15874" width="20.42578125" style="224" customWidth="1"/>
    <col min="15875" max="15875" width="16.140625" style="224" customWidth="1"/>
    <col min="15876" max="15876" width="14.42578125" style="224" customWidth="1"/>
    <col min="15877" max="15877" width="13.85546875" style="224" customWidth="1"/>
    <col min="15878" max="15878" width="15.42578125" style="224" customWidth="1"/>
    <col min="15879" max="15879" width="16.140625" style="224" customWidth="1"/>
    <col min="15880" max="15880" width="15.42578125" style="224" customWidth="1"/>
    <col min="15881" max="16128" width="9.140625" style="224"/>
    <col min="16129" max="16129" width="9.5703125" style="224" customWidth="1"/>
    <col min="16130" max="16130" width="20.42578125" style="224" customWidth="1"/>
    <col min="16131" max="16131" width="16.140625" style="224" customWidth="1"/>
    <col min="16132" max="16132" width="14.42578125" style="224" customWidth="1"/>
    <col min="16133" max="16133" width="13.85546875" style="224" customWidth="1"/>
    <col min="16134" max="16134" width="15.42578125" style="224" customWidth="1"/>
    <col min="16135" max="16135" width="16.140625" style="224" customWidth="1"/>
    <col min="16136" max="16136" width="15.42578125" style="224" customWidth="1"/>
    <col min="16137" max="16384" width="9.140625" style="224"/>
  </cols>
  <sheetData>
    <row r="1" spans="1:8" ht="18.75" x14ac:dyDescent="0.3">
      <c r="A1" s="222">
        <f>'Note 16-23'!A1</f>
        <v>0</v>
      </c>
      <c r="B1" s="222"/>
      <c r="C1" s="223"/>
      <c r="D1" s="223"/>
      <c r="E1" s="223"/>
    </row>
    <row r="2" spans="1:8" x14ac:dyDescent="0.3">
      <c r="A2" s="225">
        <f>+'Note 16-23'!A2</f>
        <v>0</v>
      </c>
      <c r="B2" s="225"/>
      <c r="C2" s="223"/>
      <c r="D2" s="223"/>
      <c r="E2" s="223"/>
    </row>
    <row r="3" spans="1:8" x14ac:dyDescent="0.3">
      <c r="A3" s="225" t="str">
        <f>+'Note 16-23'!A3</f>
        <v>Notes to financial statements for the year ended March 31, 2025</v>
      </c>
      <c r="B3" s="225"/>
      <c r="C3" s="223"/>
      <c r="D3" s="223"/>
      <c r="E3" s="223"/>
    </row>
    <row r="4" spans="1:8" ht="16.5" customHeight="1" x14ac:dyDescent="0.3">
      <c r="A4" s="226"/>
      <c r="B4" s="226"/>
      <c r="C4" s="204"/>
      <c r="G4" s="1607"/>
      <c r="H4" s="1607"/>
    </row>
    <row r="5" spans="1:8" x14ac:dyDescent="0.3">
      <c r="A5" s="227" t="s">
        <v>1546</v>
      </c>
      <c r="B5" s="227"/>
      <c r="C5" s="228"/>
      <c r="D5" s="228"/>
      <c r="E5" s="228"/>
      <c r="F5" s="228"/>
    </row>
    <row r="6" spans="1:8" ht="45.75" x14ac:dyDescent="0.3">
      <c r="A6" s="229"/>
      <c r="B6" s="229"/>
      <c r="C6" s="228"/>
      <c r="D6" s="228"/>
      <c r="E6" s="228"/>
      <c r="F6" s="228"/>
      <c r="G6" s="1260" t="str">
        <f>+'Note 2 - 8'!$D$6</f>
        <v xml:space="preserve">  Year ended 
  March 31, 2025</v>
      </c>
      <c r="H6" s="1260" t="str">
        <f>+'Note 2 - 8'!$E$6</f>
        <v xml:space="preserve">  Year ended 
  March 31, 2024</v>
      </c>
    </row>
    <row r="7" spans="1:8" x14ac:dyDescent="0.3">
      <c r="A7" s="224" t="s">
        <v>167</v>
      </c>
      <c r="G7" s="483">
        <f>'P&amp;L'!C28</f>
        <v>-11440971.929999977</v>
      </c>
      <c r="H7" s="483">
        <f>'P&amp;L'!D28</f>
        <v>67280055.880000025</v>
      </c>
    </row>
    <row r="8" spans="1:8" x14ac:dyDescent="0.3">
      <c r="A8" s="230" t="s">
        <v>168</v>
      </c>
      <c r="B8" s="230"/>
      <c r="G8" s="483"/>
      <c r="H8" s="483"/>
    </row>
    <row r="9" spans="1:8" x14ac:dyDescent="0.3">
      <c r="A9" s="224" t="s">
        <v>169</v>
      </c>
      <c r="G9" s="1230">
        <v>5425210</v>
      </c>
      <c r="H9" s="1">
        <f>G9</f>
        <v>5425210</v>
      </c>
    </row>
    <row r="10" spans="1:8" x14ac:dyDescent="0.3">
      <c r="A10" s="224" t="s">
        <v>170</v>
      </c>
      <c r="G10" s="483"/>
      <c r="H10" s="483"/>
    </row>
    <row r="11" spans="1:8" x14ac:dyDescent="0.3">
      <c r="A11" s="230" t="s">
        <v>93</v>
      </c>
      <c r="B11" s="230"/>
      <c r="G11" s="483"/>
      <c r="H11" s="483"/>
    </row>
    <row r="12" spans="1:8" x14ac:dyDescent="0.3">
      <c r="A12" s="231" t="s">
        <v>168</v>
      </c>
      <c r="G12" s="1228">
        <f>G7/G9</f>
        <v>-2.108853284941961</v>
      </c>
      <c r="H12" s="1229">
        <f>H7/H9</f>
        <v>12.401373565262917</v>
      </c>
    </row>
    <row r="13" spans="1:8" ht="4.5" customHeight="1" x14ac:dyDescent="0.3">
      <c r="G13" s="232"/>
      <c r="H13" s="232"/>
    </row>
    <row r="14" spans="1:8" x14ac:dyDescent="0.3">
      <c r="A14" s="230" t="s">
        <v>1547</v>
      </c>
    </row>
    <row r="15" spans="1:8" ht="13.5" customHeight="1" x14ac:dyDescent="0.3">
      <c r="A15" s="1608" t="s">
        <v>171</v>
      </c>
      <c r="B15" s="1608"/>
      <c r="C15" s="1608"/>
      <c r="D15" s="1608"/>
      <c r="E15" s="1608"/>
      <c r="F15" s="1608"/>
      <c r="G15" s="1608"/>
      <c r="H15" s="1608"/>
    </row>
    <row r="16" spans="1:8" ht="4.5" customHeight="1" x14ac:dyDescent="0.3">
      <c r="A16" s="1608"/>
      <c r="B16" s="1608"/>
      <c r="C16" s="1608"/>
      <c r="D16" s="1608"/>
      <c r="E16" s="1608"/>
      <c r="F16" s="1608"/>
      <c r="G16" s="1608"/>
      <c r="H16" s="1608"/>
    </row>
    <row r="17" spans="1:8" hidden="1" x14ac:dyDescent="0.3">
      <c r="A17" s="234" t="s">
        <v>85</v>
      </c>
      <c r="B17" s="235" t="s">
        <v>172</v>
      </c>
      <c r="C17" s="233"/>
      <c r="D17" s="233"/>
      <c r="E17" s="233"/>
      <c r="F17" s="233"/>
      <c r="G17" s="233"/>
      <c r="H17" s="233"/>
    </row>
    <row r="18" spans="1:8" hidden="1" x14ac:dyDescent="0.3">
      <c r="A18" s="233"/>
      <c r="B18" s="236" t="s">
        <v>173</v>
      </c>
      <c r="C18" s="233"/>
      <c r="D18" s="233"/>
      <c r="E18" s="233"/>
      <c r="F18" s="233"/>
      <c r="G18" s="233"/>
      <c r="H18" s="233"/>
    </row>
    <row r="19" spans="1:8" ht="4.5" hidden="1" customHeight="1" x14ac:dyDescent="0.3">
      <c r="A19" s="233"/>
      <c r="B19" s="236"/>
      <c r="C19" s="233"/>
      <c r="D19" s="233"/>
      <c r="E19" s="233"/>
      <c r="F19" s="233"/>
      <c r="G19" s="233"/>
      <c r="H19" s="233"/>
    </row>
    <row r="20" spans="1:8" x14ac:dyDescent="0.3">
      <c r="A20" s="234" t="s">
        <v>85</v>
      </c>
      <c r="B20" s="235" t="s">
        <v>174</v>
      </c>
      <c r="C20" s="233"/>
      <c r="D20" s="233"/>
      <c r="E20" s="233"/>
      <c r="F20" s="233"/>
      <c r="G20" s="233"/>
      <c r="H20" s="233"/>
    </row>
    <row r="21" spans="1:8" x14ac:dyDescent="0.3">
      <c r="A21" s="233"/>
      <c r="B21" s="237" t="s">
        <v>175</v>
      </c>
      <c r="C21" s="238" t="s">
        <v>176</v>
      </c>
      <c r="D21" s="239"/>
      <c r="E21" s="240"/>
      <c r="F21" s="1609" t="s">
        <v>177</v>
      </c>
      <c r="G21" s="1609"/>
      <c r="H21" s="233"/>
    </row>
    <row r="22" spans="1:8" x14ac:dyDescent="0.3">
      <c r="A22" s="233"/>
      <c r="B22" s="385">
        <v>1</v>
      </c>
      <c r="C22" s="390" t="s">
        <v>1539</v>
      </c>
      <c r="D22" s="386"/>
      <c r="E22" s="387"/>
      <c r="F22" s="1610" t="s">
        <v>761</v>
      </c>
      <c r="G22" s="1610"/>
      <c r="H22" s="233"/>
    </row>
    <row r="23" spans="1:8" x14ac:dyDescent="0.3">
      <c r="A23" s="233"/>
      <c r="B23" s="385">
        <v>2</v>
      </c>
      <c r="C23" s="390" t="s">
        <v>765</v>
      </c>
      <c r="D23" s="388"/>
      <c r="E23" s="389"/>
      <c r="F23" s="1610" t="s">
        <v>762</v>
      </c>
      <c r="G23" s="1610"/>
      <c r="H23" s="233"/>
    </row>
    <row r="24" spans="1:8" x14ac:dyDescent="0.3">
      <c r="A24" s="233"/>
      <c r="B24" s="385">
        <v>3</v>
      </c>
      <c r="C24" s="390" t="s">
        <v>766</v>
      </c>
      <c r="D24" s="388"/>
      <c r="E24" s="389"/>
      <c r="F24" s="1610" t="s">
        <v>763</v>
      </c>
      <c r="G24" s="1610"/>
      <c r="H24" s="233"/>
    </row>
    <row r="25" spans="1:8" x14ac:dyDescent="0.3">
      <c r="A25" s="233"/>
      <c r="B25" s="1243"/>
      <c r="C25" s="1244"/>
      <c r="D25" s="221"/>
      <c r="E25" s="1245"/>
      <c r="F25" s="1243"/>
      <c r="G25" s="1243"/>
      <c r="H25" s="233"/>
    </row>
    <row r="26" spans="1:8" x14ac:dyDescent="0.3">
      <c r="A26" s="234" t="s">
        <v>178</v>
      </c>
      <c r="B26" s="235" t="s">
        <v>179</v>
      </c>
      <c r="C26" s="241"/>
      <c r="D26" s="241"/>
      <c r="E26" s="241"/>
      <c r="F26" s="241"/>
      <c r="G26" s="241"/>
      <c r="H26" s="241"/>
    </row>
    <row r="27" spans="1:8" ht="45.75" x14ac:dyDescent="0.3">
      <c r="A27" s="242"/>
      <c r="B27" s="242"/>
      <c r="C27" s="228"/>
      <c r="D27" s="228"/>
      <c r="E27" s="228"/>
      <c r="F27" s="228"/>
      <c r="G27" s="1260" t="str">
        <f>+'Note 2 - 8'!$D$6</f>
        <v xml:space="preserve">  Year ended 
  March 31, 2025</v>
      </c>
      <c r="H27" s="1260" t="str">
        <f>+'Note 2 - 8'!$E$6</f>
        <v xml:space="preserve">  Year ended 
  March 31, 2024</v>
      </c>
    </row>
    <row r="28" spans="1:8" ht="20.100000000000001" customHeight="1" x14ac:dyDescent="0.3">
      <c r="A28" s="243" t="s">
        <v>34</v>
      </c>
      <c r="B28" s="244"/>
      <c r="G28" s="245"/>
      <c r="H28" s="245"/>
    </row>
    <row r="29" spans="1:8" x14ac:dyDescent="0.3">
      <c r="A29" s="231" t="s">
        <v>174</v>
      </c>
      <c r="B29" s="244"/>
    </row>
    <row r="30" spans="1:8" x14ac:dyDescent="0.3">
      <c r="A30" s="246" t="s">
        <v>180</v>
      </c>
      <c r="B30" s="247"/>
      <c r="G30" s="483">
        <f>'TB closing Bal Old'!B286</f>
        <v>23423400</v>
      </c>
      <c r="H30" s="483">
        <v>16148400</v>
      </c>
    </row>
    <row r="31" spans="1:8" x14ac:dyDescent="0.3">
      <c r="A31" s="246" t="s">
        <v>764</v>
      </c>
      <c r="B31" s="247"/>
      <c r="G31" s="483">
        <v>0</v>
      </c>
      <c r="H31" s="483">
        <v>3759458.05</v>
      </c>
    </row>
    <row r="32" spans="1:8" x14ac:dyDescent="0.3">
      <c r="A32" s="391" t="s">
        <v>272</v>
      </c>
      <c r="B32" s="228"/>
      <c r="C32" s="228"/>
      <c r="D32" s="228"/>
      <c r="E32" s="228"/>
      <c r="F32" s="228"/>
      <c r="G32" s="1231">
        <v>0</v>
      </c>
      <c r="H32" s="484">
        <v>13089978</v>
      </c>
    </row>
    <row r="33" spans="1:9" ht="2.25" customHeight="1" x14ac:dyDescent="0.3"/>
    <row r="34" spans="1:9" ht="1.5" hidden="1" customHeight="1" x14ac:dyDescent="0.3"/>
    <row r="35" spans="1:9" ht="20.100000000000001" customHeight="1" x14ac:dyDescent="0.3">
      <c r="A35" s="230" t="s">
        <v>1548</v>
      </c>
    </row>
    <row r="36" spans="1:9" ht="20.100000000000001" customHeight="1" x14ac:dyDescent="0.3">
      <c r="A36" s="1611" t="s">
        <v>181</v>
      </c>
      <c r="B36" s="1611"/>
      <c r="C36" s="1611"/>
      <c r="D36" s="1611"/>
      <c r="E36" s="1611"/>
      <c r="F36" s="1611"/>
      <c r="G36" s="1611"/>
      <c r="H36" s="1611"/>
    </row>
    <row r="37" spans="1:9" ht="20.100000000000001" customHeight="1" x14ac:dyDescent="0.3">
      <c r="A37" s="1611"/>
      <c r="B37" s="1611"/>
      <c r="C37" s="1611"/>
      <c r="D37" s="1611"/>
      <c r="E37" s="1611"/>
      <c r="F37" s="1611"/>
      <c r="G37" s="1611"/>
      <c r="H37" s="1611"/>
    </row>
    <row r="38" spans="1:9" ht="5.25" customHeight="1" x14ac:dyDescent="0.3">
      <c r="A38" s="233"/>
      <c r="B38" s="233"/>
      <c r="C38" s="233"/>
      <c r="D38" s="233"/>
      <c r="E38" s="233"/>
      <c r="F38" s="233"/>
      <c r="G38" s="233"/>
      <c r="H38" s="233"/>
    </row>
    <row r="39" spans="1:9" x14ac:dyDescent="0.3">
      <c r="A39" s="230" t="s">
        <v>1549</v>
      </c>
      <c r="B39" s="233"/>
      <c r="C39" s="233"/>
      <c r="D39" s="233"/>
      <c r="E39" s="233"/>
      <c r="F39" s="233"/>
      <c r="G39" s="233"/>
      <c r="H39" s="233"/>
    </row>
    <row r="40" spans="1:9" ht="30" x14ac:dyDescent="0.3">
      <c r="A40" s="1612" t="s">
        <v>0</v>
      </c>
      <c r="B40" s="1613"/>
      <c r="C40" s="1614"/>
      <c r="D40" s="346" t="s">
        <v>1136</v>
      </c>
      <c r="E40" s="346" t="s">
        <v>823</v>
      </c>
      <c r="F40" s="233"/>
      <c r="G40" s="233"/>
      <c r="H40" s="233"/>
      <c r="I40" s="233"/>
    </row>
    <row r="41" spans="1:9" ht="16.5" customHeight="1" x14ac:dyDescent="0.3">
      <c r="A41" s="1604" t="s">
        <v>184</v>
      </c>
      <c r="B41" s="1605"/>
      <c r="C41" s="1606"/>
      <c r="D41" s="345">
        <f>+'Key financial ratios'!C5</f>
        <v>3.7586455705529414</v>
      </c>
      <c r="E41" s="345">
        <v>1.9227313942588791</v>
      </c>
      <c r="F41" s="233"/>
      <c r="G41" s="233"/>
      <c r="H41" s="233"/>
      <c r="I41" s="233"/>
    </row>
    <row r="42" spans="1:9" ht="16.5" customHeight="1" x14ac:dyDescent="0.3">
      <c r="A42" s="1604" t="s">
        <v>185</v>
      </c>
      <c r="B42" s="1605"/>
      <c r="C42" s="1606"/>
      <c r="D42" s="345">
        <f>+'Key financial ratios'!C10</f>
        <v>0.2009530789851422</v>
      </c>
      <c r="E42" s="345">
        <v>0.14458598428180428</v>
      </c>
      <c r="F42" s="233"/>
      <c r="G42" s="233"/>
      <c r="H42" s="233"/>
      <c r="I42" s="233"/>
    </row>
    <row r="43" spans="1:9" ht="16.5" customHeight="1" x14ac:dyDescent="0.3">
      <c r="A43" s="1604" t="s">
        <v>186</v>
      </c>
      <c r="B43" s="1605"/>
      <c r="C43" s="1606"/>
      <c r="D43" s="345" t="s">
        <v>725</v>
      </c>
      <c r="E43" s="345" t="s">
        <v>725</v>
      </c>
      <c r="F43" s="233"/>
      <c r="G43" s="233"/>
      <c r="H43" s="233"/>
      <c r="I43" s="233"/>
    </row>
    <row r="44" spans="1:9" x14ac:dyDescent="0.3">
      <c r="A44" s="1604" t="s">
        <v>187</v>
      </c>
      <c r="B44" s="1605"/>
      <c r="C44" s="1606"/>
      <c r="D44" s="345">
        <f>+'Key financial ratios'!C20</f>
        <v>-3.1446308933977415E-2</v>
      </c>
      <c r="E44" s="345">
        <v>0.38431121538906909</v>
      </c>
      <c r="F44" s="233"/>
      <c r="G44" s="233"/>
      <c r="H44" s="233"/>
      <c r="I44" s="233"/>
    </row>
    <row r="45" spans="1:9" x14ac:dyDescent="0.3">
      <c r="A45" s="1604" t="s">
        <v>188</v>
      </c>
      <c r="B45" s="1605"/>
      <c r="C45" s="1606"/>
      <c r="D45" s="345" t="s">
        <v>725</v>
      </c>
      <c r="E45" s="345" t="s">
        <v>725</v>
      </c>
      <c r="F45" s="233"/>
      <c r="G45" s="233"/>
      <c r="H45" s="233"/>
      <c r="I45" s="233"/>
    </row>
    <row r="46" spans="1:9" x14ac:dyDescent="0.3">
      <c r="A46" s="1604" t="s">
        <v>189</v>
      </c>
      <c r="B46" s="1605"/>
      <c r="C46" s="1606"/>
      <c r="D46" s="345">
        <f>+'Key financial ratios'!C25</f>
        <v>3.1003723802170042</v>
      </c>
      <c r="E46" s="345">
        <v>4.6178928477605536</v>
      </c>
      <c r="F46" s="233"/>
      <c r="G46" s="233"/>
      <c r="H46" s="233"/>
      <c r="I46" s="233"/>
    </row>
    <row r="47" spans="1:9" ht="14.45" customHeight="1" x14ac:dyDescent="0.3">
      <c r="A47" s="1604" t="s">
        <v>190</v>
      </c>
      <c r="B47" s="1605"/>
      <c r="C47" s="1606"/>
      <c r="D47" s="345" t="s">
        <v>725</v>
      </c>
      <c r="E47" s="345" t="s">
        <v>725</v>
      </c>
      <c r="F47" s="233"/>
      <c r="G47" s="233"/>
      <c r="H47" s="233"/>
      <c r="I47" s="233"/>
    </row>
    <row r="48" spans="1:9" x14ac:dyDescent="0.3">
      <c r="A48" s="1604" t="s">
        <v>191</v>
      </c>
      <c r="B48" s="1605"/>
      <c r="C48" s="1606"/>
      <c r="D48" s="345">
        <f>+'Key financial ratios'!C35</f>
        <v>2.5194942930740605</v>
      </c>
      <c r="E48" s="345">
        <v>3.0074433651514223</v>
      </c>
      <c r="F48" s="233"/>
      <c r="G48" s="233"/>
      <c r="H48" s="233"/>
      <c r="I48" s="233"/>
    </row>
    <row r="49" spans="1:12" x14ac:dyDescent="0.3">
      <c r="A49" s="1604" t="s">
        <v>192</v>
      </c>
      <c r="B49" s="1605"/>
      <c r="C49" s="1606"/>
      <c r="D49" s="345">
        <f>+'Key financial ratios'!C41</f>
        <v>-4.7128958481604991E-2</v>
      </c>
      <c r="E49" s="345">
        <v>0.24031127852703718</v>
      </c>
      <c r="F49" s="233"/>
      <c r="G49" s="233"/>
      <c r="H49" s="233"/>
      <c r="I49" s="233"/>
    </row>
    <row r="50" spans="1:12" x14ac:dyDescent="0.3">
      <c r="A50" s="1604" t="s">
        <v>193</v>
      </c>
      <c r="B50" s="1605"/>
      <c r="C50" s="1606"/>
      <c r="D50" s="345">
        <f>+'Key financial ratios'!C46</f>
        <v>-5.0097311612173893E-2</v>
      </c>
      <c r="E50" s="345">
        <v>0.45554072128401418</v>
      </c>
      <c r="F50" s="233"/>
      <c r="G50" s="233"/>
      <c r="H50" s="233"/>
      <c r="I50" s="233"/>
    </row>
    <row r="51" spans="1:12" ht="6" customHeight="1" x14ac:dyDescent="0.3">
      <c r="A51" s="233"/>
      <c r="B51" s="233"/>
      <c r="C51" s="233"/>
      <c r="D51" s="233"/>
      <c r="E51" s="233"/>
      <c r="F51" s="233"/>
      <c r="G51" s="233"/>
      <c r="H51" s="233"/>
    </row>
    <row r="52" spans="1:12" x14ac:dyDescent="0.3">
      <c r="A52" s="1615" t="s">
        <v>1551</v>
      </c>
      <c r="B52" s="1615"/>
      <c r="C52" s="1615"/>
      <c r="D52" s="1615"/>
      <c r="E52" s="1615"/>
      <c r="F52" s="1615"/>
      <c r="G52" s="1615"/>
      <c r="H52" s="1615"/>
    </row>
    <row r="53" spans="1:12" ht="4.5" customHeight="1" thickBot="1" x14ac:dyDescent="0.35">
      <c r="A53" s="1616"/>
      <c r="B53" s="1616"/>
      <c r="C53" s="1616"/>
      <c r="D53" s="1616"/>
      <c r="E53" s="1616"/>
      <c r="F53" s="1616"/>
      <c r="G53" s="1616"/>
      <c r="H53" s="1616"/>
    </row>
    <row r="54" spans="1:12" s="313" customFormat="1" x14ac:dyDescent="0.25">
      <c r="A54" s="25" t="s">
        <v>28</v>
      </c>
      <c r="B54" s="25"/>
      <c r="C54" s="25"/>
      <c r="D54" s="25"/>
      <c r="E54" s="1549" t="s">
        <v>29</v>
      </c>
      <c r="F54" s="1549"/>
      <c r="G54" s="1549"/>
      <c r="H54" s="27"/>
      <c r="I54" s="27"/>
      <c r="J54" s="26"/>
      <c r="K54" s="26"/>
      <c r="L54" s="26"/>
    </row>
    <row r="55" spans="1:12" s="313" customFormat="1" x14ac:dyDescent="0.25">
      <c r="A55" s="25"/>
      <c r="B55" s="25"/>
      <c r="C55" s="25"/>
      <c r="D55" s="25"/>
      <c r="E55" s="402"/>
      <c r="F55" s="402"/>
      <c r="G55" s="402"/>
      <c r="H55" s="27"/>
      <c r="I55" s="27"/>
      <c r="J55" s="26"/>
      <c r="K55" s="26"/>
      <c r="L55" s="26"/>
    </row>
    <row r="56" spans="1:12" s="313" customFormat="1" ht="16.5" customHeight="1" x14ac:dyDescent="0.25">
      <c r="A56" s="395" t="str">
        <f>+BS!A48</f>
        <v>S. Siva Parvathi</v>
      </c>
      <c r="B56" s="395"/>
      <c r="C56" s="395"/>
      <c r="D56" s="395"/>
      <c r="E56" s="1551">
        <f>+BS!B42</f>
        <v>0</v>
      </c>
      <c r="F56" s="1551"/>
      <c r="G56" s="1551"/>
      <c r="H56" s="1551"/>
      <c r="I56" s="26"/>
      <c r="J56" s="26"/>
      <c r="K56" s="26"/>
      <c r="L56" s="26"/>
    </row>
    <row r="57" spans="1:12" s="313" customFormat="1" ht="15" x14ac:dyDescent="0.25">
      <c r="A57" s="395" t="s">
        <v>1861</v>
      </c>
      <c r="B57" s="395"/>
      <c r="C57" s="395"/>
      <c r="D57" s="395"/>
      <c r="F57" s="30"/>
      <c r="G57" s="31"/>
      <c r="H57" s="33"/>
      <c r="I57" s="32"/>
      <c r="J57" s="32"/>
      <c r="K57" s="32"/>
      <c r="L57" s="32"/>
    </row>
    <row r="58" spans="1:12" s="313" customFormat="1" ht="15" x14ac:dyDescent="0.25">
      <c r="A58" s="395" t="s">
        <v>806</v>
      </c>
      <c r="B58" s="395"/>
      <c r="C58" s="395"/>
      <c r="D58" s="395"/>
      <c r="F58" s="30"/>
      <c r="G58" s="31"/>
      <c r="H58" s="33"/>
      <c r="I58" s="32"/>
      <c r="J58" s="32"/>
      <c r="K58" s="32"/>
      <c r="L58" s="32"/>
    </row>
    <row r="59" spans="1:12" s="313" customFormat="1" x14ac:dyDescent="0.25">
      <c r="A59" s="397"/>
      <c r="B59" s="397"/>
      <c r="C59" s="397"/>
      <c r="D59" s="397"/>
      <c r="E59" s="311"/>
      <c r="F59" s="29"/>
      <c r="G59" s="312"/>
      <c r="H59" s="407"/>
      <c r="I59" s="32"/>
      <c r="J59" s="32"/>
      <c r="K59" s="32"/>
      <c r="L59" s="32"/>
    </row>
    <row r="60" spans="1:12" s="313" customFormat="1" ht="15" x14ac:dyDescent="0.25">
      <c r="A60" s="395" t="str">
        <f>+BS!A48</f>
        <v>S. Siva Parvathi</v>
      </c>
      <c r="B60" s="395"/>
      <c r="C60" s="395"/>
      <c r="D60" s="395"/>
      <c r="E60" s="395">
        <f>+BS!B48</f>
        <v>0</v>
      </c>
      <c r="F60" s="394"/>
      <c r="G60" s="403"/>
      <c r="H60" s="329"/>
      <c r="I60" s="34"/>
      <c r="J60" s="34"/>
      <c r="K60" s="34"/>
      <c r="L60" s="34"/>
    </row>
    <row r="61" spans="1:12" s="313" customFormat="1" x14ac:dyDescent="0.3">
      <c r="A61" s="397" t="s">
        <v>807</v>
      </c>
      <c r="B61" s="397"/>
      <c r="C61" s="397"/>
      <c r="D61" s="397"/>
      <c r="E61" s="397" t="str">
        <f>+BS!B49</f>
        <v>Director                                Director</v>
      </c>
      <c r="F61" s="393"/>
      <c r="G61" s="1224"/>
      <c r="H61" s="408"/>
      <c r="I61" s="35"/>
      <c r="J61" s="35"/>
      <c r="K61" s="35"/>
      <c r="L61" s="35"/>
    </row>
    <row r="62" spans="1:12" s="313" customFormat="1" x14ac:dyDescent="0.3">
      <c r="A62" s="397" t="s">
        <v>1862</v>
      </c>
      <c r="B62" s="397"/>
      <c r="C62" s="397"/>
      <c r="D62" s="397"/>
      <c r="E62" s="397">
        <f>+BS!B50</f>
        <v>0</v>
      </c>
      <c r="F62" s="393"/>
      <c r="G62" s="1224"/>
      <c r="H62" s="409"/>
    </row>
    <row r="63" spans="1:12" s="313" customFormat="1" x14ac:dyDescent="0.3">
      <c r="A63" s="397" t="str">
        <f>BS!A51</f>
        <v>UDIN:</v>
      </c>
      <c r="B63" s="397"/>
      <c r="C63" s="397"/>
      <c r="D63" s="397"/>
      <c r="E63" s="404"/>
      <c r="F63" s="393"/>
      <c r="G63" s="405"/>
      <c r="H63" s="409"/>
    </row>
    <row r="64" spans="1:12" s="313" customFormat="1" x14ac:dyDescent="0.3">
      <c r="A64" s="397" t="s">
        <v>808</v>
      </c>
      <c r="B64" s="397"/>
      <c r="C64" s="397"/>
      <c r="D64" s="397"/>
      <c r="E64" s="404"/>
      <c r="F64" s="393"/>
      <c r="G64" s="405"/>
      <c r="H64" s="409"/>
    </row>
    <row r="65" spans="1:12" s="313" customFormat="1" ht="13.5" customHeight="1" x14ac:dyDescent="0.3">
      <c r="A65" s="393" t="str">
        <f>+BS!A53</f>
        <v>Date:</v>
      </c>
      <c r="B65" s="393"/>
      <c r="C65" s="393"/>
      <c r="D65" s="393"/>
      <c r="E65" s="25"/>
      <c r="F65" s="29"/>
      <c r="G65" s="25"/>
      <c r="H65" s="409"/>
      <c r="I65" s="38"/>
      <c r="J65" s="38"/>
      <c r="K65" s="38"/>
      <c r="L65" s="38"/>
    </row>
    <row r="66" spans="1:12" s="313" customFormat="1" x14ac:dyDescent="0.3">
      <c r="A66" s="393"/>
      <c r="B66" s="25"/>
      <c r="C66" s="29"/>
      <c r="D66" s="25"/>
      <c r="E66" s="409"/>
      <c r="F66" s="25"/>
      <c r="G66" s="25"/>
      <c r="H66" s="25"/>
      <c r="I66" s="38"/>
    </row>
  </sheetData>
  <mergeCells count="22">
    <mergeCell ref="E54:G54"/>
    <mergeCell ref="A48:C48"/>
    <mergeCell ref="A49:C49"/>
    <mergeCell ref="A50:C50"/>
    <mergeCell ref="A52:H52"/>
    <mergeCell ref="A53:H53"/>
    <mergeCell ref="E56:H56"/>
    <mergeCell ref="A41:C41"/>
    <mergeCell ref="G4:H4"/>
    <mergeCell ref="A15:H16"/>
    <mergeCell ref="F21:G21"/>
    <mergeCell ref="F22:G22"/>
    <mergeCell ref="F23:G23"/>
    <mergeCell ref="F24:G24"/>
    <mergeCell ref="A36:H37"/>
    <mergeCell ref="A40:C40"/>
    <mergeCell ref="A42:C42"/>
    <mergeCell ref="A43:C43"/>
    <mergeCell ref="A44:C44"/>
    <mergeCell ref="A45:C45"/>
    <mergeCell ref="A46:C46"/>
    <mergeCell ref="A47:C47"/>
  </mergeCells>
  <printOptions horizontalCentered="1"/>
  <pageMargins left="0.7" right="0.7" top="0.75" bottom="0.75" header="0.3" footer="0.3"/>
  <pageSetup paperSize="9" scale="71"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81"/>
  <sheetViews>
    <sheetView topLeftCell="A326" workbookViewId="0">
      <selection activeCell="C344" sqref="C344"/>
    </sheetView>
  </sheetViews>
  <sheetFormatPr defaultColWidth="8.85546875" defaultRowHeight="15" x14ac:dyDescent="0.25"/>
  <cols>
    <col min="1" max="1" width="59.140625" style="352" bestFit="1" customWidth="1"/>
    <col min="2" max="2" width="18" style="1274" customWidth="1"/>
    <col min="3" max="3" width="17.7109375" style="1274" bestFit="1" customWidth="1"/>
    <col min="4" max="4" width="12.140625" style="352" bestFit="1" customWidth="1"/>
    <col min="5" max="5" width="32.140625" style="352" bestFit="1" customWidth="1"/>
    <col min="6" max="6" width="12.85546875" style="1274" bestFit="1" customWidth="1"/>
    <col min="7" max="7" width="12.85546875" style="352" bestFit="1" customWidth="1"/>
    <col min="8" max="16384" width="8.85546875" style="352"/>
  </cols>
  <sheetData>
    <row r="1" spans="1:3" x14ac:dyDescent="0.25">
      <c r="A1" s="362"/>
      <c r="B1" s="1278"/>
    </row>
    <row r="2" spans="1:3" x14ac:dyDescent="0.25">
      <c r="A2" s="362" t="s">
        <v>676</v>
      </c>
    </row>
    <row r="3" spans="1:3" x14ac:dyDescent="0.25">
      <c r="B3" s="1279" t="s">
        <v>1567</v>
      </c>
      <c r="C3" s="1279" t="s">
        <v>884</v>
      </c>
    </row>
    <row r="4" spans="1:3" x14ac:dyDescent="0.25">
      <c r="A4" s="362" t="s">
        <v>1815</v>
      </c>
      <c r="B4" s="1279"/>
      <c r="C4" s="1279"/>
    </row>
    <row r="5" spans="1:3" x14ac:dyDescent="0.25">
      <c r="A5" s="1276" t="s">
        <v>546</v>
      </c>
      <c r="B5" s="1303">
        <v>0</v>
      </c>
      <c r="C5" s="1303">
        <v>63362</v>
      </c>
    </row>
    <row r="6" spans="1:3" x14ac:dyDescent="0.25">
      <c r="A6" s="1276" t="s">
        <v>1604</v>
      </c>
      <c r="B6" s="1303">
        <v>442</v>
      </c>
      <c r="C6" s="1303">
        <v>0</v>
      </c>
    </row>
    <row r="7" spans="1:3" x14ac:dyDescent="0.25">
      <c r="A7" s="1276" t="s">
        <v>1415</v>
      </c>
      <c r="B7" s="1303">
        <v>0</v>
      </c>
      <c r="C7" s="1303">
        <v>90000</v>
      </c>
    </row>
    <row r="8" spans="1:3" x14ac:dyDescent="0.25">
      <c r="A8" s="1276" t="s">
        <v>374</v>
      </c>
      <c r="B8" s="1303">
        <v>0</v>
      </c>
      <c r="C8" s="1303">
        <v>95768.8</v>
      </c>
    </row>
    <row r="9" spans="1:3" x14ac:dyDescent="0.25">
      <c r="A9" s="1276" t="s">
        <v>375</v>
      </c>
      <c r="B9" s="1303">
        <v>17700</v>
      </c>
      <c r="C9" s="1303">
        <v>0</v>
      </c>
    </row>
    <row r="10" spans="1:3" x14ac:dyDescent="0.25">
      <c r="A10" s="1276" t="s">
        <v>387</v>
      </c>
      <c r="B10" s="1303">
        <v>0</v>
      </c>
      <c r="C10" s="1303">
        <v>80090</v>
      </c>
    </row>
    <row r="11" spans="1:3" x14ac:dyDescent="0.25">
      <c r="A11" s="1276" t="s">
        <v>1700</v>
      </c>
      <c r="B11" s="1303">
        <v>-1610</v>
      </c>
      <c r="C11" s="1303">
        <v>0</v>
      </c>
    </row>
    <row r="12" spans="1:3" x14ac:dyDescent="0.25">
      <c r="A12" s="1276" t="s">
        <v>414</v>
      </c>
      <c r="B12" s="1303">
        <v>0</v>
      </c>
      <c r="C12" s="1303">
        <v>91836</v>
      </c>
    </row>
    <row r="13" spans="1:3" x14ac:dyDescent="0.25">
      <c r="A13" s="1276" t="s">
        <v>415</v>
      </c>
      <c r="B13" s="1303">
        <v>0</v>
      </c>
      <c r="C13" s="1303">
        <v>115279</v>
      </c>
    </row>
    <row r="14" spans="1:3" x14ac:dyDescent="0.25">
      <c r="A14" s="1276" t="s">
        <v>430</v>
      </c>
      <c r="B14" s="1303">
        <v>31510</v>
      </c>
      <c r="C14" s="1303">
        <v>31510</v>
      </c>
    </row>
    <row r="15" spans="1:3" x14ac:dyDescent="0.25">
      <c r="A15" s="362" t="s">
        <v>1816</v>
      </c>
      <c r="B15" s="1279"/>
      <c r="C15" s="1279"/>
    </row>
    <row r="16" spans="1:3" x14ac:dyDescent="0.25">
      <c r="A16" s="1276" t="s">
        <v>908</v>
      </c>
      <c r="B16" s="1303">
        <v>-1794</v>
      </c>
      <c r="C16" s="1303">
        <v>-1794</v>
      </c>
    </row>
    <row r="17" spans="1:3" x14ac:dyDescent="0.25">
      <c r="A17" s="1276" t="s">
        <v>1598</v>
      </c>
      <c r="B17" s="1303">
        <v>22500</v>
      </c>
      <c r="C17" s="1303">
        <v>0</v>
      </c>
    </row>
    <row r="18" spans="1:3" x14ac:dyDescent="0.25">
      <c r="A18" s="1276" t="s">
        <v>221</v>
      </c>
      <c r="B18" s="1303">
        <v>162000</v>
      </c>
      <c r="C18" s="1303">
        <v>54000</v>
      </c>
    </row>
    <row r="19" spans="1:3" x14ac:dyDescent="0.25">
      <c r="A19" s="1276" t="s">
        <v>223</v>
      </c>
      <c r="B19" s="1303">
        <v>33099</v>
      </c>
      <c r="C19" s="1303">
        <v>0</v>
      </c>
    </row>
    <row r="20" spans="1:3" x14ac:dyDescent="0.25">
      <c r="A20" s="1276" t="s">
        <v>1600</v>
      </c>
      <c r="B20" s="1303">
        <v>-2096</v>
      </c>
      <c r="C20" s="1303">
        <v>0</v>
      </c>
    </row>
    <row r="21" spans="1:3" x14ac:dyDescent="0.25">
      <c r="A21" s="1276" t="s">
        <v>238</v>
      </c>
      <c r="B21" s="1303">
        <v>0</v>
      </c>
      <c r="C21" s="1303">
        <v>20790</v>
      </c>
    </row>
    <row r="22" spans="1:3" x14ac:dyDescent="0.25">
      <c r="A22" s="1276" t="s">
        <v>239</v>
      </c>
      <c r="B22" s="1303">
        <v>438930.96</v>
      </c>
      <c r="C22" s="1303">
        <v>467094</v>
      </c>
    </row>
    <row r="23" spans="1:3" x14ac:dyDescent="0.25">
      <c r="A23" s="1276" t="s">
        <v>241</v>
      </c>
      <c r="B23" s="1303">
        <v>7920</v>
      </c>
      <c r="C23" s="1303">
        <v>4950</v>
      </c>
    </row>
    <row r="24" spans="1:3" x14ac:dyDescent="0.25">
      <c r="A24" s="1276" t="s">
        <v>247</v>
      </c>
      <c r="B24" s="1303">
        <v>11502.48</v>
      </c>
      <c r="C24" s="1303">
        <v>11443</v>
      </c>
    </row>
    <row r="25" spans="1:3" x14ac:dyDescent="0.25">
      <c r="A25" s="1276" t="s">
        <v>923</v>
      </c>
      <c r="B25" s="1303">
        <v>1444.32</v>
      </c>
      <c r="C25" s="1303">
        <v>6951</v>
      </c>
    </row>
    <row r="26" spans="1:3" x14ac:dyDescent="0.25">
      <c r="A26" s="1276" t="s">
        <v>251</v>
      </c>
      <c r="B26" s="1303">
        <v>185850</v>
      </c>
      <c r="C26" s="1303">
        <v>224790</v>
      </c>
    </row>
    <row r="27" spans="1:3" x14ac:dyDescent="0.25">
      <c r="A27" s="1276" t="s">
        <v>1620</v>
      </c>
      <c r="B27" s="1303">
        <v>3363</v>
      </c>
      <c r="C27" s="1303">
        <v>0</v>
      </c>
    </row>
    <row r="28" spans="1:3" x14ac:dyDescent="0.25">
      <c r="A28" s="1276" t="s">
        <v>549</v>
      </c>
      <c r="B28" s="1303">
        <v>2700</v>
      </c>
      <c r="C28" s="1303">
        <v>2700</v>
      </c>
    </row>
    <row r="29" spans="1:3" x14ac:dyDescent="0.25">
      <c r="A29" s="1276" t="s">
        <v>265</v>
      </c>
      <c r="B29" s="1303">
        <v>164725</v>
      </c>
      <c r="C29" s="1303">
        <v>683435</v>
      </c>
    </row>
    <row r="30" spans="1:3" x14ac:dyDescent="0.25">
      <c r="A30" s="1276" t="s">
        <v>267</v>
      </c>
      <c r="B30" s="1303">
        <v>0</v>
      </c>
      <c r="C30" s="1303">
        <v>107380</v>
      </c>
    </row>
    <row r="31" spans="1:3" x14ac:dyDescent="0.25">
      <c r="A31" s="1276" t="s">
        <v>279</v>
      </c>
      <c r="B31" s="1303">
        <v>56227</v>
      </c>
      <c r="C31" s="1303">
        <v>18703</v>
      </c>
    </row>
    <row r="32" spans="1:3" x14ac:dyDescent="0.25">
      <c r="A32" s="1276" t="s">
        <v>938</v>
      </c>
      <c r="B32" s="1303">
        <v>40635</v>
      </c>
      <c r="C32" s="1303">
        <v>26640</v>
      </c>
    </row>
    <row r="33" spans="1:3" x14ac:dyDescent="0.25">
      <c r="A33" s="1276" t="s">
        <v>1640</v>
      </c>
      <c r="B33" s="1303">
        <v>1380</v>
      </c>
      <c r="C33" s="1303">
        <v>0</v>
      </c>
    </row>
    <row r="34" spans="1:3" x14ac:dyDescent="0.25">
      <c r="A34" s="1276" t="s">
        <v>300</v>
      </c>
      <c r="B34" s="1303">
        <v>524232</v>
      </c>
      <c r="C34" s="1303">
        <v>323568</v>
      </c>
    </row>
    <row r="35" spans="1:3" x14ac:dyDescent="0.25">
      <c r="A35" s="1276" t="s">
        <v>318</v>
      </c>
      <c r="B35" s="1303">
        <v>22000</v>
      </c>
      <c r="C35" s="1303">
        <v>16500</v>
      </c>
    </row>
    <row r="36" spans="1:3" x14ac:dyDescent="0.25">
      <c r="A36" s="1276" t="s">
        <v>319</v>
      </c>
      <c r="B36" s="1303">
        <v>0</v>
      </c>
      <c r="C36" s="1303">
        <v>194400</v>
      </c>
    </row>
    <row r="37" spans="1:3" x14ac:dyDescent="0.25">
      <c r="A37" s="1276" t="s">
        <v>325</v>
      </c>
      <c r="B37" s="1303">
        <v>0</v>
      </c>
      <c r="C37" s="1303">
        <v>80000</v>
      </c>
    </row>
    <row r="38" spans="1:3" x14ac:dyDescent="0.25">
      <c r="A38" s="1276" t="s">
        <v>327</v>
      </c>
      <c r="B38" s="1303">
        <v>169515</v>
      </c>
      <c r="C38" s="1303">
        <v>290066</v>
      </c>
    </row>
    <row r="39" spans="1:3" x14ac:dyDescent="0.25">
      <c r="A39" s="1276" t="s">
        <v>1663</v>
      </c>
      <c r="B39" s="1303">
        <v>75600</v>
      </c>
      <c r="C39" s="1303">
        <v>0</v>
      </c>
    </row>
    <row r="40" spans="1:3" x14ac:dyDescent="0.25">
      <c r="A40" s="1276" t="s">
        <v>328</v>
      </c>
      <c r="B40" s="1303">
        <v>19186</v>
      </c>
      <c r="C40" s="1303">
        <v>27150</v>
      </c>
    </row>
    <row r="41" spans="1:3" x14ac:dyDescent="0.25">
      <c r="A41" s="1276" t="s">
        <v>333</v>
      </c>
      <c r="B41" s="1303">
        <v>17553</v>
      </c>
      <c r="C41" s="1303">
        <v>17688</v>
      </c>
    </row>
    <row r="42" spans="1:3" x14ac:dyDescent="0.25">
      <c r="A42" s="1276" t="s">
        <v>952</v>
      </c>
      <c r="B42" s="1303">
        <v>0</v>
      </c>
      <c r="C42" s="1303">
        <v>41400</v>
      </c>
    </row>
    <row r="43" spans="1:3" x14ac:dyDescent="0.25">
      <c r="A43" s="1276" t="s">
        <v>339</v>
      </c>
      <c r="B43" s="1303">
        <v>297000</v>
      </c>
      <c r="C43" s="1303">
        <v>0</v>
      </c>
    </row>
    <row r="44" spans="1:3" x14ac:dyDescent="0.25">
      <c r="A44" s="1276" t="s">
        <v>1669</v>
      </c>
      <c r="B44" s="1303">
        <v>64800</v>
      </c>
      <c r="C44" s="1303">
        <v>0</v>
      </c>
    </row>
    <row r="45" spans="1:3" x14ac:dyDescent="0.25">
      <c r="A45" s="1276" t="s">
        <v>341</v>
      </c>
      <c r="B45" s="1303">
        <v>36405</v>
      </c>
      <c r="C45" s="1303">
        <v>35153</v>
      </c>
    </row>
    <row r="46" spans="1:3" x14ac:dyDescent="0.25">
      <c r="A46" s="1276" t="s">
        <v>355</v>
      </c>
      <c r="B46" s="1303">
        <v>103481</v>
      </c>
      <c r="C46" s="1303">
        <v>126124</v>
      </c>
    </row>
    <row r="47" spans="1:3" x14ac:dyDescent="0.25">
      <c r="A47" s="1276" t="s">
        <v>357</v>
      </c>
      <c r="B47" s="1303">
        <v>56990</v>
      </c>
      <c r="C47" s="1303">
        <v>56990</v>
      </c>
    </row>
    <row r="48" spans="1:3" x14ac:dyDescent="0.25">
      <c r="A48" s="1276" t="s">
        <v>958</v>
      </c>
      <c r="B48" s="1303">
        <v>0</v>
      </c>
      <c r="C48" s="1303">
        <v>18354</v>
      </c>
    </row>
    <row r="49" spans="1:3" x14ac:dyDescent="0.25">
      <c r="A49" s="1276" t="s">
        <v>574</v>
      </c>
      <c r="B49" s="1303">
        <v>1062945</v>
      </c>
      <c r="C49" s="1303">
        <v>526400</v>
      </c>
    </row>
    <row r="50" spans="1:3" x14ac:dyDescent="0.25">
      <c r="A50" s="1276" t="s">
        <v>370</v>
      </c>
      <c r="B50" s="1303">
        <v>500</v>
      </c>
      <c r="C50" s="1303">
        <v>0</v>
      </c>
    </row>
    <row r="51" spans="1:3" x14ac:dyDescent="0.25">
      <c r="A51" s="1276" t="s">
        <v>963</v>
      </c>
      <c r="B51" s="1303">
        <v>173255</v>
      </c>
      <c r="C51" s="1303">
        <v>247532.48</v>
      </c>
    </row>
    <row r="52" spans="1:3" x14ac:dyDescent="0.25">
      <c r="A52" s="1276" t="s">
        <v>372</v>
      </c>
      <c r="B52" s="1303">
        <v>148320</v>
      </c>
      <c r="C52" s="1303">
        <v>198000</v>
      </c>
    </row>
    <row r="53" spans="1:3" x14ac:dyDescent="0.25">
      <c r="A53" s="1276" t="s">
        <v>379</v>
      </c>
      <c r="B53" s="1303">
        <v>47600</v>
      </c>
      <c r="C53" s="1303">
        <v>247072</v>
      </c>
    </row>
    <row r="54" spans="1:3" x14ac:dyDescent="0.25">
      <c r="A54" s="1276" t="s">
        <v>1416</v>
      </c>
      <c r="B54" s="1303">
        <v>0</v>
      </c>
      <c r="C54" s="1303">
        <v>-30000</v>
      </c>
    </row>
    <row r="55" spans="1:3" x14ac:dyDescent="0.25">
      <c r="A55" s="1276" t="s">
        <v>390</v>
      </c>
      <c r="B55" s="1303">
        <v>3150</v>
      </c>
      <c r="C55" s="1303">
        <v>3150</v>
      </c>
    </row>
    <row r="56" spans="1:3" x14ac:dyDescent="0.25">
      <c r="A56" s="1276" t="s">
        <v>393</v>
      </c>
      <c r="B56" s="1303">
        <v>32670</v>
      </c>
      <c r="C56" s="1303">
        <v>17820</v>
      </c>
    </row>
    <row r="57" spans="1:3" x14ac:dyDescent="0.25">
      <c r="A57" s="1276" t="s">
        <v>394</v>
      </c>
      <c r="B57" s="1303">
        <v>175089.5</v>
      </c>
      <c r="C57" s="1303">
        <v>84052</v>
      </c>
    </row>
    <row r="58" spans="1:3" x14ac:dyDescent="0.25">
      <c r="A58" s="1276" t="s">
        <v>406</v>
      </c>
      <c r="B58" s="1303">
        <v>7825.5</v>
      </c>
      <c r="C58" s="1303">
        <v>8383.9</v>
      </c>
    </row>
    <row r="59" spans="1:3" x14ac:dyDescent="0.25">
      <c r="A59" s="1276" t="s">
        <v>1701</v>
      </c>
      <c r="B59" s="1303">
        <v>6480</v>
      </c>
      <c r="C59" s="1303">
        <v>0</v>
      </c>
    </row>
    <row r="60" spans="1:3" x14ac:dyDescent="0.25">
      <c r="A60" s="1276" t="s">
        <v>428</v>
      </c>
      <c r="B60" s="1303">
        <v>10476</v>
      </c>
      <c r="C60" s="1303">
        <v>24894</v>
      </c>
    </row>
    <row r="61" spans="1:3" x14ac:dyDescent="0.25">
      <c r="A61" s="1276" t="s">
        <v>1417</v>
      </c>
      <c r="B61" s="1303">
        <v>13305</v>
      </c>
      <c r="C61" s="1303">
        <v>14560</v>
      </c>
    </row>
    <row r="62" spans="1:3" x14ac:dyDescent="0.25">
      <c r="A62" s="1276" t="s">
        <v>456</v>
      </c>
      <c r="B62" s="1303">
        <v>295839</v>
      </c>
      <c r="C62" s="1303">
        <v>378971</v>
      </c>
    </row>
    <row r="63" spans="1:3" x14ac:dyDescent="0.25">
      <c r="A63" s="1276" t="s">
        <v>1718</v>
      </c>
      <c r="B63" s="1303">
        <v>80000</v>
      </c>
      <c r="C63" s="1303">
        <v>0</v>
      </c>
    </row>
    <row r="64" spans="1:3" x14ac:dyDescent="0.25">
      <c r="A64" s="1276" t="s">
        <v>975</v>
      </c>
      <c r="B64" s="1303">
        <v>102438</v>
      </c>
      <c r="C64" s="1303">
        <v>92556</v>
      </c>
    </row>
    <row r="65" spans="1:3" x14ac:dyDescent="0.25">
      <c r="A65" s="1276" t="s">
        <v>1418</v>
      </c>
      <c r="B65" s="1303"/>
      <c r="C65" s="1303">
        <v>40500</v>
      </c>
    </row>
    <row r="66" spans="1:3" x14ac:dyDescent="0.25">
      <c r="A66" s="1276" t="s">
        <v>1729</v>
      </c>
      <c r="B66" s="1303">
        <v>18287</v>
      </c>
      <c r="C66" s="1303">
        <v>0</v>
      </c>
    </row>
    <row r="67" spans="1:3" x14ac:dyDescent="0.25">
      <c r="A67" s="1276" t="s">
        <v>467</v>
      </c>
      <c r="B67" s="1303">
        <v>22447</v>
      </c>
      <c r="C67" s="1303">
        <v>68151.600000000006</v>
      </c>
    </row>
    <row r="68" spans="1:3" x14ac:dyDescent="0.25">
      <c r="A68" s="1276" t="s">
        <v>482</v>
      </c>
      <c r="B68" s="1303">
        <v>631863</v>
      </c>
      <c r="C68" s="1303">
        <v>602379</v>
      </c>
    </row>
    <row r="69" spans="1:3" x14ac:dyDescent="0.25">
      <c r="A69" s="1276" t="s">
        <v>493</v>
      </c>
      <c r="B69" s="1303">
        <v>631763</v>
      </c>
      <c r="C69" s="1303">
        <v>602279</v>
      </c>
    </row>
    <row r="70" spans="1:3" x14ac:dyDescent="0.25">
      <c r="A70" s="1276" t="s">
        <v>495</v>
      </c>
      <c r="B70" s="1303">
        <v>631763</v>
      </c>
      <c r="C70" s="1303">
        <v>602279</v>
      </c>
    </row>
    <row r="71" spans="1:3" x14ac:dyDescent="0.25">
      <c r="A71" s="1276" t="s">
        <v>1741</v>
      </c>
      <c r="B71" s="1303">
        <v>-186000</v>
      </c>
      <c r="C71" s="1303">
        <v>0</v>
      </c>
    </row>
    <row r="72" spans="1:3" x14ac:dyDescent="0.25">
      <c r="A72" s="1276" t="s">
        <v>503</v>
      </c>
      <c r="B72" s="1303">
        <v>14520</v>
      </c>
      <c r="C72" s="1303">
        <v>10890</v>
      </c>
    </row>
    <row r="73" spans="1:3" x14ac:dyDescent="0.25">
      <c r="A73" s="1276" t="s">
        <v>1744</v>
      </c>
      <c r="B73" s="1303">
        <v>3240</v>
      </c>
      <c r="C73" s="1303">
        <v>0</v>
      </c>
    </row>
    <row r="74" spans="1:3" x14ac:dyDescent="0.25">
      <c r="A74" s="1276" t="s">
        <v>978</v>
      </c>
      <c r="B74" s="1303"/>
      <c r="C74" s="1303">
        <v>734811</v>
      </c>
    </row>
    <row r="75" spans="1:3" x14ac:dyDescent="0.25">
      <c r="A75" s="1276" t="s">
        <v>1748</v>
      </c>
      <c r="B75" s="1303">
        <v>8555</v>
      </c>
      <c r="C75" s="1303">
        <v>0</v>
      </c>
    </row>
    <row r="76" spans="1:3" x14ac:dyDescent="0.25">
      <c r="A76" s="1276" t="s">
        <v>512</v>
      </c>
      <c r="B76" s="1303">
        <v>147578.66</v>
      </c>
      <c r="C76" s="1303">
        <v>61950</v>
      </c>
    </row>
    <row r="77" spans="1:3" x14ac:dyDescent="0.25">
      <c r="A77" s="1276" t="s">
        <v>1754</v>
      </c>
      <c r="B77" s="1303">
        <v>19889</v>
      </c>
      <c r="C77" s="1303">
        <v>0</v>
      </c>
    </row>
    <row r="78" spans="1:3" x14ac:dyDescent="0.25">
      <c r="A78" s="1276" t="s">
        <v>529</v>
      </c>
      <c r="B78" s="1303">
        <v>14207.19</v>
      </c>
      <c r="C78" s="1303">
        <v>26353.37</v>
      </c>
    </row>
    <row r="79" spans="1:3" x14ac:dyDescent="0.25">
      <c r="A79" s="1276" t="s">
        <v>1759</v>
      </c>
      <c r="B79" s="1303">
        <v>427500</v>
      </c>
      <c r="C79" s="1303">
        <v>0</v>
      </c>
    </row>
    <row r="80" spans="1:3" x14ac:dyDescent="0.25">
      <c r="A80" s="1276" t="s">
        <v>1760</v>
      </c>
      <c r="B80" s="1303">
        <v>38500</v>
      </c>
      <c r="C80" s="1303">
        <v>0</v>
      </c>
    </row>
    <row r="81" spans="1:3" x14ac:dyDescent="0.25">
      <c r="A81" s="1276" t="s">
        <v>531</v>
      </c>
      <c r="B81" s="1303">
        <v>543090</v>
      </c>
      <c r="C81" s="1303">
        <v>1201500</v>
      </c>
    </row>
    <row r="82" spans="1:3" x14ac:dyDescent="0.25">
      <c r="A82" s="1276"/>
      <c r="B82" s="1303"/>
      <c r="C82" s="1303"/>
    </row>
    <row r="83" spans="1:3" x14ac:dyDescent="0.25">
      <c r="A83" s="362" t="s">
        <v>1817</v>
      </c>
      <c r="B83" s="1303"/>
      <c r="C83" s="1303"/>
    </row>
    <row r="84" spans="1:3" x14ac:dyDescent="0.25">
      <c r="A84" s="1276" t="s">
        <v>1599</v>
      </c>
      <c r="B84" s="1303">
        <v>37400</v>
      </c>
      <c r="C84" s="1303">
        <v>0</v>
      </c>
    </row>
    <row r="85" spans="1:3" x14ac:dyDescent="0.25">
      <c r="A85" s="1276" t="s">
        <v>224</v>
      </c>
      <c r="B85" s="1303">
        <v>150772.56</v>
      </c>
      <c r="C85" s="1303">
        <v>193740.9</v>
      </c>
    </row>
    <row r="86" spans="1:3" x14ac:dyDescent="0.25">
      <c r="A86" s="1276" t="s">
        <v>918</v>
      </c>
      <c r="B86" s="1303">
        <v>206500</v>
      </c>
      <c r="C86" s="1303">
        <v>324264</v>
      </c>
    </row>
    <row r="87" spans="1:3" x14ac:dyDescent="0.25">
      <c r="A87" s="1276" t="s">
        <v>919</v>
      </c>
      <c r="B87" s="1303">
        <v>35535.699999999997</v>
      </c>
      <c r="C87" s="1303">
        <v>53396.4</v>
      </c>
    </row>
    <row r="88" spans="1:3" x14ac:dyDescent="0.25">
      <c r="A88" s="1276" t="s">
        <v>230</v>
      </c>
      <c r="B88" s="1303">
        <v>171662</v>
      </c>
      <c r="C88" s="1303">
        <v>51489</v>
      </c>
    </row>
    <row r="89" spans="1:3" x14ac:dyDescent="0.25">
      <c r="A89" s="1276" t="s">
        <v>920</v>
      </c>
      <c r="B89" s="1303">
        <v>0</v>
      </c>
      <c r="C89" s="1303">
        <v>14160</v>
      </c>
    </row>
    <row r="90" spans="1:3" x14ac:dyDescent="0.25">
      <c r="A90" s="1276" t="s">
        <v>248</v>
      </c>
      <c r="B90" s="1303">
        <v>767205.32</v>
      </c>
      <c r="C90" s="1303">
        <v>612601.11</v>
      </c>
    </row>
    <row r="91" spans="1:3" x14ac:dyDescent="0.25">
      <c r="A91" s="1276" t="s">
        <v>1618</v>
      </c>
      <c r="B91" s="1303">
        <v>5208</v>
      </c>
      <c r="C91" s="1303">
        <v>0</v>
      </c>
    </row>
    <row r="92" spans="1:3" x14ac:dyDescent="0.25">
      <c r="A92" s="1276" t="s">
        <v>255</v>
      </c>
      <c r="B92" s="1303">
        <v>26216</v>
      </c>
      <c r="C92" s="1303">
        <v>34450</v>
      </c>
    </row>
    <row r="93" spans="1:3" x14ac:dyDescent="0.25">
      <c r="A93" s="1276" t="s">
        <v>550</v>
      </c>
      <c r="B93" s="1303">
        <v>118000</v>
      </c>
      <c r="C93" s="1303">
        <v>0</v>
      </c>
    </row>
    <row r="94" spans="1:3" x14ac:dyDescent="0.25">
      <c r="A94" s="1276" t="s">
        <v>264</v>
      </c>
      <c r="B94" s="1303">
        <v>70210</v>
      </c>
      <c r="C94" s="1303">
        <v>148444</v>
      </c>
    </row>
    <row r="95" spans="1:3" x14ac:dyDescent="0.25">
      <c r="A95" s="1276" t="s">
        <v>1626</v>
      </c>
      <c r="B95" s="1303">
        <v>77408</v>
      </c>
      <c r="C95" s="1303">
        <v>0</v>
      </c>
    </row>
    <row r="96" spans="1:3" x14ac:dyDescent="0.25">
      <c r="A96" s="1276" t="s">
        <v>1629</v>
      </c>
      <c r="B96" s="1303">
        <v>48498</v>
      </c>
      <c r="C96" s="1303">
        <v>0</v>
      </c>
    </row>
    <row r="97" spans="1:3" x14ac:dyDescent="0.25">
      <c r="A97" s="1276" t="s">
        <v>1630</v>
      </c>
      <c r="B97" s="1303">
        <v>27000</v>
      </c>
      <c r="C97" s="1303">
        <v>0</v>
      </c>
    </row>
    <row r="98" spans="1:3" x14ac:dyDescent="0.25">
      <c r="A98" s="1276" t="s">
        <v>270</v>
      </c>
      <c r="B98" s="1303">
        <v>136620</v>
      </c>
      <c r="C98" s="1303">
        <v>109340</v>
      </c>
    </row>
    <row r="99" spans="1:3" x14ac:dyDescent="0.25">
      <c r="A99" s="1276" t="s">
        <v>1631</v>
      </c>
      <c r="B99" s="1303">
        <v>-1620</v>
      </c>
      <c r="C99" s="1303">
        <v>0</v>
      </c>
    </row>
    <row r="100" spans="1:3" x14ac:dyDescent="0.25">
      <c r="A100" s="1276" t="s">
        <v>929</v>
      </c>
      <c r="B100" s="1303">
        <v>1304</v>
      </c>
      <c r="C100" s="1303">
        <v>25165</v>
      </c>
    </row>
    <row r="101" spans="1:3" x14ac:dyDescent="0.25">
      <c r="A101" s="1276" t="s">
        <v>286</v>
      </c>
      <c r="B101" s="1303">
        <v>0</v>
      </c>
      <c r="C101" s="1303">
        <v>408240</v>
      </c>
    </row>
    <row r="102" spans="1:3" x14ac:dyDescent="0.25">
      <c r="A102" s="1276" t="s">
        <v>948</v>
      </c>
      <c r="B102" s="1303">
        <v>0</v>
      </c>
      <c r="C102" s="1303">
        <v>42560</v>
      </c>
    </row>
    <row r="103" spans="1:3" x14ac:dyDescent="0.25">
      <c r="A103" s="1276" t="s">
        <v>953</v>
      </c>
      <c r="B103" s="1303">
        <v>0</v>
      </c>
      <c r="C103" s="1303">
        <v>333200</v>
      </c>
    </row>
    <row r="104" spans="1:3" x14ac:dyDescent="0.25">
      <c r="A104" s="1276" t="s">
        <v>340</v>
      </c>
      <c r="B104" s="1303">
        <v>129800</v>
      </c>
      <c r="C104" s="1303">
        <v>0</v>
      </c>
    </row>
    <row r="105" spans="1:3" x14ac:dyDescent="0.25">
      <c r="A105" s="1276" t="s">
        <v>955</v>
      </c>
      <c r="B105" s="1303">
        <v>0</v>
      </c>
      <c r="C105" s="1303">
        <v>1505</v>
      </c>
    </row>
    <row r="106" spans="1:3" x14ac:dyDescent="0.25">
      <c r="A106" s="1276" t="s">
        <v>956</v>
      </c>
      <c r="B106" s="1303">
        <v>0</v>
      </c>
      <c r="C106" s="1303">
        <v>84728</v>
      </c>
    </row>
    <row r="107" spans="1:3" x14ac:dyDescent="0.25">
      <c r="A107" s="1276" t="s">
        <v>957</v>
      </c>
      <c r="B107" s="1303">
        <v>112380</v>
      </c>
      <c r="C107" s="1303">
        <v>140675</v>
      </c>
    </row>
    <row r="108" spans="1:3" x14ac:dyDescent="0.25">
      <c r="A108" s="1276" t="s">
        <v>356</v>
      </c>
      <c r="B108" s="1303">
        <v>28000</v>
      </c>
      <c r="C108" s="1303">
        <v>66886</v>
      </c>
    </row>
    <row r="109" spans="1:3" x14ac:dyDescent="0.25">
      <c r="A109" s="1276" t="s">
        <v>959</v>
      </c>
      <c r="B109" s="1303">
        <v>223380</v>
      </c>
      <c r="C109" s="1303">
        <v>23469</v>
      </c>
    </row>
    <row r="110" spans="1:3" x14ac:dyDescent="0.25">
      <c r="A110" s="1276" t="s">
        <v>572</v>
      </c>
      <c r="B110" s="1303">
        <v>1463</v>
      </c>
      <c r="C110" s="1303">
        <v>0</v>
      </c>
    </row>
    <row r="111" spans="1:3" x14ac:dyDescent="0.25">
      <c r="A111" s="1276" t="s">
        <v>361</v>
      </c>
      <c r="B111" s="1303">
        <v>40253</v>
      </c>
      <c r="C111" s="1303">
        <v>291460</v>
      </c>
    </row>
    <row r="112" spans="1:3" x14ac:dyDescent="0.25">
      <c r="A112" s="1276" t="s">
        <v>960</v>
      </c>
      <c r="B112" s="1303">
        <v>0</v>
      </c>
      <c r="C112" s="1303">
        <v>121304</v>
      </c>
    </row>
    <row r="113" spans="1:3" x14ac:dyDescent="0.25">
      <c r="A113" s="1276" t="s">
        <v>961</v>
      </c>
      <c r="B113" s="1303">
        <v>0</v>
      </c>
      <c r="C113" s="1303">
        <v>-5605</v>
      </c>
    </row>
    <row r="114" spans="1:3" x14ac:dyDescent="0.25">
      <c r="A114" s="1276" t="s">
        <v>366</v>
      </c>
      <c r="B114" s="1303">
        <v>365235</v>
      </c>
      <c r="C114" s="1303">
        <v>189428</v>
      </c>
    </row>
    <row r="115" spans="1:3" x14ac:dyDescent="0.25">
      <c r="A115" s="1276" t="s">
        <v>1677</v>
      </c>
      <c r="B115" s="1303">
        <v>27268</v>
      </c>
      <c r="C115" s="1303">
        <v>0</v>
      </c>
    </row>
    <row r="116" spans="1:3" x14ac:dyDescent="0.25">
      <c r="A116" s="1276" t="s">
        <v>1678</v>
      </c>
      <c r="B116" s="1303">
        <v>22500</v>
      </c>
      <c r="C116" s="1303">
        <v>0</v>
      </c>
    </row>
    <row r="117" spans="1:3" x14ac:dyDescent="0.25">
      <c r="A117" s="1276" t="s">
        <v>1682</v>
      </c>
      <c r="B117" s="1303">
        <v>658800</v>
      </c>
      <c r="C117" s="1303">
        <v>0</v>
      </c>
    </row>
    <row r="118" spans="1:3" x14ac:dyDescent="0.25">
      <c r="A118" s="1276" t="s">
        <v>964</v>
      </c>
      <c r="B118" s="1303">
        <v>82000</v>
      </c>
      <c r="C118" s="1303">
        <v>21600</v>
      </c>
    </row>
    <row r="119" spans="1:3" x14ac:dyDescent="0.25">
      <c r="A119" s="1276" t="s">
        <v>575</v>
      </c>
      <c r="B119" s="1303">
        <v>4130</v>
      </c>
      <c r="C119" s="1303">
        <v>0</v>
      </c>
    </row>
    <row r="120" spans="1:3" x14ac:dyDescent="0.25">
      <c r="A120" s="1276" t="s">
        <v>1689</v>
      </c>
      <c r="B120" s="1303">
        <v>43660</v>
      </c>
      <c r="C120" s="1303">
        <v>0</v>
      </c>
    </row>
    <row r="121" spans="1:3" x14ac:dyDescent="0.25">
      <c r="A121" s="1276" t="s">
        <v>966</v>
      </c>
      <c r="B121" s="1303">
        <v>20898</v>
      </c>
      <c r="C121" s="1303">
        <v>20898</v>
      </c>
    </row>
    <row r="122" spans="1:3" x14ac:dyDescent="0.25">
      <c r="A122" s="1276" t="s">
        <v>401</v>
      </c>
      <c r="B122" s="1303">
        <v>0</v>
      </c>
      <c r="C122" s="1303">
        <v>44840</v>
      </c>
    </row>
    <row r="123" spans="1:3" x14ac:dyDescent="0.25">
      <c r="A123" s="1276" t="s">
        <v>968</v>
      </c>
      <c r="B123" s="1303">
        <v>8552</v>
      </c>
      <c r="C123" s="1303">
        <v>8552</v>
      </c>
    </row>
    <row r="124" spans="1:3" x14ac:dyDescent="0.25">
      <c r="A124" s="1276" t="s">
        <v>969</v>
      </c>
      <c r="B124" s="1303">
        <v>8178</v>
      </c>
      <c r="C124" s="1303">
        <v>8178</v>
      </c>
    </row>
    <row r="125" spans="1:3" x14ac:dyDescent="0.25">
      <c r="A125" s="1276" t="s">
        <v>1698</v>
      </c>
      <c r="B125" s="1303">
        <v>154462</v>
      </c>
      <c r="C125" s="1303">
        <v>0</v>
      </c>
    </row>
    <row r="126" spans="1:3" x14ac:dyDescent="0.25">
      <c r="A126" s="1276" t="s">
        <v>1706</v>
      </c>
      <c r="B126" s="1303">
        <v>143640</v>
      </c>
      <c r="C126" s="1303">
        <v>0</v>
      </c>
    </row>
    <row r="127" spans="1:3" x14ac:dyDescent="0.25">
      <c r="A127" s="1276" t="s">
        <v>416</v>
      </c>
      <c r="B127" s="1303">
        <v>34196</v>
      </c>
      <c r="C127" s="1303">
        <v>108171</v>
      </c>
    </row>
    <row r="128" spans="1:3" x14ac:dyDescent="0.25">
      <c r="A128" s="1276" t="s">
        <v>971</v>
      </c>
      <c r="B128" s="1303">
        <v>0</v>
      </c>
      <c r="C128" s="1303">
        <v>29524</v>
      </c>
    </row>
    <row r="129" spans="1:3" x14ac:dyDescent="0.25">
      <c r="A129" s="1276" t="s">
        <v>424</v>
      </c>
      <c r="B129" s="1303">
        <v>0</v>
      </c>
      <c r="C129" s="1303">
        <v>66358</v>
      </c>
    </row>
    <row r="130" spans="1:3" x14ac:dyDescent="0.25">
      <c r="A130" s="1276" t="s">
        <v>1709</v>
      </c>
      <c r="B130" s="1303">
        <v>-102000</v>
      </c>
      <c r="C130" s="1303">
        <v>0</v>
      </c>
    </row>
    <row r="131" spans="1:3" x14ac:dyDescent="0.25">
      <c r="A131" s="1276" t="s">
        <v>432</v>
      </c>
      <c r="B131" s="1303">
        <v>0</v>
      </c>
      <c r="C131" s="1303">
        <v>21000</v>
      </c>
    </row>
    <row r="132" spans="1:3" x14ac:dyDescent="0.25">
      <c r="A132" s="1276" t="s">
        <v>1719</v>
      </c>
      <c r="B132" s="1303">
        <v>203904</v>
      </c>
      <c r="C132" s="1303">
        <v>429992</v>
      </c>
    </row>
    <row r="133" spans="1:3" x14ac:dyDescent="0.25">
      <c r="A133" s="1276" t="s">
        <v>461</v>
      </c>
      <c r="B133" s="1303">
        <v>35372</v>
      </c>
      <c r="C133" s="1303">
        <v>0</v>
      </c>
    </row>
    <row r="134" spans="1:3" x14ac:dyDescent="0.25">
      <c r="A134" s="1276" t="s">
        <v>462</v>
      </c>
      <c r="B134" s="1303">
        <v>11570</v>
      </c>
      <c r="C134" s="1303">
        <v>11640</v>
      </c>
    </row>
    <row r="135" spans="1:3" x14ac:dyDescent="0.25">
      <c r="A135" s="1276" t="s">
        <v>1726</v>
      </c>
      <c r="B135" s="1303">
        <v>71865</v>
      </c>
      <c r="C135" s="1303">
        <v>0</v>
      </c>
    </row>
    <row r="136" spans="1:3" x14ac:dyDescent="0.25">
      <c r="A136" s="1276" t="s">
        <v>976</v>
      </c>
      <c r="B136" s="1303">
        <v>0</v>
      </c>
      <c r="C136" s="1303">
        <v>71820</v>
      </c>
    </row>
    <row r="137" spans="1:3" x14ac:dyDescent="0.25">
      <c r="A137" s="1276" t="s">
        <v>1732</v>
      </c>
      <c r="B137" s="1303">
        <v>590</v>
      </c>
      <c r="C137" s="1303">
        <v>0</v>
      </c>
    </row>
    <row r="138" spans="1:3" x14ac:dyDescent="0.25">
      <c r="A138" s="1276" t="s">
        <v>1733</v>
      </c>
      <c r="B138" s="1303">
        <v>-3</v>
      </c>
      <c r="C138" s="1303">
        <v>0</v>
      </c>
    </row>
    <row r="139" spans="1:3" x14ac:dyDescent="0.25">
      <c r="A139" s="1276" t="s">
        <v>1737</v>
      </c>
      <c r="B139" s="1303">
        <v>34220</v>
      </c>
      <c r="C139" s="1303">
        <v>0</v>
      </c>
    </row>
    <row r="140" spans="1:3" x14ac:dyDescent="0.25">
      <c r="A140" s="1276" t="s">
        <v>590</v>
      </c>
      <c r="B140" s="1303">
        <v>0</v>
      </c>
      <c r="C140" s="1303">
        <v>62835</v>
      </c>
    </row>
    <row r="141" spans="1:3" x14ac:dyDescent="0.25">
      <c r="A141" s="1276" t="s">
        <v>592</v>
      </c>
      <c r="B141" s="1303">
        <v>0</v>
      </c>
      <c r="C141" s="1303">
        <v>787650</v>
      </c>
    </row>
    <row r="142" spans="1:3" x14ac:dyDescent="0.25">
      <c r="A142" s="1276" t="s">
        <v>506</v>
      </c>
      <c r="B142" s="1303">
        <v>123648</v>
      </c>
      <c r="C142" s="1303">
        <v>0</v>
      </c>
    </row>
    <row r="143" spans="1:3" x14ac:dyDescent="0.25">
      <c r="A143" s="1276" t="s">
        <v>509</v>
      </c>
      <c r="B143" s="1303">
        <v>247500</v>
      </c>
      <c r="C143" s="1303">
        <v>148500</v>
      </c>
    </row>
    <row r="144" spans="1:3" x14ac:dyDescent="0.25">
      <c r="A144" s="1276" t="s">
        <v>979</v>
      </c>
      <c r="B144" s="1303">
        <v>0</v>
      </c>
      <c r="C144" s="1303">
        <v>5074</v>
      </c>
    </row>
    <row r="145" spans="1:3" x14ac:dyDescent="0.25">
      <c r="A145" s="1276" t="s">
        <v>511</v>
      </c>
      <c r="B145" s="1303">
        <v>174496</v>
      </c>
      <c r="C145" s="1303">
        <v>343015</v>
      </c>
    </row>
    <row r="146" spans="1:3" x14ac:dyDescent="0.25">
      <c r="A146" s="1276" t="s">
        <v>980</v>
      </c>
      <c r="B146" s="1303">
        <v>0</v>
      </c>
      <c r="C146" s="1303">
        <v>59991.199999999997</v>
      </c>
    </row>
    <row r="147" spans="1:3" ht="15.75" thickBot="1" x14ac:dyDescent="0.3">
      <c r="A147" s="1276"/>
      <c r="B147" s="1304">
        <f>SUM(B4:B146)</f>
        <v>12478163.189999999</v>
      </c>
      <c r="C147" s="1304">
        <f>SUM(C4:C146)</f>
        <v>14701343.76</v>
      </c>
    </row>
    <row r="148" spans="1:3" ht="15.75" thickTop="1" x14ac:dyDescent="0.25"/>
    <row r="149" spans="1:3" x14ac:dyDescent="0.25">
      <c r="A149" s="1280" t="s">
        <v>1569</v>
      </c>
      <c r="B149" s="1278"/>
    </row>
    <row r="150" spans="1:3" x14ac:dyDescent="0.25">
      <c r="A150" s="352" t="s">
        <v>289</v>
      </c>
      <c r="B150" s="1274">
        <f>+'TB 24-25'!E174</f>
        <v>104393</v>
      </c>
      <c r="C150" s="1274">
        <f>+'Trial Balance CB'!C117</f>
        <v>4145.34</v>
      </c>
    </row>
    <row r="151" spans="1:3" x14ac:dyDescent="0.25">
      <c r="A151" s="352" t="s">
        <v>391</v>
      </c>
      <c r="B151" s="1274">
        <v>0</v>
      </c>
      <c r="C151" s="1274">
        <f>+'Trial Balance CB'!C243</f>
        <v>4361763</v>
      </c>
    </row>
    <row r="152" spans="1:3" x14ac:dyDescent="0.25">
      <c r="A152" s="352" t="s">
        <v>202</v>
      </c>
      <c r="B152" s="1274">
        <f>+'TB 24-25'!E420</f>
        <v>205534</v>
      </c>
      <c r="C152" s="1274">
        <f>+'Trial Balance CB'!C285</f>
        <v>12074</v>
      </c>
    </row>
    <row r="153" spans="1:3" x14ac:dyDescent="0.25">
      <c r="A153" s="352" t="s">
        <v>417</v>
      </c>
      <c r="B153" s="1274">
        <f>+'TB 24-25'!E406</f>
        <v>36816</v>
      </c>
      <c r="C153" s="1274">
        <f>+'Trial Balance CB'!C275</f>
        <v>36816</v>
      </c>
    </row>
    <row r="154" spans="1:3" x14ac:dyDescent="0.25">
      <c r="A154" s="352" t="s">
        <v>1818</v>
      </c>
      <c r="B154" s="1274">
        <v>0</v>
      </c>
      <c r="C154" s="1274">
        <f>+'Trial Balance CB'!C193</f>
        <v>184767</v>
      </c>
    </row>
    <row r="155" spans="1:3" ht="15.75" thickBot="1" x14ac:dyDescent="0.3">
      <c r="B155" s="1275">
        <f>SUM(B150:B154)</f>
        <v>346743</v>
      </c>
      <c r="C155" s="1275">
        <f>SUM(C150:C154)</f>
        <v>4599565.34</v>
      </c>
    </row>
    <row r="156" spans="1:3" ht="15.75" thickTop="1" x14ac:dyDescent="0.25"/>
    <row r="157" spans="1:3" x14ac:dyDescent="0.25">
      <c r="A157" s="1280" t="s">
        <v>1819</v>
      </c>
      <c r="B157" s="1278"/>
    </row>
    <row r="158" spans="1:3" x14ac:dyDescent="0.25">
      <c r="A158" s="352" t="s">
        <v>301</v>
      </c>
      <c r="B158" s="1274">
        <f>+'TB 24-25'!E194</f>
        <v>421716</v>
      </c>
      <c r="C158" s="1274">
        <f>'Trial Balance CB'!C131</f>
        <v>467727</v>
      </c>
    </row>
    <row r="159" spans="1:3" x14ac:dyDescent="0.25">
      <c r="A159" s="352" t="s">
        <v>232</v>
      </c>
      <c r="B159" s="1274">
        <f>+'TB 24-25'!E86</f>
        <v>31500</v>
      </c>
      <c r="C159" s="1274">
        <v>35000</v>
      </c>
    </row>
    <row r="160" spans="1:3" x14ac:dyDescent="0.25">
      <c r="A160" s="352" t="s">
        <v>1813</v>
      </c>
      <c r="B160" s="1274">
        <f>+'TB 24-25'!E197</f>
        <v>28157</v>
      </c>
      <c r="C160" s="1274">
        <f>'Trial Balance CB'!C132</f>
        <v>32989</v>
      </c>
    </row>
    <row r="161" spans="1:3" x14ac:dyDescent="0.25">
      <c r="A161" s="1276" t="s">
        <v>388</v>
      </c>
      <c r="B161" s="1274">
        <f>+'TB 24-25'!E355</f>
        <v>4188597</v>
      </c>
      <c r="C161" s="1274">
        <v>2119954</v>
      </c>
    </row>
    <row r="162" spans="1:3" x14ac:dyDescent="0.25">
      <c r="A162" s="1276" t="s">
        <v>1453</v>
      </c>
      <c r="B162" s="1274">
        <f>-+'TB 24-25'!E163</f>
        <v>-32447</v>
      </c>
      <c r="C162" s="1274">
        <v>-32447</v>
      </c>
    </row>
    <row r="163" spans="1:3" x14ac:dyDescent="0.25">
      <c r="A163" s="352" t="s">
        <v>1814</v>
      </c>
      <c r="B163" s="1274">
        <f>+'TB 24-25'!E386</f>
        <v>22450</v>
      </c>
      <c r="C163" s="1274">
        <f>+'Trial Balance CB'!C264</f>
        <v>26050</v>
      </c>
    </row>
    <row r="164" spans="1:3" x14ac:dyDescent="0.25">
      <c r="A164" s="1276" t="s">
        <v>504</v>
      </c>
      <c r="B164" s="1274">
        <f>+'TB 24-25'!E528</f>
        <v>1056591</v>
      </c>
      <c r="C164" s="1274">
        <v>1037528</v>
      </c>
    </row>
    <row r="165" spans="1:3" x14ac:dyDescent="0.25">
      <c r="A165" s="352" t="s">
        <v>1812</v>
      </c>
      <c r="B165" s="1274">
        <f>+'TB 24-25'!E18</f>
        <v>115925.32</v>
      </c>
      <c r="C165" s="1274">
        <v>176229.92</v>
      </c>
    </row>
    <row r="166" spans="1:3" x14ac:dyDescent="0.25">
      <c r="A166" s="352" t="s">
        <v>1810</v>
      </c>
      <c r="B166" s="1274">
        <f>-+'TB 24-25'!E25</f>
        <v>-61781.38</v>
      </c>
      <c r="C166" s="1274">
        <v>1305793.6200000001</v>
      </c>
    </row>
    <row r="167" spans="1:3" x14ac:dyDescent="0.25">
      <c r="A167" s="352" t="s">
        <v>1811</v>
      </c>
      <c r="B167" s="1274">
        <f>+'TB 24-25'!E27</f>
        <v>54142.18</v>
      </c>
      <c r="C167" s="1274">
        <v>1421717.18</v>
      </c>
    </row>
    <row r="168" spans="1:3" x14ac:dyDescent="0.25">
      <c r="A168" s="352" t="s">
        <v>324</v>
      </c>
      <c r="B168" s="1274">
        <v>0</v>
      </c>
      <c r="C168" s="1274">
        <f>'Trial Balance CB'!C163</f>
        <v>50605</v>
      </c>
    </row>
    <row r="169" spans="1:3" x14ac:dyDescent="0.25">
      <c r="A169" s="352" t="s">
        <v>485</v>
      </c>
      <c r="B169" s="1274">
        <f>+'TB 24-25'!E502</f>
        <v>2420</v>
      </c>
      <c r="C169" s="1274">
        <f>'Trial Balance CB'!C341</f>
        <v>2987</v>
      </c>
    </row>
    <row r="170" spans="1:3" x14ac:dyDescent="0.25">
      <c r="A170" s="352" t="s">
        <v>486</v>
      </c>
      <c r="B170" s="1274">
        <f>+'TB 24-25'!E503</f>
        <v>237135</v>
      </c>
      <c r="C170" s="1274">
        <f>'Trial Balance CB'!C342</f>
        <v>358432</v>
      </c>
    </row>
    <row r="171" spans="1:3" x14ac:dyDescent="0.25">
      <c r="A171" s="352" t="s">
        <v>487</v>
      </c>
      <c r="B171" s="1274">
        <f>+'TB 24-25'!E504</f>
        <v>176290</v>
      </c>
      <c r="C171" s="1274">
        <f>'Trial Balance CB'!C343</f>
        <v>165900</v>
      </c>
    </row>
    <row r="172" spans="1:3" x14ac:dyDescent="0.25">
      <c r="A172" s="352" t="s">
        <v>488</v>
      </c>
      <c r="B172" s="1274">
        <f>+'TB 24-25'!E505</f>
        <v>675940</v>
      </c>
      <c r="C172" s="1274">
        <f>'Trial Balance CB'!C344</f>
        <v>743350</v>
      </c>
    </row>
    <row r="173" spans="1:3" x14ac:dyDescent="0.25">
      <c r="A173" s="352" t="s">
        <v>489</v>
      </c>
      <c r="B173" s="1274">
        <f>+'TB 24-25'!E506</f>
        <v>17545</v>
      </c>
      <c r="C173" s="1274">
        <f>'Trial Balance CB'!C345</f>
        <v>23351</v>
      </c>
    </row>
    <row r="174" spans="1:3" x14ac:dyDescent="0.25">
      <c r="A174" s="352" t="s">
        <v>1658</v>
      </c>
      <c r="B174" s="1274">
        <f>+'TB 24-25'!E239</f>
        <v>1559663</v>
      </c>
      <c r="C174" s="1274">
        <v>0</v>
      </c>
    </row>
    <row r="175" spans="1:3" ht="15.75" thickBot="1" x14ac:dyDescent="0.3">
      <c r="B175" s="1275">
        <f>SUM(B158:B174)</f>
        <v>8493843.120000001</v>
      </c>
      <c r="C175" s="1275">
        <f>SUM(C158:C174)</f>
        <v>7935166.7199999997</v>
      </c>
    </row>
    <row r="176" spans="1:3" ht="15.75" thickTop="1" x14ac:dyDescent="0.25"/>
    <row r="177" spans="1:5" x14ac:dyDescent="0.25">
      <c r="A177" s="1280" t="s">
        <v>674</v>
      </c>
      <c r="B177" s="1281"/>
    </row>
    <row r="178" spans="1:5" x14ac:dyDescent="0.25">
      <c r="A178" s="1276" t="s">
        <v>1787</v>
      </c>
      <c r="B178" s="1274">
        <f>+'TB 24-25'!E120</f>
        <v>1500000</v>
      </c>
      <c r="C178" s="1274">
        <f>+'Trial Balance CB'!B73</f>
        <v>1500000</v>
      </c>
      <c r="D178" s="352" t="s">
        <v>1789</v>
      </c>
    </row>
    <row r="179" spans="1:5" x14ac:dyDescent="0.25">
      <c r="A179" s="352" t="s">
        <v>1788</v>
      </c>
      <c r="B179" s="1274">
        <f>+'TB 24-25'!E517</f>
        <v>5000000</v>
      </c>
      <c r="C179" s="1274">
        <f>'Trial Balance CB'!B352</f>
        <v>5000000</v>
      </c>
    </row>
    <row r="180" spans="1:5" x14ac:dyDescent="0.25">
      <c r="A180" s="352" t="s">
        <v>295</v>
      </c>
      <c r="B180" s="1274">
        <f>+'TB 24-25'!E186</f>
        <v>1572550</v>
      </c>
      <c r="C180" s="1274">
        <f>'Trial Balance CB'!B124</f>
        <v>1572550</v>
      </c>
    </row>
    <row r="181" spans="1:5" x14ac:dyDescent="0.25">
      <c r="A181" s="352" t="s">
        <v>434</v>
      </c>
      <c r="B181" s="1274">
        <f>+'TB 24-25'!E431</f>
        <v>98337</v>
      </c>
      <c r="C181" s="1274">
        <f>'Trial Balance CB'!B291</f>
        <v>98337</v>
      </c>
    </row>
    <row r="182" spans="1:5" x14ac:dyDescent="0.25">
      <c r="A182" s="352" t="s">
        <v>1790</v>
      </c>
      <c r="B182" s="1274">
        <f>+'TB 24-25'!E167</f>
        <v>24560</v>
      </c>
      <c r="C182" s="1277">
        <f>'Trial Balance CB'!B104</f>
        <v>10000</v>
      </c>
    </row>
    <row r="183" spans="1:5" x14ac:dyDescent="0.25">
      <c r="A183" s="352" t="s">
        <v>1791</v>
      </c>
      <c r="B183" s="1274">
        <f>+'TB 24-25'!E168</f>
        <v>34000</v>
      </c>
      <c r="C183" s="1277">
        <v>0</v>
      </c>
    </row>
    <row r="184" spans="1:5" x14ac:dyDescent="0.25">
      <c r="A184" s="352" t="s">
        <v>1792</v>
      </c>
      <c r="B184" s="1274">
        <f>+'TB 24-25'!E408</f>
        <v>1400000</v>
      </c>
      <c r="C184" s="1277">
        <v>0</v>
      </c>
    </row>
    <row r="185" spans="1:5" ht="15.75" thickBot="1" x14ac:dyDescent="0.3">
      <c r="B185" s="1275">
        <f>SUM(B178:B184)</f>
        <v>9629447</v>
      </c>
      <c r="C185" s="1275">
        <f>SUM(C178:C184)</f>
        <v>8180887</v>
      </c>
      <c r="E185" s="1282"/>
    </row>
    <row r="186" spans="1:5" ht="15.75" thickTop="1" x14ac:dyDescent="0.25"/>
    <row r="187" spans="1:5" x14ac:dyDescent="0.25">
      <c r="A187" s="1280" t="s">
        <v>1568</v>
      </c>
      <c r="B187" s="1278"/>
      <c r="E187" s="1282"/>
    </row>
    <row r="188" spans="1:5" x14ac:dyDescent="0.25">
      <c r="A188" s="1276" t="s">
        <v>228</v>
      </c>
      <c r="B188" s="1303">
        <v>4633921.21</v>
      </c>
      <c r="C188" s="1303">
        <v>24797781.170000002</v>
      </c>
      <c r="E188" s="1282"/>
    </row>
    <row r="189" spans="1:5" x14ac:dyDescent="0.25">
      <c r="A189" s="1276" t="s">
        <v>229</v>
      </c>
      <c r="B189" s="1303">
        <v>4868484.2</v>
      </c>
      <c r="C189" s="1303">
        <v>14014410.4</v>
      </c>
      <c r="E189" s="1282"/>
    </row>
    <row r="190" spans="1:5" x14ac:dyDescent="0.25">
      <c r="A190" s="1276" t="s">
        <v>237</v>
      </c>
      <c r="B190" s="1303">
        <v>0</v>
      </c>
      <c r="C190" s="1303">
        <v>36557</v>
      </c>
      <c r="E190" s="1282"/>
    </row>
    <row r="191" spans="1:5" x14ac:dyDescent="0.25">
      <c r="A191" s="1276" t="s">
        <v>1611</v>
      </c>
      <c r="B191" s="1303">
        <v>7134508.4000000004</v>
      </c>
      <c r="C191" s="1303">
        <v>0</v>
      </c>
      <c r="E191" s="1282"/>
    </row>
    <row r="192" spans="1:5" x14ac:dyDescent="0.25">
      <c r="A192" s="1276" t="s">
        <v>924</v>
      </c>
      <c r="B192" s="1303">
        <v>24624</v>
      </c>
      <c r="C192" s="1303">
        <v>24624</v>
      </c>
      <c r="E192" s="1282"/>
    </row>
    <row r="193" spans="1:5" x14ac:dyDescent="0.25">
      <c r="A193" s="1276" t="s">
        <v>275</v>
      </c>
      <c r="B193" s="1303">
        <v>37720</v>
      </c>
      <c r="C193" s="1303">
        <v>117760</v>
      </c>
      <c r="E193" s="1282"/>
    </row>
    <row r="194" spans="1:5" x14ac:dyDescent="0.25">
      <c r="A194" s="1276" t="s">
        <v>1633</v>
      </c>
      <c r="B194" s="1303">
        <v>946867.12</v>
      </c>
      <c r="C194" s="1303"/>
      <c r="E194" s="1282"/>
    </row>
    <row r="195" spans="1:5" x14ac:dyDescent="0.25">
      <c r="A195" s="1276" t="s">
        <v>290</v>
      </c>
      <c r="B195" s="1303">
        <v>3192694.59</v>
      </c>
      <c r="C195" s="1303">
        <v>9005633.9399999995</v>
      </c>
      <c r="E195" s="1282"/>
    </row>
    <row r="196" spans="1:5" x14ac:dyDescent="0.25">
      <c r="A196" s="1276" t="s">
        <v>566</v>
      </c>
      <c r="B196" s="1303">
        <v>2766790</v>
      </c>
      <c r="C196" s="1303">
        <v>336940</v>
      </c>
      <c r="E196" s="1282"/>
    </row>
    <row r="197" spans="1:5" x14ac:dyDescent="0.25">
      <c r="A197" s="1276" t="s">
        <v>321</v>
      </c>
      <c r="B197" s="1303">
        <v>1106639</v>
      </c>
      <c r="C197" s="1303">
        <v>6033685</v>
      </c>
      <c r="E197" s="1282"/>
    </row>
    <row r="198" spans="1:5" x14ac:dyDescent="0.25">
      <c r="A198" s="1276" t="s">
        <v>1660</v>
      </c>
      <c r="B198" s="1303">
        <v>1673488.8</v>
      </c>
      <c r="C198" s="1303">
        <v>0</v>
      </c>
      <c r="E198" s="1282"/>
    </row>
    <row r="199" spans="1:5" x14ac:dyDescent="0.25">
      <c r="A199" s="1276" t="s">
        <v>950</v>
      </c>
      <c r="B199" s="1303">
        <v>14693953.92</v>
      </c>
      <c r="C199" s="1303">
        <v>2628752</v>
      </c>
      <c r="E199" s="1282"/>
    </row>
    <row r="200" spans="1:5" x14ac:dyDescent="0.25">
      <c r="A200" s="1276" t="s">
        <v>962</v>
      </c>
      <c r="B200" s="1303">
        <v>194400</v>
      </c>
      <c r="C200" s="1303">
        <v>1029391.2</v>
      </c>
      <c r="E200" s="1282"/>
    </row>
    <row r="201" spans="1:5" x14ac:dyDescent="0.25">
      <c r="A201" s="1276" t="s">
        <v>371</v>
      </c>
      <c r="B201" s="1303">
        <v>4762817.4000000004</v>
      </c>
      <c r="C201" s="1303">
        <v>685885</v>
      </c>
      <c r="E201" s="1282"/>
    </row>
    <row r="202" spans="1:5" x14ac:dyDescent="0.25">
      <c r="A202" s="1276" t="s">
        <v>1684</v>
      </c>
      <c r="B202" s="1303">
        <v>0</v>
      </c>
      <c r="C202" s="1303">
        <v>0</v>
      </c>
      <c r="E202" s="1282"/>
    </row>
    <row r="203" spans="1:5" x14ac:dyDescent="0.25">
      <c r="A203" s="1276" t="s">
        <v>965</v>
      </c>
      <c r="B203" s="1303">
        <v>191700</v>
      </c>
      <c r="C203" s="1303">
        <v>191700</v>
      </c>
      <c r="E203" s="1282"/>
    </row>
    <row r="204" spans="1:5" x14ac:dyDescent="0.25">
      <c r="A204" s="1276" t="s">
        <v>380</v>
      </c>
      <c r="B204" s="1303">
        <v>5657044.3600000003</v>
      </c>
      <c r="C204" s="1303">
        <v>1758304.4</v>
      </c>
      <c r="E204" s="1282"/>
    </row>
    <row r="205" spans="1:5" x14ac:dyDescent="0.25">
      <c r="A205" s="1276" t="s">
        <v>578</v>
      </c>
      <c r="B205" s="1303">
        <v>158409.20000000001</v>
      </c>
      <c r="C205" s="1303">
        <v>2749052</v>
      </c>
      <c r="E205" s="1282"/>
    </row>
    <row r="206" spans="1:5" x14ac:dyDescent="0.25">
      <c r="A206" s="1276" t="s">
        <v>382</v>
      </c>
      <c r="B206" s="1303">
        <v>410</v>
      </c>
      <c r="C206" s="1303">
        <v>413.95</v>
      </c>
      <c r="E206" s="1282"/>
    </row>
    <row r="207" spans="1:5" x14ac:dyDescent="0.25">
      <c r="A207" s="1276" t="s">
        <v>1695</v>
      </c>
      <c r="B207" s="1303">
        <v>1756868.84</v>
      </c>
      <c r="C207" s="1303">
        <v>0</v>
      </c>
      <c r="E207" s="1282"/>
    </row>
    <row r="208" spans="1:5" x14ac:dyDescent="0.25">
      <c r="A208" s="1276" t="s">
        <v>423</v>
      </c>
      <c r="B208" s="1303">
        <v>3272193.6</v>
      </c>
      <c r="C208" s="1303">
        <v>12391644.800000001</v>
      </c>
      <c r="E208" s="1282"/>
    </row>
    <row r="209" spans="1:5" x14ac:dyDescent="0.25">
      <c r="A209" s="1276" t="s">
        <v>425</v>
      </c>
      <c r="B209" s="1303">
        <v>1299716.3999999999</v>
      </c>
      <c r="C209" s="1303">
        <v>0</v>
      </c>
      <c r="E209" s="1282"/>
    </row>
    <row r="210" spans="1:5" x14ac:dyDescent="0.25">
      <c r="A210" s="1276" t="s">
        <v>1722</v>
      </c>
      <c r="B210" s="1303">
        <v>2738481.02</v>
      </c>
      <c r="C210" s="1303">
        <v>0</v>
      </c>
      <c r="E210" s="1282"/>
    </row>
    <row r="211" spans="1:5" x14ac:dyDescent="0.25">
      <c r="A211" s="1276" t="s">
        <v>459</v>
      </c>
      <c r="B211" s="1303">
        <v>0</v>
      </c>
      <c r="C211" s="1303">
        <v>212220</v>
      </c>
      <c r="E211" s="1282"/>
    </row>
    <row r="212" spans="1:5" x14ac:dyDescent="0.25">
      <c r="A212" s="1276" t="s">
        <v>1725</v>
      </c>
      <c r="B212" s="1303">
        <v>2924318</v>
      </c>
      <c r="C212" s="1303">
        <v>0</v>
      </c>
      <c r="E212" s="1282"/>
    </row>
    <row r="213" spans="1:5" x14ac:dyDescent="0.25">
      <c r="A213" s="1276" t="s">
        <v>595</v>
      </c>
      <c r="B213" s="1303">
        <v>2971728</v>
      </c>
      <c r="C213" s="1303">
        <v>31860</v>
      </c>
      <c r="E213" s="1282"/>
    </row>
    <row r="214" spans="1:5" x14ac:dyDescent="0.25">
      <c r="A214" s="1276" t="s">
        <v>1757</v>
      </c>
      <c r="B214" s="1303">
        <v>460505</v>
      </c>
      <c r="C214" s="1303">
        <v>0</v>
      </c>
      <c r="E214" s="1282"/>
    </row>
    <row r="215" spans="1:5" x14ac:dyDescent="0.25">
      <c r="A215" s="1276" t="s">
        <v>981</v>
      </c>
      <c r="B215" s="1303">
        <v>5752614.6399999997</v>
      </c>
      <c r="C215" s="1303">
        <v>7332306</v>
      </c>
      <c r="E215" s="1282"/>
    </row>
    <row r="216" spans="1:5" ht="15.75" thickBot="1" x14ac:dyDescent="0.3">
      <c r="B216" s="1275">
        <f>SUM(B188:B215)</f>
        <v>73220897.700000003</v>
      </c>
      <c r="C216" s="1275">
        <f>SUM(C188:C215)</f>
        <v>83378920.859999999</v>
      </c>
    </row>
    <row r="217" spans="1:5" ht="15.75" thickTop="1" x14ac:dyDescent="0.25"/>
    <row r="218" spans="1:5" x14ac:dyDescent="0.25">
      <c r="A218" s="1280" t="s">
        <v>694</v>
      </c>
      <c r="B218" s="1281"/>
    </row>
    <row r="219" spans="1:5" x14ac:dyDescent="0.25">
      <c r="A219" s="352" t="s">
        <v>235</v>
      </c>
      <c r="B219" s="1274">
        <f>+'TB 24-25'!E89</f>
        <v>265176</v>
      </c>
      <c r="C219" s="1274">
        <v>265412</v>
      </c>
    </row>
    <row r="220" spans="1:5" x14ac:dyDescent="0.25">
      <c r="A220" s="352" t="s">
        <v>1799</v>
      </c>
      <c r="B220" s="1274">
        <f>+'TB 24-25'!E90</f>
        <v>115406.91</v>
      </c>
      <c r="C220" s="1274">
        <v>115642.91</v>
      </c>
    </row>
    <row r="221" spans="1:5" x14ac:dyDescent="0.25">
      <c r="A221" s="352" t="s">
        <v>1801</v>
      </c>
      <c r="B221" s="1274">
        <f>+'TB 24-25'!E256</f>
        <v>950318.36</v>
      </c>
      <c r="C221" s="1274">
        <v>1672065</v>
      </c>
    </row>
    <row r="222" spans="1:5" x14ac:dyDescent="0.25">
      <c r="A222" s="352" t="s">
        <v>1802</v>
      </c>
      <c r="B222" s="1274">
        <f>+'TB 24-25'!E257</f>
        <v>8717256.9100000001</v>
      </c>
      <c r="C222" s="1274">
        <v>16580186.52</v>
      </c>
    </row>
    <row r="223" spans="1:5" x14ac:dyDescent="0.25">
      <c r="A223" s="352" t="s">
        <v>1800</v>
      </c>
      <c r="B223" s="1274">
        <f>+'TB 24-25'!E258</f>
        <v>207728.75</v>
      </c>
      <c r="C223" s="1274">
        <v>207728.75</v>
      </c>
    </row>
    <row r="224" spans="1:5" x14ac:dyDescent="0.25">
      <c r="A224" s="352" t="s">
        <v>1803</v>
      </c>
      <c r="B224" s="1274">
        <f>+'TB 24-25'!E216</f>
        <v>256000.44</v>
      </c>
      <c r="C224" s="1274">
        <v>2352</v>
      </c>
    </row>
    <row r="225" spans="1:3" ht="15.75" thickBot="1" x14ac:dyDescent="0.3">
      <c r="B225" s="1275">
        <f>SUM(B219:B224)</f>
        <v>10511887.369999999</v>
      </c>
      <c r="C225" s="1275">
        <f>SUM(C219:C224)</f>
        <v>18843387.18</v>
      </c>
    </row>
    <row r="226" spans="1:3" ht="15.75" thickTop="1" x14ac:dyDescent="0.25"/>
    <row r="227" spans="1:3" x14ac:dyDescent="0.25">
      <c r="A227" s="1280" t="s">
        <v>695</v>
      </c>
      <c r="B227" s="1281"/>
    </row>
    <row r="228" spans="1:3" x14ac:dyDescent="0.25">
      <c r="A228" s="352" t="s">
        <v>941</v>
      </c>
      <c r="B228" s="1274">
        <f>+'TB 24-25'!E203</f>
        <v>0</v>
      </c>
      <c r="C228" s="1274">
        <v>5000000</v>
      </c>
    </row>
    <row r="229" spans="1:3" x14ac:dyDescent="0.25">
      <c r="A229" s="352" t="s">
        <v>942</v>
      </c>
      <c r="B229" s="1274">
        <f>+'TB 24-25'!E204</f>
        <v>0</v>
      </c>
      <c r="C229" s="1274">
        <v>5000000</v>
      </c>
    </row>
    <row r="230" spans="1:3" x14ac:dyDescent="0.25">
      <c r="A230" s="352" t="s">
        <v>943</v>
      </c>
      <c r="B230" s="1274">
        <f>+'TB 24-25'!E205</f>
        <v>0</v>
      </c>
      <c r="C230" s="1274">
        <v>5000000</v>
      </c>
    </row>
    <row r="231" spans="1:3" x14ac:dyDescent="0.25">
      <c r="A231" s="352" t="s">
        <v>944</v>
      </c>
      <c r="B231" s="1274">
        <f>+'TB 24-25'!E206</f>
        <v>0</v>
      </c>
      <c r="C231" s="1274">
        <v>5000000</v>
      </c>
    </row>
    <row r="232" spans="1:3" x14ac:dyDescent="0.25">
      <c r="A232" s="352" t="s">
        <v>945</v>
      </c>
      <c r="B232" s="1274">
        <f>+'TB 24-25'!E207</f>
        <v>0</v>
      </c>
      <c r="C232" s="1274">
        <v>5000000</v>
      </c>
    </row>
    <row r="233" spans="1:3" x14ac:dyDescent="0.25">
      <c r="A233" s="352" t="s">
        <v>946</v>
      </c>
      <c r="B233" s="1274">
        <f>+'TB 24-25'!E208</f>
        <v>0</v>
      </c>
      <c r="C233" s="1274">
        <v>5000000</v>
      </c>
    </row>
    <row r="234" spans="1:3" x14ac:dyDescent="0.25">
      <c r="A234" s="352" t="s">
        <v>947</v>
      </c>
      <c r="B234" s="1274">
        <f>+'TB 24-25'!E209</f>
        <v>0</v>
      </c>
      <c r="C234" s="1274">
        <v>5000000</v>
      </c>
    </row>
    <row r="235" spans="1:3" x14ac:dyDescent="0.25">
      <c r="A235" s="352" t="s">
        <v>308</v>
      </c>
      <c r="B235" s="1274">
        <f>+'TB 24-25'!E212</f>
        <v>2152877</v>
      </c>
      <c r="C235" s="1274">
        <v>2152877</v>
      </c>
    </row>
    <row r="236" spans="1:3" x14ac:dyDescent="0.25">
      <c r="A236" s="352" t="s">
        <v>310</v>
      </c>
      <c r="B236" s="1274">
        <f>+'TB 24-25'!E213</f>
        <v>3146077</v>
      </c>
      <c r="C236" s="1274">
        <v>3146077</v>
      </c>
    </row>
    <row r="237" spans="1:3" ht="15.75" thickBot="1" x14ac:dyDescent="0.3">
      <c r="B237" s="1275">
        <f>SUM(B228:B236)</f>
        <v>5298954</v>
      </c>
      <c r="C237" s="1275">
        <f>SUM(C228:C236)</f>
        <v>40298954</v>
      </c>
    </row>
    <row r="238" spans="1:3" ht="15.75" thickTop="1" x14ac:dyDescent="0.25"/>
    <row r="239" spans="1:3" x14ac:dyDescent="0.25">
      <c r="A239" s="1280" t="s">
        <v>141</v>
      </c>
      <c r="B239" s="1281"/>
    </row>
    <row r="240" spans="1:3" x14ac:dyDescent="0.25">
      <c r="A240" s="352" t="s">
        <v>217</v>
      </c>
      <c r="B240" s="1274">
        <f>+'TB 24-25'!E33</f>
        <v>7500</v>
      </c>
      <c r="C240" s="1274">
        <f>'Trial Balance CB'!B26</f>
        <v>7500</v>
      </c>
    </row>
    <row r="241" spans="1:4" x14ac:dyDescent="0.25">
      <c r="A241" s="352" t="s">
        <v>220</v>
      </c>
      <c r="B241" s="1274">
        <f>+'TB 24-25'!E54</f>
        <v>3776</v>
      </c>
      <c r="C241" s="1274">
        <v>3776</v>
      </c>
    </row>
    <row r="242" spans="1:4" x14ac:dyDescent="0.25">
      <c r="A242" s="1276" t="s">
        <v>906</v>
      </c>
      <c r="B242" s="1274">
        <f>+'TB 24-25'!E43</f>
        <v>50000</v>
      </c>
      <c r="C242" s="1274">
        <f>'Trial Balance CB'!B27</f>
        <v>200000</v>
      </c>
    </row>
    <row r="243" spans="1:4" x14ac:dyDescent="0.25">
      <c r="A243" s="1276" t="s">
        <v>907</v>
      </c>
      <c r="B243" s="1274">
        <f>+'TB 24-25'!E44</f>
        <v>0</v>
      </c>
      <c r="C243" s="1274">
        <f>'Trial Balance CB'!B28</f>
        <v>10000</v>
      </c>
    </row>
    <row r="244" spans="1:4" x14ac:dyDescent="0.25">
      <c r="A244" s="1276" t="s">
        <v>908</v>
      </c>
      <c r="B244" s="1274">
        <f>+'TB 24-25'!E47</f>
        <v>1794</v>
      </c>
      <c r="C244" s="1274">
        <f>'Trial Balance CB'!B29</f>
        <v>1794</v>
      </c>
    </row>
    <row r="245" spans="1:4" x14ac:dyDescent="0.25">
      <c r="A245" s="1276" t="s">
        <v>910</v>
      </c>
      <c r="B245" s="1274">
        <f>+'TB 24-25'!E143</f>
        <v>0</v>
      </c>
      <c r="C245" s="1274">
        <f>'Trial Balance CB'!B30</f>
        <v>49000</v>
      </c>
      <c r="D245" s="1282"/>
    </row>
    <row r="246" spans="1:4" x14ac:dyDescent="0.25">
      <c r="A246" s="1276" t="s">
        <v>911</v>
      </c>
      <c r="B246" s="1274">
        <f>+'TB 24-25'!E48</f>
        <v>175255</v>
      </c>
      <c r="C246" s="1274">
        <f>'Trial Balance CB'!B31</f>
        <v>175255</v>
      </c>
    </row>
    <row r="247" spans="1:4" x14ac:dyDescent="0.25">
      <c r="A247" s="1276" t="s">
        <v>912</v>
      </c>
      <c r="B247" s="1274">
        <f>+'TB 24-25'!E49</f>
        <v>120000</v>
      </c>
      <c r="C247" s="1274">
        <f>'Trial Balance CB'!B32</f>
        <v>180000</v>
      </c>
    </row>
    <row r="248" spans="1:4" x14ac:dyDescent="0.25">
      <c r="A248" s="1276" t="s">
        <v>913</v>
      </c>
      <c r="B248" s="1274">
        <f>+'TB 24-25'!E51</f>
        <v>0</v>
      </c>
      <c r="C248" s="1274">
        <f>'Trial Balance CB'!B33</f>
        <v>5000</v>
      </c>
    </row>
    <row r="249" spans="1:4" x14ac:dyDescent="0.25">
      <c r="A249" s="1276" t="s">
        <v>915</v>
      </c>
      <c r="B249" s="1274">
        <f>+'TB 24-25'!E55</f>
        <v>0</v>
      </c>
      <c r="C249" s="1274">
        <f>'Trial Balance CB'!B35</f>
        <v>35000</v>
      </c>
    </row>
    <row r="250" spans="1:4" x14ac:dyDescent="0.25">
      <c r="A250" s="1276" t="s">
        <v>916</v>
      </c>
      <c r="B250" s="1274">
        <f>+'TB 24-25'!E56</f>
        <v>25000000</v>
      </c>
      <c r="C250" s="1277">
        <f>'Trial Balance CB'!B36</f>
        <v>25000000</v>
      </c>
    </row>
    <row r="251" spans="1:4" x14ac:dyDescent="0.25">
      <c r="A251" s="1276" t="s">
        <v>1793</v>
      </c>
      <c r="B251" s="1274">
        <f>+'TB 24-25'!E34</f>
        <v>896700</v>
      </c>
      <c r="C251" s="1277">
        <v>0</v>
      </c>
    </row>
    <row r="252" spans="1:4" x14ac:dyDescent="0.25">
      <c r="A252" s="1276" t="s">
        <v>1794</v>
      </c>
      <c r="B252" s="1274">
        <f>+'TB 24-25'!E45</f>
        <v>120000</v>
      </c>
      <c r="C252" s="1277">
        <v>0</v>
      </c>
    </row>
    <row r="253" spans="1:4" x14ac:dyDescent="0.25">
      <c r="A253" s="1276" t="s">
        <v>1795</v>
      </c>
      <c r="B253" s="1274">
        <f>+'TB 24-25'!E46</f>
        <v>120000</v>
      </c>
      <c r="C253" s="1277">
        <v>0</v>
      </c>
    </row>
    <row r="254" spans="1:4" x14ac:dyDescent="0.25">
      <c r="A254" s="1276" t="s">
        <v>1796</v>
      </c>
      <c r="B254" s="1274">
        <f>+'TB 24-25'!E50</f>
        <v>6419</v>
      </c>
      <c r="C254" s="1277">
        <v>0</v>
      </c>
    </row>
    <row r="255" spans="1:4" x14ac:dyDescent="0.25">
      <c r="A255" s="1276" t="s">
        <v>1797</v>
      </c>
      <c r="B255" s="1274">
        <f>+'TB 24-25'!E52</f>
        <v>20000</v>
      </c>
      <c r="C255" s="1277">
        <v>0</v>
      </c>
    </row>
    <row r="256" spans="1:4" x14ac:dyDescent="0.25">
      <c r="A256" s="1276" t="s">
        <v>1798</v>
      </c>
      <c r="B256" s="1274">
        <f>+'TB 24-25'!E53</f>
        <v>175000</v>
      </c>
      <c r="C256" s="1277">
        <v>0</v>
      </c>
    </row>
    <row r="257" spans="1:5" ht="15.75" thickBot="1" x14ac:dyDescent="0.3">
      <c r="B257" s="1275">
        <f>SUM(B240:B256)-B244</f>
        <v>26694650</v>
      </c>
      <c r="C257" s="1275">
        <f>SUM(C240:C256)-C244</f>
        <v>25665531</v>
      </c>
      <c r="D257" s="352">
        <v>26690874</v>
      </c>
    </row>
    <row r="258" spans="1:5" ht="15.75" thickTop="1" x14ac:dyDescent="0.25">
      <c r="D258" s="1282">
        <f>+B257-D257</f>
        <v>3776</v>
      </c>
      <c r="E258" s="1282"/>
    </row>
    <row r="259" spans="1:5" x14ac:dyDescent="0.25">
      <c r="A259" s="1280" t="s">
        <v>144</v>
      </c>
      <c r="B259" s="1281"/>
    </row>
    <row r="260" spans="1:5" x14ac:dyDescent="0.25">
      <c r="A260" s="1280"/>
      <c r="B260" s="1281"/>
    </row>
    <row r="261" spans="1:5" x14ac:dyDescent="0.25">
      <c r="A261" s="1276" t="s">
        <v>1805</v>
      </c>
      <c r="B261" s="1274">
        <f>+'TB 24-25'!E14</f>
        <v>25530.15</v>
      </c>
      <c r="C261" s="1274">
        <v>0.2</v>
      </c>
    </row>
    <row r="262" spans="1:5" x14ac:dyDescent="0.25">
      <c r="A262" s="1276" t="s">
        <v>1412</v>
      </c>
      <c r="B262" s="1274">
        <f>+'TB 24-25'!E15</f>
        <v>170767.38</v>
      </c>
      <c r="C262" s="1274">
        <v>0</v>
      </c>
    </row>
    <row r="263" spans="1:5" x14ac:dyDescent="0.25">
      <c r="A263" s="1276" t="s">
        <v>1413</v>
      </c>
      <c r="B263" s="1274">
        <f>+'TB 24-25'!E16</f>
        <v>170767.38</v>
      </c>
      <c r="C263" s="1274">
        <v>0</v>
      </c>
    </row>
    <row r="264" spans="1:5" x14ac:dyDescent="0.25">
      <c r="A264" s="1276" t="s">
        <v>1806</v>
      </c>
      <c r="B264" s="1274">
        <f>+'TB 24-25'!E17</f>
        <v>41965.85</v>
      </c>
      <c r="C264" s="1274">
        <v>3601.79</v>
      </c>
    </row>
    <row r="265" spans="1:5" x14ac:dyDescent="0.25">
      <c r="A265" s="1276" t="s">
        <v>1807</v>
      </c>
      <c r="B265" s="1274">
        <f>+'TB 24-25'!E19</f>
        <v>5890.14</v>
      </c>
      <c r="C265" s="1274">
        <v>36</v>
      </c>
    </row>
    <row r="266" spans="1:5" x14ac:dyDescent="0.25">
      <c r="A266" s="1276" t="s">
        <v>1808</v>
      </c>
      <c r="B266" s="1274">
        <f>+'TB 24-25'!E20</f>
        <v>5890.14</v>
      </c>
      <c r="C266" s="1274">
        <v>36</v>
      </c>
    </row>
    <row r="267" spans="1:5" x14ac:dyDescent="0.25">
      <c r="A267" s="1276" t="s">
        <v>904</v>
      </c>
      <c r="B267" s="1274">
        <f>+'TB 24-25'!E22</f>
        <v>67323.45</v>
      </c>
      <c r="C267" s="1274">
        <v>1213.77</v>
      </c>
    </row>
    <row r="268" spans="1:5" x14ac:dyDescent="0.25">
      <c r="A268" s="1276" t="s">
        <v>905</v>
      </c>
      <c r="B268" s="1274">
        <f>+'TB 24-25'!E23</f>
        <v>67323.45</v>
      </c>
      <c r="C268" s="1274">
        <v>1213.77</v>
      </c>
    </row>
    <row r="269" spans="1:5" x14ac:dyDescent="0.25">
      <c r="A269" s="1276" t="s">
        <v>210</v>
      </c>
      <c r="B269" s="1274">
        <f>-'TB 24-25'!E24</f>
        <v>-107608.94</v>
      </c>
      <c r="C269" s="1274">
        <v>21012.18</v>
      </c>
    </row>
    <row r="270" spans="1:5" x14ac:dyDescent="0.25">
      <c r="A270" s="1276" t="s">
        <v>212</v>
      </c>
      <c r="B270" s="1274">
        <f>-+'TB 24-25'!E26</f>
        <v>-62564.42</v>
      </c>
      <c r="C270" s="1274">
        <v>21011.7</v>
      </c>
    </row>
    <row r="271" spans="1:5" x14ac:dyDescent="0.25">
      <c r="A271" s="352" t="s">
        <v>1809</v>
      </c>
      <c r="B271" s="1274">
        <f>+-'TB 24-25'!E241</f>
        <v>-62090.04</v>
      </c>
    </row>
    <row r="272" spans="1:5" x14ac:dyDescent="0.25">
      <c r="A272" s="352" t="s">
        <v>989</v>
      </c>
      <c r="B272" s="1274">
        <f>+'TB 24-25'!E507</f>
        <v>9232733.4399999995</v>
      </c>
      <c r="C272" s="1274">
        <f>'Trial Balance CB'!B346</f>
        <v>11717929.189999999</v>
      </c>
    </row>
    <row r="273" spans="1:9" x14ac:dyDescent="0.25">
      <c r="A273" s="352" t="s">
        <v>1804</v>
      </c>
      <c r="B273" s="1274">
        <f>+'TB 24-25'!E500</f>
        <v>18727.75</v>
      </c>
      <c r="C273" s="1274">
        <v>19826.75</v>
      </c>
    </row>
    <row r="274" spans="1:9" ht="15.75" thickBot="1" x14ac:dyDescent="0.3">
      <c r="B274" s="1275">
        <f>SUM(B261:B273)</f>
        <v>9574655.7300000004</v>
      </c>
      <c r="C274" s="1275">
        <f>SUM(C261:C273)</f>
        <v>11785881.35</v>
      </c>
    </row>
    <row r="275" spans="1:9" ht="15.75" thickTop="1" x14ac:dyDescent="0.25"/>
    <row r="276" spans="1:9" x14ac:dyDescent="0.25">
      <c r="A276" s="1280" t="s">
        <v>678</v>
      </c>
      <c r="B276" s="1281"/>
    </row>
    <row r="277" spans="1:9" x14ac:dyDescent="0.25">
      <c r="A277" s="352" t="s">
        <v>429</v>
      </c>
      <c r="B277" s="1274">
        <f>+'TB 24-25'!E421-'Note 16-23'!B32</f>
        <v>62108880</v>
      </c>
      <c r="C277" s="1274">
        <f>'Trial Balance'!C144-1330370-'Note 16-23'!C32</f>
        <v>56281939</v>
      </c>
      <c r="D277" s="1294"/>
      <c r="E277" s="1283"/>
    </row>
    <row r="278" spans="1:9" x14ac:dyDescent="0.25">
      <c r="A278" s="352" t="s">
        <v>1538</v>
      </c>
      <c r="B278" s="1274">
        <v>0</v>
      </c>
      <c r="C278" s="1274">
        <v>1330370</v>
      </c>
      <c r="D278" s="1283"/>
      <c r="E278" s="1283"/>
    </row>
    <row r="279" spans="1:9" x14ac:dyDescent="0.25">
      <c r="A279" s="352" t="s">
        <v>516</v>
      </c>
      <c r="B279" s="1274">
        <f>+'TB 24-25'!E555</f>
        <v>97475</v>
      </c>
      <c r="C279" s="1274">
        <f>'Trial Balance'!C162</f>
        <v>236388</v>
      </c>
      <c r="D279" s="1284"/>
      <c r="E279" s="1284"/>
    </row>
    <row r="280" spans="1:9" x14ac:dyDescent="0.25">
      <c r="A280" s="352" t="s">
        <v>471</v>
      </c>
      <c r="B280" s="1274">
        <f>+'TB 24-25'!E487</f>
        <v>355027</v>
      </c>
      <c r="C280" s="1274">
        <f>'Trial Balance'!C150</f>
        <v>661712</v>
      </c>
      <c r="D280" s="1284"/>
      <c r="E280" s="1284"/>
    </row>
    <row r="281" spans="1:9" x14ac:dyDescent="0.25">
      <c r="A281" s="352" t="s">
        <v>418</v>
      </c>
      <c r="B281" s="1274">
        <f>+'TB 24-25'!E407</f>
        <v>24777937</v>
      </c>
      <c r="C281" s="1274">
        <f>'Trial Balance'!C139</f>
        <v>23423400</v>
      </c>
      <c r="D281" s="1284"/>
      <c r="E281" s="1284"/>
    </row>
    <row r="282" spans="1:9" x14ac:dyDescent="0.25">
      <c r="A282" s="352" t="s">
        <v>838</v>
      </c>
      <c r="B282" s="1274">
        <f>+'TB 24-25'!E235</f>
        <v>248367</v>
      </c>
      <c r="C282" s="1274">
        <f>'Trial Balance'!C104</f>
        <v>284005</v>
      </c>
      <c r="D282" s="1284"/>
      <c r="E282" s="1284"/>
    </row>
    <row r="283" spans="1:9" ht="15.75" thickBot="1" x14ac:dyDescent="0.3">
      <c r="A283" s="362" t="s">
        <v>183</v>
      </c>
      <c r="B283" s="1275">
        <f>SUM(B277:B282)</f>
        <v>87587686</v>
      </c>
      <c r="C283" s="1275">
        <f>SUM(C277:C282)</f>
        <v>82217814</v>
      </c>
    </row>
    <row r="284" spans="1:9" ht="15.75" thickTop="1" x14ac:dyDescent="0.25">
      <c r="E284" s="1280" t="s">
        <v>1786</v>
      </c>
    </row>
    <row r="285" spans="1:9" x14ac:dyDescent="0.25">
      <c r="F285" s="1279" t="s">
        <v>1777</v>
      </c>
      <c r="G285" s="1293" t="s">
        <v>982</v>
      </c>
    </row>
    <row r="286" spans="1:9" x14ac:dyDescent="0.25">
      <c r="A286" s="1280" t="s">
        <v>1786</v>
      </c>
      <c r="E286" s="352" t="s">
        <v>1773</v>
      </c>
      <c r="F286" s="1274">
        <f>546000*8+573300*4</f>
        <v>6661200</v>
      </c>
      <c r="G286" s="1274">
        <f>520000*8+546000*4</f>
        <v>6344000</v>
      </c>
      <c r="H286" s="1274"/>
      <c r="I286" s="1274"/>
    </row>
    <row r="287" spans="1:9" x14ac:dyDescent="0.25">
      <c r="A287" s="352" t="s">
        <v>1778</v>
      </c>
      <c r="B287" s="1274">
        <f>+F290</f>
        <v>19983600</v>
      </c>
      <c r="C287" s="1274">
        <f>1560000*8+1638000*4</f>
        <v>19032000</v>
      </c>
      <c r="E287" s="352" t="s">
        <v>1774</v>
      </c>
      <c r="F287" s="1274">
        <f>546000*8+573300*4</f>
        <v>6661200</v>
      </c>
      <c r="G287" s="1274">
        <f>520000*8+546000*4</f>
        <v>6344000</v>
      </c>
      <c r="H287" s="1274"/>
      <c r="I287" s="1274"/>
    </row>
    <row r="288" spans="1:9" x14ac:dyDescent="0.25">
      <c r="A288" s="352" t="s">
        <v>1779</v>
      </c>
      <c r="B288" s="1285">
        <v>0</v>
      </c>
      <c r="C288" s="1286">
        <f>110250*6+115763*4</f>
        <v>1124552</v>
      </c>
      <c r="E288" s="352" t="s">
        <v>1775</v>
      </c>
      <c r="F288" s="1274">
        <f>546000*8+573300*4</f>
        <v>6661200</v>
      </c>
      <c r="G288" s="1274">
        <f>520000*8+546000*4</f>
        <v>6344000</v>
      </c>
      <c r="H288" s="1274"/>
      <c r="I288" s="1274"/>
    </row>
    <row r="289" spans="1:10" ht="15.75" thickBot="1" x14ac:dyDescent="0.3">
      <c r="B289" s="1275">
        <f>SUM(B287:B288)</f>
        <v>19983600</v>
      </c>
      <c r="C289" s="1275">
        <f>SUM(C287:C288)</f>
        <v>20156552</v>
      </c>
      <c r="E289" s="1287" t="s">
        <v>1776</v>
      </c>
      <c r="F289" s="1274">
        <v>0</v>
      </c>
      <c r="G289" s="1274">
        <f>110250*6+115763*4</f>
        <v>1124552</v>
      </c>
      <c r="H289" s="1274"/>
      <c r="I289" s="1274"/>
    </row>
    <row r="290" spans="1:10" ht="16.5" thickTop="1" thickBot="1" x14ac:dyDescent="0.3">
      <c r="E290" s="362"/>
      <c r="F290" s="1275">
        <f>SUM(F286:F289)</f>
        <v>19983600</v>
      </c>
      <c r="G290" s="1275">
        <f>SUM(G286:G289)</f>
        <v>20156552</v>
      </c>
      <c r="H290" s="1288"/>
      <c r="I290" s="1288"/>
      <c r="J290" s="1289"/>
    </row>
    <row r="291" spans="1:10" ht="15.75" thickTop="1" x14ac:dyDescent="0.25">
      <c r="A291" s="1280" t="s">
        <v>198</v>
      </c>
      <c r="B291" s="1281"/>
      <c r="E291" s="362"/>
      <c r="F291" s="1278"/>
      <c r="G291" s="1278"/>
      <c r="H291" s="1288"/>
      <c r="I291" s="1288"/>
      <c r="J291" s="1289"/>
    </row>
    <row r="292" spans="1:10" x14ac:dyDescent="0.25">
      <c r="A292" s="352" t="s">
        <v>338</v>
      </c>
      <c r="B292" s="1274">
        <v>0</v>
      </c>
      <c r="C292" s="1274">
        <f>'Trial Balance'!D111</f>
        <v>41500</v>
      </c>
      <c r="E292" s="362"/>
      <c r="F292" s="1278"/>
      <c r="G292" s="1290"/>
      <c r="H292" s="1288"/>
      <c r="I292" s="1288"/>
      <c r="J292" s="1289"/>
    </row>
    <row r="293" spans="1:10" x14ac:dyDescent="0.25">
      <c r="A293" s="352" t="s">
        <v>472</v>
      </c>
      <c r="B293" s="1274">
        <v>0</v>
      </c>
      <c r="C293" s="1274">
        <f>'Trial Balance'!D151</f>
        <v>11594</v>
      </c>
      <c r="E293" s="362"/>
      <c r="F293" s="1278"/>
      <c r="G293" s="1290"/>
      <c r="H293" s="1289"/>
      <c r="I293" s="1289"/>
      <c r="J293" s="1289"/>
    </row>
    <row r="294" spans="1:10" x14ac:dyDescent="0.25">
      <c r="A294" s="352" t="s">
        <v>636</v>
      </c>
      <c r="B294" s="1274">
        <f>+'TB 24-25'!E488</f>
        <v>30000</v>
      </c>
      <c r="C294" s="1274">
        <f>'Trial Balance'!D78</f>
        <v>103747</v>
      </c>
    </row>
    <row r="295" spans="1:10" x14ac:dyDescent="0.25">
      <c r="A295" s="352" t="s">
        <v>389</v>
      </c>
      <c r="B295" s="1274">
        <f>+'TB 24-25'!E356</f>
        <v>410570.78</v>
      </c>
      <c r="C295" s="1274">
        <f>'Trial Balance'!D127</f>
        <v>311345.36</v>
      </c>
    </row>
    <row r="296" spans="1:10" x14ac:dyDescent="0.25">
      <c r="A296" s="352" t="s">
        <v>323</v>
      </c>
      <c r="B296" s="1274">
        <f>+'TB 24-25'!E238</f>
        <v>510764.16</v>
      </c>
      <c r="C296" s="1277">
        <f>'Trial Balance'!D105</f>
        <v>519312.8</v>
      </c>
    </row>
    <row r="297" spans="1:10" ht="15.75" thickBot="1" x14ac:dyDescent="0.3">
      <c r="B297" s="1275">
        <f>SUM(B292:B296)</f>
        <v>951334.94</v>
      </c>
      <c r="C297" s="1275">
        <f>SUM(C292:C296)</f>
        <v>987499.15999999992</v>
      </c>
    </row>
    <row r="298" spans="1:10" ht="17.25" thickTop="1" x14ac:dyDescent="0.35">
      <c r="B298" s="1291"/>
      <c r="C298" s="1291"/>
    </row>
    <row r="299" spans="1:10" x14ac:dyDescent="0.25">
      <c r="A299" s="1280" t="s">
        <v>655</v>
      </c>
      <c r="B299" s="1281"/>
    </row>
    <row r="300" spans="1:10" x14ac:dyDescent="0.25">
      <c r="A300" s="352" t="s">
        <v>225</v>
      </c>
      <c r="B300" s="1274">
        <f>+'TB 24-25'!E68</f>
        <v>216000</v>
      </c>
      <c r="C300" s="1274">
        <f>'Trial Balance'!C60</f>
        <v>244000</v>
      </c>
    </row>
    <row r="301" spans="1:10" x14ac:dyDescent="0.25">
      <c r="A301" s="352" t="s">
        <v>245</v>
      </c>
      <c r="B301" s="1274">
        <f>+'TB 24-25'!E104</f>
        <v>956199.16</v>
      </c>
      <c r="C301" s="1274">
        <f>'Trial Balance'!D63</f>
        <v>820089.29</v>
      </c>
    </row>
    <row r="302" spans="1:10" x14ac:dyDescent="0.25">
      <c r="A302" s="352" t="s">
        <v>288</v>
      </c>
      <c r="B302" s="1274">
        <f>+'TB 24-25'!E173</f>
        <v>120000</v>
      </c>
      <c r="C302" s="1274">
        <f>'Trial Balance'!D65</f>
        <v>110000</v>
      </c>
    </row>
    <row r="303" spans="1:10" x14ac:dyDescent="0.25">
      <c r="A303" s="352" t="s">
        <v>1768</v>
      </c>
      <c r="B303" s="1274">
        <f>+'TB 24-25'!E184</f>
        <v>230000</v>
      </c>
      <c r="C303" s="1274">
        <f>'Trial Balance'!D66</f>
        <v>557500</v>
      </c>
    </row>
    <row r="304" spans="1:10" x14ac:dyDescent="0.25">
      <c r="A304" s="352" t="s">
        <v>384</v>
      </c>
      <c r="B304" s="1274">
        <f>+'TB 24-25'!E349</f>
        <v>2065145</v>
      </c>
      <c r="C304" s="1274">
        <f>'Trial Balance'!D67</f>
        <v>2580021</v>
      </c>
    </row>
    <row r="305" spans="1:3" x14ac:dyDescent="0.25">
      <c r="A305" s="352" t="s">
        <v>385</v>
      </c>
      <c r="B305" s="1274">
        <f>+'TB 24-25'!E350</f>
        <v>238295</v>
      </c>
      <c r="C305" s="1274">
        <f>'Trial Balance'!D68</f>
        <v>10650</v>
      </c>
    </row>
    <row r="306" spans="1:3" x14ac:dyDescent="0.25">
      <c r="A306" s="352" t="s">
        <v>396</v>
      </c>
      <c r="B306" s="1274">
        <f>+'TB 24-25'!E367</f>
        <v>2744495.52</v>
      </c>
      <c r="C306" s="1274">
        <f>'Trial Balance'!D69</f>
        <v>2021760</v>
      </c>
    </row>
    <row r="307" spans="1:3" x14ac:dyDescent="0.25">
      <c r="A307" s="352" t="s">
        <v>1440</v>
      </c>
      <c r="B307" s="1274">
        <f>+'TB 24-25'!E491</f>
        <v>1703436.22</v>
      </c>
      <c r="C307" s="1274">
        <f>'Trial Balance'!D70</f>
        <v>2045616.04</v>
      </c>
    </row>
    <row r="308" spans="1:3" x14ac:dyDescent="0.25">
      <c r="A308" s="352" t="s">
        <v>250</v>
      </c>
      <c r="B308" s="1274">
        <f>+'TB 24-25'!E114</f>
        <v>190000</v>
      </c>
      <c r="C308" s="1274">
        <f>'Trial Balance'!D83</f>
        <v>180000</v>
      </c>
    </row>
    <row r="309" spans="1:3" x14ac:dyDescent="0.25">
      <c r="A309" s="352" t="s">
        <v>261</v>
      </c>
      <c r="B309" s="1274">
        <f>+'TB 24-25'!E135</f>
        <v>1758400</v>
      </c>
      <c r="C309" s="1274">
        <f>'Trial Balance'!D87</f>
        <v>2572000</v>
      </c>
    </row>
    <row r="310" spans="1:3" x14ac:dyDescent="0.25">
      <c r="A310" s="352" t="s">
        <v>271</v>
      </c>
      <c r="B310" s="1274">
        <f>+'TB 24-25'!E152</f>
        <v>119694</v>
      </c>
      <c r="C310" s="1274">
        <f>'Trial Balance'!D89</f>
        <v>131643.9</v>
      </c>
    </row>
    <row r="311" spans="1:3" x14ac:dyDescent="0.25">
      <c r="A311" s="352" t="s">
        <v>299</v>
      </c>
      <c r="B311" s="1274">
        <f>+'TB 24-25'!E191</f>
        <v>112760.15</v>
      </c>
      <c r="C311" s="1274">
        <f>'Trial Balance'!D98</f>
        <v>129316.7</v>
      </c>
    </row>
    <row r="312" spans="1:3" x14ac:dyDescent="0.25">
      <c r="A312" s="352" t="s">
        <v>411</v>
      </c>
      <c r="B312" s="1274">
        <f>+'TB 24-25'!E389</f>
        <v>1216555</v>
      </c>
      <c r="C312" s="1274">
        <f>'Trial Balance'!D136</f>
        <v>905666</v>
      </c>
    </row>
    <row r="313" spans="1:3" x14ac:dyDescent="0.25">
      <c r="A313" s="352" t="s">
        <v>475</v>
      </c>
      <c r="B313" s="1274">
        <f>+'TB 24-25'!E489</f>
        <v>247480.11</v>
      </c>
      <c r="C313" s="1274">
        <f>'Trial Balance'!D154</f>
        <v>224238.38</v>
      </c>
    </row>
    <row r="314" spans="1:3" x14ac:dyDescent="0.25">
      <c r="A314" s="352" t="s">
        <v>478</v>
      </c>
      <c r="B314" s="1274">
        <f>+'TB 24-25'!E492</f>
        <v>3941580.92</v>
      </c>
      <c r="C314" s="1274">
        <f>'Trial Balance'!D155</f>
        <v>4854600</v>
      </c>
    </row>
    <row r="315" spans="1:3" x14ac:dyDescent="0.25">
      <c r="A315" s="352" t="s">
        <v>530</v>
      </c>
      <c r="B315" s="1274">
        <f>+'TB 24-25'!E572</f>
        <v>161460</v>
      </c>
      <c r="C315" s="1277">
        <f>'Trial Balance'!D166</f>
        <v>194240</v>
      </c>
    </row>
    <row r="316" spans="1:3" ht="15.75" thickBot="1" x14ac:dyDescent="0.3">
      <c r="B316" s="1275">
        <f>SUM(B300:B315)</f>
        <v>16021501.079999998</v>
      </c>
      <c r="C316" s="1275">
        <f>SUM(C300:C315)</f>
        <v>17581341.310000002</v>
      </c>
    </row>
    <row r="317" spans="1:3" ht="15.75" thickTop="1" x14ac:dyDescent="0.25"/>
    <row r="318" spans="1:3" x14ac:dyDescent="0.25">
      <c r="A318" s="1280" t="s">
        <v>657</v>
      </c>
      <c r="B318" s="1281"/>
    </row>
    <row r="319" spans="1:3" x14ac:dyDescent="0.25">
      <c r="A319" s="352" t="s">
        <v>258</v>
      </c>
      <c r="B319" s="1274">
        <f>+'TB 24-25'!E130+'TB 24-25'!E196</f>
        <v>65826</v>
      </c>
      <c r="C319" s="1274">
        <f>'Trial Balance'!D86</f>
        <v>1900</v>
      </c>
    </row>
    <row r="320" spans="1:3" x14ac:dyDescent="0.25">
      <c r="A320" s="352" t="s">
        <v>1767</v>
      </c>
      <c r="B320" s="1274">
        <f>+'TB 24-25'!E149</f>
        <v>110876</v>
      </c>
      <c r="C320" s="1274">
        <f>'Trial Balance'!D64</f>
        <v>114548</v>
      </c>
    </row>
    <row r="321" spans="1:3" x14ac:dyDescent="0.25">
      <c r="A321" s="352" t="s">
        <v>1770</v>
      </c>
      <c r="B321" s="1274">
        <f>+'TB 24-25'!E272</f>
        <v>11902</v>
      </c>
      <c r="C321" s="1274">
        <f>'Trial Balance'!D112</f>
        <v>14065</v>
      </c>
    </row>
    <row r="322" spans="1:3" x14ac:dyDescent="0.25">
      <c r="A322" s="352" t="s">
        <v>1771</v>
      </c>
      <c r="B322" s="1274">
        <f>+'TB 24-25'!E273</f>
        <v>181117</v>
      </c>
      <c r="C322" s="1277">
        <f>'Trial Balance'!D113</f>
        <v>126171.98</v>
      </c>
    </row>
    <row r="323" spans="1:3" ht="15.75" thickBot="1" x14ac:dyDescent="0.3">
      <c r="B323" s="1275">
        <f>SUM(B319:B322)</f>
        <v>369721</v>
      </c>
      <c r="C323" s="1275">
        <f>SUM(C319:C322)</f>
        <v>256684.97999999998</v>
      </c>
    </row>
    <row r="324" spans="1:3" ht="15.75" thickTop="1" x14ac:dyDescent="0.25"/>
    <row r="325" spans="1:3" x14ac:dyDescent="0.25">
      <c r="A325" s="1280" t="s">
        <v>679</v>
      </c>
      <c r="B325" s="1281"/>
    </row>
    <row r="326" spans="1:3" x14ac:dyDescent="0.25">
      <c r="A326" s="352" t="s">
        <v>383</v>
      </c>
      <c r="B326" s="1274">
        <f>+'TB 24-25'!E348</f>
        <v>926289.16</v>
      </c>
      <c r="C326" s="1274">
        <f>'Trial Balance'!D126</f>
        <v>481638.07</v>
      </c>
    </row>
    <row r="327" spans="1:3" x14ac:dyDescent="0.25">
      <c r="A327" s="352" t="s">
        <v>1769</v>
      </c>
      <c r="B327" s="1274">
        <f>+'TB 24-25'!E251</f>
        <v>2896320.78</v>
      </c>
      <c r="C327" s="1274">
        <f>'Trial Balance'!D108</f>
        <v>3361480.94</v>
      </c>
    </row>
    <row r="328" spans="1:3" x14ac:dyDescent="0.25">
      <c r="A328" s="352" t="s">
        <v>330</v>
      </c>
      <c r="B328" s="1274">
        <v>0</v>
      </c>
      <c r="C328" s="1274">
        <f>'Trial Balance'!D109</f>
        <v>63842.65</v>
      </c>
    </row>
    <row r="329" spans="1:3" x14ac:dyDescent="0.25">
      <c r="A329" s="352" t="s">
        <v>256</v>
      </c>
      <c r="B329" s="1274">
        <f>+'TB 24-25'!E125</f>
        <v>277934.74</v>
      </c>
      <c r="C329" s="1274">
        <f>'Trial Balance'!D85</f>
        <v>199034.72</v>
      </c>
    </row>
    <row r="330" spans="1:3" x14ac:dyDescent="0.25">
      <c r="A330" s="352" t="s">
        <v>392</v>
      </c>
      <c r="B330" s="1274">
        <f>+'TB 24-25'!E362</f>
        <v>124000</v>
      </c>
      <c r="C330" s="1274">
        <f>'Trial Balance'!D128</f>
        <v>72000</v>
      </c>
    </row>
    <row r="331" spans="1:3" x14ac:dyDescent="0.25">
      <c r="A331" s="352" t="s">
        <v>398</v>
      </c>
      <c r="B331" s="1274">
        <f>+'TB 24-25'!E368</f>
        <v>203505</v>
      </c>
      <c r="C331" s="1274">
        <f>'Trial Balance'!D129</f>
        <v>275056</v>
      </c>
    </row>
    <row r="332" spans="1:3" x14ac:dyDescent="0.25">
      <c r="A332" s="352" t="s">
        <v>399</v>
      </c>
      <c r="B332" s="1274">
        <f>+'TB 24-25'!E369</f>
        <v>537723.72</v>
      </c>
      <c r="C332" s="1274">
        <f>'Trial Balance'!D130</f>
        <v>157764</v>
      </c>
    </row>
    <row r="333" spans="1:3" x14ac:dyDescent="0.25">
      <c r="A333" s="352" t="s">
        <v>525</v>
      </c>
      <c r="B333" s="1274">
        <v>0</v>
      </c>
      <c r="C333" s="1274">
        <f>'Trial Balance'!D165</f>
        <v>54490</v>
      </c>
    </row>
    <row r="334" spans="1:3" x14ac:dyDescent="0.25">
      <c r="A334" s="352" t="s">
        <v>354</v>
      </c>
      <c r="B334" s="1274">
        <f>+'TB 24-25'!E285</f>
        <v>86131.28</v>
      </c>
      <c r="C334" s="1274">
        <f>'Trial Balance'!D121</f>
        <v>59753.46</v>
      </c>
    </row>
    <row r="335" spans="1:3" x14ac:dyDescent="0.25">
      <c r="A335" s="352" t="s">
        <v>640</v>
      </c>
      <c r="B335" s="1274">
        <v>0</v>
      </c>
      <c r="C335" s="1274">
        <f>'Trial Balance'!D99</f>
        <v>30500</v>
      </c>
    </row>
    <row r="336" spans="1:3" x14ac:dyDescent="0.25">
      <c r="A336" s="352" t="s">
        <v>519</v>
      </c>
      <c r="B336" s="1274">
        <f>+'TB 24-25'!E559</f>
        <v>267406.8</v>
      </c>
      <c r="C336" s="1277">
        <f>'Trial Balance'!D164</f>
        <v>123838.41</v>
      </c>
    </row>
    <row r="337" spans="1:4" ht="15.75" thickBot="1" x14ac:dyDescent="0.3">
      <c r="B337" s="1275">
        <f>SUM(B326:B336)</f>
        <v>5319311.4799999995</v>
      </c>
      <c r="C337" s="1275">
        <f>SUM(C326:C336)</f>
        <v>4879398.25</v>
      </c>
    </row>
    <row r="338" spans="1:4" ht="15.75" thickTop="1" x14ac:dyDescent="0.25"/>
    <row r="339" spans="1:4" x14ac:dyDescent="0.25">
      <c r="A339" s="1280" t="s">
        <v>680</v>
      </c>
      <c r="B339" s="1281"/>
    </row>
    <row r="340" spans="1:4" x14ac:dyDescent="0.25">
      <c r="A340" s="352" t="s">
        <v>1511</v>
      </c>
      <c r="B340" s="1274">
        <f>87500*2+95833*10</f>
        <v>1133330</v>
      </c>
      <c r="C340" s="1274">
        <v>1123541</v>
      </c>
    </row>
    <row r="341" spans="1:4" x14ac:dyDescent="0.25">
      <c r="A341" s="352" t="s">
        <v>1512</v>
      </c>
      <c r="B341" s="1274">
        <f>+'TB 24-25'!E412</f>
        <v>600000</v>
      </c>
      <c r="C341" s="1274">
        <f>'Trial Balance'!D142</f>
        <v>360000</v>
      </c>
    </row>
    <row r="342" spans="1:4" x14ac:dyDescent="0.25">
      <c r="A342" s="352" t="s">
        <v>1513</v>
      </c>
      <c r="B342" s="1274">
        <f>(55000+63149+64583*4)+3500*12</f>
        <v>418481</v>
      </c>
      <c r="C342" s="1274">
        <f>55000*12+3500*12</f>
        <v>702000</v>
      </c>
      <c r="D342" s="1282"/>
    </row>
    <row r="343" spans="1:4" x14ac:dyDescent="0.25">
      <c r="A343" s="352" t="s">
        <v>407</v>
      </c>
      <c r="B343" s="1274">
        <f>+'TB 24-25'!E383</f>
        <v>174000</v>
      </c>
      <c r="C343" s="1274">
        <f>'Trial Balance'!D133</f>
        <v>92500</v>
      </c>
    </row>
    <row r="344" spans="1:4" x14ac:dyDescent="0.25">
      <c r="A344" s="352" t="s">
        <v>832</v>
      </c>
      <c r="B344" s="1274">
        <f>+'TB 24-25'!E384</f>
        <v>41000</v>
      </c>
      <c r="C344" s="1286">
        <f>'Trial Balance'!D134</f>
        <v>100000</v>
      </c>
    </row>
    <row r="345" spans="1:4" ht="15.75" thickBot="1" x14ac:dyDescent="0.3">
      <c r="B345" s="1275">
        <f>SUM(B340:B344)</f>
        <v>2366811</v>
      </c>
      <c r="C345" s="1275">
        <f>SUM(C340:C344)</f>
        <v>2378041</v>
      </c>
    </row>
    <row r="346" spans="1:4" ht="15.75" thickTop="1" x14ac:dyDescent="0.25"/>
    <row r="347" spans="1:4" x14ac:dyDescent="0.25">
      <c r="A347" s="1280" t="s">
        <v>160</v>
      </c>
      <c r="B347" s="1281"/>
    </row>
    <row r="348" spans="1:4" x14ac:dyDescent="0.25">
      <c r="A348" s="352" t="s">
        <v>350</v>
      </c>
      <c r="B348" s="1274">
        <f>+'TB 24-25'!E281</f>
        <v>1407</v>
      </c>
      <c r="C348" s="1274">
        <f>'Trial Balance'!C118</f>
        <v>2851</v>
      </c>
    </row>
    <row r="349" spans="1:4" x14ac:dyDescent="0.25">
      <c r="A349" s="352" t="s">
        <v>1442</v>
      </c>
      <c r="B349" s="1274">
        <v>0</v>
      </c>
      <c r="C349" s="1274">
        <f>+'Trial Balance'!D119</f>
        <v>5094</v>
      </c>
    </row>
    <row r="350" spans="1:4" x14ac:dyDescent="0.25">
      <c r="A350" s="352" t="s">
        <v>518</v>
      </c>
      <c r="B350" s="1274">
        <f>+'TB 24-25'!E558</f>
        <v>289220</v>
      </c>
      <c r="C350" s="1274">
        <f>'Trial Balance'!D163</f>
        <v>277430</v>
      </c>
    </row>
    <row r="351" spans="1:4" x14ac:dyDescent="0.25">
      <c r="A351" s="352" t="s">
        <v>373</v>
      </c>
      <c r="B351" s="1274">
        <v>0</v>
      </c>
      <c r="C351" s="1274">
        <v>0</v>
      </c>
    </row>
    <row r="352" spans="1:4" x14ac:dyDescent="0.25">
      <c r="A352" s="352" t="s">
        <v>426</v>
      </c>
      <c r="B352" s="1274">
        <f>+'TB 24-25'!E416</f>
        <v>47.28</v>
      </c>
      <c r="C352" s="1274">
        <f>'Trial Balance'!D143</f>
        <v>394.19</v>
      </c>
    </row>
    <row r="353" spans="1:3" x14ac:dyDescent="0.25">
      <c r="A353" s="1292" t="s">
        <v>474</v>
      </c>
      <c r="B353" s="1274">
        <v>0</v>
      </c>
      <c r="C353" s="1274">
        <f>'Trial Balance'!D152</f>
        <v>1200</v>
      </c>
    </row>
    <row r="354" spans="1:3" x14ac:dyDescent="0.25">
      <c r="A354" s="1292" t="s">
        <v>841</v>
      </c>
      <c r="B354" s="1274">
        <v>0</v>
      </c>
      <c r="C354" s="1274">
        <f>'Trial Balance'!D61</f>
        <v>2700</v>
      </c>
    </row>
    <row r="355" spans="1:3" x14ac:dyDescent="0.25">
      <c r="A355" s="1292" t="s">
        <v>827</v>
      </c>
      <c r="B355" s="1274">
        <v>0</v>
      </c>
      <c r="C355" s="1274">
        <f>'Trial Balance'!D153</f>
        <v>1500</v>
      </c>
    </row>
    <row r="356" spans="1:3" x14ac:dyDescent="0.25">
      <c r="A356" s="1292" t="s">
        <v>837</v>
      </c>
      <c r="B356" s="1274">
        <v>0</v>
      </c>
      <c r="C356" s="1274">
        <f>+'Trial Balance'!D106</f>
        <v>28300</v>
      </c>
    </row>
    <row r="357" spans="1:3" x14ac:dyDescent="0.25">
      <c r="A357" s="1292" t="s">
        <v>646</v>
      </c>
      <c r="B357" s="1274">
        <v>0</v>
      </c>
      <c r="C357" s="1274">
        <f>'Trial Balance'!D132</f>
        <v>1794</v>
      </c>
    </row>
    <row r="358" spans="1:3" x14ac:dyDescent="0.25">
      <c r="A358" s="352" t="s">
        <v>826</v>
      </c>
      <c r="B358" s="1274">
        <v>0</v>
      </c>
      <c r="C358" s="1274">
        <f>+'Trial Balance'!D156</f>
        <v>10000</v>
      </c>
    </row>
    <row r="359" spans="1:3" x14ac:dyDescent="0.25">
      <c r="A359" s="352" t="s">
        <v>436</v>
      </c>
      <c r="B359" s="1274">
        <v>0</v>
      </c>
      <c r="C359" s="1274">
        <f>'Trial Balance'!D146</f>
        <v>24970</v>
      </c>
    </row>
    <row r="360" spans="1:3" x14ac:dyDescent="0.25">
      <c r="A360" s="352" t="s">
        <v>525</v>
      </c>
      <c r="B360" s="1274">
        <f>+'TB 24-25'!E565</f>
        <v>94565</v>
      </c>
      <c r="C360" s="1274">
        <v>0</v>
      </c>
    </row>
    <row r="361" spans="1:3" x14ac:dyDescent="0.25">
      <c r="A361" s="352" t="s">
        <v>835</v>
      </c>
      <c r="B361" s="1274">
        <v>0</v>
      </c>
      <c r="C361" s="1274">
        <f>'Trial Balance'!D110</f>
        <v>1000</v>
      </c>
    </row>
    <row r="362" spans="1:3" x14ac:dyDescent="0.25">
      <c r="A362" s="352" t="s">
        <v>1668</v>
      </c>
      <c r="B362" s="1274">
        <f>+'TB 24-25'!E267</f>
        <v>596835.72</v>
      </c>
      <c r="C362" s="1274">
        <v>0</v>
      </c>
    </row>
    <row r="363" spans="1:3" x14ac:dyDescent="0.25">
      <c r="A363" s="352" t="s">
        <v>1772</v>
      </c>
      <c r="B363" s="1274">
        <f>+'TB 24-25'!E346</f>
        <v>71550</v>
      </c>
      <c r="C363" s="1277">
        <v>0</v>
      </c>
    </row>
    <row r="364" spans="1:3" x14ac:dyDescent="0.25">
      <c r="A364" s="352" t="s">
        <v>1697</v>
      </c>
      <c r="B364" s="1274">
        <f>+'TB 24-25'!E374</f>
        <v>225000</v>
      </c>
      <c r="C364" s="1277">
        <v>0</v>
      </c>
    </row>
    <row r="365" spans="1:3" x14ac:dyDescent="0.25">
      <c r="A365" s="352" t="s">
        <v>1603</v>
      </c>
      <c r="B365" s="1274">
        <f>+'TB 24-25'!E73</f>
        <v>7250</v>
      </c>
      <c r="C365" s="1277">
        <v>0</v>
      </c>
    </row>
    <row r="366" spans="1:3" ht="15.75" thickBot="1" x14ac:dyDescent="0.3">
      <c r="B366" s="1275">
        <f>SUM(B348:B365)</f>
        <v>1285875</v>
      </c>
      <c r="C366" s="1275">
        <f>SUM(C348:C365)</f>
        <v>357233.19</v>
      </c>
    </row>
    <row r="367" spans="1:3" ht="15.75" thickTop="1" x14ac:dyDescent="0.25"/>
    <row r="368" spans="1:3" x14ac:dyDescent="0.25">
      <c r="A368" s="1280" t="s">
        <v>164</v>
      </c>
      <c r="B368" s="1281"/>
    </row>
    <row r="369" spans="1:3" x14ac:dyDescent="0.25">
      <c r="A369" s="352" t="s">
        <v>243</v>
      </c>
      <c r="B369" s="1274">
        <f>+'TB 24-25'!E101</f>
        <v>94419.54</v>
      </c>
      <c r="C369" s="1274">
        <f>'Trial Balance'!D82</f>
        <v>42167.53</v>
      </c>
    </row>
    <row r="370" spans="1:3" x14ac:dyDescent="0.25">
      <c r="A370" s="352" t="s">
        <v>344</v>
      </c>
      <c r="B370" s="1274">
        <f>+'TB 24-25'!E275</f>
        <v>321990.38</v>
      </c>
      <c r="C370" s="1274">
        <f>'Trial Balance'!D114</f>
        <v>387546.1</v>
      </c>
    </row>
    <row r="371" spans="1:3" x14ac:dyDescent="0.25">
      <c r="A371" s="352" t="s">
        <v>345</v>
      </c>
      <c r="B371" s="1274">
        <f>+'TB 24-25'!E276</f>
        <v>1134304</v>
      </c>
      <c r="C371" s="1274">
        <f>'Trial Balance'!D115</f>
        <v>3129488</v>
      </c>
    </row>
    <row r="372" spans="1:3" x14ac:dyDescent="0.25">
      <c r="A372" s="352" t="s">
        <v>834</v>
      </c>
      <c r="B372" s="1274">
        <f>+'TB 24-25'!E279</f>
        <v>6643922.7000000002</v>
      </c>
      <c r="C372" s="1274">
        <v>4431636.99</v>
      </c>
    </row>
    <row r="373" spans="1:3" x14ac:dyDescent="0.25">
      <c r="A373" s="352" t="s">
        <v>349</v>
      </c>
      <c r="B373" s="1274">
        <v>0</v>
      </c>
      <c r="C373" s="1277">
        <f>'Trial Balance'!D117</f>
        <v>73925</v>
      </c>
    </row>
    <row r="374" spans="1:3" ht="15.75" thickBot="1" x14ac:dyDescent="0.3">
      <c r="B374" s="1275">
        <f>SUM(B369:B373)</f>
        <v>8194636.6200000001</v>
      </c>
      <c r="C374" s="1275">
        <f>SUM(C369:C373)</f>
        <v>8064763.6200000001</v>
      </c>
    </row>
    <row r="375" spans="1:3" ht="15.75" thickTop="1" x14ac:dyDescent="0.25"/>
    <row r="376" spans="1:3" x14ac:dyDescent="0.25">
      <c r="A376" s="1302" t="s">
        <v>1782</v>
      </c>
    </row>
    <row r="377" spans="1:3" x14ac:dyDescent="0.25">
      <c r="A377" s="352" t="s">
        <v>1783</v>
      </c>
      <c r="B377" s="1274">
        <f>+'TB 24-25'!E303</f>
        <v>15000</v>
      </c>
      <c r="C377" s="1274">
        <f>+'Trial Balance'!D122</f>
        <v>15000</v>
      </c>
    </row>
    <row r="378" spans="1:3" x14ac:dyDescent="0.25">
      <c r="A378" s="352" t="s">
        <v>1784</v>
      </c>
      <c r="B378" s="1274">
        <f>+'TB 24-25'!E468</f>
        <v>338658</v>
      </c>
      <c r="C378" s="1274">
        <f>+'Trial Balance'!D149</f>
        <v>10800</v>
      </c>
    </row>
    <row r="379" spans="1:3" x14ac:dyDescent="0.25">
      <c r="A379" s="352" t="s">
        <v>1785</v>
      </c>
      <c r="B379" s="1274">
        <f>+'TB 24-25'!E522</f>
        <v>378390</v>
      </c>
      <c r="C379" s="1274">
        <f>+'Trial Balance'!D158</f>
        <v>141640</v>
      </c>
    </row>
    <row r="380" spans="1:3" ht="15.75" thickBot="1" x14ac:dyDescent="0.3">
      <c r="B380" s="1275">
        <f>SUM(B377:B379)</f>
        <v>732048</v>
      </c>
      <c r="C380" s="1275">
        <f>SUM(C377:C379)</f>
        <v>167440</v>
      </c>
    </row>
    <row r="381" spans="1:3" ht="15.75" thickTop="1" x14ac:dyDescent="0.25"/>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47"/>
  <sheetViews>
    <sheetView showGridLines="0" topLeftCell="A26" zoomScale="80" zoomScaleNormal="80" workbookViewId="0">
      <selection activeCell="B26" sqref="B26"/>
    </sheetView>
  </sheetViews>
  <sheetFormatPr defaultColWidth="9.140625" defaultRowHeight="15" x14ac:dyDescent="0.25"/>
  <cols>
    <col min="1" max="1" width="9.140625" style="738"/>
    <col min="2" max="2" width="9.42578125" style="738" bestFit="1" customWidth="1"/>
    <col min="3" max="3" width="28.42578125" style="738" bestFit="1" customWidth="1"/>
    <col min="4" max="4" width="10" style="738" customWidth="1"/>
    <col min="5" max="5" width="16.42578125" style="738" bestFit="1" customWidth="1"/>
    <col min="6" max="6" width="15.5703125" style="738" bestFit="1" customWidth="1"/>
    <col min="7" max="7" width="13.42578125" style="738" bestFit="1" customWidth="1"/>
    <col min="8" max="8" width="15.42578125" style="738" bestFit="1" customWidth="1"/>
    <col min="9" max="9" width="12.42578125" style="738" bestFit="1" customWidth="1"/>
    <col min="10" max="11" width="10.42578125" style="738" bestFit="1" customWidth="1"/>
    <col min="12" max="13" width="16.42578125" style="738" bestFit="1" customWidth="1"/>
    <col min="14" max="14" width="13.140625" style="738" customWidth="1"/>
    <col min="15" max="15" width="11.42578125" style="738" customWidth="1"/>
    <col min="16" max="16" width="23.5703125" style="738" bestFit="1" customWidth="1"/>
    <col min="17" max="17" width="21.85546875" style="738" bestFit="1" customWidth="1"/>
    <col min="18" max="18" width="9.140625" style="738"/>
    <col min="19" max="19" width="9.85546875" style="738" bestFit="1" customWidth="1"/>
    <col min="20" max="16384" width="9.140625" style="738"/>
  </cols>
  <sheetData>
    <row r="1" spans="1:17" x14ac:dyDescent="0.25">
      <c r="A1" s="1034"/>
      <c r="B1" s="1034"/>
      <c r="C1" s="1034"/>
      <c r="D1" s="1034"/>
      <c r="E1" s="1034"/>
      <c r="F1" s="1034"/>
      <c r="G1" s="1034"/>
      <c r="H1" s="1034"/>
      <c r="I1" s="1034"/>
      <c r="J1" s="1034"/>
      <c r="K1" s="1034"/>
      <c r="L1" s="1034"/>
      <c r="M1" s="1034"/>
      <c r="N1" s="1034"/>
      <c r="O1" s="1034"/>
      <c r="P1" s="1034"/>
      <c r="Q1" s="1034"/>
    </row>
    <row r="2" spans="1:17" x14ac:dyDescent="0.25">
      <c r="A2" s="1034"/>
      <c r="B2" s="1035"/>
      <c r="C2" s="1036"/>
      <c r="D2" s="1035"/>
      <c r="E2" s="1035"/>
      <c r="F2" s="1037"/>
      <c r="G2" s="1037"/>
      <c r="H2" s="1037"/>
      <c r="I2" s="1037"/>
      <c r="J2" s="1037"/>
      <c r="K2" s="1037"/>
      <c r="L2" s="1037"/>
      <c r="M2" s="1037"/>
      <c r="N2" s="1037"/>
      <c r="O2" s="1037"/>
      <c r="P2" s="1037"/>
      <c r="Q2" s="1037"/>
    </row>
    <row r="3" spans="1:17" x14ac:dyDescent="0.25">
      <c r="A3" s="1034"/>
      <c r="B3" s="1035" t="s">
        <v>1575</v>
      </c>
      <c r="C3" s="1035"/>
      <c r="D3" s="1038"/>
      <c r="E3" s="1039"/>
      <c r="F3" s="1037"/>
      <c r="G3" s="1037"/>
      <c r="H3" s="1037"/>
      <c r="I3" s="1037"/>
      <c r="J3" s="1037"/>
      <c r="K3" s="1037"/>
      <c r="L3" s="1037"/>
      <c r="M3" s="1037"/>
      <c r="N3" s="1040"/>
      <c r="O3" s="1037"/>
      <c r="P3" s="1037"/>
      <c r="Q3" s="1037"/>
    </row>
    <row r="4" spans="1:17" x14ac:dyDescent="0.25">
      <c r="A4" s="1034"/>
      <c r="B4" s="1035"/>
      <c r="C4" s="1041"/>
      <c r="D4" s="1042"/>
      <c r="E4" s="1041"/>
      <c r="F4" s="1041"/>
      <c r="G4" s="1041"/>
      <c r="H4" s="1041"/>
      <c r="I4" s="1041"/>
      <c r="J4" s="1041"/>
      <c r="K4" s="1041"/>
      <c r="L4" s="1041"/>
      <c r="M4" s="1041"/>
      <c r="N4" s="1041"/>
      <c r="O4" s="1041"/>
      <c r="P4" s="1041"/>
      <c r="Q4" s="1043" t="s">
        <v>1391</v>
      </c>
    </row>
    <row r="5" spans="1:17" x14ac:dyDescent="0.25">
      <c r="A5" s="1034"/>
      <c r="B5" s="1036"/>
      <c r="C5" s="1041"/>
      <c r="D5" s="1042"/>
      <c r="E5" s="1041"/>
      <c r="F5" s="1041"/>
      <c r="G5" s="1041"/>
      <c r="H5" s="1044"/>
      <c r="I5" s="1041"/>
      <c r="J5" s="1041"/>
      <c r="K5" s="1041"/>
      <c r="L5" s="1041"/>
      <c r="M5" s="1041"/>
      <c r="N5" s="1041"/>
      <c r="O5" s="1041"/>
      <c r="P5" s="1041"/>
      <c r="Q5" s="1045"/>
    </row>
    <row r="6" spans="1:17" s="1048" customFormat="1" ht="15" customHeight="1" x14ac:dyDescent="0.25">
      <c r="A6" s="1046"/>
      <c r="B6" s="1623" t="s">
        <v>1392</v>
      </c>
      <c r="C6" s="1620" t="s">
        <v>1393</v>
      </c>
      <c r="D6" s="1620" t="s">
        <v>1152</v>
      </c>
      <c r="E6" s="1047" t="s">
        <v>1394</v>
      </c>
      <c r="F6" s="1617" t="s">
        <v>1395</v>
      </c>
      <c r="G6" s="1618"/>
      <c r="H6" s="1619"/>
      <c r="I6" s="1626" t="s">
        <v>1396</v>
      </c>
      <c r="J6" s="1627"/>
      <c r="K6" s="1628"/>
      <c r="L6" s="1620" t="s">
        <v>183</v>
      </c>
      <c r="M6" s="1617" t="s">
        <v>1</v>
      </c>
      <c r="N6" s="1618"/>
      <c r="O6" s="1619"/>
      <c r="P6" s="1620" t="s">
        <v>1397</v>
      </c>
      <c r="Q6" s="1047" t="s">
        <v>1394</v>
      </c>
    </row>
    <row r="7" spans="1:17" s="1048" customFormat="1" ht="28.5" x14ac:dyDescent="0.25">
      <c r="A7" s="1046"/>
      <c r="B7" s="1624"/>
      <c r="C7" s="1621"/>
      <c r="D7" s="1621"/>
      <c r="E7" s="1049" t="s">
        <v>1398</v>
      </c>
      <c r="F7" s="1047" t="s">
        <v>1399</v>
      </c>
      <c r="G7" s="1047" t="s">
        <v>1400</v>
      </c>
      <c r="H7" s="1049" t="s">
        <v>183</v>
      </c>
      <c r="I7" s="1047" t="s">
        <v>1399</v>
      </c>
      <c r="J7" s="1047" t="s">
        <v>1400</v>
      </c>
      <c r="K7" s="1047" t="s">
        <v>183</v>
      </c>
      <c r="L7" s="1621"/>
      <c r="M7" s="1049" t="s">
        <v>1401</v>
      </c>
      <c r="N7" s="1049" t="s">
        <v>1402</v>
      </c>
      <c r="O7" s="1049" t="s">
        <v>1402</v>
      </c>
      <c r="P7" s="1621"/>
      <c r="Q7" s="1049" t="s">
        <v>1398</v>
      </c>
    </row>
    <row r="8" spans="1:17" s="1048" customFormat="1" ht="28.5" x14ac:dyDescent="0.25">
      <c r="A8" s="1046"/>
      <c r="B8" s="1625"/>
      <c r="C8" s="1622"/>
      <c r="D8" s="1622"/>
      <c r="E8" s="1051">
        <v>45383</v>
      </c>
      <c r="F8" s="1052" t="s">
        <v>1403</v>
      </c>
      <c r="G8" s="1052" t="s">
        <v>1403</v>
      </c>
      <c r="H8" s="1050" t="s">
        <v>2</v>
      </c>
      <c r="I8" s="1052" t="s">
        <v>1403</v>
      </c>
      <c r="J8" s="1050" t="s">
        <v>1403</v>
      </c>
      <c r="K8" s="1050" t="s">
        <v>1404</v>
      </c>
      <c r="L8" s="1622"/>
      <c r="M8" s="1050" t="s">
        <v>1405</v>
      </c>
      <c r="N8" s="1050" t="s">
        <v>1406</v>
      </c>
      <c r="O8" s="1050" t="s">
        <v>1407</v>
      </c>
      <c r="P8" s="1622"/>
      <c r="Q8" s="1051">
        <v>45747</v>
      </c>
    </row>
    <row r="9" spans="1:17" x14ac:dyDescent="0.25">
      <c r="A9" s="1034"/>
      <c r="B9" s="1053"/>
      <c r="C9" s="1054"/>
      <c r="D9" s="1055"/>
      <c r="E9" s="1056"/>
      <c r="F9" s="1056"/>
      <c r="G9" s="1056"/>
      <c r="H9" s="1056"/>
      <c r="I9" s="1056"/>
      <c r="J9" s="1056"/>
      <c r="K9" s="1056"/>
      <c r="L9" s="1056"/>
      <c r="M9" s="1056"/>
      <c r="N9" s="1056"/>
      <c r="O9" s="1056"/>
      <c r="P9" s="1056"/>
      <c r="Q9" s="1057"/>
    </row>
    <row r="10" spans="1:17" x14ac:dyDescent="0.25">
      <c r="A10" s="1034"/>
      <c r="B10" s="1058">
        <v>1</v>
      </c>
      <c r="C10" s="1059" t="s">
        <v>1408</v>
      </c>
      <c r="D10" s="1060">
        <v>0.1</v>
      </c>
      <c r="E10" s="1061">
        <v>127062959</v>
      </c>
      <c r="F10" s="1061">
        <v>0</v>
      </c>
      <c r="G10" s="1062">
        <v>0</v>
      </c>
      <c r="H10" s="1062">
        <f>SUM(F10:G10)</f>
        <v>0</v>
      </c>
      <c r="I10" s="1062">
        <v>0</v>
      </c>
      <c r="J10" s="1062">
        <v>0</v>
      </c>
      <c r="K10" s="1063">
        <f>SUM(I10:J10)</f>
        <v>0</v>
      </c>
      <c r="L10" s="1064">
        <f>E10+H10-K10</f>
        <v>127062959</v>
      </c>
      <c r="M10" s="1065">
        <f>(E10-K10)*D10</f>
        <v>12706295.9</v>
      </c>
      <c r="N10" s="1064">
        <f>F10*D10</f>
        <v>0</v>
      </c>
      <c r="O10" s="1066">
        <f>(G10)*(D10/2)</f>
        <v>0</v>
      </c>
      <c r="P10" s="1064">
        <f>M10+N10+O10</f>
        <v>12706295.9</v>
      </c>
      <c r="Q10" s="1067">
        <f>L10-P10</f>
        <v>114356663.09999999</v>
      </c>
    </row>
    <row r="11" spans="1:17" x14ac:dyDescent="0.25">
      <c r="A11" s="1034"/>
      <c r="B11" s="1058"/>
      <c r="C11" s="1068"/>
      <c r="D11" s="1055"/>
      <c r="E11" s="1056"/>
      <c r="F11" s="1056"/>
      <c r="G11" s="1056"/>
      <c r="H11" s="1056"/>
      <c r="I11" s="1056"/>
      <c r="J11" s="1056"/>
      <c r="K11" s="1069"/>
      <c r="L11" s="1056"/>
      <c r="M11" s="1056"/>
      <c r="N11" s="1056"/>
      <c r="O11" s="1056"/>
      <c r="P11" s="1056"/>
      <c r="Q11" s="1057"/>
    </row>
    <row r="12" spans="1:17" x14ac:dyDescent="0.25">
      <c r="A12" s="1034"/>
      <c r="B12" s="1058">
        <v>2</v>
      </c>
      <c r="C12" s="1059" t="s">
        <v>1409</v>
      </c>
      <c r="D12" s="1070">
        <v>0.4</v>
      </c>
      <c r="E12" s="1062">
        <v>599830</v>
      </c>
      <c r="F12" s="1062">
        <f>312102+19000</f>
        <v>331102</v>
      </c>
      <c r="G12" s="1062">
        <v>0</v>
      </c>
      <c r="H12" s="1062">
        <f>SUM(F12:G12)</f>
        <v>331102</v>
      </c>
      <c r="I12" s="1062">
        <v>0</v>
      </c>
      <c r="J12" s="1062">
        <v>0</v>
      </c>
      <c r="K12" s="1063">
        <f>SUM(I12:J12)</f>
        <v>0</v>
      </c>
      <c r="L12" s="1064">
        <f>E12+H12-K12</f>
        <v>930932</v>
      </c>
      <c r="M12" s="1065">
        <f>(E12-K12)*D12</f>
        <v>239932</v>
      </c>
      <c r="N12" s="1064">
        <f>F12*D12</f>
        <v>132440.80000000002</v>
      </c>
      <c r="O12" s="1066">
        <f>(G12)*(D12/2)</f>
        <v>0</v>
      </c>
      <c r="P12" s="1064">
        <f>M12+N12+O12</f>
        <v>372372.80000000005</v>
      </c>
      <c r="Q12" s="1067">
        <f>L12-P12</f>
        <v>558559.19999999995</v>
      </c>
    </row>
    <row r="13" spans="1:17" x14ac:dyDescent="0.25">
      <c r="A13" s="1034"/>
      <c r="B13" s="1058"/>
      <c r="C13" s="1071"/>
      <c r="D13" s="1070"/>
      <c r="E13" s="1062"/>
      <c r="F13" s="1062"/>
      <c r="G13" s="1062"/>
      <c r="H13" s="1062"/>
      <c r="I13" s="1062"/>
      <c r="J13" s="1062"/>
      <c r="K13" s="1063"/>
      <c r="L13" s="1064"/>
      <c r="M13" s="1065"/>
      <c r="N13" s="1064"/>
      <c r="O13" s="1064"/>
      <c r="P13" s="1064"/>
      <c r="Q13" s="1067"/>
    </row>
    <row r="14" spans="1:17" x14ac:dyDescent="0.25">
      <c r="A14" s="1034"/>
      <c r="B14" s="1058">
        <v>3</v>
      </c>
      <c r="C14" s="1059" t="s">
        <v>665</v>
      </c>
      <c r="D14" s="1070">
        <v>0.4</v>
      </c>
      <c r="E14" s="1062">
        <v>1066845.3999999999</v>
      </c>
      <c r="F14" s="1062">
        <f>24500+31313.58</f>
        <v>55813.58</v>
      </c>
      <c r="G14" s="1062">
        <f>187491.14+37932</f>
        <v>225423.14</v>
      </c>
      <c r="H14" s="1062">
        <f>SUM(F14:G14)</f>
        <v>281236.72000000003</v>
      </c>
      <c r="I14" s="1062">
        <v>0</v>
      </c>
      <c r="J14" s="1062">
        <v>0</v>
      </c>
      <c r="K14" s="1063">
        <f>SUM(I14:J14)</f>
        <v>0</v>
      </c>
      <c r="L14" s="1064">
        <f>E14+H14-K14</f>
        <v>1348082.1199999999</v>
      </c>
      <c r="M14" s="1065">
        <f>(E14-K14)*D14</f>
        <v>426738.16</v>
      </c>
      <c r="N14" s="1064">
        <f>F14*D14</f>
        <v>22325.432000000001</v>
      </c>
      <c r="O14" s="1066">
        <f>(G14)*(D14/2)</f>
        <v>45084.628000000004</v>
      </c>
      <c r="P14" s="1064">
        <f t="shared" ref="P14:P26" si="0">M14+N14+O14</f>
        <v>494148.22</v>
      </c>
      <c r="Q14" s="1067">
        <f>L14-P14</f>
        <v>853933.89999999991</v>
      </c>
    </row>
    <row r="15" spans="1:17" x14ac:dyDescent="0.25">
      <c r="A15" s="1034"/>
      <c r="B15" s="1058"/>
      <c r="C15" s="1071"/>
      <c r="D15" s="1070"/>
      <c r="E15" s="1062"/>
      <c r="F15" s="1062"/>
      <c r="G15" s="1062"/>
      <c r="H15" s="1062"/>
      <c r="I15" s="1062"/>
      <c r="J15" s="1062"/>
      <c r="K15" s="1063"/>
      <c r="L15" s="1064"/>
      <c r="M15" s="1065"/>
      <c r="N15" s="1064"/>
      <c r="O15" s="1064"/>
      <c r="P15" s="1064"/>
      <c r="Q15" s="1067"/>
    </row>
    <row r="16" spans="1:17" x14ac:dyDescent="0.25">
      <c r="A16" s="1034"/>
      <c r="B16" s="1058">
        <v>4</v>
      </c>
      <c r="C16" s="1059" t="s">
        <v>1224</v>
      </c>
      <c r="D16" s="1060">
        <v>0.1</v>
      </c>
      <c r="E16" s="1062">
        <v>15540124.25</v>
      </c>
      <c r="F16" s="1062">
        <f>43000</f>
        <v>43000</v>
      </c>
      <c r="G16" s="1062">
        <v>0</v>
      </c>
      <c r="H16" s="1062">
        <f t="shared" ref="H16:H26" si="1">SUM(F16:G16)</f>
        <v>43000</v>
      </c>
      <c r="I16" s="1062">
        <v>0</v>
      </c>
      <c r="J16" s="1062">
        <v>0</v>
      </c>
      <c r="K16" s="1062">
        <v>0</v>
      </c>
      <c r="L16" s="1064">
        <f>E16+H16-K16</f>
        <v>15583124.25</v>
      </c>
      <c r="M16" s="1065">
        <f>(E16-K16)*D16</f>
        <v>1554012.425</v>
      </c>
      <c r="N16" s="1064">
        <f>F16*D16</f>
        <v>4300</v>
      </c>
      <c r="O16" s="1066">
        <f>(G16)*(D16/2)</f>
        <v>0</v>
      </c>
      <c r="P16" s="1064">
        <f t="shared" si="0"/>
        <v>1558312.425</v>
      </c>
      <c r="Q16" s="1067">
        <f>L16-P16</f>
        <v>14024811.824999999</v>
      </c>
    </row>
    <row r="17" spans="1:19" x14ac:dyDescent="0.25">
      <c r="A17" s="1034"/>
      <c r="B17" s="1058"/>
      <c r="C17" s="1071"/>
      <c r="D17" s="1070"/>
      <c r="E17" s="1062"/>
      <c r="F17" s="1062"/>
      <c r="G17" s="1062"/>
      <c r="H17" s="1062"/>
      <c r="I17" s="1062"/>
      <c r="J17" s="1062"/>
      <c r="K17" s="1063"/>
      <c r="L17" s="1064"/>
      <c r="M17" s="1065"/>
      <c r="N17" s="1064"/>
      <c r="O17" s="1064"/>
      <c r="P17" s="1064"/>
      <c r="Q17" s="1067"/>
    </row>
    <row r="18" spans="1:19" x14ac:dyDescent="0.25">
      <c r="A18" s="1034"/>
      <c r="B18" s="1058">
        <v>5</v>
      </c>
      <c r="C18" s="1059" t="s">
        <v>133</v>
      </c>
      <c r="D18" s="1070">
        <v>0.1</v>
      </c>
      <c r="E18" s="1072">
        <v>14822558.4</v>
      </c>
      <c r="F18" s="1062">
        <f>14300+17100+624363.1+107000+50370+11600+5645</f>
        <v>830378.1</v>
      </c>
      <c r="G18" s="1062">
        <f>403600</f>
        <v>403600</v>
      </c>
      <c r="H18" s="1062">
        <f t="shared" si="1"/>
        <v>1233978.1000000001</v>
      </c>
      <c r="I18" s="1062">
        <v>0</v>
      </c>
      <c r="J18" s="1062">
        <v>0</v>
      </c>
      <c r="K18" s="1062">
        <v>0</v>
      </c>
      <c r="L18" s="1064">
        <f>E18+H18-K18</f>
        <v>16056536.5</v>
      </c>
      <c r="M18" s="1065">
        <f>(E18-K18)*D18</f>
        <v>1482255.84</v>
      </c>
      <c r="N18" s="1064">
        <f>F18*D18</f>
        <v>83037.81</v>
      </c>
      <c r="O18" s="1066">
        <f>(G18)*(D18/2)</f>
        <v>20180</v>
      </c>
      <c r="P18" s="1064">
        <f t="shared" si="0"/>
        <v>1585473.6500000001</v>
      </c>
      <c r="Q18" s="1067">
        <f>L18-P18</f>
        <v>14471062.85</v>
      </c>
    </row>
    <row r="19" spans="1:19" x14ac:dyDescent="0.25">
      <c r="A19" s="1034"/>
      <c r="B19" s="1058"/>
      <c r="C19" s="1071"/>
      <c r="D19" s="1070"/>
      <c r="E19" s="1062"/>
      <c r="F19" s="1062"/>
      <c r="G19" s="1062"/>
      <c r="H19" s="1062"/>
      <c r="I19" s="1062"/>
      <c r="J19" s="1062"/>
      <c r="K19" s="1073"/>
      <c r="L19" s="1064"/>
      <c r="M19" s="1065"/>
      <c r="N19" s="1064"/>
      <c r="O19" s="1064"/>
      <c r="P19" s="1064"/>
      <c r="Q19" s="1067"/>
    </row>
    <row r="20" spans="1:19" x14ac:dyDescent="0.25">
      <c r="A20" s="1034"/>
      <c r="B20" s="1058">
        <v>6</v>
      </c>
      <c r="C20" s="1059" t="s">
        <v>667</v>
      </c>
      <c r="D20" s="1060">
        <v>0.15</v>
      </c>
      <c r="E20" s="1062">
        <v>2927107.625</v>
      </c>
      <c r="F20" s="1062">
        <f>37500+13393-5645</f>
        <v>45248</v>
      </c>
      <c r="G20" s="1062">
        <v>1654015</v>
      </c>
      <c r="H20" s="1062">
        <f t="shared" si="1"/>
        <v>1699263</v>
      </c>
      <c r="I20" s="1062">
        <v>0</v>
      </c>
      <c r="J20" s="1062">
        <v>0</v>
      </c>
      <c r="K20" s="1063">
        <f>SUM(I20:J20)</f>
        <v>0</v>
      </c>
      <c r="L20" s="1064">
        <f>E20+H20-K20</f>
        <v>4626370.625</v>
      </c>
      <c r="M20" s="1065">
        <f>(E20-K20)*D20</f>
        <v>439066.14374999999</v>
      </c>
      <c r="N20" s="1064">
        <f>F20*D20</f>
        <v>6787.2</v>
      </c>
      <c r="O20" s="1066">
        <f>(G20)*(D20/2)</f>
        <v>124051.125</v>
      </c>
      <c r="P20" s="1064">
        <f t="shared" si="0"/>
        <v>569904.46875</v>
      </c>
      <c r="Q20" s="1067">
        <f>L20-P20</f>
        <v>4056466.15625</v>
      </c>
    </row>
    <row r="21" spans="1:19" x14ac:dyDescent="0.25">
      <c r="A21" s="1034"/>
      <c r="B21" s="1058"/>
      <c r="C21" s="1071"/>
      <c r="D21" s="1070"/>
      <c r="E21" s="1062"/>
      <c r="F21" s="1062"/>
      <c r="G21" s="1062"/>
      <c r="H21" s="1062"/>
      <c r="I21" s="1062"/>
      <c r="J21" s="1062"/>
      <c r="K21" s="1073"/>
      <c r="L21" s="1064"/>
      <c r="M21" s="1065"/>
      <c r="N21" s="1064"/>
      <c r="O21" s="1064"/>
      <c r="P21" s="1064"/>
      <c r="Q21" s="1067"/>
    </row>
    <row r="22" spans="1:19" x14ac:dyDescent="0.25">
      <c r="A22" s="1034"/>
      <c r="B22" s="1058">
        <v>7</v>
      </c>
      <c r="C22" s="1059" t="s">
        <v>1317</v>
      </c>
      <c r="D22" s="1060">
        <v>0.15</v>
      </c>
      <c r="E22" s="1062">
        <v>108164591.2</v>
      </c>
      <c r="F22" s="1062">
        <v>7331625.9699999997</v>
      </c>
      <c r="G22" s="1062">
        <v>0</v>
      </c>
      <c r="H22" s="1062">
        <f>SUM(F22:G22)</f>
        <v>7331625.9699999997</v>
      </c>
      <c r="I22" s="1062">
        <v>0</v>
      </c>
      <c r="J22" s="1062">
        <v>0</v>
      </c>
      <c r="K22" s="1063">
        <f>SUM(I22:J22)</f>
        <v>0</v>
      </c>
      <c r="L22" s="1064">
        <f>E22+H22-K22</f>
        <v>115496217.17</v>
      </c>
      <c r="M22" s="1065">
        <f>(E22-K22)*D22</f>
        <v>16224688.68</v>
      </c>
      <c r="N22" s="1064">
        <f>F22*D22</f>
        <v>1099743.8954999999</v>
      </c>
      <c r="O22" s="1066">
        <f>(G22)*(D22/2)</f>
        <v>0</v>
      </c>
      <c r="P22" s="1064">
        <f t="shared" si="0"/>
        <v>17324432.5755</v>
      </c>
      <c r="Q22" s="1067">
        <f>L22-P22</f>
        <v>98171784.594500005</v>
      </c>
    </row>
    <row r="23" spans="1:19" x14ac:dyDescent="0.25">
      <c r="A23" s="1034"/>
      <c r="B23" s="1058"/>
      <c r="C23" s="1071"/>
      <c r="D23" s="1070"/>
      <c r="E23" s="1062"/>
      <c r="F23" s="1062"/>
      <c r="G23" s="1062"/>
      <c r="H23" s="1062"/>
      <c r="I23" s="1062"/>
      <c r="J23" s="1062"/>
      <c r="K23" s="1063"/>
      <c r="L23" s="1064"/>
      <c r="M23" s="1064"/>
      <c r="N23" s="1064"/>
      <c r="O23" s="1064"/>
      <c r="P23" s="1064"/>
      <c r="Q23" s="1067"/>
    </row>
    <row r="24" spans="1:19" x14ac:dyDescent="0.25">
      <c r="A24" s="1034"/>
      <c r="B24" s="1058">
        <v>8</v>
      </c>
      <c r="C24" s="1059" t="s">
        <v>669</v>
      </c>
      <c r="D24" s="1070">
        <v>0.15</v>
      </c>
      <c r="E24" s="1062">
        <v>4266900.55</v>
      </c>
      <c r="F24" s="1062">
        <v>0</v>
      </c>
      <c r="G24" s="1062">
        <v>0</v>
      </c>
      <c r="H24" s="1062">
        <f t="shared" si="1"/>
        <v>0</v>
      </c>
      <c r="I24" s="1062">
        <v>0</v>
      </c>
      <c r="J24" s="1062">
        <v>0</v>
      </c>
      <c r="K24" s="1063">
        <f>SUM(I24:J24)</f>
        <v>0</v>
      </c>
      <c r="L24" s="1064">
        <f>E24+H24-K24</f>
        <v>4266900.55</v>
      </c>
      <c r="M24" s="1065">
        <f>(E24-K24)*D24</f>
        <v>640035.0824999999</v>
      </c>
      <c r="N24" s="1064">
        <f>F24*D24</f>
        <v>0</v>
      </c>
      <c r="O24" s="1066">
        <f>(G24)*(D24/2)</f>
        <v>0</v>
      </c>
      <c r="P24" s="1064">
        <f t="shared" si="0"/>
        <v>640035.0824999999</v>
      </c>
      <c r="Q24" s="1067">
        <f>L24-P24</f>
        <v>3626865.4674999998</v>
      </c>
    </row>
    <row r="25" spans="1:19" x14ac:dyDescent="0.25">
      <c r="A25" s="1034"/>
      <c r="B25" s="1058"/>
      <c r="C25" s="1059"/>
      <c r="D25" s="1070"/>
      <c r="E25" s="1062"/>
      <c r="F25" s="1062"/>
      <c r="G25" s="1062"/>
      <c r="H25" s="1062"/>
      <c r="I25" s="1062"/>
      <c r="J25" s="1062"/>
      <c r="K25" s="1063"/>
      <c r="L25" s="1064"/>
      <c r="M25" s="1065">
        <f>(E25-K25)*D25</f>
        <v>0</v>
      </c>
      <c r="N25" s="1064"/>
      <c r="O25" s="1064"/>
      <c r="P25" s="1064"/>
      <c r="Q25" s="1067"/>
    </row>
    <row r="26" spans="1:19" x14ac:dyDescent="0.25">
      <c r="A26" s="1034"/>
      <c r="B26" s="1058">
        <v>9</v>
      </c>
      <c r="C26" s="1074" t="s">
        <v>20</v>
      </c>
      <c r="D26" s="1060">
        <v>0.25</v>
      </c>
      <c r="E26" s="1062">
        <v>2176119.375</v>
      </c>
      <c r="F26" s="1062">
        <v>0</v>
      </c>
      <c r="G26" s="1062">
        <v>0</v>
      </c>
      <c r="H26" s="1062">
        <f t="shared" si="1"/>
        <v>0</v>
      </c>
      <c r="I26" s="1062">
        <v>0</v>
      </c>
      <c r="J26" s="1062">
        <v>0</v>
      </c>
      <c r="K26" s="1063">
        <f>SUM(I26:J26)</f>
        <v>0</v>
      </c>
      <c r="L26" s="1064">
        <f>E26+H26-K26</f>
        <v>2176119.375</v>
      </c>
      <c r="M26" s="1065">
        <f>(E26-K26)*D26</f>
        <v>544029.84375</v>
      </c>
      <c r="N26" s="1064">
        <f>F26*D26</f>
        <v>0</v>
      </c>
      <c r="O26" s="1066">
        <f>(G26)*(D26/2)</f>
        <v>0</v>
      </c>
      <c r="P26" s="1064">
        <f t="shared" si="0"/>
        <v>544029.84375</v>
      </c>
      <c r="Q26" s="1067">
        <f>L26-P26</f>
        <v>1632089.53125</v>
      </c>
    </row>
    <row r="27" spans="1:19" x14ac:dyDescent="0.25">
      <c r="B27" s="1058"/>
      <c r="C27" s="1059"/>
      <c r="D27" s="1070"/>
      <c r="E27" s="1062"/>
      <c r="F27" s="1062"/>
      <c r="G27" s="1062"/>
      <c r="H27" s="1062"/>
      <c r="I27" s="1062"/>
      <c r="J27" s="1062"/>
      <c r="K27" s="1063"/>
      <c r="L27" s="1064"/>
      <c r="M27" s="1064"/>
      <c r="N27" s="1064"/>
      <c r="O27" s="1064"/>
      <c r="P27" s="1064"/>
      <c r="Q27" s="1067"/>
    </row>
    <row r="28" spans="1:19" x14ac:dyDescent="0.25">
      <c r="B28" s="1075"/>
      <c r="C28" s="1076"/>
      <c r="D28" s="1077"/>
      <c r="E28" s="1078">
        <f>SUM(E9:E27)</f>
        <v>276627035.80000001</v>
      </c>
      <c r="F28" s="1078">
        <f>SUM(F9:F27)</f>
        <v>8637167.6500000004</v>
      </c>
      <c r="G28" s="1078">
        <f>SUM(G9:G27)</f>
        <v>2283038.14</v>
      </c>
      <c r="H28" s="1078">
        <f>SUM(H9:H27)</f>
        <v>10920205.789999999</v>
      </c>
      <c r="I28" s="1078">
        <f t="shared" ref="I28:Q28" si="2">SUM(I9:I27)</f>
        <v>0</v>
      </c>
      <c r="J28" s="1078">
        <f t="shared" si="2"/>
        <v>0</v>
      </c>
      <c r="K28" s="1078">
        <f t="shared" si="2"/>
        <v>0</v>
      </c>
      <c r="L28" s="1078">
        <f>SUM(L9:L27)</f>
        <v>287547241.59000003</v>
      </c>
      <c r="M28" s="1078">
        <f>SUM(M9:M27)</f>
        <v>34257054.075000003</v>
      </c>
      <c r="N28" s="1078">
        <f t="shared" si="2"/>
        <v>1348635.1375</v>
      </c>
      <c r="O28" s="1078">
        <f t="shared" si="2"/>
        <v>189315.753</v>
      </c>
      <c r="P28" s="1078">
        <f>SUM(P9:P27)</f>
        <v>35795004.965500005</v>
      </c>
      <c r="Q28" s="1078">
        <f t="shared" si="2"/>
        <v>251752236.62450001</v>
      </c>
      <c r="S28" s="738">
        <v>25607956</v>
      </c>
    </row>
    <row r="29" spans="1:19" x14ac:dyDescent="0.25">
      <c r="E29" s="841"/>
      <c r="Q29" s="841"/>
    </row>
    <row r="30" spans="1:19" x14ac:dyDescent="0.25">
      <c r="E30" s="1270">
        <v>314544610</v>
      </c>
      <c r="H30" s="841"/>
    </row>
    <row r="31" spans="1:19" x14ac:dyDescent="0.25">
      <c r="E31" s="1079"/>
      <c r="F31" s="1079"/>
      <c r="G31" s="1079"/>
      <c r="H31" s="841"/>
      <c r="I31" s="1079"/>
      <c r="J31" s="1079"/>
      <c r="K31" s="1079"/>
      <c r="L31" s="1079"/>
      <c r="M31" s="1079"/>
      <c r="N31" s="1079"/>
      <c r="O31" s="1079"/>
      <c r="P31" s="1079"/>
      <c r="Q31" s="1079"/>
      <c r="R31" s="1080"/>
      <c r="S31" s="1080"/>
    </row>
    <row r="32" spans="1:19" x14ac:dyDescent="0.25">
      <c r="E32" s="1079"/>
      <c r="F32" s="1079"/>
      <c r="G32" s="1079"/>
      <c r="H32" s="1080"/>
      <c r="I32" s="1079"/>
      <c r="J32" s="1079"/>
      <c r="K32" s="1079"/>
      <c r="L32" s="1079"/>
      <c r="M32" s="1079"/>
      <c r="N32" s="1079"/>
      <c r="P32" s="1079"/>
      <c r="Q32" s="1079"/>
      <c r="R32" s="1080"/>
      <c r="S32" s="1080"/>
    </row>
    <row r="33" spans="5:19" x14ac:dyDescent="0.25">
      <c r="E33" s="1079"/>
      <c r="F33" s="1079"/>
      <c r="G33" s="1079"/>
      <c r="I33" s="1079"/>
      <c r="J33" s="1079"/>
      <c r="K33" s="1079"/>
      <c r="L33" s="1079"/>
      <c r="M33" s="1081"/>
      <c r="N33" s="1081"/>
      <c r="O33" s="1081"/>
      <c r="P33" s="1081"/>
      <c r="Q33" s="1081"/>
      <c r="R33" s="1080"/>
      <c r="S33" s="1080"/>
    </row>
    <row r="34" spans="5:19" x14ac:dyDescent="0.25">
      <c r="E34" s="1079"/>
      <c r="F34" s="1079"/>
      <c r="G34" s="1079"/>
      <c r="H34" s="1079"/>
      <c r="I34" s="1079"/>
      <c r="J34" s="1079"/>
      <c r="K34" s="1079"/>
      <c r="L34" s="1079"/>
      <c r="M34" s="1081"/>
      <c r="N34" s="1081"/>
      <c r="O34" s="1081"/>
      <c r="P34" s="1081"/>
      <c r="Q34" s="1081"/>
      <c r="R34" s="1080"/>
      <c r="S34" s="1080"/>
    </row>
    <row r="35" spans="5:19" x14ac:dyDescent="0.25">
      <c r="E35" s="1079"/>
      <c r="F35" s="1079"/>
      <c r="G35" s="1079"/>
      <c r="H35" s="1080"/>
      <c r="I35" s="1079"/>
      <c r="J35" s="1079"/>
      <c r="K35" s="1079"/>
      <c r="L35" s="1079"/>
      <c r="M35" s="1081"/>
      <c r="N35" s="1081"/>
      <c r="O35" s="1081"/>
      <c r="P35" s="1081"/>
      <c r="Q35" s="1081"/>
      <c r="R35" s="1080"/>
      <c r="S35" s="1080"/>
    </row>
    <row r="36" spans="5:19" x14ac:dyDescent="0.25">
      <c r="E36" s="1079"/>
      <c r="F36" s="1079"/>
      <c r="G36" s="1079"/>
      <c r="H36" s="1080"/>
      <c r="I36" s="1079"/>
      <c r="J36" s="1079"/>
      <c r="K36" s="1079"/>
      <c r="L36" s="1079"/>
      <c r="M36" s="1081"/>
      <c r="N36" s="1081"/>
      <c r="O36" s="1081"/>
      <c r="P36" s="1081"/>
      <c r="Q36" s="1081"/>
      <c r="R36" s="1080"/>
      <c r="S36" s="1080"/>
    </row>
    <row r="37" spans="5:19" x14ac:dyDescent="0.25">
      <c r="E37" s="1079"/>
      <c r="F37" s="1079"/>
      <c r="G37" s="1079"/>
      <c r="I37" s="1079"/>
      <c r="J37" s="1079"/>
      <c r="K37" s="1079"/>
      <c r="L37" s="1079"/>
      <c r="M37" s="1081"/>
      <c r="N37" s="1081"/>
      <c r="O37" s="1081"/>
      <c r="P37" s="1081"/>
      <c r="Q37" s="1081"/>
      <c r="R37" s="1080"/>
      <c r="S37" s="1080"/>
    </row>
    <row r="38" spans="5:19" x14ac:dyDescent="0.25">
      <c r="E38" s="1079"/>
      <c r="F38" s="1079"/>
      <c r="G38" s="1079"/>
      <c r="H38" s="1079"/>
      <c r="I38" s="1079"/>
      <c r="J38" s="1079"/>
      <c r="K38" s="1079"/>
      <c r="L38" s="1079"/>
      <c r="M38" s="1081"/>
      <c r="N38" s="1081"/>
      <c r="O38" s="1081"/>
      <c r="P38" s="1081"/>
      <c r="Q38" s="1081"/>
      <c r="R38" s="1080"/>
      <c r="S38" s="1080"/>
    </row>
    <row r="39" spans="5:19" x14ac:dyDescent="0.25">
      <c r="E39" s="1080"/>
      <c r="F39" s="1080"/>
      <c r="G39" s="1080"/>
      <c r="H39" s="1080"/>
      <c r="I39" s="1080"/>
      <c r="J39" s="1080"/>
      <c r="K39" s="1080"/>
      <c r="L39" s="1080"/>
      <c r="M39" s="1080"/>
      <c r="N39" s="1080"/>
      <c r="O39" s="1080"/>
      <c r="P39" s="1080"/>
      <c r="Q39" s="1080"/>
      <c r="R39" s="1080"/>
      <c r="S39" s="1080"/>
    </row>
    <row r="40" spans="5:19" x14ac:dyDescent="0.25">
      <c r="E40" s="1080"/>
      <c r="F40" s="1080"/>
      <c r="G40" s="1080"/>
      <c r="H40" s="1080"/>
      <c r="I40" s="1080"/>
      <c r="J40" s="1080"/>
      <c r="K40" s="1080"/>
      <c r="L40" s="1080"/>
      <c r="M40" s="1080"/>
      <c r="N40" s="1080"/>
      <c r="O40" s="1080"/>
      <c r="P40" s="1080"/>
      <c r="Q40" s="1080"/>
      <c r="R40" s="1080"/>
      <c r="S40" s="1080"/>
    </row>
    <row r="41" spans="5:19" x14ac:dyDescent="0.25">
      <c r="E41" s="1080"/>
      <c r="F41" s="1080"/>
      <c r="G41" s="1080"/>
      <c r="H41" s="1080"/>
      <c r="I41" s="1080"/>
      <c r="J41" s="1080"/>
      <c r="K41" s="1080"/>
      <c r="L41" s="1080"/>
      <c r="M41" s="1080"/>
      <c r="N41" s="1080"/>
      <c r="O41" s="1080"/>
      <c r="P41" s="1080"/>
      <c r="Q41" s="1080"/>
      <c r="R41" s="1080"/>
      <c r="S41" s="1080"/>
    </row>
    <row r="42" spans="5:19" x14ac:dyDescent="0.25">
      <c r="E42" s="1080"/>
      <c r="F42" s="1080"/>
      <c r="G42" s="1080"/>
      <c r="H42" s="1080"/>
      <c r="I42" s="1080"/>
      <c r="J42" s="1080"/>
      <c r="K42" s="1080"/>
      <c r="L42" s="1080"/>
      <c r="M42" s="1080"/>
      <c r="N42" s="1080"/>
      <c r="O42" s="1080"/>
      <c r="P42" s="1080"/>
      <c r="Q42" s="1080"/>
      <c r="R42" s="1080"/>
      <c r="S42" s="1080"/>
    </row>
    <row r="43" spans="5:19" x14ac:dyDescent="0.25">
      <c r="E43" s="1080"/>
      <c r="F43" s="1080"/>
      <c r="G43" s="1080"/>
      <c r="H43" s="1080"/>
      <c r="I43" s="1080"/>
      <c r="J43" s="1080"/>
      <c r="K43" s="1080"/>
      <c r="L43" s="1080"/>
      <c r="M43" s="1080"/>
      <c r="N43" s="1080"/>
      <c r="O43" s="1080"/>
      <c r="P43" s="1080"/>
      <c r="Q43" s="1080"/>
      <c r="R43" s="1080"/>
      <c r="S43" s="1080"/>
    </row>
    <row r="44" spans="5:19" x14ac:dyDescent="0.25">
      <c r="E44" s="1080"/>
      <c r="F44" s="1080"/>
      <c r="G44" s="1080"/>
      <c r="H44" s="1080"/>
      <c r="I44" s="1080"/>
      <c r="J44" s="1080"/>
      <c r="K44" s="1080"/>
      <c r="L44" s="1080"/>
      <c r="M44" s="1080"/>
      <c r="N44" s="1080"/>
      <c r="O44" s="1080"/>
      <c r="P44" s="1080"/>
      <c r="Q44" s="1080"/>
      <c r="R44" s="1080"/>
      <c r="S44" s="1080"/>
    </row>
    <row r="45" spans="5:19" x14ac:dyDescent="0.25">
      <c r="E45" s="1080"/>
      <c r="F45" s="1080"/>
      <c r="G45" s="1080"/>
      <c r="H45" s="1080"/>
      <c r="I45" s="1080"/>
      <c r="J45" s="1080"/>
      <c r="K45" s="1080"/>
      <c r="L45" s="1080"/>
      <c r="M45" s="1080"/>
      <c r="N45" s="1080"/>
      <c r="O45" s="1080"/>
      <c r="P45" s="1080"/>
      <c r="Q45" s="1080"/>
      <c r="R45" s="1080"/>
      <c r="S45" s="1080"/>
    </row>
    <row r="46" spans="5:19" x14ac:dyDescent="0.25">
      <c r="E46" s="1080"/>
      <c r="F46" s="1080"/>
      <c r="G46" s="1080"/>
      <c r="H46" s="1080"/>
      <c r="I46" s="1080"/>
      <c r="J46" s="1080"/>
      <c r="K46" s="1080"/>
      <c r="L46" s="1080"/>
      <c r="M46" s="1080"/>
      <c r="N46" s="1080"/>
      <c r="O46" s="1080"/>
      <c r="P46" s="1080"/>
      <c r="Q46" s="1080"/>
      <c r="R46" s="1080"/>
      <c r="S46" s="1080"/>
    </row>
    <row r="47" spans="5:19" x14ac:dyDescent="0.25">
      <c r="E47" s="1080"/>
      <c r="F47" s="1080"/>
      <c r="G47" s="1080"/>
      <c r="H47" s="1080"/>
      <c r="I47" s="1080"/>
      <c r="J47" s="1080"/>
      <c r="K47" s="1080"/>
      <c r="L47" s="1080"/>
      <c r="M47" s="1080"/>
      <c r="N47" s="1080"/>
      <c r="O47" s="1080"/>
      <c r="P47" s="1080"/>
      <c r="Q47" s="1080"/>
      <c r="R47" s="1080"/>
      <c r="S47" s="1080"/>
    </row>
  </sheetData>
  <mergeCells count="8">
    <mergeCell ref="M6:O6"/>
    <mergeCell ref="P6:P8"/>
    <mergeCell ref="B6:B8"/>
    <mergeCell ref="C6:C8"/>
    <mergeCell ref="D6:D8"/>
    <mergeCell ref="F6:H6"/>
    <mergeCell ref="I6:K6"/>
    <mergeCell ref="L6:L8"/>
  </mergeCells>
  <pageMargins left="0.7" right="0.7" top="0.75" bottom="0.75" header="0.3" footer="0.3"/>
  <pageSetup paperSize="9" orientation="portrait" horizont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ADB29-F0C0-4468-9462-91AB9927E5F7}">
  <dimension ref="A1:JH669"/>
  <sheetViews>
    <sheetView showGridLines="0" zoomScale="90" zoomScaleNormal="90" workbookViewId="0">
      <pane ySplit="4" topLeftCell="A561" activePane="bottomLeft" state="frozen"/>
      <selection pane="bottomLeft" activeCell="A561" sqref="A561"/>
    </sheetView>
  </sheetViews>
  <sheetFormatPr defaultColWidth="9.140625" defaultRowHeight="15" x14ac:dyDescent="0.25"/>
  <cols>
    <col min="1" max="1" width="34.5703125" style="738" bestFit="1" customWidth="1"/>
    <col min="2" max="2" width="60" style="738" customWidth="1"/>
    <col min="3" max="3" width="15.7109375" style="738" bestFit="1" customWidth="1"/>
    <col min="4" max="4" width="13.7109375" style="738" bestFit="1" customWidth="1"/>
    <col min="5" max="5" width="11" style="738" bestFit="1" customWidth="1"/>
    <col min="6" max="6" width="12" style="738" customWidth="1"/>
    <col min="7" max="7" width="11.5703125" style="738" bestFit="1" customWidth="1"/>
    <col min="8" max="8" width="11.42578125" style="738" bestFit="1" customWidth="1"/>
    <col min="9" max="9" width="18.5703125" style="1328" bestFit="1" customWidth="1"/>
    <col min="10" max="10" width="14.42578125" style="1328" customWidth="1"/>
    <col min="11" max="11" width="13" style="738" hidden="1" customWidth="1"/>
    <col min="12" max="12" width="14.42578125" style="738" customWidth="1"/>
    <col min="13" max="13" width="16.28515625" style="738" bestFit="1" customWidth="1"/>
    <col min="14" max="14" width="17" style="738" customWidth="1"/>
    <col min="15" max="16" width="15.28515625" style="738" bestFit="1" customWidth="1"/>
    <col min="17" max="17" width="19.140625" style="738" bestFit="1" customWidth="1"/>
    <col min="18" max="18" width="16.5703125" style="738" bestFit="1" customWidth="1"/>
    <col min="19" max="19" width="17.5703125" style="738" bestFit="1" customWidth="1"/>
    <col min="20" max="20" width="15.28515625" style="738" bestFit="1" customWidth="1"/>
    <col min="21" max="21" width="17.5703125" style="738" bestFit="1" customWidth="1"/>
    <col min="22" max="22" width="16.28515625" style="738" bestFit="1" customWidth="1"/>
    <col min="23" max="23" width="16.140625" style="738" bestFit="1" customWidth="1"/>
    <col min="24" max="24" width="16.5703125" style="738" bestFit="1" customWidth="1"/>
    <col min="25" max="25" width="16.7109375" style="738" bestFit="1" customWidth="1"/>
    <col min="26" max="26" width="11.5703125" style="738" bestFit="1" customWidth="1"/>
    <col min="27" max="27" width="14.140625" style="738" bestFit="1" customWidth="1"/>
    <col min="28" max="28" width="15.28515625" style="738" bestFit="1" customWidth="1"/>
    <col min="29" max="29" width="16.42578125" style="738" bestFit="1" customWidth="1"/>
    <col min="30" max="30" width="16.5703125" style="738" bestFit="1" customWidth="1"/>
    <col min="31" max="31" width="17.5703125" style="738" bestFit="1" customWidth="1"/>
    <col min="32" max="32" width="11.5703125" style="738" bestFit="1" customWidth="1"/>
    <col min="33" max="33" width="16.7109375" style="738" bestFit="1" customWidth="1"/>
    <col min="34" max="34" width="15.28515625" style="738" bestFit="1" customWidth="1"/>
    <col min="35" max="35" width="16.42578125" style="738" bestFit="1" customWidth="1"/>
    <col min="36" max="36" width="16.5703125" style="738" bestFit="1" customWidth="1"/>
    <col min="37" max="37" width="17.42578125" style="1328" bestFit="1" customWidth="1"/>
    <col min="38" max="38" width="11.5703125" style="1328" bestFit="1" customWidth="1"/>
    <col min="39" max="39" width="16.140625" style="1328" bestFit="1" customWidth="1"/>
    <col min="40" max="40" width="17.42578125" style="1328" bestFit="1" customWidth="1"/>
    <col min="41" max="41" width="18.28515625" style="1328" bestFit="1" customWidth="1"/>
    <col min="42" max="42" width="17.42578125" style="1328" bestFit="1" customWidth="1"/>
    <col min="43" max="43" width="16.42578125" style="738" bestFit="1" customWidth="1"/>
    <col min="44" max="44" width="11.5703125" style="738" bestFit="1" customWidth="1"/>
    <col min="45" max="45" width="15.28515625" style="738" bestFit="1" customWidth="1"/>
    <col min="46" max="46" width="16.28515625" style="738" bestFit="1" customWidth="1"/>
    <col min="47" max="49" width="16.42578125" style="738" bestFit="1" customWidth="1"/>
    <col min="50" max="50" width="11.42578125" style="738" bestFit="1" customWidth="1"/>
    <col min="51" max="51" width="15.28515625" style="738" bestFit="1" customWidth="1"/>
    <col min="52" max="52" width="16.140625" style="738" bestFit="1" customWidth="1"/>
    <col min="53" max="53" width="16.42578125" style="738" bestFit="1" customWidth="1"/>
    <col min="54" max="54" width="14.85546875" style="1328" bestFit="1" customWidth="1"/>
    <col min="55" max="56" width="14.28515625" style="738" bestFit="1" customWidth="1"/>
    <col min="57" max="57" width="15.28515625" style="1329" bestFit="1" customWidth="1"/>
    <col min="58" max="59" width="14.28515625" style="738" bestFit="1" customWidth="1"/>
    <col min="60" max="16384" width="9.140625" style="738"/>
  </cols>
  <sheetData>
    <row r="1" spans="1:59" ht="15.75" thickBot="1" x14ac:dyDescent="0.3">
      <c r="I1" s="1328">
        <f>SUBTOTAL(9,I5:I579)</f>
        <v>810588955.66000009</v>
      </c>
      <c r="J1" s="1328">
        <v>-17649793</v>
      </c>
      <c r="M1" s="738">
        <f>SUBTOTAL(9,M5:M579)</f>
        <v>234644781.95999998</v>
      </c>
      <c r="O1" s="738">
        <f>SUBTOTAL(9,O5:O579)</f>
        <v>17234834</v>
      </c>
      <c r="P1" s="738">
        <f>SUBTOTAL(9,P5:P579)</f>
        <v>17234834</v>
      </c>
      <c r="Q1" s="738">
        <f>SUBTOTAL(9,Q5:Q579)</f>
        <v>217409947.95999998</v>
      </c>
      <c r="S1" s="738">
        <f>SUBTOTAL(9,S5:S579)</f>
        <v>292836412.79999995</v>
      </c>
      <c r="U1" s="738">
        <f>SUBTOTAL(9,U5:U579)</f>
        <v>23045050</v>
      </c>
      <c r="V1" s="738">
        <f>SUBTOTAL(9,V5:V579)</f>
        <v>40279884</v>
      </c>
      <c r="W1" s="738">
        <f>SUBTOTAL(9,W5:W579)</f>
        <v>252556528.80000001</v>
      </c>
      <c r="X1" s="738">
        <f>Y1-S1</f>
        <v>37239687.220000029</v>
      </c>
      <c r="Y1" s="738">
        <f>SUBTOTAL(9,Y5:Y579)</f>
        <v>330076100.01999998</v>
      </c>
      <c r="AA1" s="739">
        <f>SUBTOTAL(9,AA5:AA579)</f>
        <v>24301312</v>
      </c>
      <c r="AB1" s="739">
        <f>SUBTOTAL(9,AB5:AB579)</f>
        <v>64581196</v>
      </c>
      <c r="AC1" s="738">
        <f>SUBTOTAL(9,AC5:AC579)</f>
        <v>265494904.02000001</v>
      </c>
      <c r="AD1" s="738">
        <f>AE1-Y1</f>
        <v>94935728.660000086</v>
      </c>
      <c r="AE1" s="738">
        <f>SUBTOTAL(9,AE5:AE579)</f>
        <v>425011828.68000007</v>
      </c>
      <c r="AG1" s="739">
        <f>SUBTOTAL(9,AG5:AG579)</f>
        <v>27369244</v>
      </c>
      <c r="AH1" s="739">
        <f>SUBTOTAL(9,AH5:AH579)</f>
        <v>91950440</v>
      </c>
      <c r="AI1" s="739">
        <f>SUBTOTAL(9,AI5:AI579)</f>
        <v>333061388.68000007</v>
      </c>
      <c r="AJ1" s="738">
        <f>AK1-AE1</f>
        <v>35299586.339999914</v>
      </c>
      <c r="AK1" s="1328">
        <f>SUBTOTAL(9,AK5:AK579)</f>
        <v>460311415.01999998</v>
      </c>
      <c r="AM1" s="1328">
        <f>SUBTOTAL(9,AM5:AM579)</f>
        <v>34327281</v>
      </c>
      <c r="AN1" s="1328">
        <f>SUBTOTAL(9,AN5:AN579)</f>
        <v>120688718</v>
      </c>
      <c r="AO1" s="1328">
        <f>SUBTOTAL(9,AO5:AO579)</f>
        <v>339428121.01999998</v>
      </c>
      <c r="AQ1" s="740">
        <f>I1-AN1</f>
        <v>689900237.66000009</v>
      </c>
    </row>
    <row r="2" spans="1:59" ht="15.75" thickBot="1" x14ac:dyDescent="0.3">
      <c r="A2" s="741" t="s">
        <v>1143</v>
      </c>
      <c r="B2" s="742"/>
      <c r="C2" s="743"/>
      <c r="D2" s="743"/>
      <c r="E2" s="743"/>
      <c r="F2" s="743"/>
      <c r="G2" s="743"/>
      <c r="H2" s="743"/>
      <c r="I2" s="1330"/>
      <c r="J2" s="1331"/>
      <c r="K2" s="745" t="s">
        <v>1144</v>
      </c>
      <c r="L2" s="1683" t="s">
        <v>1145</v>
      </c>
      <c r="M2" s="1684"/>
      <c r="N2" s="1684"/>
      <c r="O2" s="1684"/>
      <c r="P2" s="1684"/>
      <c r="Q2" s="1685"/>
      <c r="R2" s="1686" t="s">
        <v>1146</v>
      </c>
      <c r="S2" s="1686"/>
      <c r="T2" s="1686"/>
      <c r="U2" s="1686"/>
      <c r="V2" s="1686"/>
      <c r="W2" s="1687"/>
      <c r="X2" s="1688" t="s">
        <v>1147</v>
      </c>
      <c r="Y2" s="1689"/>
      <c r="Z2" s="1689"/>
      <c r="AA2" s="1689"/>
      <c r="AB2" s="1689"/>
      <c r="AC2" s="1689"/>
      <c r="AD2" s="1690" t="s">
        <v>1148</v>
      </c>
      <c r="AE2" s="1691"/>
      <c r="AF2" s="1691"/>
      <c r="AG2" s="1691"/>
      <c r="AH2" s="1691"/>
      <c r="AI2" s="1692"/>
      <c r="AJ2" s="1690" t="s">
        <v>1149</v>
      </c>
      <c r="AK2" s="1691"/>
      <c r="AL2" s="1691"/>
      <c r="AM2" s="1691"/>
      <c r="AN2" s="1691"/>
      <c r="AO2" s="1692"/>
      <c r="AP2" s="1690" t="s">
        <v>1150</v>
      </c>
      <c r="AQ2" s="1691"/>
      <c r="AR2" s="1691"/>
      <c r="AS2" s="1691"/>
      <c r="AT2" s="1691"/>
      <c r="AU2" s="1692"/>
      <c r="AV2" s="1666" t="s">
        <v>1828</v>
      </c>
      <c r="AW2" s="1667"/>
      <c r="AX2" s="1667"/>
      <c r="AY2" s="1667"/>
      <c r="AZ2" s="1667"/>
      <c r="BA2" s="1668"/>
    </row>
    <row r="3" spans="1:59" ht="15.75" thickBot="1" x14ac:dyDescent="0.3">
      <c r="A3" s="746"/>
      <c r="B3" s="747"/>
      <c r="C3" s="747"/>
      <c r="D3" s="747"/>
      <c r="E3" s="747"/>
      <c r="F3" s="747"/>
      <c r="G3" s="747"/>
      <c r="H3" s="747"/>
      <c r="I3" s="1332"/>
      <c r="J3" s="1333"/>
      <c r="K3" s="749">
        <v>43190</v>
      </c>
      <c r="L3" s="1669">
        <v>43555</v>
      </c>
      <c r="M3" s="1670"/>
      <c r="N3" s="1670"/>
      <c r="O3" s="1670"/>
      <c r="P3" s="1670"/>
      <c r="Q3" s="1671"/>
      <c r="R3" s="1672">
        <v>43921</v>
      </c>
      <c r="S3" s="1672"/>
      <c r="T3" s="1672"/>
      <c r="U3" s="1672"/>
      <c r="V3" s="1672"/>
      <c r="W3" s="1673"/>
      <c r="X3" s="1674">
        <v>44286</v>
      </c>
      <c r="Y3" s="1675"/>
      <c r="Z3" s="1675"/>
      <c r="AA3" s="1675"/>
      <c r="AB3" s="1675"/>
      <c r="AC3" s="1676"/>
      <c r="AD3" s="1677">
        <v>44651</v>
      </c>
      <c r="AE3" s="1678"/>
      <c r="AF3" s="1678"/>
      <c r="AG3" s="1678"/>
      <c r="AH3" s="1678"/>
      <c r="AI3" s="1679"/>
      <c r="AJ3" s="1677">
        <v>45016</v>
      </c>
      <c r="AK3" s="1678"/>
      <c r="AL3" s="1678"/>
      <c r="AM3" s="1678"/>
      <c r="AN3" s="1678"/>
      <c r="AO3" s="1679"/>
      <c r="AP3" s="1677">
        <v>45382</v>
      </c>
      <c r="AQ3" s="1678"/>
      <c r="AR3" s="1678"/>
      <c r="AS3" s="1678"/>
      <c r="AT3" s="1678"/>
      <c r="AU3" s="1679"/>
      <c r="AV3" s="1680">
        <v>45747</v>
      </c>
      <c r="AW3" s="1681"/>
      <c r="AX3" s="1681"/>
      <c r="AY3" s="1681"/>
      <c r="AZ3" s="1681"/>
      <c r="BA3" s="1682"/>
    </row>
    <row r="4" spans="1:59" s="775" customFormat="1" ht="43.5" thickBot="1" x14ac:dyDescent="0.3">
      <c r="A4" s="750" t="s">
        <v>1151</v>
      </c>
      <c r="B4" s="751" t="s">
        <v>0</v>
      </c>
      <c r="C4" s="751" t="s">
        <v>1152</v>
      </c>
      <c r="D4" s="751" t="s">
        <v>1153</v>
      </c>
      <c r="E4" s="751" t="s">
        <v>1154</v>
      </c>
      <c r="F4" s="751" t="s">
        <v>1155</v>
      </c>
      <c r="G4" s="751" t="s">
        <v>1156</v>
      </c>
      <c r="H4" s="752" t="s">
        <v>1157</v>
      </c>
      <c r="I4" s="1334" t="s">
        <v>1158</v>
      </c>
      <c r="J4" s="1335" t="s">
        <v>1159</v>
      </c>
      <c r="K4" s="755" t="s">
        <v>1160</v>
      </c>
      <c r="L4" s="756" t="s">
        <v>1161</v>
      </c>
      <c r="M4" s="757" t="s">
        <v>1158</v>
      </c>
      <c r="N4" s="758" t="s">
        <v>1162</v>
      </c>
      <c r="O4" s="759" t="s">
        <v>1163</v>
      </c>
      <c r="P4" s="760" t="s">
        <v>1164</v>
      </c>
      <c r="Q4" s="761" t="s">
        <v>1165</v>
      </c>
      <c r="R4" s="762" t="s">
        <v>1166</v>
      </c>
      <c r="S4" s="763" t="s">
        <v>1158</v>
      </c>
      <c r="T4" s="764" t="s">
        <v>1162</v>
      </c>
      <c r="U4" s="765" t="s">
        <v>1167</v>
      </c>
      <c r="V4" s="766" t="s">
        <v>1164</v>
      </c>
      <c r="W4" s="767" t="s">
        <v>1168</v>
      </c>
      <c r="X4" s="756" t="s">
        <v>1169</v>
      </c>
      <c r="Y4" s="757" t="s">
        <v>1158</v>
      </c>
      <c r="Z4" s="758" t="s">
        <v>1162</v>
      </c>
      <c r="AA4" s="759" t="s">
        <v>1170</v>
      </c>
      <c r="AB4" s="760" t="s">
        <v>1164</v>
      </c>
      <c r="AC4" s="761" t="s">
        <v>1171</v>
      </c>
      <c r="AD4" s="768" t="s">
        <v>1172</v>
      </c>
      <c r="AE4" s="769" t="s">
        <v>1158</v>
      </c>
      <c r="AF4" s="770" t="s">
        <v>1162</v>
      </c>
      <c r="AG4" s="771" t="s">
        <v>1173</v>
      </c>
      <c r="AH4" s="772" t="s">
        <v>1164</v>
      </c>
      <c r="AI4" s="773" t="s">
        <v>1174</v>
      </c>
      <c r="AJ4" s="768" t="s">
        <v>1172</v>
      </c>
      <c r="AK4" s="1336" t="s">
        <v>1158</v>
      </c>
      <c r="AL4" s="1337" t="s">
        <v>1162</v>
      </c>
      <c r="AM4" s="1337" t="s">
        <v>1175</v>
      </c>
      <c r="AN4" s="1336" t="s">
        <v>1164</v>
      </c>
      <c r="AO4" s="1338" t="s">
        <v>1176</v>
      </c>
      <c r="AP4" s="1339" t="s">
        <v>1177</v>
      </c>
      <c r="AQ4" s="774" t="s">
        <v>1158</v>
      </c>
      <c r="AR4" s="770" t="s">
        <v>1162</v>
      </c>
      <c r="AS4" s="771" t="s">
        <v>1178</v>
      </c>
      <c r="AT4" s="772" t="s">
        <v>1164</v>
      </c>
      <c r="AU4" s="773" t="s">
        <v>1179</v>
      </c>
      <c r="AV4" s="1340" t="s">
        <v>1829</v>
      </c>
      <c r="AW4" s="1341" t="s">
        <v>1158</v>
      </c>
      <c r="AX4" s="1342" t="s">
        <v>1162</v>
      </c>
      <c r="AY4" s="1343" t="s">
        <v>1830</v>
      </c>
      <c r="AZ4" s="1344" t="s">
        <v>1164</v>
      </c>
      <c r="BA4" s="1345" t="s">
        <v>1831</v>
      </c>
      <c r="BB4" s="1346"/>
      <c r="BE4" s="1347"/>
    </row>
    <row r="5" spans="1:59" ht="15" customHeight="1" x14ac:dyDescent="0.25">
      <c r="A5" s="1348" t="s">
        <v>1180</v>
      </c>
      <c r="B5" s="1349" t="s">
        <v>1181</v>
      </c>
      <c r="C5" s="1350">
        <f t="shared" ref="C5:C13" si="0">(95/D5)/100</f>
        <v>0.31666666666666665</v>
      </c>
      <c r="D5" s="1351">
        <v>3</v>
      </c>
      <c r="E5" s="1351" t="s">
        <v>1182</v>
      </c>
      <c r="F5" s="1352">
        <v>43191</v>
      </c>
      <c r="G5" s="1352">
        <v>43191</v>
      </c>
      <c r="H5" s="1353">
        <f t="shared" ref="H5:H13" si="1">G5+(365*D5)</f>
        <v>44286</v>
      </c>
      <c r="I5" s="1354">
        <v>253640</v>
      </c>
      <c r="J5" s="1355">
        <f t="shared" ref="J5:J13" si="2">I5*5%</f>
        <v>12682</v>
      </c>
      <c r="K5" s="1355">
        <v>0</v>
      </c>
      <c r="L5" s="1356">
        <v>0</v>
      </c>
      <c r="M5" s="1356">
        <f>I5</f>
        <v>253640</v>
      </c>
      <c r="N5" s="1356">
        <f>IF(AND(F5&gt;$K$3,F5&lt;$L$3),$L$3-F5+1,IF(H5&lt;=$K$3,0,IF(H5&gt;$L$3,$L$3-$K$3,H5-$K$3)))</f>
        <v>365</v>
      </c>
      <c r="O5" s="1356">
        <f>ROUND(M5*C5*N5/365,0)</f>
        <v>80319</v>
      </c>
      <c r="P5" s="1356">
        <f>O5</f>
        <v>80319</v>
      </c>
      <c r="Q5" s="1356">
        <f>+M5-P5</f>
        <v>173321</v>
      </c>
      <c r="R5" s="1356">
        <f>+Q5</f>
        <v>173321</v>
      </c>
      <c r="S5" s="1356">
        <f>I5</f>
        <v>253640</v>
      </c>
      <c r="T5" s="1356">
        <f>IF(AND(F5&gt;$L$3,F5&lt;$R$3),$R$3-F5+1,IF(H5&lt;=$L$3,0,IF(H5&gt;$R$3,$R$3-$L$3,H5-$L$3)))</f>
        <v>366</v>
      </c>
      <c r="U5" s="1356">
        <f>ROUND(S5*C5*T5/366,0)</f>
        <v>80319</v>
      </c>
      <c r="V5" s="1356">
        <f>+P5+U5</f>
        <v>160638</v>
      </c>
      <c r="W5" s="1356">
        <f>+S5-V5</f>
        <v>93002</v>
      </c>
      <c r="X5" s="1355">
        <f>+W5</f>
        <v>93002</v>
      </c>
      <c r="Y5" s="1355">
        <f>I5</f>
        <v>253640</v>
      </c>
      <c r="Z5" s="1355">
        <f>IF(AND(F5&gt;$R$3,F5&lt;$X$3),$X$3-F5+1,IF(H5&lt;=$R$3,0,IF(H5&gt;$X$3,$X$3-$R$3,H5-$R$3)))</f>
        <v>365</v>
      </c>
      <c r="AA5" s="1355">
        <f>ROUND(Y5*C5*Z5/365,0)</f>
        <v>80319</v>
      </c>
      <c r="AB5" s="1355">
        <f>+V5+AA5</f>
        <v>240957</v>
      </c>
      <c r="AC5" s="1355">
        <f>Y5-AB5</f>
        <v>12683</v>
      </c>
      <c r="AD5" s="1356">
        <f>AC5</f>
        <v>12683</v>
      </c>
      <c r="AE5" s="1356">
        <f>I5</f>
        <v>253640</v>
      </c>
      <c r="AF5" s="1356">
        <f>IF(AND(F5&gt;$X$3,F5&lt;$AD$3),$AD$3-F5+1,IF(H5&lt;=$X$3,0,IF(H5&gt;$AD$3,$AD$3-$X$3,H5-$X$3)))</f>
        <v>0</v>
      </c>
      <c r="AG5" s="1356">
        <f>ROUND(AE5*C5*AF5/365,0)</f>
        <v>0</v>
      </c>
      <c r="AH5" s="1355">
        <f>+AB5+AG5</f>
        <v>240957</v>
      </c>
      <c r="AI5" s="1355">
        <f>AE5-AH5</f>
        <v>12683</v>
      </c>
      <c r="AJ5" s="1356">
        <f>AI5</f>
        <v>12683</v>
      </c>
      <c r="AK5" s="1356">
        <f>I5</f>
        <v>253640</v>
      </c>
      <c r="AL5" s="1356">
        <f>IF(AND(F5&gt;$AD$3,F5&lt;$AJ$3),$AJ$3-F5+1,IF(H5&lt;=$AD$3,0,IF(H5&gt;$AJ$3,$AJ$3-$AD$3,H5-$AD$3)))</f>
        <v>0</v>
      </c>
      <c r="AM5" s="1356">
        <f>ROUND(AK5*C5*AL5/365,0)</f>
        <v>0</v>
      </c>
      <c r="AN5" s="1355">
        <f>+AK5</f>
        <v>253640</v>
      </c>
      <c r="AO5" s="1355">
        <f>+AK5-AN5</f>
        <v>0</v>
      </c>
      <c r="AP5" s="1356">
        <f>AO5</f>
        <v>0</v>
      </c>
      <c r="AQ5" s="1356">
        <f>+I5</f>
        <v>253640</v>
      </c>
      <c r="AR5" s="1356">
        <f t="shared" ref="AR5:AR11" si="3">IF(AND(F5&gt;$AJ$3,F5&lt;$AP$3),$AP$3-F5+1,IF(H5&lt;=$AJ$3,0,IF(H5&gt;$AP$3,$AP$3-$AJ$3,H5-$AJ$3)))</f>
        <v>0</v>
      </c>
      <c r="AS5" s="1356">
        <f t="shared" ref="AS5:AS11" si="4">ROUND(AQ5*C5*AR5/365,0)</f>
        <v>0</v>
      </c>
      <c r="AT5" s="1356">
        <f t="shared" ref="AT5:AT11" si="5">+AN5+AS5</f>
        <v>253640</v>
      </c>
      <c r="AU5" s="1355">
        <f>AQ5-AT5</f>
        <v>0</v>
      </c>
      <c r="AV5" s="1356">
        <f t="shared" ref="AV5:AV13" si="6">+AU5</f>
        <v>0</v>
      </c>
      <c r="AW5" s="1356">
        <f t="shared" ref="AW5:AW10" si="7">+I5</f>
        <v>253640</v>
      </c>
      <c r="AX5" s="1356">
        <f t="shared" ref="AX5:AX13" si="8">IF(AND(F5&gt;$AP$3,F5&lt;$AV$3),$AV$3-F5+1,IF(H5&lt;=$AP$3,0,IF(H5&gt;$AV$3,$AV$3-$AP$3,H5-$AP$3)))</f>
        <v>0</v>
      </c>
      <c r="AY5" s="1356">
        <f>ROUND(AW5*I5*AX5/365,0)</f>
        <v>0</v>
      </c>
      <c r="AZ5" s="1356">
        <f t="shared" ref="AZ5:AZ13" si="9">+AT5+AY5</f>
        <v>253640</v>
      </c>
      <c r="BA5" s="1357">
        <f>AW5-AZ5</f>
        <v>0</v>
      </c>
    </row>
    <row r="6" spans="1:59" ht="15" customHeight="1" x14ac:dyDescent="0.25">
      <c r="A6" s="1358" t="s">
        <v>1180</v>
      </c>
      <c r="B6" s="777" t="s">
        <v>1183</v>
      </c>
      <c r="C6" s="778">
        <f t="shared" si="0"/>
        <v>0.31666666666666665</v>
      </c>
      <c r="D6" s="779">
        <v>3</v>
      </c>
      <c r="E6" s="779" t="s">
        <v>1182</v>
      </c>
      <c r="F6" s="780">
        <v>43307</v>
      </c>
      <c r="G6" s="780">
        <v>43307</v>
      </c>
      <c r="H6" s="781">
        <f t="shared" si="1"/>
        <v>44402</v>
      </c>
      <c r="I6" s="1359">
        <v>59015</v>
      </c>
      <c r="J6" s="805">
        <f t="shared" si="2"/>
        <v>2950.75</v>
      </c>
      <c r="K6" s="805"/>
      <c r="L6" s="793">
        <v>0</v>
      </c>
      <c r="M6" s="793">
        <f>I6</f>
        <v>59015</v>
      </c>
      <c r="N6" s="793">
        <f>IF(AND(F6&gt;$K$3,F6&lt;$L$3),$L$3-F6+1,IF(H6&lt;=$K$3,0,IF(H6&gt;$L$3,$L$3-$K$3,H6-$K$3)))</f>
        <v>249</v>
      </c>
      <c r="O6" s="793">
        <f>ROUND(M6*C6*N6/365,0)</f>
        <v>12749</v>
      </c>
      <c r="P6" s="793">
        <f>O6</f>
        <v>12749</v>
      </c>
      <c r="Q6" s="793">
        <f>+M6-P6</f>
        <v>46266</v>
      </c>
      <c r="R6" s="793">
        <f>+Q6</f>
        <v>46266</v>
      </c>
      <c r="S6" s="793">
        <f>I6</f>
        <v>59015</v>
      </c>
      <c r="T6" s="793">
        <f>IF(AND(F6&gt;$L$3,F6&lt;$R$3),$R$3-F6+1,IF(H6&lt;=$L$3,0,IF(H6&gt;$R$3,$R$3-$L$3,H6-$L$3)))</f>
        <v>366</v>
      </c>
      <c r="U6" s="793">
        <f>ROUND(S6*C6*T6/366,0)</f>
        <v>18688</v>
      </c>
      <c r="V6" s="793">
        <f>+P6+U6</f>
        <v>31437</v>
      </c>
      <c r="W6" s="793">
        <f>+S6-V6</f>
        <v>27578</v>
      </c>
      <c r="X6" s="805">
        <f>+W6</f>
        <v>27578</v>
      </c>
      <c r="Y6" s="805">
        <f>I6</f>
        <v>59015</v>
      </c>
      <c r="Z6" s="805">
        <f>IF(AND(F6&gt;$R$3,F6&lt;$X$3),$X$3-F6+1,IF(H6&lt;=$R$3,0,IF(H6&gt;$X$3,$X$3-$R$3,H6-$R$3)))</f>
        <v>365</v>
      </c>
      <c r="AA6" s="805">
        <f>ROUND(Y6*C6*Z6/365,0)</f>
        <v>18688</v>
      </c>
      <c r="AB6" s="805">
        <f>+V6+AA6</f>
        <v>50125</v>
      </c>
      <c r="AC6" s="805">
        <f>Y6-AB6</f>
        <v>8890</v>
      </c>
      <c r="AD6" s="793">
        <f>AC6</f>
        <v>8890</v>
      </c>
      <c r="AE6" s="793">
        <f>I6</f>
        <v>59015</v>
      </c>
      <c r="AF6" s="793">
        <f>IF(AND(F6&gt;$X$3,F6&lt;$AD$3),$AD$3-F6+1,IF(H6&lt;=$X$3,0,IF(H6&gt;$AD$3,$AD$3-$X$3,H6-$X$3)))</f>
        <v>116</v>
      </c>
      <c r="AG6" s="793">
        <f>ROUND(AE6*C6*AF6/365,0)</f>
        <v>5939</v>
      </c>
      <c r="AH6" s="805">
        <f>+AB6+AG6</f>
        <v>56064</v>
      </c>
      <c r="AI6" s="805">
        <f>AE6-AH6</f>
        <v>2951</v>
      </c>
      <c r="AJ6" s="793">
        <f>AI6</f>
        <v>2951</v>
      </c>
      <c r="AK6" s="793">
        <f>I6</f>
        <v>59015</v>
      </c>
      <c r="AL6" s="793">
        <f>IF(AND(F6&gt;$AD$3,F6&lt;$AJ$3),$AJ$3-F6+1,IF(H6&lt;=$AD$3,0,IF(H6&gt;$AJ$3,$AJ$3-$AD$3,H6-$AD$3)))</f>
        <v>0</v>
      </c>
      <c r="AM6" s="793">
        <f>ROUND(AK6*C6*AL6/365,0)</f>
        <v>0</v>
      </c>
      <c r="AN6" s="805">
        <f>+AK6-1</f>
        <v>59014</v>
      </c>
      <c r="AO6" s="805">
        <f>AK6-AN6</f>
        <v>1</v>
      </c>
      <c r="AP6" s="793">
        <f>AO6</f>
        <v>1</v>
      </c>
      <c r="AQ6" s="793">
        <f>+I6</f>
        <v>59015</v>
      </c>
      <c r="AR6" s="793">
        <f t="shared" si="3"/>
        <v>0</v>
      </c>
      <c r="AS6" s="793">
        <f t="shared" si="4"/>
        <v>0</v>
      </c>
      <c r="AT6" s="793">
        <f t="shared" si="5"/>
        <v>59014</v>
      </c>
      <c r="AU6" s="805">
        <f>AQ6-AT6</f>
        <v>1</v>
      </c>
      <c r="AV6" s="793">
        <f t="shared" si="6"/>
        <v>1</v>
      </c>
      <c r="AW6" s="793">
        <f t="shared" si="7"/>
        <v>59015</v>
      </c>
      <c r="AX6" s="793">
        <f t="shared" si="8"/>
        <v>0</v>
      </c>
      <c r="AY6" s="793">
        <f>ROUND(AW6*I6*AX6/365,0)</f>
        <v>0</v>
      </c>
      <c r="AZ6" s="793">
        <f t="shared" si="9"/>
        <v>59014</v>
      </c>
      <c r="BA6" s="1360">
        <f>AW6-AZ6</f>
        <v>1</v>
      </c>
    </row>
    <row r="7" spans="1:59" ht="15" customHeight="1" x14ac:dyDescent="0.25">
      <c r="A7" s="1361" t="s">
        <v>1184</v>
      </c>
      <c r="B7" s="1362" t="s">
        <v>1185</v>
      </c>
      <c r="C7" s="778">
        <f t="shared" si="0"/>
        <v>1.5833333333333331E-2</v>
      </c>
      <c r="D7" s="779">
        <v>60</v>
      </c>
      <c r="E7" s="779" t="s">
        <v>982</v>
      </c>
      <c r="F7" s="1363">
        <v>45146</v>
      </c>
      <c r="G7" s="1363">
        <v>45146</v>
      </c>
      <c r="H7" s="781">
        <f t="shared" si="1"/>
        <v>67046</v>
      </c>
      <c r="I7" s="1364">
        <f>130000000+9881065+1300000</f>
        <v>141181065</v>
      </c>
      <c r="J7" s="805">
        <f t="shared" si="2"/>
        <v>7059053.25</v>
      </c>
      <c r="K7" s="805"/>
      <c r="L7" s="793"/>
      <c r="M7" s="793"/>
      <c r="N7" s="793"/>
      <c r="O7" s="793"/>
      <c r="P7" s="793"/>
      <c r="Q7" s="793"/>
      <c r="R7" s="793"/>
      <c r="S7" s="793"/>
      <c r="T7" s="793"/>
      <c r="U7" s="793"/>
      <c r="V7" s="793"/>
      <c r="W7" s="793"/>
      <c r="X7" s="805"/>
      <c r="Y7" s="805"/>
      <c r="Z7" s="805"/>
      <c r="AA7" s="805"/>
      <c r="AB7" s="805"/>
      <c r="AC7" s="805"/>
      <c r="AD7" s="793"/>
      <c r="AE7" s="793"/>
      <c r="AF7" s="793"/>
      <c r="AG7" s="793"/>
      <c r="AH7" s="805"/>
      <c r="AI7" s="805"/>
      <c r="AJ7" s="793"/>
      <c r="AK7" s="793"/>
      <c r="AL7" s="793"/>
      <c r="AM7" s="793"/>
      <c r="AN7" s="805"/>
      <c r="AO7" s="805"/>
      <c r="AP7" s="793">
        <f>AO7</f>
        <v>0</v>
      </c>
      <c r="AQ7" s="793">
        <f>+I7</f>
        <v>141181065</v>
      </c>
      <c r="AR7" s="793">
        <f t="shared" si="3"/>
        <v>237</v>
      </c>
      <c r="AS7" s="793">
        <f t="shared" si="4"/>
        <v>1451457</v>
      </c>
      <c r="AT7" s="793">
        <f t="shared" si="5"/>
        <v>1451457</v>
      </c>
      <c r="AU7" s="805">
        <f>AQ7-AT7</f>
        <v>139729608</v>
      </c>
      <c r="AV7" s="793">
        <f t="shared" si="6"/>
        <v>139729608</v>
      </c>
      <c r="AW7" s="793">
        <f t="shared" si="7"/>
        <v>141181065</v>
      </c>
      <c r="AX7" s="793">
        <f>IF(AND(F7&gt;$AP$3,F7&lt;$AV$3),$AV$3-F7+1,IF(H7&lt;=$AP$3,0,IF(H7&gt;$AV$3,$AV$3-$AP$3,H7-$AP$3)))</f>
        <v>365</v>
      </c>
      <c r="AY7" s="793">
        <f t="shared" ref="AY7:AY13" si="10">ROUND(AW7*C7*AX7/365,0)</f>
        <v>2235367</v>
      </c>
      <c r="AZ7" s="793">
        <f t="shared" si="9"/>
        <v>3686824</v>
      </c>
      <c r="BA7" s="1360">
        <f>AW7-AZ7</f>
        <v>137494241</v>
      </c>
    </row>
    <row r="8" spans="1:59" ht="15" customHeight="1" x14ac:dyDescent="0.25">
      <c r="A8" s="1361" t="s">
        <v>1180</v>
      </c>
      <c r="B8" s="813" t="s">
        <v>1181</v>
      </c>
      <c r="C8" s="778">
        <f t="shared" si="0"/>
        <v>0.31666666666666665</v>
      </c>
      <c r="D8" s="779">
        <v>3</v>
      </c>
      <c r="E8" s="779" t="s">
        <v>982</v>
      </c>
      <c r="F8" s="814">
        <v>45330</v>
      </c>
      <c r="G8" s="814">
        <v>45330</v>
      </c>
      <c r="H8" s="781">
        <f t="shared" si="1"/>
        <v>46425</v>
      </c>
      <c r="I8" s="815">
        <v>250000</v>
      </c>
      <c r="J8" s="805">
        <f t="shared" si="2"/>
        <v>12500</v>
      </c>
      <c r="K8" s="805"/>
      <c r="L8" s="793"/>
      <c r="M8" s="793"/>
      <c r="N8" s="793"/>
      <c r="O8" s="793"/>
      <c r="P8" s="793"/>
      <c r="Q8" s="793"/>
      <c r="R8" s="793"/>
      <c r="S8" s="793"/>
      <c r="T8" s="793"/>
      <c r="U8" s="793"/>
      <c r="V8" s="793"/>
      <c r="W8" s="793"/>
      <c r="X8" s="805"/>
      <c r="Y8" s="805"/>
      <c r="Z8" s="805"/>
      <c r="AA8" s="805"/>
      <c r="AB8" s="805"/>
      <c r="AC8" s="805"/>
      <c r="AD8" s="793"/>
      <c r="AE8" s="793"/>
      <c r="AF8" s="793"/>
      <c r="AG8" s="793"/>
      <c r="AH8" s="805"/>
      <c r="AI8" s="805"/>
      <c r="AJ8" s="793"/>
      <c r="AK8" s="793"/>
      <c r="AL8" s="793"/>
      <c r="AM8" s="793"/>
      <c r="AN8" s="805"/>
      <c r="AO8" s="805"/>
      <c r="AP8" s="793">
        <f>+AO8</f>
        <v>0</v>
      </c>
      <c r="AQ8" s="793">
        <f>I8</f>
        <v>250000</v>
      </c>
      <c r="AR8" s="793">
        <f t="shared" si="3"/>
        <v>53</v>
      </c>
      <c r="AS8" s="793">
        <f t="shared" si="4"/>
        <v>11495</v>
      </c>
      <c r="AT8" s="793">
        <f t="shared" si="5"/>
        <v>11495</v>
      </c>
      <c r="AU8" s="793">
        <f>+AQ8-AT8</f>
        <v>238505</v>
      </c>
      <c r="AV8" s="793">
        <f t="shared" si="6"/>
        <v>238505</v>
      </c>
      <c r="AW8" s="793">
        <f t="shared" si="7"/>
        <v>250000</v>
      </c>
      <c r="AX8" s="793">
        <f t="shared" si="8"/>
        <v>365</v>
      </c>
      <c r="AY8" s="793">
        <f t="shared" si="10"/>
        <v>79167</v>
      </c>
      <c r="AZ8" s="793">
        <f t="shared" si="9"/>
        <v>90662</v>
      </c>
      <c r="BA8" s="1365">
        <f t="shared" ref="BA8:BA13" si="11">+AW8-AZ8</f>
        <v>159338</v>
      </c>
    </row>
    <row r="9" spans="1:59" ht="15" customHeight="1" x14ac:dyDescent="0.25">
      <c r="A9" s="1361" t="s">
        <v>1180</v>
      </c>
      <c r="B9" s="822" t="s">
        <v>949</v>
      </c>
      <c r="C9" s="778">
        <f t="shared" si="0"/>
        <v>0.31666666666666665</v>
      </c>
      <c r="D9" s="779">
        <v>3</v>
      </c>
      <c r="E9" s="779" t="s">
        <v>982</v>
      </c>
      <c r="F9" s="814">
        <v>45334</v>
      </c>
      <c r="G9" s="814">
        <v>45334</v>
      </c>
      <c r="H9" s="781">
        <f t="shared" si="1"/>
        <v>46429</v>
      </c>
      <c r="I9" s="815">
        <v>304770</v>
      </c>
      <c r="J9" s="805">
        <f t="shared" si="2"/>
        <v>15238.5</v>
      </c>
      <c r="K9" s="805"/>
      <c r="L9" s="793"/>
      <c r="M9" s="793"/>
      <c r="N9" s="793"/>
      <c r="O9" s="793"/>
      <c r="P9" s="793"/>
      <c r="Q9" s="793"/>
      <c r="R9" s="793"/>
      <c r="S9" s="793"/>
      <c r="T9" s="793"/>
      <c r="U9" s="793"/>
      <c r="V9" s="793"/>
      <c r="W9" s="793"/>
      <c r="X9" s="805"/>
      <c r="Y9" s="805"/>
      <c r="Z9" s="805"/>
      <c r="AA9" s="805"/>
      <c r="AB9" s="805"/>
      <c r="AC9" s="805"/>
      <c r="AD9" s="793"/>
      <c r="AE9" s="793"/>
      <c r="AF9" s="793"/>
      <c r="AG9" s="793"/>
      <c r="AH9" s="805"/>
      <c r="AI9" s="805"/>
      <c r="AJ9" s="793"/>
      <c r="AK9" s="793"/>
      <c r="AL9" s="793"/>
      <c r="AM9" s="793"/>
      <c r="AN9" s="805"/>
      <c r="AO9" s="805"/>
      <c r="AP9" s="793">
        <f>+AO9</f>
        <v>0</v>
      </c>
      <c r="AQ9" s="793">
        <f>I9</f>
        <v>304770</v>
      </c>
      <c r="AR9" s="793">
        <f t="shared" si="3"/>
        <v>49</v>
      </c>
      <c r="AS9" s="793">
        <f t="shared" si="4"/>
        <v>12956</v>
      </c>
      <c r="AT9" s="793">
        <f t="shared" si="5"/>
        <v>12956</v>
      </c>
      <c r="AU9" s="793">
        <f>+AQ9-AT9</f>
        <v>291814</v>
      </c>
      <c r="AV9" s="793">
        <f t="shared" si="6"/>
        <v>291814</v>
      </c>
      <c r="AW9" s="793">
        <f t="shared" si="7"/>
        <v>304770</v>
      </c>
      <c r="AX9" s="793">
        <f t="shared" si="8"/>
        <v>365</v>
      </c>
      <c r="AY9" s="793">
        <f t="shared" si="10"/>
        <v>96511</v>
      </c>
      <c r="AZ9" s="793">
        <f t="shared" si="9"/>
        <v>109467</v>
      </c>
      <c r="BA9" s="1365">
        <f t="shared" si="11"/>
        <v>195303</v>
      </c>
    </row>
    <row r="10" spans="1:59" ht="15" customHeight="1" x14ac:dyDescent="0.25">
      <c r="A10" s="1361" t="s">
        <v>1180</v>
      </c>
      <c r="B10" s="822" t="s">
        <v>949</v>
      </c>
      <c r="C10" s="778">
        <f t="shared" si="0"/>
        <v>0.31666666666666665</v>
      </c>
      <c r="D10" s="779">
        <v>3</v>
      </c>
      <c r="E10" s="779" t="s">
        <v>982</v>
      </c>
      <c r="F10" s="814">
        <v>45344</v>
      </c>
      <c r="G10" s="814">
        <v>45344</v>
      </c>
      <c r="H10" s="781">
        <f t="shared" si="1"/>
        <v>46439</v>
      </c>
      <c r="I10" s="823">
        <v>24750</v>
      </c>
      <c r="J10" s="805">
        <f t="shared" si="2"/>
        <v>1237.5</v>
      </c>
      <c r="K10" s="805"/>
      <c r="L10" s="793"/>
      <c r="M10" s="793"/>
      <c r="N10" s="793"/>
      <c r="O10" s="793"/>
      <c r="P10" s="793"/>
      <c r="Q10" s="793"/>
      <c r="R10" s="793"/>
      <c r="S10" s="793"/>
      <c r="T10" s="793"/>
      <c r="U10" s="793"/>
      <c r="V10" s="793"/>
      <c r="W10" s="793"/>
      <c r="X10" s="805"/>
      <c r="Y10" s="805"/>
      <c r="Z10" s="805"/>
      <c r="AA10" s="805"/>
      <c r="AB10" s="805"/>
      <c r="AC10" s="805"/>
      <c r="AD10" s="793"/>
      <c r="AE10" s="793"/>
      <c r="AF10" s="793"/>
      <c r="AG10" s="793"/>
      <c r="AH10" s="805"/>
      <c r="AI10" s="805"/>
      <c r="AJ10" s="793"/>
      <c r="AK10" s="793"/>
      <c r="AL10" s="793"/>
      <c r="AM10" s="793"/>
      <c r="AN10" s="805"/>
      <c r="AO10" s="805"/>
      <c r="AP10" s="793">
        <f>+AO10</f>
        <v>0</v>
      </c>
      <c r="AQ10" s="793">
        <f>I10</f>
        <v>24750</v>
      </c>
      <c r="AR10" s="793">
        <f t="shared" si="3"/>
        <v>39</v>
      </c>
      <c r="AS10" s="793">
        <f t="shared" si="4"/>
        <v>837</v>
      </c>
      <c r="AT10" s="793">
        <f t="shared" si="5"/>
        <v>837</v>
      </c>
      <c r="AU10" s="793">
        <f>+AQ10-AT10</f>
        <v>23913</v>
      </c>
      <c r="AV10" s="793">
        <f t="shared" si="6"/>
        <v>23913</v>
      </c>
      <c r="AW10" s="793">
        <f t="shared" si="7"/>
        <v>24750</v>
      </c>
      <c r="AX10" s="793">
        <f t="shared" si="8"/>
        <v>365</v>
      </c>
      <c r="AY10" s="793">
        <f t="shared" si="10"/>
        <v>7838</v>
      </c>
      <c r="AZ10" s="793">
        <f t="shared" si="9"/>
        <v>8675</v>
      </c>
      <c r="BA10" s="1365">
        <f t="shared" si="11"/>
        <v>16075</v>
      </c>
    </row>
    <row r="11" spans="1:59" ht="15" customHeight="1" x14ac:dyDescent="0.25">
      <c r="A11" s="1361" t="s">
        <v>1180</v>
      </c>
      <c r="B11" s="822" t="s">
        <v>949</v>
      </c>
      <c r="C11" s="778">
        <f t="shared" si="0"/>
        <v>0.31666666666666665</v>
      </c>
      <c r="D11" s="779">
        <v>3</v>
      </c>
      <c r="E11" s="779" t="s">
        <v>982</v>
      </c>
      <c r="F11" s="814">
        <v>45366</v>
      </c>
      <c r="G11" s="814">
        <v>45366</v>
      </c>
      <c r="H11" s="781">
        <f t="shared" si="1"/>
        <v>46461</v>
      </c>
      <c r="I11" s="815">
        <v>139877.75</v>
      </c>
      <c r="J11" s="805">
        <f t="shared" si="2"/>
        <v>6993.8875000000007</v>
      </c>
      <c r="K11" s="805"/>
      <c r="L11" s="793"/>
      <c r="M11" s="793"/>
      <c r="N11" s="793"/>
      <c r="O11" s="793"/>
      <c r="P11" s="793"/>
      <c r="Q11" s="793"/>
      <c r="R11" s="793"/>
      <c r="S11" s="793"/>
      <c r="T11" s="793"/>
      <c r="U11" s="793"/>
      <c r="V11" s="793"/>
      <c r="W11" s="793"/>
      <c r="X11" s="805"/>
      <c r="Y11" s="805"/>
      <c r="Z11" s="805"/>
      <c r="AA11" s="805"/>
      <c r="AB11" s="805"/>
      <c r="AC11" s="805"/>
      <c r="AD11" s="793"/>
      <c r="AE11" s="793"/>
      <c r="AF11" s="793"/>
      <c r="AG11" s="793"/>
      <c r="AH11" s="805"/>
      <c r="AI11" s="805"/>
      <c r="AJ11" s="793"/>
      <c r="AK11" s="793"/>
      <c r="AL11" s="793"/>
      <c r="AM11" s="793"/>
      <c r="AN11" s="805"/>
      <c r="AO11" s="805"/>
      <c r="AP11" s="793">
        <f>+AO11</f>
        <v>0</v>
      </c>
      <c r="AQ11" s="793">
        <f>I11</f>
        <v>139877.75</v>
      </c>
      <c r="AR11" s="793">
        <f t="shared" si="3"/>
        <v>17</v>
      </c>
      <c r="AS11" s="793">
        <f t="shared" si="4"/>
        <v>2063</v>
      </c>
      <c r="AT11" s="793">
        <f t="shared" si="5"/>
        <v>2063</v>
      </c>
      <c r="AU11" s="793">
        <f>+AQ11-AT11</f>
        <v>137814.75</v>
      </c>
      <c r="AV11" s="793">
        <f>+AU11</f>
        <v>137814.75</v>
      </c>
      <c r="AW11" s="793">
        <f>+I11</f>
        <v>139877.75</v>
      </c>
      <c r="AX11" s="793">
        <f t="shared" si="8"/>
        <v>365</v>
      </c>
      <c r="AY11" s="793">
        <f t="shared" si="10"/>
        <v>44295</v>
      </c>
      <c r="AZ11" s="793">
        <f t="shared" si="9"/>
        <v>46358</v>
      </c>
      <c r="BA11" s="1365">
        <f t="shared" si="11"/>
        <v>93519.75</v>
      </c>
      <c r="BC11" s="841"/>
    </row>
    <row r="12" spans="1:59" ht="15" customHeight="1" x14ac:dyDescent="0.25">
      <c r="A12" s="1361" t="s">
        <v>1180</v>
      </c>
      <c r="B12" s="822" t="s">
        <v>949</v>
      </c>
      <c r="C12" s="778">
        <f t="shared" si="0"/>
        <v>0.31666666666666665</v>
      </c>
      <c r="D12" s="779">
        <v>3</v>
      </c>
      <c r="E12" s="779" t="s">
        <v>1777</v>
      </c>
      <c r="F12" s="814">
        <v>45499</v>
      </c>
      <c r="G12" s="814">
        <f>+F12</f>
        <v>45499</v>
      </c>
      <c r="H12" s="781">
        <f t="shared" si="1"/>
        <v>46594</v>
      </c>
      <c r="I12" s="815">
        <v>312102</v>
      </c>
      <c r="J12" s="805">
        <f t="shared" si="2"/>
        <v>15605.1</v>
      </c>
      <c r="K12" s="805"/>
      <c r="L12" s="793"/>
      <c r="M12" s="793"/>
      <c r="N12" s="793"/>
      <c r="O12" s="793"/>
      <c r="P12" s="793"/>
      <c r="Q12" s="793"/>
      <c r="R12" s="793"/>
      <c r="S12" s="793"/>
      <c r="T12" s="793"/>
      <c r="U12" s="793"/>
      <c r="V12" s="793"/>
      <c r="W12" s="793"/>
      <c r="X12" s="805"/>
      <c r="Y12" s="805"/>
      <c r="Z12" s="805"/>
      <c r="AA12" s="805"/>
      <c r="AB12" s="805"/>
      <c r="AC12" s="805"/>
      <c r="AD12" s="793"/>
      <c r="AE12" s="793"/>
      <c r="AF12" s="793"/>
      <c r="AG12" s="793"/>
      <c r="AH12" s="805"/>
      <c r="AI12" s="805"/>
      <c r="AJ12" s="793"/>
      <c r="AK12" s="793"/>
      <c r="AL12" s="793"/>
      <c r="AM12" s="793"/>
      <c r="AN12" s="805"/>
      <c r="AO12" s="805"/>
      <c r="AP12" s="793"/>
      <c r="AQ12" s="793">
        <v>0</v>
      </c>
      <c r="AR12" s="793"/>
      <c r="AS12" s="793"/>
      <c r="AT12" s="793"/>
      <c r="AU12" s="793"/>
      <c r="AV12" s="793">
        <f t="shared" si="6"/>
        <v>0</v>
      </c>
      <c r="AW12" s="793">
        <f>+I12</f>
        <v>312102</v>
      </c>
      <c r="AX12" s="793">
        <f t="shared" si="8"/>
        <v>249</v>
      </c>
      <c r="AY12" s="793">
        <f t="shared" si="10"/>
        <v>67423</v>
      </c>
      <c r="AZ12" s="793">
        <f t="shared" si="9"/>
        <v>67423</v>
      </c>
      <c r="BA12" s="1365">
        <f t="shared" si="11"/>
        <v>244679</v>
      </c>
    </row>
    <row r="13" spans="1:59" ht="15" customHeight="1" thickBot="1" x14ac:dyDescent="0.3">
      <c r="A13" s="1366" t="s">
        <v>1180</v>
      </c>
      <c r="B13" s="1367" t="s">
        <v>1181</v>
      </c>
      <c r="C13" s="1368">
        <f t="shared" si="0"/>
        <v>0.31666666666666665</v>
      </c>
      <c r="D13" s="1369">
        <v>3</v>
      </c>
      <c r="E13" s="1369" t="s">
        <v>1777</v>
      </c>
      <c r="F13" s="1370">
        <v>45398</v>
      </c>
      <c r="G13" s="1370">
        <f>+F13</f>
        <v>45398</v>
      </c>
      <c r="H13" s="1371">
        <f t="shared" si="1"/>
        <v>46493</v>
      </c>
      <c r="I13" s="1372">
        <v>19000</v>
      </c>
      <c r="J13" s="1373">
        <f t="shared" si="2"/>
        <v>950</v>
      </c>
      <c r="K13" s="1373"/>
      <c r="L13" s="1374"/>
      <c r="M13" s="1374"/>
      <c r="N13" s="1374"/>
      <c r="O13" s="1374"/>
      <c r="P13" s="1374"/>
      <c r="Q13" s="1374"/>
      <c r="R13" s="1374"/>
      <c r="S13" s="1374"/>
      <c r="T13" s="1374"/>
      <c r="U13" s="1374"/>
      <c r="V13" s="1374"/>
      <c r="W13" s="1374"/>
      <c r="X13" s="1373"/>
      <c r="Y13" s="1373"/>
      <c r="Z13" s="1373"/>
      <c r="AA13" s="1373"/>
      <c r="AB13" s="1373"/>
      <c r="AC13" s="1373"/>
      <c r="AD13" s="1374"/>
      <c r="AE13" s="1374"/>
      <c r="AF13" s="1374"/>
      <c r="AG13" s="1374"/>
      <c r="AH13" s="1373"/>
      <c r="AI13" s="1373"/>
      <c r="AJ13" s="1374"/>
      <c r="AK13" s="1374"/>
      <c r="AL13" s="1374"/>
      <c r="AM13" s="1374"/>
      <c r="AN13" s="1373"/>
      <c r="AO13" s="1373"/>
      <c r="AP13" s="1374"/>
      <c r="AQ13" s="1374">
        <v>0</v>
      </c>
      <c r="AR13" s="1374"/>
      <c r="AS13" s="1374"/>
      <c r="AT13" s="1374"/>
      <c r="AU13" s="1374"/>
      <c r="AV13" s="1374">
        <f t="shared" si="6"/>
        <v>0</v>
      </c>
      <c r="AW13" s="1374">
        <f>+I13</f>
        <v>19000</v>
      </c>
      <c r="AX13" s="1374">
        <f t="shared" si="8"/>
        <v>350</v>
      </c>
      <c r="AY13" s="1374">
        <f t="shared" si="10"/>
        <v>5769</v>
      </c>
      <c r="AZ13" s="1374">
        <f t="shared" si="9"/>
        <v>5769</v>
      </c>
      <c r="BA13" s="1375">
        <f t="shared" si="11"/>
        <v>13231</v>
      </c>
    </row>
    <row r="14" spans="1:59" ht="15.75" customHeight="1" thickBot="1" x14ac:dyDescent="0.3">
      <c r="A14" s="1376" t="s">
        <v>1186</v>
      </c>
      <c r="B14" s="905"/>
      <c r="C14" s="1377"/>
      <c r="D14" s="1378"/>
      <c r="E14" s="1378"/>
      <c r="F14" s="905"/>
      <c r="G14" s="905"/>
      <c r="H14" s="905"/>
      <c r="I14" s="1379">
        <f>SUM(I5:I13)</f>
        <v>142544219.75</v>
      </c>
      <c r="J14" s="1379">
        <f>SUM(J5:J13)</f>
        <v>7127210.9874999998</v>
      </c>
      <c r="K14" s="1380">
        <f>SUM(K5:K6)</f>
        <v>0</v>
      </c>
      <c r="L14" s="1379">
        <f t="shared" ref="L14:AU14" si="12">SUM(L5:L13)</f>
        <v>0</v>
      </c>
      <c r="M14" s="1379">
        <f t="shared" si="12"/>
        <v>312655</v>
      </c>
      <c r="N14" s="1379">
        <f t="shared" si="12"/>
        <v>614</v>
      </c>
      <c r="O14" s="1379">
        <f t="shared" si="12"/>
        <v>93068</v>
      </c>
      <c r="P14" s="1379">
        <f t="shared" si="12"/>
        <v>93068</v>
      </c>
      <c r="Q14" s="1379">
        <f t="shared" si="12"/>
        <v>219587</v>
      </c>
      <c r="R14" s="1379">
        <f t="shared" si="12"/>
        <v>219587</v>
      </c>
      <c r="S14" s="1379">
        <f t="shared" si="12"/>
        <v>312655</v>
      </c>
      <c r="T14" s="1379">
        <f t="shared" si="12"/>
        <v>732</v>
      </c>
      <c r="U14" s="1379">
        <f t="shared" si="12"/>
        <v>99007</v>
      </c>
      <c r="V14" s="1379">
        <f t="shared" si="12"/>
        <v>192075</v>
      </c>
      <c r="W14" s="1379">
        <f t="shared" si="12"/>
        <v>120580</v>
      </c>
      <c r="X14" s="1379">
        <f t="shared" si="12"/>
        <v>120580</v>
      </c>
      <c r="Y14" s="1379">
        <f t="shared" si="12"/>
        <v>312655</v>
      </c>
      <c r="Z14" s="1379">
        <f t="shared" si="12"/>
        <v>730</v>
      </c>
      <c r="AA14" s="1379">
        <f t="shared" si="12"/>
        <v>99007</v>
      </c>
      <c r="AB14" s="1379">
        <f t="shared" si="12"/>
        <v>291082</v>
      </c>
      <c r="AC14" s="1379">
        <f t="shared" si="12"/>
        <v>21573</v>
      </c>
      <c r="AD14" s="1379">
        <f t="shared" si="12"/>
        <v>21573</v>
      </c>
      <c r="AE14" s="1379">
        <f t="shared" si="12"/>
        <v>312655</v>
      </c>
      <c r="AF14" s="1379">
        <f t="shared" si="12"/>
        <v>116</v>
      </c>
      <c r="AG14" s="1379">
        <f t="shared" si="12"/>
        <v>5939</v>
      </c>
      <c r="AH14" s="1379">
        <f t="shared" si="12"/>
        <v>297021</v>
      </c>
      <c r="AI14" s="1379">
        <f t="shared" si="12"/>
        <v>15634</v>
      </c>
      <c r="AJ14" s="1379">
        <f t="shared" si="12"/>
        <v>15634</v>
      </c>
      <c r="AK14" s="1379">
        <f t="shared" si="12"/>
        <v>312655</v>
      </c>
      <c r="AL14" s="1379">
        <f t="shared" si="12"/>
        <v>0</v>
      </c>
      <c r="AM14" s="1379">
        <f t="shared" si="12"/>
        <v>0</v>
      </c>
      <c r="AN14" s="1379">
        <f t="shared" si="12"/>
        <v>312654</v>
      </c>
      <c r="AO14" s="1379">
        <f t="shared" si="12"/>
        <v>1</v>
      </c>
      <c r="AP14" s="1379">
        <f t="shared" si="12"/>
        <v>1</v>
      </c>
      <c r="AQ14" s="1379">
        <f t="shared" si="12"/>
        <v>142213117.75</v>
      </c>
      <c r="AR14" s="1379">
        <f t="shared" si="12"/>
        <v>395</v>
      </c>
      <c r="AS14" s="1379">
        <f t="shared" si="12"/>
        <v>1478808</v>
      </c>
      <c r="AT14" s="1379">
        <f t="shared" si="12"/>
        <v>1791462</v>
      </c>
      <c r="AU14" s="1379">
        <f t="shared" si="12"/>
        <v>140421655.75</v>
      </c>
      <c r="AV14" s="1379">
        <f t="shared" ref="AV14:BA14" si="13">SUM(AV5:AV13)</f>
        <v>140421655.75</v>
      </c>
      <c r="AW14" s="1379">
        <f t="shared" si="13"/>
        <v>142544219.75</v>
      </c>
      <c r="AX14" s="1379">
        <f t="shared" si="13"/>
        <v>2424</v>
      </c>
      <c r="AY14" s="1379">
        <f t="shared" si="13"/>
        <v>2536370</v>
      </c>
      <c r="AZ14" s="1379">
        <f t="shared" si="13"/>
        <v>4327832</v>
      </c>
      <c r="BA14" s="1379">
        <f t="shared" si="13"/>
        <v>138216387.75</v>
      </c>
      <c r="BB14" s="1381">
        <f>+AW12+AW13</f>
        <v>331102</v>
      </c>
      <c r="BC14" s="841">
        <f>+AV14</f>
        <v>140421655.75</v>
      </c>
      <c r="BD14" s="841">
        <f>+AW14</f>
        <v>142544219.75</v>
      </c>
      <c r="BE14" s="1329">
        <f>+AY14</f>
        <v>2536370</v>
      </c>
      <c r="BF14" s="841">
        <f>+AZ14</f>
        <v>4327832</v>
      </c>
      <c r="BG14" s="841">
        <f>+BA14</f>
        <v>138216387.75</v>
      </c>
    </row>
    <row r="15" spans="1:59" ht="15" customHeight="1" x14ac:dyDescent="0.25">
      <c r="C15" s="838"/>
      <c r="D15" s="839"/>
      <c r="E15" s="839"/>
      <c r="I15" s="1382"/>
      <c r="K15" s="1328"/>
      <c r="L15" s="1328"/>
      <c r="M15" s="1328"/>
      <c r="N15" s="1328"/>
      <c r="O15" s="1328"/>
      <c r="P15" s="1328"/>
      <c r="Q15" s="1328"/>
      <c r="R15" s="1328"/>
      <c r="S15" s="1328"/>
      <c r="T15" s="1328"/>
      <c r="U15" s="1328"/>
      <c r="V15" s="1328"/>
      <c r="W15" s="1328"/>
      <c r="X15" s="1328"/>
      <c r="Y15" s="1328"/>
      <c r="Z15" s="1328"/>
      <c r="AA15" s="1328"/>
      <c r="AB15" s="1328"/>
      <c r="AC15" s="1328"/>
      <c r="AD15" s="1328"/>
      <c r="AE15" s="1328"/>
      <c r="AF15" s="1328"/>
      <c r="AG15" s="1328"/>
      <c r="AH15" s="1328"/>
      <c r="AI15" s="1328"/>
      <c r="AJ15" s="1328"/>
      <c r="AQ15" s="1328"/>
      <c r="AR15" s="1328"/>
      <c r="AS15" s="1328"/>
      <c r="AT15" s="1328"/>
      <c r="AU15" s="1328"/>
      <c r="AV15" s="1328"/>
      <c r="AW15" s="1328"/>
      <c r="AX15" s="1328"/>
      <c r="AY15" s="1328"/>
      <c r="AZ15" s="1328"/>
      <c r="BA15" s="1328"/>
    </row>
    <row r="16" spans="1:59" ht="15" customHeight="1" x14ac:dyDescent="0.25">
      <c r="A16" s="842" t="s">
        <v>1187</v>
      </c>
      <c r="B16" s="843" t="s">
        <v>1188</v>
      </c>
      <c r="C16" s="778">
        <f t="shared" ref="C16:C79" si="14">(95/D16)/100</f>
        <v>0.31666666666666665</v>
      </c>
      <c r="D16" s="844">
        <v>3</v>
      </c>
      <c r="E16" s="779" t="s">
        <v>1182</v>
      </c>
      <c r="F16" s="845">
        <v>43191</v>
      </c>
      <c r="G16" s="845">
        <v>43191</v>
      </c>
      <c r="H16" s="781">
        <f t="shared" ref="H16:H79" si="15">G16+(365*D16)</f>
        <v>44286</v>
      </c>
      <c r="I16" s="1359">
        <v>70000</v>
      </c>
      <c r="J16" s="805">
        <f t="shared" ref="J16:J79" si="16">I16*5%</f>
        <v>3500</v>
      </c>
      <c r="K16" s="805"/>
      <c r="L16" s="793"/>
      <c r="M16" s="793">
        <f t="shared" ref="M16:M75" si="17">I16</f>
        <v>70000</v>
      </c>
      <c r="N16" s="793">
        <f t="shared" ref="N16:N75" si="18">IF(AND(F16&gt;$K$3,F16&lt;$L$3),$L$3-F16+1,IF(H16&lt;=$K$3,0,IF(H16&gt;$L$3,$L$3-$K$3,H16-$K$3)))</f>
        <v>365</v>
      </c>
      <c r="O16" s="793">
        <f t="shared" ref="O16:O75" si="19">ROUND(M16*C16*N16/365,0)</f>
        <v>22167</v>
      </c>
      <c r="P16" s="793">
        <f t="shared" ref="P16:P75" si="20">O16</f>
        <v>22167</v>
      </c>
      <c r="Q16" s="793">
        <f t="shared" ref="Q16:Q75" si="21">+M16-P16</f>
        <v>47833</v>
      </c>
      <c r="R16" s="793">
        <f t="shared" ref="R16:R76" si="22">+Q16</f>
        <v>47833</v>
      </c>
      <c r="S16" s="793">
        <f t="shared" ref="S16:S76" si="23">I16</f>
        <v>70000</v>
      </c>
      <c r="T16" s="793">
        <f t="shared" ref="T16:T76" si="24">IF(AND(F16&gt;$L$3,F16&lt;$R$3),$R$3-F16+1,IF(H16&lt;=$L$3,0,IF(H16&gt;$R$3,$R$3-$L$3,H16-$L$3)))</f>
        <v>366</v>
      </c>
      <c r="U16" s="793">
        <f t="shared" ref="U16:U76" si="25">ROUND(S16*C16*T16/366,0)</f>
        <v>22167</v>
      </c>
      <c r="V16" s="793">
        <f t="shared" ref="V16:V76" si="26">+P16+U16</f>
        <v>44334</v>
      </c>
      <c r="W16" s="793">
        <f t="shared" ref="W16:W76" si="27">+S16-V16</f>
        <v>25666</v>
      </c>
      <c r="X16" s="793">
        <f t="shared" ref="X16:X79" si="28">W16</f>
        <v>25666</v>
      </c>
      <c r="Y16" s="805">
        <f t="shared" ref="Y16:Y79" si="29">I16</f>
        <v>70000</v>
      </c>
      <c r="Z16" s="805">
        <f t="shared" ref="Z16:Z79" si="30">IF(AND(F16&gt;$R$3,F16&lt;$X$3),$X$3-F16+1,IF(H16&lt;=$R$3,0,IF(H16&gt;$X$3,$X$3-$R$3,H16-$R$3)))</f>
        <v>365</v>
      </c>
      <c r="AA16" s="805">
        <f>ROUND(Y16*C16*Z16/365,0)</f>
        <v>22167</v>
      </c>
      <c r="AB16" s="805">
        <f>+V16+AA16</f>
        <v>66501</v>
      </c>
      <c r="AC16" s="805">
        <f>Y16-AB16</f>
        <v>3499</v>
      </c>
      <c r="AD16" s="793">
        <f t="shared" ref="AD16:AD79" si="31">AC16</f>
        <v>3499</v>
      </c>
      <c r="AE16" s="793">
        <f t="shared" ref="AE16:AE79" si="32">I16</f>
        <v>70000</v>
      </c>
      <c r="AF16" s="793">
        <f t="shared" ref="AF16:AF79" si="33">IF(AND(F16&gt;$X$3,F16&lt;$AD$3),$AD$3-F16+1,IF(H16&lt;=$X$3,0,IF(H16&gt;$AD$3,$AD$3-$X$3,H16-$X$3)))</f>
        <v>0</v>
      </c>
      <c r="AG16" s="793">
        <f t="shared" ref="AG16:AG79" si="34">ROUND(AE16*C16*AF16/365,0)</f>
        <v>0</v>
      </c>
      <c r="AH16" s="805">
        <f t="shared" ref="AH16:AH79" si="35">+AB16+AG16</f>
        <v>66501</v>
      </c>
      <c r="AI16" s="805">
        <f t="shared" ref="AI16:AI79" si="36">AE16-AH16</f>
        <v>3499</v>
      </c>
      <c r="AJ16" s="793">
        <f>AI16</f>
        <v>3499</v>
      </c>
      <c r="AK16" s="793">
        <f t="shared" ref="AK16:AK79" si="37">I16</f>
        <v>70000</v>
      </c>
      <c r="AL16" s="793">
        <f t="shared" ref="AL16:AL79" si="38">IF(AND(F16&gt;$AD$3,F16&lt;$AJ$3),$AJ$3-F16+1,IF(H16&lt;=$AD$3,0,IF(H16&gt;$AJ$3,$AJ$3-$AD$3,H16-$AD$3)))</f>
        <v>0</v>
      </c>
      <c r="AM16" s="793">
        <f t="shared" ref="AM16:AM79" si="39">ROUND(AK16*C16*AL16/365,0)</f>
        <v>0</v>
      </c>
      <c r="AN16" s="805">
        <f t="shared" ref="AN16:AN79" si="40">+AH16+AM16</f>
        <v>66501</v>
      </c>
      <c r="AO16" s="805">
        <f t="shared" ref="AO16:AO79" si="41">AK16-AN16</f>
        <v>3499</v>
      </c>
      <c r="AP16" s="793">
        <f t="shared" ref="AP16:AP79" si="42">+AO16</f>
        <v>3499</v>
      </c>
      <c r="AQ16" s="793">
        <f t="shared" ref="AQ16:AQ79" si="43">I16</f>
        <v>70000</v>
      </c>
      <c r="AR16" s="793">
        <f t="shared" ref="AR16:AR79" si="44">IF(AND(F16&gt;$AJ$3,F16&lt;$AP$3),$AP$3-F16+1,IF(H16&lt;=$AJ$3,0,IF(H16&gt;$AP$3,$AP$3-$AJ$3,H16-$AJ$3)))</f>
        <v>0</v>
      </c>
      <c r="AS16" s="793">
        <f t="shared" ref="AS16:AS79" si="45">ROUND(AQ16*C16*AR16/365,0)</f>
        <v>0</v>
      </c>
      <c r="AT16" s="793">
        <f t="shared" ref="AT16:AT79" si="46">+AN16+AS16</f>
        <v>66501</v>
      </c>
      <c r="AU16" s="793">
        <f t="shared" ref="AU16:AU79" si="47">+AQ16-AT16</f>
        <v>3499</v>
      </c>
      <c r="AV16" s="793">
        <f t="shared" ref="AV16:AV79" si="48">+AU16</f>
        <v>3499</v>
      </c>
      <c r="AW16" s="793">
        <f t="shared" ref="AW16:AW79" si="49">+I16</f>
        <v>70000</v>
      </c>
      <c r="AX16" s="793">
        <f t="shared" ref="AX16:AX79" si="50">IF(AND(F16&gt;$AP$3,F16&lt;$AV$3),$AV$3-F16+1,IF(H16&lt;=$AP$3,0,IF(H16&gt;$AV$3,$AV$3-$AP$3,H16-$AP$3)))</f>
        <v>0</v>
      </c>
      <c r="AY16" s="793">
        <f t="shared" ref="AY16:AY79" si="51">ROUND(AW16*C16*AX16/365,0)</f>
        <v>0</v>
      </c>
      <c r="AZ16" s="793">
        <f t="shared" ref="AZ16:AZ79" si="52">+AT16+AY16</f>
        <v>66501</v>
      </c>
      <c r="BA16" s="793">
        <f>+AW16-AZ16</f>
        <v>3499</v>
      </c>
    </row>
    <row r="17" spans="1:53" ht="15" customHeight="1" x14ac:dyDescent="0.25">
      <c r="A17" s="842" t="s">
        <v>1187</v>
      </c>
      <c r="B17" s="843" t="s">
        <v>1189</v>
      </c>
      <c r="C17" s="778">
        <f t="shared" si="14"/>
        <v>0.31666666666666665</v>
      </c>
      <c r="D17" s="844">
        <v>3</v>
      </c>
      <c r="E17" s="779" t="s">
        <v>1182</v>
      </c>
      <c r="F17" s="845">
        <v>43191</v>
      </c>
      <c r="G17" s="845">
        <v>43191</v>
      </c>
      <c r="H17" s="781">
        <f t="shared" si="15"/>
        <v>44286</v>
      </c>
      <c r="I17" s="1359">
        <v>37500</v>
      </c>
      <c r="J17" s="805">
        <f t="shared" si="16"/>
        <v>1875</v>
      </c>
      <c r="K17" s="805"/>
      <c r="L17" s="793"/>
      <c r="M17" s="793">
        <f t="shared" si="17"/>
        <v>37500</v>
      </c>
      <c r="N17" s="793">
        <f t="shared" si="18"/>
        <v>365</v>
      </c>
      <c r="O17" s="793">
        <f t="shared" si="19"/>
        <v>11875</v>
      </c>
      <c r="P17" s="793">
        <f t="shared" si="20"/>
        <v>11875</v>
      </c>
      <c r="Q17" s="793">
        <f t="shared" si="21"/>
        <v>25625</v>
      </c>
      <c r="R17" s="793">
        <f t="shared" si="22"/>
        <v>25625</v>
      </c>
      <c r="S17" s="793">
        <f t="shared" si="23"/>
        <v>37500</v>
      </c>
      <c r="T17" s="793">
        <f t="shared" si="24"/>
        <v>366</v>
      </c>
      <c r="U17" s="793">
        <f t="shared" si="25"/>
        <v>11875</v>
      </c>
      <c r="V17" s="793">
        <f t="shared" si="26"/>
        <v>23750</v>
      </c>
      <c r="W17" s="793">
        <f t="shared" si="27"/>
        <v>13750</v>
      </c>
      <c r="X17" s="793">
        <f t="shared" si="28"/>
        <v>13750</v>
      </c>
      <c r="Y17" s="805">
        <f t="shared" si="29"/>
        <v>37500</v>
      </c>
      <c r="Z17" s="805">
        <f t="shared" si="30"/>
        <v>365</v>
      </c>
      <c r="AA17" s="805">
        <f t="shared" ref="AA17:AA80" si="53">ROUND(Y17*C17*Z17/365,0)</f>
        <v>11875</v>
      </c>
      <c r="AB17" s="805">
        <f>+V17+AA17</f>
        <v>35625</v>
      </c>
      <c r="AC17" s="805">
        <f t="shared" ref="AC17:AC80" si="54">Y17-AB17</f>
        <v>1875</v>
      </c>
      <c r="AD17" s="793">
        <f t="shared" si="31"/>
        <v>1875</v>
      </c>
      <c r="AE17" s="793">
        <f t="shared" si="32"/>
        <v>37500</v>
      </c>
      <c r="AF17" s="793">
        <f t="shared" si="33"/>
        <v>0</v>
      </c>
      <c r="AG17" s="793">
        <f t="shared" si="34"/>
        <v>0</v>
      </c>
      <c r="AH17" s="805">
        <f t="shared" si="35"/>
        <v>35625</v>
      </c>
      <c r="AI17" s="805">
        <f t="shared" si="36"/>
        <v>1875</v>
      </c>
      <c r="AJ17" s="793">
        <f t="shared" ref="AJ17:AJ80" si="55">AI17</f>
        <v>1875</v>
      </c>
      <c r="AK17" s="793">
        <f t="shared" si="37"/>
        <v>37500</v>
      </c>
      <c r="AL17" s="793">
        <f t="shared" si="38"/>
        <v>0</v>
      </c>
      <c r="AM17" s="793">
        <f t="shared" si="39"/>
        <v>0</v>
      </c>
      <c r="AN17" s="805">
        <f t="shared" si="40"/>
        <v>35625</v>
      </c>
      <c r="AO17" s="805">
        <f t="shared" si="41"/>
        <v>1875</v>
      </c>
      <c r="AP17" s="793">
        <f t="shared" si="42"/>
        <v>1875</v>
      </c>
      <c r="AQ17" s="793">
        <f t="shared" si="43"/>
        <v>37500</v>
      </c>
      <c r="AR17" s="793">
        <f t="shared" si="44"/>
        <v>0</v>
      </c>
      <c r="AS17" s="793">
        <f t="shared" si="45"/>
        <v>0</v>
      </c>
      <c r="AT17" s="793">
        <f t="shared" si="46"/>
        <v>35625</v>
      </c>
      <c r="AU17" s="793">
        <f t="shared" si="47"/>
        <v>1875</v>
      </c>
      <c r="AV17" s="793">
        <f t="shared" si="48"/>
        <v>1875</v>
      </c>
      <c r="AW17" s="793">
        <f t="shared" si="49"/>
        <v>37500</v>
      </c>
      <c r="AX17" s="793">
        <f t="shared" si="50"/>
        <v>0</v>
      </c>
      <c r="AY17" s="793">
        <f t="shared" si="51"/>
        <v>0</v>
      </c>
      <c r="AZ17" s="793">
        <f t="shared" si="52"/>
        <v>35625</v>
      </c>
      <c r="BA17" s="793">
        <f t="shared" ref="BA17:BA80" si="56">+AW17-AZ17</f>
        <v>1875</v>
      </c>
    </row>
    <row r="18" spans="1:53" ht="15" customHeight="1" x14ac:dyDescent="0.25">
      <c r="A18" s="842" t="s">
        <v>1187</v>
      </c>
      <c r="B18" s="843" t="s">
        <v>1189</v>
      </c>
      <c r="C18" s="778">
        <f t="shared" si="14"/>
        <v>0.31666666666666665</v>
      </c>
      <c r="D18" s="844">
        <v>3</v>
      </c>
      <c r="E18" s="779" t="s">
        <v>1182</v>
      </c>
      <c r="F18" s="845">
        <v>43191</v>
      </c>
      <c r="G18" s="845">
        <v>43191</v>
      </c>
      <c r="H18" s="781">
        <f t="shared" si="15"/>
        <v>44286</v>
      </c>
      <c r="I18" s="1359">
        <v>15163</v>
      </c>
      <c r="J18" s="805">
        <f t="shared" si="16"/>
        <v>758.15000000000009</v>
      </c>
      <c r="K18" s="805"/>
      <c r="L18" s="793"/>
      <c r="M18" s="793">
        <f t="shared" si="17"/>
        <v>15163</v>
      </c>
      <c r="N18" s="793">
        <f t="shared" si="18"/>
        <v>365</v>
      </c>
      <c r="O18" s="793">
        <f t="shared" si="19"/>
        <v>4802</v>
      </c>
      <c r="P18" s="793">
        <f t="shared" si="20"/>
        <v>4802</v>
      </c>
      <c r="Q18" s="793">
        <f t="shared" si="21"/>
        <v>10361</v>
      </c>
      <c r="R18" s="793">
        <f t="shared" si="22"/>
        <v>10361</v>
      </c>
      <c r="S18" s="793">
        <f t="shared" si="23"/>
        <v>15163</v>
      </c>
      <c r="T18" s="793">
        <f t="shared" si="24"/>
        <v>366</v>
      </c>
      <c r="U18" s="793">
        <f t="shared" si="25"/>
        <v>4802</v>
      </c>
      <c r="V18" s="793">
        <f t="shared" si="26"/>
        <v>9604</v>
      </c>
      <c r="W18" s="793">
        <f t="shared" si="27"/>
        <v>5559</v>
      </c>
      <c r="X18" s="793">
        <f t="shared" si="28"/>
        <v>5559</v>
      </c>
      <c r="Y18" s="805">
        <f t="shared" si="29"/>
        <v>15163</v>
      </c>
      <c r="Z18" s="805">
        <f t="shared" si="30"/>
        <v>365</v>
      </c>
      <c r="AA18" s="805">
        <f t="shared" si="53"/>
        <v>4802</v>
      </c>
      <c r="AB18" s="805">
        <f t="shared" ref="AB18:AB81" si="57">+V18+AA18</f>
        <v>14406</v>
      </c>
      <c r="AC18" s="805">
        <f t="shared" si="54"/>
        <v>757</v>
      </c>
      <c r="AD18" s="793">
        <f t="shared" si="31"/>
        <v>757</v>
      </c>
      <c r="AE18" s="793">
        <f t="shared" si="32"/>
        <v>15163</v>
      </c>
      <c r="AF18" s="793">
        <f t="shared" si="33"/>
        <v>0</v>
      </c>
      <c r="AG18" s="793">
        <f t="shared" si="34"/>
        <v>0</v>
      </c>
      <c r="AH18" s="805">
        <f t="shared" si="35"/>
        <v>14406</v>
      </c>
      <c r="AI18" s="805">
        <f t="shared" si="36"/>
        <v>757</v>
      </c>
      <c r="AJ18" s="793">
        <f t="shared" si="55"/>
        <v>757</v>
      </c>
      <c r="AK18" s="793">
        <f t="shared" si="37"/>
        <v>15163</v>
      </c>
      <c r="AL18" s="793">
        <f t="shared" si="38"/>
        <v>0</v>
      </c>
      <c r="AM18" s="793">
        <f t="shared" si="39"/>
        <v>0</v>
      </c>
      <c r="AN18" s="805">
        <f t="shared" si="40"/>
        <v>14406</v>
      </c>
      <c r="AO18" s="805">
        <f t="shared" si="41"/>
        <v>757</v>
      </c>
      <c r="AP18" s="793">
        <f t="shared" si="42"/>
        <v>757</v>
      </c>
      <c r="AQ18" s="793">
        <f t="shared" si="43"/>
        <v>15163</v>
      </c>
      <c r="AR18" s="793">
        <f t="shared" si="44"/>
        <v>0</v>
      </c>
      <c r="AS18" s="793">
        <f t="shared" si="45"/>
        <v>0</v>
      </c>
      <c r="AT18" s="793">
        <f t="shared" si="46"/>
        <v>14406</v>
      </c>
      <c r="AU18" s="793">
        <f t="shared" si="47"/>
        <v>757</v>
      </c>
      <c r="AV18" s="793">
        <f t="shared" si="48"/>
        <v>757</v>
      </c>
      <c r="AW18" s="793">
        <f t="shared" si="49"/>
        <v>15163</v>
      </c>
      <c r="AX18" s="793">
        <f t="shared" si="50"/>
        <v>0</v>
      </c>
      <c r="AY18" s="793">
        <f t="shared" si="51"/>
        <v>0</v>
      </c>
      <c r="AZ18" s="793">
        <f t="shared" si="52"/>
        <v>14406</v>
      </c>
      <c r="BA18" s="793">
        <f t="shared" si="56"/>
        <v>757</v>
      </c>
    </row>
    <row r="19" spans="1:53" ht="15" customHeight="1" x14ac:dyDescent="0.25">
      <c r="A19" s="842" t="s">
        <v>1187</v>
      </c>
      <c r="B19" s="843" t="s">
        <v>1189</v>
      </c>
      <c r="C19" s="778">
        <f t="shared" si="14"/>
        <v>0.31666666666666665</v>
      </c>
      <c r="D19" s="844">
        <v>3</v>
      </c>
      <c r="E19" s="779" t="s">
        <v>1182</v>
      </c>
      <c r="F19" s="845">
        <v>43191</v>
      </c>
      <c r="G19" s="845">
        <v>43191</v>
      </c>
      <c r="H19" s="781">
        <f t="shared" si="15"/>
        <v>44286</v>
      </c>
      <c r="I19" s="1359">
        <v>18460</v>
      </c>
      <c r="J19" s="805">
        <f t="shared" si="16"/>
        <v>923</v>
      </c>
      <c r="K19" s="805"/>
      <c r="L19" s="793"/>
      <c r="M19" s="793">
        <f t="shared" si="17"/>
        <v>18460</v>
      </c>
      <c r="N19" s="793">
        <f t="shared" si="18"/>
        <v>365</v>
      </c>
      <c r="O19" s="793">
        <f t="shared" si="19"/>
        <v>5846</v>
      </c>
      <c r="P19" s="793">
        <f t="shared" si="20"/>
        <v>5846</v>
      </c>
      <c r="Q19" s="793">
        <f t="shared" si="21"/>
        <v>12614</v>
      </c>
      <c r="R19" s="793">
        <f t="shared" si="22"/>
        <v>12614</v>
      </c>
      <c r="S19" s="793">
        <f t="shared" si="23"/>
        <v>18460</v>
      </c>
      <c r="T19" s="793">
        <f t="shared" si="24"/>
        <v>366</v>
      </c>
      <c r="U19" s="793">
        <f t="shared" si="25"/>
        <v>5846</v>
      </c>
      <c r="V19" s="793">
        <f t="shared" si="26"/>
        <v>11692</v>
      </c>
      <c r="W19" s="793">
        <f t="shared" si="27"/>
        <v>6768</v>
      </c>
      <c r="X19" s="793">
        <f t="shared" si="28"/>
        <v>6768</v>
      </c>
      <c r="Y19" s="805">
        <f t="shared" si="29"/>
        <v>18460</v>
      </c>
      <c r="Z19" s="805">
        <f t="shared" si="30"/>
        <v>365</v>
      </c>
      <c r="AA19" s="805">
        <f t="shared" si="53"/>
        <v>5846</v>
      </c>
      <c r="AB19" s="805">
        <f t="shared" si="57"/>
        <v>17538</v>
      </c>
      <c r="AC19" s="805">
        <f t="shared" si="54"/>
        <v>922</v>
      </c>
      <c r="AD19" s="793">
        <f t="shared" si="31"/>
        <v>922</v>
      </c>
      <c r="AE19" s="793">
        <f t="shared" si="32"/>
        <v>18460</v>
      </c>
      <c r="AF19" s="793">
        <f t="shared" si="33"/>
        <v>0</v>
      </c>
      <c r="AG19" s="793">
        <f t="shared" si="34"/>
        <v>0</v>
      </c>
      <c r="AH19" s="805">
        <f t="shared" si="35"/>
        <v>17538</v>
      </c>
      <c r="AI19" s="805">
        <f t="shared" si="36"/>
        <v>922</v>
      </c>
      <c r="AJ19" s="793">
        <f t="shared" si="55"/>
        <v>922</v>
      </c>
      <c r="AK19" s="793">
        <f t="shared" si="37"/>
        <v>18460</v>
      </c>
      <c r="AL19" s="793">
        <f t="shared" si="38"/>
        <v>0</v>
      </c>
      <c r="AM19" s="793">
        <f t="shared" si="39"/>
        <v>0</v>
      </c>
      <c r="AN19" s="805">
        <f t="shared" si="40"/>
        <v>17538</v>
      </c>
      <c r="AO19" s="805">
        <f t="shared" si="41"/>
        <v>922</v>
      </c>
      <c r="AP19" s="793">
        <f t="shared" si="42"/>
        <v>922</v>
      </c>
      <c r="AQ19" s="793">
        <f t="shared" si="43"/>
        <v>18460</v>
      </c>
      <c r="AR19" s="793">
        <f t="shared" si="44"/>
        <v>0</v>
      </c>
      <c r="AS19" s="793">
        <f t="shared" si="45"/>
        <v>0</v>
      </c>
      <c r="AT19" s="793">
        <f t="shared" si="46"/>
        <v>17538</v>
      </c>
      <c r="AU19" s="793">
        <f t="shared" si="47"/>
        <v>922</v>
      </c>
      <c r="AV19" s="793">
        <f t="shared" si="48"/>
        <v>922</v>
      </c>
      <c r="AW19" s="793">
        <f t="shared" si="49"/>
        <v>18460</v>
      </c>
      <c r="AX19" s="793">
        <f t="shared" si="50"/>
        <v>0</v>
      </c>
      <c r="AY19" s="793">
        <f t="shared" si="51"/>
        <v>0</v>
      </c>
      <c r="AZ19" s="793">
        <f t="shared" si="52"/>
        <v>17538</v>
      </c>
      <c r="BA19" s="793">
        <f t="shared" si="56"/>
        <v>922</v>
      </c>
    </row>
    <row r="20" spans="1:53" ht="15" customHeight="1" x14ac:dyDescent="0.25">
      <c r="A20" s="842" t="s">
        <v>1187</v>
      </c>
      <c r="B20" s="843" t="s">
        <v>1189</v>
      </c>
      <c r="C20" s="778">
        <f t="shared" si="14"/>
        <v>0.31666666666666665</v>
      </c>
      <c r="D20" s="844">
        <v>3</v>
      </c>
      <c r="E20" s="779" t="s">
        <v>1182</v>
      </c>
      <c r="F20" s="845">
        <v>43191</v>
      </c>
      <c r="G20" s="845">
        <v>43191</v>
      </c>
      <c r="H20" s="781">
        <f t="shared" si="15"/>
        <v>44286</v>
      </c>
      <c r="I20" s="1359">
        <v>57000</v>
      </c>
      <c r="J20" s="805">
        <f t="shared" si="16"/>
        <v>2850</v>
      </c>
      <c r="K20" s="805"/>
      <c r="L20" s="793"/>
      <c r="M20" s="793">
        <f t="shared" si="17"/>
        <v>57000</v>
      </c>
      <c r="N20" s="793">
        <f t="shared" si="18"/>
        <v>365</v>
      </c>
      <c r="O20" s="793">
        <f t="shared" si="19"/>
        <v>18050</v>
      </c>
      <c r="P20" s="793">
        <f t="shared" si="20"/>
        <v>18050</v>
      </c>
      <c r="Q20" s="793">
        <f t="shared" si="21"/>
        <v>38950</v>
      </c>
      <c r="R20" s="793">
        <f t="shared" si="22"/>
        <v>38950</v>
      </c>
      <c r="S20" s="793">
        <f t="shared" si="23"/>
        <v>57000</v>
      </c>
      <c r="T20" s="793">
        <f t="shared" si="24"/>
        <v>366</v>
      </c>
      <c r="U20" s="793">
        <f t="shared" si="25"/>
        <v>18050</v>
      </c>
      <c r="V20" s="793">
        <f t="shared" si="26"/>
        <v>36100</v>
      </c>
      <c r="W20" s="793">
        <f t="shared" si="27"/>
        <v>20900</v>
      </c>
      <c r="X20" s="793">
        <f t="shared" si="28"/>
        <v>20900</v>
      </c>
      <c r="Y20" s="805">
        <f t="shared" si="29"/>
        <v>57000</v>
      </c>
      <c r="Z20" s="805">
        <f t="shared" si="30"/>
        <v>365</v>
      </c>
      <c r="AA20" s="805">
        <f t="shared" si="53"/>
        <v>18050</v>
      </c>
      <c r="AB20" s="805">
        <f t="shared" si="57"/>
        <v>54150</v>
      </c>
      <c r="AC20" s="805">
        <f t="shared" si="54"/>
        <v>2850</v>
      </c>
      <c r="AD20" s="793">
        <f t="shared" si="31"/>
        <v>2850</v>
      </c>
      <c r="AE20" s="793">
        <f t="shared" si="32"/>
        <v>57000</v>
      </c>
      <c r="AF20" s="793">
        <f t="shared" si="33"/>
        <v>0</v>
      </c>
      <c r="AG20" s="793">
        <f t="shared" si="34"/>
        <v>0</v>
      </c>
      <c r="AH20" s="805">
        <f t="shared" si="35"/>
        <v>54150</v>
      </c>
      <c r="AI20" s="805">
        <f t="shared" si="36"/>
        <v>2850</v>
      </c>
      <c r="AJ20" s="793">
        <f t="shared" si="55"/>
        <v>2850</v>
      </c>
      <c r="AK20" s="793">
        <f t="shared" si="37"/>
        <v>57000</v>
      </c>
      <c r="AL20" s="793">
        <f t="shared" si="38"/>
        <v>0</v>
      </c>
      <c r="AM20" s="793">
        <f t="shared" si="39"/>
        <v>0</v>
      </c>
      <c r="AN20" s="805">
        <f t="shared" si="40"/>
        <v>54150</v>
      </c>
      <c r="AO20" s="805">
        <f t="shared" si="41"/>
        <v>2850</v>
      </c>
      <c r="AP20" s="793">
        <f t="shared" si="42"/>
        <v>2850</v>
      </c>
      <c r="AQ20" s="793">
        <f t="shared" si="43"/>
        <v>57000</v>
      </c>
      <c r="AR20" s="793">
        <f t="shared" si="44"/>
        <v>0</v>
      </c>
      <c r="AS20" s="793">
        <f t="shared" si="45"/>
        <v>0</v>
      </c>
      <c r="AT20" s="793">
        <f t="shared" si="46"/>
        <v>54150</v>
      </c>
      <c r="AU20" s="793">
        <f t="shared" si="47"/>
        <v>2850</v>
      </c>
      <c r="AV20" s="793">
        <f t="shared" si="48"/>
        <v>2850</v>
      </c>
      <c r="AW20" s="793">
        <f t="shared" si="49"/>
        <v>57000</v>
      </c>
      <c r="AX20" s="793">
        <f t="shared" si="50"/>
        <v>0</v>
      </c>
      <c r="AY20" s="793">
        <f t="shared" si="51"/>
        <v>0</v>
      </c>
      <c r="AZ20" s="793">
        <f t="shared" si="52"/>
        <v>54150</v>
      </c>
      <c r="BA20" s="793">
        <f t="shared" si="56"/>
        <v>2850</v>
      </c>
    </row>
    <row r="21" spans="1:53" ht="15" customHeight="1" x14ac:dyDescent="0.25">
      <c r="A21" s="842" t="s">
        <v>1187</v>
      </c>
      <c r="B21" s="843" t="s">
        <v>1189</v>
      </c>
      <c r="C21" s="778">
        <f t="shared" si="14"/>
        <v>0.31666666666666665</v>
      </c>
      <c r="D21" s="844">
        <v>3</v>
      </c>
      <c r="E21" s="779" t="s">
        <v>1182</v>
      </c>
      <c r="F21" s="845">
        <v>43191</v>
      </c>
      <c r="G21" s="845">
        <v>43191</v>
      </c>
      <c r="H21" s="781">
        <f t="shared" si="15"/>
        <v>44286</v>
      </c>
      <c r="I21" s="1359">
        <v>95000</v>
      </c>
      <c r="J21" s="805">
        <f t="shared" si="16"/>
        <v>4750</v>
      </c>
      <c r="K21" s="805"/>
      <c r="L21" s="793"/>
      <c r="M21" s="793">
        <f t="shared" si="17"/>
        <v>95000</v>
      </c>
      <c r="N21" s="793">
        <f t="shared" si="18"/>
        <v>365</v>
      </c>
      <c r="O21" s="793">
        <f t="shared" si="19"/>
        <v>30083</v>
      </c>
      <c r="P21" s="793">
        <f t="shared" si="20"/>
        <v>30083</v>
      </c>
      <c r="Q21" s="793">
        <f t="shared" si="21"/>
        <v>64917</v>
      </c>
      <c r="R21" s="793">
        <f t="shared" si="22"/>
        <v>64917</v>
      </c>
      <c r="S21" s="793">
        <f t="shared" si="23"/>
        <v>95000</v>
      </c>
      <c r="T21" s="793">
        <f t="shared" si="24"/>
        <v>366</v>
      </c>
      <c r="U21" s="793">
        <f t="shared" si="25"/>
        <v>30083</v>
      </c>
      <c r="V21" s="793">
        <f t="shared" si="26"/>
        <v>60166</v>
      </c>
      <c r="W21" s="793">
        <f t="shared" si="27"/>
        <v>34834</v>
      </c>
      <c r="X21" s="793">
        <f t="shared" si="28"/>
        <v>34834</v>
      </c>
      <c r="Y21" s="805">
        <f t="shared" si="29"/>
        <v>95000</v>
      </c>
      <c r="Z21" s="805">
        <f t="shared" si="30"/>
        <v>365</v>
      </c>
      <c r="AA21" s="805">
        <f t="shared" si="53"/>
        <v>30083</v>
      </c>
      <c r="AB21" s="805">
        <f t="shared" si="57"/>
        <v>90249</v>
      </c>
      <c r="AC21" s="805">
        <f t="shared" si="54"/>
        <v>4751</v>
      </c>
      <c r="AD21" s="793">
        <f t="shared" si="31"/>
        <v>4751</v>
      </c>
      <c r="AE21" s="793">
        <f t="shared" si="32"/>
        <v>95000</v>
      </c>
      <c r="AF21" s="793">
        <f t="shared" si="33"/>
        <v>0</v>
      </c>
      <c r="AG21" s="793">
        <f t="shared" si="34"/>
        <v>0</v>
      </c>
      <c r="AH21" s="805">
        <f t="shared" si="35"/>
        <v>90249</v>
      </c>
      <c r="AI21" s="805">
        <f t="shared" si="36"/>
        <v>4751</v>
      </c>
      <c r="AJ21" s="793">
        <f t="shared" si="55"/>
        <v>4751</v>
      </c>
      <c r="AK21" s="793">
        <f t="shared" si="37"/>
        <v>95000</v>
      </c>
      <c r="AL21" s="793">
        <f t="shared" si="38"/>
        <v>0</v>
      </c>
      <c r="AM21" s="793">
        <f t="shared" si="39"/>
        <v>0</v>
      </c>
      <c r="AN21" s="805">
        <f t="shared" si="40"/>
        <v>90249</v>
      </c>
      <c r="AO21" s="805">
        <f t="shared" si="41"/>
        <v>4751</v>
      </c>
      <c r="AP21" s="793">
        <f t="shared" si="42"/>
        <v>4751</v>
      </c>
      <c r="AQ21" s="793">
        <f t="shared" si="43"/>
        <v>95000</v>
      </c>
      <c r="AR21" s="793">
        <f t="shared" si="44"/>
        <v>0</v>
      </c>
      <c r="AS21" s="793">
        <f t="shared" si="45"/>
        <v>0</v>
      </c>
      <c r="AT21" s="793">
        <f t="shared" si="46"/>
        <v>90249</v>
      </c>
      <c r="AU21" s="793">
        <f t="shared" si="47"/>
        <v>4751</v>
      </c>
      <c r="AV21" s="793">
        <f t="shared" si="48"/>
        <v>4751</v>
      </c>
      <c r="AW21" s="793">
        <f t="shared" si="49"/>
        <v>95000</v>
      </c>
      <c r="AX21" s="793">
        <f t="shared" si="50"/>
        <v>0</v>
      </c>
      <c r="AY21" s="793">
        <f t="shared" si="51"/>
        <v>0</v>
      </c>
      <c r="AZ21" s="793">
        <f t="shared" si="52"/>
        <v>90249</v>
      </c>
      <c r="BA21" s="793">
        <f t="shared" si="56"/>
        <v>4751</v>
      </c>
    </row>
    <row r="22" spans="1:53" ht="15" customHeight="1" x14ac:dyDescent="0.25">
      <c r="A22" s="842" t="s">
        <v>1187</v>
      </c>
      <c r="B22" s="843" t="s">
        <v>1189</v>
      </c>
      <c r="C22" s="778">
        <f t="shared" si="14"/>
        <v>0.31666666666666665</v>
      </c>
      <c r="D22" s="844">
        <v>3</v>
      </c>
      <c r="E22" s="779" t="s">
        <v>1182</v>
      </c>
      <c r="F22" s="845">
        <v>43191</v>
      </c>
      <c r="G22" s="845">
        <v>43191</v>
      </c>
      <c r="H22" s="781">
        <f t="shared" si="15"/>
        <v>44286</v>
      </c>
      <c r="I22" s="1359">
        <v>285000</v>
      </c>
      <c r="J22" s="805">
        <f t="shared" si="16"/>
        <v>14250</v>
      </c>
      <c r="K22" s="805"/>
      <c r="L22" s="793"/>
      <c r="M22" s="793">
        <f t="shared" si="17"/>
        <v>285000</v>
      </c>
      <c r="N22" s="793">
        <f t="shared" si="18"/>
        <v>365</v>
      </c>
      <c r="O22" s="793">
        <f t="shared" si="19"/>
        <v>90250</v>
      </c>
      <c r="P22" s="793">
        <f t="shared" si="20"/>
        <v>90250</v>
      </c>
      <c r="Q22" s="793">
        <f t="shared" si="21"/>
        <v>194750</v>
      </c>
      <c r="R22" s="793">
        <f t="shared" si="22"/>
        <v>194750</v>
      </c>
      <c r="S22" s="793">
        <f t="shared" si="23"/>
        <v>285000</v>
      </c>
      <c r="T22" s="793">
        <f t="shared" si="24"/>
        <v>366</v>
      </c>
      <c r="U22" s="793">
        <f t="shared" si="25"/>
        <v>90250</v>
      </c>
      <c r="V22" s="793">
        <f t="shared" si="26"/>
        <v>180500</v>
      </c>
      <c r="W22" s="793">
        <f t="shared" si="27"/>
        <v>104500</v>
      </c>
      <c r="X22" s="793">
        <f t="shared" si="28"/>
        <v>104500</v>
      </c>
      <c r="Y22" s="805">
        <f t="shared" si="29"/>
        <v>285000</v>
      </c>
      <c r="Z22" s="805">
        <f t="shared" si="30"/>
        <v>365</v>
      </c>
      <c r="AA22" s="805">
        <f t="shared" si="53"/>
        <v>90250</v>
      </c>
      <c r="AB22" s="805">
        <f t="shared" si="57"/>
        <v>270750</v>
      </c>
      <c r="AC22" s="805">
        <f t="shared" si="54"/>
        <v>14250</v>
      </c>
      <c r="AD22" s="793">
        <f t="shared" si="31"/>
        <v>14250</v>
      </c>
      <c r="AE22" s="793">
        <f t="shared" si="32"/>
        <v>285000</v>
      </c>
      <c r="AF22" s="793">
        <f t="shared" si="33"/>
        <v>0</v>
      </c>
      <c r="AG22" s="793">
        <f t="shared" si="34"/>
        <v>0</v>
      </c>
      <c r="AH22" s="805">
        <f t="shared" si="35"/>
        <v>270750</v>
      </c>
      <c r="AI22" s="805">
        <f t="shared" si="36"/>
        <v>14250</v>
      </c>
      <c r="AJ22" s="793">
        <f t="shared" si="55"/>
        <v>14250</v>
      </c>
      <c r="AK22" s="793">
        <f t="shared" si="37"/>
        <v>285000</v>
      </c>
      <c r="AL22" s="793">
        <f t="shared" si="38"/>
        <v>0</v>
      </c>
      <c r="AM22" s="793">
        <f t="shared" si="39"/>
        <v>0</v>
      </c>
      <c r="AN22" s="805">
        <f t="shared" si="40"/>
        <v>270750</v>
      </c>
      <c r="AO22" s="805">
        <f t="shared" si="41"/>
        <v>14250</v>
      </c>
      <c r="AP22" s="793">
        <f t="shared" si="42"/>
        <v>14250</v>
      </c>
      <c r="AQ22" s="793">
        <f t="shared" si="43"/>
        <v>285000</v>
      </c>
      <c r="AR22" s="793">
        <f t="shared" si="44"/>
        <v>0</v>
      </c>
      <c r="AS22" s="793">
        <f t="shared" si="45"/>
        <v>0</v>
      </c>
      <c r="AT22" s="793">
        <f t="shared" si="46"/>
        <v>270750</v>
      </c>
      <c r="AU22" s="793">
        <f t="shared" si="47"/>
        <v>14250</v>
      </c>
      <c r="AV22" s="793">
        <f t="shared" si="48"/>
        <v>14250</v>
      </c>
      <c r="AW22" s="793">
        <f t="shared" si="49"/>
        <v>285000</v>
      </c>
      <c r="AX22" s="793">
        <f t="shared" si="50"/>
        <v>0</v>
      </c>
      <c r="AY22" s="793">
        <f t="shared" si="51"/>
        <v>0</v>
      </c>
      <c r="AZ22" s="793">
        <f t="shared" si="52"/>
        <v>270750</v>
      </c>
      <c r="BA22" s="793">
        <f t="shared" si="56"/>
        <v>14250</v>
      </c>
    </row>
    <row r="23" spans="1:53" ht="15" customHeight="1" x14ac:dyDescent="0.25">
      <c r="A23" s="842" t="s">
        <v>1187</v>
      </c>
      <c r="B23" s="843" t="s">
        <v>1190</v>
      </c>
      <c r="C23" s="778">
        <f t="shared" si="14"/>
        <v>0.31666666666666665</v>
      </c>
      <c r="D23" s="844">
        <v>3</v>
      </c>
      <c r="E23" s="779" t="s">
        <v>1182</v>
      </c>
      <c r="F23" s="845">
        <v>43191</v>
      </c>
      <c r="G23" s="845">
        <v>43191</v>
      </c>
      <c r="H23" s="781">
        <f t="shared" si="15"/>
        <v>44286</v>
      </c>
      <c r="I23" s="1359">
        <v>162000</v>
      </c>
      <c r="J23" s="805">
        <f t="shared" si="16"/>
        <v>8100</v>
      </c>
      <c r="K23" s="805"/>
      <c r="L23" s="793"/>
      <c r="M23" s="793">
        <f t="shared" si="17"/>
        <v>162000</v>
      </c>
      <c r="N23" s="793">
        <f t="shared" si="18"/>
        <v>365</v>
      </c>
      <c r="O23" s="793">
        <f t="shared" si="19"/>
        <v>51300</v>
      </c>
      <c r="P23" s="793">
        <f t="shared" si="20"/>
        <v>51300</v>
      </c>
      <c r="Q23" s="793">
        <f t="shared" si="21"/>
        <v>110700</v>
      </c>
      <c r="R23" s="793">
        <f t="shared" si="22"/>
        <v>110700</v>
      </c>
      <c r="S23" s="793">
        <f t="shared" si="23"/>
        <v>162000</v>
      </c>
      <c r="T23" s="793">
        <f t="shared" si="24"/>
        <v>366</v>
      </c>
      <c r="U23" s="793">
        <f t="shared" si="25"/>
        <v>51300</v>
      </c>
      <c r="V23" s="793">
        <f t="shared" si="26"/>
        <v>102600</v>
      </c>
      <c r="W23" s="793">
        <f t="shared" si="27"/>
        <v>59400</v>
      </c>
      <c r="X23" s="793">
        <f t="shared" si="28"/>
        <v>59400</v>
      </c>
      <c r="Y23" s="805">
        <f t="shared" si="29"/>
        <v>162000</v>
      </c>
      <c r="Z23" s="805">
        <f t="shared" si="30"/>
        <v>365</v>
      </c>
      <c r="AA23" s="805">
        <f t="shared" si="53"/>
        <v>51300</v>
      </c>
      <c r="AB23" s="805">
        <f t="shared" si="57"/>
        <v>153900</v>
      </c>
      <c r="AC23" s="805">
        <f t="shared" si="54"/>
        <v>8100</v>
      </c>
      <c r="AD23" s="793">
        <f t="shared" si="31"/>
        <v>8100</v>
      </c>
      <c r="AE23" s="793">
        <f t="shared" si="32"/>
        <v>162000</v>
      </c>
      <c r="AF23" s="793">
        <f t="shared" si="33"/>
        <v>0</v>
      </c>
      <c r="AG23" s="793">
        <f t="shared" si="34"/>
        <v>0</v>
      </c>
      <c r="AH23" s="805">
        <f t="shared" si="35"/>
        <v>153900</v>
      </c>
      <c r="AI23" s="805">
        <f t="shared" si="36"/>
        <v>8100</v>
      </c>
      <c r="AJ23" s="793">
        <f t="shared" si="55"/>
        <v>8100</v>
      </c>
      <c r="AK23" s="793">
        <f t="shared" si="37"/>
        <v>162000</v>
      </c>
      <c r="AL23" s="793">
        <f t="shared" si="38"/>
        <v>0</v>
      </c>
      <c r="AM23" s="793">
        <f t="shared" si="39"/>
        <v>0</v>
      </c>
      <c r="AN23" s="805">
        <f t="shared" si="40"/>
        <v>153900</v>
      </c>
      <c r="AO23" s="805">
        <f t="shared" si="41"/>
        <v>8100</v>
      </c>
      <c r="AP23" s="793">
        <f t="shared" si="42"/>
        <v>8100</v>
      </c>
      <c r="AQ23" s="793">
        <f t="shared" si="43"/>
        <v>162000</v>
      </c>
      <c r="AR23" s="793">
        <f t="shared" si="44"/>
        <v>0</v>
      </c>
      <c r="AS23" s="793">
        <f t="shared" si="45"/>
        <v>0</v>
      </c>
      <c r="AT23" s="793">
        <f t="shared" si="46"/>
        <v>153900</v>
      </c>
      <c r="AU23" s="793">
        <f t="shared" si="47"/>
        <v>8100</v>
      </c>
      <c r="AV23" s="793">
        <f t="shared" si="48"/>
        <v>8100</v>
      </c>
      <c r="AW23" s="793">
        <f t="shared" si="49"/>
        <v>162000</v>
      </c>
      <c r="AX23" s="793">
        <f t="shared" si="50"/>
        <v>0</v>
      </c>
      <c r="AY23" s="793">
        <f t="shared" si="51"/>
        <v>0</v>
      </c>
      <c r="AZ23" s="793">
        <f t="shared" si="52"/>
        <v>153900</v>
      </c>
      <c r="BA23" s="793">
        <f t="shared" si="56"/>
        <v>8100</v>
      </c>
    </row>
    <row r="24" spans="1:53" ht="15" customHeight="1" x14ac:dyDescent="0.25">
      <c r="A24" s="842" t="s">
        <v>1187</v>
      </c>
      <c r="B24" s="843" t="s">
        <v>1191</v>
      </c>
      <c r="C24" s="778">
        <f t="shared" si="14"/>
        <v>0.31666666666666665</v>
      </c>
      <c r="D24" s="844">
        <v>3</v>
      </c>
      <c r="E24" s="779" t="s">
        <v>1182</v>
      </c>
      <c r="F24" s="845">
        <v>43191</v>
      </c>
      <c r="G24" s="845">
        <v>43191</v>
      </c>
      <c r="H24" s="781">
        <f t="shared" si="15"/>
        <v>44286</v>
      </c>
      <c r="I24" s="1359">
        <v>135000</v>
      </c>
      <c r="J24" s="805">
        <f t="shared" si="16"/>
        <v>6750</v>
      </c>
      <c r="K24" s="805"/>
      <c r="L24" s="793"/>
      <c r="M24" s="793">
        <f t="shared" si="17"/>
        <v>135000</v>
      </c>
      <c r="N24" s="793">
        <f t="shared" si="18"/>
        <v>365</v>
      </c>
      <c r="O24" s="793">
        <f t="shared" si="19"/>
        <v>42750</v>
      </c>
      <c r="P24" s="793">
        <f t="shared" si="20"/>
        <v>42750</v>
      </c>
      <c r="Q24" s="793">
        <f t="shared" si="21"/>
        <v>92250</v>
      </c>
      <c r="R24" s="793">
        <f t="shared" si="22"/>
        <v>92250</v>
      </c>
      <c r="S24" s="793">
        <f t="shared" si="23"/>
        <v>135000</v>
      </c>
      <c r="T24" s="793">
        <f t="shared" si="24"/>
        <v>366</v>
      </c>
      <c r="U24" s="793">
        <f t="shared" si="25"/>
        <v>42750</v>
      </c>
      <c r="V24" s="793">
        <f t="shared" si="26"/>
        <v>85500</v>
      </c>
      <c r="W24" s="793">
        <f t="shared" si="27"/>
        <v>49500</v>
      </c>
      <c r="X24" s="793">
        <f t="shared" si="28"/>
        <v>49500</v>
      </c>
      <c r="Y24" s="805">
        <f t="shared" si="29"/>
        <v>135000</v>
      </c>
      <c r="Z24" s="805">
        <f t="shared" si="30"/>
        <v>365</v>
      </c>
      <c r="AA24" s="805">
        <f t="shared" si="53"/>
        <v>42750</v>
      </c>
      <c r="AB24" s="805">
        <f t="shared" si="57"/>
        <v>128250</v>
      </c>
      <c r="AC24" s="805">
        <f t="shared" si="54"/>
        <v>6750</v>
      </c>
      <c r="AD24" s="793">
        <f t="shared" si="31"/>
        <v>6750</v>
      </c>
      <c r="AE24" s="793">
        <f t="shared" si="32"/>
        <v>135000</v>
      </c>
      <c r="AF24" s="793">
        <f t="shared" si="33"/>
        <v>0</v>
      </c>
      <c r="AG24" s="793">
        <f t="shared" si="34"/>
        <v>0</v>
      </c>
      <c r="AH24" s="805">
        <f t="shared" si="35"/>
        <v>128250</v>
      </c>
      <c r="AI24" s="805">
        <f t="shared" si="36"/>
        <v>6750</v>
      </c>
      <c r="AJ24" s="793">
        <f t="shared" si="55"/>
        <v>6750</v>
      </c>
      <c r="AK24" s="793">
        <f t="shared" si="37"/>
        <v>135000</v>
      </c>
      <c r="AL24" s="793">
        <f t="shared" si="38"/>
        <v>0</v>
      </c>
      <c r="AM24" s="793">
        <f t="shared" si="39"/>
        <v>0</v>
      </c>
      <c r="AN24" s="805">
        <f t="shared" si="40"/>
        <v>128250</v>
      </c>
      <c r="AO24" s="805">
        <f t="shared" si="41"/>
        <v>6750</v>
      </c>
      <c r="AP24" s="793">
        <f t="shared" si="42"/>
        <v>6750</v>
      </c>
      <c r="AQ24" s="793">
        <f t="shared" si="43"/>
        <v>135000</v>
      </c>
      <c r="AR24" s="793">
        <f t="shared" si="44"/>
        <v>0</v>
      </c>
      <c r="AS24" s="793">
        <f t="shared" si="45"/>
        <v>0</v>
      </c>
      <c r="AT24" s="793">
        <f t="shared" si="46"/>
        <v>128250</v>
      </c>
      <c r="AU24" s="793">
        <f t="shared" si="47"/>
        <v>6750</v>
      </c>
      <c r="AV24" s="793">
        <f t="shared" si="48"/>
        <v>6750</v>
      </c>
      <c r="AW24" s="793">
        <f t="shared" si="49"/>
        <v>135000</v>
      </c>
      <c r="AX24" s="793">
        <f t="shared" si="50"/>
        <v>0</v>
      </c>
      <c r="AY24" s="793">
        <f t="shared" si="51"/>
        <v>0</v>
      </c>
      <c r="AZ24" s="793">
        <f t="shared" si="52"/>
        <v>128250</v>
      </c>
      <c r="BA24" s="793">
        <f t="shared" si="56"/>
        <v>6750</v>
      </c>
    </row>
    <row r="25" spans="1:53" ht="15" customHeight="1" x14ac:dyDescent="0.25">
      <c r="A25" s="842" t="s">
        <v>1187</v>
      </c>
      <c r="B25" s="843" t="s">
        <v>1191</v>
      </c>
      <c r="C25" s="778">
        <f t="shared" si="14"/>
        <v>0.31666666666666665</v>
      </c>
      <c r="D25" s="844">
        <v>3</v>
      </c>
      <c r="E25" s="779" t="s">
        <v>1182</v>
      </c>
      <c r="F25" s="845">
        <v>43191</v>
      </c>
      <c r="G25" s="845">
        <v>43191</v>
      </c>
      <c r="H25" s="781">
        <f t="shared" si="15"/>
        <v>44286</v>
      </c>
      <c r="I25" s="1359">
        <v>81000</v>
      </c>
      <c r="J25" s="805">
        <f t="shared" si="16"/>
        <v>4050</v>
      </c>
      <c r="K25" s="805"/>
      <c r="L25" s="793"/>
      <c r="M25" s="793">
        <f t="shared" si="17"/>
        <v>81000</v>
      </c>
      <c r="N25" s="793">
        <f t="shared" si="18"/>
        <v>365</v>
      </c>
      <c r="O25" s="793">
        <f t="shared" si="19"/>
        <v>25650</v>
      </c>
      <c r="P25" s="793">
        <f t="shared" si="20"/>
        <v>25650</v>
      </c>
      <c r="Q25" s="793">
        <f t="shared" si="21"/>
        <v>55350</v>
      </c>
      <c r="R25" s="793">
        <f t="shared" si="22"/>
        <v>55350</v>
      </c>
      <c r="S25" s="793">
        <f t="shared" si="23"/>
        <v>81000</v>
      </c>
      <c r="T25" s="793">
        <f t="shared" si="24"/>
        <v>366</v>
      </c>
      <c r="U25" s="793">
        <f t="shared" si="25"/>
        <v>25650</v>
      </c>
      <c r="V25" s="793">
        <f t="shared" si="26"/>
        <v>51300</v>
      </c>
      <c r="W25" s="793">
        <f t="shared" si="27"/>
        <v>29700</v>
      </c>
      <c r="X25" s="793">
        <f t="shared" si="28"/>
        <v>29700</v>
      </c>
      <c r="Y25" s="805">
        <f t="shared" si="29"/>
        <v>81000</v>
      </c>
      <c r="Z25" s="805">
        <f t="shared" si="30"/>
        <v>365</v>
      </c>
      <c r="AA25" s="805">
        <f t="shared" si="53"/>
        <v>25650</v>
      </c>
      <c r="AB25" s="805">
        <f t="shared" si="57"/>
        <v>76950</v>
      </c>
      <c r="AC25" s="805">
        <f t="shared" si="54"/>
        <v>4050</v>
      </c>
      <c r="AD25" s="793">
        <f t="shared" si="31"/>
        <v>4050</v>
      </c>
      <c r="AE25" s="793">
        <f t="shared" si="32"/>
        <v>81000</v>
      </c>
      <c r="AF25" s="793">
        <f t="shared" si="33"/>
        <v>0</v>
      </c>
      <c r="AG25" s="793">
        <f t="shared" si="34"/>
        <v>0</v>
      </c>
      <c r="AH25" s="805">
        <f t="shared" si="35"/>
        <v>76950</v>
      </c>
      <c r="AI25" s="805">
        <f t="shared" si="36"/>
        <v>4050</v>
      </c>
      <c r="AJ25" s="793">
        <f t="shared" si="55"/>
        <v>4050</v>
      </c>
      <c r="AK25" s="793">
        <f t="shared" si="37"/>
        <v>81000</v>
      </c>
      <c r="AL25" s="793">
        <f t="shared" si="38"/>
        <v>0</v>
      </c>
      <c r="AM25" s="793">
        <f t="shared" si="39"/>
        <v>0</v>
      </c>
      <c r="AN25" s="805">
        <f t="shared" si="40"/>
        <v>76950</v>
      </c>
      <c r="AO25" s="805">
        <f t="shared" si="41"/>
        <v>4050</v>
      </c>
      <c r="AP25" s="793">
        <f t="shared" si="42"/>
        <v>4050</v>
      </c>
      <c r="AQ25" s="793">
        <f t="shared" si="43"/>
        <v>81000</v>
      </c>
      <c r="AR25" s="793">
        <f t="shared" si="44"/>
        <v>0</v>
      </c>
      <c r="AS25" s="793">
        <f t="shared" si="45"/>
        <v>0</v>
      </c>
      <c r="AT25" s="793">
        <f t="shared" si="46"/>
        <v>76950</v>
      </c>
      <c r="AU25" s="793">
        <f t="shared" si="47"/>
        <v>4050</v>
      </c>
      <c r="AV25" s="793">
        <f t="shared" si="48"/>
        <v>4050</v>
      </c>
      <c r="AW25" s="793">
        <f t="shared" si="49"/>
        <v>81000</v>
      </c>
      <c r="AX25" s="793">
        <f t="shared" si="50"/>
        <v>0</v>
      </c>
      <c r="AY25" s="793">
        <f t="shared" si="51"/>
        <v>0</v>
      </c>
      <c r="AZ25" s="793">
        <f t="shared" si="52"/>
        <v>76950</v>
      </c>
      <c r="BA25" s="793">
        <f t="shared" si="56"/>
        <v>4050</v>
      </c>
    </row>
    <row r="26" spans="1:53" ht="15" customHeight="1" x14ac:dyDescent="0.25">
      <c r="A26" s="842" t="s">
        <v>1187</v>
      </c>
      <c r="B26" s="843" t="s">
        <v>1191</v>
      </c>
      <c r="C26" s="778">
        <f t="shared" si="14"/>
        <v>0.31666666666666665</v>
      </c>
      <c r="D26" s="844">
        <v>3</v>
      </c>
      <c r="E26" s="779" t="s">
        <v>1182</v>
      </c>
      <c r="F26" s="845">
        <v>43191</v>
      </c>
      <c r="G26" s="845">
        <v>43191</v>
      </c>
      <c r="H26" s="781">
        <f t="shared" si="15"/>
        <v>44286</v>
      </c>
      <c r="I26" s="1359">
        <v>82500</v>
      </c>
      <c r="J26" s="805">
        <f t="shared" si="16"/>
        <v>4125</v>
      </c>
      <c r="K26" s="805"/>
      <c r="L26" s="793"/>
      <c r="M26" s="793">
        <f t="shared" si="17"/>
        <v>82500</v>
      </c>
      <c r="N26" s="793">
        <f t="shared" si="18"/>
        <v>365</v>
      </c>
      <c r="O26" s="793">
        <f t="shared" si="19"/>
        <v>26125</v>
      </c>
      <c r="P26" s="793">
        <f t="shared" si="20"/>
        <v>26125</v>
      </c>
      <c r="Q26" s="793">
        <f t="shared" si="21"/>
        <v>56375</v>
      </c>
      <c r="R26" s="793">
        <f t="shared" si="22"/>
        <v>56375</v>
      </c>
      <c r="S26" s="793">
        <f t="shared" si="23"/>
        <v>82500</v>
      </c>
      <c r="T26" s="793">
        <f t="shared" si="24"/>
        <v>366</v>
      </c>
      <c r="U26" s="793">
        <f t="shared" si="25"/>
        <v>26125</v>
      </c>
      <c r="V26" s="793">
        <f t="shared" si="26"/>
        <v>52250</v>
      </c>
      <c r="W26" s="793">
        <f t="shared" si="27"/>
        <v>30250</v>
      </c>
      <c r="X26" s="793">
        <f t="shared" si="28"/>
        <v>30250</v>
      </c>
      <c r="Y26" s="805">
        <f t="shared" si="29"/>
        <v>82500</v>
      </c>
      <c r="Z26" s="805">
        <f t="shared" si="30"/>
        <v>365</v>
      </c>
      <c r="AA26" s="805">
        <f t="shared" si="53"/>
        <v>26125</v>
      </c>
      <c r="AB26" s="805">
        <f t="shared" si="57"/>
        <v>78375</v>
      </c>
      <c r="AC26" s="805">
        <f t="shared" si="54"/>
        <v>4125</v>
      </c>
      <c r="AD26" s="793">
        <f t="shared" si="31"/>
        <v>4125</v>
      </c>
      <c r="AE26" s="793">
        <f t="shared" si="32"/>
        <v>82500</v>
      </c>
      <c r="AF26" s="793">
        <f t="shared" si="33"/>
        <v>0</v>
      </c>
      <c r="AG26" s="793">
        <f t="shared" si="34"/>
        <v>0</v>
      </c>
      <c r="AH26" s="805">
        <f t="shared" si="35"/>
        <v>78375</v>
      </c>
      <c r="AI26" s="805">
        <f t="shared" si="36"/>
        <v>4125</v>
      </c>
      <c r="AJ26" s="793">
        <f t="shared" si="55"/>
        <v>4125</v>
      </c>
      <c r="AK26" s="793">
        <f t="shared" si="37"/>
        <v>82500</v>
      </c>
      <c r="AL26" s="793">
        <f t="shared" si="38"/>
        <v>0</v>
      </c>
      <c r="AM26" s="793">
        <f t="shared" si="39"/>
        <v>0</v>
      </c>
      <c r="AN26" s="805">
        <f t="shared" si="40"/>
        <v>78375</v>
      </c>
      <c r="AO26" s="805">
        <f t="shared" si="41"/>
        <v>4125</v>
      </c>
      <c r="AP26" s="793">
        <f t="shared" si="42"/>
        <v>4125</v>
      </c>
      <c r="AQ26" s="793">
        <f t="shared" si="43"/>
        <v>82500</v>
      </c>
      <c r="AR26" s="793">
        <f t="shared" si="44"/>
        <v>0</v>
      </c>
      <c r="AS26" s="793">
        <f t="shared" si="45"/>
        <v>0</v>
      </c>
      <c r="AT26" s="793">
        <f t="shared" si="46"/>
        <v>78375</v>
      </c>
      <c r="AU26" s="793">
        <f t="shared" si="47"/>
        <v>4125</v>
      </c>
      <c r="AV26" s="793">
        <f t="shared" si="48"/>
        <v>4125</v>
      </c>
      <c r="AW26" s="793">
        <f t="shared" si="49"/>
        <v>82500</v>
      </c>
      <c r="AX26" s="793">
        <f t="shared" si="50"/>
        <v>0</v>
      </c>
      <c r="AY26" s="793">
        <f t="shared" si="51"/>
        <v>0</v>
      </c>
      <c r="AZ26" s="793">
        <f t="shared" si="52"/>
        <v>78375</v>
      </c>
      <c r="BA26" s="793">
        <f t="shared" si="56"/>
        <v>4125</v>
      </c>
    </row>
    <row r="27" spans="1:53" ht="15" customHeight="1" x14ac:dyDescent="0.25">
      <c r="A27" s="842" t="s">
        <v>1187</v>
      </c>
      <c r="B27" s="843" t="s">
        <v>1191</v>
      </c>
      <c r="C27" s="778">
        <f t="shared" si="14"/>
        <v>0.31666666666666665</v>
      </c>
      <c r="D27" s="844">
        <v>3</v>
      </c>
      <c r="E27" s="779" t="s">
        <v>1182</v>
      </c>
      <c r="F27" s="845">
        <v>43191</v>
      </c>
      <c r="G27" s="845">
        <v>43191</v>
      </c>
      <c r="H27" s="781">
        <f t="shared" si="15"/>
        <v>44286</v>
      </c>
      <c r="I27" s="1359">
        <v>550</v>
      </c>
      <c r="J27" s="805">
        <f t="shared" si="16"/>
        <v>27.5</v>
      </c>
      <c r="K27" s="805"/>
      <c r="L27" s="793"/>
      <c r="M27" s="793">
        <f t="shared" si="17"/>
        <v>550</v>
      </c>
      <c r="N27" s="793">
        <f t="shared" si="18"/>
        <v>365</v>
      </c>
      <c r="O27" s="793">
        <f t="shared" si="19"/>
        <v>174</v>
      </c>
      <c r="P27" s="793">
        <f t="shared" si="20"/>
        <v>174</v>
      </c>
      <c r="Q27" s="793">
        <f t="shared" si="21"/>
        <v>376</v>
      </c>
      <c r="R27" s="793">
        <f t="shared" si="22"/>
        <v>376</v>
      </c>
      <c r="S27" s="793">
        <f t="shared" si="23"/>
        <v>550</v>
      </c>
      <c r="T27" s="793">
        <f t="shared" si="24"/>
        <v>366</v>
      </c>
      <c r="U27" s="793">
        <f t="shared" si="25"/>
        <v>174</v>
      </c>
      <c r="V27" s="793">
        <f t="shared" si="26"/>
        <v>348</v>
      </c>
      <c r="W27" s="793">
        <f t="shared" si="27"/>
        <v>202</v>
      </c>
      <c r="X27" s="793">
        <f t="shared" si="28"/>
        <v>202</v>
      </c>
      <c r="Y27" s="805">
        <f t="shared" si="29"/>
        <v>550</v>
      </c>
      <c r="Z27" s="805">
        <f t="shared" si="30"/>
        <v>365</v>
      </c>
      <c r="AA27" s="805">
        <f t="shared" si="53"/>
        <v>174</v>
      </c>
      <c r="AB27" s="805">
        <f t="shared" si="57"/>
        <v>522</v>
      </c>
      <c r="AC27" s="805">
        <f t="shared" si="54"/>
        <v>28</v>
      </c>
      <c r="AD27" s="793">
        <f t="shared" si="31"/>
        <v>28</v>
      </c>
      <c r="AE27" s="793">
        <f t="shared" si="32"/>
        <v>550</v>
      </c>
      <c r="AF27" s="793">
        <f t="shared" si="33"/>
        <v>0</v>
      </c>
      <c r="AG27" s="793">
        <f t="shared" si="34"/>
        <v>0</v>
      </c>
      <c r="AH27" s="805">
        <f t="shared" si="35"/>
        <v>522</v>
      </c>
      <c r="AI27" s="805">
        <f t="shared" si="36"/>
        <v>28</v>
      </c>
      <c r="AJ27" s="793">
        <f t="shared" si="55"/>
        <v>28</v>
      </c>
      <c r="AK27" s="793">
        <f t="shared" si="37"/>
        <v>550</v>
      </c>
      <c r="AL27" s="793">
        <f t="shared" si="38"/>
        <v>0</v>
      </c>
      <c r="AM27" s="793">
        <f t="shared" si="39"/>
        <v>0</v>
      </c>
      <c r="AN27" s="805">
        <f t="shared" si="40"/>
        <v>522</v>
      </c>
      <c r="AO27" s="805">
        <f t="shared" si="41"/>
        <v>28</v>
      </c>
      <c r="AP27" s="793">
        <f t="shared" si="42"/>
        <v>28</v>
      </c>
      <c r="AQ27" s="793">
        <f t="shared" si="43"/>
        <v>550</v>
      </c>
      <c r="AR27" s="793">
        <f t="shared" si="44"/>
        <v>0</v>
      </c>
      <c r="AS27" s="793">
        <f t="shared" si="45"/>
        <v>0</v>
      </c>
      <c r="AT27" s="793">
        <f t="shared" si="46"/>
        <v>522</v>
      </c>
      <c r="AU27" s="793">
        <f t="shared" si="47"/>
        <v>28</v>
      </c>
      <c r="AV27" s="793">
        <f t="shared" si="48"/>
        <v>28</v>
      </c>
      <c r="AW27" s="793">
        <f t="shared" si="49"/>
        <v>550</v>
      </c>
      <c r="AX27" s="793">
        <f t="shared" si="50"/>
        <v>0</v>
      </c>
      <c r="AY27" s="793">
        <f t="shared" si="51"/>
        <v>0</v>
      </c>
      <c r="AZ27" s="793">
        <f t="shared" si="52"/>
        <v>522</v>
      </c>
      <c r="BA27" s="793">
        <f t="shared" si="56"/>
        <v>28</v>
      </c>
    </row>
    <row r="28" spans="1:53" ht="15" customHeight="1" x14ac:dyDescent="0.25">
      <c r="A28" s="842" t="s">
        <v>1187</v>
      </c>
      <c r="B28" s="843" t="s">
        <v>1191</v>
      </c>
      <c r="C28" s="778">
        <f t="shared" si="14"/>
        <v>0.31666666666666665</v>
      </c>
      <c r="D28" s="844">
        <v>3</v>
      </c>
      <c r="E28" s="779" t="s">
        <v>1182</v>
      </c>
      <c r="F28" s="845">
        <v>43191</v>
      </c>
      <c r="G28" s="845">
        <v>43191</v>
      </c>
      <c r="H28" s="781">
        <f t="shared" si="15"/>
        <v>44286</v>
      </c>
      <c r="I28" s="1359">
        <v>28650</v>
      </c>
      <c r="J28" s="805">
        <f t="shared" si="16"/>
        <v>1432.5</v>
      </c>
      <c r="K28" s="805"/>
      <c r="L28" s="793"/>
      <c r="M28" s="793">
        <f t="shared" si="17"/>
        <v>28650</v>
      </c>
      <c r="N28" s="793">
        <f t="shared" si="18"/>
        <v>365</v>
      </c>
      <c r="O28" s="793">
        <f t="shared" si="19"/>
        <v>9073</v>
      </c>
      <c r="P28" s="793">
        <f t="shared" si="20"/>
        <v>9073</v>
      </c>
      <c r="Q28" s="793">
        <f t="shared" si="21"/>
        <v>19577</v>
      </c>
      <c r="R28" s="793">
        <f t="shared" si="22"/>
        <v>19577</v>
      </c>
      <c r="S28" s="793">
        <f t="shared" si="23"/>
        <v>28650</v>
      </c>
      <c r="T28" s="793">
        <f t="shared" si="24"/>
        <v>366</v>
      </c>
      <c r="U28" s="793">
        <f t="shared" si="25"/>
        <v>9073</v>
      </c>
      <c r="V28" s="793">
        <f t="shared" si="26"/>
        <v>18146</v>
      </c>
      <c r="W28" s="793">
        <f t="shared" si="27"/>
        <v>10504</v>
      </c>
      <c r="X28" s="793">
        <f t="shared" si="28"/>
        <v>10504</v>
      </c>
      <c r="Y28" s="805">
        <f t="shared" si="29"/>
        <v>28650</v>
      </c>
      <c r="Z28" s="805">
        <f t="shared" si="30"/>
        <v>365</v>
      </c>
      <c r="AA28" s="805">
        <f t="shared" si="53"/>
        <v>9073</v>
      </c>
      <c r="AB28" s="805">
        <f t="shared" si="57"/>
        <v>27219</v>
      </c>
      <c r="AC28" s="805">
        <f t="shared" si="54"/>
        <v>1431</v>
      </c>
      <c r="AD28" s="793">
        <f t="shared" si="31"/>
        <v>1431</v>
      </c>
      <c r="AE28" s="793">
        <f t="shared" si="32"/>
        <v>28650</v>
      </c>
      <c r="AF28" s="793">
        <f t="shared" si="33"/>
        <v>0</v>
      </c>
      <c r="AG28" s="793">
        <f t="shared" si="34"/>
        <v>0</v>
      </c>
      <c r="AH28" s="805">
        <f t="shared" si="35"/>
        <v>27219</v>
      </c>
      <c r="AI28" s="805">
        <f t="shared" si="36"/>
        <v>1431</v>
      </c>
      <c r="AJ28" s="793">
        <f t="shared" si="55"/>
        <v>1431</v>
      </c>
      <c r="AK28" s="793">
        <f t="shared" si="37"/>
        <v>28650</v>
      </c>
      <c r="AL28" s="793">
        <f t="shared" si="38"/>
        <v>0</v>
      </c>
      <c r="AM28" s="793">
        <f t="shared" si="39"/>
        <v>0</v>
      </c>
      <c r="AN28" s="805">
        <f t="shared" si="40"/>
        <v>27219</v>
      </c>
      <c r="AO28" s="805">
        <f t="shared" si="41"/>
        <v>1431</v>
      </c>
      <c r="AP28" s="793">
        <f t="shared" si="42"/>
        <v>1431</v>
      </c>
      <c r="AQ28" s="793">
        <f t="shared" si="43"/>
        <v>28650</v>
      </c>
      <c r="AR28" s="793">
        <f t="shared" si="44"/>
        <v>0</v>
      </c>
      <c r="AS28" s="793">
        <f t="shared" si="45"/>
        <v>0</v>
      </c>
      <c r="AT28" s="793">
        <f t="shared" si="46"/>
        <v>27219</v>
      </c>
      <c r="AU28" s="793">
        <f t="shared" si="47"/>
        <v>1431</v>
      </c>
      <c r="AV28" s="793">
        <f t="shared" si="48"/>
        <v>1431</v>
      </c>
      <c r="AW28" s="793">
        <f t="shared" si="49"/>
        <v>28650</v>
      </c>
      <c r="AX28" s="793">
        <f t="shared" si="50"/>
        <v>0</v>
      </c>
      <c r="AY28" s="793">
        <f t="shared" si="51"/>
        <v>0</v>
      </c>
      <c r="AZ28" s="793">
        <f t="shared" si="52"/>
        <v>27219</v>
      </c>
      <c r="BA28" s="793">
        <f t="shared" si="56"/>
        <v>1431</v>
      </c>
    </row>
    <row r="29" spans="1:53" ht="15" customHeight="1" x14ac:dyDescent="0.25">
      <c r="A29" s="842" t="s">
        <v>1187</v>
      </c>
      <c r="B29" s="843" t="s">
        <v>1191</v>
      </c>
      <c r="C29" s="778">
        <f t="shared" si="14"/>
        <v>0.31666666666666665</v>
      </c>
      <c r="D29" s="844">
        <v>3</v>
      </c>
      <c r="E29" s="779" t="s">
        <v>1182</v>
      </c>
      <c r="F29" s="845">
        <v>43191</v>
      </c>
      <c r="G29" s="845">
        <v>43191</v>
      </c>
      <c r="H29" s="781">
        <f t="shared" si="15"/>
        <v>44286</v>
      </c>
      <c r="I29" s="1359">
        <v>27750</v>
      </c>
      <c r="J29" s="805">
        <f t="shared" si="16"/>
        <v>1387.5</v>
      </c>
      <c r="K29" s="805"/>
      <c r="L29" s="793"/>
      <c r="M29" s="793">
        <f t="shared" si="17"/>
        <v>27750</v>
      </c>
      <c r="N29" s="793">
        <f t="shared" si="18"/>
        <v>365</v>
      </c>
      <c r="O29" s="793">
        <f t="shared" si="19"/>
        <v>8788</v>
      </c>
      <c r="P29" s="793">
        <f t="shared" si="20"/>
        <v>8788</v>
      </c>
      <c r="Q29" s="793">
        <f t="shared" si="21"/>
        <v>18962</v>
      </c>
      <c r="R29" s="793">
        <f t="shared" si="22"/>
        <v>18962</v>
      </c>
      <c r="S29" s="793">
        <f t="shared" si="23"/>
        <v>27750</v>
      </c>
      <c r="T29" s="793">
        <f t="shared" si="24"/>
        <v>366</v>
      </c>
      <c r="U29" s="793">
        <f t="shared" si="25"/>
        <v>8788</v>
      </c>
      <c r="V29" s="793">
        <f t="shared" si="26"/>
        <v>17576</v>
      </c>
      <c r="W29" s="793">
        <f t="shared" si="27"/>
        <v>10174</v>
      </c>
      <c r="X29" s="793">
        <f t="shared" si="28"/>
        <v>10174</v>
      </c>
      <c r="Y29" s="805">
        <f t="shared" si="29"/>
        <v>27750</v>
      </c>
      <c r="Z29" s="805">
        <f t="shared" si="30"/>
        <v>365</v>
      </c>
      <c r="AA29" s="805">
        <f t="shared" si="53"/>
        <v>8788</v>
      </c>
      <c r="AB29" s="805">
        <f t="shared" si="57"/>
        <v>26364</v>
      </c>
      <c r="AC29" s="805">
        <f t="shared" si="54"/>
        <v>1386</v>
      </c>
      <c r="AD29" s="793">
        <f t="shared" si="31"/>
        <v>1386</v>
      </c>
      <c r="AE29" s="793">
        <f t="shared" si="32"/>
        <v>27750</v>
      </c>
      <c r="AF29" s="793">
        <f t="shared" si="33"/>
        <v>0</v>
      </c>
      <c r="AG29" s="793">
        <f t="shared" si="34"/>
        <v>0</v>
      </c>
      <c r="AH29" s="805">
        <f t="shared" si="35"/>
        <v>26364</v>
      </c>
      <c r="AI29" s="805">
        <f t="shared" si="36"/>
        <v>1386</v>
      </c>
      <c r="AJ29" s="793">
        <f t="shared" si="55"/>
        <v>1386</v>
      </c>
      <c r="AK29" s="793">
        <f t="shared" si="37"/>
        <v>27750</v>
      </c>
      <c r="AL29" s="793">
        <f t="shared" si="38"/>
        <v>0</v>
      </c>
      <c r="AM29" s="793">
        <f t="shared" si="39"/>
        <v>0</v>
      </c>
      <c r="AN29" s="805">
        <f t="shared" si="40"/>
        <v>26364</v>
      </c>
      <c r="AO29" s="805">
        <f t="shared" si="41"/>
        <v>1386</v>
      </c>
      <c r="AP29" s="793">
        <f t="shared" si="42"/>
        <v>1386</v>
      </c>
      <c r="AQ29" s="793">
        <f t="shared" si="43"/>
        <v>27750</v>
      </c>
      <c r="AR29" s="793">
        <f t="shared" si="44"/>
        <v>0</v>
      </c>
      <c r="AS29" s="793">
        <f t="shared" si="45"/>
        <v>0</v>
      </c>
      <c r="AT29" s="793">
        <f t="shared" si="46"/>
        <v>26364</v>
      </c>
      <c r="AU29" s="793">
        <f t="shared" si="47"/>
        <v>1386</v>
      </c>
      <c r="AV29" s="793">
        <f t="shared" si="48"/>
        <v>1386</v>
      </c>
      <c r="AW29" s="793">
        <f t="shared" si="49"/>
        <v>27750</v>
      </c>
      <c r="AX29" s="793">
        <f t="shared" si="50"/>
        <v>0</v>
      </c>
      <c r="AY29" s="793">
        <f t="shared" si="51"/>
        <v>0</v>
      </c>
      <c r="AZ29" s="793">
        <f t="shared" si="52"/>
        <v>26364</v>
      </c>
      <c r="BA29" s="793">
        <f t="shared" si="56"/>
        <v>1386</v>
      </c>
    </row>
    <row r="30" spans="1:53" ht="15" customHeight="1" x14ac:dyDescent="0.25">
      <c r="A30" s="842" t="s">
        <v>1187</v>
      </c>
      <c r="B30" s="843" t="s">
        <v>1192</v>
      </c>
      <c r="C30" s="778">
        <f t="shared" si="14"/>
        <v>0.31666666666666665</v>
      </c>
      <c r="D30" s="844">
        <v>3</v>
      </c>
      <c r="E30" s="779" t="s">
        <v>1182</v>
      </c>
      <c r="F30" s="845">
        <v>43191</v>
      </c>
      <c r="G30" s="845">
        <v>43191</v>
      </c>
      <c r="H30" s="781">
        <f t="shared" si="15"/>
        <v>44286</v>
      </c>
      <c r="I30" s="1359">
        <v>30300</v>
      </c>
      <c r="J30" s="805">
        <f t="shared" si="16"/>
        <v>1515</v>
      </c>
      <c r="K30" s="805"/>
      <c r="L30" s="793"/>
      <c r="M30" s="793">
        <f t="shared" si="17"/>
        <v>30300</v>
      </c>
      <c r="N30" s="793">
        <f t="shared" si="18"/>
        <v>365</v>
      </c>
      <c r="O30" s="793">
        <f t="shared" si="19"/>
        <v>9595</v>
      </c>
      <c r="P30" s="793">
        <f t="shared" si="20"/>
        <v>9595</v>
      </c>
      <c r="Q30" s="793">
        <f t="shared" si="21"/>
        <v>20705</v>
      </c>
      <c r="R30" s="793">
        <f t="shared" si="22"/>
        <v>20705</v>
      </c>
      <c r="S30" s="793">
        <f t="shared" si="23"/>
        <v>30300</v>
      </c>
      <c r="T30" s="793">
        <f t="shared" si="24"/>
        <v>366</v>
      </c>
      <c r="U30" s="793">
        <f t="shared" si="25"/>
        <v>9595</v>
      </c>
      <c r="V30" s="793">
        <f t="shared" si="26"/>
        <v>19190</v>
      </c>
      <c r="W30" s="793">
        <f t="shared" si="27"/>
        <v>11110</v>
      </c>
      <c r="X30" s="793">
        <f t="shared" si="28"/>
        <v>11110</v>
      </c>
      <c r="Y30" s="805">
        <f t="shared" si="29"/>
        <v>30300</v>
      </c>
      <c r="Z30" s="805">
        <f t="shared" si="30"/>
        <v>365</v>
      </c>
      <c r="AA30" s="805">
        <f t="shared" si="53"/>
        <v>9595</v>
      </c>
      <c r="AB30" s="805">
        <f t="shared" si="57"/>
        <v>28785</v>
      </c>
      <c r="AC30" s="805">
        <f t="shared" si="54"/>
        <v>1515</v>
      </c>
      <c r="AD30" s="793">
        <f t="shared" si="31"/>
        <v>1515</v>
      </c>
      <c r="AE30" s="793">
        <f t="shared" si="32"/>
        <v>30300</v>
      </c>
      <c r="AF30" s="793">
        <f t="shared" si="33"/>
        <v>0</v>
      </c>
      <c r="AG30" s="793">
        <f t="shared" si="34"/>
        <v>0</v>
      </c>
      <c r="AH30" s="805">
        <f t="shared" si="35"/>
        <v>28785</v>
      </c>
      <c r="AI30" s="805">
        <f t="shared" si="36"/>
        <v>1515</v>
      </c>
      <c r="AJ30" s="793">
        <f t="shared" si="55"/>
        <v>1515</v>
      </c>
      <c r="AK30" s="793">
        <f t="shared" si="37"/>
        <v>30300</v>
      </c>
      <c r="AL30" s="793">
        <f t="shared" si="38"/>
        <v>0</v>
      </c>
      <c r="AM30" s="793">
        <f t="shared" si="39"/>
        <v>0</v>
      </c>
      <c r="AN30" s="805">
        <f t="shared" si="40"/>
        <v>28785</v>
      </c>
      <c r="AO30" s="805">
        <f t="shared" si="41"/>
        <v>1515</v>
      </c>
      <c r="AP30" s="793">
        <f t="shared" si="42"/>
        <v>1515</v>
      </c>
      <c r="AQ30" s="793">
        <f t="shared" si="43"/>
        <v>30300</v>
      </c>
      <c r="AR30" s="793">
        <f t="shared" si="44"/>
        <v>0</v>
      </c>
      <c r="AS30" s="793">
        <f t="shared" si="45"/>
        <v>0</v>
      </c>
      <c r="AT30" s="793">
        <f t="shared" si="46"/>
        <v>28785</v>
      </c>
      <c r="AU30" s="793">
        <f t="shared" si="47"/>
        <v>1515</v>
      </c>
      <c r="AV30" s="793">
        <f t="shared" si="48"/>
        <v>1515</v>
      </c>
      <c r="AW30" s="793">
        <f t="shared" si="49"/>
        <v>30300</v>
      </c>
      <c r="AX30" s="793">
        <f t="shared" si="50"/>
        <v>0</v>
      </c>
      <c r="AY30" s="793">
        <f t="shared" si="51"/>
        <v>0</v>
      </c>
      <c r="AZ30" s="793">
        <f t="shared" si="52"/>
        <v>28785</v>
      </c>
      <c r="BA30" s="793">
        <f t="shared" si="56"/>
        <v>1515</v>
      </c>
    </row>
    <row r="31" spans="1:53" ht="15" customHeight="1" x14ac:dyDescent="0.25">
      <c r="A31" s="842" t="s">
        <v>1187</v>
      </c>
      <c r="B31" s="843" t="s">
        <v>1192</v>
      </c>
      <c r="C31" s="778">
        <f t="shared" si="14"/>
        <v>0.31666666666666665</v>
      </c>
      <c r="D31" s="844">
        <v>3</v>
      </c>
      <c r="E31" s="779" t="s">
        <v>1182</v>
      </c>
      <c r="F31" s="845">
        <v>43191</v>
      </c>
      <c r="G31" s="845">
        <v>43191</v>
      </c>
      <c r="H31" s="781">
        <f t="shared" si="15"/>
        <v>44286</v>
      </c>
      <c r="I31" s="1359">
        <v>72360</v>
      </c>
      <c r="J31" s="805">
        <f t="shared" si="16"/>
        <v>3618</v>
      </c>
      <c r="K31" s="805"/>
      <c r="L31" s="793"/>
      <c r="M31" s="793">
        <f t="shared" si="17"/>
        <v>72360</v>
      </c>
      <c r="N31" s="793">
        <f t="shared" si="18"/>
        <v>365</v>
      </c>
      <c r="O31" s="793">
        <f t="shared" si="19"/>
        <v>22914</v>
      </c>
      <c r="P31" s="793">
        <f t="shared" si="20"/>
        <v>22914</v>
      </c>
      <c r="Q31" s="793">
        <f t="shared" si="21"/>
        <v>49446</v>
      </c>
      <c r="R31" s="793">
        <f t="shared" si="22"/>
        <v>49446</v>
      </c>
      <c r="S31" s="793">
        <f t="shared" si="23"/>
        <v>72360</v>
      </c>
      <c r="T31" s="793">
        <f t="shared" si="24"/>
        <v>366</v>
      </c>
      <c r="U31" s="793">
        <f t="shared" si="25"/>
        <v>22914</v>
      </c>
      <c r="V31" s="793">
        <f t="shared" si="26"/>
        <v>45828</v>
      </c>
      <c r="W31" s="793">
        <f t="shared" si="27"/>
        <v>26532</v>
      </c>
      <c r="X31" s="793">
        <f t="shared" si="28"/>
        <v>26532</v>
      </c>
      <c r="Y31" s="805">
        <f t="shared" si="29"/>
        <v>72360</v>
      </c>
      <c r="Z31" s="805">
        <f t="shared" si="30"/>
        <v>365</v>
      </c>
      <c r="AA31" s="805">
        <f t="shared" si="53"/>
        <v>22914</v>
      </c>
      <c r="AB31" s="805">
        <f t="shared" si="57"/>
        <v>68742</v>
      </c>
      <c r="AC31" s="805">
        <f t="shared" si="54"/>
        <v>3618</v>
      </c>
      <c r="AD31" s="793">
        <f t="shared" si="31"/>
        <v>3618</v>
      </c>
      <c r="AE31" s="793">
        <f t="shared" si="32"/>
        <v>72360</v>
      </c>
      <c r="AF31" s="793">
        <f t="shared" si="33"/>
        <v>0</v>
      </c>
      <c r="AG31" s="793">
        <f t="shared" si="34"/>
        <v>0</v>
      </c>
      <c r="AH31" s="805">
        <f t="shared" si="35"/>
        <v>68742</v>
      </c>
      <c r="AI31" s="805">
        <f t="shared" si="36"/>
        <v>3618</v>
      </c>
      <c r="AJ31" s="793">
        <f t="shared" si="55"/>
        <v>3618</v>
      </c>
      <c r="AK31" s="793">
        <f t="shared" si="37"/>
        <v>72360</v>
      </c>
      <c r="AL31" s="793">
        <f t="shared" si="38"/>
        <v>0</v>
      </c>
      <c r="AM31" s="793">
        <f t="shared" si="39"/>
        <v>0</v>
      </c>
      <c r="AN31" s="805">
        <f t="shared" si="40"/>
        <v>68742</v>
      </c>
      <c r="AO31" s="805">
        <f t="shared" si="41"/>
        <v>3618</v>
      </c>
      <c r="AP31" s="793">
        <f t="shared" si="42"/>
        <v>3618</v>
      </c>
      <c r="AQ31" s="793">
        <f t="shared" si="43"/>
        <v>72360</v>
      </c>
      <c r="AR31" s="793">
        <f t="shared" si="44"/>
        <v>0</v>
      </c>
      <c r="AS31" s="793">
        <f t="shared" si="45"/>
        <v>0</v>
      </c>
      <c r="AT31" s="793">
        <f t="shared" si="46"/>
        <v>68742</v>
      </c>
      <c r="AU31" s="793">
        <f t="shared" si="47"/>
        <v>3618</v>
      </c>
      <c r="AV31" s="793">
        <f t="shared" si="48"/>
        <v>3618</v>
      </c>
      <c r="AW31" s="793">
        <f t="shared" si="49"/>
        <v>72360</v>
      </c>
      <c r="AX31" s="793">
        <f t="shared" si="50"/>
        <v>0</v>
      </c>
      <c r="AY31" s="793">
        <f t="shared" si="51"/>
        <v>0</v>
      </c>
      <c r="AZ31" s="793">
        <f t="shared" si="52"/>
        <v>68742</v>
      </c>
      <c r="BA31" s="793">
        <f t="shared" si="56"/>
        <v>3618</v>
      </c>
    </row>
    <row r="32" spans="1:53" ht="15" customHeight="1" x14ac:dyDescent="0.25">
      <c r="A32" s="842" t="s">
        <v>1187</v>
      </c>
      <c r="B32" s="843" t="s">
        <v>1192</v>
      </c>
      <c r="C32" s="778">
        <f t="shared" si="14"/>
        <v>0.31666666666666665</v>
      </c>
      <c r="D32" s="844">
        <v>3</v>
      </c>
      <c r="E32" s="779" t="s">
        <v>1182</v>
      </c>
      <c r="F32" s="845">
        <v>43191</v>
      </c>
      <c r="G32" s="845">
        <v>43191</v>
      </c>
      <c r="H32" s="781">
        <f t="shared" si="15"/>
        <v>44286</v>
      </c>
      <c r="I32" s="1359">
        <v>5600</v>
      </c>
      <c r="J32" s="805">
        <f t="shared" si="16"/>
        <v>280</v>
      </c>
      <c r="K32" s="805"/>
      <c r="L32" s="793"/>
      <c r="M32" s="793">
        <f t="shared" si="17"/>
        <v>5600</v>
      </c>
      <c r="N32" s="793">
        <f t="shared" si="18"/>
        <v>365</v>
      </c>
      <c r="O32" s="793">
        <f t="shared" si="19"/>
        <v>1773</v>
      </c>
      <c r="P32" s="793">
        <f t="shared" si="20"/>
        <v>1773</v>
      </c>
      <c r="Q32" s="793">
        <f t="shared" si="21"/>
        <v>3827</v>
      </c>
      <c r="R32" s="793">
        <f t="shared" si="22"/>
        <v>3827</v>
      </c>
      <c r="S32" s="793">
        <f t="shared" si="23"/>
        <v>5600</v>
      </c>
      <c r="T32" s="793">
        <f t="shared" si="24"/>
        <v>366</v>
      </c>
      <c r="U32" s="793">
        <f t="shared" si="25"/>
        <v>1773</v>
      </c>
      <c r="V32" s="793">
        <f t="shared" si="26"/>
        <v>3546</v>
      </c>
      <c r="W32" s="793">
        <f t="shared" si="27"/>
        <v>2054</v>
      </c>
      <c r="X32" s="793">
        <f t="shared" si="28"/>
        <v>2054</v>
      </c>
      <c r="Y32" s="805">
        <f t="shared" si="29"/>
        <v>5600</v>
      </c>
      <c r="Z32" s="805">
        <f t="shared" si="30"/>
        <v>365</v>
      </c>
      <c r="AA32" s="805">
        <f t="shared" si="53"/>
        <v>1773</v>
      </c>
      <c r="AB32" s="805">
        <f t="shared" si="57"/>
        <v>5319</v>
      </c>
      <c r="AC32" s="805">
        <f t="shared" si="54"/>
        <v>281</v>
      </c>
      <c r="AD32" s="793">
        <f t="shared" si="31"/>
        <v>281</v>
      </c>
      <c r="AE32" s="793">
        <f t="shared" si="32"/>
        <v>5600</v>
      </c>
      <c r="AF32" s="793">
        <f t="shared" si="33"/>
        <v>0</v>
      </c>
      <c r="AG32" s="793">
        <f t="shared" si="34"/>
        <v>0</v>
      </c>
      <c r="AH32" s="805">
        <f t="shared" si="35"/>
        <v>5319</v>
      </c>
      <c r="AI32" s="805">
        <f t="shared" si="36"/>
        <v>281</v>
      </c>
      <c r="AJ32" s="793">
        <f t="shared" si="55"/>
        <v>281</v>
      </c>
      <c r="AK32" s="793">
        <f t="shared" si="37"/>
        <v>5600</v>
      </c>
      <c r="AL32" s="793">
        <f t="shared" si="38"/>
        <v>0</v>
      </c>
      <c r="AM32" s="793">
        <f t="shared" si="39"/>
        <v>0</v>
      </c>
      <c r="AN32" s="805">
        <f t="shared" si="40"/>
        <v>5319</v>
      </c>
      <c r="AO32" s="805">
        <f t="shared" si="41"/>
        <v>281</v>
      </c>
      <c r="AP32" s="793">
        <f t="shared" si="42"/>
        <v>281</v>
      </c>
      <c r="AQ32" s="793">
        <f t="shared" si="43"/>
        <v>5600</v>
      </c>
      <c r="AR32" s="793">
        <f t="shared" si="44"/>
        <v>0</v>
      </c>
      <c r="AS32" s="793">
        <f t="shared" si="45"/>
        <v>0</v>
      </c>
      <c r="AT32" s="793">
        <f t="shared" si="46"/>
        <v>5319</v>
      </c>
      <c r="AU32" s="793">
        <f t="shared" si="47"/>
        <v>281</v>
      </c>
      <c r="AV32" s="793">
        <f t="shared" si="48"/>
        <v>281</v>
      </c>
      <c r="AW32" s="793">
        <f t="shared" si="49"/>
        <v>5600</v>
      </c>
      <c r="AX32" s="793">
        <f t="shared" si="50"/>
        <v>0</v>
      </c>
      <c r="AY32" s="793">
        <f t="shared" si="51"/>
        <v>0</v>
      </c>
      <c r="AZ32" s="793">
        <f t="shared" si="52"/>
        <v>5319</v>
      </c>
      <c r="BA32" s="793">
        <f t="shared" si="56"/>
        <v>281</v>
      </c>
    </row>
    <row r="33" spans="1:53" ht="15" customHeight="1" x14ac:dyDescent="0.25">
      <c r="A33" s="842" t="s">
        <v>1187</v>
      </c>
      <c r="B33" s="843" t="s">
        <v>1192</v>
      </c>
      <c r="C33" s="778">
        <f t="shared" si="14"/>
        <v>0.31666666666666665</v>
      </c>
      <c r="D33" s="844">
        <v>3</v>
      </c>
      <c r="E33" s="779" t="s">
        <v>1182</v>
      </c>
      <c r="F33" s="845">
        <v>43191</v>
      </c>
      <c r="G33" s="845">
        <v>43191</v>
      </c>
      <c r="H33" s="781">
        <f t="shared" si="15"/>
        <v>44286</v>
      </c>
      <c r="I33" s="1359">
        <v>30300</v>
      </c>
      <c r="J33" s="805">
        <f t="shared" si="16"/>
        <v>1515</v>
      </c>
      <c r="K33" s="805"/>
      <c r="L33" s="793"/>
      <c r="M33" s="793">
        <f t="shared" si="17"/>
        <v>30300</v>
      </c>
      <c r="N33" s="793">
        <f t="shared" si="18"/>
        <v>365</v>
      </c>
      <c r="O33" s="793">
        <f t="shared" si="19"/>
        <v>9595</v>
      </c>
      <c r="P33" s="793">
        <f t="shared" si="20"/>
        <v>9595</v>
      </c>
      <c r="Q33" s="793">
        <f t="shared" si="21"/>
        <v>20705</v>
      </c>
      <c r="R33" s="793">
        <f t="shared" si="22"/>
        <v>20705</v>
      </c>
      <c r="S33" s="793">
        <f t="shared" si="23"/>
        <v>30300</v>
      </c>
      <c r="T33" s="793">
        <f t="shared" si="24"/>
        <v>366</v>
      </c>
      <c r="U33" s="793">
        <f t="shared" si="25"/>
        <v>9595</v>
      </c>
      <c r="V33" s="793">
        <f t="shared" si="26"/>
        <v>19190</v>
      </c>
      <c r="W33" s="793">
        <f t="shared" si="27"/>
        <v>11110</v>
      </c>
      <c r="X33" s="793">
        <f t="shared" si="28"/>
        <v>11110</v>
      </c>
      <c r="Y33" s="805">
        <f t="shared" si="29"/>
        <v>30300</v>
      </c>
      <c r="Z33" s="805">
        <f t="shared" si="30"/>
        <v>365</v>
      </c>
      <c r="AA33" s="805">
        <f t="shared" si="53"/>
        <v>9595</v>
      </c>
      <c r="AB33" s="805">
        <f t="shared" si="57"/>
        <v>28785</v>
      </c>
      <c r="AC33" s="805">
        <f t="shared" si="54"/>
        <v>1515</v>
      </c>
      <c r="AD33" s="793">
        <f t="shared" si="31"/>
        <v>1515</v>
      </c>
      <c r="AE33" s="793">
        <f t="shared" si="32"/>
        <v>30300</v>
      </c>
      <c r="AF33" s="793">
        <f t="shared" si="33"/>
        <v>0</v>
      </c>
      <c r="AG33" s="793">
        <f t="shared" si="34"/>
        <v>0</v>
      </c>
      <c r="AH33" s="805">
        <f t="shared" si="35"/>
        <v>28785</v>
      </c>
      <c r="AI33" s="805">
        <f t="shared" si="36"/>
        <v>1515</v>
      </c>
      <c r="AJ33" s="793">
        <f t="shared" si="55"/>
        <v>1515</v>
      </c>
      <c r="AK33" s="793">
        <f t="shared" si="37"/>
        <v>30300</v>
      </c>
      <c r="AL33" s="793">
        <f t="shared" si="38"/>
        <v>0</v>
      </c>
      <c r="AM33" s="793">
        <f t="shared" si="39"/>
        <v>0</v>
      </c>
      <c r="AN33" s="805">
        <f t="shared" si="40"/>
        <v>28785</v>
      </c>
      <c r="AO33" s="805">
        <f t="shared" si="41"/>
        <v>1515</v>
      </c>
      <c r="AP33" s="793">
        <f t="shared" si="42"/>
        <v>1515</v>
      </c>
      <c r="AQ33" s="793">
        <f t="shared" si="43"/>
        <v>30300</v>
      </c>
      <c r="AR33" s="793">
        <f t="shared" si="44"/>
        <v>0</v>
      </c>
      <c r="AS33" s="793">
        <f t="shared" si="45"/>
        <v>0</v>
      </c>
      <c r="AT33" s="793">
        <f t="shared" si="46"/>
        <v>28785</v>
      </c>
      <c r="AU33" s="793">
        <f t="shared" si="47"/>
        <v>1515</v>
      </c>
      <c r="AV33" s="793">
        <f t="shared" si="48"/>
        <v>1515</v>
      </c>
      <c r="AW33" s="793">
        <f t="shared" si="49"/>
        <v>30300</v>
      </c>
      <c r="AX33" s="793">
        <f t="shared" si="50"/>
        <v>0</v>
      </c>
      <c r="AY33" s="793">
        <f t="shared" si="51"/>
        <v>0</v>
      </c>
      <c r="AZ33" s="793">
        <f t="shared" si="52"/>
        <v>28785</v>
      </c>
      <c r="BA33" s="793">
        <f t="shared" si="56"/>
        <v>1515</v>
      </c>
    </row>
    <row r="34" spans="1:53" ht="15" customHeight="1" x14ac:dyDescent="0.25">
      <c r="A34" s="842" t="s">
        <v>1187</v>
      </c>
      <c r="B34" s="843" t="s">
        <v>1192</v>
      </c>
      <c r="C34" s="778">
        <f t="shared" si="14"/>
        <v>0.31666666666666665</v>
      </c>
      <c r="D34" s="844">
        <v>3</v>
      </c>
      <c r="E34" s="779" t="s">
        <v>1182</v>
      </c>
      <c r="F34" s="845">
        <v>43191</v>
      </c>
      <c r="G34" s="845">
        <v>43191</v>
      </c>
      <c r="H34" s="781">
        <f t="shared" si="15"/>
        <v>44286</v>
      </c>
      <c r="I34" s="1359">
        <v>1600</v>
      </c>
      <c r="J34" s="805">
        <f t="shared" si="16"/>
        <v>80</v>
      </c>
      <c r="K34" s="805"/>
      <c r="L34" s="793"/>
      <c r="M34" s="793">
        <f t="shared" si="17"/>
        <v>1600</v>
      </c>
      <c r="N34" s="793">
        <f t="shared" si="18"/>
        <v>365</v>
      </c>
      <c r="O34" s="793">
        <f t="shared" si="19"/>
        <v>507</v>
      </c>
      <c r="P34" s="793">
        <f t="shared" si="20"/>
        <v>507</v>
      </c>
      <c r="Q34" s="793">
        <f t="shared" si="21"/>
        <v>1093</v>
      </c>
      <c r="R34" s="793">
        <f t="shared" si="22"/>
        <v>1093</v>
      </c>
      <c r="S34" s="793">
        <f t="shared" si="23"/>
        <v>1600</v>
      </c>
      <c r="T34" s="793">
        <f t="shared" si="24"/>
        <v>366</v>
      </c>
      <c r="U34" s="793">
        <f t="shared" si="25"/>
        <v>507</v>
      </c>
      <c r="V34" s="793">
        <f t="shared" si="26"/>
        <v>1014</v>
      </c>
      <c r="W34" s="793">
        <f t="shared" si="27"/>
        <v>586</v>
      </c>
      <c r="X34" s="793">
        <f t="shared" si="28"/>
        <v>586</v>
      </c>
      <c r="Y34" s="805">
        <f t="shared" si="29"/>
        <v>1600</v>
      </c>
      <c r="Z34" s="805">
        <f t="shared" si="30"/>
        <v>365</v>
      </c>
      <c r="AA34" s="805">
        <f t="shared" si="53"/>
        <v>507</v>
      </c>
      <c r="AB34" s="805">
        <f t="shared" si="57"/>
        <v>1521</v>
      </c>
      <c r="AC34" s="805">
        <f t="shared" si="54"/>
        <v>79</v>
      </c>
      <c r="AD34" s="793">
        <f t="shared" si="31"/>
        <v>79</v>
      </c>
      <c r="AE34" s="793">
        <f t="shared" si="32"/>
        <v>1600</v>
      </c>
      <c r="AF34" s="793">
        <f t="shared" si="33"/>
        <v>0</v>
      </c>
      <c r="AG34" s="793">
        <f t="shared" si="34"/>
        <v>0</v>
      </c>
      <c r="AH34" s="805">
        <f t="shared" si="35"/>
        <v>1521</v>
      </c>
      <c r="AI34" s="805">
        <f t="shared" si="36"/>
        <v>79</v>
      </c>
      <c r="AJ34" s="793">
        <f t="shared" si="55"/>
        <v>79</v>
      </c>
      <c r="AK34" s="793">
        <f t="shared" si="37"/>
        <v>1600</v>
      </c>
      <c r="AL34" s="793">
        <f t="shared" si="38"/>
        <v>0</v>
      </c>
      <c r="AM34" s="793">
        <f t="shared" si="39"/>
        <v>0</v>
      </c>
      <c r="AN34" s="805">
        <f t="shared" si="40"/>
        <v>1521</v>
      </c>
      <c r="AO34" s="805">
        <f t="shared" si="41"/>
        <v>79</v>
      </c>
      <c r="AP34" s="793">
        <f t="shared" si="42"/>
        <v>79</v>
      </c>
      <c r="AQ34" s="793">
        <f t="shared" si="43"/>
        <v>1600</v>
      </c>
      <c r="AR34" s="793">
        <f t="shared" si="44"/>
        <v>0</v>
      </c>
      <c r="AS34" s="793">
        <f t="shared" si="45"/>
        <v>0</v>
      </c>
      <c r="AT34" s="793">
        <f t="shared" si="46"/>
        <v>1521</v>
      </c>
      <c r="AU34" s="793">
        <f t="shared" si="47"/>
        <v>79</v>
      </c>
      <c r="AV34" s="793">
        <f t="shared" si="48"/>
        <v>79</v>
      </c>
      <c r="AW34" s="793">
        <f t="shared" si="49"/>
        <v>1600</v>
      </c>
      <c r="AX34" s="793">
        <f t="shared" si="50"/>
        <v>0</v>
      </c>
      <c r="AY34" s="793">
        <f t="shared" si="51"/>
        <v>0</v>
      </c>
      <c r="AZ34" s="793">
        <f t="shared" si="52"/>
        <v>1521</v>
      </c>
      <c r="BA34" s="793">
        <f t="shared" si="56"/>
        <v>79</v>
      </c>
    </row>
    <row r="35" spans="1:53" ht="15" customHeight="1" x14ac:dyDescent="0.25">
      <c r="A35" s="842" t="s">
        <v>1187</v>
      </c>
      <c r="B35" s="843" t="s">
        <v>1193</v>
      </c>
      <c r="C35" s="778">
        <f t="shared" si="14"/>
        <v>0.31666666666666665</v>
      </c>
      <c r="D35" s="844">
        <v>3</v>
      </c>
      <c r="E35" s="779" t="s">
        <v>1182</v>
      </c>
      <c r="F35" s="845">
        <v>43191</v>
      </c>
      <c r="G35" s="845">
        <v>43191</v>
      </c>
      <c r="H35" s="781">
        <f t="shared" si="15"/>
        <v>44286</v>
      </c>
      <c r="I35" s="1359">
        <v>22600</v>
      </c>
      <c r="J35" s="805">
        <f t="shared" si="16"/>
        <v>1130</v>
      </c>
      <c r="K35" s="805"/>
      <c r="L35" s="793"/>
      <c r="M35" s="793">
        <f t="shared" si="17"/>
        <v>22600</v>
      </c>
      <c r="N35" s="793">
        <f t="shared" si="18"/>
        <v>365</v>
      </c>
      <c r="O35" s="793">
        <f t="shared" si="19"/>
        <v>7157</v>
      </c>
      <c r="P35" s="793">
        <f t="shared" si="20"/>
        <v>7157</v>
      </c>
      <c r="Q35" s="793">
        <f t="shared" si="21"/>
        <v>15443</v>
      </c>
      <c r="R35" s="793">
        <f t="shared" si="22"/>
        <v>15443</v>
      </c>
      <c r="S35" s="793">
        <f t="shared" si="23"/>
        <v>22600</v>
      </c>
      <c r="T35" s="793">
        <f t="shared" si="24"/>
        <v>366</v>
      </c>
      <c r="U35" s="793">
        <f t="shared" si="25"/>
        <v>7157</v>
      </c>
      <c r="V35" s="793">
        <f t="shared" si="26"/>
        <v>14314</v>
      </c>
      <c r="W35" s="793">
        <f t="shared" si="27"/>
        <v>8286</v>
      </c>
      <c r="X35" s="793">
        <f t="shared" si="28"/>
        <v>8286</v>
      </c>
      <c r="Y35" s="805">
        <f t="shared" si="29"/>
        <v>22600</v>
      </c>
      <c r="Z35" s="805">
        <f t="shared" si="30"/>
        <v>365</v>
      </c>
      <c r="AA35" s="805">
        <f t="shared" si="53"/>
        <v>7157</v>
      </c>
      <c r="AB35" s="805">
        <f t="shared" si="57"/>
        <v>21471</v>
      </c>
      <c r="AC35" s="805">
        <f t="shared" si="54"/>
        <v>1129</v>
      </c>
      <c r="AD35" s="793">
        <f t="shared" si="31"/>
        <v>1129</v>
      </c>
      <c r="AE35" s="793">
        <f t="shared" si="32"/>
        <v>22600</v>
      </c>
      <c r="AF35" s="793">
        <f t="shared" si="33"/>
        <v>0</v>
      </c>
      <c r="AG35" s="793">
        <f t="shared" si="34"/>
        <v>0</v>
      </c>
      <c r="AH35" s="805">
        <f t="shared" si="35"/>
        <v>21471</v>
      </c>
      <c r="AI35" s="805">
        <f t="shared" si="36"/>
        <v>1129</v>
      </c>
      <c r="AJ35" s="793">
        <f t="shared" si="55"/>
        <v>1129</v>
      </c>
      <c r="AK35" s="793">
        <f t="shared" si="37"/>
        <v>22600</v>
      </c>
      <c r="AL35" s="793">
        <f t="shared" si="38"/>
        <v>0</v>
      </c>
      <c r="AM35" s="793">
        <f t="shared" si="39"/>
        <v>0</v>
      </c>
      <c r="AN35" s="805">
        <f t="shared" si="40"/>
        <v>21471</v>
      </c>
      <c r="AO35" s="805">
        <f t="shared" si="41"/>
        <v>1129</v>
      </c>
      <c r="AP35" s="793">
        <f t="shared" si="42"/>
        <v>1129</v>
      </c>
      <c r="AQ35" s="793">
        <f t="shared" si="43"/>
        <v>22600</v>
      </c>
      <c r="AR35" s="793">
        <f t="shared" si="44"/>
        <v>0</v>
      </c>
      <c r="AS35" s="793">
        <f t="shared" si="45"/>
        <v>0</v>
      </c>
      <c r="AT35" s="793">
        <f t="shared" si="46"/>
        <v>21471</v>
      </c>
      <c r="AU35" s="793">
        <f t="shared" si="47"/>
        <v>1129</v>
      </c>
      <c r="AV35" s="793">
        <f t="shared" si="48"/>
        <v>1129</v>
      </c>
      <c r="AW35" s="793">
        <f t="shared" si="49"/>
        <v>22600</v>
      </c>
      <c r="AX35" s="793">
        <f t="shared" si="50"/>
        <v>0</v>
      </c>
      <c r="AY35" s="793">
        <f t="shared" si="51"/>
        <v>0</v>
      </c>
      <c r="AZ35" s="793">
        <f t="shared" si="52"/>
        <v>21471</v>
      </c>
      <c r="BA35" s="793">
        <f t="shared" si="56"/>
        <v>1129</v>
      </c>
    </row>
    <row r="36" spans="1:53" ht="15" customHeight="1" x14ac:dyDescent="0.25">
      <c r="A36" s="842" t="s">
        <v>1187</v>
      </c>
      <c r="B36" s="843" t="s">
        <v>1193</v>
      </c>
      <c r="C36" s="778">
        <f t="shared" si="14"/>
        <v>0.31666666666666665</v>
      </c>
      <c r="D36" s="844">
        <v>3</v>
      </c>
      <c r="E36" s="779" t="s">
        <v>1182</v>
      </c>
      <c r="F36" s="845">
        <v>43191</v>
      </c>
      <c r="G36" s="845">
        <v>43191</v>
      </c>
      <c r="H36" s="781">
        <f t="shared" si="15"/>
        <v>44286</v>
      </c>
      <c r="I36" s="1359">
        <v>21000</v>
      </c>
      <c r="J36" s="805">
        <f t="shared" si="16"/>
        <v>1050</v>
      </c>
      <c r="K36" s="805"/>
      <c r="L36" s="793"/>
      <c r="M36" s="793">
        <f t="shared" si="17"/>
        <v>21000</v>
      </c>
      <c r="N36" s="793">
        <f t="shared" si="18"/>
        <v>365</v>
      </c>
      <c r="O36" s="793">
        <f t="shared" si="19"/>
        <v>6650</v>
      </c>
      <c r="P36" s="793">
        <f t="shared" si="20"/>
        <v>6650</v>
      </c>
      <c r="Q36" s="793">
        <f t="shared" si="21"/>
        <v>14350</v>
      </c>
      <c r="R36" s="793">
        <f t="shared" si="22"/>
        <v>14350</v>
      </c>
      <c r="S36" s="793">
        <f t="shared" si="23"/>
        <v>21000</v>
      </c>
      <c r="T36" s="793">
        <f t="shared" si="24"/>
        <v>366</v>
      </c>
      <c r="U36" s="793">
        <f t="shared" si="25"/>
        <v>6650</v>
      </c>
      <c r="V36" s="793">
        <f t="shared" si="26"/>
        <v>13300</v>
      </c>
      <c r="W36" s="793">
        <f t="shared" si="27"/>
        <v>7700</v>
      </c>
      <c r="X36" s="793">
        <f t="shared" si="28"/>
        <v>7700</v>
      </c>
      <c r="Y36" s="805">
        <f t="shared" si="29"/>
        <v>21000</v>
      </c>
      <c r="Z36" s="805">
        <f t="shared" si="30"/>
        <v>365</v>
      </c>
      <c r="AA36" s="805">
        <f t="shared" si="53"/>
        <v>6650</v>
      </c>
      <c r="AB36" s="805">
        <f t="shared" si="57"/>
        <v>19950</v>
      </c>
      <c r="AC36" s="805">
        <f t="shared" si="54"/>
        <v>1050</v>
      </c>
      <c r="AD36" s="793">
        <f t="shared" si="31"/>
        <v>1050</v>
      </c>
      <c r="AE36" s="793">
        <f t="shared" si="32"/>
        <v>21000</v>
      </c>
      <c r="AF36" s="793">
        <f t="shared" si="33"/>
        <v>0</v>
      </c>
      <c r="AG36" s="793">
        <f t="shared" si="34"/>
        <v>0</v>
      </c>
      <c r="AH36" s="805">
        <f t="shared" si="35"/>
        <v>19950</v>
      </c>
      <c r="AI36" s="805">
        <f t="shared" si="36"/>
        <v>1050</v>
      </c>
      <c r="AJ36" s="793">
        <f t="shared" si="55"/>
        <v>1050</v>
      </c>
      <c r="AK36" s="793">
        <f t="shared" si="37"/>
        <v>21000</v>
      </c>
      <c r="AL36" s="793">
        <f t="shared" si="38"/>
        <v>0</v>
      </c>
      <c r="AM36" s="793">
        <f t="shared" si="39"/>
        <v>0</v>
      </c>
      <c r="AN36" s="805">
        <f t="shared" si="40"/>
        <v>19950</v>
      </c>
      <c r="AO36" s="805">
        <f t="shared" si="41"/>
        <v>1050</v>
      </c>
      <c r="AP36" s="793">
        <f t="shared" si="42"/>
        <v>1050</v>
      </c>
      <c r="AQ36" s="793">
        <f t="shared" si="43"/>
        <v>21000</v>
      </c>
      <c r="AR36" s="793">
        <f t="shared" si="44"/>
        <v>0</v>
      </c>
      <c r="AS36" s="793">
        <f t="shared" si="45"/>
        <v>0</v>
      </c>
      <c r="AT36" s="793">
        <f t="shared" si="46"/>
        <v>19950</v>
      </c>
      <c r="AU36" s="793">
        <f t="shared" si="47"/>
        <v>1050</v>
      </c>
      <c r="AV36" s="793">
        <f t="shared" si="48"/>
        <v>1050</v>
      </c>
      <c r="AW36" s="793">
        <f t="shared" si="49"/>
        <v>21000</v>
      </c>
      <c r="AX36" s="793">
        <f t="shared" si="50"/>
        <v>0</v>
      </c>
      <c r="AY36" s="793">
        <f t="shared" si="51"/>
        <v>0</v>
      </c>
      <c r="AZ36" s="793">
        <f t="shared" si="52"/>
        <v>19950</v>
      </c>
      <c r="BA36" s="793">
        <f t="shared" si="56"/>
        <v>1050</v>
      </c>
    </row>
    <row r="37" spans="1:53" ht="15" customHeight="1" x14ac:dyDescent="0.25">
      <c r="A37" s="842" t="s">
        <v>1187</v>
      </c>
      <c r="B37" s="843" t="s">
        <v>1193</v>
      </c>
      <c r="C37" s="778">
        <f t="shared" si="14"/>
        <v>0.31666666666666665</v>
      </c>
      <c r="D37" s="844">
        <v>3</v>
      </c>
      <c r="E37" s="779" t="s">
        <v>1182</v>
      </c>
      <c r="F37" s="845">
        <v>43191</v>
      </c>
      <c r="G37" s="845">
        <v>43191</v>
      </c>
      <c r="H37" s="781">
        <f t="shared" si="15"/>
        <v>44286</v>
      </c>
      <c r="I37" s="1359">
        <v>42000</v>
      </c>
      <c r="J37" s="805">
        <f t="shared" si="16"/>
        <v>2100</v>
      </c>
      <c r="K37" s="805"/>
      <c r="L37" s="793"/>
      <c r="M37" s="793">
        <f t="shared" si="17"/>
        <v>42000</v>
      </c>
      <c r="N37" s="793">
        <f t="shared" si="18"/>
        <v>365</v>
      </c>
      <c r="O37" s="793">
        <f t="shared" si="19"/>
        <v>13300</v>
      </c>
      <c r="P37" s="793">
        <f t="shared" si="20"/>
        <v>13300</v>
      </c>
      <c r="Q37" s="793">
        <f t="shared" si="21"/>
        <v>28700</v>
      </c>
      <c r="R37" s="793">
        <f t="shared" si="22"/>
        <v>28700</v>
      </c>
      <c r="S37" s="793">
        <f t="shared" si="23"/>
        <v>42000</v>
      </c>
      <c r="T37" s="793">
        <f t="shared" si="24"/>
        <v>366</v>
      </c>
      <c r="U37" s="793">
        <f t="shared" si="25"/>
        <v>13300</v>
      </c>
      <c r="V37" s="793">
        <f t="shared" si="26"/>
        <v>26600</v>
      </c>
      <c r="W37" s="793">
        <f t="shared" si="27"/>
        <v>15400</v>
      </c>
      <c r="X37" s="793">
        <f t="shared" si="28"/>
        <v>15400</v>
      </c>
      <c r="Y37" s="805">
        <f t="shared" si="29"/>
        <v>42000</v>
      </c>
      <c r="Z37" s="805">
        <f t="shared" si="30"/>
        <v>365</v>
      </c>
      <c r="AA37" s="805">
        <f t="shared" si="53"/>
        <v>13300</v>
      </c>
      <c r="AB37" s="805">
        <f t="shared" si="57"/>
        <v>39900</v>
      </c>
      <c r="AC37" s="805">
        <f t="shared" si="54"/>
        <v>2100</v>
      </c>
      <c r="AD37" s="793">
        <f t="shared" si="31"/>
        <v>2100</v>
      </c>
      <c r="AE37" s="793">
        <f t="shared" si="32"/>
        <v>42000</v>
      </c>
      <c r="AF37" s="793">
        <f t="shared" si="33"/>
        <v>0</v>
      </c>
      <c r="AG37" s="793">
        <f t="shared" si="34"/>
        <v>0</v>
      </c>
      <c r="AH37" s="805">
        <f t="shared" si="35"/>
        <v>39900</v>
      </c>
      <c r="AI37" s="805">
        <f t="shared" si="36"/>
        <v>2100</v>
      </c>
      <c r="AJ37" s="793">
        <f t="shared" si="55"/>
        <v>2100</v>
      </c>
      <c r="AK37" s="793">
        <f t="shared" si="37"/>
        <v>42000</v>
      </c>
      <c r="AL37" s="793">
        <f t="shared" si="38"/>
        <v>0</v>
      </c>
      <c r="AM37" s="793">
        <f t="shared" si="39"/>
        <v>0</v>
      </c>
      <c r="AN37" s="805">
        <f t="shared" si="40"/>
        <v>39900</v>
      </c>
      <c r="AO37" s="805">
        <f t="shared" si="41"/>
        <v>2100</v>
      </c>
      <c r="AP37" s="793">
        <f t="shared" si="42"/>
        <v>2100</v>
      </c>
      <c r="AQ37" s="793">
        <f t="shared" si="43"/>
        <v>42000</v>
      </c>
      <c r="AR37" s="793">
        <f t="shared" si="44"/>
        <v>0</v>
      </c>
      <c r="AS37" s="793">
        <f t="shared" si="45"/>
        <v>0</v>
      </c>
      <c r="AT37" s="793">
        <f t="shared" si="46"/>
        <v>39900</v>
      </c>
      <c r="AU37" s="793">
        <f t="shared" si="47"/>
        <v>2100</v>
      </c>
      <c r="AV37" s="793">
        <f t="shared" si="48"/>
        <v>2100</v>
      </c>
      <c r="AW37" s="793">
        <f t="shared" si="49"/>
        <v>42000</v>
      </c>
      <c r="AX37" s="793">
        <f t="shared" si="50"/>
        <v>0</v>
      </c>
      <c r="AY37" s="793">
        <f t="shared" si="51"/>
        <v>0</v>
      </c>
      <c r="AZ37" s="793">
        <f t="shared" si="52"/>
        <v>39900</v>
      </c>
      <c r="BA37" s="793">
        <f t="shared" si="56"/>
        <v>2100</v>
      </c>
    </row>
    <row r="38" spans="1:53" ht="15" customHeight="1" x14ac:dyDescent="0.25">
      <c r="A38" s="842" t="s">
        <v>1187</v>
      </c>
      <c r="B38" s="843" t="s">
        <v>1193</v>
      </c>
      <c r="C38" s="778">
        <f t="shared" si="14"/>
        <v>0.31666666666666665</v>
      </c>
      <c r="D38" s="844">
        <v>3</v>
      </c>
      <c r="E38" s="779" t="s">
        <v>1182</v>
      </c>
      <c r="F38" s="845">
        <v>43191</v>
      </c>
      <c r="G38" s="845">
        <v>43191</v>
      </c>
      <c r="H38" s="781">
        <f t="shared" si="15"/>
        <v>44286</v>
      </c>
      <c r="I38" s="1359">
        <v>19000</v>
      </c>
      <c r="J38" s="805">
        <f t="shared" si="16"/>
        <v>950</v>
      </c>
      <c r="K38" s="805"/>
      <c r="L38" s="793"/>
      <c r="M38" s="793">
        <f t="shared" si="17"/>
        <v>19000</v>
      </c>
      <c r="N38" s="793">
        <f t="shared" si="18"/>
        <v>365</v>
      </c>
      <c r="O38" s="793">
        <f t="shared" si="19"/>
        <v>6017</v>
      </c>
      <c r="P38" s="793">
        <f t="shared" si="20"/>
        <v>6017</v>
      </c>
      <c r="Q38" s="793">
        <f t="shared" si="21"/>
        <v>12983</v>
      </c>
      <c r="R38" s="793">
        <f t="shared" si="22"/>
        <v>12983</v>
      </c>
      <c r="S38" s="793">
        <f t="shared" si="23"/>
        <v>19000</v>
      </c>
      <c r="T38" s="793">
        <f t="shared" si="24"/>
        <v>366</v>
      </c>
      <c r="U38" s="793">
        <f t="shared" si="25"/>
        <v>6017</v>
      </c>
      <c r="V38" s="793">
        <f t="shared" si="26"/>
        <v>12034</v>
      </c>
      <c r="W38" s="793">
        <f t="shared" si="27"/>
        <v>6966</v>
      </c>
      <c r="X38" s="793">
        <f t="shared" si="28"/>
        <v>6966</v>
      </c>
      <c r="Y38" s="805">
        <f t="shared" si="29"/>
        <v>19000</v>
      </c>
      <c r="Z38" s="805">
        <f t="shared" si="30"/>
        <v>365</v>
      </c>
      <c r="AA38" s="805">
        <f t="shared" si="53"/>
        <v>6017</v>
      </c>
      <c r="AB38" s="805">
        <f t="shared" si="57"/>
        <v>18051</v>
      </c>
      <c r="AC38" s="805">
        <f t="shared" si="54"/>
        <v>949</v>
      </c>
      <c r="AD38" s="793">
        <f t="shared" si="31"/>
        <v>949</v>
      </c>
      <c r="AE38" s="793">
        <f t="shared" si="32"/>
        <v>19000</v>
      </c>
      <c r="AF38" s="793">
        <f t="shared" si="33"/>
        <v>0</v>
      </c>
      <c r="AG38" s="793">
        <f t="shared" si="34"/>
        <v>0</v>
      </c>
      <c r="AH38" s="805">
        <f t="shared" si="35"/>
        <v>18051</v>
      </c>
      <c r="AI38" s="805">
        <f t="shared" si="36"/>
        <v>949</v>
      </c>
      <c r="AJ38" s="793">
        <f t="shared" si="55"/>
        <v>949</v>
      </c>
      <c r="AK38" s="793">
        <f t="shared" si="37"/>
        <v>19000</v>
      </c>
      <c r="AL38" s="793">
        <f t="shared" si="38"/>
        <v>0</v>
      </c>
      <c r="AM38" s="793">
        <f t="shared" si="39"/>
        <v>0</v>
      </c>
      <c r="AN38" s="805">
        <f t="shared" si="40"/>
        <v>18051</v>
      </c>
      <c r="AO38" s="805">
        <f t="shared" si="41"/>
        <v>949</v>
      </c>
      <c r="AP38" s="793">
        <f t="shared" si="42"/>
        <v>949</v>
      </c>
      <c r="AQ38" s="793">
        <f t="shared" si="43"/>
        <v>19000</v>
      </c>
      <c r="AR38" s="793">
        <f t="shared" si="44"/>
        <v>0</v>
      </c>
      <c r="AS38" s="793">
        <f t="shared" si="45"/>
        <v>0</v>
      </c>
      <c r="AT38" s="793">
        <f t="shared" si="46"/>
        <v>18051</v>
      </c>
      <c r="AU38" s="793">
        <f t="shared" si="47"/>
        <v>949</v>
      </c>
      <c r="AV38" s="793">
        <f t="shared" si="48"/>
        <v>949</v>
      </c>
      <c r="AW38" s="793">
        <f t="shared" si="49"/>
        <v>19000</v>
      </c>
      <c r="AX38" s="793">
        <f t="shared" si="50"/>
        <v>0</v>
      </c>
      <c r="AY38" s="793">
        <f t="shared" si="51"/>
        <v>0</v>
      </c>
      <c r="AZ38" s="793">
        <f t="shared" si="52"/>
        <v>18051</v>
      </c>
      <c r="BA38" s="793">
        <f t="shared" si="56"/>
        <v>949</v>
      </c>
    </row>
    <row r="39" spans="1:53" ht="15" customHeight="1" x14ac:dyDescent="0.25">
      <c r="A39" s="842" t="s">
        <v>1187</v>
      </c>
      <c r="B39" s="843" t="s">
        <v>1194</v>
      </c>
      <c r="C39" s="778">
        <f t="shared" si="14"/>
        <v>0.31666666666666665</v>
      </c>
      <c r="D39" s="844">
        <v>3</v>
      </c>
      <c r="E39" s="779" t="s">
        <v>1182</v>
      </c>
      <c r="F39" s="845">
        <v>43191</v>
      </c>
      <c r="G39" s="845">
        <v>43191</v>
      </c>
      <c r="H39" s="781">
        <f t="shared" si="15"/>
        <v>44286</v>
      </c>
      <c r="I39" s="1359">
        <v>57482.5</v>
      </c>
      <c r="J39" s="805">
        <f t="shared" si="16"/>
        <v>2874.125</v>
      </c>
      <c r="K39" s="805"/>
      <c r="L39" s="793"/>
      <c r="M39" s="793">
        <f t="shared" si="17"/>
        <v>57482.5</v>
      </c>
      <c r="N39" s="793">
        <f t="shared" si="18"/>
        <v>365</v>
      </c>
      <c r="O39" s="793">
        <f t="shared" si="19"/>
        <v>18203</v>
      </c>
      <c r="P39" s="793">
        <f t="shared" si="20"/>
        <v>18203</v>
      </c>
      <c r="Q39" s="793">
        <f t="shared" si="21"/>
        <v>39279.5</v>
      </c>
      <c r="R39" s="793">
        <f t="shared" si="22"/>
        <v>39279.5</v>
      </c>
      <c r="S39" s="793">
        <f t="shared" si="23"/>
        <v>57482.5</v>
      </c>
      <c r="T39" s="793">
        <f t="shared" si="24"/>
        <v>366</v>
      </c>
      <c r="U39" s="793">
        <f t="shared" si="25"/>
        <v>18203</v>
      </c>
      <c r="V39" s="793">
        <f t="shared" si="26"/>
        <v>36406</v>
      </c>
      <c r="W39" s="793">
        <f t="shared" si="27"/>
        <v>21076.5</v>
      </c>
      <c r="X39" s="793">
        <f t="shared" si="28"/>
        <v>21076.5</v>
      </c>
      <c r="Y39" s="805">
        <f t="shared" si="29"/>
        <v>57482.5</v>
      </c>
      <c r="Z39" s="805">
        <f t="shared" si="30"/>
        <v>365</v>
      </c>
      <c r="AA39" s="805">
        <f t="shared" si="53"/>
        <v>18203</v>
      </c>
      <c r="AB39" s="805">
        <f t="shared" si="57"/>
        <v>54609</v>
      </c>
      <c r="AC39" s="805">
        <f t="shared" si="54"/>
        <v>2873.5</v>
      </c>
      <c r="AD39" s="793">
        <f t="shared" si="31"/>
        <v>2873.5</v>
      </c>
      <c r="AE39" s="793">
        <f t="shared" si="32"/>
        <v>57482.5</v>
      </c>
      <c r="AF39" s="793">
        <f t="shared" si="33"/>
        <v>0</v>
      </c>
      <c r="AG39" s="793">
        <f t="shared" si="34"/>
        <v>0</v>
      </c>
      <c r="AH39" s="805">
        <f t="shared" si="35"/>
        <v>54609</v>
      </c>
      <c r="AI39" s="805">
        <f t="shared" si="36"/>
        <v>2873.5</v>
      </c>
      <c r="AJ39" s="793">
        <f t="shared" si="55"/>
        <v>2873.5</v>
      </c>
      <c r="AK39" s="793">
        <f t="shared" si="37"/>
        <v>57482.5</v>
      </c>
      <c r="AL39" s="793">
        <f t="shared" si="38"/>
        <v>0</v>
      </c>
      <c r="AM39" s="793">
        <f t="shared" si="39"/>
        <v>0</v>
      </c>
      <c r="AN39" s="805">
        <f t="shared" si="40"/>
        <v>54609</v>
      </c>
      <c r="AO39" s="805">
        <f t="shared" si="41"/>
        <v>2873.5</v>
      </c>
      <c r="AP39" s="793">
        <f t="shared" si="42"/>
        <v>2873.5</v>
      </c>
      <c r="AQ39" s="793">
        <f t="shared" si="43"/>
        <v>57482.5</v>
      </c>
      <c r="AR39" s="793">
        <f t="shared" si="44"/>
        <v>0</v>
      </c>
      <c r="AS39" s="793">
        <f t="shared" si="45"/>
        <v>0</v>
      </c>
      <c r="AT39" s="793">
        <f t="shared" si="46"/>
        <v>54609</v>
      </c>
      <c r="AU39" s="793">
        <f t="shared" si="47"/>
        <v>2873.5</v>
      </c>
      <c r="AV39" s="793">
        <f t="shared" si="48"/>
        <v>2873.5</v>
      </c>
      <c r="AW39" s="793">
        <f t="shared" si="49"/>
        <v>57482.5</v>
      </c>
      <c r="AX39" s="793">
        <f t="shared" si="50"/>
        <v>0</v>
      </c>
      <c r="AY39" s="793">
        <f t="shared" si="51"/>
        <v>0</v>
      </c>
      <c r="AZ39" s="793">
        <f t="shared" si="52"/>
        <v>54609</v>
      </c>
      <c r="BA39" s="793">
        <f t="shared" si="56"/>
        <v>2873.5</v>
      </c>
    </row>
    <row r="40" spans="1:53" ht="15" customHeight="1" x14ac:dyDescent="0.25">
      <c r="A40" s="842" t="s">
        <v>1187</v>
      </c>
      <c r="B40" s="843" t="s">
        <v>1194</v>
      </c>
      <c r="C40" s="778">
        <f t="shared" si="14"/>
        <v>0.31666666666666665</v>
      </c>
      <c r="D40" s="844">
        <v>3</v>
      </c>
      <c r="E40" s="779" t="s">
        <v>1182</v>
      </c>
      <c r="F40" s="845">
        <v>43191</v>
      </c>
      <c r="G40" s="845">
        <v>43191</v>
      </c>
      <c r="H40" s="781">
        <f t="shared" si="15"/>
        <v>44286</v>
      </c>
      <c r="I40" s="1359">
        <v>8700</v>
      </c>
      <c r="J40" s="805">
        <f t="shared" si="16"/>
        <v>435</v>
      </c>
      <c r="K40" s="805"/>
      <c r="L40" s="793"/>
      <c r="M40" s="793">
        <f t="shared" si="17"/>
        <v>8700</v>
      </c>
      <c r="N40" s="793">
        <f t="shared" si="18"/>
        <v>365</v>
      </c>
      <c r="O40" s="793">
        <f t="shared" si="19"/>
        <v>2755</v>
      </c>
      <c r="P40" s="793">
        <f t="shared" si="20"/>
        <v>2755</v>
      </c>
      <c r="Q40" s="793">
        <f t="shared" si="21"/>
        <v>5945</v>
      </c>
      <c r="R40" s="793">
        <f t="shared" si="22"/>
        <v>5945</v>
      </c>
      <c r="S40" s="793">
        <f t="shared" si="23"/>
        <v>8700</v>
      </c>
      <c r="T40" s="793">
        <f t="shared" si="24"/>
        <v>366</v>
      </c>
      <c r="U40" s="793">
        <f t="shared" si="25"/>
        <v>2755</v>
      </c>
      <c r="V40" s="793">
        <f t="shared" si="26"/>
        <v>5510</v>
      </c>
      <c r="W40" s="793">
        <f t="shared" si="27"/>
        <v>3190</v>
      </c>
      <c r="X40" s="793">
        <f t="shared" si="28"/>
        <v>3190</v>
      </c>
      <c r="Y40" s="805">
        <f t="shared" si="29"/>
        <v>8700</v>
      </c>
      <c r="Z40" s="805">
        <f t="shared" si="30"/>
        <v>365</v>
      </c>
      <c r="AA40" s="805">
        <f t="shared" si="53"/>
        <v>2755</v>
      </c>
      <c r="AB40" s="805">
        <f t="shared" si="57"/>
        <v>8265</v>
      </c>
      <c r="AC40" s="805">
        <f t="shared" si="54"/>
        <v>435</v>
      </c>
      <c r="AD40" s="793">
        <f t="shared" si="31"/>
        <v>435</v>
      </c>
      <c r="AE40" s="793">
        <f t="shared" si="32"/>
        <v>8700</v>
      </c>
      <c r="AF40" s="793">
        <f t="shared" si="33"/>
        <v>0</v>
      </c>
      <c r="AG40" s="793">
        <f t="shared" si="34"/>
        <v>0</v>
      </c>
      <c r="AH40" s="805">
        <f t="shared" si="35"/>
        <v>8265</v>
      </c>
      <c r="AI40" s="805">
        <f t="shared" si="36"/>
        <v>435</v>
      </c>
      <c r="AJ40" s="793">
        <f t="shared" si="55"/>
        <v>435</v>
      </c>
      <c r="AK40" s="793">
        <f t="shared" si="37"/>
        <v>8700</v>
      </c>
      <c r="AL40" s="793">
        <f t="shared" si="38"/>
        <v>0</v>
      </c>
      <c r="AM40" s="793">
        <f t="shared" si="39"/>
        <v>0</v>
      </c>
      <c r="AN40" s="805">
        <f t="shared" si="40"/>
        <v>8265</v>
      </c>
      <c r="AO40" s="805">
        <f t="shared" si="41"/>
        <v>435</v>
      </c>
      <c r="AP40" s="793">
        <f t="shared" si="42"/>
        <v>435</v>
      </c>
      <c r="AQ40" s="793">
        <f t="shared" si="43"/>
        <v>8700</v>
      </c>
      <c r="AR40" s="793">
        <f t="shared" si="44"/>
        <v>0</v>
      </c>
      <c r="AS40" s="793">
        <f t="shared" si="45"/>
        <v>0</v>
      </c>
      <c r="AT40" s="793">
        <f t="shared" si="46"/>
        <v>8265</v>
      </c>
      <c r="AU40" s="793">
        <f t="shared" si="47"/>
        <v>435</v>
      </c>
      <c r="AV40" s="793">
        <f t="shared" si="48"/>
        <v>435</v>
      </c>
      <c r="AW40" s="793">
        <f t="shared" si="49"/>
        <v>8700</v>
      </c>
      <c r="AX40" s="793">
        <f t="shared" si="50"/>
        <v>0</v>
      </c>
      <c r="AY40" s="793">
        <f t="shared" si="51"/>
        <v>0</v>
      </c>
      <c r="AZ40" s="793">
        <f t="shared" si="52"/>
        <v>8265</v>
      </c>
      <c r="BA40" s="793">
        <f t="shared" si="56"/>
        <v>435</v>
      </c>
    </row>
    <row r="41" spans="1:53" ht="15" customHeight="1" x14ac:dyDescent="0.25">
      <c r="A41" s="842" t="s">
        <v>1187</v>
      </c>
      <c r="B41" s="843" t="s">
        <v>1194</v>
      </c>
      <c r="C41" s="778">
        <f t="shared" si="14"/>
        <v>0.31666666666666665</v>
      </c>
      <c r="D41" s="844">
        <v>3</v>
      </c>
      <c r="E41" s="779" t="s">
        <v>1182</v>
      </c>
      <c r="F41" s="845">
        <v>43191</v>
      </c>
      <c r="G41" s="845">
        <v>43191</v>
      </c>
      <c r="H41" s="781">
        <f t="shared" si="15"/>
        <v>44286</v>
      </c>
      <c r="I41" s="1359">
        <v>74602.5</v>
      </c>
      <c r="J41" s="805">
        <f t="shared" si="16"/>
        <v>3730.125</v>
      </c>
      <c r="K41" s="805"/>
      <c r="L41" s="793"/>
      <c r="M41" s="793">
        <f t="shared" si="17"/>
        <v>74602.5</v>
      </c>
      <c r="N41" s="793">
        <f t="shared" si="18"/>
        <v>365</v>
      </c>
      <c r="O41" s="793">
        <f t="shared" si="19"/>
        <v>23624</v>
      </c>
      <c r="P41" s="793">
        <f t="shared" si="20"/>
        <v>23624</v>
      </c>
      <c r="Q41" s="793">
        <f t="shared" si="21"/>
        <v>50978.5</v>
      </c>
      <c r="R41" s="793">
        <f t="shared" si="22"/>
        <v>50978.5</v>
      </c>
      <c r="S41" s="793">
        <f t="shared" si="23"/>
        <v>74602.5</v>
      </c>
      <c r="T41" s="793">
        <f t="shared" si="24"/>
        <v>366</v>
      </c>
      <c r="U41" s="793">
        <f t="shared" si="25"/>
        <v>23624</v>
      </c>
      <c r="V41" s="793">
        <f t="shared" si="26"/>
        <v>47248</v>
      </c>
      <c r="W41" s="793">
        <f t="shared" si="27"/>
        <v>27354.5</v>
      </c>
      <c r="X41" s="793">
        <f t="shared" si="28"/>
        <v>27354.5</v>
      </c>
      <c r="Y41" s="805">
        <f t="shared" si="29"/>
        <v>74602.5</v>
      </c>
      <c r="Z41" s="805">
        <f t="shared" si="30"/>
        <v>365</v>
      </c>
      <c r="AA41" s="805">
        <f t="shared" si="53"/>
        <v>23624</v>
      </c>
      <c r="AB41" s="805">
        <f t="shared" si="57"/>
        <v>70872</v>
      </c>
      <c r="AC41" s="805">
        <f t="shared" si="54"/>
        <v>3730.5</v>
      </c>
      <c r="AD41" s="793">
        <f t="shared" si="31"/>
        <v>3730.5</v>
      </c>
      <c r="AE41" s="793">
        <f t="shared" si="32"/>
        <v>74602.5</v>
      </c>
      <c r="AF41" s="793">
        <f t="shared" si="33"/>
        <v>0</v>
      </c>
      <c r="AG41" s="793">
        <f t="shared" si="34"/>
        <v>0</v>
      </c>
      <c r="AH41" s="805">
        <f t="shared" si="35"/>
        <v>70872</v>
      </c>
      <c r="AI41" s="805">
        <f t="shared" si="36"/>
        <v>3730.5</v>
      </c>
      <c r="AJ41" s="793">
        <f t="shared" si="55"/>
        <v>3730.5</v>
      </c>
      <c r="AK41" s="793">
        <f t="shared" si="37"/>
        <v>74602.5</v>
      </c>
      <c r="AL41" s="793">
        <f t="shared" si="38"/>
        <v>0</v>
      </c>
      <c r="AM41" s="793">
        <f t="shared" si="39"/>
        <v>0</v>
      </c>
      <c r="AN41" s="805">
        <f t="shared" si="40"/>
        <v>70872</v>
      </c>
      <c r="AO41" s="805">
        <f t="shared" si="41"/>
        <v>3730.5</v>
      </c>
      <c r="AP41" s="793">
        <f t="shared" si="42"/>
        <v>3730.5</v>
      </c>
      <c r="AQ41" s="793">
        <f t="shared" si="43"/>
        <v>74602.5</v>
      </c>
      <c r="AR41" s="793">
        <f t="shared" si="44"/>
        <v>0</v>
      </c>
      <c r="AS41" s="793">
        <f t="shared" si="45"/>
        <v>0</v>
      </c>
      <c r="AT41" s="793">
        <f t="shared" si="46"/>
        <v>70872</v>
      </c>
      <c r="AU41" s="793">
        <f t="shared" si="47"/>
        <v>3730.5</v>
      </c>
      <c r="AV41" s="793">
        <f t="shared" si="48"/>
        <v>3730.5</v>
      </c>
      <c r="AW41" s="793">
        <f t="shared" si="49"/>
        <v>74602.5</v>
      </c>
      <c r="AX41" s="793">
        <f t="shared" si="50"/>
        <v>0</v>
      </c>
      <c r="AY41" s="793">
        <f t="shared" si="51"/>
        <v>0</v>
      </c>
      <c r="AZ41" s="793">
        <f t="shared" si="52"/>
        <v>70872</v>
      </c>
      <c r="BA41" s="793">
        <f t="shared" si="56"/>
        <v>3730.5</v>
      </c>
    </row>
    <row r="42" spans="1:53" ht="15" customHeight="1" x14ac:dyDescent="0.25">
      <c r="A42" s="842" t="s">
        <v>1187</v>
      </c>
      <c r="B42" s="843" t="s">
        <v>1194</v>
      </c>
      <c r="C42" s="778">
        <f t="shared" si="14"/>
        <v>0.31666666666666665</v>
      </c>
      <c r="D42" s="844">
        <v>3</v>
      </c>
      <c r="E42" s="779" t="s">
        <v>1182</v>
      </c>
      <c r="F42" s="845">
        <v>43191</v>
      </c>
      <c r="G42" s="845">
        <v>43191</v>
      </c>
      <c r="H42" s="781">
        <f t="shared" si="15"/>
        <v>44286</v>
      </c>
      <c r="I42" s="1359">
        <v>53960</v>
      </c>
      <c r="J42" s="805">
        <f t="shared" si="16"/>
        <v>2698</v>
      </c>
      <c r="K42" s="805"/>
      <c r="L42" s="793"/>
      <c r="M42" s="793">
        <f t="shared" si="17"/>
        <v>53960</v>
      </c>
      <c r="N42" s="793">
        <f t="shared" si="18"/>
        <v>365</v>
      </c>
      <c r="O42" s="793">
        <f t="shared" si="19"/>
        <v>17087</v>
      </c>
      <c r="P42" s="793">
        <f t="shared" si="20"/>
        <v>17087</v>
      </c>
      <c r="Q42" s="793">
        <f t="shared" si="21"/>
        <v>36873</v>
      </c>
      <c r="R42" s="793">
        <f t="shared" si="22"/>
        <v>36873</v>
      </c>
      <c r="S42" s="793">
        <f t="shared" si="23"/>
        <v>53960</v>
      </c>
      <c r="T42" s="793">
        <f t="shared" si="24"/>
        <v>366</v>
      </c>
      <c r="U42" s="793">
        <f t="shared" si="25"/>
        <v>17087</v>
      </c>
      <c r="V42" s="793">
        <f t="shared" si="26"/>
        <v>34174</v>
      </c>
      <c r="W42" s="793">
        <f t="shared" si="27"/>
        <v>19786</v>
      </c>
      <c r="X42" s="793">
        <f t="shared" si="28"/>
        <v>19786</v>
      </c>
      <c r="Y42" s="805">
        <f t="shared" si="29"/>
        <v>53960</v>
      </c>
      <c r="Z42" s="805">
        <f t="shared" si="30"/>
        <v>365</v>
      </c>
      <c r="AA42" s="805">
        <f t="shared" si="53"/>
        <v>17087</v>
      </c>
      <c r="AB42" s="805">
        <f t="shared" si="57"/>
        <v>51261</v>
      </c>
      <c r="AC42" s="805">
        <f t="shared" si="54"/>
        <v>2699</v>
      </c>
      <c r="AD42" s="793">
        <f t="shared" si="31"/>
        <v>2699</v>
      </c>
      <c r="AE42" s="793">
        <f t="shared" si="32"/>
        <v>53960</v>
      </c>
      <c r="AF42" s="793">
        <f t="shared" si="33"/>
        <v>0</v>
      </c>
      <c r="AG42" s="793">
        <f t="shared" si="34"/>
        <v>0</v>
      </c>
      <c r="AH42" s="805">
        <f t="shared" si="35"/>
        <v>51261</v>
      </c>
      <c r="AI42" s="805">
        <f t="shared" si="36"/>
        <v>2699</v>
      </c>
      <c r="AJ42" s="793">
        <f t="shared" si="55"/>
        <v>2699</v>
      </c>
      <c r="AK42" s="793">
        <f t="shared" si="37"/>
        <v>53960</v>
      </c>
      <c r="AL42" s="793">
        <f t="shared" si="38"/>
        <v>0</v>
      </c>
      <c r="AM42" s="793">
        <f t="shared" si="39"/>
        <v>0</v>
      </c>
      <c r="AN42" s="805">
        <f t="shared" si="40"/>
        <v>51261</v>
      </c>
      <c r="AO42" s="805">
        <f t="shared" si="41"/>
        <v>2699</v>
      </c>
      <c r="AP42" s="793">
        <f t="shared" si="42"/>
        <v>2699</v>
      </c>
      <c r="AQ42" s="793">
        <f t="shared" si="43"/>
        <v>53960</v>
      </c>
      <c r="AR42" s="793">
        <f t="shared" si="44"/>
        <v>0</v>
      </c>
      <c r="AS42" s="793">
        <f t="shared" si="45"/>
        <v>0</v>
      </c>
      <c r="AT42" s="793">
        <f t="shared" si="46"/>
        <v>51261</v>
      </c>
      <c r="AU42" s="793">
        <f t="shared" si="47"/>
        <v>2699</v>
      </c>
      <c r="AV42" s="793">
        <f t="shared" si="48"/>
        <v>2699</v>
      </c>
      <c r="AW42" s="793">
        <f t="shared" si="49"/>
        <v>53960</v>
      </c>
      <c r="AX42" s="793">
        <f t="shared" si="50"/>
        <v>0</v>
      </c>
      <c r="AY42" s="793">
        <f t="shared" si="51"/>
        <v>0</v>
      </c>
      <c r="AZ42" s="793">
        <f t="shared" si="52"/>
        <v>51261</v>
      </c>
      <c r="BA42" s="793">
        <f t="shared" si="56"/>
        <v>2699</v>
      </c>
    </row>
    <row r="43" spans="1:53" ht="15" customHeight="1" x14ac:dyDescent="0.25">
      <c r="A43" s="842" t="s">
        <v>1187</v>
      </c>
      <c r="B43" s="843" t="s">
        <v>1194</v>
      </c>
      <c r="C43" s="778">
        <f t="shared" si="14"/>
        <v>0.31666666666666665</v>
      </c>
      <c r="D43" s="844">
        <v>3</v>
      </c>
      <c r="E43" s="779" t="s">
        <v>1182</v>
      </c>
      <c r="F43" s="845">
        <v>43191</v>
      </c>
      <c r="G43" s="845">
        <v>43191</v>
      </c>
      <c r="H43" s="781">
        <f t="shared" si="15"/>
        <v>44286</v>
      </c>
      <c r="I43" s="1359">
        <v>10400</v>
      </c>
      <c r="J43" s="805">
        <f t="shared" si="16"/>
        <v>520</v>
      </c>
      <c r="K43" s="805"/>
      <c r="L43" s="793"/>
      <c r="M43" s="793">
        <f t="shared" si="17"/>
        <v>10400</v>
      </c>
      <c r="N43" s="793">
        <f t="shared" si="18"/>
        <v>365</v>
      </c>
      <c r="O43" s="793">
        <f t="shared" si="19"/>
        <v>3293</v>
      </c>
      <c r="P43" s="793">
        <f t="shared" si="20"/>
        <v>3293</v>
      </c>
      <c r="Q43" s="793">
        <f t="shared" si="21"/>
        <v>7107</v>
      </c>
      <c r="R43" s="793">
        <f t="shared" si="22"/>
        <v>7107</v>
      </c>
      <c r="S43" s="793">
        <f t="shared" si="23"/>
        <v>10400</v>
      </c>
      <c r="T43" s="793">
        <f t="shared" si="24"/>
        <v>366</v>
      </c>
      <c r="U43" s="793">
        <f t="shared" si="25"/>
        <v>3293</v>
      </c>
      <c r="V43" s="793">
        <f t="shared" si="26"/>
        <v>6586</v>
      </c>
      <c r="W43" s="793">
        <f t="shared" si="27"/>
        <v>3814</v>
      </c>
      <c r="X43" s="793">
        <f t="shared" si="28"/>
        <v>3814</v>
      </c>
      <c r="Y43" s="805">
        <f t="shared" si="29"/>
        <v>10400</v>
      </c>
      <c r="Z43" s="805">
        <f t="shared" si="30"/>
        <v>365</v>
      </c>
      <c r="AA43" s="805">
        <f t="shared" si="53"/>
        <v>3293</v>
      </c>
      <c r="AB43" s="805">
        <f t="shared" si="57"/>
        <v>9879</v>
      </c>
      <c r="AC43" s="805">
        <f t="shared" si="54"/>
        <v>521</v>
      </c>
      <c r="AD43" s="793">
        <f t="shared" si="31"/>
        <v>521</v>
      </c>
      <c r="AE43" s="793">
        <f t="shared" si="32"/>
        <v>10400</v>
      </c>
      <c r="AF43" s="793">
        <f t="shared" si="33"/>
        <v>0</v>
      </c>
      <c r="AG43" s="793">
        <f t="shared" si="34"/>
        <v>0</v>
      </c>
      <c r="AH43" s="805">
        <f t="shared" si="35"/>
        <v>9879</v>
      </c>
      <c r="AI43" s="805">
        <f t="shared" si="36"/>
        <v>521</v>
      </c>
      <c r="AJ43" s="793">
        <f t="shared" si="55"/>
        <v>521</v>
      </c>
      <c r="AK43" s="793">
        <f t="shared" si="37"/>
        <v>10400</v>
      </c>
      <c r="AL43" s="793">
        <f t="shared" si="38"/>
        <v>0</v>
      </c>
      <c r="AM43" s="793">
        <f t="shared" si="39"/>
        <v>0</v>
      </c>
      <c r="AN43" s="805">
        <f t="shared" si="40"/>
        <v>9879</v>
      </c>
      <c r="AO43" s="805">
        <f t="shared" si="41"/>
        <v>521</v>
      </c>
      <c r="AP43" s="793">
        <f t="shared" si="42"/>
        <v>521</v>
      </c>
      <c r="AQ43" s="793">
        <f t="shared" si="43"/>
        <v>10400</v>
      </c>
      <c r="AR43" s="793">
        <f t="shared" si="44"/>
        <v>0</v>
      </c>
      <c r="AS43" s="793">
        <f t="shared" si="45"/>
        <v>0</v>
      </c>
      <c r="AT43" s="793">
        <f t="shared" si="46"/>
        <v>9879</v>
      </c>
      <c r="AU43" s="793">
        <f t="shared" si="47"/>
        <v>521</v>
      </c>
      <c r="AV43" s="793">
        <f t="shared" si="48"/>
        <v>521</v>
      </c>
      <c r="AW43" s="793">
        <f t="shared" si="49"/>
        <v>10400</v>
      </c>
      <c r="AX43" s="793">
        <f t="shared" si="50"/>
        <v>0</v>
      </c>
      <c r="AY43" s="793">
        <f t="shared" si="51"/>
        <v>0</v>
      </c>
      <c r="AZ43" s="793">
        <f t="shared" si="52"/>
        <v>9879</v>
      </c>
      <c r="BA43" s="793">
        <f t="shared" si="56"/>
        <v>521</v>
      </c>
    </row>
    <row r="44" spans="1:53" ht="15" customHeight="1" x14ac:dyDescent="0.25">
      <c r="A44" s="842" t="s">
        <v>1187</v>
      </c>
      <c r="B44" s="843" t="s">
        <v>1194</v>
      </c>
      <c r="C44" s="778">
        <f t="shared" si="14"/>
        <v>0.31666666666666665</v>
      </c>
      <c r="D44" s="844">
        <v>3</v>
      </c>
      <c r="E44" s="779" t="s">
        <v>1182</v>
      </c>
      <c r="F44" s="845">
        <v>43191</v>
      </c>
      <c r="G44" s="845">
        <v>43191</v>
      </c>
      <c r="H44" s="781">
        <f t="shared" si="15"/>
        <v>44286</v>
      </c>
      <c r="I44" s="1359">
        <v>54943</v>
      </c>
      <c r="J44" s="805">
        <f t="shared" si="16"/>
        <v>2747.15</v>
      </c>
      <c r="K44" s="805"/>
      <c r="L44" s="793"/>
      <c r="M44" s="793">
        <f t="shared" si="17"/>
        <v>54943</v>
      </c>
      <c r="N44" s="793">
        <f t="shared" si="18"/>
        <v>365</v>
      </c>
      <c r="O44" s="793">
        <f t="shared" si="19"/>
        <v>17399</v>
      </c>
      <c r="P44" s="793">
        <f t="shared" si="20"/>
        <v>17399</v>
      </c>
      <c r="Q44" s="793">
        <f t="shared" si="21"/>
        <v>37544</v>
      </c>
      <c r="R44" s="793">
        <f t="shared" si="22"/>
        <v>37544</v>
      </c>
      <c r="S44" s="793">
        <f t="shared" si="23"/>
        <v>54943</v>
      </c>
      <c r="T44" s="793">
        <f t="shared" si="24"/>
        <v>366</v>
      </c>
      <c r="U44" s="793">
        <f t="shared" si="25"/>
        <v>17399</v>
      </c>
      <c r="V44" s="793">
        <f t="shared" si="26"/>
        <v>34798</v>
      </c>
      <c r="W44" s="793">
        <f t="shared" si="27"/>
        <v>20145</v>
      </c>
      <c r="X44" s="793">
        <f t="shared" si="28"/>
        <v>20145</v>
      </c>
      <c r="Y44" s="805">
        <f t="shared" si="29"/>
        <v>54943</v>
      </c>
      <c r="Z44" s="805">
        <f t="shared" si="30"/>
        <v>365</v>
      </c>
      <c r="AA44" s="805">
        <f t="shared" si="53"/>
        <v>17399</v>
      </c>
      <c r="AB44" s="805">
        <f t="shared" si="57"/>
        <v>52197</v>
      </c>
      <c r="AC44" s="805">
        <f t="shared" si="54"/>
        <v>2746</v>
      </c>
      <c r="AD44" s="793">
        <f t="shared" si="31"/>
        <v>2746</v>
      </c>
      <c r="AE44" s="793">
        <f t="shared" si="32"/>
        <v>54943</v>
      </c>
      <c r="AF44" s="793">
        <f t="shared" si="33"/>
        <v>0</v>
      </c>
      <c r="AG44" s="793">
        <f t="shared" si="34"/>
        <v>0</v>
      </c>
      <c r="AH44" s="805">
        <f t="shared" si="35"/>
        <v>52197</v>
      </c>
      <c r="AI44" s="805">
        <f t="shared" si="36"/>
        <v>2746</v>
      </c>
      <c r="AJ44" s="793">
        <f t="shared" si="55"/>
        <v>2746</v>
      </c>
      <c r="AK44" s="793">
        <f t="shared" si="37"/>
        <v>54943</v>
      </c>
      <c r="AL44" s="793">
        <f t="shared" si="38"/>
        <v>0</v>
      </c>
      <c r="AM44" s="793">
        <f t="shared" si="39"/>
        <v>0</v>
      </c>
      <c r="AN44" s="805">
        <f t="shared" si="40"/>
        <v>52197</v>
      </c>
      <c r="AO44" s="805">
        <f t="shared" si="41"/>
        <v>2746</v>
      </c>
      <c r="AP44" s="793">
        <f t="shared" si="42"/>
        <v>2746</v>
      </c>
      <c r="AQ44" s="793">
        <f t="shared" si="43"/>
        <v>54943</v>
      </c>
      <c r="AR44" s="793">
        <f t="shared" si="44"/>
        <v>0</v>
      </c>
      <c r="AS44" s="793">
        <f t="shared" si="45"/>
        <v>0</v>
      </c>
      <c r="AT44" s="793">
        <f t="shared" si="46"/>
        <v>52197</v>
      </c>
      <c r="AU44" s="793">
        <f t="shared" si="47"/>
        <v>2746</v>
      </c>
      <c r="AV44" s="793">
        <f t="shared" si="48"/>
        <v>2746</v>
      </c>
      <c r="AW44" s="793">
        <f t="shared" si="49"/>
        <v>54943</v>
      </c>
      <c r="AX44" s="793">
        <f t="shared" si="50"/>
        <v>0</v>
      </c>
      <c r="AY44" s="793">
        <f t="shared" si="51"/>
        <v>0</v>
      </c>
      <c r="AZ44" s="793">
        <f t="shared" si="52"/>
        <v>52197</v>
      </c>
      <c r="BA44" s="793">
        <f t="shared" si="56"/>
        <v>2746</v>
      </c>
    </row>
    <row r="45" spans="1:53" ht="15" customHeight="1" x14ac:dyDescent="0.25">
      <c r="A45" s="842" t="s">
        <v>1187</v>
      </c>
      <c r="B45" s="843" t="s">
        <v>1194</v>
      </c>
      <c r="C45" s="778">
        <f t="shared" si="14"/>
        <v>0.31666666666666665</v>
      </c>
      <c r="D45" s="844">
        <v>3</v>
      </c>
      <c r="E45" s="779" t="s">
        <v>1182</v>
      </c>
      <c r="F45" s="845">
        <v>43191</v>
      </c>
      <c r="G45" s="845">
        <v>43191</v>
      </c>
      <c r="H45" s="781">
        <f t="shared" si="15"/>
        <v>44286</v>
      </c>
      <c r="I45" s="1359">
        <v>11250</v>
      </c>
      <c r="J45" s="805">
        <f t="shared" si="16"/>
        <v>562.5</v>
      </c>
      <c r="K45" s="805"/>
      <c r="L45" s="793"/>
      <c r="M45" s="793">
        <f t="shared" si="17"/>
        <v>11250</v>
      </c>
      <c r="N45" s="793">
        <f t="shared" si="18"/>
        <v>365</v>
      </c>
      <c r="O45" s="793">
        <f t="shared" si="19"/>
        <v>3563</v>
      </c>
      <c r="P45" s="793">
        <f t="shared" si="20"/>
        <v>3563</v>
      </c>
      <c r="Q45" s="793">
        <f t="shared" si="21"/>
        <v>7687</v>
      </c>
      <c r="R45" s="793">
        <f t="shared" si="22"/>
        <v>7687</v>
      </c>
      <c r="S45" s="793">
        <f t="shared" si="23"/>
        <v>11250</v>
      </c>
      <c r="T45" s="793">
        <f t="shared" si="24"/>
        <v>366</v>
      </c>
      <c r="U45" s="793">
        <f t="shared" si="25"/>
        <v>3563</v>
      </c>
      <c r="V45" s="793">
        <f t="shared" si="26"/>
        <v>7126</v>
      </c>
      <c r="W45" s="793">
        <f t="shared" si="27"/>
        <v>4124</v>
      </c>
      <c r="X45" s="793">
        <f t="shared" si="28"/>
        <v>4124</v>
      </c>
      <c r="Y45" s="805">
        <f t="shared" si="29"/>
        <v>11250</v>
      </c>
      <c r="Z45" s="805">
        <f t="shared" si="30"/>
        <v>365</v>
      </c>
      <c r="AA45" s="805">
        <f t="shared" si="53"/>
        <v>3563</v>
      </c>
      <c r="AB45" s="805">
        <f t="shared" si="57"/>
        <v>10689</v>
      </c>
      <c r="AC45" s="805">
        <f t="shared" si="54"/>
        <v>561</v>
      </c>
      <c r="AD45" s="793">
        <f t="shared" si="31"/>
        <v>561</v>
      </c>
      <c r="AE45" s="793">
        <f t="shared" si="32"/>
        <v>11250</v>
      </c>
      <c r="AF45" s="793">
        <f t="shared" si="33"/>
        <v>0</v>
      </c>
      <c r="AG45" s="793">
        <f t="shared" si="34"/>
        <v>0</v>
      </c>
      <c r="AH45" s="805">
        <f t="shared" si="35"/>
        <v>10689</v>
      </c>
      <c r="AI45" s="805">
        <f t="shared" si="36"/>
        <v>561</v>
      </c>
      <c r="AJ45" s="793">
        <f t="shared" si="55"/>
        <v>561</v>
      </c>
      <c r="AK45" s="793">
        <f t="shared" si="37"/>
        <v>11250</v>
      </c>
      <c r="AL45" s="793">
        <f t="shared" si="38"/>
        <v>0</v>
      </c>
      <c r="AM45" s="793">
        <f t="shared" si="39"/>
        <v>0</v>
      </c>
      <c r="AN45" s="805">
        <f t="shared" si="40"/>
        <v>10689</v>
      </c>
      <c r="AO45" s="805">
        <f t="shared" si="41"/>
        <v>561</v>
      </c>
      <c r="AP45" s="793">
        <f t="shared" si="42"/>
        <v>561</v>
      </c>
      <c r="AQ45" s="793">
        <f t="shared" si="43"/>
        <v>11250</v>
      </c>
      <c r="AR45" s="793">
        <f t="shared" si="44"/>
        <v>0</v>
      </c>
      <c r="AS45" s="793">
        <f t="shared" si="45"/>
        <v>0</v>
      </c>
      <c r="AT45" s="793">
        <f t="shared" si="46"/>
        <v>10689</v>
      </c>
      <c r="AU45" s="793">
        <f t="shared" si="47"/>
        <v>561</v>
      </c>
      <c r="AV45" s="793">
        <f t="shared" si="48"/>
        <v>561</v>
      </c>
      <c r="AW45" s="793">
        <f t="shared" si="49"/>
        <v>11250</v>
      </c>
      <c r="AX45" s="793">
        <f t="shared" si="50"/>
        <v>0</v>
      </c>
      <c r="AY45" s="793">
        <f t="shared" si="51"/>
        <v>0</v>
      </c>
      <c r="AZ45" s="793">
        <f t="shared" si="52"/>
        <v>10689</v>
      </c>
      <c r="BA45" s="793">
        <f t="shared" si="56"/>
        <v>561</v>
      </c>
    </row>
    <row r="46" spans="1:53" ht="15" customHeight="1" x14ac:dyDescent="0.25">
      <c r="A46" s="842" t="s">
        <v>1187</v>
      </c>
      <c r="B46" s="843" t="s">
        <v>1194</v>
      </c>
      <c r="C46" s="778">
        <f t="shared" si="14"/>
        <v>0.31666666666666665</v>
      </c>
      <c r="D46" s="844">
        <v>3</v>
      </c>
      <c r="E46" s="779" t="s">
        <v>1182</v>
      </c>
      <c r="F46" s="845">
        <v>43191</v>
      </c>
      <c r="G46" s="845">
        <v>43191</v>
      </c>
      <c r="H46" s="781">
        <f t="shared" si="15"/>
        <v>44286</v>
      </c>
      <c r="I46" s="1359">
        <v>10980</v>
      </c>
      <c r="J46" s="805">
        <f t="shared" si="16"/>
        <v>549</v>
      </c>
      <c r="K46" s="805"/>
      <c r="L46" s="793"/>
      <c r="M46" s="793">
        <f t="shared" si="17"/>
        <v>10980</v>
      </c>
      <c r="N46" s="793">
        <f t="shared" si="18"/>
        <v>365</v>
      </c>
      <c r="O46" s="793">
        <f t="shared" si="19"/>
        <v>3477</v>
      </c>
      <c r="P46" s="793">
        <f t="shared" si="20"/>
        <v>3477</v>
      </c>
      <c r="Q46" s="793">
        <f t="shared" si="21"/>
        <v>7503</v>
      </c>
      <c r="R46" s="793">
        <f t="shared" si="22"/>
        <v>7503</v>
      </c>
      <c r="S46" s="793">
        <f t="shared" si="23"/>
        <v>10980</v>
      </c>
      <c r="T46" s="793">
        <f t="shared" si="24"/>
        <v>366</v>
      </c>
      <c r="U46" s="793">
        <f t="shared" si="25"/>
        <v>3477</v>
      </c>
      <c r="V46" s="793">
        <f t="shared" si="26"/>
        <v>6954</v>
      </c>
      <c r="W46" s="793">
        <f t="shared" si="27"/>
        <v>4026</v>
      </c>
      <c r="X46" s="793">
        <f t="shared" si="28"/>
        <v>4026</v>
      </c>
      <c r="Y46" s="805">
        <f t="shared" si="29"/>
        <v>10980</v>
      </c>
      <c r="Z46" s="805">
        <f t="shared" si="30"/>
        <v>365</v>
      </c>
      <c r="AA46" s="805">
        <f t="shared" si="53"/>
        <v>3477</v>
      </c>
      <c r="AB46" s="805">
        <f t="shared" si="57"/>
        <v>10431</v>
      </c>
      <c r="AC46" s="805">
        <f t="shared" si="54"/>
        <v>549</v>
      </c>
      <c r="AD46" s="793">
        <f t="shared" si="31"/>
        <v>549</v>
      </c>
      <c r="AE46" s="793">
        <f t="shared" si="32"/>
        <v>10980</v>
      </c>
      <c r="AF46" s="793">
        <f t="shared" si="33"/>
        <v>0</v>
      </c>
      <c r="AG46" s="793">
        <f t="shared" si="34"/>
        <v>0</v>
      </c>
      <c r="AH46" s="805">
        <f t="shared" si="35"/>
        <v>10431</v>
      </c>
      <c r="AI46" s="805">
        <f t="shared" si="36"/>
        <v>549</v>
      </c>
      <c r="AJ46" s="793">
        <f t="shared" si="55"/>
        <v>549</v>
      </c>
      <c r="AK46" s="793">
        <f t="shared" si="37"/>
        <v>10980</v>
      </c>
      <c r="AL46" s="793">
        <f t="shared" si="38"/>
        <v>0</v>
      </c>
      <c r="AM46" s="793">
        <f t="shared" si="39"/>
        <v>0</v>
      </c>
      <c r="AN46" s="805">
        <f t="shared" si="40"/>
        <v>10431</v>
      </c>
      <c r="AO46" s="805">
        <f t="shared" si="41"/>
        <v>549</v>
      </c>
      <c r="AP46" s="793">
        <f t="shared" si="42"/>
        <v>549</v>
      </c>
      <c r="AQ46" s="793">
        <f t="shared" si="43"/>
        <v>10980</v>
      </c>
      <c r="AR46" s="793">
        <f t="shared" si="44"/>
        <v>0</v>
      </c>
      <c r="AS46" s="793">
        <f t="shared" si="45"/>
        <v>0</v>
      </c>
      <c r="AT46" s="793">
        <f t="shared" si="46"/>
        <v>10431</v>
      </c>
      <c r="AU46" s="793">
        <f t="shared" si="47"/>
        <v>549</v>
      </c>
      <c r="AV46" s="793">
        <f t="shared" si="48"/>
        <v>549</v>
      </c>
      <c r="AW46" s="793">
        <f t="shared" si="49"/>
        <v>10980</v>
      </c>
      <c r="AX46" s="793">
        <f t="shared" si="50"/>
        <v>0</v>
      </c>
      <c r="AY46" s="793">
        <f t="shared" si="51"/>
        <v>0</v>
      </c>
      <c r="AZ46" s="793">
        <f t="shared" si="52"/>
        <v>10431</v>
      </c>
      <c r="BA46" s="793">
        <f t="shared" si="56"/>
        <v>549</v>
      </c>
    </row>
    <row r="47" spans="1:53" ht="15" customHeight="1" x14ac:dyDescent="0.25">
      <c r="A47" s="842" t="s">
        <v>1187</v>
      </c>
      <c r="B47" s="843" t="s">
        <v>1194</v>
      </c>
      <c r="C47" s="778">
        <f t="shared" si="14"/>
        <v>0.31666666666666665</v>
      </c>
      <c r="D47" s="844">
        <v>3</v>
      </c>
      <c r="E47" s="779" t="s">
        <v>1182</v>
      </c>
      <c r="F47" s="845">
        <v>43191</v>
      </c>
      <c r="G47" s="845">
        <v>43191</v>
      </c>
      <c r="H47" s="781">
        <f t="shared" si="15"/>
        <v>44286</v>
      </c>
      <c r="I47" s="1359">
        <v>120000</v>
      </c>
      <c r="J47" s="805">
        <f t="shared" si="16"/>
        <v>6000</v>
      </c>
      <c r="K47" s="805"/>
      <c r="L47" s="793"/>
      <c r="M47" s="793">
        <f t="shared" si="17"/>
        <v>120000</v>
      </c>
      <c r="N47" s="793">
        <f t="shared" si="18"/>
        <v>365</v>
      </c>
      <c r="O47" s="793">
        <f t="shared" si="19"/>
        <v>38000</v>
      </c>
      <c r="P47" s="793">
        <f t="shared" si="20"/>
        <v>38000</v>
      </c>
      <c r="Q47" s="793">
        <f t="shared" si="21"/>
        <v>82000</v>
      </c>
      <c r="R47" s="793">
        <f t="shared" si="22"/>
        <v>82000</v>
      </c>
      <c r="S47" s="793">
        <f t="shared" si="23"/>
        <v>120000</v>
      </c>
      <c r="T47" s="793">
        <f t="shared" si="24"/>
        <v>366</v>
      </c>
      <c r="U47" s="793">
        <f t="shared" si="25"/>
        <v>38000</v>
      </c>
      <c r="V47" s="793">
        <f t="shared" si="26"/>
        <v>76000</v>
      </c>
      <c r="W47" s="793">
        <f t="shared" si="27"/>
        <v>44000</v>
      </c>
      <c r="X47" s="793">
        <f t="shared" si="28"/>
        <v>44000</v>
      </c>
      <c r="Y47" s="805">
        <f t="shared" si="29"/>
        <v>120000</v>
      </c>
      <c r="Z47" s="805">
        <f t="shared" si="30"/>
        <v>365</v>
      </c>
      <c r="AA47" s="805">
        <f t="shared" si="53"/>
        <v>38000</v>
      </c>
      <c r="AB47" s="805">
        <f t="shared" si="57"/>
        <v>114000</v>
      </c>
      <c r="AC47" s="805">
        <f t="shared" si="54"/>
        <v>6000</v>
      </c>
      <c r="AD47" s="793">
        <f t="shared" si="31"/>
        <v>6000</v>
      </c>
      <c r="AE47" s="793">
        <f t="shared" si="32"/>
        <v>120000</v>
      </c>
      <c r="AF47" s="793">
        <f t="shared" si="33"/>
        <v>0</v>
      </c>
      <c r="AG47" s="793">
        <f t="shared" si="34"/>
        <v>0</v>
      </c>
      <c r="AH47" s="805">
        <f t="shared" si="35"/>
        <v>114000</v>
      </c>
      <c r="AI47" s="805">
        <f t="shared" si="36"/>
        <v>6000</v>
      </c>
      <c r="AJ47" s="793">
        <f t="shared" si="55"/>
        <v>6000</v>
      </c>
      <c r="AK47" s="793">
        <f t="shared" si="37"/>
        <v>120000</v>
      </c>
      <c r="AL47" s="793">
        <f t="shared" si="38"/>
        <v>0</v>
      </c>
      <c r="AM47" s="793">
        <f t="shared" si="39"/>
        <v>0</v>
      </c>
      <c r="AN47" s="805">
        <f t="shared" si="40"/>
        <v>114000</v>
      </c>
      <c r="AO47" s="805">
        <f t="shared" si="41"/>
        <v>6000</v>
      </c>
      <c r="AP47" s="793">
        <f t="shared" si="42"/>
        <v>6000</v>
      </c>
      <c r="AQ47" s="793">
        <f t="shared" si="43"/>
        <v>120000</v>
      </c>
      <c r="AR47" s="793">
        <f t="shared" si="44"/>
        <v>0</v>
      </c>
      <c r="AS47" s="793">
        <f t="shared" si="45"/>
        <v>0</v>
      </c>
      <c r="AT47" s="793">
        <f t="shared" si="46"/>
        <v>114000</v>
      </c>
      <c r="AU47" s="793">
        <f t="shared" si="47"/>
        <v>6000</v>
      </c>
      <c r="AV47" s="793">
        <f t="shared" si="48"/>
        <v>6000</v>
      </c>
      <c r="AW47" s="793">
        <f t="shared" si="49"/>
        <v>120000</v>
      </c>
      <c r="AX47" s="793">
        <f t="shared" si="50"/>
        <v>0</v>
      </c>
      <c r="AY47" s="793">
        <f t="shared" si="51"/>
        <v>0</v>
      </c>
      <c r="AZ47" s="793">
        <f t="shared" si="52"/>
        <v>114000</v>
      </c>
      <c r="BA47" s="793">
        <f t="shared" si="56"/>
        <v>6000</v>
      </c>
    </row>
    <row r="48" spans="1:53" ht="15" customHeight="1" x14ac:dyDescent="0.25">
      <c r="A48" s="842" t="s">
        <v>1187</v>
      </c>
      <c r="B48" s="843" t="s">
        <v>1194</v>
      </c>
      <c r="C48" s="778">
        <f t="shared" si="14"/>
        <v>0.31666666666666665</v>
      </c>
      <c r="D48" s="844">
        <v>3</v>
      </c>
      <c r="E48" s="779" t="s">
        <v>1182</v>
      </c>
      <c r="F48" s="845">
        <v>43191</v>
      </c>
      <c r="G48" s="845">
        <v>43191</v>
      </c>
      <c r="H48" s="781">
        <f t="shared" si="15"/>
        <v>44286</v>
      </c>
      <c r="I48" s="1359">
        <v>32940</v>
      </c>
      <c r="J48" s="805">
        <f t="shared" si="16"/>
        <v>1647</v>
      </c>
      <c r="K48" s="805"/>
      <c r="L48" s="793"/>
      <c r="M48" s="793">
        <f t="shared" si="17"/>
        <v>32940</v>
      </c>
      <c r="N48" s="793">
        <f t="shared" si="18"/>
        <v>365</v>
      </c>
      <c r="O48" s="793">
        <f t="shared" si="19"/>
        <v>10431</v>
      </c>
      <c r="P48" s="793">
        <f t="shared" si="20"/>
        <v>10431</v>
      </c>
      <c r="Q48" s="793">
        <f t="shared" si="21"/>
        <v>22509</v>
      </c>
      <c r="R48" s="793">
        <f t="shared" si="22"/>
        <v>22509</v>
      </c>
      <c r="S48" s="793">
        <f t="shared" si="23"/>
        <v>32940</v>
      </c>
      <c r="T48" s="793">
        <f t="shared" si="24"/>
        <v>366</v>
      </c>
      <c r="U48" s="793">
        <f t="shared" si="25"/>
        <v>10431</v>
      </c>
      <c r="V48" s="793">
        <f t="shared" si="26"/>
        <v>20862</v>
      </c>
      <c r="W48" s="793">
        <f t="shared" si="27"/>
        <v>12078</v>
      </c>
      <c r="X48" s="793">
        <f t="shared" si="28"/>
        <v>12078</v>
      </c>
      <c r="Y48" s="805">
        <f t="shared" si="29"/>
        <v>32940</v>
      </c>
      <c r="Z48" s="805">
        <f t="shared" si="30"/>
        <v>365</v>
      </c>
      <c r="AA48" s="805">
        <f t="shared" si="53"/>
        <v>10431</v>
      </c>
      <c r="AB48" s="805">
        <f t="shared" si="57"/>
        <v>31293</v>
      </c>
      <c r="AC48" s="805">
        <f t="shared" si="54"/>
        <v>1647</v>
      </c>
      <c r="AD48" s="793">
        <f t="shared" si="31"/>
        <v>1647</v>
      </c>
      <c r="AE48" s="793">
        <f t="shared" si="32"/>
        <v>32940</v>
      </c>
      <c r="AF48" s="793">
        <f t="shared" si="33"/>
        <v>0</v>
      </c>
      <c r="AG48" s="793">
        <f t="shared" si="34"/>
        <v>0</v>
      </c>
      <c r="AH48" s="805">
        <f t="shared" si="35"/>
        <v>31293</v>
      </c>
      <c r="AI48" s="805">
        <f t="shared" si="36"/>
        <v>1647</v>
      </c>
      <c r="AJ48" s="793">
        <f t="shared" si="55"/>
        <v>1647</v>
      </c>
      <c r="AK48" s="793">
        <f t="shared" si="37"/>
        <v>32940</v>
      </c>
      <c r="AL48" s="793">
        <f t="shared" si="38"/>
        <v>0</v>
      </c>
      <c r="AM48" s="793">
        <f t="shared" si="39"/>
        <v>0</v>
      </c>
      <c r="AN48" s="805">
        <f t="shared" si="40"/>
        <v>31293</v>
      </c>
      <c r="AO48" s="805">
        <f t="shared" si="41"/>
        <v>1647</v>
      </c>
      <c r="AP48" s="793">
        <f t="shared" si="42"/>
        <v>1647</v>
      </c>
      <c r="AQ48" s="793">
        <f t="shared" si="43"/>
        <v>32940</v>
      </c>
      <c r="AR48" s="793">
        <f t="shared" si="44"/>
        <v>0</v>
      </c>
      <c r="AS48" s="793">
        <f t="shared" si="45"/>
        <v>0</v>
      </c>
      <c r="AT48" s="793">
        <f t="shared" si="46"/>
        <v>31293</v>
      </c>
      <c r="AU48" s="793">
        <f t="shared" si="47"/>
        <v>1647</v>
      </c>
      <c r="AV48" s="793">
        <f t="shared" si="48"/>
        <v>1647</v>
      </c>
      <c r="AW48" s="793">
        <f t="shared" si="49"/>
        <v>32940</v>
      </c>
      <c r="AX48" s="793">
        <f t="shared" si="50"/>
        <v>0</v>
      </c>
      <c r="AY48" s="793">
        <f t="shared" si="51"/>
        <v>0</v>
      </c>
      <c r="AZ48" s="793">
        <f t="shared" si="52"/>
        <v>31293</v>
      </c>
      <c r="BA48" s="793">
        <f t="shared" si="56"/>
        <v>1647</v>
      </c>
    </row>
    <row r="49" spans="1:53" ht="15" customHeight="1" x14ac:dyDescent="0.25">
      <c r="A49" s="842" t="s">
        <v>1187</v>
      </c>
      <c r="B49" s="843" t="s">
        <v>1194</v>
      </c>
      <c r="C49" s="778">
        <f t="shared" si="14"/>
        <v>0.31666666666666665</v>
      </c>
      <c r="D49" s="844">
        <v>3</v>
      </c>
      <c r="E49" s="779" t="s">
        <v>1182</v>
      </c>
      <c r="F49" s="845">
        <v>43191</v>
      </c>
      <c r="G49" s="845">
        <v>43191</v>
      </c>
      <c r="H49" s="781">
        <f t="shared" si="15"/>
        <v>44286</v>
      </c>
      <c r="I49" s="1359">
        <v>68772.5</v>
      </c>
      <c r="J49" s="805">
        <f t="shared" si="16"/>
        <v>3438.625</v>
      </c>
      <c r="K49" s="805"/>
      <c r="L49" s="793"/>
      <c r="M49" s="793">
        <f t="shared" si="17"/>
        <v>68772.5</v>
      </c>
      <c r="N49" s="793">
        <f t="shared" si="18"/>
        <v>365</v>
      </c>
      <c r="O49" s="793">
        <f t="shared" si="19"/>
        <v>21778</v>
      </c>
      <c r="P49" s="793">
        <f t="shared" si="20"/>
        <v>21778</v>
      </c>
      <c r="Q49" s="793">
        <f t="shared" si="21"/>
        <v>46994.5</v>
      </c>
      <c r="R49" s="793">
        <f t="shared" si="22"/>
        <v>46994.5</v>
      </c>
      <c r="S49" s="793">
        <f t="shared" si="23"/>
        <v>68772.5</v>
      </c>
      <c r="T49" s="793">
        <f t="shared" si="24"/>
        <v>366</v>
      </c>
      <c r="U49" s="793">
        <f t="shared" si="25"/>
        <v>21778</v>
      </c>
      <c r="V49" s="793">
        <f t="shared" si="26"/>
        <v>43556</v>
      </c>
      <c r="W49" s="793">
        <f t="shared" si="27"/>
        <v>25216.5</v>
      </c>
      <c r="X49" s="793">
        <f t="shared" si="28"/>
        <v>25216.5</v>
      </c>
      <c r="Y49" s="805">
        <f t="shared" si="29"/>
        <v>68772.5</v>
      </c>
      <c r="Z49" s="805">
        <f t="shared" si="30"/>
        <v>365</v>
      </c>
      <c r="AA49" s="805">
        <f t="shared" si="53"/>
        <v>21778</v>
      </c>
      <c r="AB49" s="805">
        <f t="shared" si="57"/>
        <v>65334</v>
      </c>
      <c r="AC49" s="805">
        <f t="shared" si="54"/>
        <v>3438.5</v>
      </c>
      <c r="AD49" s="793">
        <f t="shared" si="31"/>
        <v>3438.5</v>
      </c>
      <c r="AE49" s="793">
        <f t="shared" si="32"/>
        <v>68772.5</v>
      </c>
      <c r="AF49" s="793">
        <f t="shared" si="33"/>
        <v>0</v>
      </c>
      <c r="AG49" s="793">
        <f t="shared" si="34"/>
        <v>0</v>
      </c>
      <c r="AH49" s="805">
        <f t="shared" si="35"/>
        <v>65334</v>
      </c>
      <c r="AI49" s="805">
        <f t="shared" si="36"/>
        <v>3438.5</v>
      </c>
      <c r="AJ49" s="793">
        <f t="shared" si="55"/>
        <v>3438.5</v>
      </c>
      <c r="AK49" s="793">
        <f t="shared" si="37"/>
        <v>68772.5</v>
      </c>
      <c r="AL49" s="793">
        <f t="shared" si="38"/>
        <v>0</v>
      </c>
      <c r="AM49" s="793">
        <f t="shared" si="39"/>
        <v>0</v>
      </c>
      <c r="AN49" s="805">
        <f t="shared" si="40"/>
        <v>65334</v>
      </c>
      <c r="AO49" s="805">
        <f t="shared" si="41"/>
        <v>3438.5</v>
      </c>
      <c r="AP49" s="793">
        <f t="shared" si="42"/>
        <v>3438.5</v>
      </c>
      <c r="AQ49" s="793">
        <f t="shared" si="43"/>
        <v>68772.5</v>
      </c>
      <c r="AR49" s="793">
        <f t="shared" si="44"/>
        <v>0</v>
      </c>
      <c r="AS49" s="793">
        <f t="shared" si="45"/>
        <v>0</v>
      </c>
      <c r="AT49" s="793">
        <f t="shared" si="46"/>
        <v>65334</v>
      </c>
      <c r="AU49" s="793">
        <f t="shared" si="47"/>
        <v>3438.5</v>
      </c>
      <c r="AV49" s="793">
        <f t="shared" si="48"/>
        <v>3438.5</v>
      </c>
      <c r="AW49" s="793">
        <f t="shared" si="49"/>
        <v>68772.5</v>
      </c>
      <c r="AX49" s="793">
        <f t="shared" si="50"/>
        <v>0</v>
      </c>
      <c r="AY49" s="793">
        <f t="shared" si="51"/>
        <v>0</v>
      </c>
      <c r="AZ49" s="793">
        <f t="shared" si="52"/>
        <v>65334</v>
      </c>
      <c r="BA49" s="793">
        <f t="shared" si="56"/>
        <v>3438.5</v>
      </c>
    </row>
    <row r="50" spans="1:53" ht="15" customHeight="1" x14ac:dyDescent="0.25">
      <c r="A50" s="842" t="s">
        <v>1187</v>
      </c>
      <c r="B50" s="843" t="s">
        <v>1194</v>
      </c>
      <c r="C50" s="778">
        <f t="shared" si="14"/>
        <v>0.31666666666666665</v>
      </c>
      <c r="D50" s="844">
        <v>3</v>
      </c>
      <c r="E50" s="779" t="s">
        <v>1182</v>
      </c>
      <c r="F50" s="845">
        <v>43191</v>
      </c>
      <c r="G50" s="845">
        <v>43191</v>
      </c>
      <c r="H50" s="781">
        <f t="shared" si="15"/>
        <v>44286</v>
      </c>
      <c r="I50" s="1359">
        <v>11805</v>
      </c>
      <c r="J50" s="805">
        <f t="shared" si="16"/>
        <v>590.25</v>
      </c>
      <c r="K50" s="805"/>
      <c r="L50" s="793"/>
      <c r="M50" s="793">
        <f t="shared" si="17"/>
        <v>11805</v>
      </c>
      <c r="N50" s="793">
        <f t="shared" si="18"/>
        <v>365</v>
      </c>
      <c r="O50" s="793">
        <f t="shared" si="19"/>
        <v>3738</v>
      </c>
      <c r="P50" s="793">
        <f t="shared" si="20"/>
        <v>3738</v>
      </c>
      <c r="Q50" s="793">
        <f t="shared" si="21"/>
        <v>8067</v>
      </c>
      <c r="R50" s="793">
        <f t="shared" si="22"/>
        <v>8067</v>
      </c>
      <c r="S50" s="793">
        <f t="shared" si="23"/>
        <v>11805</v>
      </c>
      <c r="T50" s="793">
        <f t="shared" si="24"/>
        <v>366</v>
      </c>
      <c r="U50" s="793">
        <f t="shared" si="25"/>
        <v>3738</v>
      </c>
      <c r="V50" s="793">
        <f t="shared" si="26"/>
        <v>7476</v>
      </c>
      <c r="W50" s="793">
        <f t="shared" si="27"/>
        <v>4329</v>
      </c>
      <c r="X50" s="793">
        <f t="shared" si="28"/>
        <v>4329</v>
      </c>
      <c r="Y50" s="805">
        <f t="shared" si="29"/>
        <v>11805</v>
      </c>
      <c r="Z50" s="805">
        <f t="shared" si="30"/>
        <v>365</v>
      </c>
      <c r="AA50" s="805">
        <f t="shared" si="53"/>
        <v>3738</v>
      </c>
      <c r="AB50" s="805">
        <f t="shared" si="57"/>
        <v>11214</v>
      </c>
      <c r="AC50" s="805">
        <f t="shared" si="54"/>
        <v>591</v>
      </c>
      <c r="AD50" s="793">
        <f t="shared" si="31"/>
        <v>591</v>
      </c>
      <c r="AE50" s="793">
        <f t="shared" si="32"/>
        <v>11805</v>
      </c>
      <c r="AF50" s="793">
        <f t="shared" si="33"/>
        <v>0</v>
      </c>
      <c r="AG50" s="793">
        <f t="shared" si="34"/>
        <v>0</v>
      </c>
      <c r="AH50" s="805">
        <f t="shared" si="35"/>
        <v>11214</v>
      </c>
      <c r="AI50" s="805">
        <f t="shared" si="36"/>
        <v>591</v>
      </c>
      <c r="AJ50" s="793">
        <f t="shared" si="55"/>
        <v>591</v>
      </c>
      <c r="AK50" s="793">
        <f t="shared" si="37"/>
        <v>11805</v>
      </c>
      <c r="AL50" s="793">
        <f t="shared" si="38"/>
        <v>0</v>
      </c>
      <c r="AM50" s="793">
        <f t="shared" si="39"/>
        <v>0</v>
      </c>
      <c r="AN50" s="805">
        <f t="shared" si="40"/>
        <v>11214</v>
      </c>
      <c r="AO50" s="805">
        <f t="shared" si="41"/>
        <v>591</v>
      </c>
      <c r="AP50" s="793">
        <f t="shared" si="42"/>
        <v>591</v>
      </c>
      <c r="AQ50" s="793">
        <f t="shared" si="43"/>
        <v>11805</v>
      </c>
      <c r="AR50" s="793">
        <f t="shared" si="44"/>
        <v>0</v>
      </c>
      <c r="AS50" s="793">
        <f t="shared" si="45"/>
        <v>0</v>
      </c>
      <c r="AT50" s="793">
        <f t="shared" si="46"/>
        <v>11214</v>
      </c>
      <c r="AU50" s="793">
        <f t="shared" si="47"/>
        <v>591</v>
      </c>
      <c r="AV50" s="793">
        <f t="shared" si="48"/>
        <v>591</v>
      </c>
      <c r="AW50" s="793">
        <f t="shared" si="49"/>
        <v>11805</v>
      </c>
      <c r="AX50" s="793">
        <f t="shared" si="50"/>
        <v>0</v>
      </c>
      <c r="AY50" s="793">
        <f t="shared" si="51"/>
        <v>0</v>
      </c>
      <c r="AZ50" s="793">
        <f t="shared" si="52"/>
        <v>11214</v>
      </c>
      <c r="BA50" s="793">
        <f t="shared" si="56"/>
        <v>591</v>
      </c>
    </row>
    <row r="51" spans="1:53" ht="15" customHeight="1" x14ac:dyDescent="0.25">
      <c r="A51" s="842" t="s">
        <v>1187</v>
      </c>
      <c r="B51" s="843" t="s">
        <v>1194</v>
      </c>
      <c r="C51" s="778">
        <f t="shared" si="14"/>
        <v>0.31666666666666665</v>
      </c>
      <c r="D51" s="844">
        <v>3</v>
      </c>
      <c r="E51" s="779" t="s">
        <v>1182</v>
      </c>
      <c r="F51" s="845">
        <v>43191</v>
      </c>
      <c r="G51" s="845">
        <v>43191</v>
      </c>
      <c r="H51" s="781">
        <f t="shared" si="15"/>
        <v>44286</v>
      </c>
      <c r="I51" s="1359">
        <v>5490</v>
      </c>
      <c r="J51" s="805">
        <f t="shared" si="16"/>
        <v>274.5</v>
      </c>
      <c r="K51" s="805"/>
      <c r="L51" s="793"/>
      <c r="M51" s="793">
        <f t="shared" si="17"/>
        <v>5490</v>
      </c>
      <c r="N51" s="793">
        <f t="shared" si="18"/>
        <v>365</v>
      </c>
      <c r="O51" s="793">
        <f t="shared" si="19"/>
        <v>1739</v>
      </c>
      <c r="P51" s="793">
        <f t="shared" si="20"/>
        <v>1739</v>
      </c>
      <c r="Q51" s="793">
        <f t="shared" si="21"/>
        <v>3751</v>
      </c>
      <c r="R51" s="793">
        <f t="shared" si="22"/>
        <v>3751</v>
      </c>
      <c r="S51" s="793">
        <f t="shared" si="23"/>
        <v>5490</v>
      </c>
      <c r="T51" s="793">
        <f t="shared" si="24"/>
        <v>366</v>
      </c>
      <c r="U51" s="793">
        <f t="shared" si="25"/>
        <v>1739</v>
      </c>
      <c r="V51" s="793">
        <f t="shared" si="26"/>
        <v>3478</v>
      </c>
      <c r="W51" s="793">
        <f t="shared" si="27"/>
        <v>2012</v>
      </c>
      <c r="X51" s="793">
        <f t="shared" si="28"/>
        <v>2012</v>
      </c>
      <c r="Y51" s="805">
        <f t="shared" si="29"/>
        <v>5490</v>
      </c>
      <c r="Z51" s="805">
        <f t="shared" si="30"/>
        <v>365</v>
      </c>
      <c r="AA51" s="805">
        <f t="shared" si="53"/>
        <v>1739</v>
      </c>
      <c r="AB51" s="805">
        <f t="shared" si="57"/>
        <v>5217</v>
      </c>
      <c r="AC51" s="805">
        <f t="shared" si="54"/>
        <v>273</v>
      </c>
      <c r="AD51" s="793">
        <f t="shared" si="31"/>
        <v>273</v>
      </c>
      <c r="AE51" s="793">
        <f t="shared" si="32"/>
        <v>5490</v>
      </c>
      <c r="AF51" s="793">
        <f t="shared" si="33"/>
        <v>0</v>
      </c>
      <c r="AG51" s="793">
        <f t="shared" si="34"/>
        <v>0</v>
      </c>
      <c r="AH51" s="805">
        <f t="shared" si="35"/>
        <v>5217</v>
      </c>
      <c r="AI51" s="805">
        <f t="shared" si="36"/>
        <v>273</v>
      </c>
      <c r="AJ51" s="793">
        <f t="shared" si="55"/>
        <v>273</v>
      </c>
      <c r="AK51" s="793">
        <f t="shared" si="37"/>
        <v>5490</v>
      </c>
      <c r="AL51" s="793">
        <f t="shared" si="38"/>
        <v>0</v>
      </c>
      <c r="AM51" s="793">
        <f t="shared" si="39"/>
        <v>0</v>
      </c>
      <c r="AN51" s="805">
        <f t="shared" si="40"/>
        <v>5217</v>
      </c>
      <c r="AO51" s="805">
        <f t="shared" si="41"/>
        <v>273</v>
      </c>
      <c r="AP51" s="793">
        <f t="shared" si="42"/>
        <v>273</v>
      </c>
      <c r="AQ51" s="793">
        <f t="shared" si="43"/>
        <v>5490</v>
      </c>
      <c r="AR51" s="793">
        <f t="shared" si="44"/>
        <v>0</v>
      </c>
      <c r="AS51" s="793">
        <f t="shared" si="45"/>
        <v>0</v>
      </c>
      <c r="AT51" s="793">
        <f t="shared" si="46"/>
        <v>5217</v>
      </c>
      <c r="AU51" s="793">
        <f t="shared" si="47"/>
        <v>273</v>
      </c>
      <c r="AV51" s="793">
        <f t="shared" si="48"/>
        <v>273</v>
      </c>
      <c r="AW51" s="793">
        <f t="shared" si="49"/>
        <v>5490</v>
      </c>
      <c r="AX51" s="793">
        <f t="shared" si="50"/>
        <v>0</v>
      </c>
      <c r="AY51" s="793">
        <f t="shared" si="51"/>
        <v>0</v>
      </c>
      <c r="AZ51" s="793">
        <f t="shared" si="52"/>
        <v>5217</v>
      </c>
      <c r="BA51" s="793">
        <f t="shared" si="56"/>
        <v>273</v>
      </c>
    </row>
    <row r="52" spans="1:53" ht="15" customHeight="1" x14ac:dyDescent="0.25">
      <c r="A52" s="842" t="s">
        <v>1187</v>
      </c>
      <c r="B52" s="843" t="s">
        <v>1194</v>
      </c>
      <c r="C52" s="778">
        <f t="shared" si="14"/>
        <v>0.31666666666666665</v>
      </c>
      <c r="D52" s="844">
        <v>3</v>
      </c>
      <c r="E52" s="779" t="s">
        <v>1182</v>
      </c>
      <c r="F52" s="845">
        <v>43191</v>
      </c>
      <c r="G52" s="845">
        <v>43191</v>
      </c>
      <c r="H52" s="781">
        <f t="shared" si="15"/>
        <v>44286</v>
      </c>
      <c r="I52" s="1359">
        <v>4500</v>
      </c>
      <c r="J52" s="805">
        <f t="shared" si="16"/>
        <v>225</v>
      </c>
      <c r="K52" s="805"/>
      <c r="L52" s="793"/>
      <c r="M52" s="793">
        <f t="shared" si="17"/>
        <v>4500</v>
      </c>
      <c r="N52" s="793">
        <f t="shared" si="18"/>
        <v>365</v>
      </c>
      <c r="O52" s="793">
        <f t="shared" si="19"/>
        <v>1425</v>
      </c>
      <c r="P52" s="793">
        <f t="shared" si="20"/>
        <v>1425</v>
      </c>
      <c r="Q52" s="793">
        <f t="shared" si="21"/>
        <v>3075</v>
      </c>
      <c r="R52" s="793">
        <f t="shared" si="22"/>
        <v>3075</v>
      </c>
      <c r="S52" s="793">
        <f t="shared" si="23"/>
        <v>4500</v>
      </c>
      <c r="T52" s="793">
        <f t="shared" si="24"/>
        <v>366</v>
      </c>
      <c r="U52" s="793">
        <f t="shared" si="25"/>
        <v>1425</v>
      </c>
      <c r="V52" s="793">
        <f t="shared" si="26"/>
        <v>2850</v>
      </c>
      <c r="W52" s="793">
        <f t="shared" si="27"/>
        <v>1650</v>
      </c>
      <c r="X52" s="793">
        <f t="shared" si="28"/>
        <v>1650</v>
      </c>
      <c r="Y52" s="805">
        <f t="shared" si="29"/>
        <v>4500</v>
      </c>
      <c r="Z52" s="805">
        <f t="shared" si="30"/>
        <v>365</v>
      </c>
      <c r="AA52" s="805">
        <f t="shared" si="53"/>
        <v>1425</v>
      </c>
      <c r="AB52" s="805">
        <f t="shared" si="57"/>
        <v>4275</v>
      </c>
      <c r="AC52" s="805">
        <f t="shared" si="54"/>
        <v>225</v>
      </c>
      <c r="AD52" s="793">
        <f t="shared" si="31"/>
        <v>225</v>
      </c>
      <c r="AE52" s="793">
        <f t="shared" si="32"/>
        <v>4500</v>
      </c>
      <c r="AF52" s="793">
        <f t="shared" si="33"/>
        <v>0</v>
      </c>
      <c r="AG52" s="793">
        <f t="shared" si="34"/>
        <v>0</v>
      </c>
      <c r="AH52" s="805">
        <f t="shared" si="35"/>
        <v>4275</v>
      </c>
      <c r="AI52" s="805">
        <f t="shared" si="36"/>
        <v>225</v>
      </c>
      <c r="AJ52" s="793">
        <f t="shared" si="55"/>
        <v>225</v>
      </c>
      <c r="AK52" s="793">
        <f t="shared" si="37"/>
        <v>4500</v>
      </c>
      <c r="AL52" s="793">
        <f t="shared" si="38"/>
        <v>0</v>
      </c>
      <c r="AM52" s="793">
        <f t="shared" si="39"/>
        <v>0</v>
      </c>
      <c r="AN52" s="805">
        <f t="shared" si="40"/>
        <v>4275</v>
      </c>
      <c r="AO52" s="805">
        <f t="shared" si="41"/>
        <v>225</v>
      </c>
      <c r="AP52" s="793">
        <f t="shared" si="42"/>
        <v>225</v>
      </c>
      <c r="AQ52" s="793">
        <f t="shared" si="43"/>
        <v>4500</v>
      </c>
      <c r="AR52" s="793">
        <f t="shared" si="44"/>
        <v>0</v>
      </c>
      <c r="AS52" s="793">
        <f t="shared" si="45"/>
        <v>0</v>
      </c>
      <c r="AT52" s="793">
        <f t="shared" si="46"/>
        <v>4275</v>
      </c>
      <c r="AU52" s="793">
        <f t="shared" si="47"/>
        <v>225</v>
      </c>
      <c r="AV52" s="793">
        <f t="shared" si="48"/>
        <v>225</v>
      </c>
      <c r="AW52" s="793">
        <f t="shared" si="49"/>
        <v>4500</v>
      </c>
      <c r="AX52" s="793">
        <f t="shared" si="50"/>
        <v>0</v>
      </c>
      <c r="AY52" s="793">
        <f t="shared" si="51"/>
        <v>0</v>
      </c>
      <c r="AZ52" s="793">
        <f t="shared" si="52"/>
        <v>4275</v>
      </c>
      <c r="BA52" s="793">
        <f t="shared" si="56"/>
        <v>225</v>
      </c>
    </row>
    <row r="53" spans="1:53" ht="15" customHeight="1" x14ac:dyDescent="0.25">
      <c r="A53" s="842" t="s">
        <v>1187</v>
      </c>
      <c r="B53" s="843" t="s">
        <v>1194</v>
      </c>
      <c r="C53" s="778">
        <f t="shared" si="14"/>
        <v>0.31666666666666665</v>
      </c>
      <c r="D53" s="844">
        <v>3</v>
      </c>
      <c r="E53" s="779" t="s">
        <v>1182</v>
      </c>
      <c r="F53" s="845">
        <v>43191</v>
      </c>
      <c r="G53" s="845">
        <v>43191</v>
      </c>
      <c r="H53" s="781">
        <f t="shared" si="15"/>
        <v>44286</v>
      </c>
      <c r="I53" s="1359">
        <v>32100</v>
      </c>
      <c r="J53" s="805">
        <f t="shared" si="16"/>
        <v>1605</v>
      </c>
      <c r="K53" s="805"/>
      <c r="L53" s="793"/>
      <c r="M53" s="793">
        <f t="shared" si="17"/>
        <v>32100</v>
      </c>
      <c r="N53" s="793">
        <f t="shared" si="18"/>
        <v>365</v>
      </c>
      <c r="O53" s="793">
        <f t="shared" si="19"/>
        <v>10165</v>
      </c>
      <c r="P53" s="793">
        <f t="shared" si="20"/>
        <v>10165</v>
      </c>
      <c r="Q53" s="793">
        <f t="shared" si="21"/>
        <v>21935</v>
      </c>
      <c r="R53" s="793">
        <f t="shared" si="22"/>
        <v>21935</v>
      </c>
      <c r="S53" s="793">
        <f t="shared" si="23"/>
        <v>32100</v>
      </c>
      <c r="T53" s="793">
        <f t="shared" si="24"/>
        <v>366</v>
      </c>
      <c r="U53" s="793">
        <f t="shared" si="25"/>
        <v>10165</v>
      </c>
      <c r="V53" s="793">
        <f t="shared" si="26"/>
        <v>20330</v>
      </c>
      <c r="W53" s="793">
        <f t="shared" si="27"/>
        <v>11770</v>
      </c>
      <c r="X53" s="793">
        <f t="shared" si="28"/>
        <v>11770</v>
      </c>
      <c r="Y53" s="805">
        <f t="shared" si="29"/>
        <v>32100</v>
      </c>
      <c r="Z53" s="805">
        <f t="shared" si="30"/>
        <v>365</v>
      </c>
      <c r="AA53" s="805">
        <f t="shared" si="53"/>
        <v>10165</v>
      </c>
      <c r="AB53" s="805">
        <f t="shared" si="57"/>
        <v>30495</v>
      </c>
      <c r="AC53" s="805">
        <f t="shared" si="54"/>
        <v>1605</v>
      </c>
      <c r="AD53" s="793">
        <f t="shared" si="31"/>
        <v>1605</v>
      </c>
      <c r="AE53" s="793">
        <f t="shared" si="32"/>
        <v>32100</v>
      </c>
      <c r="AF53" s="793">
        <f t="shared" si="33"/>
        <v>0</v>
      </c>
      <c r="AG53" s="793">
        <f t="shared" si="34"/>
        <v>0</v>
      </c>
      <c r="AH53" s="805">
        <f t="shared" si="35"/>
        <v>30495</v>
      </c>
      <c r="AI53" s="805">
        <f t="shared" si="36"/>
        <v>1605</v>
      </c>
      <c r="AJ53" s="793">
        <f t="shared" si="55"/>
        <v>1605</v>
      </c>
      <c r="AK53" s="793">
        <f t="shared" si="37"/>
        <v>32100</v>
      </c>
      <c r="AL53" s="793">
        <f t="shared" si="38"/>
        <v>0</v>
      </c>
      <c r="AM53" s="793">
        <f t="shared" si="39"/>
        <v>0</v>
      </c>
      <c r="AN53" s="805">
        <f t="shared" si="40"/>
        <v>30495</v>
      </c>
      <c r="AO53" s="805">
        <f t="shared" si="41"/>
        <v>1605</v>
      </c>
      <c r="AP53" s="793">
        <f t="shared" si="42"/>
        <v>1605</v>
      </c>
      <c r="AQ53" s="793">
        <f t="shared" si="43"/>
        <v>32100</v>
      </c>
      <c r="AR53" s="793">
        <f t="shared" si="44"/>
        <v>0</v>
      </c>
      <c r="AS53" s="793">
        <f t="shared" si="45"/>
        <v>0</v>
      </c>
      <c r="AT53" s="793">
        <f t="shared" si="46"/>
        <v>30495</v>
      </c>
      <c r="AU53" s="793">
        <f t="shared" si="47"/>
        <v>1605</v>
      </c>
      <c r="AV53" s="793">
        <f t="shared" si="48"/>
        <v>1605</v>
      </c>
      <c r="AW53" s="793">
        <f t="shared" si="49"/>
        <v>32100</v>
      </c>
      <c r="AX53" s="793">
        <f t="shared" si="50"/>
        <v>0</v>
      </c>
      <c r="AY53" s="793">
        <f t="shared" si="51"/>
        <v>0</v>
      </c>
      <c r="AZ53" s="793">
        <f t="shared" si="52"/>
        <v>30495</v>
      </c>
      <c r="BA53" s="793">
        <f t="shared" si="56"/>
        <v>1605</v>
      </c>
    </row>
    <row r="54" spans="1:53" ht="15" customHeight="1" x14ac:dyDescent="0.25">
      <c r="A54" s="842" t="s">
        <v>1187</v>
      </c>
      <c r="B54" s="843" t="s">
        <v>1194</v>
      </c>
      <c r="C54" s="778">
        <f t="shared" si="14"/>
        <v>0.31666666666666665</v>
      </c>
      <c r="D54" s="844">
        <v>3</v>
      </c>
      <c r="E54" s="779" t="s">
        <v>1182</v>
      </c>
      <c r="F54" s="845">
        <v>43191</v>
      </c>
      <c r="G54" s="845">
        <v>43191</v>
      </c>
      <c r="H54" s="781">
        <f t="shared" si="15"/>
        <v>44286</v>
      </c>
      <c r="I54" s="1359">
        <v>12180</v>
      </c>
      <c r="J54" s="805">
        <f t="shared" si="16"/>
        <v>609</v>
      </c>
      <c r="K54" s="805"/>
      <c r="L54" s="793"/>
      <c r="M54" s="793">
        <f t="shared" si="17"/>
        <v>12180</v>
      </c>
      <c r="N54" s="793">
        <f t="shared" si="18"/>
        <v>365</v>
      </c>
      <c r="O54" s="793">
        <f t="shared" si="19"/>
        <v>3857</v>
      </c>
      <c r="P54" s="793">
        <f t="shared" si="20"/>
        <v>3857</v>
      </c>
      <c r="Q54" s="793">
        <f t="shared" si="21"/>
        <v>8323</v>
      </c>
      <c r="R54" s="793">
        <f t="shared" si="22"/>
        <v>8323</v>
      </c>
      <c r="S54" s="793">
        <f t="shared" si="23"/>
        <v>12180</v>
      </c>
      <c r="T54" s="793">
        <f t="shared" si="24"/>
        <v>366</v>
      </c>
      <c r="U54" s="793">
        <f t="shared" si="25"/>
        <v>3857</v>
      </c>
      <c r="V54" s="793">
        <f t="shared" si="26"/>
        <v>7714</v>
      </c>
      <c r="W54" s="793">
        <f t="shared" si="27"/>
        <v>4466</v>
      </c>
      <c r="X54" s="793">
        <f t="shared" si="28"/>
        <v>4466</v>
      </c>
      <c r="Y54" s="805">
        <f t="shared" si="29"/>
        <v>12180</v>
      </c>
      <c r="Z54" s="805">
        <f t="shared" si="30"/>
        <v>365</v>
      </c>
      <c r="AA54" s="805">
        <f t="shared" si="53"/>
        <v>3857</v>
      </c>
      <c r="AB54" s="805">
        <f t="shared" si="57"/>
        <v>11571</v>
      </c>
      <c r="AC54" s="805">
        <f t="shared" si="54"/>
        <v>609</v>
      </c>
      <c r="AD54" s="793">
        <f t="shared" si="31"/>
        <v>609</v>
      </c>
      <c r="AE54" s="793">
        <f t="shared" si="32"/>
        <v>12180</v>
      </c>
      <c r="AF54" s="793">
        <f t="shared" si="33"/>
        <v>0</v>
      </c>
      <c r="AG54" s="793">
        <f t="shared" si="34"/>
        <v>0</v>
      </c>
      <c r="AH54" s="805">
        <f t="shared" si="35"/>
        <v>11571</v>
      </c>
      <c r="AI54" s="805">
        <f t="shared" si="36"/>
        <v>609</v>
      </c>
      <c r="AJ54" s="793">
        <f t="shared" si="55"/>
        <v>609</v>
      </c>
      <c r="AK54" s="793">
        <f t="shared" si="37"/>
        <v>12180</v>
      </c>
      <c r="AL54" s="793">
        <f t="shared" si="38"/>
        <v>0</v>
      </c>
      <c r="AM54" s="793">
        <f t="shared" si="39"/>
        <v>0</v>
      </c>
      <c r="AN54" s="805">
        <f t="shared" si="40"/>
        <v>11571</v>
      </c>
      <c r="AO54" s="805">
        <f t="shared" si="41"/>
        <v>609</v>
      </c>
      <c r="AP54" s="793">
        <f t="shared" si="42"/>
        <v>609</v>
      </c>
      <c r="AQ54" s="793">
        <f t="shared" si="43"/>
        <v>12180</v>
      </c>
      <c r="AR54" s="793">
        <f t="shared" si="44"/>
        <v>0</v>
      </c>
      <c r="AS54" s="793">
        <f t="shared" si="45"/>
        <v>0</v>
      </c>
      <c r="AT54" s="793">
        <f t="shared" si="46"/>
        <v>11571</v>
      </c>
      <c r="AU54" s="793">
        <f t="shared" si="47"/>
        <v>609</v>
      </c>
      <c r="AV54" s="793">
        <f t="shared" si="48"/>
        <v>609</v>
      </c>
      <c r="AW54" s="793">
        <f t="shared" si="49"/>
        <v>12180</v>
      </c>
      <c r="AX54" s="793">
        <f t="shared" si="50"/>
        <v>0</v>
      </c>
      <c r="AY54" s="793">
        <f t="shared" si="51"/>
        <v>0</v>
      </c>
      <c r="AZ54" s="793">
        <f t="shared" si="52"/>
        <v>11571</v>
      </c>
      <c r="BA54" s="793">
        <f t="shared" si="56"/>
        <v>609</v>
      </c>
    </row>
    <row r="55" spans="1:53" ht="15" customHeight="1" x14ac:dyDescent="0.25">
      <c r="A55" s="842" t="s">
        <v>1187</v>
      </c>
      <c r="B55" s="843" t="s">
        <v>1194</v>
      </c>
      <c r="C55" s="778">
        <f t="shared" si="14"/>
        <v>0.31666666666666665</v>
      </c>
      <c r="D55" s="844">
        <v>3</v>
      </c>
      <c r="E55" s="779" t="s">
        <v>1182</v>
      </c>
      <c r="F55" s="845">
        <v>43191</v>
      </c>
      <c r="G55" s="845">
        <v>43191</v>
      </c>
      <c r="H55" s="781">
        <f t="shared" si="15"/>
        <v>44286</v>
      </c>
      <c r="I55" s="1359">
        <v>58235</v>
      </c>
      <c r="J55" s="805">
        <f t="shared" si="16"/>
        <v>2911.75</v>
      </c>
      <c r="K55" s="805"/>
      <c r="L55" s="793"/>
      <c r="M55" s="793">
        <f t="shared" si="17"/>
        <v>58235</v>
      </c>
      <c r="N55" s="793">
        <f t="shared" si="18"/>
        <v>365</v>
      </c>
      <c r="O55" s="793">
        <f t="shared" si="19"/>
        <v>18441</v>
      </c>
      <c r="P55" s="793">
        <f t="shared" si="20"/>
        <v>18441</v>
      </c>
      <c r="Q55" s="793">
        <f t="shared" si="21"/>
        <v>39794</v>
      </c>
      <c r="R55" s="793">
        <f t="shared" si="22"/>
        <v>39794</v>
      </c>
      <c r="S55" s="793">
        <f t="shared" si="23"/>
        <v>58235</v>
      </c>
      <c r="T55" s="793">
        <f t="shared" si="24"/>
        <v>366</v>
      </c>
      <c r="U55" s="793">
        <f t="shared" si="25"/>
        <v>18441</v>
      </c>
      <c r="V55" s="793">
        <f t="shared" si="26"/>
        <v>36882</v>
      </c>
      <c r="W55" s="793">
        <f t="shared" si="27"/>
        <v>21353</v>
      </c>
      <c r="X55" s="793">
        <f t="shared" si="28"/>
        <v>21353</v>
      </c>
      <c r="Y55" s="805">
        <f t="shared" si="29"/>
        <v>58235</v>
      </c>
      <c r="Z55" s="805">
        <f t="shared" si="30"/>
        <v>365</v>
      </c>
      <c r="AA55" s="805">
        <f t="shared" si="53"/>
        <v>18441</v>
      </c>
      <c r="AB55" s="805">
        <f t="shared" si="57"/>
        <v>55323</v>
      </c>
      <c r="AC55" s="805">
        <f t="shared" si="54"/>
        <v>2912</v>
      </c>
      <c r="AD55" s="793">
        <f t="shared" si="31"/>
        <v>2912</v>
      </c>
      <c r="AE55" s="793">
        <f t="shared" si="32"/>
        <v>58235</v>
      </c>
      <c r="AF55" s="793">
        <f t="shared" si="33"/>
        <v>0</v>
      </c>
      <c r="AG55" s="793">
        <f t="shared" si="34"/>
        <v>0</v>
      </c>
      <c r="AH55" s="805">
        <f t="shared" si="35"/>
        <v>55323</v>
      </c>
      <c r="AI55" s="805">
        <f t="shared" si="36"/>
        <v>2912</v>
      </c>
      <c r="AJ55" s="793">
        <f t="shared" si="55"/>
        <v>2912</v>
      </c>
      <c r="AK55" s="793">
        <f t="shared" si="37"/>
        <v>58235</v>
      </c>
      <c r="AL55" s="793">
        <f t="shared" si="38"/>
        <v>0</v>
      </c>
      <c r="AM55" s="793">
        <f t="shared" si="39"/>
        <v>0</v>
      </c>
      <c r="AN55" s="805">
        <f t="shared" si="40"/>
        <v>55323</v>
      </c>
      <c r="AO55" s="805">
        <f t="shared" si="41"/>
        <v>2912</v>
      </c>
      <c r="AP55" s="793">
        <f t="shared" si="42"/>
        <v>2912</v>
      </c>
      <c r="AQ55" s="793">
        <f t="shared" si="43"/>
        <v>58235</v>
      </c>
      <c r="AR55" s="793">
        <f t="shared" si="44"/>
        <v>0</v>
      </c>
      <c r="AS55" s="793">
        <f t="shared" si="45"/>
        <v>0</v>
      </c>
      <c r="AT55" s="793">
        <f t="shared" si="46"/>
        <v>55323</v>
      </c>
      <c r="AU55" s="793">
        <f t="shared" si="47"/>
        <v>2912</v>
      </c>
      <c r="AV55" s="793">
        <f t="shared" si="48"/>
        <v>2912</v>
      </c>
      <c r="AW55" s="793">
        <f t="shared" si="49"/>
        <v>58235</v>
      </c>
      <c r="AX55" s="793">
        <f t="shared" si="50"/>
        <v>0</v>
      </c>
      <c r="AY55" s="793">
        <f t="shared" si="51"/>
        <v>0</v>
      </c>
      <c r="AZ55" s="793">
        <f t="shared" si="52"/>
        <v>55323</v>
      </c>
      <c r="BA55" s="793">
        <f t="shared" si="56"/>
        <v>2912</v>
      </c>
    </row>
    <row r="56" spans="1:53" ht="15" customHeight="1" x14ac:dyDescent="0.25">
      <c r="A56" s="842" t="s">
        <v>1187</v>
      </c>
      <c r="B56" s="843" t="s">
        <v>1194</v>
      </c>
      <c r="C56" s="778">
        <f t="shared" si="14"/>
        <v>0.31666666666666665</v>
      </c>
      <c r="D56" s="844">
        <v>3</v>
      </c>
      <c r="E56" s="779" t="s">
        <v>1182</v>
      </c>
      <c r="F56" s="845">
        <v>43191</v>
      </c>
      <c r="G56" s="845">
        <v>43191</v>
      </c>
      <c r="H56" s="781">
        <f t="shared" si="15"/>
        <v>44286</v>
      </c>
      <c r="I56" s="1359">
        <v>1622</v>
      </c>
      <c r="J56" s="805">
        <f t="shared" si="16"/>
        <v>81.100000000000009</v>
      </c>
      <c r="K56" s="805"/>
      <c r="L56" s="793"/>
      <c r="M56" s="793">
        <f t="shared" si="17"/>
        <v>1622</v>
      </c>
      <c r="N56" s="793">
        <f t="shared" si="18"/>
        <v>365</v>
      </c>
      <c r="O56" s="793">
        <f t="shared" si="19"/>
        <v>514</v>
      </c>
      <c r="P56" s="793">
        <f t="shared" si="20"/>
        <v>514</v>
      </c>
      <c r="Q56" s="793">
        <f t="shared" si="21"/>
        <v>1108</v>
      </c>
      <c r="R56" s="793">
        <f t="shared" si="22"/>
        <v>1108</v>
      </c>
      <c r="S56" s="793">
        <f t="shared" si="23"/>
        <v>1622</v>
      </c>
      <c r="T56" s="793">
        <f t="shared" si="24"/>
        <v>366</v>
      </c>
      <c r="U56" s="793">
        <f t="shared" si="25"/>
        <v>514</v>
      </c>
      <c r="V56" s="793">
        <f t="shared" si="26"/>
        <v>1028</v>
      </c>
      <c r="W56" s="793">
        <f t="shared" si="27"/>
        <v>594</v>
      </c>
      <c r="X56" s="793">
        <f t="shared" si="28"/>
        <v>594</v>
      </c>
      <c r="Y56" s="805">
        <f t="shared" si="29"/>
        <v>1622</v>
      </c>
      <c r="Z56" s="805">
        <f t="shared" si="30"/>
        <v>365</v>
      </c>
      <c r="AA56" s="805">
        <f t="shared" si="53"/>
        <v>514</v>
      </c>
      <c r="AB56" s="805">
        <f t="shared" si="57"/>
        <v>1542</v>
      </c>
      <c r="AC56" s="805">
        <f t="shared" si="54"/>
        <v>80</v>
      </c>
      <c r="AD56" s="793">
        <f t="shared" si="31"/>
        <v>80</v>
      </c>
      <c r="AE56" s="793">
        <f t="shared" si="32"/>
        <v>1622</v>
      </c>
      <c r="AF56" s="793">
        <f t="shared" si="33"/>
        <v>0</v>
      </c>
      <c r="AG56" s="793">
        <f t="shared" si="34"/>
        <v>0</v>
      </c>
      <c r="AH56" s="805">
        <f t="shared" si="35"/>
        <v>1542</v>
      </c>
      <c r="AI56" s="805">
        <f t="shared" si="36"/>
        <v>80</v>
      </c>
      <c r="AJ56" s="793">
        <f t="shared" si="55"/>
        <v>80</v>
      </c>
      <c r="AK56" s="793">
        <f t="shared" si="37"/>
        <v>1622</v>
      </c>
      <c r="AL56" s="793">
        <f t="shared" si="38"/>
        <v>0</v>
      </c>
      <c r="AM56" s="793">
        <f t="shared" si="39"/>
        <v>0</v>
      </c>
      <c r="AN56" s="805">
        <f t="shared" si="40"/>
        <v>1542</v>
      </c>
      <c r="AO56" s="805">
        <f t="shared" si="41"/>
        <v>80</v>
      </c>
      <c r="AP56" s="793">
        <f t="shared" si="42"/>
        <v>80</v>
      </c>
      <c r="AQ56" s="793">
        <f t="shared" si="43"/>
        <v>1622</v>
      </c>
      <c r="AR56" s="793">
        <f t="shared" si="44"/>
        <v>0</v>
      </c>
      <c r="AS56" s="793">
        <f t="shared" si="45"/>
        <v>0</v>
      </c>
      <c r="AT56" s="793">
        <f t="shared" si="46"/>
        <v>1542</v>
      </c>
      <c r="AU56" s="793">
        <f t="shared" si="47"/>
        <v>80</v>
      </c>
      <c r="AV56" s="793">
        <f t="shared" si="48"/>
        <v>80</v>
      </c>
      <c r="AW56" s="793">
        <f t="shared" si="49"/>
        <v>1622</v>
      </c>
      <c r="AX56" s="793">
        <f t="shared" si="50"/>
        <v>0</v>
      </c>
      <c r="AY56" s="793">
        <f t="shared" si="51"/>
        <v>0</v>
      </c>
      <c r="AZ56" s="793">
        <f t="shared" si="52"/>
        <v>1542</v>
      </c>
      <c r="BA56" s="793">
        <f t="shared" si="56"/>
        <v>80</v>
      </c>
    </row>
    <row r="57" spans="1:53" ht="15" customHeight="1" x14ac:dyDescent="0.25">
      <c r="A57" s="842" t="s">
        <v>1187</v>
      </c>
      <c r="B57" s="843" t="s">
        <v>1195</v>
      </c>
      <c r="C57" s="778">
        <f t="shared" si="14"/>
        <v>0.31666666666666665</v>
      </c>
      <c r="D57" s="844">
        <v>3</v>
      </c>
      <c r="E57" s="779" t="s">
        <v>1182</v>
      </c>
      <c r="F57" s="845">
        <v>43191</v>
      </c>
      <c r="G57" s="845">
        <v>43191</v>
      </c>
      <c r="H57" s="781">
        <f t="shared" si="15"/>
        <v>44286</v>
      </c>
      <c r="I57" s="1359">
        <v>1380</v>
      </c>
      <c r="J57" s="805">
        <f t="shared" si="16"/>
        <v>69</v>
      </c>
      <c r="K57" s="805"/>
      <c r="L57" s="793"/>
      <c r="M57" s="793">
        <f t="shared" si="17"/>
        <v>1380</v>
      </c>
      <c r="N57" s="793">
        <f t="shared" si="18"/>
        <v>365</v>
      </c>
      <c r="O57" s="793">
        <f t="shared" si="19"/>
        <v>437</v>
      </c>
      <c r="P57" s="793">
        <f t="shared" si="20"/>
        <v>437</v>
      </c>
      <c r="Q57" s="793">
        <f t="shared" si="21"/>
        <v>943</v>
      </c>
      <c r="R57" s="793">
        <f t="shared" si="22"/>
        <v>943</v>
      </c>
      <c r="S57" s="793">
        <f t="shared" si="23"/>
        <v>1380</v>
      </c>
      <c r="T57" s="793">
        <f t="shared" si="24"/>
        <v>366</v>
      </c>
      <c r="U57" s="793">
        <f t="shared" si="25"/>
        <v>437</v>
      </c>
      <c r="V57" s="793">
        <f t="shared" si="26"/>
        <v>874</v>
      </c>
      <c r="W57" s="793">
        <f t="shared" si="27"/>
        <v>506</v>
      </c>
      <c r="X57" s="793">
        <f t="shared" si="28"/>
        <v>506</v>
      </c>
      <c r="Y57" s="805">
        <f t="shared" si="29"/>
        <v>1380</v>
      </c>
      <c r="Z57" s="805">
        <f t="shared" si="30"/>
        <v>365</v>
      </c>
      <c r="AA57" s="805">
        <f t="shared" si="53"/>
        <v>437</v>
      </c>
      <c r="AB57" s="805">
        <f t="shared" si="57"/>
        <v>1311</v>
      </c>
      <c r="AC57" s="805">
        <f t="shared" si="54"/>
        <v>69</v>
      </c>
      <c r="AD57" s="793">
        <f t="shared" si="31"/>
        <v>69</v>
      </c>
      <c r="AE57" s="793">
        <f t="shared" si="32"/>
        <v>1380</v>
      </c>
      <c r="AF57" s="793">
        <f t="shared" si="33"/>
        <v>0</v>
      </c>
      <c r="AG57" s="793">
        <f t="shared" si="34"/>
        <v>0</v>
      </c>
      <c r="AH57" s="805">
        <f t="shared" si="35"/>
        <v>1311</v>
      </c>
      <c r="AI57" s="805">
        <f t="shared" si="36"/>
        <v>69</v>
      </c>
      <c r="AJ57" s="793">
        <f t="shared" si="55"/>
        <v>69</v>
      </c>
      <c r="AK57" s="793">
        <f t="shared" si="37"/>
        <v>1380</v>
      </c>
      <c r="AL57" s="793">
        <f t="shared" si="38"/>
        <v>0</v>
      </c>
      <c r="AM57" s="793">
        <f t="shared" si="39"/>
        <v>0</v>
      </c>
      <c r="AN57" s="805">
        <f t="shared" si="40"/>
        <v>1311</v>
      </c>
      <c r="AO57" s="805">
        <f t="shared" si="41"/>
        <v>69</v>
      </c>
      <c r="AP57" s="793">
        <f t="shared" si="42"/>
        <v>69</v>
      </c>
      <c r="AQ57" s="793">
        <f t="shared" si="43"/>
        <v>1380</v>
      </c>
      <c r="AR57" s="793">
        <f t="shared" si="44"/>
        <v>0</v>
      </c>
      <c r="AS57" s="793">
        <f t="shared" si="45"/>
        <v>0</v>
      </c>
      <c r="AT57" s="793">
        <f t="shared" si="46"/>
        <v>1311</v>
      </c>
      <c r="AU57" s="793">
        <f t="shared" si="47"/>
        <v>69</v>
      </c>
      <c r="AV57" s="793">
        <f t="shared" si="48"/>
        <v>69</v>
      </c>
      <c r="AW57" s="793">
        <f t="shared" si="49"/>
        <v>1380</v>
      </c>
      <c r="AX57" s="793">
        <f t="shared" si="50"/>
        <v>0</v>
      </c>
      <c r="AY57" s="793">
        <f t="shared" si="51"/>
        <v>0</v>
      </c>
      <c r="AZ57" s="793">
        <f t="shared" si="52"/>
        <v>1311</v>
      </c>
      <c r="BA57" s="793">
        <f t="shared" si="56"/>
        <v>69</v>
      </c>
    </row>
    <row r="58" spans="1:53" ht="15" customHeight="1" x14ac:dyDescent="0.25">
      <c r="A58" s="842" t="s">
        <v>1187</v>
      </c>
      <c r="B58" s="843" t="s">
        <v>1194</v>
      </c>
      <c r="C58" s="778">
        <f t="shared" si="14"/>
        <v>0.31666666666666665</v>
      </c>
      <c r="D58" s="844">
        <v>3</v>
      </c>
      <c r="E58" s="779" t="s">
        <v>1182</v>
      </c>
      <c r="F58" s="845">
        <v>43191</v>
      </c>
      <c r="G58" s="845">
        <v>43191</v>
      </c>
      <c r="H58" s="781">
        <f t="shared" si="15"/>
        <v>44286</v>
      </c>
      <c r="I58" s="1359">
        <v>69180</v>
      </c>
      <c r="J58" s="805">
        <f t="shared" si="16"/>
        <v>3459</v>
      </c>
      <c r="K58" s="805"/>
      <c r="L58" s="793"/>
      <c r="M58" s="793">
        <f t="shared" si="17"/>
        <v>69180</v>
      </c>
      <c r="N58" s="793">
        <f t="shared" si="18"/>
        <v>365</v>
      </c>
      <c r="O58" s="793">
        <f t="shared" si="19"/>
        <v>21907</v>
      </c>
      <c r="P58" s="793">
        <f t="shared" si="20"/>
        <v>21907</v>
      </c>
      <c r="Q58" s="793">
        <f t="shared" si="21"/>
        <v>47273</v>
      </c>
      <c r="R58" s="793">
        <f t="shared" si="22"/>
        <v>47273</v>
      </c>
      <c r="S58" s="793">
        <f t="shared" si="23"/>
        <v>69180</v>
      </c>
      <c r="T58" s="793">
        <f t="shared" si="24"/>
        <v>366</v>
      </c>
      <c r="U58" s="793">
        <f t="shared" si="25"/>
        <v>21907</v>
      </c>
      <c r="V58" s="793">
        <f t="shared" si="26"/>
        <v>43814</v>
      </c>
      <c r="W58" s="793">
        <f t="shared" si="27"/>
        <v>25366</v>
      </c>
      <c r="X58" s="793">
        <f t="shared" si="28"/>
        <v>25366</v>
      </c>
      <c r="Y58" s="805">
        <f t="shared" si="29"/>
        <v>69180</v>
      </c>
      <c r="Z58" s="805">
        <f t="shared" si="30"/>
        <v>365</v>
      </c>
      <c r="AA58" s="805">
        <f t="shared" si="53"/>
        <v>21907</v>
      </c>
      <c r="AB58" s="805">
        <f t="shared" si="57"/>
        <v>65721</v>
      </c>
      <c r="AC58" s="805">
        <f t="shared" si="54"/>
        <v>3459</v>
      </c>
      <c r="AD58" s="793">
        <f t="shared" si="31"/>
        <v>3459</v>
      </c>
      <c r="AE58" s="793">
        <f t="shared" si="32"/>
        <v>69180</v>
      </c>
      <c r="AF58" s="793">
        <f t="shared" si="33"/>
        <v>0</v>
      </c>
      <c r="AG58" s="793">
        <f t="shared" si="34"/>
        <v>0</v>
      </c>
      <c r="AH58" s="805">
        <f t="shared" si="35"/>
        <v>65721</v>
      </c>
      <c r="AI58" s="805">
        <f t="shared" si="36"/>
        <v>3459</v>
      </c>
      <c r="AJ58" s="793">
        <f t="shared" si="55"/>
        <v>3459</v>
      </c>
      <c r="AK58" s="793">
        <f t="shared" si="37"/>
        <v>69180</v>
      </c>
      <c r="AL58" s="793">
        <f t="shared" si="38"/>
        <v>0</v>
      </c>
      <c r="AM58" s="793">
        <f t="shared" si="39"/>
        <v>0</v>
      </c>
      <c r="AN58" s="805">
        <f t="shared" si="40"/>
        <v>65721</v>
      </c>
      <c r="AO58" s="805">
        <f t="shared" si="41"/>
        <v>3459</v>
      </c>
      <c r="AP58" s="793">
        <f t="shared" si="42"/>
        <v>3459</v>
      </c>
      <c r="AQ58" s="793">
        <f t="shared" si="43"/>
        <v>69180</v>
      </c>
      <c r="AR58" s="793">
        <f t="shared" si="44"/>
        <v>0</v>
      </c>
      <c r="AS58" s="793">
        <f t="shared" si="45"/>
        <v>0</v>
      </c>
      <c r="AT58" s="793">
        <f t="shared" si="46"/>
        <v>65721</v>
      </c>
      <c r="AU58" s="793">
        <f t="shared" si="47"/>
        <v>3459</v>
      </c>
      <c r="AV58" s="793">
        <f t="shared" si="48"/>
        <v>3459</v>
      </c>
      <c r="AW58" s="793">
        <f t="shared" si="49"/>
        <v>69180</v>
      </c>
      <c r="AX58" s="793">
        <f t="shared" si="50"/>
        <v>0</v>
      </c>
      <c r="AY58" s="793">
        <f t="shared" si="51"/>
        <v>0</v>
      </c>
      <c r="AZ58" s="793">
        <f t="shared" si="52"/>
        <v>65721</v>
      </c>
      <c r="BA58" s="793">
        <f t="shared" si="56"/>
        <v>3459</v>
      </c>
    </row>
    <row r="59" spans="1:53" ht="15" customHeight="1" x14ac:dyDescent="0.25">
      <c r="A59" s="842" t="s">
        <v>1187</v>
      </c>
      <c r="B59" s="843" t="s">
        <v>1196</v>
      </c>
      <c r="C59" s="778">
        <f t="shared" si="14"/>
        <v>0.31666666666666665</v>
      </c>
      <c r="D59" s="844">
        <v>3</v>
      </c>
      <c r="E59" s="779" t="s">
        <v>1182</v>
      </c>
      <c r="F59" s="845">
        <v>43191</v>
      </c>
      <c r="G59" s="845">
        <v>43191</v>
      </c>
      <c r="H59" s="781">
        <f t="shared" si="15"/>
        <v>44286</v>
      </c>
      <c r="I59" s="1359">
        <v>11500</v>
      </c>
      <c r="J59" s="805">
        <f t="shared" si="16"/>
        <v>575</v>
      </c>
      <c r="K59" s="805"/>
      <c r="L59" s="793"/>
      <c r="M59" s="793">
        <f t="shared" si="17"/>
        <v>11500</v>
      </c>
      <c r="N59" s="793">
        <f t="shared" si="18"/>
        <v>365</v>
      </c>
      <c r="O59" s="793">
        <f t="shared" si="19"/>
        <v>3642</v>
      </c>
      <c r="P59" s="793">
        <f t="shared" si="20"/>
        <v>3642</v>
      </c>
      <c r="Q59" s="793">
        <f t="shared" si="21"/>
        <v>7858</v>
      </c>
      <c r="R59" s="793">
        <f t="shared" si="22"/>
        <v>7858</v>
      </c>
      <c r="S59" s="793">
        <f t="shared" si="23"/>
        <v>11500</v>
      </c>
      <c r="T59" s="793">
        <f t="shared" si="24"/>
        <v>366</v>
      </c>
      <c r="U59" s="793">
        <f t="shared" si="25"/>
        <v>3642</v>
      </c>
      <c r="V59" s="793">
        <f t="shared" si="26"/>
        <v>7284</v>
      </c>
      <c r="W59" s="793">
        <f t="shared" si="27"/>
        <v>4216</v>
      </c>
      <c r="X59" s="793">
        <f t="shared" si="28"/>
        <v>4216</v>
      </c>
      <c r="Y59" s="805">
        <f t="shared" si="29"/>
        <v>11500</v>
      </c>
      <c r="Z59" s="805">
        <f t="shared" si="30"/>
        <v>365</v>
      </c>
      <c r="AA59" s="805">
        <f t="shared" si="53"/>
        <v>3642</v>
      </c>
      <c r="AB59" s="805">
        <f t="shared" si="57"/>
        <v>10926</v>
      </c>
      <c r="AC59" s="805">
        <f t="shared" si="54"/>
        <v>574</v>
      </c>
      <c r="AD59" s="793">
        <f t="shared" si="31"/>
        <v>574</v>
      </c>
      <c r="AE59" s="793">
        <f t="shared" si="32"/>
        <v>11500</v>
      </c>
      <c r="AF59" s="793">
        <f t="shared" si="33"/>
        <v>0</v>
      </c>
      <c r="AG59" s="793">
        <f t="shared" si="34"/>
        <v>0</v>
      </c>
      <c r="AH59" s="805">
        <f t="shared" si="35"/>
        <v>10926</v>
      </c>
      <c r="AI59" s="805">
        <f t="shared" si="36"/>
        <v>574</v>
      </c>
      <c r="AJ59" s="793">
        <f t="shared" si="55"/>
        <v>574</v>
      </c>
      <c r="AK59" s="793">
        <f t="shared" si="37"/>
        <v>11500</v>
      </c>
      <c r="AL59" s="793">
        <f t="shared" si="38"/>
        <v>0</v>
      </c>
      <c r="AM59" s="793">
        <f t="shared" si="39"/>
        <v>0</v>
      </c>
      <c r="AN59" s="805">
        <f t="shared" si="40"/>
        <v>10926</v>
      </c>
      <c r="AO59" s="805">
        <f t="shared" si="41"/>
        <v>574</v>
      </c>
      <c r="AP59" s="793">
        <f t="shared" si="42"/>
        <v>574</v>
      </c>
      <c r="AQ59" s="793">
        <f t="shared" si="43"/>
        <v>11500</v>
      </c>
      <c r="AR59" s="793">
        <f t="shared" si="44"/>
        <v>0</v>
      </c>
      <c r="AS59" s="793">
        <f t="shared" si="45"/>
        <v>0</v>
      </c>
      <c r="AT59" s="793">
        <f t="shared" si="46"/>
        <v>10926</v>
      </c>
      <c r="AU59" s="793">
        <f t="shared" si="47"/>
        <v>574</v>
      </c>
      <c r="AV59" s="793">
        <f t="shared" si="48"/>
        <v>574</v>
      </c>
      <c r="AW59" s="793">
        <f t="shared" si="49"/>
        <v>11500</v>
      </c>
      <c r="AX59" s="793">
        <f t="shared" si="50"/>
        <v>0</v>
      </c>
      <c r="AY59" s="793">
        <f t="shared" si="51"/>
        <v>0</v>
      </c>
      <c r="AZ59" s="793">
        <f t="shared" si="52"/>
        <v>10926</v>
      </c>
      <c r="BA59" s="793">
        <f t="shared" si="56"/>
        <v>574</v>
      </c>
    </row>
    <row r="60" spans="1:53" ht="15" customHeight="1" x14ac:dyDescent="0.25">
      <c r="A60" s="842" t="s">
        <v>1187</v>
      </c>
      <c r="B60" s="843" t="s">
        <v>1196</v>
      </c>
      <c r="C60" s="778">
        <f t="shared" si="14"/>
        <v>0.31666666666666665</v>
      </c>
      <c r="D60" s="844">
        <v>3</v>
      </c>
      <c r="E60" s="779" t="s">
        <v>1182</v>
      </c>
      <c r="F60" s="845">
        <v>43191</v>
      </c>
      <c r="G60" s="845">
        <v>43191</v>
      </c>
      <c r="H60" s="781">
        <f t="shared" si="15"/>
        <v>44286</v>
      </c>
      <c r="I60" s="1359">
        <v>25600</v>
      </c>
      <c r="J60" s="805">
        <f t="shared" si="16"/>
        <v>1280</v>
      </c>
      <c r="K60" s="805"/>
      <c r="L60" s="793"/>
      <c r="M60" s="793">
        <f t="shared" si="17"/>
        <v>25600</v>
      </c>
      <c r="N60" s="793">
        <f t="shared" si="18"/>
        <v>365</v>
      </c>
      <c r="O60" s="793">
        <f t="shared" si="19"/>
        <v>8107</v>
      </c>
      <c r="P60" s="793">
        <f t="shared" si="20"/>
        <v>8107</v>
      </c>
      <c r="Q60" s="793">
        <f t="shared" si="21"/>
        <v>17493</v>
      </c>
      <c r="R60" s="793">
        <f t="shared" si="22"/>
        <v>17493</v>
      </c>
      <c r="S60" s="793">
        <f t="shared" si="23"/>
        <v>25600</v>
      </c>
      <c r="T60" s="793">
        <f t="shared" si="24"/>
        <v>366</v>
      </c>
      <c r="U60" s="793">
        <f t="shared" si="25"/>
        <v>8107</v>
      </c>
      <c r="V60" s="793">
        <f t="shared" si="26"/>
        <v>16214</v>
      </c>
      <c r="W60" s="793">
        <f t="shared" si="27"/>
        <v>9386</v>
      </c>
      <c r="X60" s="793">
        <f t="shared" si="28"/>
        <v>9386</v>
      </c>
      <c r="Y60" s="805">
        <f t="shared" si="29"/>
        <v>25600</v>
      </c>
      <c r="Z60" s="805">
        <f t="shared" si="30"/>
        <v>365</v>
      </c>
      <c r="AA60" s="805">
        <f t="shared" si="53"/>
        <v>8107</v>
      </c>
      <c r="AB60" s="805">
        <f t="shared" si="57"/>
        <v>24321</v>
      </c>
      <c r="AC60" s="805">
        <f t="shared" si="54"/>
        <v>1279</v>
      </c>
      <c r="AD60" s="793">
        <f t="shared" si="31"/>
        <v>1279</v>
      </c>
      <c r="AE60" s="793">
        <f t="shared" si="32"/>
        <v>25600</v>
      </c>
      <c r="AF60" s="793">
        <f t="shared" si="33"/>
        <v>0</v>
      </c>
      <c r="AG60" s="793">
        <f t="shared" si="34"/>
        <v>0</v>
      </c>
      <c r="AH60" s="805">
        <f t="shared" si="35"/>
        <v>24321</v>
      </c>
      <c r="AI60" s="805">
        <f t="shared" si="36"/>
        <v>1279</v>
      </c>
      <c r="AJ60" s="793">
        <f t="shared" si="55"/>
        <v>1279</v>
      </c>
      <c r="AK60" s="793">
        <f t="shared" si="37"/>
        <v>25600</v>
      </c>
      <c r="AL60" s="793">
        <f t="shared" si="38"/>
        <v>0</v>
      </c>
      <c r="AM60" s="793">
        <f t="shared" si="39"/>
        <v>0</v>
      </c>
      <c r="AN60" s="805">
        <f t="shared" si="40"/>
        <v>24321</v>
      </c>
      <c r="AO60" s="805">
        <f t="shared" si="41"/>
        <v>1279</v>
      </c>
      <c r="AP60" s="793">
        <f t="shared" si="42"/>
        <v>1279</v>
      </c>
      <c r="AQ60" s="793">
        <f t="shared" si="43"/>
        <v>25600</v>
      </c>
      <c r="AR60" s="793">
        <f t="shared" si="44"/>
        <v>0</v>
      </c>
      <c r="AS60" s="793">
        <f t="shared" si="45"/>
        <v>0</v>
      </c>
      <c r="AT60" s="793">
        <f t="shared" si="46"/>
        <v>24321</v>
      </c>
      <c r="AU60" s="793">
        <f t="shared" si="47"/>
        <v>1279</v>
      </c>
      <c r="AV60" s="793">
        <f t="shared" si="48"/>
        <v>1279</v>
      </c>
      <c r="AW60" s="793">
        <f t="shared" si="49"/>
        <v>25600</v>
      </c>
      <c r="AX60" s="793">
        <f t="shared" si="50"/>
        <v>0</v>
      </c>
      <c r="AY60" s="793">
        <f t="shared" si="51"/>
        <v>0</v>
      </c>
      <c r="AZ60" s="793">
        <f t="shared" si="52"/>
        <v>24321</v>
      </c>
      <c r="BA60" s="793">
        <f t="shared" si="56"/>
        <v>1279</v>
      </c>
    </row>
    <row r="61" spans="1:53" ht="15" customHeight="1" x14ac:dyDescent="0.25">
      <c r="A61" s="842" t="s">
        <v>1187</v>
      </c>
      <c r="B61" s="843" t="s">
        <v>1196</v>
      </c>
      <c r="C61" s="778">
        <f t="shared" si="14"/>
        <v>0.31666666666666665</v>
      </c>
      <c r="D61" s="844">
        <v>3</v>
      </c>
      <c r="E61" s="779" t="s">
        <v>1182</v>
      </c>
      <c r="F61" s="845">
        <v>43191</v>
      </c>
      <c r="G61" s="845">
        <v>43191</v>
      </c>
      <c r="H61" s="781">
        <f t="shared" si="15"/>
        <v>44286</v>
      </c>
      <c r="I61" s="1359">
        <v>375000</v>
      </c>
      <c r="J61" s="805">
        <f t="shared" si="16"/>
        <v>18750</v>
      </c>
      <c r="K61" s="805"/>
      <c r="L61" s="793"/>
      <c r="M61" s="793">
        <f t="shared" si="17"/>
        <v>375000</v>
      </c>
      <c r="N61" s="793">
        <f t="shared" si="18"/>
        <v>365</v>
      </c>
      <c r="O61" s="793">
        <f t="shared" si="19"/>
        <v>118750</v>
      </c>
      <c r="P61" s="793">
        <f t="shared" si="20"/>
        <v>118750</v>
      </c>
      <c r="Q61" s="793">
        <f t="shared" si="21"/>
        <v>256250</v>
      </c>
      <c r="R61" s="793">
        <f t="shared" si="22"/>
        <v>256250</v>
      </c>
      <c r="S61" s="793">
        <f t="shared" si="23"/>
        <v>375000</v>
      </c>
      <c r="T61" s="793">
        <f t="shared" si="24"/>
        <v>366</v>
      </c>
      <c r="U61" s="793">
        <f t="shared" si="25"/>
        <v>118750</v>
      </c>
      <c r="V61" s="793">
        <f t="shared" si="26"/>
        <v>237500</v>
      </c>
      <c r="W61" s="793">
        <f t="shared" si="27"/>
        <v>137500</v>
      </c>
      <c r="X61" s="793">
        <f t="shared" si="28"/>
        <v>137500</v>
      </c>
      <c r="Y61" s="805">
        <f t="shared" si="29"/>
        <v>375000</v>
      </c>
      <c r="Z61" s="805">
        <f t="shared" si="30"/>
        <v>365</v>
      </c>
      <c r="AA61" s="805">
        <f t="shared" si="53"/>
        <v>118750</v>
      </c>
      <c r="AB61" s="805">
        <f t="shared" si="57"/>
        <v>356250</v>
      </c>
      <c r="AC61" s="805">
        <f t="shared" si="54"/>
        <v>18750</v>
      </c>
      <c r="AD61" s="793">
        <f t="shared" si="31"/>
        <v>18750</v>
      </c>
      <c r="AE61" s="793">
        <f t="shared" si="32"/>
        <v>375000</v>
      </c>
      <c r="AF61" s="793">
        <f t="shared" si="33"/>
        <v>0</v>
      </c>
      <c r="AG61" s="793">
        <f t="shared" si="34"/>
        <v>0</v>
      </c>
      <c r="AH61" s="805">
        <f t="shared" si="35"/>
        <v>356250</v>
      </c>
      <c r="AI61" s="805">
        <f t="shared" si="36"/>
        <v>18750</v>
      </c>
      <c r="AJ61" s="793">
        <f t="shared" si="55"/>
        <v>18750</v>
      </c>
      <c r="AK61" s="793">
        <f t="shared" si="37"/>
        <v>375000</v>
      </c>
      <c r="AL61" s="793">
        <f t="shared" si="38"/>
        <v>0</v>
      </c>
      <c r="AM61" s="793">
        <f t="shared" si="39"/>
        <v>0</v>
      </c>
      <c r="AN61" s="805">
        <f t="shared" si="40"/>
        <v>356250</v>
      </c>
      <c r="AO61" s="805">
        <f t="shared" si="41"/>
        <v>18750</v>
      </c>
      <c r="AP61" s="793">
        <f t="shared" si="42"/>
        <v>18750</v>
      </c>
      <c r="AQ61" s="793">
        <f t="shared" si="43"/>
        <v>375000</v>
      </c>
      <c r="AR61" s="793">
        <f t="shared" si="44"/>
        <v>0</v>
      </c>
      <c r="AS61" s="793">
        <f t="shared" si="45"/>
        <v>0</v>
      </c>
      <c r="AT61" s="793">
        <f t="shared" si="46"/>
        <v>356250</v>
      </c>
      <c r="AU61" s="793">
        <f t="shared" si="47"/>
        <v>18750</v>
      </c>
      <c r="AV61" s="793">
        <f t="shared" si="48"/>
        <v>18750</v>
      </c>
      <c r="AW61" s="793">
        <f t="shared" si="49"/>
        <v>375000</v>
      </c>
      <c r="AX61" s="793">
        <f t="shared" si="50"/>
        <v>0</v>
      </c>
      <c r="AY61" s="793">
        <f t="shared" si="51"/>
        <v>0</v>
      </c>
      <c r="AZ61" s="793">
        <f t="shared" si="52"/>
        <v>356250</v>
      </c>
      <c r="BA61" s="793">
        <f t="shared" si="56"/>
        <v>18750</v>
      </c>
    </row>
    <row r="62" spans="1:53" ht="15" customHeight="1" x14ac:dyDescent="0.25">
      <c r="A62" s="842" t="s">
        <v>1187</v>
      </c>
      <c r="B62" s="843" t="s">
        <v>1196</v>
      </c>
      <c r="C62" s="778">
        <f t="shared" si="14"/>
        <v>0.31666666666666665</v>
      </c>
      <c r="D62" s="844">
        <v>3</v>
      </c>
      <c r="E62" s="779" t="s">
        <v>1182</v>
      </c>
      <c r="F62" s="845">
        <v>43191</v>
      </c>
      <c r="G62" s="845">
        <v>43191</v>
      </c>
      <c r="H62" s="781">
        <f t="shared" si="15"/>
        <v>44286</v>
      </c>
      <c r="I62" s="1359">
        <v>4700</v>
      </c>
      <c r="J62" s="805">
        <f t="shared" si="16"/>
        <v>235</v>
      </c>
      <c r="K62" s="805"/>
      <c r="L62" s="793"/>
      <c r="M62" s="793">
        <f t="shared" si="17"/>
        <v>4700</v>
      </c>
      <c r="N62" s="793">
        <f t="shared" si="18"/>
        <v>365</v>
      </c>
      <c r="O62" s="793">
        <f t="shared" si="19"/>
        <v>1488</v>
      </c>
      <c r="P62" s="793">
        <f t="shared" si="20"/>
        <v>1488</v>
      </c>
      <c r="Q62" s="793">
        <f t="shared" si="21"/>
        <v>3212</v>
      </c>
      <c r="R62" s="793">
        <f t="shared" si="22"/>
        <v>3212</v>
      </c>
      <c r="S62" s="793">
        <f t="shared" si="23"/>
        <v>4700</v>
      </c>
      <c r="T62" s="793">
        <f t="shared" si="24"/>
        <v>366</v>
      </c>
      <c r="U62" s="793">
        <f t="shared" si="25"/>
        <v>1488</v>
      </c>
      <c r="V62" s="793">
        <f t="shared" si="26"/>
        <v>2976</v>
      </c>
      <c r="W62" s="793">
        <f t="shared" si="27"/>
        <v>1724</v>
      </c>
      <c r="X62" s="793">
        <f t="shared" si="28"/>
        <v>1724</v>
      </c>
      <c r="Y62" s="805">
        <f t="shared" si="29"/>
        <v>4700</v>
      </c>
      <c r="Z62" s="805">
        <f t="shared" si="30"/>
        <v>365</v>
      </c>
      <c r="AA62" s="805">
        <f t="shared" si="53"/>
        <v>1488</v>
      </c>
      <c r="AB62" s="805">
        <f t="shared" si="57"/>
        <v>4464</v>
      </c>
      <c r="AC62" s="805">
        <f t="shared" si="54"/>
        <v>236</v>
      </c>
      <c r="AD62" s="793">
        <f t="shared" si="31"/>
        <v>236</v>
      </c>
      <c r="AE62" s="793">
        <f t="shared" si="32"/>
        <v>4700</v>
      </c>
      <c r="AF62" s="793">
        <f t="shared" si="33"/>
        <v>0</v>
      </c>
      <c r="AG62" s="793">
        <f t="shared" si="34"/>
        <v>0</v>
      </c>
      <c r="AH62" s="805">
        <f t="shared" si="35"/>
        <v>4464</v>
      </c>
      <c r="AI62" s="805">
        <f t="shared" si="36"/>
        <v>236</v>
      </c>
      <c r="AJ62" s="793">
        <f t="shared" si="55"/>
        <v>236</v>
      </c>
      <c r="AK62" s="793">
        <f t="shared" si="37"/>
        <v>4700</v>
      </c>
      <c r="AL62" s="793">
        <f t="shared" si="38"/>
        <v>0</v>
      </c>
      <c r="AM62" s="793">
        <f t="shared" si="39"/>
        <v>0</v>
      </c>
      <c r="AN62" s="805">
        <f t="shared" si="40"/>
        <v>4464</v>
      </c>
      <c r="AO62" s="805">
        <f t="shared" si="41"/>
        <v>236</v>
      </c>
      <c r="AP62" s="793">
        <f t="shared" si="42"/>
        <v>236</v>
      </c>
      <c r="AQ62" s="793">
        <f t="shared" si="43"/>
        <v>4700</v>
      </c>
      <c r="AR62" s="793">
        <f t="shared" si="44"/>
        <v>0</v>
      </c>
      <c r="AS62" s="793">
        <f t="shared" si="45"/>
        <v>0</v>
      </c>
      <c r="AT62" s="793">
        <f t="shared" si="46"/>
        <v>4464</v>
      </c>
      <c r="AU62" s="793">
        <f t="shared" si="47"/>
        <v>236</v>
      </c>
      <c r="AV62" s="793">
        <f t="shared" si="48"/>
        <v>236</v>
      </c>
      <c r="AW62" s="793">
        <f t="shared" si="49"/>
        <v>4700</v>
      </c>
      <c r="AX62" s="793">
        <f t="shared" si="50"/>
        <v>0</v>
      </c>
      <c r="AY62" s="793">
        <f t="shared" si="51"/>
        <v>0</v>
      </c>
      <c r="AZ62" s="793">
        <f t="shared" si="52"/>
        <v>4464</v>
      </c>
      <c r="BA62" s="793">
        <f t="shared" si="56"/>
        <v>236</v>
      </c>
    </row>
    <row r="63" spans="1:53" ht="15" customHeight="1" x14ac:dyDescent="0.25">
      <c r="A63" s="842" t="s">
        <v>1187</v>
      </c>
      <c r="B63" s="843" t="s">
        <v>1197</v>
      </c>
      <c r="C63" s="778">
        <f t="shared" si="14"/>
        <v>0.31666666666666665</v>
      </c>
      <c r="D63" s="844">
        <v>3</v>
      </c>
      <c r="E63" s="779" t="s">
        <v>1182</v>
      </c>
      <c r="F63" s="845">
        <v>43191</v>
      </c>
      <c r="G63" s="845">
        <v>43191</v>
      </c>
      <c r="H63" s="781">
        <f t="shared" si="15"/>
        <v>44286</v>
      </c>
      <c r="I63" s="1359">
        <v>41500</v>
      </c>
      <c r="J63" s="805">
        <f t="shared" si="16"/>
        <v>2075</v>
      </c>
      <c r="K63" s="805"/>
      <c r="L63" s="793"/>
      <c r="M63" s="793">
        <f t="shared" si="17"/>
        <v>41500</v>
      </c>
      <c r="N63" s="793">
        <f t="shared" si="18"/>
        <v>365</v>
      </c>
      <c r="O63" s="793">
        <f t="shared" si="19"/>
        <v>13142</v>
      </c>
      <c r="P63" s="793">
        <f t="shared" si="20"/>
        <v>13142</v>
      </c>
      <c r="Q63" s="793">
        <f t="shared" si="21"/>
        <v>28358</v>
      </c>
      <c r="R63" s="793">
        <f t="shared" si="22"/>
        <v>28358</v>
      </c>
      <c r="S63" s="793">
        <f t="shared" si="23"/>
        <v>41500</v>
      </c>
      <c r="T63" s="793">
        <f t="shared" si="24"/>
        <v>366</v>
      </c>
      <c r="U63" s="793">
        <f t="shared" si="25"/>
        <v>13142</v>
      </c>
      <c r="V63" s="793">
        <f t="shared" si="26"/>
        <v>26284</v>
      </c>
      <c r="W63" s="793">
        <f t="shared" si="27"/>
        <v>15216</v>
      </c>
      <c r="X63" s="793">
        <f t="shared" si="28"/>
        <v>15216</v>
      </c>
      <c r="Y63" s="805">
        <f t="shared" si="29"/>
        <v>41500</v>
      </c>
      <c r="Z63" s="805">
        <f t="shared" si="30"/>
        <v>365</v>
      </c>
      <c r="AA63" s="805">
        <f t="shared" si="53"/>
        <v>13142</v>
      </c>
      <c r="AB63" s="805">
        <f t="shared" si="57"/>
        <v>39426</v>
      </c>
      <c r="AC63" s="805">
        <f t="shared" si="54"/>
        <v>2074</v>
      </c>
      <c r="AD63" s="793">
        <f t="shared" si="31"/>
        <v>2074</v>
      </c>
      <c r="AE63" s="793">
        <f t="shared" si="32"/>
        <v>41500</v>
      </c>
      <c r="AF63" s="793">
        <f t="shared" si="33"/>
        <v>0</v>
      </c>
      <c r="AG63" s="793">
        <f t="shared" si="34"/>
        <v>0</v>
      </c>
      <c r="AH63" s="805">
        <f t="shared" si="35"/>
        <v>39426</v>
      </c>
      <c r="AI63" s="805">
        <f t="shared" si="36"/>
        <v>2074</v>
      </c>
      <c r="AJ63" s="793">
        <f t="shared" si="55"/>
        <v>2074</v>
      </c>
      <c r="AK63" s="793">
        <f t="shared" si="37"/>
        <v>41500</v>
      </c>
      <c r="AL63" s="793">
        <f t="shared" si="38"/>
        <v>0</v>
      </c>
      <c r="AM63" s="793">
        <f t="shared" si="39"/>
        <v>0</v>
      </c>
      <c r="AN63" s="805">
        <f t="shared" si="40"/>
        <v>39426</v>
      </c>
      <c r="AO63" s="805">
        <f t="shared" si="41"/>
        <v>2074</v>
      </c>
      <c r="AP63" s="793">
        <f t="shared" si="42"/>
        <v>2074</v>
      </c>
      <c r="AQ63" s="793">
        <f t="shared" si="43"/>
        <v>41500</v>
      </c>
      <c r="AR63" s="793">
        <f t="shared" si="44"/>
        <v>0</v>
      </c>
      <c r="AS63" s="793">
        <f t="shared" si="45"/>
        <v>0</v>
      </c>
      <c r="AT63" s="793">
        <f t="shared" si="46"/>
        <v>39426</v>
      </c>
      <c r="AU63" s="793">
        <f t="shared" si="47"/>
        <v>2074</v>
      </c>
      <c r="AV63" s="793">
        <f t="shared" si="48"/>
        <v>2074</v>
      </c>
      <c r="AW63" s="793">
        <f t="shared" si="49"/>
        <v>41500</v>
      </c>
      <c r="AX63" s="793">
        <f t="shared" si="50"/>
        <v>0</v>
      </c>
      <c r="AY63" s="793">
        <f t="shared" si="51"/>
        <v>0</v>
      </c>
      <c r="AZ63" s="793">
        <f t="shared" si="52"/>
        <v>39426</v>
      </c>
      <c r="BA63" s="793">
        <f t="shared" si="56"/>
        <v>2074</v>
      </c>
    </row>
    <row r="64" spans="1:53" ht="15" customHeight="1" x14ac:dyDescent="0.25">
      <c r="A64" s="842" t="s">
        <v>1187</v>
      </c>
      <c r="B64" s="843" t="s">
        <v>1197</v>
      </c>
      <c r="C64" s="778">
        <f t="shared" si="14"/>
        <v>0.31666666666666665</v>
      </c>
      <c r="D64" s="844">
        <v>3</v>
      </c>
      <c r="E64" s="779" t="s">
        <v>1182</v>
      </c>
      <c r="F64" s="845">
        <v>43191</v>
      </c>
      <c r="G64" s="845">
        <v>43191</v>
      </c>
      <c r="H64" s="781">
        <f t="shared" si="15"/>
        <v>44286</v>
      </c>
      <c r="I64" s="1359">
        <v>11000</v>
      </c>
      <c r="J64" s="805">
        <f t="shared" si="16"/>
        <v>550</v>
      </c>
      <c r="K64" s="805"/>
      <c r="L64" s="793"/>
      <c r="M64" s="793">
        <f t="shared" si="17"/>
        <v>11000</v>
      </c>
      <c r="N64" s="793">
        <f t="shared" si="18"/>
        <v>365</v>
      </c>
      <c r="O64" s="793">
        <f t="shared" si="19"/>
        <v>3483</v>
      </c>
      <c r="P64" s="793">
        <f t="shared" si="20"/>
        <v>3483</v>
      </c>
      <c r="Q64" s="793">
        <f t="shared" si="21"/>
        <v>7517</v>
      </c>
      <c r="R64" s="793">
        <f t="shared" si="22"/>
        <v>7517</v>
      </c>
      <c r="S64" s="793">
        <f t="shared" si="23"/>
        <v>11000</v>
      </c>
      <c r="T64" s="793">
        <f t="shared" si="24"/>
        <v>366</v>
      </c>
      <c r="U64" s="793">
        <f t="shared" si="25"/>
        <v>3483</v>
      </c>
      <c r="V64" s="793">
        <f t="shared" si="26"/>
        <v>6966</v>
      </c>
      <c r="W64" s="793">
        <f t="shared" si="27"/>
        <v>4034</v>
      </c>
      <c r="X64" s="793">
        <f t="shared" si="28"/>
        <v>4034</v>
      </c>
      <c r="Y64" s="805">
        <f t="shared" si="29"/>
        <v>11000</v>
      </c>
      <c r="Z64" s="805">
        <f t="shared" si="30"/>
        <v>365</v>
      </c>
      <c r="AA64" s="805">
        <f t="shared" si="53"/>
        <v>3483</v>
      </c>
      <c r="AB64" s="805">
        <f t="shared" si="57"/>
        <v>10449</v>
      </c>
      <c r="AC64" s="805">
        <f t="shared" si="54"/>
        <v>551</v>
      </c>
      <c r="AD64" s="793">
        <f t="shared" si="31"/>
        <v>551</v>
      </c>
      <c r="AE64" s="793">
        <f t="shared" si="32"/>
        <v>11000</v>
      </c>
      <c r="AF64" s="793">
        <f t="shared" si="33"/>
        <v>0</v>
      </c>
      <c r="AG64" s="793">
        <f t="shared" si="34"/>
        <v>0</v>
      </c>
      <c r="AH64" s="805">
        <f t="shared" si="35"/>
        <v>10449</v>
      </c>
      <c r="AI64" s="805">
        <f t="shared" si="36"/>
        <v>551</v>
      </c>
      <c r="AJ64" s="793">
        <f t="shared" si="55"/>
        <v>551</v>
      </c>
      <c r="AK64" s="793">
        <f t="shared" si="37"/>
        <v>11000</v>
      </c>
      <c r="AL64" s="793">
        <f t="shared" si="38"/>
        <v>0</v>
      </c>
      <c r="AM64" s="793">
        <f t="shared" si="39"/>
        <v>0</v>
      </c>
      <c r="AN64" s="805">
        <f t="shared" si="40"/>
        <v>10449</v>
      </c>
      <c r="AO64" s="805">
        <f t="shared" si="41"/>
        <v>551</v>
      </c>
      <c r="AP64" s="793">
        <f t="shared" si="42"/>
        <v>551</v>
      </c>
      <c r="AQ64" s="793">
        <f t="shared" si="43"/>
        <v>11000</v>
      </c>
      <c r="AR64" s="793">
        <f t="shared" si="44"/>
        <v>0</v>
      </c>
      <c r="AS64" s="793">
        <f t="shared" si="45"/>
        <v>0</v>
      </c>
      <c r="AT64" s="793">
        <f t="shared" si="46"/>
        <v>10449</v>
      </c>
      <c r="AU64" s="793">
        <f t="shared" si="47"/>
        <v>551</v>
      </c>
      <c r="AV64" s="793">
        <f t="shared" si="48"/>
        <v>551</v>
      </c>
      <c r="AW64" s="793">
        <f t="shared" si="49"/>
        <v>11000</v>
      </c>
      <c r="AX64" s="793">
        <f t="shared" si="50"/>
        <v>0</v>
      </c>
      <c r="AY64" s="793">
        <f t="shared" si="51"/>
        <v>0</v>
      </c>
      <c r="AZ64" s="793">
        <f t="shared" si="52"/>
        <v>10449</v>
      </c>
      <c r="BA64" s="793">
        <f t="shared" si="56"/>
        <v>551</v>
      </c>
    </row>
    <row r="65" spans="1:53" ht="15" customHeight="1" x14ac:dyDescent="0.25">
      <c r="A65" s="842" t="s">
        <v>1187</v>
      </c>
      <c r="B65" s="843" t="s">
        <v>1198</v>
      </c>
      <c r="C65" s="778">
        <f t="shared" si="14"/>
        <v>0.31666666666666665</v>
      </c>
      <c r="D65" s="844">
        <v>3</v>
      </c>
      <c r="E65" s="779" t="s">
        <v>1182</v>
      </c>
      <c r="F65" s="845">
        <v>43191</v>
      </c>
      <c r="G65" s="845">
        <v>43191</v>
      </c>
      <c r="H65" s="781">
        <f t="shared" si="15"/>
        <v>44286</v>
      </c>
      <c r="I65" s="1359">
        <v>2499</v>
      </c>
      <c r="J65" s="805">
        <f t="shared" si="16"/>
        <v>124.95</v>
      </c>
      <c r="K65" s="805"/>
      <c r="L65" s="793"/>
      <c r="M65" s="793">
        <f t="shared" si="17"/>
        <v>2499</v>
      </c>
      <c r="N65" s="793">
        <f t="shared" si="18"/>
        <v>365</v>
      </c>
      <c r="O65" s="793">
        <f t="shared" si="19"/>
        <v>791</v>
      </c>
      <c r="P65" s="793">
        <f t="shared" si="20"/>
        <v>791</v>
      </c>
      <c r="Q65" s="793">
        <f t="shared" si="21"/>
        <v>1708</v>
      </c>
      <c r="R65" s="793">
        <f t="shared" si="22"/>
        <v>1708</v>
      </c>
      <c r="S65" s="793">
        <f t="shared" si="23"/>
        <v>2499</v>
      </c>
      <c r="T65" s="793">
        <f t="shared" si="24"/>
        <v>366</v>
      </c>
      <c r="U65" s="793">
        <f t="shared" si="25"/>
        <v>791</v>
      </c>
      <c r="V65" s="793">
        <f t="shared" si="26"/>
        <v>1582</v>
      </c>
      <c r="W65" s="793">
        <f t="shared" si="27"/>
        <v>917</v>
      </c>
      <c r="X65" s="793">
        <f t="shared" si="28"/>
        <v>917</v>
      </c>
      <c r="Y65" s="805">
        <f t="shared" si="29"/>
        <v>2499</v>
      </c>
      <c r="Z65" s="805">
        <f t="shared" si="30"/>
        <v>365</v>
      </c>
      <c r="AA65" s="805">
        <f t="shared" si="53"/>
        <v>791</v>
      </c>
      <c r="AB65" s="805">
        <f t="shared" si="57"/>
        <v>2373</v>
      </c>
      <c r="AC65" s="805">
        <f t="shared" si="54"/>
        <v>126</v>
      </c>
      <c r="AD65" s="793">
        <f t="shared" si="31"/>
        <v>126</v>
      </c>
      <c r="AE65" s="793">
        <f t="shared" si="32"/>
        <v>2499</v>
      </c>
      <c r="AF65" s="793">
        <f t="shared" si="33"/>
        <v>0</v>
      </c>
      <c r="AG65" s="793">
        <f t="shared" si="34"/>
        <v>0</v>
      </c>
      <c r="AH65" s="805">
        <f t="shared" si="35"/>
        <v>2373</v>
      </c>
      <c r="AI65" s="805">
        <f t="shared" si="36"/>
        <v>126</v>
      </c>
      <c r="AJ65" s="793">
        <f t="shared" si="55"/>
        <v>126</v>
      </c>
      <c r="AK65" s="793">
        <f t="shared" si="37"/>
        <v>2499</v>
      </c>
      <c r="AL65" s="793">
        <f t="shared" si="38"/>
        <v>0</v>
      </c>
      <c r="AM65" s="793">
        <f t="shared" si="39"/>
        <v>0</v>
      </c>
      <c r="AN65" s="805">
        <f t="shared" si="40"/>
        <v>2373</v>
      </c>
      <c r="AO65" s="805">
        <f t="shared" si="41"/>
        <v>126</v>
      </c>
      <c r="AP65" s="793">
        <f t="shared" si="42"/>
        <v>126</v>
      </c>
      <c r="AQ65" s="793">
        <f t="shared" si="43"/>
        <v>2499</v>
      </c>
      <c r="AR65" s="793">
        <f t="shared" si="44"/>
        <v>0</v>
      </c>
      <c r="AS65" s="793">
        <f t="shared" si="45"/>
        <v>0</v>
      </c>
      <c r="AT65" s="793">
        <f t="shared" si="46"/>
        <v>2373</v>
      </c>
      <c r="AU65" s="793">
        <f t="shared" si="47"/>
        <v>126</v>
      </c>
      <c r="AV65" s="793">
        <f t="shared" si="48"/>
        <v>126</v>
      </c>
      <c r="AW65" s="793">
        <f t="shared" si="49"/>
        <v>2499</v>
      </c>
      <c r="AX65" s="793">
        <f t="shared" si="50"/>
        <v>0</v>
      </c>
      <c r="AY65" s="793">
        <f t="shared" si="51"/>
        <v>0</v>
      </c>
      <c r="AZ65" s="793">
        <f t="shared" si="52"/>
        <v>2373</v>
      </c>
      <c r="BA65" s="793">
        <f t="shared" si="56"/>
        <v>126</v>
      </c>
    </row>
    <row r="66" spans="1:53" ht="15" customHeight="1" x14ac:dyDescent="0.25">
      <c r="A66" s="842" t="s">
        <v>1187</v>
      </c>
      <c r="B66" s="843" t="s">
        <v>1199</v>
      </c>
      <c r="C66" s="778">
        <f t="shared" si="14"/>
        <v>0.31666666666666665</v>
      </c>
      <c r="D66" s="844">
        <v>3</v>
      </c>
      <c r="E66" s="779" t="s">
        <v>1182</v>
      </c>
      <c r="F66" s="845">
        <v>43191</v>
      </c>
      <c r="G66" s="845">
        <v>43191</v>
      </c>
      <c r="H66" s="781">
        <f t="shared" si="15"/>
        <v>44286</v>
      </c>
      <c r="I66" s="1359">
        <v>28420</v>
      </c>
      <c r="J66" s="805">
        <f t="shared" si="16"/>
        <v>1421</v>
      </c>
      <c r="K66" s="805"/>
      <c r="L66" s="793"/>
      <c r="M66" s="793">
        <f t="shared" si="17"/>
        <v>28420</v>
      </c>
      <c r="N66" s="793">
        <f t="shared" si="18"/>
        <v>365</v>
      </c>
      <c r="O66" s="793">
        <f t="shared" si="19"/>
        <v>9000</v>
      </c>
      <c r="P66" s="793">
        <f t="shared" si="20"/>
        <v>9000</v>
      </c>
      <c r="Q66" s="793">
        <f t="shared" si="21"/>
        <v>19420</v>
      </c>
      <c r="R66" s="793">
        <f t="shared" si="22"/>
        <v>19420</v>
      </c>
      <c r="S66" s="793">
        <f t="shared" si="23"/>
        <v>28420</v>
      </c>
      <c r="T66" s="793">
        <f t="shared" si="24"/>
        <v>366</v>
      </c>
      <c r="U66" s="793">
        <f t="shared" si="25"/>
        <v>9000</v>
      </c>
      <c r="V66" s="793">
        <f t="shared" si="26"/>
        <v>18000</v>
      </c>
      <c r="W66" s="793">
        <f t="shared" si="27"/>
        <v>10420</v>
      </c>
      <c r="X66" s="793">
        <f t="shared" si="28"/>
        <v>10420</v>
      </c>
      <c r="Y66" s="805">
        <f t="shared" si="29"/>
        <v>28420</v>
      </c>
      <c r="Z66" s="805">
        <f t="shared" si="30"/>
        <v>365</v>
      </c>
      <c r="AA66" s="805">
        <f t="shared" si="53"/>
        <v>9000</v>
      </c>
      <c r="AB66" s="805">
        <f t="shared" si="57"/>
        <v>27000</v>
      </c>
      <c r="AC66" s="805">
        <f t="shared" si="54"/>
        <v>1420</v>
      </c>
      <c r="AD66" s="793">
        <f t="shared" si="31"/>
        <v>1420</v>
      </c>
      <c r="AE66" s="793">
        <f t="shared" si="32"/>
        <v>28420</v>
      </c>
      <c r="AF66" s="793">
        <f t="shared" si="33"/>
        <v>0</v>
      </c>
      <c r="AG66" s="793">
        <f t="shared" si="34"/>
        <v>0</v>
      </c>
      <c r="AH66" s="805">
        <f t="shared" si="35"/>
        <v>27000</v>
      </c>
      <c r="AI66" s="805">
        <f t="shared" si="36"/>
        <v>1420</v>
      </c>
      <c r="AJ66" s="793">
        <f t="shared" si="55"/>
        <v>1420</v>
      </c>
      <c r="AK66" s="793">
        <f t="shared" si="37"/>
        <v>28420</v>
      </c>
      <c r="AL66" s="793">
        <f t="shared" si="38"/>
        <v>0</v>
      </c>
      <c r="AM66" s="793">
        <f t="shared" si="39"/>
        <v>0</v>
      </c>
      <c r="AN66" s="805">
        <f t="shared" si="40"/>
        <v>27000</v>
      </c>
      <c r="AO66" s="805">
        <f t="shared" si="41"/>
        <v>1420</v>
      </c>
      <c r="AP66" s="793">
        <f t="shared" si="42"/>
        <v>1420</v>
      </c>
      <c r="AQ66" s="793">
        <f t="shared" si="43"/>
        <v>28420</v>
      </c>
      <c r="AR66" s="793">
        <f t="shared" si="44"/>
        <v>0</v>
      </c>
      <c r="AS66" s="793">
        <f t="shared" si="45"/>
        <v>0</v>
      </c>
      <c r="AT66" s="793">
        <f t="shared" si="46"/>
        <v>27000</v>
      </c>
      <c r="AU66" s="793">
        <f t="shared" si="47"/>
        <v>1420</v>
      </c>
      <c r="AV66" s="793">
        <f t="shared" si="48"/>
        <v>1420</v>
      </c>
      <c r="AW66" s="793">
        <f t="shared" si="49"/>
        <v>28420</v>
      </c>
      <c r="AX66" s="793">
        <f t="shared" si="50"/>
        <v>0</v>
      </c>
      <c r="AY66" s="793">
        <f t="shared" si="51"/>
        <v>0</v>
      </c>
      <c r="AZ66" s="793">
        <f t="shared" si="52"/>
        <v>27000</v>
      </c>
      <c r="BA66" s="793">
        <f t="shared" si="56"/>
        <v>1420</v>
      </c>
    </row>
    <row r="67" spans="1:53" ht="15" customHeight="1" x14ac:dyDescent="0.25">
      <c r="A67" s="842" t="s">
        <v>1187</v>
      </c>
      <c r="B67" s="843" t="s">
        <v>1199</v>
      </c>
      <c r="C67" s="778">
        <f t="shared" si="14"/>
        <v>0.31666666666666665</v>
      </c>
      <c r="D67" s="844">
        <v>3</v>
      </c>
      <c r="E67" s="779" t="s">
        <v>1182</v>
      </c>
      <c r="F67" s="845">
        <v>43191</v>
      </c>
      <c r="G67" s="845">
        <v>43191</v>
      </c>
      <c r="H67" s="781">
        <f t="shared" si="15"/>
        <v>44286</v>
      </c>
      <c r="I67" s="1359">
        <v>6380</v>
      </c>
      <c r="J67" s="805">
        <f t="shared" si="16"/>
        <v>319</v>
      </c>
      <c r="K67" s="805"/>
      <c r="L67" s="793"/>
      <c r="M67" s="793">
        <f t="shared" si="17"/>
        <v>6380</v>
      </c>
      <c r="N67" s="793">
        <f t="shared" si="18"/>
        <v>365</v>
      </c>
      <c r="O67" s="793">
        <f t="shared" si="19"/>
        <v>2020</v>
      </c>
      <c r="P67" s="793">
        <f t="shared" si="20"/>
        <v>2020</v>
      </c>
      <c r="Q67" s="793">
        <f t="shared" si="21"/>
        <v>4360</v>
      </c>
      <c r="R67" s="793">
        <f t="shared" si="22"/>
        <v>4360</v>
      </c>
      <c r="S67" s="793">
        <f t="shared" si="23"/>
        <v>6380</v>
      </c>
      <c r="T67" s="793">
        <f t="shared" si="24"/>
        <v>366</v>
      </c>
      <c r="U67" s="793">
        <f t="shared" si="25"/>
        <v>2020</v>
      </c>
      <c r="V67" s="793">
        <f t="shared" si="26"/>
        <v>4040</v>
      </c>
      <c r="W67" s="793">
        <f t="shared" si="27"/>
        <v>2340</v>
      </c>
      <c r="X67" s="793">
        <f t="shared" si="28"/>
        <v>2340</v>
      </c>
      <c r="Y67" s="805">
        <f t="shared" si="29"/>
        <v>6380</v>
      </c>
      <c r="Z67" s="805">
        <f t="shared" si="30"/>
        <v>365</v>
      </c>
      <c r="AA67" s="805">
        <f t="shared" si="53"/>
        <v>2020</v>
      </c>
      <c r="AB67" s="805">
        <f t="shared" si="57"/>
        <v>6060</v>
      </c>
      <c r="AC67" s="805">
        <f t="shared" si="54"/>
        <v>320</v>
      </c>
      <c r="AD67" s="793">
        <f t="shared" si="31"/>
        <v>320</v>
      </c>
      <c r="AE67" s="793">
        <f t="shared" si="32"/>
        <v>6380</v>
      </c>
      <c r="AF67" s="793">
        <f t="shared" si="33"/>
        <v>0</v>
      </c>
      <c r="AG67" s="793">
        <f t="shared" si="34"/>
        <v>0</v>
      </c>
      <c r="AH67" s="805">
        <f t="shared" si="35"/>
        <v>6060</v>
      </c>
      <c r="AI67" s="805">
        <f t="shared" si="36"/>
        <v>320</v>
      </c>
      <c r="AJ67" s="793">
        <f t="shared" si="55"/>
        <v>320</v>
      </c>
      <c r="AK67" s="793">
        <f t="shared" si="37"/>
        <v>6380</v>
      </c>
      <c r="AL67" s="793">
        <f t="shared" si="38"/>
        <v>0</v>
      </c>
      <c r="AM67" s="793">
        <f t="shared" si="39"/>
        <v>0</v>
      </c>
      <c r="AN67" s="805">
        <f t="shared" si="40"/>
        <v>6060</v>
      </c>
      <c r="AO67" s="805">
        <f t="shared" si="41"/>
        <v>320</v>
      </c>
      <c r="AP67" s="793">
        <f t="shared" si="42"/>
        <v>320</v>
      </c>
      <c r="AQ67" s="793">
        <f t="shared" si="43"/>
        <v>6380</v>
      </c>
      <c r="AR67" s="793">
        <f t="shared" si="44"/>
        <v>0</v>
      </c>
      <c r="AS67" s="793">
        <f t="shared" si="45"/>
        <v>0</v>
      </c>
      <c r="AT67" s="793">
        <f t="shared" si="46"/>
        <v>6060</v>
      </c>
      <c r="AU67" s="793">
        <f t="shared" si="47"/>
        <v>320</v>
      </c>
      <c r="AV67" s="793">
        <f t="shared" si="48"/>
        <v>320</v>
      </c>
      <c r="AW67" s="793">
        <f t="shared" si="49"/>
        <v>6380</v>
      </c>
      <c r="AX67" s="793">
        <f t="shared" si="50"/>
        <v>0</v>
      </c>
      <c r="AY67" s="793">
        <f t="shared" si="51"/>
        <v>0</v>
      </c>
      <c r="AZ67" s="793">
        <f t="shared" si="52"/>
        <v>6060</v>
      </c>
      <c r="BA67" s="793">
        <f t="shared" si="56"/>
        <v>320</v>
      </c>
    </row>
    <row r="68" spans="1:53" ht="15" customHeight="1" x14ac:dyDescent="0.25">
      <c r="A68" s="842" t="s">
        <v>1187</v>
      </c>
      <c r="B68" s="843" t="s">
        <v>1200</v>
      </c>
      <c r="C68" s="778">
        <f t="shared" si="14"/>
        <v>0.31666666666666665</v>
      </c>
      <c r="D68" s="844">
        <v>3</v>
      </c>
      <c r="E68" s="779" t="s">
        <v>1182</v>
      </c>
      <c r="F68" s="845">
        <v>43245</v>
      </c>
      <c r="G68" s="845">
        <v>43245</v>
      </c>
      <c r="H68" s="781">
        <f t="shared" si="15"/>
        <v>44340</v>
      </c>
      <c r="I68" s="1359">
        <v>58917.75</v>
      </c>
      <c r="J68" s="805">
        <f t="shared" si="16"/>
        <v>2945.8875000000003</v>
      </c>
      <c r="K68" s="805"/>
      <c r="L68" s="793"/>
      <c r="M68" s="793">
        <f t="shared" si="17"/>
        <v>58917.75</v>
      </c>
      <c r="N68" s="793">
        <f t="shared" si="18"/>
        <v>311</v>
      </c>
      <c r="O68" s="793">
        <f t="shared" si="19"/>
        <v>15897</v>
      </c>
      <c r="P68" s="793">
        <f t="shared" si="20"/>
        <v>15897</v>
      </c>
      <c r="Q68" s="793">
        <f t="shared" si="21"/>
        <v>43020.75</v>
      </c>
      <c r="R68" s="793">
        <f t="shared" si="22"/>
        <v>43020.75</v>
      </c>
      <c r="S68" s="793">
        <f t="shared" si="23"/>
        <v>58917.75</v>
      </c>
      <c r="T68" s="793">
        <f t="shared" si="24"/>
        <v>366</v>
      </c>
      <c r="U68" s="793">
        <f t="shared" si="25"/>
        <v>18657</v>
      </c>
      <c r="V68" s="793">
        <f t="shared" si="26"/>
        <v>34554</v>
      </c>
      <c r="W68" s="793">
        <f t="shared" si="27"/>
        <v>24363.75</v>
      </c>
      <c r="X68" s="793">
        <f t="shared" si="28"/>
        <v>24363.75</v>
      </c>
      <c r="Y68" s="805">
        <f t="shared" si="29"/>
        <v>58917.75</v>
      </c>
      <c r="Z68" s="805">
        <f t="shared" si="30"/>
        <v>365</v>
      </c>
      <c r="AA68" s="805">
        <f t="shared" si="53"/>
        <v>18657</v>
      </c>
      <c r="AB68" s="805">
        <f t="shared" si="57"/>
        <v>53211</v>
      </c>
      <c r="AC68" s="805">
        <f t="shared" si="54"/>
        <v>5706.75</v>
      </c>
      <c r="AD68" s="793">
        <f t="shared" si="31"/>
        <v>5706.75</v>
      </c>
      <c r="AE68" s="793">
        <f t="shared" si="32"/>
        <v>58917.75</v>
      </c>
      <c r="AF68" s="793">
        <f t="shared" si="33"/>
        <v>54</v>
      </c>
      <c r="AG68" s="793">
        <f t="shared" si="34"/>
        <v>2760</v>
      </c>
      <c r="AH68" s="805">
        <f t="shared" si="35"/>
        <v>55971</v>
      </c>
      <c r="AI68" s="805">
        <f t="shared" si="36"/>
        <v>2946.75</v>
      </c>
      <c r="AJ68" s="793">
        <f t="shared" si="55"/>
        <v>2946.75</v>
      </c>
      <c r="AK68" s="793">
        <f t="shared" si="37"/>
        <v>58917.75</v>
      </c>
      <c r="AL68" s="793">
        <f t="shared" si="38"/>
        <v>0</v>
      </c>
      <c r="AM68" s="793">
        <f t="shared" si="39"/>
        <v>0</v>
      </c>
      <c r="AN68" s="805">
        <f t="shared" si="40"/>
        <v>55971</v>
      </c>
      <c r="AO68" s="805">
        <f t="shared" si="41"/>
        <v>2946.75</v>
      </c>
      <c r="AP68" s="793">
        <f t="shared" si="42"/>
        <v>2946.75</v>
      </c>
      <c r="AQ68" s="793">
        <f t="shared" si="43"/>
        <v>58917.75</v>
      </c>
      <c r="AR68" s="793">
        <f t="shared" si="44"/>
        <v>0</v>
      </c>
      <c r="AS68" s="793">
        <f t="shared" si="45"/>
        <v>0</v>
      </c>
      <c r="AT68" s="793">
        <f t="shared" si="46"/>
        <v>55971</v>
      </c>
      <c r="AU68" s="793">
        <f t="shared" si="47"/>
        <v>2946.75</v>
      </c>
      <c r="AV68" s="793">
        <f t="shared" si="48"/>
        <v>2946.75</v>
      </c>
      <c r="AW68" s="793">
        <f t="shared" si="49"/>
        <v>58917.75</v>
      </c>
      <c r="AX68" s="793">
        <f t="shared" si="50"/>
        <v>0</v>
      </c>
      <c r="AY68" s="793">
        <f t="shared" si="51"/>
        <v>0</v>
      </c>
      <c r="AZ68" s="793">
        <f t="shared" si="52"/>
        <v>55971</v>
      </c>
      <c r="BA68" s="793">
        <f t="shared" si="56"/>
        <v>2946.75</v>
      </c>
    </row>
    <row r="69" spans="1:53" ht="15" customHeight="1" x14ac:dyDescent="0.25">
      <c r="A69" s="842" t="s">
        <v>1187</v>
      </c>
      <c r="B69" s="843" t="s">
        <v>1201</v>
      </c>
      <c r="C69" s="778">
        <f t="shared" si="14"/>
        <v>0.31666666666666665</v>
      </c>
      <c r="D69" s="844">
        <v>3</v>
      </c>
      <c r="E69" s="779" t="s">
        <v>1182</v>
      </c>
      <c r="F69" s="845">
        <v>43295</v>
      </c>
      <c r="G69" s="845">
        <v>43295</v>
      </c>
      <c r="H69" s="781">
        <f t="shared" si="15"/>
        <v>44390</v>
      </c>
      <c r="I69" s="1359">
        <v>47861.05</v>
      </c>
      <c r="J69" s="805">
        <f t="shared" si="16"/>
        <v>2393.0525000000002</v>
      </c>
      <c r="K69" s="805"/>
      <c r="L69" s="793"/>
      <c r="M69" s="793">
        <f t="shared" si="17"/>
        <v>47861.05</v>
      </c>
      <c r="N69" s="793">
        <f t="shared" si="18"/>
        <v>261</v>
      </c>
      <c r="O69" s="793">
        <f t="shared" si="19"/>
        <v>10838</v>
      </c>
      <c r="P69" s="793">
        <f t="shared" si="20"/>
        <v>10838</v>
      </c>
      <c r="Q69" s="793">
        <f t="shared" si="21"/>
        <v>37023.050000000003</v>
      </c>
      <c r="R69" s="793">
        <f t="shared" si="22"/>
        <v>37023.050000000003</v>
      </c>
      <c r="S69" s="793">
        <f t="shared" si="23"/>
        <v>47861.05</v>
      </c>
      <c r="T69" s="793">
        <f t="shared" si="24"/>
        <v>366</v>
      </c>
      <c r="U69" s="793">
        <f t="shared" si="25"/>
        <v>15156</v>
      </c>
      <c r="V69" s="793">
        <f t="shared" si="26"/>
        <v>25994</v>
      </c>
      <c r="W69" s="793">
        <f t="shared" si="27"/>
        <v>21867.050000000003</v>
      </c>
      <c r="X69" s="793">
        <f t="shared" si="28"/>
        <v>21867.050000000003</v>
      </c>
      <c r="Y69" s="805">
        <f t="shared" si="29"/>
        <v>47861.05</v>
      </c>
      <c r="Z69" s="805">
        <f t="shared" si="30"/>
        <v>365</v>
      </c>
      <c r="AA69" s="805">
        <f t="shared" si="53"/>
        <v>15156</v>
      </c>
      <c r="AB69" s="805">
        <f t="shared" si="57"/>
        <v>41150</v>
      </c>
      <c r="AC69" s="805">
        <f t="shared" si="54"/>
        <v>6711.0500000000029</v>
      </c>
      <c r="AD69" s="793">
        <f t="shared" si="31"/>
        <v>6711.0500000000029</v>
      </c>
      <c r="AE69" s="793">
        <f t="shared" si="32"/>
        <v>47861.05</v>
      </c>
      <c r="AF69" s="793">
        <f t="shared" si="33"/>
        <v>104</v>
      </c>
      <c r="AG69" s="793">
        <f t="shared" si="34"/>
        <v>4318</v>
      </c>
      <c r="AH69" s="805">
        <f t="shared" si="35"/>
        <v>45468</v>
      </c>
      <c r="AI69" s="805">
        <f t="shared" si="36"/>
        <v>2393.0500000000029</v>
      </c>
      <c r="AJ69" s="793">
        <f t="shared" si="55"/>
        <v>2393.0500000000029</v>
      </c>
      <c r="AK69" s="793">
        <f t="shared" si="37"/>
        <v>47861.05</v>
      </c>
      <c r="AL69" s="793">
        <f t="shared" si="38"/>
        <v>0</v>
      </c>
      <c r="AM69" s="793">
        <f t="shared" si="39"/>
        <v>0</v>
      </c>
      <c r="AN69" s="805">
        <f t="shared" si="40"/>
        <v>45468</v>
      </c>
      <c r="AO69" s="805">
        <f t="shared" si="41"/>
        <v>2393.0500000000029</v>
      </c>
      <c r="AP69" s="793">
        <f t="shared" si="42"/>
        <v>2393.0500000000029</v>
      </c>
      <c r="AQ69" s="793">
        <f t="shared" si="43"/>
        <v>47861.05</v>
      </c>
      <c r="AR69" s="793">
        <f t="shared" si="44"/>
        <v>0</v>
      </c>
      <c r="AS69" s="793">
        <f t="shared" si="45"/>
        <v>0</v>
      </c>
      <c r="AT69" s="793">
        <f t="shared" si="46"/>
        <v>45468</v>
      </c>
      <c r="AU69" s="793">
        <f t="shared" si="47"/>
        <v>2393.0500000000029</v>
      </c>
      <c r="AV69" s="793">
        <f t="shared" si="48"/>
        <v>2393.0500000000029</v>
      </c>
      <c r="AW69" s="793">
        <f t="shared" si="49"/>
        <v>47861.05</v>
      </c>
      <c r="AX69" s="793">
        <f t="shared" si="50"/>
        <v>0</v>
      </c>
      <c r="AY69" s="793">
        <f t="shared" si="51"/>
        <v>0</v>
      </c>
      <c r="AZ69" s="793">
        <f t="shared" si="52"/>
        <v>45468</v>
      </c>
      <c r="BA69" s="793">
        <f t="shared" si="56"/>
        <v>2393.0500000000029</v>
      </c>
    </row>
    <row r="70" spans="1:53" ht="15" customHeight="1" x14ac:dyDescent="0.25">
      <c r="A70" s="842" t="s">
        <v>1187</v>
      </c>
      <c r="B70" s="843" t="s">
        <v>1202</v>
      </c>
      <c r="C70" s="778">
        <f t="shared" si="14"/>
        <v>0.31666666666666665</v>
      </c>
      <c r="D70" s="844">
        <v>3</v>
      </c>
      <c r="E70" s="779" t="s">
        <v>1182</v>
      </c>
      <c r="F70" s="845">
        <v>43438</v>
      </c>
      <c r="G70" s="845">
        <v>43438</v>
      </c>
      <c r="H70" s="781">
        <f t="shared" si="15"/>
        <v>44533</v>
      </c>
      <c r="I70" s="1359">
        <v>36440</v>
      </c>
      <c r="J70" s="805">
        <f t="shared" si="16"/>
        <v>1822</v>
      </c>
      <c r="K70" s="805"/>
      <c r="L70" s="793"/>
      <c r="M70" s="793">
        <f t="shared" si="17"/>
        <v>36440</v>
      </c>
      <c r="N70" s="793">
        <f t="shared" si="18"/>
        <v>118</v>
      </c>
      <c r="O70" s="793">
        <f t="shared" si="19"/>
        <v>3731</v>
      </c>
      <c r="P70" s="793">
        <f t="shared" si="20"/>
        <v>3731</v>
      </c>
      <c r="Q70" s="793">
        <f t="shared" si="21"/>
        <v>32709</v>
      </c>
      <c r="R70" s="793">
        <f t="shared" si="22"/>
        <v>32709</v>
      </c>
      <c r="S70" s="793">
        <f t="shared" si="23"/>
        <v>36440</v>
      </c>
      <c r="T70" s="793">
        <f t="shared" si="24"/>
        <v>366</v>
      </c>
      <c r="U70" s="793">
        <f t="shared" si="25"/>
        <v>11539</v>
      </c>
      <c r="V70" s="793">
        <f t="shared" si="26"/>
        <v>15270</v>
      </c>
      <c r="W70" s="793">
        <f t="shared" si="27"/>
        <v>21170</v>
      </c>
      <c r="X70" s="793">
        <f t="shared" si="28"/>
        <v>21170</v>
      </c>
      <c r="Y70" s="805">
        <f t="shared" si="29"/>
        <v>36440</v>
      </c>
      <c r="Z70" s="805">
        <f t="shared" si="30"/>
        <v>365</v>
      </c>
      <c r="AA70" s="805">
        <f t="shared" si="53"/>
        <v>11539</v>
      </c>
      <c r="AB70" s="805">
        <f t="shared" si="57"/>
        <v>26809</v>
      </c>
      <c r="AC70" s="805">
        <f t="shared" si="54"/>
        <v>9631</v>
      </c>
      <c r="AD70" s="793">
        <f t="shared" si="31"/>
        <v>9631</v>
      </c>
      <c r="AE70" s="793">
        <f t="shared" si="32"/>
        <v>36440</v>
      </c>
      <c r="AF70" s="793">
        <f t="shared" si="33"/>
        <v>247</v>
      </c>
      <c r="AG70" s="793">
        <f t="shared" si="34"/>
        <v>7809</v>
      </c>
      <c r="AH70" s="805">
        <f t="shared" si="35"/>
        <v>34618</v>
      </c>
      <c r="AI70" s="805">
        <f t="shared" si="36"/>
        <v>1822</v>
      </c>
      <c r="AJ70" s="793">
        <f t="shared" si="55"/>
        <v>1822</v>
      </c>
      <c r="AK70" s="793">
        <f t="shared" si="37"/>
        <v>36440</v>
      </c>
      <c r="AL70" s="793">
        <f t="shared" si="38"/>
        <v>0</v>
      </c>
      <c r="AM70" s="793">
        <f t="shared" si="39"/>
        <v>0</v>
      </c>
      <c r="AN70" s="805">
        <f t="shared" si="40"/>
        <v>34618</v>
      </c>
      <c r="AO70" s="805">
        <f t="shared" si="41"/>
        <v>1822</v>
      </c>
      <c r="AP70" s="793">
        <f t="shared" si="42"/>
        <v>1822</v>
      </c>
      <c r="AQ70" s="793">
        <f t="shared" si="43"/>
        <v>36440</v>
      </c>
      <c r="AR70" s="793">
        <f t="shared" si="44"/>
        <v>0</v>
      </c>
      <c r="AS70" s="793">
        <f t="shared" si="45"/>
        <v>0</v>
      </c>
      <c r="AT70" s="793">
        <f t="shared" si="46"/>
        <v>34618</v>
      </c>
      <c r="AU70" s="793">
        <f t="shared" si="47"/>
        <v>1822</v>
      </c>
      <c r="AV70" s="793">
        <f t="shared" si="48"/>
        <v>1822</v>
      </c>
      <c r="AW70" s="793">
        <f t="shared" si="49"/>
        <v>36440</v>
      </c>
      <c r="AX70" s="793">
        <f t="shared" si="50"/>
        <v>0</v>
      </c>
      <c r="AY70" s="793">
        <f t="shared" si="51"/>
        <v>0</v>
      </c>
      <c r="AZ70" s="793">
        <f t="shared" si="52"/>
        <v>34618</v>
      </c>
      <c r="BA70" s="793">
        <f t="shared" si="56"/>
        <v>1822</v>
      </c>
    </row>
    <row r="71" spans="1:53" ht="15" customHeight="1" x14ac:dyDescent="0.25">
      <c r="A71" s="842" t="s">
        <v>1187</v>
      </c>
      <c r="B71" s="843" t="s">
        <v>1202</v>
      </c>
      <c r="C71" s="778">
        <f t="shared" si="14"/>
        <v>0.31666666666666665</v>
      </c>
      <c r="D71" s="844">
        <v>3</v>
      </c>
      <c r="E71" s="779" t="s">
        <v>1182</v>
      </c>
      <c r="F71" s="845">
        <v>43554</v>
      </c>
      <c r="G71" s="845">
        <v>43554</v>
      </c>
      <c r="H71" s="781">
        <f t="shared" si="15"/>
        <v>44649</v>
      </c>
      <c r="I71" s="1359">
        <v>30508.48</v>
      </c>
      <c r="J71" s="805">
        <f t="shared" si="16"/>
        <v>1525.424</v>
      </c>
      <c r="K71" s="805"/>
      <c r="L71" s="793"/>
      <c r="M71" s="793">
        <f t="shared" si="17"/>
        <v>30508.48</v>
      </c>
      <c r="N71" s="793">
        <f t="shared" si="18"/>
        <v>2</v>
      </c>
      <c r="O71" s="793">
        <f t="shared" si="19"/>
        <v>53</v>
      </c>
      <c r="P71" s="793">
        <f t="shared" si="20"/>
        <v>53</v>
      </c>
      <c r="Q71" s="793">
        <f t="shared" si="21"/>
        <v>30455.48</v>
      </c>
      <c r="R71" s="793">
        <f t="shared" si="22"/>
        <v>30455.48</v>
      </c>
      <c r="S71" s="793">
        <f t="shared" si="23"/>
        <v>30508.48</v>
      </c>
      <c r="T71" s="793">
        <f t="shared" si="24"/>
        <v>366</v>
      </c>
      <c r="U71" s="793">
        <f t="shared" si="25"/>
        <v>9661</v>
      </c>
      <c r="V71" s="793">
        <f t="shared" si="26"/>
        <v>9714</v>
      </c>
      <c r="W71" s="793">
        <f t="shared" si="27"/>
        <v>20794.48</v>
      </c>
      <c r="X71" s="793">
        <f t="shared" si="28"/>
        <v>20794.48</v>
      </c>
      <c r="Y71" s="805">
        <f t="shared" si="29"/>
        <v>30508.48</v>
      </c>
      <c r="Z71" s="805">
        <f t="shared" si="30"/>
        <v>365</v>
      </c>
      <c r="AA71" s="805">
        <f t="shared" si="53"/>
        <v>9661</v>
      </c>
      <c r="AB71" s="805">
        <f t="shared" si="57"/>
        <v>19375</v>
      </c>
      <c r="AC71" s="805">
        <f t="shared" si="54"/>
        <v>11133.48</v>
      </c>
      <c r="AD71" s="793">
        <f t="shared" si="31"/>
        <v>11133.48</v>
      </c>
      <c r="AE71" s="793">
        <f t="shared" si="32"/>
        <v>30508.48</v>
      </c>
      <c r="AF71" s="793">
        <f t="shared" si="33"/>
        <v>363</v>
      </c>
      <c r="AG71" s="793">
        <f t="shared" si="34"/>
        <v>9608</v>
      </c>
      <c r="AH71" s="805">
        <f t="shared" si="35"/>
        <v>28983</v>
      </c>
      <c r="AI71" s="805">
        <f t="shared" si="36"/>
        <v>1525.4799999999996</v>
      </c>
      <c r="AJ71" s="793">
        <f t="shared" si="55"/>
        <v>1525.4799999999996</v>
      </c>
      <c r="AK71" s="793">
        <f t="shared" si="37"/>
        <v>30508.48</v>
      </c>
      <c r="AL71" s="793">
        <f t="shared" si="38"/>
        <v>0</v>
      </c>
      <c r="AM71" s="793">
        <f t="shared" si="39"/>
        <v>0</v>
      </c>
      <c r="AN71" s="805">
        <f t="shared" si="40"/>
        <v>28983</v>
      </c>
      <c r="AO71" s="805">
        <f t="shared" si="41"/>
        <v>1525.4799999999996</v>
      </c>
      <c r="AP71" s="793">
        <f t="shared" si="42"/>
        <v>1525.4799999999996</v>
      </c>
      <c r="AQ71" s="793">
        <f t="shared" si="43"/>
        <v>30508.48</v>
      </c>
      <c r="AR71" s="793">
        <f t="shared" si="44"/>
        <v>0</v>
      </c>
      <c r="AS71" s="793">
        <f t="shared" si="45"/>
        <v>0</v>
      </c>
      <c r="AT71" s="793">
        <f t="shared" si="46"/>
        <v>28983</v>
      </c>
      <c r="AU71" s="793">
        <f t="shared" si="47"/>
        <v>1525.4799999999996</v>
      </c>
      <c r="AV71" s="793">
        <f t="shared" si="48"/>
        <v>1525.4799999999996</v>
      </c>
      <c r="AW71" s="793">
        <f t="shared" si="49"/>
        <v>30508.48</v>
      </c>
      <c r="AX71" s="793">
        <f t="shared" si="50"/>
        <v>0</v>
      </c>
      <c r="AY71" s="793">
        <f t="shared" si="51"/>
        <v>0</v>
      </c>
      <c r="AZ71" s="793">
        <f t="shared" si="52"/>
        <v>28983</v>
      </c>
      <c r="BA71" s="793">
        <f t="shared" si="56"/>
        <v>1525.4799999999996</v>
      </c>
    </row>
    <row r="72" spans="1:53" ht="15" customHeight="1" x14ac:dyDescent="0.25">
      <c r="A72" s="842" t="s">
        <v>1187</v>
      </c>
      <c r="B72" s="843" t="s">
        <v>1202</v>
      </c>
      <c r="C72" s="778">
        <f t="shared" si="14"/>
        <v>0.31666666666666665</v>
      </c>
      <c r="D72" s="844">
        <v>3</v>
      </c>
      <c r="E72" s="779" t="s">
        <v>1182</v>
      </c>
      <c r="F72" s="845">
        <v>43554</v>
      </c>
      <c r="G72" s="845">
        <v>43554</v>
      </c>
      <c r="H72" s="781">
        <f t="shared" si="15"/>
        <v>44649</v>
      </c>
      <c r="I72" s="1359">
        <v>30508.48</v>
      </c>
      <c r="J72" s="805">
        <f t="shared" si="16"/>
        <v>1525.424</v>
      </c>
      <c r="K72" s="805"/>
      <c r="L72" s="793"/>
      <c r="M72" s="793">
        <f t="shared" si="17"/>
        <v>30508.48</v>
      </c>
      <c r="N72" s="793">
        <f t="shared" si="18"/>
        <v>2</v>
      </c>
      <c r="O72" s="793">
        <f t="shared" si="19"/>
        <v>53</v>
      </c>
      <c r="P72" s="793">
        <f t="shared" si="20"/>
        <v>53</v>
      </c>
      <c r="Q72" s="793">
        <f t="shared" si="21"/>
        <v>30455.48</v>
      </c>
      <c r="R72" s="793">
        <f t="shared" si="22"/>
        <v>30455.48</v>
      </c>
      <c r="S72" s="793">
        <f t="shared" si="23"/>
        <v>30508.48</v>
      </c>
      <c r="T72" s="793">
        <f t="shared" si="24"/>
        <v>366</v>
      </c>
      <c r="U72" s="793">
        <f t="shared" si="25"/>
        <v>9661</v>
      </c>
      <c r="V72" s="793">
        <f t="shared" si="26"/>
        <v>9714</v>
      </c>
      <c r="W72" s="793">
        <f t="shared" si="27"/>
        <v>20794.48</v>
      </c>
      <c r="X72" s="793">
        <f t="shared" si="28"/>
        <v>20794.48</v>
      </c>
      <c r="Y72" s="805">
        <f t="shared" si="29"/>
        <v>30508.48</v>
      </c>
      <c r="Z72" s="805">
        <f t="shared" si="30"/>
        <v>365</v>
      </c>
      <c r="AA72" s="805">
        <f t="shared" si="53"/>
        <v>9661</v>
      </c>
      <c r="AB72" s="805">
        <f t="shared" si="57"/>
        <v>19375</v>
      </c>
      <c r="AC72" s="805">
        <f t="shared" si="54"/>
        <v>11133.48</v>
      </c>
      <c r="AD72" s="793">
        <f t="shared" si="31"/>
        <v>11133.48</v>
      </c>
      <c r="AE72" s="793">
        <f t="shared" si="32"/>
        <v>30508.48</v>
      </c>
      <c r="AF72" s="793">
        <f t="shared" si="33"/>
        <v>363</v>
      </c>
      <c r="AG72" s="793">
        <f t="shared" si="34"/>
        <v>9608</v>
      </c>
      <c r="AH72" s="805">
        <f t="shared" si="35"/>
        <v>28983</v>
      </c>
      <c r="AI72" s="805">
        <f t="shared" si="36"/>
        <v>1525.4799999999996</v>
      </c>
      <c r="AJ72" s="793">
        <f t="shared" si="55"/>
        <v>1525.4799999999996</v>
      </c>
      <c r="AK72" s="793">
        <f t="shared" si="37"/>
        <v>30508.48</v>
      </c>
      <c r="AL72" s="793">
        <f t="shared" si="38"/>
        <v>0</v>
      </c>
      <c r="AM72" s="793">
        <f t="shared" si="39"/>
        <v>0</v>
      </c>
      <c r="AN72" s="805">
        <f t="shared" si="40"/>
        <v>28983</v>
      </c>
      <c r="AO72" s="805">
        <f t="shared" si="41"/>
        <v>1525.4799999999996</v>
      </c>
      <c r="AP72" s="793">
        <f t="shared" si="42"/>
        <v>1525.4799999999996</v>
      </c>
      <c r="AQ72" s="793">
        <f t="shared" si="43"/>
        <v>30508.48</v>
      </c>
      <c r="AR72" s="793">
        <f t="shared" si="44"/>
        <v>0</v>
      </c>
      <c r="AS72" s="793">
        <f t="shared" si="45"/>
        <v>0</v>
      </c>
      <c r="AT72" s="793">
        <f t="shared" si="46"/>
        <v>28983</v>
      </c>
      <c r="AU72" s="793">
        <f t="shared" si="47"/>
        <v>1525.4799999999996</v>
      </c>
      <c r="AV72" s="793">
        <f t="shared" si="48"/>
        <v>1525.4799999999996</v>
      </c>
      <c r="AW72" s="793">
        <f t="shared" si="49"/>
        <v>30508.48</v>
      </c>
      <c r="AX72" s="793">
        <f t="shared" si="50"/>
        <v>0</v>
      </c>
      <c r="AY72" s="793">
        <f t="shared" si="51"/>
        <v>0</v>
      </c>
      <c r="AZ72" s="793">
        <f t="shared" si="52"/>
        <v>28983</v>
      </c>
      <c r="BA72" s="793">
        <f t="shared" si="56"/>
        <v>1525.4799999999996</v>
      </c>
    </row>
    <row r="73" spans="1:53" ht="15" customHeight="1" x14ac:dyDescent="0.25">
      <c r="A73" s="842" t="s">
        <v>1187</v>
      </c>
      <c r="B73" s="843" t="s">
        <v>1203</v>
      </c>
      <c r="C73" s="778">
        <f t="shared" si="14"/>
        <v>0.31666666666666665</v>
      </c>
      <c r="D73" s="844">
        <v>3</v>
      </c>
      <c r="E73" s="779" t="s">
        <v>1182</v>
      </c>
      <c r="F73" s="845">
        <v>43426</v>
      </c>
      <c r="G73" s="845">
        <v>43426</v>
      </c>
      <c r="H73" s="781">
        <f t="shared" si="15"/>
        <v>44521</v>
      </c>
      <c r="I73" s="1359">
        <v>8814</v>
      </c>
      <c r="J73" s="805">
        <f t="shared" si="16"/>
        <v>440.70000000000005</v>
      </c>
      <c r="K73" s="805"/>
      <c r="L73" s="793"/>
      <c r="M73" s="793">
        <f t="shared" si="17"/>
        <v>8814</v>
      </c>
      <c r="N73" s="793">
        <f t="shared" si="18"/>
        <v>130</v>
      </c>
      <c r="O73" s="793">
        <f t="shared" si="19"/>
        <v>994</v>
      </c>
      <c r="P73" s="793">
        <f t="shared" si="20"/>
        <v>994</v>
      </c>
      <c r="Q73" s="793">
        <f t="shared" si="21"/>
        <v>7820</v>
      </c>
      <c r="R73" s="793">
        <f t="shared" si="22"/>
        <v>7820</v>
      </c>
      <c r="S73" s="793">
        <f t="shared" si="23"/>
        <v>8814</v>
      </c>
      <c r="T73" s="793">
        <f t="shared" si="24"/>
        <v>366</v>
      </c>
      <c r="U73" s="793">
        <f t="shared" si="25"/>
        <v>2791</v>
      </c>
      <c r="V73" s="793">
        <f t="shared" si="26"/>
        <v>3785</v>
      </c>
      <c r="W73" s="793">
        <f t="shared" si="27"/>
        <v>5029</v>
      </c>
      <c r="X73" s="793">
        <f t="shared" si="28"/>
        <v>5029</v>
      </c>
      <c r="Y73" s="805">
        <f t="shared" si="29"/>
        <v>8814</v>
      </c>
      <c r="Z73" s="805">
        <f t="shared" si="30"/>
        <v>365</v>
      </c>
      <c r="AA73" s="805">
        <f t="shared" si="53"/>
        <v>2791</v>
      </c>
      <c r="AB73" s="805">
        <f t="shared" si="57"/>
        <v>6576</v>
      </c>
      <c r="AC73" s="805">
        <f t="shared" si="54"/>
        <v>2238</v>
      </c>
      <c r="AD73" s="793">
        <f t="shared" si="31"/>
        <v>2238</v>
      </c>
      <c r="AE73" s="793">
        <f t="shared" si="32"/>
        <v>8814</v>
      </c>
      <c r="AF73" s="793">
        <f t="shared" si="33"/>
        <v>235</v>
      </c>
      <c r="AG73" s="793">
        <f t="shared" si="34"/>
        <v>1797</v>
      </c>
      <c r="AH73" s="805">
        <f t="shared" si="35"/>
        <v>8373</v>
      </c>
      <c r="AI73" s="805">
        <f t="shared" si="36"/>
        <v>441</v>
      </c>
      <c r="AJ73" s="793">
        <f t="shared" si="55"/>
        <v>441</v>
      </c>
      <c r="AK73" s="793">
        <f t="shared" si="37"/>
        <v>8814</v>
      </c>
      <c r="AL73" s="793">
        <f t="shared" si="38"/>
        <v>0</v>
      </c>
      <c r="AM73" s="793">
        <f t="shared" si="39"/>
        <v>0</v>
      </c>
      <c r="AN73" s="805">
        <f t="shared" si="40"/>
        <v>8373</v>
      </c>
      <c r="AO73" s="805">
        <f t="shared" si="41"/>
        <v>441</v>
      </c>
      <c r="AP73" s="793">
        <f t="shared" si="42"/>
        <v>441</v>
      </c>
      <c r="AQ73" s="793">
        <f t="shared" si="43"/>
        <v>8814</v>
      </c>
      <c r="AR73" s="793">
        <f t="shared" si="44"/>
        <v>0</v>
      </c>
      <c r="AS73" s="793">
        <f t="shared" si="45"/>
        <v>0</v>
      </c>
      <c r="AT73" s="793">
        <f t="shared" si="46"/>
        <v>8373</v>
      </c>
      <c r="AU73" s="793">
        <f t="shared" si="47"/>
        <v>441</v>
      </c>
      <c r="AV73" s="793">
        <f t="shared" si="48"/>
        <v>441</v>
      </c>
      <c r="AW73" s="793">
        <f t="shared" si="49"/>
        <v>8814</v>
      </c>
      <c r="AX73" s="793">
        <f t="shared" si="50"/>
        <v>0</v>
      </c>
      <c r="AY73" s="793">
        <f t="shared" si="51"/>
        <v>0</v>
      </c>
      <c r="AZ73" s="793">
        <f t="shared" si="52"/>
        <v>8373</v>
      </c>
      <c r="BA73" s="793">
        <f t="shared" si="56"/>
        <v>441</v>
      </c>
    </row>
    <row r="74" spans="1:53" ht="15" customHeight="1" x14ac:dyDescent="0.25">
      <c r="A74" s="842" t="s">
        <v>1187</v>
      </c>
      <c r="B74" s="843" t="s">
        <v>1203</v>
      </c>
      <c r="C74" s="778">
        <f t="shared" si="14"/>
        <v>0.31666666666666665</v>
      </c>
      <c r="D74" s="844">
        <v>3</v>
      </c>
      <c r="E74" s="779" t="s">
        <v>1182</v>
      </c>
      <c r="F74" s="845">
        <v>43501</v>
      </c>
      <c r="G74" s="845">
        <v>43501</v>
      </c>
      <c r="H74" s="781">
        <f t="shared" si="15"/>
        <v>44596</v>
      </c>
      <c r="I74" s="1359">
        <v>10593</v>
      </c>
      <c r="J74" s="805">
        <f t="shared" si="16"/>
        <v>529.65</v>
      </c>
      <c r="K74" s="805"/>
      <c r="L74" s="793"/>
      <c r="M74" s="793">
        <f t="shared" si="17"/>
        <v>10593</v>
      </c>
      <c r="N74" s="793">
        <f t="shared" si="18"/>
        <v>55</v>
      </c>
      <c r="O74" s="793">
        <f t="shared" si="19"/>
        <v>505</v>
      </c>
      <c r="P74" s="793">
        <f t="shared" si="20"/>
        <v>505</v>
      </c>
      <c r="Q74" s="793">
        <f t="shared" si="21"/>
        <v>10088</v>
      </c>
      <c r="R74" s="793">
        <f t="shared" si="22"/>
        <v>10088</v>
      </c>
      <c r="S74" s="793">
        <f t="shared" si="23"/>
        <v>10593</v>
      </c>
      <c r="T74" s="793">
        <f t="shared" si="24"/>
        <v>366</v>
      </c>
      <c r="U74" s="793">
        <f t="shared" si="25"/>
        <v>3354</v>
      </c>
      <c r="V74" s="793">
        <f t="shared" si="26"/>
        <v>3859</v>
      </c>
      <c r="W74" s="793">
        <f t="shared" si="27"/>
        <v>6734</v>
      </c>
      <c r="X74" s="793">
        <f t="shared" si="28"/>
        <v>6734</v>
      </c>
      <c r="Y74" s="805">
        <f t="shared" si="29"/>
        <v>10593</v>
      </c>
      <c r="Z74" s="805">
        <f t="shared" si="30"/>
        <v>365</v>
      </c>
      <c r="AA74" s="805">
        <f t="shared" si="53"/>
        <v>3354</v>
      </c>
      <c r="AB74" s="805">
        <f t="shared" si="57"/>
        <v>7213</v>
      </c>
      <c r="AC74" s="805">
        <f t="shared" si="54"/>
        <v>3380</v>
      </c>
      <c r="AD74" s="793">
        <f t="shared" si="31"/>
        <v>3380</v>
      </c>
      <c r="AE74" s="793">
        <f t="shared" si="32"/>
        <v>10593</v>
      </c>
      <c r="AF74" s="793">
        <f t="shared" si="33"/>
        <v>310</v>
      </c>
      <c r="AG74" s="793">
        <f t="shared" si="34"/>
        <v>2849</v>
      </c>
      <c r="AH74" s="805">
        <f t="shared" si="35"/>
        <v>10062</v>
      </c>
      <c r="AI74" s="805">
        <f t="shared" si="36"/>
        <v>531</v>
      </c>
      <c r="AJ74" s="793">
        <f t="shared" si="55"/>
        <v>531</v>
      </c>
      <c r="AK74" s="793">
        <f t="shared" si="37"/>
        <v>10593</v>
      </c>
      <c r="AL74" s="793">
        <f t="shared" si="38"/>
        <v>0</v>
      </c>
      <c r="AM74" s="793">
        <f t="shared" si="39"/>
        <v>0</v>
      </c>
      <c r="AN74" s="805">
        <f t="shared" si="40"/>
        <v>10062</v>
      </c>
      <c r="AO74" s="805">
        <f t="shared" si="41"/>
        <v>531</v>
      </c>
      <c r="AP74" s="793">
        <f t="shared" si="42"/>
        <v>531</v>
      </c>
      <c r="AQ74" s="793">
        <f t="shared" si="43"/>
        <v>10593</v>
      </c>
      <c r="AR74" s="793">
        <f t="shared" si="44"/>
        <v>0</v>
      </c>
      <c r="AS74" s="793">
        <f t="shared" si="45"/>
        <v>0</v>
      </c>
      <c r="AT74" s="793">
        <f t="shared" si="46"/>
        <v>10062</v>
      </c>
      <c r="AU74" s="793">
        <f t="shared" si="47"/>
        <v>531</v>
      </c>
      <c r="AV74" s="793">
        <f t="shared" si="48"/>
        <v>531</v>
      </c>
      <c r="AW74" s="793">
        <f t="shared" si="49"/>
        <v>10593</v>
      </c>
      <c r="AX74" s="793">
        <f t="shared" si="50"/>
        <v>0</v>
      </c>
      <c r="AY74" s="793">
        <f t="shared" si="51"/>
        <v>0</v>
      </c>
      <c r="AZ74" s="793">
        <f t="shared" si="52"/>
        <v>10062</v>
      </c>
      <c r="BA74" s="793">
        <f t="shared" si="56"/>
        <v>531</v>
      </c>
    </row>
    <row r="75" spans="1:53" ht="15" customHeight="1" x14ac:dyDescent="0.25">
      <c r="A75" s="842" t="s">
        <v>1187</v>
      </c>
      <c r="B75" s="843" t="s">
        <v>1204</v>
      </c>
      <c r="C75" s="778">
        <f t="shared" si="14"/>
        <v>0.31666666666666665</v>
      </c>
      <c r="D75" s="844">
        <v>3</v>
      </c>
      <c r="E75" s="779" t="s">
        <v>1182</v>
      </c>
      <c r="F75" s="845">
        <v>43501</v>
      </c>
      <c r="G75" s="845">
        <v>43501</v>
      </c>
      <c r="H75" s="781">
        <f t="shared" si="15"/>
        <v>44596</v>
      </c>
      <c r="I75" s="1359">
        <v>900</v>
      </c>
      <c r="J75" s="805">
        <f t="shared" si="16"/>
        <v>45</v>
      </c>
      <c r="K75" s="805"/>
      <c r="L75" s="793"/>
      <c r="M75" s="793">
        <f t="shared" si="17"/>
        <v>900</v>
      </c>
      <c r="N75" s="793">
        <f t="shared" si="18"/>
        <v>55</v>
      </c>
      <c r="O75" s="793">
        <f t="shared" si="19"/>
        <v>43</v>
      </c>
      <c r="P75" s="793">
        <f t="shared" si="20"/>
        <v>43</v>
      </c>
      <c r="Q75" s="793">
        <f t="shared" si="21"/>
        <v>857</v>
      </c>
      <c r="R75" s="793">
        <f t="shared" si="22"/>
        <v>857</v>
      </c>
      <c r="S75" s="793">
        <f t="shared" si="23"/>
        <v>900</v>
      </c>
      <c r="T75" s="793">
        <f t="shared" si="24"/>
        <v>366</v>
      </c>
      <c r="U75" s="793">
        <f t="shared" si="25"/>
        <v>285</v>
      </c>
      <c r="V75" s="793">
        <f t="shared" si="26"/>
        <v>328</v>
      </c>
      <c r="W75" s="793">
        <f t="shared" si="27"/>
        <v>572</v>
      </c>
      <c r="X75" s="793">
        <f t="shared" si="28"/>
        <v>572</v>
      </c>
      <c r="Y75" s="805">
        <f t="shared" si="29"/>
        <v>900</v>
      </c>
      <c r="Z75" s="805">
        <f t="shared" si="30"/>
        <v>365</v>
      </c>
      <c r="AA75" s="805">
        <f t="shared" si="53"/>
        <v>285</v>
      </c>
      <c r="AB75" s="805">
        <f t="shared" si="57"/>
        <v>613</v>
      </c>
      <c r="AC75" s="805">
        <f t="shared" si="54"/>
        <v>287</v>
      </c>
      <c r="AD75" s="793">
        <f t="shared" si="31"/>
        <v>287</v>
      </c>
      <c r="AE75" s="793">
        <f t="shared" si="32"/>
        <v>900</v>
      </c>
      <c r="AF75" s="793">
        <f t="shared" si="33"/>
        <v>310</v>
      </c>
      <c r="AG75" s="793">
        <f t="shared" si="34"/>
        <v>242</v>
      </c>
      <c r="AH75" s="805">
        <f t="shared" si="35"/>
        <v>855</v>
      </c>
      <c r="AI75" s="805">
        <f t="shared" si="36"/>
        <v>45</v>
      </c>
      <c r="AJ75" s="793">
        <f t="shared" si="55"/>
        <v>45</v>
      </c>
      <c r="AK75" s="793">
        <f t="shared" si="37"/>
        <v>900</v>
      </c>
      <c r="AL75" s="793">
        <f t="shared" si="38"/>
        <v>0</v>
      </c>
      <c r="AM75" s="793">
        <f t="shared" si="39"/>
        <v>0</v>
      </c>
      <c r="AN75" s="805">
        <f t="shared" si="40"/>
        <v>855</v>
      </c>
      <c r="AO75" s="805">
        <f t="shared" si="41"/>
        <v>45</v>
      </c>
      <c r="AP75" s="793">
        <f t="shared" si="42"/>
        <v>45</v>
      </c>
      <c r="AQ75" s="793">
        <f t="shared" si="43"/>
        <v>900</v>
      </c>
      <c r="AR75" s="793">
        <f t="shared" si="44"/>
        <v>0</v>
      </c>
      <c r="AS75" s="793">
        <f t="shared" si="45"/>
        <v>0</v>
      </c>
      <c r="AT75" s="793">
        <f t="shared" si="46"/>
        <v>855</v>
      </c>
      <c r="AU75" s="793">
        <f t="shared" si="47"/>
        <v>45</v>
      </c>
      <c r="AV75" s="793">
        <f t="shared" si="48"/>
        <v>45</v>
      </c>
      <c r="AW75" s="793">
        <f t="shared" si="49"/>
        <v>900</v>
      </c>
      <c r="AX75" s="793">
        <f t="shared" si="50"/>
        <v>0</v>
      </c>
      <c r="AY75" s="793">
        <f t="shared" si="51"/>
        <v>0</v>
      </c>
      <c r="AZ75" s="793">
        <f t="shared" si="52"/>
        <v>855</v>
      </c>
      <c r="BA75" s="793">
        <f t="shared" si="56"/>
        <v>45</v>
      </c>
    </row>
    <row r="76" spans="1:53" ht="15" customHeight="1" x14ac:dyDescent="0.25">
      <c r="A76" s="842" t="s">
        <v>1187</v>
      </c>
      <c r="B76" s="843" t="s">
        <v>1189</v>
      </c>
      <c r="C76" s="778">
        <f t="shared" si="14"/>
        <v>0.31666666666666665</v>
      </c>
      <c r="D76" s="844">
        <v>3</v>
      </c>
      <c r="E76" s="844" t="s">
        <v>1205</v>
      </c>
      <c r="F76" s="845">
        <v>43903</v>
      </c>
      <c r="G76" s="845">
        <v>43903</v>
      </c>
      <c r="H76" s="781">
        <f t="shared" si="15"/>
        <v>44998</v>
      </c>
      <c r="I76" s="1359">
        <f>26000+1072</f>
        <v>27072</v>
      </c>
      <c r="J76" s="805">
        <f t="shared" si="16"/>
        <v>1353.6000000000001</v>
      </c>
      <c r="K76" s="805"/>
      <c r="L76" s="793">
        <v>0</v>
      </c>
      <c r="M76" s="793">
        <v>0</v>
      </c>
      <c r="N76" s="793">
        <v>0</v>
      </c>
      <c r="O76" s="793">
        <v>0</v>
      </c>
      <c r="P76" s="793">
        <v>0</v>
      </c>
      <c r="Q76" s="793">
        <v>0</v>
      </c>
      <c r="R76" s="793">
        <f t="shared" si="22"/>
        <v>0</v>
      </c>
      <c r="S76" s="793">
        <f t="shared" si="23"/>
        <v>27072</v>
      </c>
      <c r="T76" s="805">
        <f t="shared" si="24"/>
        <v>19</v>
      </c>
      <c r="U76" s="805">
        <f t="shared" si="25"/>
        <v>445</v>
      </c>
      <c r="V76" s="793">
        <f t="shared" si="26"/>
        <v>445</v>
      </c>
      <c r="W76" s="793">
        <f t="shared" si="27"/>
        <v>26627</v>
      </c>
      <c r="X76" s="793">
        <f t="shared" si="28"/>
        <v>26627</v>
      </c>
      <c r="Y76" s="805">
        <f t="shared" si="29"/>
        <v>27072</v>
      </c>
      <c r="Z76" s="805">
        <f t="shared" si="30"/>
        <v>365</v>
      </c>
      <c r="AA76" s="805">
        <f t="shared" si="53"/>
        <v>8573</v>
      </c>
      <c r="AB76" s="805">
        <f t="shared" si="57"/>
        <v>9018</v>
      </c>
      <c r="AC76" s="805">
        <f t="shared" si="54"/>
        <v>18054</v>
      </c>
      <c r="AD76" s="793">
        <f t="shared" si="31"/>
        <v>18054</v>
      </c>
      <c r="AE76" s="793">
        <f t="shared" si="32"/>
        <v>27072</v>
      </c>
      <c r="AF76" s="793">
        <f t="shared" si="33"/>
        <v>365</v>
      </c>
      <c r="AG76" s="793">
        <f t="shared" si="34"/>
        <v>8573</v>
      </c>
      <c r="AH76" s="805">
        <f t="shared" si="35"/>
        <v>17591</v>
      </c>
      <c r="AI76" s="805">
        <f t="shared" si="36"/>
        <v>9481</v>
      </c>
      <c r="AJ76" s="793">
        <f t="shared" si="55"/>
        <v>9481</v>
      </c>
      <c r="AK76" s="793">
        <f t="shared" si="37"/>
        <v>27072</v>
      </c>
      <c r="AL76" s="793">
        <f t="shared" si="38"/>
        <v>347</v>
      </c>
      <c r="AM76" s="793">
        <f t="shared" si="39"/>
        <v>8150</v>
      </c>
      <c r="AN76" s="805">
        <f t="shared" si="40"/>
        <v>25741</v>
      </c>
      <c r="AO76" s="805">
        <f t="shared" si="41"/>
        <v>1331</v>
      </c>
      <c r="AP76" s="793">
        <f t="shared" si="42"/>
        <v>1331</v>
      </c>
      <c r="AQ76" s="793">
        <f t="shared" si="43"/>
        <v>27072</v>
      </c>
      <c r="AR76" s="793">
        <f t="shared" si="44"/>
        <v>0</v>
      </c>
      <c r="AS76" s="793">
        <f t="shared" si="45"/>
        <v>0</v>
      </c>
      <c r="AT76" s="793">
        <f t="shared" si="46"/>
        <v>25741</v>
      </c>
      <c r="AU76" s="793">
        <f t="shared" si="47"/>
        <v>1331</v>
      </c>
      <c r="AV76" s="793">
        <f t="shared" si="48"/>
        <v>1331</v>
      </c>
      <c r="AW76" s="793">
        <f t="shared" si="49"/>
        <v>27072</v>
      </c>
      <c r="AX76" s="793">
        <f t="shared" si="50"/>
        <v>0</v>
      </c>
      <c r="AY76" s="793">
        <f t="shared" si="51"/>
        <v>0</v>
      </c>
      <c r="AZ76" s="793">
        <f t="shared" si="52"/>
        <v>25741</v>
      </c>
      <c r="BA76" s="793">
        <f t="shared" si="56"/>
        <v>1331</v>
      </c>
    </row>
    <row r="77" spans="1:53" ht="15" customHeight="1" x14ac:dyDescent="0.25">
      <c r="A77" s="842" t="s">
        <v>1187</v>
      </c>
      <c r="B77" s="843" t="s">
        <v>1206</v>
      </c>
      <c r="C77" s="778">
        <f t="shared" si="14"/>
        <v>0.31666666666666665</v>
      </c>
      <c r="D77" s="844">
        <v>3</v>
      </c>
      <c r="E77" s="844" t="s">
        <v>1207</v>
      </c>
      <c r="F77" s="845">
        <v>44034</v>
      </c>
      <c r="G77" s="845">
        <v>44034</v>
      </c>
      <c r="H77" s="781">
        <f t="shared" si="15"/>
        <v>45129</v>
      </c>
      <c r="I77" s="1359">
        <v>14280</v>
      </c>
      <c r="J77" s="805">
        <f t="shared" si="16"/>
        <v>714</v>
      </c>
      <c r="K77" s="805"/>
      <c r="L77" s="793">
        <v>0</v>
      </c>
      <c r="M77" s="793">
        <v>0</v>
      </c>
      <c r="N77" s="793">
        <v>0</v>
      </c>
      <c r="O77" s="793">
        <v>0</v>
      </c>
      <c r="P77" s="793">
        <v>0</v>
      </c>
      <c r="Q77" s="793">
        <v>0</v>
      </c>
      <c r="R77" s="793">
        <v>0</v>
      </c>
      <c r="S77" s="793">
        <v>0</v>
      </c>
      <c r="T77" s="793">
        <v>0</v>
      </c>
      <c r="U77" s="793">
        <v>0</v>
      </c>
      <c r="V77" s="793">
        <v>0</v>
      </c>
      <c r="W77" s="793">
        <v>0</v>
      </c>
      <c r="X77" s="793">
        <f t="shared" si="28"/>
        <v>0</v>
      </c>
      <c r="Y77" s="805">
        <f t="shared" si="29"/>
        <v>14280</v>
      </c>
      <c r="Z77" s="805">
        <f t="shared" si="30"/>
        <v>253</v>
      </c>
      <c r="AA77" s="805">
        <f t="shared" si="53"/>
        <v>3134</v>
      </c>
      <c r="AB77" s="805">
        <f t="shared" si="57"/>
        <v>3134</v>
      </c>
      <c r="AC77" s="805">
        <f t="shared" si="54"/>
        <v>11146</v>
      </c>
      <c r="AD77" s="793">
        <f t="shared" si="31"/>
        <v>11146</v>
      </c>
      <c r="AE77" s="793">
        <f t="shared" si="32"/>
        <v>14280</v>
      </c>
      <c r="AF77" s="793">
        <f t="shared" si="33"/>
        <v>365</v>
      </c>
      <c r="AG77" s="793">
        <f t="shared" si="34"/>
        <v>4522</v>
      </c>
      <c r="AH77" s="805">
        <f t="shared" si="35"/>
        <v>7656</v>
      </c>
      <c r="AI77" s="805">
        <f t="shared" si="36"/>
        <v>6624</v>
      </c>
      <c r="AJ77" s="793">
        <f t="shared" si="55"/>
        <v>6624</v>
      </c>
      <c r="AK77" s="793">
        <f t="shared" si="37"/>
        <v>14280</v>
      </c>
      <c r="AL77" s="793">
        <f t="shared" si="38"/>
        <v>365</v>
      </c>
      <c r="AM77" s="793">
        <f t="shared" si="39"/>
        <v>4522</v>
      </c>
      <c r="AN77" s="805">
        <f t="shared" si="40"/>
        <v>12178</v>
      </c>
      <c r="AO77" s="805">
        <f t="shared" si="41"/>
        <v>2102</v>
      </c>
      <c r="AP77" s="793">
        <f t="shared" si="42"/>
        <v>2102</v>
      </c>
      <c r="AQ77" s="793">
        <f t="shared" si="43"/>
        <v>14280</v>
      </c>
      <c r="AR77" s="793">
        <f t="shared" si="44"/>
        <v>113</v>
      </c>
      <c r="AS77" s="793">
        <f t="shared" si="45"/>
        <v>1400</v>
      </c>
      <c r="AT77" s="793">
        <f t="shared" si="46"/>
        <v>13578</v>
      </c>
      <c r="AU77" s="793">
        <f t="shared" si="47"/>
        <v>702</v>
      </c>
      <c r="AV77" s="793">
        <f t="shared" si="48"/>
        <v>702</v>
      </c>
      <c r="AW77" s="793">
        <f t="shared" si="49"/>
        <v>14280</v>
      </c>
      <c r="AX77" s="793">
        <f t="shared" si="50"/>
        <v>0</v>
      </c>
      <c r="AY77" s="793">
        <f t="shared" si="51"/>
        <v>0</v>
      </c>
      <c r="AZ77" s="793">
        <f t="shared" si="52"/>
        <v>13578</v>
      </c>
      <c r="BA77" s="793">
        <f t="shared" si="56"/>
        <v>702</v>
      </c>
    </row>
    <row r="78" spans="1:53" ht="15" customHeight="1" x14ac:dyDescent="0.25">
      <c r="A78" s="842" t="s">
        <v>1187</v>
      </c>
      <c r="B78" s="843" t="s">
        <v>1208</v>
      </c>
      <c r="C78" s="778">
        <f t="shared" si="14"/>
        <v>0.31666666666666665</v>
      </c>
      <c r="D78" s="844">
        <v>3</v>
      </c>
      <c r="E78" s="844" t="s">
        <v>1207</v>
      </c>
      <c r="F78" s="845">
        <v>44112</v>
      </c>
      <c r="G78" s="845">
        <v>44112</v>
      </c>
      <c r="H78" s="781">
        <f t="shared" si="15"/>
        <v>45207</v>
      </c>
      <c r="I78" s="1359">
        <v>55990</v>
      </c>
      <c r="J78" s="805">
        <f t="shared" si="16"/>
        <v>2799.5</v>
      </c>
      <c r="K78" s="805"/>
      <c r="L78" s="793">
        <v>0</v>
      </c>
      <c r="M78" s="793">
        <v>0</v>
      </c>
      <c r="N78" s="793">
        <v>0</v>
      </c>
      <c r="O78" s="793">
        <v>0</v>
      </c>
      <c r="P78" s="793">
        <v>0</v>
      </c>
      <c r="Q78" s="793">
        <v>0</v>
      </c>
      <c r="R78" s="793">
        <v>0</v>
      </c>
      <c r="S78" s="793">
        <v>0</v>
      </c>
      <c r="T78" s="793">
        <v>0</v>
      </c>
      <c r="U78" s="793">
        <v>0</v>
      </c>
      <c r="V78" s="793">
        <v>0</v>
      </c>
      <c r="W78" s="793">
        <v>0</v>
      </c>
      <c r="X78" s="793">
        <f t="shared" si="28"/>
        <v>0</v>
      </c>
      <c r="Y78" s="805">
        <f t="shared" si="29"/>
        <v>55990</v>
      </c>
      <c r="Z78" s="805">
        <f t="shared" si="30"/>
        <v>175</v>
      </c>
      <c r="AA78" s="805">
        <f t="shared" si="53"/>
        <v>8501</v>
      </c>
      <c r="AB78" s="805">
        <f t="shared" si="57"/>
        <v>8501</v>
      </c>
      <c r="AC78" s="805">
        <f t="shared" si="54"/>
        <v>47489</v>
      </c>
      <c r="AD78" s="793">
        <f t="shared" si="31"/>
        <v>47489</v>
      </c>
      <c r="AE78" s="793">
        <f t="shared" si="32"/>
        <v>55990</v>
      </c>
      <c r="AF78" s="793">
        <f t="shared" si="33"/>
        <v>365</v>
      </c>
      <c r="AG78" s="793">
        <f t="shared" si="34"/>
        <v>17730</v>
      </c>
      <c r="AH78" s="805">
        <f t="shared" si="35"/>
        <v>26231</v>
      </c>
      <c r="AI78" s="805">
        <f t="shared" si="36"/>
        <v>29759</v>
      </c>
      <c r="AJ78" s="793">
        <f t="shared" si="55"/>
        <v>29759</v>
      </c>
      <c r="AK78" s="793">
        <f t="shared" si="37"/>
        <v>55990</v>
      </c>
      <c r="AL78" s="793">
        <f t="shared" si="38"/>
        <v>365</v>
      </c>
      <c r="AM78" s="793">
        <f t="shared" si="39"/>
        <v>17730</v>
      </c>
      <c r="AN78" s="805">
        <f t="shared" si="40"/>
        <v>43961</v>
      </c>
      <c r="AO78" s="805">
        <f t="shared" si="41"/>
        <v>12029</v>
      </c>
      <c r="AP78" s="793">
        <f t="shared" si="42"/>
        <v>12029</v>
      </c>
      <c r="AQ78" s="793">
        <f t="shared" si="43"/>
        <v>55990</v>
      </c>
      <c r="AR78" s="793">
        <f t="shared" si="44"/>
        <v>191</v>
      </c>
      <c r="AS78" s="793">
        <f t="shared" si="45"/>
        <v>9278</v>
      </c>
      <c r="AT78" s="793">
        <f t="shared" si="46"/>
        <v>53239</v>
      </c>
      <c r="AU78" s="793">
        <f t="shared" si="47"/>
        <v>2751</v>
      </c>
      <c r="AV78" s="793">
        <f t="shared" si="48"/>
        <v>2751</v>
      </c>
      <c r="AW78" s="793">
        <f t="shared" si="49"/>
        <v>55990</v>
      </c>
      <c r="AX78" s="793">
        <f t="shared" si="50"/>
        <v>0</v>
      </c>
      <c r="AY78" s="793">
        <f t="shared" si="51"/>
        <v>0</v>
      </c>
      <c r="AZ78" s="793">
        <f t="shared" si="52"/>
        <v>53239</v>
      </c>
      <c r="BA78" s="793">
        <f t="shared" si="56"/>
        <v>2751</v>
      </c>
    </row>
    <row r="79" spans="1:53" ht="15" customHeight="1" x14ac:dyDescent="0.25">
      <c r="A79" s="842" t="s">
        <v>1187</v>
      </c>
      <c r="B79" s="843" t="s">
        <v>1209</v>
      </c>
      <c r="C79" s="778">
        <f t="shared" si="14"/>
        <v>0.31666666666666665</v>
      </c>
      <c r="D79" s="844">
        <v>3</v>
      </c>
      <c r="E79" s="844" t="s">
        <v>1207</v>
      </c>
      <c r="F79" s="845">
        <v>44161</v>
      </c>
      <c r="G79" s="845">
        <v>44161</v>
      </c>
      <c r="H79" s="781">
        <f t="shared" si="15"/>
        <v>45256</v>
      </c>
      <c r="I79" s="1359">
        <v>25480</v>
      </c>
      <c r="J79" s="805">
        <f t="shared" si="16"/>
        <v>1274</v>
      </c>
      <c r="K79" s="805"/>
      <c r="L79" s="793">
        <v>0</v>
      </c>
      <c r="M79" s="793">
        <v>0</v>
      </c>
      <c r="N79" s="793">
        <v>0</v>
      </c>
      <c r="O79" s="793">
        <v>0</v>
      </c>
      <c r="P79" s="793">
        <v>0</v>
      </c>
      <c r="Q79" s="793">
        <v>0</v>
      </c>
      <c r="R79" s="793">
        <v>0</v>
      </c>
      <c r="S79" s="793">
        <v>0</v>
      </c>
      <c r="T79" s="793">
        <v>0</v>
      </c>
      <c r="U79" s="793">
        <v>0</v>
      </c>
      <c r="V79" s="793">
        <v>0</v>
      </c>
      <c r="W79" s="793">
        <v>0</v>
      </c>
      <c r="X79" s="793">
        <f t="shared" si="28"/>
        <v>0</v>
      </c>
      <c r="Y79" s="805">
        <f t="shared" si="29"/>
        <v>25480</v>
      </c>
      <c r="Z79" s="805">
        <f t="shared" si="30"/>
        <v>126</v>
      </c>
      <c r="AA79" s="805">
        <f t="shared" si="53"/>
        <v>2785</v>
      </c>
      <c r="AB79" s="805">
        <f t="shared" si="57"/>
        <v>2785</v>
      </c>
      <c r="AC79" s="805">
        <f t="shared" si="54"/>
        <v>22695</v>
      </c>
      <c r="AD79" s="793">
        <f t="shared" si="31"/>
        <v>22695</v>
      </c>
      <c r="AE79" s="793">
        <f t="shared" si="32"/>
        <v>25480</v>
      </c>
      <c r="AF79" s="793">
        <f t="shared" si="33"/>
        <v>365</v>
      </c>
      <c r="AG79" s="793">
        <f t="shared" si="34"/>
        <v>8069</v>
      </c>
      <c r="AH79" s="805">
        <f t="shared" si="35"/>
        <v>10854</v>
      </c>
      <c r="AI79" s="805">
        <f t="shared" si="36"/>
        <v>14626</v>
      </c>
      <c r="AJ79" s="793">
        <f t="shared" si="55"/>
        <v>14626</v>
      </c>
      <c r="AK79" s="793">
        <f t="shared" si="37"/>
        <v>25480</v>
      </c>
      <c r="AL79" s="793">
        <f t="shared" si="38"/>
        <v>365</v>
      </c>
      <c r="AM79" s="793">
        <f t="shared" si="39"/>
        <v>8069</v>
      </c>
      <c r="AN79" s="805">
        <f t="shared" si="40"/>
        <v>18923</v>
      </c>
      <c r="AO79" s="805">
        <f t="shared" si="41"/>
        <v>6557</v>
      </c>
      <c r="AP79" s="793">
        <f t="shared" si="42"/>
        <v>6557</v>
      </c>
      <c r="AQ79" s="793">
        <f t="shared" si="43"/>
        <v>25480</v>
      </c>
      <c r="AR79" s="793">
        <f t="shared" si="44"/>
        <v>240</v>
      </c>
      <c r="AS79" s="793">
        <f t="shared" si="45"/>
        <v>5305</v>
      </c>
      <c r="AT79" s="793">
        <f t="shared" si="46"/>
        <v>24228</v>
      </c>
      <c r="AU79" s="793">
        <f t="shared" si="47"/>
        <v>1252</v>
      </c>
      <c r="AV79" s="793">
        <f t="shared" si="48"/>
        <v>1252</v>
      </c>
      <c r="AW79" s="793">
        <f t="shared" si="49"/>
        <v>25480</v>
      </c>
      <c r="AX79" s="793">
        <f t="shared" si="50"/>
        <v>0</v>
      </c>
      <c r="AY79" s="793">
        <f t="shared" si="51"/>
        <v>0</v>
      </c>
      <c r="AZ79" s="793">
        <f t="shared" si="52"/>
        <v>24228</v>
      </c>
      <c r="BA79" s="793">
        <f t="shared" si="56"/>
        <v>1252</v>
      </c>
    </row>
    <row r="80" spans="1:53" ht="15" customHeight="1" x14ac:dyDescent="0.25">
      <c r="A80" s="842" t="s">
        <v>1187</v>
      </c>
      <c r="B80" s="843" t="s">
        <v>1210</v>
      </c>
      <c r="C80" s="778">
        <f t="shared" ref="C80:C108" si="58">(95/D80)/100</f>
        <v>0.31666666666666665</v>
      </c>
      <c r="D80" s="844">
        <v>3</v>
      </c>
      <c r="E80" s="844" t="s">
        <v>1207</v>
      </c>
      <c r="F80" s="845">
        <v>44188</v>
      </c>
      <c r="G80" s="845">
        <v>44188</v>
      </c>
      <c r="H80" s="781">
        <f t="shared" ref="H80:H108" si="59">G80+(365*D80)</f>
        <v>45283</v>
      </c>
      <c r="I80" s="1359">
        <v>19500</v>
      </c>
      <c r="J80" s="805">
        <f t="shared" ref="J80:J108" si="60">I80*5%</f>
        <v>975</v>
      </c>
      <c r="K80" s="805"/>
      <c r="L80" s="793">
        <v>0</v>
      </c>
      <c r="M80" s="793">
        <v>0</v>
      </c>
      <c r="N80" s="793">
        <v>0</v>
      </c>
      <c r="O80" s="793">
        <v>0</v>
      </c>
      <c r="P80" s="793">
        <v>0</v>
      </c>
      <c r="Q80" s="793">
        <v>0</v>
      </c>
      <c r="R80" s="793">
        <v>0</v>
      </c>
      <c r="S80" s="793">
        <v>0</v>
      </c>
      <c r="T80" s="793">
        <v>0</v>
      </c>
      <c r="U80" s="793">
        <v>0</v>
      </c>
      <c r="V80" s="793">
        <v>0</v>
      </c>
      <c r="W80" s="793">
        <v>0</v>
      </c>
      <c r="X80" s="793">
        <f t="shared" ref="X80:X83" si="61">W80</f>
        <v>0</v>
      </c>
      <c r="Y80" s="805">
        <f t="shared" ref="Y80:Y83" si="62">I80</f>
        <v>19500</v>
      </c>
      <c r="Z80" s="805">
        <f t="shared" ref="Z80:Z83" si="63">IF(AND(F80&gt;$R$3,F80&lt;$X$3),$X$3-F80+1,IF(H80&lt;=$R$3,0,IF(H80&gt;$X$3,$X$3-$R$3,H80-$R$3)))</f>
        <v>99</v>
      </c>
      <c r="AA80" s="805">
        <f t="shared" si="53"/>
        <v>1675</v>
      </c>
      <c r="AB80" s="805">
        <f t="shared" si="57"/>
        <v>1675</v>
      </c>
      <c r="AC80" s="805">
        <f t="shared" si="54"/>
        <v>17825</v>
      </c>
      <c r="AD80" s="793">
        <f t="shared" ref="AD80:AD108" si="64">AC80</f>
        <v>17825</v>
      </c>
      <c r="AE80" s="793">
        <f t="shared" ref="AE80:AE92" si="65">I80</f>
        <v>19500</v>
      </c>
      <c r="AF80" s="793">
        <f t="shared" ref="AF80:AF92" si="66">IF(AND(F80&gt;$X$3,F80&lt;$AD$3),$AD$3-F80+1,IF(H80&lt;=$X$3,0,IF(H80&gt;$AD$3,$AD$3-$X$3,H80-$X$3)))</f>
        <v>365</v>
      </c>
      <c r="AG80" s="793">
        <f t="shared" ref="AG80:AG92" si="67">ROUND(AE80*C80*AF80/365,0)</f>
        <v>6175</v>
      </c>
      <c r="AH80" s="805">
        <f t="shared" ref="AH80:AH92" si="68">+AB80+AG80</f>
        <v>7850</v>
      </c>
      <c r="AI80" s="805">
        <f t="shared" ref="AI80:AI92" si="69">AE80-AH80</f>
        <v>11650</v>
      </c>
      <c r="AJ80" s="793">
        <f t="shared" si="55"/>
        <v>11650</v>
      </c>
      <c r="AK80" s="793">
        <f t="shared" ref="AK80:AK108" si="70">I80</f>
        <v>19500</v>
      </c>
      <c r="AL80" s="793">
        <f t="shared" ref="AL80:AL108" si="71">IF(AND(F80&gt;$AD$3,F80&lt;$AJ$3),$AJ$3-F80+1,IF(H80&lt;=$AD$3,0,IF(H80&gt;$AJ$3,$AJ$3-$AD$3,H80-$AD$3)))</f>
        <v>365</v>
      </c>
      <c r="AM80" s="793">
        <f t="shared" ref="AM80:AM108" si="72">ROUND(AK80*C80*AL80/365,0)</f>
        <v>6175</v>
      </c>
      <c r="AN80" s="805">
        <f t="shared" ref="AN80:AN108" si="73">+AH80+AM80</f>
        <v>14025</v>
      </c>
      <c r="AO80" s="805">
        <f t="shared" ref="AO80:AO107" si="74">AK80-AN80</f>
        <v>5475</v>
      </c>
      <c r="AP80" s="793">
        <f t="shared" ref="AP80:AP123" si="75">+AO80</f>
        <v>5475</v>
      </c>
      <c r="AQ80" s="793">
        <f t="shared" ref="AQ80:AQ108" si="76">I80</f>
        <v>19500</v>
      </c>
      <c r="AR80" s="793">
        <f t="shared" ref="AR80:AR108" si="77">IF(AND(F80&gt;$AJ$3,F80&lt;$AP$3),$AP$3-F80+1,IF(H80&lt;=$AJ$3,0,IF(H80&gt;$AP$3,$AP$3-$AJ$3,H80-$AJ$3)))</f>
        <v>267</v>
      </c>
      <c r="AS80" s="793">
        <f t="shared" ref="AS80:AS108" si="78">ROUND(AQ80*C80*AR80/365,0)</f>
        <v>4517</v>
      </c>
      <c r="AT80" s="793">
        <f t="shared" ref="AT80:AT123" si="79">+AN80+AS80</f>
        <v>18542</v>
      </c>
      <c r="AU80" s="793">
        <f t="shared" ref="AU80:AU124" si="80">+AQ80-AT80</f>
        <v>958</v>
      </c>
      <c r="AV80" s="793">
        <f t="shared" ref="AV80:AV130" si="81">+AU80</f>
        <v>958</v>
      </c>
      <c r="AW80" s="793">
        <f t="shared" ref="AW80:AW108" si="82">+I80</f>
        <v>19500</v>
      </c>
      <c r="AX80" s="793">
        <f t="shared" ref="AX80:AX108" si="83">IF(AND(F80&gt;$AP$3,F80&lt;$AV$3),$AV$3-F80+1,IF(H80&lt;=$AP$3,0,IF(H80&gt;$AV$3,$AV$3-$AP$3,H80-$AP$3)))</f>
        <v>0</v>
      </c>
      <c r="AY80" s="793">
        <f t="shared" ref="AY80:AY108" si="84">ROUND(AW80*C80*AX80/365,0)</f>
        <v>0</v>
      </c>
      <c r="AZ80" s="793">
        <f t="shared" ref="AZ80:AZ131" si="85">+AT80+AY80</f>
        <v>18542</v>
      </c>
      <c r="BA80" s="793">
        <f t="shared" si="56"/>
        <v>958</v>
      </c>
    </row>
    <row r="81" spans="1:53" ht="15" customHeight="1" x14ac:dyDescent="0.25">
      <c r="A81" s="842" t="s">
        <v>1187</v>
      </c>
      <c r="B81" s="843" t="s">
        <v>1211</v>
      </c>
      <c r="C81" s="778">
        <f t="shared" si="58"/>
        <v>0.31666666666666665</v>
      </c>
      <c r="D81" s="844">
        <v>3</v>
      </c>
      <c r="E81" s="844" t="s">
        <v>1207</v>
      </c>
      <c r="F81" s="845">
        <v>44219</v>
      </c>
      <c r="G81" s="845">
        <v>44219</v>
      </c>
      <c r="H81" s="781">
        <f t="shared" si="59"/>
        <v>45314</v>
      </c>
      <c r="I81" s="1359">
        <v>59000</v>
      </c>
      <c r="J81" s="805">
        <f t="shared" si="60"/>
        <v>2950</v>
      </c>
      <c r="K81" s="805"/>
      <c r="L81" s="793">
        <v>0</v>
      </c>
      <c r="M81" s="793">
        <v>0</v>
      </c>
      <c r="N81" s="793">
        <v>0</v>
      </c>
      <c r="O81" s="793">
        <v>0</v>
      </c>
      <c r="P81" s="793">
        <v>0</v>
      </c>
      <c r="Q81" s="793">
        <v>0</v>
      </c>
      <c r="R81" s="793">
        <v>0</v>
      </c>
      <c r="S81" s="793">
        <v>0</v>
      </c>
      <c r="T81" s="793">
        <v>0</v>
      </c>
      <c r="U81" s="793">
        <v>0</v>
      </c>
      <c r="V81" s="793">
        <v>0</v>
      </c>
      <c r="W81" s="793">
        <v>0</v>
      </c>
      <c r="X81" s="793">
        <f t="shared" si="61"/>
        <v>0</v>
      </c>
      <c r="Y81" s="805">
        <f t="shared" si="62"/>
        <v>59000</v>
      </c>
      <c r="Z81" s="805">
        <f t="shared" si="63"/>
        <v>68</v>
      </c>
      <c r="AA81" s="805">
        <f t="shared" ref="AA81:AA83" si="86">ROUND(Y81*C81*Z81/365,0)</f>
        <v>3481</v>
      </c>
      <c r="AB81" s="805">
        <f t="shared" si="57"/>
        <v>3481</v>
      </c>
      <c r="AC81" s="805">
        <f t="shared" ref="AC81:AC83" si="87">Y81-AB81</f>
        <v>55519</v>
      </c>
      <c r="AD81" s="793">
        <f t="shared" si="64"/>
        <v>55519</v>
      </c>
      <c r="AE81" s="793">
        <f t="shared" si="65"/>
        <v>59000</v>
      </c>
      <c r="AF81" s="793">
        <f t="shared" si="66"/>
        <v>365</v>
      </c>
      <c r="AG81" s="793">
        <f t="shared" si="67"/>
        <v>18683</v>
      </c>
      <c r="AH81" s="805">
        <f t="shared" si="68"/>
        <v>22164</v>
      </c>
      <c r="AI81" s="805">
        <f t="shared" si="69"/>
        <v>36836</v>
      </c>
      <c r="AJ81" s="793">
        <f t="shared" ref="AJ81:AJ108" si="88">AI81</f>
        <v>36836</v>
      </c>
      <c r="AK81" s="793">
        <f t="shared" si="70"/>
        <v>59000</v>
      </c>
      <c r="AL81" s="793">
        <f t="shared" si="71"/>
        <v>365</v>
      </c>
      <c r="AM81" s="793">
        <f t="shared" si="72"/>
        <v>18683</v>
      </c>
      <c r="AN81" s="805">
        <f t="shared" si="73"/>
        <v>40847</v>
      </c>
      <c r="AO81" s="805">
        <f t="shared" si="74"/>
        <v>18153</v>
      </c>
      <c r="AP81" s="793">
        <f t="shared" si="75"/>
        <v>18153</v>
      </c>
      <c r="AQ81" s="793">
        <f t="shared" si="76"/>
        <v>59000</v>
      </c>
      <c r="AR81" s="793">
        <f t="shared" si="77"/>
        <v>298</v>
      </c>
      <c r="AS81" s="793">
        <f t="shared" si="78"/>
        <v>15254</v>
      </c>
      <c r="AT81" s="793">
        <f t="shared" si="79"/>
        <v>56101</v>
      </c>
      <c r="AU81" s="793">
        <f>+AQ81-AT81</f>
        <v>2899</v>
      </c>
      <c r="AV81" s="793">
        <f t="shared" si="81"/>
        <v>2899</v>
      </c>
      <c r="AW81" s="793">
        <f t="shared" si="82"/>
        <v>59000</v>
      </c>
      <c r="AX81" s="793">
        <f t="shared" si="83"/>
        <v>0</v>
      </c>
      <c r="AY81" s="793">
        <f>ROUND(AW81*C81*AX81/365,0)</f>
        <v>0</v>
      </c>
      <c r="AZ81" s="793">
        <f>+AT81+AY81</f>
        <v>56101</v>
      </c>
      <c r="BA81" s="793">
        <f>+AW81-AZ81</f>
        <v>2899</v>
      </c>
    </row>
    <row r="82" spans="1:53" ht="15" customHeight="1" x14ac:dyDescent="0.25">
      <c r="A82" s="842" t="s">
        <v>1187</v>
      </c>
      <c r="B82" s="843" t="s">
        <v>1210</v>
      </c>
      <c r="C82" s="778">
        <f t="shared" si="58"/>
        <v>0.31666666666666665</v>
      </c>
      <c r="D82" s="844">
        <v>3</v>
      </c>
      <c r="E82" s="844" t="s">
        <v>1207</v>
      </c>
      <c r="F82" s="845">
        <v>44250</v>
      </c>
      <c r="G82" s="845">
        <v>44250</v>
      </c>
      <c r="H82" s="781">
        <f t="shared" si="59"/>
        <v>45345</v>
      </c>
      <c r="I82" s="1359">
        <v>28560</v>
      </c>
      <c r="J82" s="805">
        <f t="shared" si="60"/>
        <v>1428</v>
      </c>
      <c r="K82" s="805"/>
      <c r="L82" s="793">
        <v>0</v>
      </c>
      <c r="M82" s="793">
        <v>0</v>
      </c>
      <c r="N82" s="793">
        <v>0</v>
      </c>
      <c r="O82" s="793">
        <v>0</v>
      </c>
      <c r="P82" s="793">
        <v>0</v>
      </c>
      <c r="Q82" s="793">
        <v>0</v>
      </c>
      <c r="R82" s="793">
        <v>0</v>
      </c>
      <c r="S82" s="793">
        <v>0</v>
      </c>
      <c r="T82" s="793">
        <v>0</v>
      </c>
      <c r="U82" s="793">
        <v>0</v>
      </c>
      <c r="V82" s="793">
        <v>0</v>
      </c>
      <c r="W82" s="793">
        <v>0</v>
      </c>
      <c r="X82" s="793">
        <f t="shared" si="61"/>
        <v>0</v>
      </c>
      <c r="Y82" s="805">
        <f t="shared" si="62"/>
        <v>28560</v>
      </c>
      <c r="Z82" s="805">
        <f t="shared" si="63"/>
        <v>37</v>
      </c>
      <c r="AA82" s="805">
        <f t="shared" si="86"/>
        <v>917</v>
      </c>
      <c r="AB82" s="805">
        <f t="shared" ref="AB82:AB83" si="89">+V82+AA82</f>
        <v>917</v>
      </c>
      <c r="AC82" s="805">
        <f t="shared" si="87"/>
        <v>27643</v>
      </c>
      <c r="AD82" s="793">
        <f t="shared" si="64"/>
        <v>27643</v>
      </c>
      <c r="AE82" s="793">
        <f t="shared" si="65"/>
        <v>28560</v>
      </c>
      <c r="AF82" s="793">
        <f t="shared" si="66"/>
        <v>365</v>
      </c>
      <c r="AG82" s="793">
        <f t="shared" si="67"/>
        <v>9044</v>
      </c>
      <c r="AH82" s="805">
        <f t="shared" si="68"/>
        <v>9961</v>
      </c>
      <c r="AI82" s="805">
        <f t="shared" si="69"/>
        <v>18599</v>
      </c>
      <c r="AJ82" s="793">
        <f t="shared" si="88"/>
        <v>18599</v>
      </c>
      <c r="AK82" s="793">
        <f t="shared" si="70"/>
        <v>28560</v>
      </c>
      <c r="AL82" s="793">
        <f t="shared" si="71"/>
        <v>365</v>
      </c>
      <c r="AM82" s="793">
        <f t="shared" si="72"/>
        <v>9044</v>
      </c>
      <c r="AN82" s="805">
        <f t="shared" si="73"/>
        <v>19005</v>
      </c>
      <c r="AO82" s="805">
        <f t="shared" si="74"/>
        <v>9555</v>
      </c>
      <c r="AP82" s="793">
        <f t="shared" si="75"/>
        <v>9555</v>
      </c>
      <c r="AQ82" s="793">
        <f t="shared" si="76"/>
        <v>28560</v>
      </c>
      <c r="AR82" s="793">
        <f t="shared" si="77"/>
        <v>329</v>
      </c>
      <c r="AS82" s="793">
        <f t="shared" si="78"/>
        <v>8152</v>
      </c>
      <c r="AT82" s="793">
        <f t="shared" si="79"/>
        <v>27157</v>
      </c>
      <c r="AU82" s="793">
        <f t="shared" si="80"/>
        <v>1403</v>
      </c>
      <c r="AV82" s="793">
        <f t="shared" si="81"/>
        <v>1403</v>
      </c>
      <c r="AW82" s="793">
        <f t="shared" si="82"/>
        <v>28560</v>
      </c>
      <c r="AX82" s="793">
        <f>IF(AND(F82&gt;$AP$3,F82&lt;$AV$3),$AV$3-F82+1,IF(H82&lt;=$AP$3,0,IF(H82&gt;$AV$3,$AV$3-$AP$3,H82-$AP$3)))</f>
        <v>0</v>
      </c>
      <c r="AY82" s="793">
        <f t="shared" si="84"/>
        <v>0</v>
      </c>
      <c r="AZ82" s="793">
        <f t="shared" si="85"/>
        <v>27157</v>
      </c>
      <c r="BA82" s="793">
        <f t="shared" ref="BA82:BA131" si="90">+AW82-AZ82</f>
        <v>1403</v>
      </c>
    </row>
    <row r="83" spans="1:53" ht="15" customHeight="1" x14ac:dyDescent="0.25">
      <c r="A83" s="842" t="s">
        <v>1187</v>
      </c>
      <c r="B83" s="843" t="s">
        <v>1210</v>
      </c>
      <c r="C83" s="778">
        <f t="shared" si="58"/>
        <v>0.31666666666666665</v>
      </c>
      <c r="D83" s="844">
        <v>3</v>
      </c>
      <c r="E83" s="844" t="s">
        <v>1207</v>
      </c>
      <c r="F83" s="845">
        <v>44258</v>
      </c>
      <c r="G83" s="845">
        <v>44258</v>
      </c>
      <c r="H83" s="781">
        <f t="shared" si="59"/>
        <v>45353</v>
      </c>
      <c r="I83" s="1359">
        <v>28560</v>
      </c>
      <c r="J83" s="805">
        <f t="shared" si="60"/>
        <v>1428</v>
      </c>
      <c r="K83" s="805"/>
      <c r="L83" s="793">
        <v>0</v>
      </c>
      <c r="M83" s="793">
        <v>0</v>
      </c>
      <c r="N83" s="793">
        <v>0</v>
      </c>
      <c r="O83" s="793">
        <v>0</v>
      </c>
      <c r="P83" s="793">
        <v>0</v>
      </c>
      <c r="Q83" s="793">
        <v>0</v>
      </c>
      <c r="R83" s="793">
        <v>0</v>
      </c>
      <c r="S83" s="793">
        <v>0</v>
      </c>
      <c r="T83" s="793">
        <v>0</v>
      </c>
      <c r="U83" s="793">
        <v>0</v>
      </c>
      <c r="V83" s="793">
        <v>0</v>
      </c>
      <c r="W83" s="793">
        <v>0</v>
      </c>
      <c r="X83" s="793">
        <f t="shared" si="61"/>
        <v>0</v>
      </c>
      <c r="Y83" s="805">
        <f t="shared" si="62"/>
        <v>28560</v>
      </c>
      <c r="Z83" s="805">
        <f t="shared" si="63"/>
        <v>29</v>
      </c>
      <c r="AA83" s="805">
        <f t="shared" si="86"/>
        <v>719</v>
      </c>
      <c r="AB83" s="805">
        <f t="shared" si="89"/>
        <v>719</v>
      </c>
      <c r="AC83" s="805">
        <f t="shared" si="87"/>
        <v>27841</v>
      </c>
      <c r="AD83" s="793">
        <f t="shared" si="64"/>
        <v>27841</v>
      </c>
      <c r="AE83" s="793">
        <f t="shared" si="65"/>
        <v>28560</v>
      </c>
      <c r="AF83" s="793">
        <f t="shared" si="66"/>
        <v>365</v>
      </c>
      <c r="AG83" s="793">
        <f t="shared" si="67"/>
        <v>9044</v>
      </c>
      <c r="AH83" s="805">
        <f t="shared" si="68"/>
        <v>9763</v>
      </c>
      <c r="AI83" s="805">
        <f t="shared" si="69"/>
        <v>18797</v>
      </c>
      <c r="AJ83" s="793">
        <f t="shared" si="88"/>
        <v>18797</v>
      </c>
      <c r="AK83" s="793">
        <f t="shared" si="70"/>
        <v>28560</v>
      </c>
      <c r="AL83" s="793">
        <f t="shared" si="71"/>
        <v>365</v>
      </c>
      <c r="AM83" s="793">
        <f t="shared" si="72"/>
        <v>9044</v>
      </c>
      <c r="AN83" s="805">
        <f t="shared" si="73"/>
        <v>18807</v>
      </c>
      <c r="AO83" s="805">
        <f t="shared" si="74"/>
        <v>9753</v>
      </c>
      <c r="AP83" s="793">
        <f t="shared" si="75"/>
        <v>9753</v>
      </c>
      <c r="AQ83" s="793">
        <f t="shared" si="76"/>
        <v>28560</v>
      </c>
      <c r="AR83" s="793">
        <f t="shared" si="77"/>
        <v>337</v>
      </c>
      <c r="AS83" s="793">
        <f t="shared" si="78"/>
        <v>8350</v>
      </c>
      <c r="AT83" s="793">
        <f t="shared" si="79"/>
        <v>27157</v>
      </c>
      <c r="AU83" s="793">
        <f t="shared" si="80"/>
        <v>1403</v>
      </c>
      <c r="AV83" s="793">
        <f t="shared" si="81"/>
        <v>1403</v>
      </c>
      <c r="AW83" s="793">
        <f t="shared" si="82"/>
        <v>28560</v>
      </c>
      <c r="AX83" s="793">
        <f>IF(AND(F83&gt;$AP$3,F83&lt;$AV$3),$AV$3-F83+1,IF(H83&lt;=$AP$3,0,IF(H83&gt;$AV$3,$AV$3-$AP$3,H83-$AP$3)))</f>
        <v>0</v>
      </c>
      <c r="AY83" s="793">
        <f>ROUND(AW83*C83*AX83/365,0)</f>
        <v>0</v>
      </c>
      <c r="AZ83" s="793">
        <f>+AT83+AY83</f>
        <v>27157</v>
      </c>
      <c r="BA83" s="793">
        <f t="shared" si="90"/>
        <v>1403</v>
      </c>
    </row>
    <row r="84" spans="1:53" ht="15" customHeight="1" x14ac:dyDescent="0.25">
      <c r="A84" s="842" t="s">
        <v>1187</v>
      </c>
      <c r="B84" s="843" t="s">
        <v>1212</v>
      </c>
      <c r="C84" s="778">
        <f t="shared" si="58"/>
        <v>0.31666666666666665</v>
      </c>
      <c r="D84" s="844">
        <v>3</v>
      </c>
      <c r="E84" s="844" t="s">
        <v>723</v>
      </c>
      <c r="F84" s="845">
        <v>44361</v>
      </c>
      <c r="G84" s="845">
        <v>44361</v>
      </c>
      <c r="H84" s="781">
        <f t="shared" si="59"/>
        <v>45456</v>
      </c>
      <c r="I84" s="1359">
        <f>18660+5720.34</f>
        <v>24380.34</v>
      </c>
      <c r="J84" s="805">
        <f t="shared" si="60"/>
        <v>1219.0170000000001</v>
      </c>
      <c r="K84" s="805"/>
      <c r="L84" s="793">
        <v>0</v>
      </c>
      <c r="M84" s="793">
        <v>0</v>
      </c>
      <c r="N84" s="793">
        <v>0</v>
      </c>
      <c r="O84" s="793">
        <v>0</v>
      </c>
      <c r="P84" s="793">
        <v>0</v>
      </c>
      <c r="Q84" s="793">
        <v>0</v>
      </c>
      <c r="R84" s="793">
        <v>0</v>
      </c>
      <c r="S84" s="793">
        <v>0</v>
      </c>
      <c r="T84" s="793">
        <v>0</v>
      </c>
      <c r="U84" s="793">
        <v>0</v>
      </c>
      <c r="V84" s="793">
        <v>0</v>
      </c>
      <c r="W84" s="793">
        <v>0</v>
      </c>
      <c r="X84" s="793">
        <v>0</v>
      </c>
      <c r="Y84" s="793">
        <v>0</v>
      </c>
      <c r="Z84" s="793">
        <v>0</v>
      </c>
      <c r="AA84" s="793">
        <v>0</v>
      </c>
      <c r="AB84" s="793">
        <v>0</v>
      </c>
      <c r="AC84" s="793">
        <v>0</v>
      </c>
      <c r="AD84" s="793">
        <f t="shared" si="64"/>
        <v>0</v>
      </c>
      <c r="AE84" s="793">
        <f t="shared" si="65"/>
        <v>24380.34</v>
      </c>
      <c r="AF84" s="793">
        <f t="shared" si="66"/>
        <v>291</v>
      </c>
      <c r="AG84" s="793">
        <f t="shared" si="67"/>
        <v>6155</v>
      </c>
      <c r="AH84" s="805">
        <f t="shared" si="68"/>
        <v>6155</v>
      </c>
      <c r="AI84" s="805">
        <f t="shared" si="69"/>
        <v>18225.34</v>
      </c>
      <c r="AJ84" s="793">
        <f t="shared" si="88"/>
        <v>18225.34</v>
      </c>
      <c r="AK84" s="793">
        <f t="shared" si="70"/>
        <v>24380.34</v>
      </c>
      <c r="AL84" s="793">
        <f t="shared" si="71"/>
        <v>365</v>
      </c>
      <c r="AM84" s="793">
        <f t="shared" si="72"/>
        <v>7720</v>
      </c>
      <c r="AN84" s="805">
        <f t="shared" si="73"/>
        <v>13875</v>
      </c>
      <c r="AO84" s="805">
        <f t="shared" si="74"/>
        <v>10505.34</v>
      </c>
      <c r="AP84" s="793">
        <f t="shared" si="75"/>
        <v>10505.34</v>
      </c>
      <c r="AQ84" s="793">
        <f t="shared" si="76"/>
        <v>24380.34</v>
      </c>
      <c r="AR84" s="793">
        <f t="shared" si="77"/>
        <v>366</v>
      </c>
      <c r="AS84" s="793">
        <f t="shared" si="78"/>
        <v>7742</v>
      </c>
      <c r="AT84" s="793">
        <f t="shared" si="79"/>
        <v>21617</v>
      </c>
      <c r="AU84" s="793">
        <f t="shared" si="80"/>
        <v>2763.34</v>
      </c>
      <c r="AV84" s="793">
        <f t="shared" si="81"/>
        <v>2763.34</v>
      </c>
      <c r="AW84" s="793">
        <f t="shared" si="82"/>
        <v>24380.34</v>
      </c>
      <c r="AX84" s="793">
        <f>IF(AND(F84&gt;$AP$3,F84&lt;$AV$3),$AV$3-F84+1,IF(H84&lt;=$AP$3,0,IF(H84&gt;$AV$3,$AV$3-$AP$3,H84-$AP$3)))</f>
        <v>74</v>
      </c>
      <c r="AY84" s="793">
        <f>ROUND(AW84*C84*AX84/365,0)</f>
        <v>1565</v>
      </c>
      <c r="AZ84" s="793">
        <f>+AT84+AY84</f>
        <v>23182</v>
      </c>
      <c r="BA84" s="793">
        <f>+AW84-AZ84</f>
        <v>1198.3400000000001</v>
      </c>
    </row>
    <row r="85" spans="1:53" ht="15" customHeight="1" x14ac:dyDescent="0.25">
      <c r="A85" s="842" t="s">
        <v>1187</v>
      </c>
      <c r="B85" s="843" t="s">
        <v>1213</v>
      </c>
      <c r="C85" s="778">
        <f t="shared" si="58"/>
        <v>0.31666666666666665</v>
      </c>
      <c r="D85" s="844">
        <v>3</v>
      </c>
      <c r="E85" s="844" t="s">
        <v>723</v>
      </c>
      <c r="F85" s="845">
        <v>44298</v>
      </c>
      <c r="G85" s="845">
        <v>44298</v>
      </c>
      <c r="H85" s="781">
        <f t="shared" si="59"/>
        <v>45393</v>
      </c>
      <c r="I85" s="1359">
        <f>9745.76</f>
        <v>9745.76</v>
      </c>
      <c r="J85" s="805">
        <f t="shared" si="60"/>
        <v>487.28800000000001</v>
      </c>
      <c r="K85" s="805"/>
      <c r="L85" s="793">
        <v>0</v>
      </c>
      <c r="M85" s="793">
        <v>0</v>
      </c>
      <c r="N85" s="793">
        <v>0</v>
      </c>
      <c r="O85" s="793">
        <v>0</v>
      </c>
      <c r="P85" s="793">
        <v>0</v>
      </c>
      <c r="Q85" s="793">
        <v>0</v>
      </c>
      <c r="R85" s="793">
        <v>0</v>
      </c>
      <c r="S85" s="793">
        <v>0</v>
      </c>
      <c r="T85" s="793">
        <v>0</v>
      </c>
      <c r="U85" s="793">
        <v>0</v>
      </c>
      <c r="V85" s="793">
        <v>0</v>
      </c>
      <c r="W85" s="793">
        <v>0</v>
      </c>
      <c r="X85" s="793">
        <v>0</v>
      </c>
      <c r="Y85" s="793">
        <v>0</v>
      </c>
      <c r="Z85" s="793">
        <v>0</v>
      </c>
      <c r="AA85" s="793">
        <v>0</v>
      </c>
      <c r="AB85" s="793">
        <v>0</v>
      </c>
      <c r="AC85" s="793">
        <v>0</v>
      </c>
      <c r="AD85" s="793">
        <f t="shared" si="64"/>
        <v>0</v>
      </c>
      <c r="AE85" s="793">
        <f t="shared" si="65"/>
        <v>9745.76</v>
      </c>
      <c r="AF85" s="793">
        <f t="shared" si="66"/>
        <v>354</v>
      </c>
      <c r="AG85" s="793">
        <f t="shared" si="67"/>
        <v>2993</v>
      </c>
      <c r="AH85" s="805">
        <f t="shared" si="68"/>
        <v>2993</v>
      </c>
      <c r="AI85" s="805">
        <f t="shared" si="69"/>
        <v>6752.76</v>
      </c>
      <c r="AJ85" s="793">
        <f t="shared" si="88"/>
        <v>6752.76</v>
      </c>
      <c r="AK85" s="793">
        <f t="shared" si="70"/>
        <v>9745.76</v>
      </c>
      <c r="AL85" s="793">
        <f t="shared" si="71"/>
        <v>365</v>
      </c>
      <c r="AM85" s="793">
        <f t="shared" si="72"/>
        <v>3086</v>
      </c>
      <c r="AN85" s="805">
        <f t="shared" si="73"/>
        <v>6079</v>
      </c>
      <c r="AO85" s="805">
        <f t="shared" si="74"/>
        <v>3666.76</v>
      </c>
      <c r="AP85" s="793">
        <f t="shared" si="75"/>
        <v>3666.76</v>
      </c>
      <c r="AQ85" s="793">
        <f t="shared" si="76"/>
        <v>9745.76</v>
      </c>
      <c r="AR85" s="793">
        <f t="shared" si="77"/>
        <v>366</v>
      </c>
      <c r="AS85" s="793">
        <f t="shared" si="78"/>
        <v>3095</v>
      </c>
      <c r="AT85" s="793">
        <f t="shared" si="79"/>
        <v>9174</v>
      </c>
      <c r="AU85" s="793">
        <f t="shared" si="80"/>
        <v>571.76000000000022</v>
      </c>
      <c r="AV85" s="793">
        <f t="shared" si="81"/>
        <v>571.76000000000022</v>
      </c>
      <c r="AW85" s="793">
        <f t="shared" si="82"/>
        <v>9745.76</v>
      </c>
      <c r="AX85" s="793">
        <f t="shared" si="83"/>
        <v>11</v>
      </c>
      <c r="AY85" s="793">
        <f t="shared" si="84"/>
        <v>93</v>
      </c>
      <c r="AZ85" s="793">
        <f t="shared" si="85"/>
        <v>9267</v>
      </c>
      <c r="BA85" s="793">
        <f t="shared" si="90"/>
        <v>478.76000000000022</v>
      </c>
    </row>
    <row r="86" spans="1:53" ht="15" customHeight="1" x14ac:dyDescent="0.25">
      <c r="A86" s="842" t="s">
        <v>1187</v>
      </c>
      <c r="B86" s="843" t="s">
        <v>1213</v>
      </c>
      <c r="C86" s="778">
        <f t="shared" si="58"/>
        <v>0.31666666666666665</v>
      </c>
      <c r="D86" s="844">
        <v>3</v>
      </c>
      <c r="E86" s="844" t="s">
        <v>723</v>
      </c>
      <c r="F86" s="845">
        <v>44364</v>
      </c>
      <c r="G86" s="845">
        <v>44364</v>
      </c>
      <c r="H86" s="781">
        <f t="shared" si="59"/>
        <v>45459</v>
      </c>
      <c r="I86" s="1359">
        <v>8898</v>
      </c>
      <c r="J86" s="805">
        <f t="shared" si="60"/>
        <v>444.90000000000003</v>
      </c>
      <c r="K86" s="805"/>
      <c r="L86" s="793">
        <v>0</v>
      </c>
      <c r="M86" s="793">
        <v>0</v>
      </c>
      <c r="N86" s="793">
        <v>0</v>
      </c>
      <c r="O86" s="793">
        <v>0</v>
      </c>
      <c r="P86" s="793">
        <v>0</v>
      </c>
      <c r="Q86" s="793">
        <v>0</v>
      </c>
      <c r="R86" s="793">
        <v>0</v>
      </c>
      <c r="S86" s="793">
        <v>0</v>
      </c>
      <c r="T86" s="793">
        <v>0</v>
      </c>
      <c r="U86" s="793">
        <v>0</v>
      </c>
      <c r="V86" s="793">
        <v>0</v>
      </c>
      <c r="W86" s="793">
        <v>0</v>
      </c>
      <c r="X86" s="793">
        <v>0</v>
      </c>
      <c r="Y86" s="793">
        <v>0</v>
      </c>
      <c r="Z86" s="793">
        <v>0</v>
      </c>
      <c r="AA86" s="793">
        <v>0</v>
      </c>
      <c r="AB86" s="793">
        <v>0</v>
      </c>
      <c r="AC86" s="793">
        <v>0</v>
      </c>
      <c r="AD86" s="793">
        <f t="shared" si="64"/>
        <v>0</v>
      </c>
      <c r="AE86" s="793">
        <f t="shared" si="65"/>
        <v>8898</v>
      </c>
      <c r="AF86" s="793">
        <f t="shared" si="66"/>
        <v>288</v>
      </c>
      <c r="AG86" s="793">
        <f t="shared" si="67"/>
        <v>2223</v>
      </c>
      <c r="AH86" s="805">
        <f t="shared" si="68"/>
        <v>2223</v>
      </c>
      <c r="AI86" s="805">
        <f t="shared" si="69"/>
        <v>6675</v>
      </c>
      <c r="AJ86" s="793">
        <f t="shared" si="88"/>
        <v>6675</v>
      </c>
      <c r="AK86" s="793">
        <f t="shared" si="70"/>
        <v>8898</v>
      </c>
      <c r="AL86" s="793">
        <f t="shared" si="71"/>
        <v>365</v>
      </c>
      <c r="AM86" s="793">
        <f t="shared" si="72"/>
        <v>2818</v>
      </c>
      <c r="AN86" s="805">
        <f t="shared" si="73"/>
        <v>5041</v>
      </c>
      <c r="AO86" s="805">
        <f t="shared" si="74"/>
        <v>3857</v>
      </c>
      <c r="AP86" s="793">
        <f t="shared" si="75"/>
        <v>3857</v>
      </c>
      <c r="AQ86" s="793">
        <f t="shared" si="76"/>
        <v>8898</v>
      </c>
      <c r="AR86" s="793">
        <f t="shared" si="77"/>
        <v>366</v>
      </c>
      <c r="AS86" s="793">
        <f t="shared" si="78"/>
        <v>2825</v>
      </c>
      <c r="AT86" s="793">
        <f t="shared" si="79"/>
        <v>7866</v>
      </c>
      <c r="AU86" s="793">
        <f t="shared" si="80"/>
        <v>1032</v>
      </c>
      <c r="AV86" s="793">
        <f t="shared" si="81"/>
        <v>1032</v>
      </c>
      <c r="AW86" s="793">
        <f t="shared" si="82"/>
        <v>8898</v>
      </c>
      <c r="AX86" s="793">
        <f t="shared" si="83"/>
        <v>77</v>
      </c>
      <c r="AY86" s="793">
        <f t="shared" si="84"/>
        <v>594</v>
      </c>
      <c r="AZ86" s="793">
        <f t="shared" si="85"/>
        <v>8460</v>
      </c>
      <c r="BA86" s="793">
        <f t="shared" si="90"/>
        <v>438</v>
      </c>
    </row>
    <row r="87" spans="1:53" ht="15" customHeight="1" x14ac:dyDescent="0.25">
      <c r="A87" s="842" t="s">
        <v>1187</v>
      </c>
      <c r="B87" s="843" t="s">
        <v>1214</v>
      </c>
      <c r="C87" s="778">
        <f t="shared" si="58"/>
        <v>0.31666666666666665</v>
      </c>
      <c r="D87" s="844">
        <v>3</v>
      </c>
      <c r="E87" s="844" t="s">
        <v>723</v>
      </c>
      <c r="F87" s="845">
        <v>44413</v>
      </c>
      <c r="G87" s="845">
        <v>44413</v>
      </c>
      <c r="H87" s="781">
        <f t="shared" si="59"/>
        <v>45508</v>
      </c>
      <c r="I87" s="1359">
        <f>28560+1300</f>
        <v>29860</v>
      </c>
      <c r="J87" s="805">
        <f t="shared" si="60"/>
        <v>1493</v>
      </c>
      <c r="K87" s="805"/>
      <c r="L87" s="793">
        <v>0</v>
      </c>
      <c r="M87" s="793">
        <v>0</v>
      </c>
      <c r="N87" s="793">
        <v>0</v>
      </c>
      <c r="O87" s="793">
        <v>0</v>
      </c>
      <c r="P87" s="793">
        <v>0</v>
      </c>
      <c r="Q87" s="793">
        <v>0</v>
      </c>
      <c r="R87" s="793">
        <v>0</v>
      </c>
      <c r="S87" s="793">
        <v>0</v>
      </c>
      <c r="T87" s="793">
        <v>0</v>
      </c>
      <c r="U87" s="793">
        <v>0</v>
      </c>
      <c r="V87" s="793">
        <v>0</v>
      </c>
      <c r="W87" s="793">
        <v>0</v>
      </c>
      <c r="X87" s="793">
        <v>0</v>
      </c>
      <c r="Y87" s="793">
        <v>0</v>
      </c>
      <c r="Z87" s="793">
        <v>0</v>
      </c>
      <c r="AA87" s="793">
        <v>0</v>
      </c>
      <c r="AB87" s="793">
        <v>0</v>
      </c>
      <c r="AC87" s="793">
        <v>0</v>
      </c>
      <c r="AD87" s="793">
        <f t="shared" si="64"/>
        <v>0</v>
      </c>
      <c r="AE87" s="793">
        <f t="shared" si="65"/>
        <v>29860</v>
      </c>
      <c r="AF87" s="793">
        <f t="shared" si="66"/>
        <v>239</v>
      </c>
      <c r="AG87" s="793">
        <f t="shared" si="67"/>
        <v>6192</v>
      </c>
      <c r="AH87" s="805">
        <f t="shared" si="68"/>
        <v>6192</v>
      </c>
      <c r="AI87" s="805">
        <f t="shared" si="69"/>
        <v>23668</v>
      </c>
      <c r="AJ87" s="793">
        <f t="shared" si="88"/>
        <v>23668</v>
      </c>
      <c r="AK87" s="793">
        <f t="shared" si="70"/>
        <v>29860</v>
      </c>
      <c r="AL87" s="793">
        <f t="shared" si="71"/>
        <v>365</v>
      </c>
      <c r="AM87" s="793">
        <f t="shared" si="72"/>
        <v>9456</v>
      </c>
      <c r="AN87" s="805">
        <f t="shared" si="73"/>
        <v>15648</v>
      </c>
      <c r="AO87" s="805">
        <f t="shared" si="74"/>
        <v>14212</v>
      </c>
      <c r="AP87" s="793">
        <f t="shared" si="75"/>
        <v>14212</v>
      </c>
      <c r="AQ87" s="793">
        <f t="shared" si="76"/>
        <v>29860</v>
      </c>
      <c r="AR87" s="793">
        <f t="shared" si="77"/>
        <v>366</v>
      </c>
      <c r="AS87" s="793">
        <f t="shared" si="78"/>
        <v>9482</v>
      </c>
      <c r="AT87" s="793">
        <f t="shared" si="79"/>
        <v>25130</v>
      </c>
      <c r="AU87" s="793">
        <f t="shared" si="80"/>
        <v>4730</v>
      </c>
      <c r="AV87" s="793">
        <f t="shared" si="81"/>
        <v>4730</v>
      </c>
      <c r="AW87" s="793">
        <f t="shared" si="82"/>
        <v>29860</v>
      </c>
      <c r="AX87" s="793">
        <f t="shared" si="83"/>
        <v>126</v>
      </c>
      <c r="AY87" s="793">
        <f t="shared" si="84"/>
        <v>3264</v>
      </c>
      <c r="AZ87" s="793">
        <f t="shared" si="85"/>
        <v>28394</v>
      </c>
      <c r="BA87" s="793">
        <f t="shared" si="90"/>
        <v>1466</v>
      </c>
    </row>
    <row r="88" spans="1:53" ht="15" customHeight="1" x14ac:dyDescent="0.25">
      <c r="A88" s="842" t="s">
        <v>1187</v>
      </c>
      <c r="B88" s="843" t="s">
        <v>1214</v>
      </c>
      <c r="C88" s="778">
        <f t="shared" si="58"/>
        <v>0.31666666666666665</v>
      </c>
      <c r="D88" s="844">
        <v>3</v>
      </c>
      <c r="E88" s="844" t="s">
        <v>723</v>
      </c>
      <c r="F88" s="845">
        <v>44456</v>
      </c>
      <c r="G88" s="845">
        <v>44456</v>
      </c>
      <c r="H88" s="781">
        <f t="shared" si="59"/>
        <v>45551</v>
      </c>
      <c r="I88" s="1359">
        <f>28560+38228.82</f>
        <v>66788.820000000007</v>
      </c>
      <c r="J88" s="805">
        <f t="shared" si="60"/>
        <v>3339.4410000000007</v>
      </c>
      <c r="K88" s="805"/>
      <c r="L88" s="793">
        <v>0</v>
      </c>
      <c r="M88" s="793">
        <v>0</v>
      </c>
      <c r="N88" s="793">
        <v>0</v>
      </c>
      <c r="O88" s="793">
        <v>0</v>
      </c>
      <c r="P88" s="793">
        <v>0</v>
      </c>
      <c r="Q88" s="793">
        <v>0</v>
      </c>
      <c r="R88" s="793">
        <v>0</v>
      </c>
      <c r="S88" s="793">
        <v>0</v>
      </c>
      <c r="T88" s="793">
        <v>0</v>
      </c>
      <c r="U88" s="793">
        <v>0</v>
      </c>
      <c r="V88" s="793">
        <v>0</v>
      </c>
      <c r="W88" s="793">
        <v>0</v>
      </c>
      <c r="X88" s="793">
        <v>0</v>
      </c>
      <c r="Y88" s="793">
        <v>0</v>
      </c>
      <c r="Z88" s="793">
        <v>0</v>
      </c>
      <c r="AA88" s="793">
        <v>0</v>
      </c>
      <c r="AB88" s="793">
        <v>0</v>
      </c>
      <c r="AC88" s="793">
        <v>0</v>
      </c>
      <c r="AD88" s="793">
        <f t="shared" si="64"/>
        <v>0</v>
      </c>
      <c r="AE88" s="793">
        <f t="shared" si="65"/>
        <v>66788.820000000007</v>
      </c>
      <c r="AF88" s="793">
        <f t="shared" si="66"/>
        <v>196</v>
      </c>
      <c r="AG88" s="793">
        <f t="shared" si="67"/>
        <v>11357</v>
      </c>
      <c r="AH88" s="805">
        <f t="shared" si="68"/>
        <v>11357</v>
      </c>
      <c r="AI88" s="805">
        <f t="shared" si="69"/>
        <v>55431.820000000007</v>
      </c>
      <c r="AJ88" s="793">
        <f t="shared" si="88"/>
        <v>55431.820000000007</v>
      </c>
      <c r="AK88" s="793">
        <f t="shared" si="70"/>
        <v>66788.820000000007</v>
      </c>
      <c r="AL88" s="793">
        <f t="shared" si="71"/>
        <v>365</v>
      </c>
      <c r="AM88" s="793">
        <f t="shared" si="72"/>
        <v>21150</v>
      </c>
      <c r="AN88" s="805">
        <f t="shared" si="73"/>
        <v>32507</v>
      </c>
      <c r="AO88" s="805">
        <f t="shared" si="74"/>
        <v>34281.820000000007</v>
      </c>
      <c r="AP88" s="793">
        <f t="shared" si="75"/>
        <v>34281.820000000007</v>
      </c>
      <c r="AQ88" s="793">
        <f t="shared" si="76"/>
        <v>66788.820000000007</v>
      </c>
      <c r="AR88" s="793">
        <f t="shared" si="77"/>
        <v>366</v>
      </c>
      <c r="AS88" s="793">
        <f t="shared" si="78"/>
        <v>21208</v>
      </c>
      <c r="AT88" s="793">
        <f t="shared" si="79"/>
        <v>53715</v>
      </c>
      <c r="AU88" s="793">
        <f t="shared" si="80"/>
        <v>13073.820000000007</v>
      </c>
      <c r="AV88" s="793">
        <f t="shared" si="81"/>
        <v>13073.820000000007</v>
      </c>
      <c r="AW88" s="793">
        <f t="shared" si="82"/>
        <v>66788.820000000007</v>
      </c>
      <c r="AX88" s="793">
        <f t="shared" si="83"/>
        <v>169</v>
      </c>
      <c r="AY88" s="793">
        <f t="shared" si="84"/>
        <v>9793</v>
      </c>
      <c r="AZ88" s="793">
        <f t="shared" si="85"/>
        <v>63508</v>
      </c>
      <c r="BA88" s="793">
        <f t="shared" si="90"/>
        <v>3280.820000000007</v>
      </c>
    </row>
    <row r="89" spans="1:53" ht="15" customHeight="1" x14ac:dyDescent="0.25">
      <c r="A89" s="842" t="s">
        <v>1187</v>
      </c>
      <c r="B89" s="843" t="s">
        <v>1215</v>
      </c>
      <c r="C89" s="778">
        <f t="shared" si="58"/>
        <v>0.31666666666666665</v>
      </c>
      <c r="D89" s="844">
        <v>3</v>
      </c>
      <c r="E89" s="844" t="s">
        <v>723</v>
      </c>
      <c r="F89" s="845">
        <v>44492</v>
      </c>
      <c r="G89" s="845">
        <v>44492</v>
      </c>
      <c r="H89" s="781">
        <f t="shared" si="59"/>
        <v>45587</v>
      </c>
      <c r="I89" s="1359">
        <f>82500+678500+19100-500</f>
        <v>779600</v>
      </c>
      <c r="J89" s="805">
        <f t="shared" si="60"/>
        <v>38980</v>
      </c>
      <c r="K89" s="805"/>
      <c r="L89" s="793">
        <v>0</v>
      </c>
      <c r="M89" s="793">
        <v>0</v>
      </c>
      <c r="N89" s="793">
        <v>0</v>
      </c>
      <c r="O89" s="793">
        <v>0</v>
      </c>
      <c r="P89" s="793">
        <v>0</v>
      </c>
      <c r="Q89" s="793">
        <v>0</v>
      </c>
      <c r="R89" s="793">
        <v>0</v>
      </c>
      <c r="S89" s="793">
        <v>0</v>
      </c>
      <c r="T89" s="793">
        <v>0</v>
      </c>
      <c r="U89" s="793">
        <v>0</v>
      </c>
      <c r="V89" s="793">
        <v>0</v>
      </c>
      <c r="W89" s="793">
        <v>0</v>
      </c>
      <c r="X89" s="793">
        <v>0</v>
      </c>
      <c r="Y89" s="793">
        <v>0</v>
      </c>
      <c r="Z89" s="793">
        <v>0</v>
      </c>
      <c r="AA89" s="793">
        <v>0</v>
      </c>
      <c r="AB89" s="793">
        <v>0</v>
      </c>
      <c r="AC89" s="793">
        <v>0</v>
      </c>
      <c r="AD89" s="793">
        <f t="shared" si="64"/>
        <v>0</v>
      </c>
      <c r="AE89" s="793">
        <f t="shared" si="65"/>
        <v>779600</v>
      </c>
      <c r="AF89" s="793">
        <f t="shared" si="66"/>
        <v>160</v>
      </c>
      <c r="AG89" s="793">
        <f t="shared" si="67"/>
        <v>108218</v>
      </c>
      <c r="AH89" s="805">
        <f t="shared" si="68"/>
        <v>108218</v>
      </c>
      <c r="AI89" s="805">
        <f t="shared" si="69"/>
        <v>671382</v>
      </c>
      <c r="AJ89" s="793">
        <f t="shared" si="88"/>
        <v>671382</v>
      </c>
      <c r="AK89" s="793">
        <f t="shared" si="70"/>
        <v>779600</v>
      </c>
      <c r="AL89" s="793">
        <f t="shared" si="71"/>
        <v>365</v>
      </c>
      <c r="AM89" s="793">
        <f t="shared" si="72"/>
        <v>246873</v>
      </c>
      <c r="AN89" s="805">
        <f t="shared" si="73"/>
        <v>355091</v>
      </c>
      <c r="AO89" s="805">
        <f t="shared" si="74"/>
        <v>424509</v>
      </c>
      <c r="AP89" s="793">
        <f t="shared" si="75"/>
        <v>424509</v>
      </c>
      <c r="AQ89" s="793">
        <f t="shared" si="76"/>
        <v>779600</v>
      </c>
      <c r="AR89" s="793">
        <f t="shared" si="77"/>
        <v>366</v>
      </c>
      <c r="AS89" s="793">
        <f t="shared" si="78"/>
        <v>247550</v>
      </c>
      <c r="AT89" s="793">
        <f t="shared" si="79"/>
        <v>602641</v>
      </c>
      <c r="AU89" s="793">
        <f t="shared" si="80"/>
        <v>176959</v>
      </c>
      <c r="AV89" s="793">
        <f t="shared" si="81"/>
        <v>176959</v>
      </c>
      <c r="AW89" s="793">
        <f t="shared" si="82"/>
        <v>779600</v>
      </c>
      <c r="AX89" s="793">
        <f t="shared" si="83"/>
        <v>205</v>
      </c>
      <c r="AY89" s="793">
        <f t="shared" si="84"/>
        <v>138655</v>
      </c>
      <c r="AZ89" s="793">
        <f t="shared" si="85"/>
        <v>741296</v>
      </c>
      <c r="BA89" s="793">
        <f t="shared" si="90"/>
        <v>38304</v>
      </c>
    </row>
    <row r="90" spans="1:53" ht="15" customHeight="1" x14ac:dyDescent="0.25">
      <c r="A90" s="842" t="s">
        <v>1187</v>
      </c>
      <c r="B90" s="843" t="s">
        <v>1216</v>
      </c>
      <c r="C90" s="778">
        <f t="shared" si="58"/>
        <v>0.31666666666666665</v>
      </c>
      <c r="D90" s="844">
        <v>3</v>
      </c>
      <c r="E90" s="844" t="s">
        <v>723</v>
      </c>
      <c r="F90" s="845">
        <v>44501</v>
      </c>
      <c r="G90" s="845">
        <v>44501</v>
      </c>
      <c r="H90" s="781">
        <f t="shared" si="59"/>
        <v>45596</v>
      </c>
      <c r="I90" s="1359">
        <f>82500+2700</f>
        <v>85200</v>
      </c>
      <c r="J90" s="805">
        <f t="shared" si="60"/>
        <v>4260</v>
      </c>
      <c r="K90" s="805"/>
      <c r="L90" s="793">
        <v>0</v>
      </c>
      <c r="M90" s="793">
        <v>0</v>
      </c>
      <c r="N90" s="793">
        <v>0</v>
      </c>
      <c r="O90" s="793">
        <v>0</v>
      </c>
      <c r="P90" s="793">
        <v>0</v>
      </c>
      <c r="Q90" s="793">
        <v>0</v>
      </c>
      <c r="R90" s="793">
        <v>0</v>
      </c>
      <c r="S90" s="793">
        <v>0</v>
      </c>
      <c r="T90" s="793">
        <v>0</v>
      </c>
      <c r="U90" s="793">
        <v>0</v>
      </c>
      <c r="V90" s="793">
        <v>0</v>
      </c>
      <c r="W90" s="793">
        <v>0</v>
      </c>
      <c r="X90" s="793">
        <v>0</v>
      </c>
      <c r="Y90" s="793">
        <v>0</v>
      </c>
      <c r="Z90" s="793">
        <v>0</v>
      </c>
      <c r="AA90" s="793">
        <v>0</v>
      </c>
      <c r="AB90" s="793">
        <v>0</v>
      </c>
      <c r="AC90" s="793">
        <v>0</v>
      </c>
      <c r="AD90" s="793">
        <f t="shared" si="64"/>
        <v>0</v>
      </c>
      <c r="AE90" s="793">
        <f t="shared" si="65"/>
        <v>85200</v>
      </c>
      <c r="AF90" s="793">
        <f t="shared" si="66"/>
        <v>151</v>
      </c>
      <c r="AG90" s="793">
        <f t="shared" si="67"/>
        <v>11162</v>
      </c>
      <c r="AH90" s="805">
        <f t="shared" si="68"/>
        <v>11162</v>
      </c>
      <c r="AI90" s="805">
        <f t="shared" si="69"/>
        <v>74038</v>
      </c>
      <c r="AJ90" s="793">
        <f t="shared" si="88"/>
        <v>74038</v>
      </c>
      <c r="AK90" s="793">
        <f t="shared" si="70"/>
        <v>85200</v>
      </c>
      <c r="AL90" s="793">
        <f t="shared" si="71"/>
        <v>365</v>
      </c>
      <c r="AM90" s="793">
        <f t="shared" si="72"/>
        <v>26980</v>
      </c>
      <c r="AN90" s="805">
        <f t="shared" si="73"/>
        <v>38142</v>
      </c>
      <c r="AO90" s="805">
        <f t="shared" si="74"/>
        <v>47058</v>
      </c>
      <c r="AP90" s="793">
        <f t="shared" si="75"/>
        <v>47058</v>
      </c>
      <c r="AQ90" s="793">
        <f t="shared" si="76"/>
        <v>85200</v>
      </c>
      <c r="AR90" s="793">
        <f t="shared" si="77"/>
        <v>366</v>
      </c>
      <c r="AS90" s="793">
        <f t="shared" si="78"/>
        <v>27054</v>
      </c>
      <c r="AT90" s="793">
        <f t="shared" si="79"/>
        <v>65196</v>
      </c>
      <c r="AU90" s="793">
        <f t="shared" si="80"/>
        <v>20004</v>
      </c>
      <c r="AV90" s="793">
        <f t="shared" si="81"/>
        <v>20004</v>
      </c>
      <c r="AW90" s="793">
        <f t="shared" si="82"/>
        <v>85200</v>
      </c>
      <c r="AX90" s="793">
        <f t="shared" si="83"/>
        <v>214</v>
      </c>
      <c r="AY90" s="793">
        <f t="shared" si="84"/>
        <v>15818</v>
      </c>
      <c r="AZ90" s="793">
        <f t="shared" si="85"/>
        <v>81014</v>
      </c>
      <c r="BA90" s="793">
        <f t="shared" si="90"/>
        <v>4186</v>
      </c>
    </row>
    <row r="91" spans="1:53" ht="15" customHeight="1" x14ac:dyDescent="0.25">
      <c r="A91" s="842" t="s">
        <v>1187</v>
      </c>
      <c r="B91" s="843" t="s">
        <v>1216</v>
      </c>
      <c r="C91" s="778">
        <f t="shared" si="58"/>
        <v>0.31666666666666665</v>
      </c>
      <c r="D91" s="844">
        <v>3</v>
      </c>
      <c r="E91" s="844" t="s">
        <v>723</v>
      </c>
      <c r="F91" s="845">
        <v>44608</v>
      </c>
      <c r="G91" s="845">
        <v>44608</v>
      </c>
      <c r="H91" s="781">
        <f t="shared" si="59"/>
        <v>45703</v>
      </c>
      <c r="I91" s="1359">
        <f>18930+590+8050+300+300+900</f>
        <v>29070</v>
      </c>
      <c r="J91" s="805">
        <f t="shared" si="60"/>
        <v>1453.5</v>
      </c>
      <c r="K91" s="805"/>
      <c r="L91" s="793">
        <v>0</v>
      </c>
      <c r="M91" s="793">
        <v>0</v>
      </c>
      <c r="N91" s="793">
        <v>0</v>
      </c>
      <c r="O91" s="793">
        <v>0</v>
      </c>
      <c r="P91" s="793">
        <v>0</v>
      </c>
      <c r="Q91" s="793">
        <v>0</v>
      </c>
      <c r="R91" s="793">
        <v>0</v>
      </c>
      <c r="S91" s="793">
        <v>0</v>
      </c>
      <c r="T91" s="793">
        <v>0</v>
      </c>
      <c r="U91" s="793">
        <v>0</v>
      </c>
      <c r="V91" s="793">
        <v>0</v>
      </c>
      <c r="W91" s="793">
        <v>0</v>
      </c>
      <c r="X91" s="793">
        <v>0</v>
      </c>
      <c r="Y91" s="793">
        <v>0</v>
      </c>
      <c r="Z91" s="793">
        <v>0</v>
      </c>
      <c r="AA91" s="793">
        <v>0</v>
      </c>
      <c r="AB91" s="793">
        <v>0</v>
      </c>
      <c r="AC91" s="793">
        <v>0</v>
      </c>
      <c r="AD91" s="793">
        <f t="shared" si="64"/>
        <v>0</v>
      </c>
      <c r="AE91" s="793">
        <f t="shared" si="65"/>
        <v>29070</v>
      </c>
      <c r="AF91" s="793">
        <f t="shared" si="66"/>
        <v>44</v>
      </c>
      <c r="AG91" s="793">
        <f t="shared" si="67"/>
        <v>1110</v>
      </c>
      <c r="AH91" s="805">
        <f t="shared" si="68"/>
        <v>1110</v>
      </c>
      <c r="AI91" s="805">
        <f t="shared" si="69"/>
        <v>27960</v>
      </c>
      <c r="AJ91" s="793">
        <f t="shared" si="88"/>
        <v>27960</v>
      </c>
      <c r="AK91" s="793">
        <f t="shared" si="70"/>
        <v>29070</v>
      </c>
      <c r="AL91" s="793">
        <f t="shared" si="71"/>
        <v>365</v>
      </c>
      <c r="AM91" s="793">
        <f t="shared" si="72"/>
        <v>9206</v>
      </c>
      <c r="AN91" s="805">
        <f t="shared" si="73"/>
        <v>10316</v>
      </c>
      <c r="AO91" s="805">
        <f t="shared" si="74"/>
        <v>18754</v>
      </c>
      <c r="AP91" s="793">
        <f t="shared" si="75"/>
        <v>18754</v>
      </c>
      <c r="AQ91" s="793">
        <f t="shared" si="76"/>
        <v>29070</v>
      </c>
      <c r="AR91" s="793">
        <f t="shared" si="77"/>
        <v>366</v>
      </c>
      <c r="AS91" s="793">
        <f t="shared" si="78"/>
        <v>9231</v>
      </c>
      <c r="AT91" s="793">
        <f t="shared" si="79"/>
        <v>19547</v>
      </c>
      <c r="AU91" s="793">
        <f t="shared" si="80"/>
        <v>9523</v>
      </c>
      <c r="AV91" s="793">
        <f t="shared" si="81"/>
        <v>9523</v>
      </c>
      <c r="AW91" s="793">
        <f t="shared" si="82"/>
        <v>29070</v>
      </c>
      <c r="AX91" s="793">
        <f t="shared" si="83"/>
        <v>321</v>
      </c>
      <c r="AY91" s="793">
        <f t="shared" si="84"/>
        <v>8096</v>
      </c>
      <c r="AZ91" s="793">
        <f t="shared" si="85"/>
        <v>27643</v>
      </c>
      <c r="BA91" s="793">
        <f t="shared" si="90"/>
        <v>1427</v>
      </c>
    </row>
    <row r="92" spans="1:53" ht="15" customHeight="1" x14ac:dyDescent="0.25">
      <c r="A92" s="842" t="s">
        <v>1187</v>
      </c>
      <c r="B92" s="843" t="s">
        <v>1217</v>
      </c>
      <c r="C92" s="778">
        <f t="shared" si="58"/>
        <v>0.31666666666666665</v>
      </c>
      <c r="D92" s="844">
        <v>3</v>
      </c>
      <c r="E92" s="844" t="s">
        <v>723</v>
      </c>
      <c r="F92" s="845">
        <v>44641</v>
      </c>
      <c r="G92" s="845">
        <v>44641</v>
      </c>
      <c r="H92" s="781">
        <f t="shared" si="59"/>
        <v>45736</v>
      </c>
      <c r="I92" s="1359">
        <v>19038.12</v>
      </c>
      <c r="J92" s="805">
        <f t="shared" si="60"/>
        <v>951.90599999999995</v>
      </c>
      <c r="K92" s="805"/>
      <c r="L92" s="793">
        <v>0</v>
      </c>
      <c r="M92" s="793">
        <v>0</v>
      </c>
      <c r="N92" s="793">
        <v>0</v>
      </c>
      <c r="O92" s="793">
        <v>0</v>
      </c>
      <c r="P92" s="793">
        <v>0</v>
      </c>
      <c r="Q92" s="793">
        <v>0</v>
      </c>
      <c r="R92" s="793">
        <v>0</v>
      </c>
      <c r="S92" s="793">
        <v>0</v>
      </c>
      <c r="T92" s="793">
        <v>0</v>
      </c>
      <c r="U92" s="793">
        <v>0</v>
      </c>
      <c r="V92" s="793">
        <v>0</v>
      </c>
      <c r="W92" s="793">
        <v>0</v>
      </c>
      <c r="X92" s="793">
        <v>0</v>
      </c>
      <c r="Y92" s="793">
        <v>0</v>
      </c>
      <c r="Z92" s="793">
        <v>0</v>
      </c>
      <c r="AA92" s="793">
        <v>0</v>
      </c>
      <c r="AB92" s="793">
        <v>0</v>
      </c>
      <c r="AC92" s="793">
        <v>0</v>
      </c>
      <c r="AD92" s="793">
        <f t="shared" si="64"/>
        <v>0</v>
      </c>
      <c r="AE92" s="793">
        <f t="shared" si="65"/>
        <v>19038.12</v>
      </c>
      <c r="AF92" s="793">
        <f t="shared" si="66"/>
        <v>11</v>
      </c>
      <c r="AG92" s="793">
        <f t="shared" si="67"/>
        <v>182</v>
      </c>
      <c r="AH92" s="805">
        <f t="shared" si="68"/>
        <v>182</v>
      </c>
      <c r="AI92" s="805">
        <f t="shared" si="69"/>
        <v>18856.12</v>
      </c>
      <c r="AJ92" s="793">
        <f t="shared" si="88"/>
        <v>18856.12</v>
      </c>
      <c r="AK92" s="793">
        <f t="shared" si="70"/>
        <v>19038.12</v>
      </c>
      <c r="AL92" s="793">
        <f t="shared" si="71"/>
        <v>365</v>
      </c>
      <c r="AM92" s="793">
        <f t="shared" si="72"/>
        <v>6029</v>
      </c>
      <c r="AN92" s="805">
        <f t="shared" si="73"/>
        <v>6211</v>
      </c>
      <c r="AO92" s="805">
        <f t="shared" si="74"/>
        <v>12827.119999999999</v>
      </c>
      <c r="AP92" s="793">
        <f t="shared" si="75"/>
        <v>12827.119999999999</v>
      </c>
      <c r="AQ92" s="793">
        <f t="shared" si="76"/>
        <v>19038.12</v>
      </c>
      <c r="AR92" s="793">
        <f t="shared" si="77"/>
        <v>366</v>
      </c>
      <c r="AS92" s="793">
        <f t="shared" si="78"/>
        <v>6045</v>
      </c>
      <c r="AT92" s="793">
        <f t="shared" si="79"/>
        <v>12256</v>
      </c>
      <c r="AU92" s="793">
        <f t="shared" si="80"/>
        <v>6782.119999999999</v>
      </c>
      <c r="AV92" s="793">
        <f t="shared" si="81"/>
        <v>6782.119999999999</v>
      </c>
      <c r="AW92" s="793">
        <f t="shared" si="82"/>
        <v>19038.12</v>
      </c>
      <c r="AX92" s="793">
        <f t="shared" si="83"/>
        <v>354</v>
      </c>
      <c r="AY92" s="793">
        <f t="shared" si="84"/>
        <v>5847</v>
      </c>
      <c r="AZ92" s="793">
        <f t="shared" si="85"/>
        <v>18103</v>
      </c>
      <c r="BA92" s="793">
        <f t="shared" si="90"/>
        <v>935.11999999999898</v>
      </c>
    </row>
    <row r="93" spans="1:53" ht="15" customHeight="1" x14ac:dyDescent="0.25">
      <c r="A93" s="842" t="s">
        <v>1187</v>
      </c>
      <c r="B93" s="852" t="s">
        <v>1218</v>
      </c>
      <c r="C93" s="778">
        <f t="shared" si="58"/>
        <v>0.31666666666666665</v>
      </c>
      <c r="D93" s="844">
        <v>3</v>
      </c>
      <c r="E93" s="844" t="s">
        <v>677</v>
      </c>
      <c r="F93" s="853">
        <v>44790</v>
      </c>
      <c r="G93" s="845">
        <f t="shared" ref="G93:G108" si="91">F93</f>
        <v>44790</v>
      </c>
      <c r="H93" s="781">
        <f t="shared" si="59"/>
        <v>45885</v>
      </c>
      <c r="I93" s="1383">
        <v>11101.75</v>
      </c>
      <c r="J93" s="805">
        <f t="shared" si="60"/>
        <v>555.08749999999998</v>
      </c>
      <c r="K93" s="805"/>
      <c r="L93" s="793">
        <v>0</v>
      </c>
      <c r="M93" s="793">
        <v>0</v>
      </c>
      <c r="N93" s="793">
        <v>0</v>
      </c>
      <c r="O93" s="793">
        <v>0</v>
      </c>
      <c r="P93" s="793">
        <v>0</v>
      </c>
      <c r="Q93" s="793">
        <v>0</v>
      </c>
      <c r="R93" s="793">
        <v>0</v>
      </c>
      <c r="S93" s="793">
        <v>0</v>
      </c>
      <c r="T93" s="793">
        <v>0</v>
      </c>
      <c r="U93" s="793">
        <v>0</v>
      </c>
      <c r="V93" s="793">
        <v>0</v>
      </c>
      <c r="W93" s="793">
        <v>0</v>
      </c>
      <c r="X93" s="793">
        <v>0</v>
      </c>
      <c r="Y93" s="793">
        <v>0</v>
      </c>
      <c r="Z93" s="793">
        <v>0</v>
      </c>
      <c r="AA93" s="793">
        <v>0</v>
      </c>
      <c r="AB93" s="793">
        <v>0</v>
      </c>
      <c r="AC93" s="793">
        <v>0</v>
      </c>
      <c r="AD93" s="793">
        <f t="shared" si="64"/>
        <v>0</v>
      </c>
      <c r="AE93" s="793"/>
      <c r="AF93" s="793"/>
      <c r="AG93" s="793"/>
      <c r="AH93" s="805"/>
      <c r="AI93" s="805"/>
      <c r="AJ93" s="793">
        <f t="shared" si="88"/>
        <v>0</v>
      </c>
      <c r="AK93" s="793">
        <f t="shared" si="70"/>
        <v>11101.75</v>
      </c>
      <c r="AL93" s="793">
        <f t="shared" si="71"/>
        <v>227</v>
      </c>
      <c r="AM93" s="793">
        <f t="shared" si="72"/>
        <v>2186</v>
      </c>
      <c r="AN93" s="805">
        <f t="shared" si="73"/>
        <v>2186</v>
      </c>
      <c r="AO93" s="805">
        <f t="shared" si="74"/>
        <v>8915.75</v>
      </c>
      <c r="AP93" s="793">
        <f t="shared" si="75"/>
        <v>8915.75</v>
      </c>
      <c r="AQ93" s="793">
        <f t="shared" si="76"/>
        <v>11101.75</v>
      </c>
      <c r="AR93" s="793">
        <f t="shared" si="77"/>
        <v>366</v>
      </c>
      <c r="AS93" s="793">
        <f t="shared" si="78"/>
        <v>3525</v>
      </c>
      <c r="AT93" s="793">
        <f t="shared" si="79"/>
        <v>5711</v>
      </c>
      <c r="AU93" s="793">
        <f t="shared" si="80"/>
        <v>5390.75</v>
      </c>
      <c r="AV93" s="793">
        <f t="shared" si="81"/>
        <v>5390.75</v>
      </c>
      <c r="AW93" s="793">
        <f t="shared" si="82"/>
        <v>11101.75</v>
      </c>
      <c r="AX93" s="793">
        <f t="shared" si="83"/>
        <v>365</v>
      </c>
      <c r="AY93" s="793">
        <f t="shared" si="84"/>
        <v>3516</v>
      </c>
      <c r="AZ93" s="793">
        <f t="shared" si="85"/>
        <v>9227</v>
      </c>
      <c r="BA93" s="793">
        <f t="shared" si="90"/>
        <v>1874.75</v>
      </c>
    </row>
    <row r="94" spans="1:53" ht="15" customHeight="1" x14ac:dyDescent="0.25">
      <c r="A94" s="842" t="s">
        <v>1187</v>
      </c>
      <c r="B94" s="852" t="s">
        <v>1219</v>
      </c>
      <c r="C94" s="778">
        <f t="shared" si="58"/>
        <v>0.31666666666666665</v>
      </c>
      <c r="D94" s="844">
        <v>3</v>
      </c>
      <c r="E94" s="844" t="s">
        <v>677</v>
      </c>
      <c r="F94" s="853">
        <v>44707</v>
      </c>
      <c r="G94" s="845">
        <f t="shared" si="91"/>
        <v>44707</v>
      </c>
      <c r="H94" s="781">
        <f t="shared" si="59"/>
        <v>45802</v>
      </c>
      <c r="I94" s="1383">
        <v>56808</v>
      </c>
      <c r="J94" s="805">
        <f t="shared" si="60"/>
        <v>2840.4</v>
      </c>
      <c r="K94" s="805"/>
      <c r="L94" s="793">
        <v>0</v>
      </c>
      <c r="M94" s="793">
        <v>0</v>
      </c>
      <c r="N94" s="793">
        <v>0</v>
      </c>
      <c r="O94" s="793">
        <v>0</v>
      </c>
      <c r="P94" s="793">
        <v>0</v>
      </c>
      <c r="Q94" s="793">
        <v>0</v>
      </c>
      <c r="R94" s="793">
        <v>0</v>
      </c>
      <c r="S94" s="793">
        <v>0</v>
      </c>
      <c r="T94" s="793">
        <v>0</v>
      </c>
      <c r="U94" s="793">
        <v>0</v>
      </c>
      <c r="V94" s="793">
        <v>0</v>
      </c>
      <c r="W94" s="793">
        <v>0</v>
      </c>
      <c r="X94" s="793">
        <v>0</v>
      </c>
      <c r="Y94" s="793">
        <v>0</v>
      </c>
      <c r="Z94" s="793">
        <v>0</v>
      </c>
      <c r="AA94" s="793">
        <v>0</v>
      </c>
      <c r="AB94" s="793">
        <v>0</v>
      </c>
      <c r="AC94" s="793">
        <v>0</v>
      </c>
      <c r="AD94" s="793">
        <f t="shared" si="64"/>
        <v>0</v>
      </c>
      <c r="AE94" s="793"/>
      <c r="AF94" s="793"/>
      <c r="AG94" s="793"/>
      <c r="AH94" s="805"/>
      <c r="AI94" s="805"/>
      <c r="AJ94" s="793">
        <f t="shared" si="88"/>
        <v>0</v>
      </c>
      <c r="AK94" s="793">
        <f t="shared" si="70"/>
        <v>56808</v>
      </c>
      <c r="AL94" s="793">
        <f t="shared" si="71"/>
        <v>310</v>
      </c>
      <c r="AM94" s="793">
        <f t="shared" si="72"/>
        <v>15278</v>
      </c>
      <c r="AN94" s="805">
        <f t="shared" si="73"/>
        <v>15278</v>
      </c>
      <c r="AO94" s="805">
        <f t="shared" si="74"/>
        <v>41530</v>
      </c>
      <c r="AP94" s="793">
        <f t="shared" si="75"/>
        <v>41530</v>
      </c>
      <c r="AQ94" s="793">
        <f t="shared" si="76"/>
        <v>56808</v>
      </c>
      <c r="AR94" s="793">
        <f t="shared" si="77"/>
        <v>366</v>
      </c>
      <c r="AS94" s="793">
        <f t="shared" si="78"/>
        <v>18038</v>
      </c>
      <c r="AT94" s="793">
        <f t="shared" si="79"/>
        <v>33316</v>
      </c>
      <c r="AU94" s="793">
        <f t="shared" si="80"/>
        <v>23492</v>
      </c>
      <c r="AV94" s="793">
        <f t="shared" si="81"/>
        <v>23492</v>
      </c>
      <c r="AW94" s="793">
        <f t="shared" si="82"/>
        <v>56808</v>
      </c>
      <c r="AX94" s="793">
        <f t="shared" si="83"/>
        <v>365</v>
      </c>
      <c r="AY94" s="793">
        <f t="shared" si="84"/>
        <v>17989</v>
      </c>
      <c r="AZ94" s="793">
        <f t="shared" si="85"/>
        <v>51305</v>
      </c>
      <c r="BA94" s="793">
        <f t="shared" si="90"/>
        <v>5503</v>
      </c>
    </row>
    <row r="95" spans="1:53" ht="15" customHeight="1" x14ac:dyDescent="0.25">
      <c r="A95" s="842" t="s">
        <v>1187</v>
      </c>
      <c r="B95" s="852" t="s">
        <v>1219</v>
      </c>
      <c r="C95" s="778">
        <f t="shared" si="58"/>
        <v>0.31666666666666665</v>
      </c>
      <c r="D95" s="844">
        <v>3</v>
      </c>
      <c r="E95" s="844" t="s">
        <v>677</v>
      </c>
      <c r="F95" s="853">
        <v>44726</v>
      </c>
      <c r="G95" s="845">
        <f t="shared" si="91"/>
        <v>44726</v>
      </c>
      <c r="H95" s="781">
        <f t="shared" si="59"/>
        <v>45821</v>
      </c>
      <c r="I95" s="1383">
        <v>12280</v>
      </c>
      <c r="J95" s="805">
        <f t="shared" si="60"/>
        <v>614</v>
      </c>
      <c r="K95" s="805"/>
      <c r="L95" s="793">
        <v>0</v>
      </c>
      <c r="M95" s="793">
        <v>0</v>
      </c>
      <c r="N95" s="793">
        <v>0</v>
      </c>
      <c r="O95" s="793">
        <v>0</v>
      </c>
      <c r="P95" s="793">
        <v>0</v>
      </c>
      <c r="Q95" s="793">
        <v>0</v>
      </c>
      <c r="R95" s="793">
        <v>0</v>
      </c>
      <c r="S95" s="793">
        <v>0</v>
      </c>
      <c r="T95" s="793">
        <v>0</v>
      </c>
      <c r="U95" s="793">
        <v>0</v>
      </c>
      <c r="V95" s="793">
        <v>0</v>
      </c>
      <c r="W95" s="793">
        <v>0</v>
      </c>
      <c r="X95" s="793">
        <v>0</v>
      </c>
      <c r="Y95" s="793">
        <v>0</v>
      </c>
      <c r="Z95" s="793">
        <v>0</v>
      </c>
      <c r="AA95" s="793">
        <v>0</v>
      </c>
      <c r="AB95" s="793">
        <v>0</v>
      </c>
      <c r="AC95" s="793">
        <v>0</v>
      </c>
      <c r="AD95" s="793">
        <f t="shared" si="64"/>
        <v>0</v>
      </c>
      <c r="AE95" s="793"/>
      <c r="AF95" s="793"/>
      <c r="AG95" s="793"/>
      <c r="AH95" s="805"/>
      <c r="AI95" s="805"/>
      <c r="AJ95" s="793">
        <f t="shared" si="88"/>
        <v>0</v>
      </c>
      <c r="AK95" s="793">
        <f t="shared" si="70"/>
        <v>12280</v>
      </c>
      <c r="AL95" s="793">
        <f t="shared" si="71"/>
        <v>291</v>
      </c>
      <c r="AM95" s="793">
        <f t="shared" si="72"/>
        <v>3100</v>
      </c>
      <c r="AN95" s="805">
        <f t="shared" si="73"/>
        <v>3100</v>
      </c>
      <c r="AO95" s="805">
        <f t="shared" si="74"/>
        <v>9180</v>
      </c>
      <c r="AP95" s="793">
        <f t="shared" si="75"/>
        <v>9180</v>
      </c>
      <c r="AQ95" s="793">
        <f t="shared" si="76"/>
        <v>12280</v>
      </c>
      <c r="AR95" s="793">
        <f t="shared" si="77"/>
        <v>366</v>
      </c>
      <c r="AS95" s="793">
        <f t="shared" si="78"/>
        <v>3899</v>
      </c>
      <c r="AT95" s="793">
        <f t="shared" si="79"/>
        <v>6999</v>
      </c>
      <c r="AU95" s="793">
        <f t="shared" si="80"/>
        <v>5281</v>
      </c>
      <c r="AV95" s="793">
        <f t="shared" si="81"/>
        <v>5281</v>
      </c>
      <c r="AW95" s="793">
        <f t="shared" si="82"/>
        <v>12280</v>
      </c>
      <c r="AX95" s="793">
        <f t="shared" si="83"/>
        <v>365</v>
      </c>
      <c r="AY95" s="793">
        <f t="shared" si="84"/>
        <v>3889</v>
      </c>
      <c r="AZ95" s="793">
        <f t="shared" si="85"/>
        <v>10888</v>
      </c>
      <c r="BA95" s="793">
        <f t="shared" si="90"/>
        <v>1392</v>
      </c>
    </row>
    <row r="96" spans="1:53" ht="15" customHeight="1" x14ac:dyDescent="0.25">
      <c r="A96" s="842" t="s">
        <v>1187</v>
      </c>
      <c r="B96" s="852" t="s">
        <v>1219</v>
      </c>
      <c r="C96" s="778">
        <f t="shared" si="58"/>
        <v>0.31666666666666665</v>
      </c>
      <c r="D96" s="844">
        <v>3</v>
      </c>
      <c r="E96" s="844" t="s">
        <v>677</v>
      </c>
      <c r="F96" s="853">
        <v>44831</v>
      </c>
      <c r="G96" s="845">
        <f t="shared" si="91"/>
        <v>44831</v>
      </c>
      <c r="H96" s="781">
        <f t="shared" si="59"/>
        <v>45926</v>
      </c>
      <c r="I96" s="1383">
        <v>30506.76</v>
      </c>
      <c r="J96" s="805">
        <f t="shared" si="60"/>
        <v>1525.338</v>
      </c>
      <c r="K96" s="805"/>
      <c r="L96" s="793">
        <v>0</v>
      </c>
      <c r="M96" s="793">
        <v>0</v>
      </c>
      <c r="N96" s="793">
        <v>0</v>
      </c>
      <c r="O96" s="793">
        <v>0</v>
      </c>
      <c r="P96" s="793">
        <v>0</v>
      </c>
      <c r="Q96" s="793">
        <v>0</v>
      </c>
      <c r="R96" s="793">
        <v>0</v>
      </c>
      <c r="S96" s="793">
        <v>0</v>
      </c>
      <c r="T96" s="793">
        <v>0</v>
      </c>
      <c r="U96" s="793">
        <v>0</v>
      </c>
      <c r="V96" s="793">
        <v>0</v>
      </c>
      <c r="W96" s="793">
        <v>0</v>
      </c>
      <c r="X96" s="793">
        <v>0</v>
      </c>
      <c r="Y96" s="793">
        <v>0</v>
      </c>
      <c r="Z96" s="793">
        <v>0</v>
      </c>
      <c r="AA96" s="793">
        <v>0</v>
      </c>
      <c r="AB96" s="793">
        <v>0</v>
      </c>
      <c r="AC96" s="793">
        <v>0</v>
      </c>
      <c r="AD96" s="793">
        <f t="shared" si="64"/>
        <v>0</v>
      </c>
      <c r="AE96" s="793"/>
      <c r="AF96" s="793"/>
      <c r="AG96" s="793"/>
      <c r="AH96" s="805"/>
      <c r="AI96" s="805"/>
      <c r="AJ96" s="793">
        <f t="shared" si="88"/>
        <v>0</v>
      </c>
      <c r="AK96" s="793">
        <f t="shared" si="70"/>
        <v>30506.76</v>
      </c>
      <c r="AL96" s="793">
        <f t="shared" si="71"/>
        <v>186</v>
      </c>
      <c r="AM96" s="793">
        <f t="shared" si="72"/>
        <v>4923</v>
      </c>
      <c r="AN96" s="805">
        <f t="shared" si="73"/>
        <v>4923</v>
      </c>
      <c r="AO96" s="805">
        <f t="shared" si="74"/>
        <v>25583.759999999998</v>
      </c>
      <c r="AP96" s="793">
        <f t="shared" si="75"/>
        <v>25583.759999999998</v>
      </c>
      <c r="AQ96" s="793">
        <f t="shared" si="76"/>
        <v>30506.76</v>
      </c>
      <c r="AR96" s="793">
        <f t="shared" si="77"/>
        <v>366</v>
      </c>
      <c r="AS96" s="793">
        <f t="shared" si="78"/>
        <v>9687</v>
      </c>
      <c r="AT96" s="793">
        <f t="shared" si="79"/>
        <v>14610</v>
      </c>
      <c r="AU96" s="793">
        <f t="shared" si="80"/>
        <v>15896.759999999998</v>
      </c>
      <c r="AV96" s="793">
        <f t="shared" si="81"/>
        <v>15896.759999999998</v>
      </c>
      <c r="AW96" s="793">
        <f t="shared" si="82"/>
        <v>30506.76</v>
      </c>
      <c r="AX96" s="793">
        <f t="shared" si="83"/>
        <v>365</v>
      </c>
      <c r="AY96" s="793">
        <f t="shared" si="84"/>
        <v>9660</v>
      </c>
      <c r="AZ96" s="793">
        <f t="shared" si="85"/>
        <v>24270</v>
      </c>
      <c r="BA96" s="793">
        <f t="shared" si="90"/>
        <v>6236.7599999999984</v>
      </c>
    </row>
    <row r="97" spans="1:53" ht="15" customHeight="1" x14ac:dyDescent="0.25">
      <c r="A97" s="842" t="s">
        <v>1187</v>
      </c>
      <c r="B97" s="852" t="s">
        <v>1219</v>
      </c>
      <c r="C97" s="778">
        <f t="shared" si="58"/>
        <v>0.31666666666666665</v>
      </c>
      <c r="D97" s="844">
        <v>3</v>
      </c>
      <c r="E97" s="844" t="s">
        <v>677</v>
      </c>
      <c r="F97" s="853">
        <v>44833</v>
      </c>
      <c r="G97" s="845">
        <f t="shared" si="91"/>
        <v>44833</v>
      </c>
      <c r="H97" s="781">
        <f t="shared" si="59"/>
        <v>45928</v>
      </c>
      <c r="I97" s="1383">
        <v>16900</v>
      </c>
      <c r="J97" s="805">
        <f t="shared" si="60"/>
        <v>845</v>
      </c>
      <c r="K97" s="805"/>
      <c r="L97" s="793">
        <v>0</v>
      </c>
      <c r="M97" s="793">
        <v>0</v>
      </c>
      <c r="N97" s="793">
        <v>0</v>
      </c>
      <c r="O97" s="793">
        <v>0</v>
      </c>
      <c r="P97" s="793">
        <v>0</v>
      </c>
      <c r="Q97" s="793">
        <v>0</v>
      </c>
      <c r="R97" s="793">
        <v>0</v>
      </c>
      <c r="S97" s="793">
        <v>0</v>
      </c>
      <c r="T97" s="793">
        <v>0</v>
      </c>
      <c r="U97" s="793">
        <v>0</v>
      </c>
      <c r="V97" s="793">
        <v>0</v>
      </c>
      <c r="W97" s="793">
        <v>0</v>
      </c>
      <c r="X97" s="793">
        <v>0</v>
      </c>
      <c r="Y97" s="793">
        <v>0</v>
      </c>
      <c r="Z97" s="793">
        <v>0</v>
      </c>
      <c r="AA97" s="793">
        <v>0</v>
      </c>
      <c r="AB97" s="793">
        <v>0</v>
      </c>
      <c r="AC97" s="793">
        <v>0</v>
      </c>
      <c r="AD97" s="793">
        <f t="shared" si="64"/>
        <v>0</v>
      </c>
      <c r="AE97" s="793"/>
      <c r="AF97" s="793"/>
      <c r="AG97" s="793"/>
      <c r="AH97" s="805"/>
      <c r="AI97" s="805"/>
      <c r="AJ97" s="793">
        <f t="shared" si="88"/>
        <v>0</v>
      </c>
      <c r="AK97" s="793">
        <f t="shared" si="70"/>
        <v>16900</v>
      </c>
      <c r="AL97" s="793">
        <f t="shared" si="71"/>
        <v>184</v>
      </c>
      <c r="AM97" s="793">
        <f t="shared" si="72"/>
        <v>2698</v>
      </c>
      <c r="AN97" s="805">
        <f t="shared" si="73"/>
        <v>2698</v>
      </c>
      <c r="AO97" s="805">
        <f t="shared" si="74"/>
        <v>14202</v>
      </c>
      <c r="AP97" s="793">
        <f t="shared" si="75"/>
        <v>14202</v>
      </c>
      <c r="AQ97" s="793">
        <f t="shared" si="76"/>
        <v>16900</v>
      </c>
      <c r="AR97" s="793">
        <f t="shared" si="77"/>
        <v>366</v>
      </c>
      <c r="AS97" s="793">
        <f t="shared" si="78"/>
        <v>5366</v>
      </c>
      <c r="AT97" s="793">
        <f t="shared" si="79"/>
        <v>8064</v>
      </c>
      <c r="AU97" s="793">
        <f t="shared" si="80"/>
        <v>8836</v>
      </c>
      <c r="AV97" s="793">
        <f t="shared" si="81"/>
        <v>8836</v>
      </c>
      <c r="AW97" s="793">
        <f t="shared" si="82"/>
        <v>16900</v>
      </c>
      <c r="AX97" s="793">
        <f t="shared" si="83"/>
        <v>365</v>
      </c>
      <c r="AY97" s="793">
        <f t="shared" si="84"/>
        <v>5352</v>
      </c>
      <c r="AZ97" s="793">
        <f t="shared" si="85"/>
        <v>13416</v>
      </c>
      <c r="BA97" s="793">
        <f t="shared" si="90"/>
        <v>3484</v>
      </c>
    </row>
    <row r="98" spans="1:53" ht="15" customHeight="1" x14ac:dyDescent="0.25">
      <c r="A98" s="842" t="s">
        <v>1187</v>
      </c>
      <c r="B98" s="852" t="s">
        <v>1219</v>
      </c>
      <c r="C98" s="778">
        <f t="shared" si="58"/>
        <v>0.31666666666666665</v>
      </c>
      <c r="D98" s="844">
        <v>3</v>
      </c>
      <c r="E98" s="844" t="s">
        <v>677</v>
      </c>
      <c r="F98" s="853">
        <v>44872</v>
      </c>
      <c r="G98" s="845">
        <f t="shared" si="91"/>
        <v>44872</v>
      </c>
      <c r="H98" s="781">
        <f t="shared" si="59"/>
        <v>45967</v>
      </c>
      <c r="I98" s="1383">
        <v>22440</v>
      </c>
      <c r="J98" s="805">
        <f t="shared" si="60"/>
        <v>1122</v>
      </c>
      <c r="K98" s="805"/>
      <c r="L98" s="793">
        <v>0</v>
      </c>
      <c r="M98" s="793">
        <v>0</v>
      </c>
      <c r="N98" s="793">
        <v>0</v>
      </c>
      <c r="O98" s="793">
        <v>0</v>
      </c>
      <c r="P98" s="793">
        <v>0</v>
      </c>
      <c r="Q98" s="793">
        <v>0</v>
      </c>
      <c r="R98" s="793">
        <v>0</v>
      </c>
      <c r="S98" s="793">
        <v>0</v>
      </c>
      <c r="T98" s="793">
        <v>0</v>
      </c>
      <c r="U98" s="793">
        <v>0</v>
      </c>
      <c r="V98" s="793">
        <v>0</v>
      </c>
      <c r="W98" s="793">
        <v>0</v>
      </c>
      <c r="X98" s="793">
        <v>0</v>
      </c>
      <c r="Y98" s="793">
        <v>0</v>
      </c>
      <c r="Z98" s="793">
        <v>0</v>
      </c>
      <c r="AA98" s="793">
        <v>0</v>
      </c>
      <c r="AB98" s="793">
        <v>0</v>
      </c>
      <c r="AC98" s="793">
        <v>0</v>
      </c>
      <c r="AD98" s="793">
        <f t="shared" si="64"/>
        <v>0</v>
      </c>
      <c r="AE98" s="793"/>
      <c r="AF98" s="793"/>
      <c r="AG98" s="793"/>
      <c r="AH98" s="805"/>
      <c r="AI98" s="805"/>
      <c r="AJ98" s="793">
        <f t="shared" si="88"/>
        <v>0</v>
      </c>
      <c r="AK98" s="793">
        <f t="shared" si="70"/>
        <v>22440</v>
      </c>
      <c r="AL98" s="793">
        <f t="shared" si="71"/>
        <v>145</v>
      </c>
      <c r="AM98" s="793">
        <f t="shared" si="72"/>
        <v>2823</v>
      </c>
      <c r="AN98" s="805">
        <f t="shared" si="73"/>
        <v>2823</v>
      </c>
      <c r="AO98" s="805">
        <f t="shared" si="74"/>
        <v>19617</v>
      </c>
      <c r="AP98" s="793">
        <f t="shared" si="75"/>
        <v>19617</v>
      </c>
      <c r="AQ98" s="793">
        <f t="shared" si="76"/>
        <v>22440</v>
      </c>
      <c r="AR98" s="793">
        <f t="shared" si="77"/>
        <v>366</v>
      </c>
      <c r="AS98" s="793">
        <f t="shared" si="78"/>
        <v>7125</v>
      </c>
      <c r="AT98" s="793">
        <f t="shared" si="79"/>
        <v>9948</v>
      </c>
      <c r="AU98" s="793">
        <f t="shared" si="80"/>
        <v>12492</v>
      </c>
      <c r="AV98" s="793">
        <f t="shared" si="81"/>
        <v>12492</v>
      </c>
      <c r="AW98" s="793">
        <f t="shared" si="82"/>
        <v>22440</v>
      </c>
      <c r="AX98" s="793">
        <f t="shared" si="83"/>
        <v>365</v>
      </c>
      <c r="AY98" s="793">
        <f t="shared" si="84"/>
        <v>7106</v>
      </c>
      <c r="AZ98" s="793">
        <f t="shared" si="85"/>
        <v>17054</v>
      </c>
      <c r="BA98" s="793">
        <f t="shared" si="90"/>
        <v>5386</v>
      </c>
    </row>
    <row r="99" spans="1:53" ht="15" customHeight="1" x14ac:dyDescent="0.25">
      <c r="A99" s="842" t="s">
        <v>1187</v>
      </c>
      <c r="B99" s="852" t="s">
        <v>1219</v>
      </c>
      <c r="C99" s="778">
        <f t="shared" si="58"/>
        <v>0.31666666666666665</v>
      </c>
      <c r="D99" s="844">
        <v>3</v>
      </c>
      <c r="E99" s="844" t="s">
        <v>677</v>
      </c>
      <c r="F99" s="853">
        <v>44900</v>
      </c>
      <c r="G99" s="845">
        <f t="shared" si="91"/>
        <v>44900</v>
      </c>
      <c r="H99" s="781">
        <f t="shared" si="59"/>
        <v>45995</v>
      </c>
      <c r="I99" s="1383">
        <v>18400</v>
      </c>
      <c r="J99" s="805">
        <f t="shared" si="60"/>
        <v>920</v>
      </c>
      <c r="K99" s="805"/>
      <c r="L99" s="793">
        <v>0</v>
      </c>
      <c r="M99" s="793">
        <v>0</v>
      </c>
      <c r="N99" s="793">
        <v>0</v>
      </c>
      <c r="O99" s="793">
        <v>0</v>
      </c>
      <c r="P99" s="793">
        <v>0</v>
      </c>
      <c r="Q99" s="793">
        <v>0</v>
      </c>
      <c r="R99" s="793">
        <v>0</v>
      </c>
      <c r="S99" s="793">
        <v>0</v>
      </c>
      <c r="T99" s="793">
        <v>0</v>
      </c>
      <c r="U99" s="793">
        <v>0</v>
      </c>
      <c r="V99" s="793">
        <v>0</v>
      </c>
      <c r="W99" s="793">
        <v>0</v>
      </c>
      <c r="X99" s="793">
        <v>0</v>
      </c>
      <c r="Y99" s="793">
        <v>0</v>
      </c>
      <c r="Z99" s="793">
        <v>0</v>
      </c>
      <c r="AA99" s="793">
        <v>0</v>
      </c>
      <c r="AB99" s="793">
        <v>0</v>
      </c>
      <c r="AC99" s="793">
        <v>0</v>
      </c>
      <c r="AD99" s="793">
        <f t="shared" si="64"/>
        <v>0</v>
      </c>
      <c r="AE99" s="793"/>
      <c r="AF99" s="793"/>
      <c r="AG99" s="793"/>
      <c r="AH99" s="805"/>
      <c r="AI99" s="805"/>
      <c r="AJ99" s="793">
        <f t="shared" si="88"/>
        <v>0</v>
      </c>
      <c r="AK99" s="793">
        <f t="shared" si="70"/>
        <v>18400</v>
      </c>
      <c r="AL99" s="793">
        <f t="shared" si="71"/>
        <v>117</v>
      </c>
      <c r="AM99" s="793">
        <f t="shared" si="72"/>
        <v>1868</v>
      </c>
      <c r="AN99" s="805">
        <f t="shared" si="73"/>
        <v>1868</v>
      </c>
      <c r="AO99" s="805">
        <f t="shared" si="74"/>
        <v>16532</v>
      </c>
      <c r="AP99" s="793">
        <f t="shared" si="75"/>
        <v>16532</v>
      </c>
      <c r="AQ99" s="793">
        <f t="shared" si="76"/>
        <v>18400</v>
      </c>
      <c r="AR99" s="793">
        <f t="shared" si="77"/>
        <v>366</v>
      </c>
      <c r="AS99" s="793">
        <f t="shared" si="78"/>
        <v>5843</v>
      </c>
      <c r="AT99" s="793">
        <f t="shared" si="79"/>
        <v>7711</v>
      </c>
      <c r="AU99" s="793">
        <f t="shared" si="80"/>
        <v>10689</v>
      </c>
      <c r="AV99" s="793">
        <f t="shared" si="81"/>
        <v>10689</v>
      </c>
      <c r="AW99" s="793">
        <f t="shared" si="82"/>
        <v>18400</v>
      </c>
      <c r="AX99" s="793">
        <f t="shared" si="83"/>
        <v>365</v>
      </c>
      <c r="AY99" s="793">
        <f t="shared" si="84"/>
        <v>5827</v>
      </c>
      <c r="AZ99" s="793">
        <f t="shared" si="85"/>
        <v>13538</v>
      </c>
      <c r="BA99" s="793">
        <f t="shared" si="90"/>
        <v>4862</v>
      </c>
    </row>
    <row r="100" spans="1:53" ht="15" customHeight="1" x14ac:dyDescent="0.25">
      <c r="A100" s="842" t="s">
        <v>1187</v>
      </c>
      <c r="B100" s="852" t="s">
        <v>1219</v>
      </c>
      <c r="C100" s="778">
        <f t="shared" si="58"/>
        <v>0.31666666666666665</v>
      </c>
      <c r="D100" s="844">
        <v>3</v>
      </c>
      <c r="E100" s="844" t="s">
        <v>677</v>
      </c>
      <c r="F100" s="853">
        <v>44928</v>
      </c>
      <c r="G100" s="845">
        <f t="shared" si="91"/>
        <v>44928</v>
      </c>
      <c r="H100" s="781">
        <f t="shared" si="59"/>
        <v>46023</v>
      </c>
      <c r="I100" s="1383">
        <v>22000</v>
      </c>
      <c r="J100" s="805">
        <f t="shared" si="60"/>
        <v>1100</v>
      </c>
      <c r="K100" s="805"/>
      <c r="L100" s="793">
        <v>0</v>
      </c>
      <c r="M100" s="793">
        <v>0</v>
      </c>
      <c r="N100" s="793">
        <v>0</v>
      </c>
      <c r="O100" s="793">
        <v>0</v>
      </c>
      <c r="P100" s="793">
        <v>0</v>
      </c>
      <c r="Q100" s="793">
        <v>0</v>
      </c>
      <c r="R100" s="793">
        <v>0</v>
      </c>
      <c r="S100" s="793">
        <v>0</v>
      </c>
      <c r="T100" s="793">
        <v>0</v>
      </c>
      <c r="U100" s="793">
        <v>0</v>
      </c>
      <c r="V100" s="793">
        <v>0</v>
      </c>
      <c r="W100" s="793">
        <v>0</v>
      </c>
      <c r="X100" s="793">
        <v>0</v>
      </c>
      <c r="Y100" s="793">
        <v>0</v>
      </c>
      <c r="Z100" s="793">
        <v>0</v>
      </c>
      <c r="AA100" s="793">
        <v>0</v>
      </c>
      <c r="AB100" s="793">
        <v>0</v>
      </c>
      <c r="AC100" s="793">
        <v>0</v>
      </c>
      <c r="AD100" s="793">
        <f t="shared" si="64"/>
        <v>0</v>
      </c>
      <c r="AE100" s="793"/>
      <c r="AF100" s="793"/>
      <c r="AG100" s="793"/>
      <c r="AH100" s="805"/>
      <c r="AI100" s="805"/>
      <c r="AJ100" s="793">
        <f t="shared" si="88"/>
        <v>0</v>
      </c>
      <c r="AK100" s="793">
        <f t="shared" si="70"/>
        <v>22000</v>
      </c>
      <c r="AL100" s="793">
        <f t="shared" si="71"/>
        <v>89</v>
      </c>
      <c r="AM100" s="793">
        <f t="shared" si="72"/>
        <v>1699</v>
      </c>
      <c r="AN100" s="805">
        <f t="shared" si="73"/>
        <v>1699</v>
      </c>
      <c r="AO100" s="805">
        <f t="shared" si="74"/>
        <v>20301</v>
      </c>
      <c r="AP100" s="793">
        <f t="shared" si="75"/>
        <v>20301</v>
      </c>
      <c r="AQ100" s="793">
        <f t="shared" si="76"/>
        <v>22000</v>
      </c>
      <c r="AR100" s="793">
        <f t="shared" si="77"/>
        <v>366</v>
      </c>
      <c r="AS100" s="793">
        <f t="shared" si="78"/>
        <v>6986</v>
      </c>
      <c r="AT100" s="793">
        <f t="shared" si="79"/>
        <v>8685</v>
      </c>
      <c r="AU100" s="793">
        <f t="shared" si="80"/>
        <v>13315</v>
      </c>
      <c r="AV100" s="793">
        <f t="shared" si="81"/>
        <v>13315</v>
      </c>
      <c r="AW100" s="793">
        <f t="shared" si="82"/>
        <v>22000</v>
      </c>
      <c r="AX100" s="793">
        <f t="shared" si="83"/>
        <v>365</v>
      </c>
      <c r="AY100" s="793">
        <f t="shared" si="84"/>
        <v>6967</v>
      </c>
      <c r="AZ100" s="793">
        <f t="shared" si="85"/>
        <v>15652</v>
      </c>
      <c r="BA100" s="793">
        <f t="shared" si="90"/>
        <v>6348</v>
      </c>
    </row>
    <row r="101" spans="1:53" ht="15" customHeight="1" x14ac:dyDescent="0.25">
      <c r="A101" s="842" t="s">
        <v>1187</v>
      </c>
      <c r="B101" s="852" t="s">
        <v>1219</v>
      </c>
      <c r="C101" s="778">
        <f t="shared" si="58"/>
        <v>0.31666666666666665</v>
      </c>
      <c r="D101" s="844">
        <v>3</v>
      </c>
      <c r="E101" s="844" t="s">
        <v>677</v>
      </c>
      <c r="F101" s="853">
        <v>44933</v>
      </c>
      <c r="G101" s="845">
        <f t="shared" si="91"/>
        <v>44933</v>
      </c>
      <c r="H101" s="781">
        <f t="shared" si="59"/>
        <v>46028</v>
      </c>
      <c r="I101" s="1383">
        <v>22000</v>
      </c>
      <c r="J101" s="805">
        <f t="shared" si="60"/>
        <v>1100</v>
      </c>
      <c r="K101" s="805"/>
      <c r="L101" s="793">
        <v>0</v>
      </c>
      <c r="M101" s="793">
        <v>0</v>
      </c>
      <c r="N101" s="793">
        <v>0</v>
      </c>
      <c r="O101" s="793">
        <v>0</v>
      </c>
      <c r="P101" s="793">
        <v>0</v>
      </c>
      <c r="Q101" s="793">
        <v>0</v>
      </c>
      <c r="R101" s="793">
        <v>0</v>
      </c>
      <c r="S101" s="793">
        <v>0</v>
      </c>
      <c r="T101" s="793">
        <v>0</v>
      </c>
      <c r="U101" s="793">
        <v>0</v>
      </c>
      <c r="V101" s="793">
        <v>0</v>
      </c>
      <c r="W101" s="793">
        <v>0</v>
      </c>
      <c r="X101" s="793">
        <v>0</v>
      </c>
      <c r="Y101" s="793">
        <v>0</v>
      </c>
      <c r="Z101" s="793">
        <v>0</v>
      </c>
      <c r="AA101" s="793">
        <v>0</v>
      </c>
      <c r="AB101" s="793">
        <v>0</v>
      </c>
      <c r="AC101" s="793">
        <v>0</v>
      </c>
      <c r="AD101" s="793">
        <f t="shared" si="64"/>
        <v>0</v>
      </c>
      <c r="AE101" s="793"/>
      <c r="AF101" s="793"/>
      <c r="AG101" s="793"/>
      <c r="AH101" s="805"/>
      <c r="AI101" s="805"/>
      <c r="AJ101" s="793">
        <f t="shared" si="88"/>
        <v>0</v>
      </c>
      <c r="AK101" s="793">
        <f t="shared" si="70"/>
        <v>22000</v>
      </c>
      <c r="AL101" s="793">
        <f t="shared" si="71"/>
        <v>84</v>
      </c>
      <c r="AM101" s="793">
        <f t="shared" si="72"/>
        <v>1603</v>
      </c>
      <c r="AN101" s="805">
        <f t="shared" si="73"/>
        <v>1603</v>
      </c>
      <c r="AO101" s="805">
        <f t="shared" si="74"/>
        <v>20397</v>
      </c>
      <c r="AP101" s="793">
        <f t="shared" si="75"/>
        <v>20397</v>
      </c>
      <c r="AQ101" s="793">
        <f t="shared" si="76"/>
        <v>22000</v>
      </c>
      <c r="AR101" s="793">
        <f t="shared" si="77"/>
        <v>366</v>
      </c>
      <c r="AS101" s="793">
        <f t="shared" si="78"/>
        <v>6986</v>
      </c>
      <c r="AT101" s="793">
        <f t="shared" si="79"/>
        <v>8589</v>
      </c>
      <c r="AU101" s="793">
        <f t="shared" si="80"/>
        <v>13411</v>
      </c>
      <c r="AV101" s="793">
        <f t="shared" si="81"/>
        <v>13411</v>
      </c>
      <c r="AW101" s="793">
        <f t="shared" si="82"/>
        <v>22000</v>
      </c>
      <c r="AX101" s="793">
        <f t="shared" si="83"/>
        <v>365</v>
      </c>
      <c r="AY101" s="793">
        <f t="shared" si="84"/>
        <v>6967</v>
      </c>
      <c r="AZ101" s="793">
        <f t="shared" si="85"/>
        <v>15556</v>
      </c>
      <c r="BA101" s="793">
        <f t="shared" si="90"/>
        <v>6444</v>
      </c>
    </row>
    <row r="102" spans="1:53" ht="15" customHeight="1" x14ac:dyDescent="0.25">
      <c r="A102" s="842" t="s">
        <v>1187</v>
      </c>
      <c r="B102" s="852" t="s">
        <v>1219</v>
      </c>
      <c r="C102" s="778">
        <f t="shared" si="58"/>
        <v>0.31666666666666665</v>
      </c>
      <c r="D102" s="844">
        <v>3</v>
      </c>
      <c r="E102" s="844" t="s">
        <v>677</v>
      </c>
      <c r="F102" s="853">
        <v>44947</v>
      </c>
      <c r="G102" s="845">
        <f t="shared" si="91"/>
        <v>44947</v>
      </c>
      <c r="H102" s="781">
        <f t="shared" si="59"/>
        <v>46042</v>
      </c>
      <c r="I102" s="1383">
        <v>98000</v>
      </c>
      <c r="J102" s="805">
        <f t="shared" si="60"/>
        <v>4900</v>
      </c>
      <c r="K102" s="805"/>
      <c r="L102" s="793">
        <v>0</v>
      </c>
      <c r="M102" s="793">
        <v>0</v>
      </c>
      <c r="N102" s="793">
        <v>0</v>
      </c>
      <c r="O102" s="793">
        <v>0</v>
      </c>
      <c r="P102" s="793">
        <v>0</v>
      </c>
      <c r="Q102" s="793">
        <v>0</v>
      </c>
      <c r="R102" s="793">
        <v>0</v>
      </c>
      <c r="S102" s="793">
        <v>0</v>
      </c>
      <c r="T102" s="793">
        <v>0</v>
      </c>
      <c r="U102" s="793">
        <v>0</v>
      </c>
      <c r="V102" s="793">
        <v>0</v>
      </c>
      <c r="W102" s="793">
        <v>0</v>
      </c>
      <c r="X102" s="793">
        <v>0</v>
      </c>
      <c r="Y102" s="793">
        <v>0</v>
      </c>
      <c r="Z102" s="793">
        <v>0</v>
      </c>
      <c r="AA102" s="793">
        <v>0</v>
      </c>
      <c r="AB102" s="793">
        <v>0</v>
      </c>
      <c r="AC102" s="793">
        <v>0</v>
      </c>
      <c r="AD102" s="793">
        <f t="shared" si="64"/>
        <v>0</v>
      </c>
      <c r="AE102" s="793"/>
      <c r="AF102" s="793"/>
      <c r="AG102" s="793"/>
      <c r="AH102" s="805"/>
      <c r="AI102" s="805"/>
      <c r="AJ102" s="793">
        <f t="shared" si="88"/>
        <v>0</v>
      </c>
      <c r="AK102" s="793">
        <f t="shared" si="70"/>
        <v>98000</v>
      </c>
      <c r="AL102" s="793">
        <f t="shared" si="71"/>
        <v>70</v>
      </c>
      <c r="AM102" s="793">
        <f t="shared" si="72"/>
        <v>5952</v>
      </c>
      <c r="AN102" s="805">
        <f t="shared" si="73"/>
        <v>5952</v>
      </c>
      <c r="AO102" s="805">
        <f t="shared" si="74"/>
        <v>92048</v>
      </c>
      <c r="AP102" s="793">
        <f t="shared" si="75"/>
        <v>92048</v>
      </c>
      <c r="AQ102" s="793">
        <f t="shared" si="76"/>
        <v>98000</v>
      </c>
      <c r="AR102" s="793">
        <f t="shared" si="77"/>
        <v>366</v>
      </c>
      <c r="AS102" s="793">
        <f t="shared" si="78"/>
        <v>31118</v>
      </c>
      <c r="AT102" s="793">
        <f t="shared" si="79"/>
        <v>37070</v>
      </c>
      <c r="AU102" s="793">
        <f t="shared" si="80"/>
        <v>60930</v>
      </c>
      <c r="AV102" s="793">
        <f t="shared" si="81"/>
        <v>60930</v>
      </c>
      <c r="AW102" s="793">
        <f t="shared" si="82"/>
        <v>98000</v>
      </c>
      <c r="AX102" s="793">
        <f t="shared" si="83"/>
        <v>365</v>
      </c>
      <c r="AY102" s="793">
        <f t="shared" si="84"/>
        <v>31033</v>
      </c>
      <c r="AZ102" s="793">
        <f t="shared" si="85"/>
        <v>68103</v>
      </c>
      <c r="BA102" s="793">
        <f t="shared" si="90"/>
        <v>29897</v>
      </c>
    </row>
    <row r="103" spans="1:53" ht="15" customHeight="1" x14ac:dyDescent="0.25">
      <c r="A103" s="842" t="s">
        <v>1187</v>
      </c>
      <c r="B103" s="852" t="s">
        <v>1219</v>
      </c>
      <c r="C103" s="778">
        <f t="shared" si="58"/>
        <v>0.31666666666666665</v>
      </c>
      <c r="D103" s="844">
        <v>3</v>
      </c>
      <c r="E103" s="844" t="s">
        <v>677</v>
      </c>
      <c r="F103" s="853">
        <v>44954</v>
      </c>
      <c r="G103" s="845">
        <f t="shared" si="91"/>
        <v>44954</v>
      </c>
      <c r="H103" s="781">
        <f t="shared" si="59"/>
        <v>46049</v>
      </c>
      <c r="I103" s="1383">
        <v>23500</v>
      </c>
      <c r="J103" s="805">
        <f t="shared" si="60"/>
        <v>1175</v>
      </c>
      <c r="K103" s="805"/>
      <c r="L103" s="793">
        <v>0</v>
      </c>
      <c r="M103" s="793">
        <v>0</v>
      </c>
      <c r="N103" s="793">
        <v>0</v>
      </c>
      <c r="O103" s="793">
        <v>0</v>
      </c>
      <c r="P103" s="793">
        <v>0</v>
      </c>
      <c r="Q103" s="793">
        <v>0</v>
      </c>
      <c r="R103" s="793">
        <v>0</v>
      </c>
      <c r="S103" s="793">
        <v>0</v>
      </c>
      <c r="T103" s="793">
        <v>0</v>
      </c>
      <c r="U103" s="793">
        <v>0</v>
      </c>
      <c r="V103" s="793">
        <v>0</v>
      </c>
      <c r="W103" s="793">
        <v>0</v>
      </c>
      <c r="X103" s="793">
        <v>0</v>
      </c>
      <c r="Y103" s="793">
        <v>0</v>
      </c>
      <c r="Z103" s="793">
        <v>0</v>
      </c>
      <c r="AA103" s="793">
        <v>0</v>
      </c>
      <c r="AB103" s="793">
        <v>0</v>
      </c>
      <c r="AC103" s="793">
        <v>0</v>
      </c>
      <c r="AD103" s="793">
        <f t="shared" si="64"/>
        <v>0</v>
      </c>
      <c r="AE103" s="793"/>
      <c r="AF103" s="793"/>
      <c r="AG103" s="793"/>
      <c r="AH103" s="805"/>
      <c r="AI103" s="805"/>
      <c r="AJ103" s="793">
        <f t="shared" si="88"/>
        <v>0</v>
      </c>
      <c r="AK103" s="793">
        <f t="shared" si="70"/>
        <v>23500</v>
      </c>
      <c r="AL103" s="793">
        <f t="shared" si="71"/>
        <v>63</v>
      </c>
      <c r="AM103" s="793">
        <f t="shared" si="72"/>
        <v>1284</v>
      </c>
      <c r="AN103" s="805">
        <f t="shared" si="73"/>
        <v>1284</v>
      </c>
      <c r="AO103" s="805">
        <f t="shared" si="74"/>
        <v>22216</v>
      </c>
      <c r="AP103" s="793">
        <f t="shared" si="75"/>
        <v>22216</v>
      </c>
      <c r="AQ103" s="793">
        <f t="shared" si="76"/>
        <v>23500</v>
      </c>
      <c r="AR103" s="793">
        <f t="shared" si="77"/>
        <v>366</v>
      </c>
      <c r="AS103" s="793">
        <f t="shared" si="78"/>
        <v>7462</v>
      </c>
      <c r="AT103" s="793">
        <f t="shared" si="79"/>
        <v>8746</v>
      </c>
      <c r="AU103" s="793">
        <f t="shared" si="80"/>
        <v>14754</v>
      </c>
      <c r="AV103" s="793">
        <f t="shared" si="81"/>
        <v>14754</v>
      </c>
      <c r="AW103" s="793">
        <f t="shared" si="82"/>
        <v>23500</v>
      </c>
      <c r="AX103" s="793">
        <f t="shared" si="83"/>
        <v>365</v>
      </c>
      <c r="AY103" s="793">
        <f t="shared" si="84"/>
        <v>7442</v>
      </c>
      <c r="AZ103" s="793">
        <f t="shared" si="85"/>
        <v>16188</v>
      </c>
      <c r="BA103" s="793">
        <f t="shared" si="90"/>
        <v>7312</v>
      </c>
    </row>
    <row r="104" spans="1:53" ht="15" customHeight="1" x14ac:dyDescent="0.25">
      <c r="A104" s="842" t="s">
        <v>1187</v>
      </c>
      <c r="B104" s="852" t="s">
        <v>1219</v>
      </c>
      <c r="C104" s="778">
        <f t="shared" si="58"/>
        <v>0.31666666666666665</v>
      </c>
      <c r="D104" s="844">
        <v>3</v>
      </c>
      <c r="E104" s="844" t="s">
        <v>677</v>
      </c>
      <c r="F104" s="853">
        <v>44985</v>
      </c>
      <c r="G104" s="845">
        <f t="shared" si="91"/>
        <v>44985</v>
      </c>
      <c r="H104" s="781">
        <f t="shared" si="59"/>
        <v>46080</v>
      </c>
      <c r="I104" s="1383">
        <v>22000</v>
      </c>
      <c r="J104" s="805">
        <f t="shared" si="60"/>
        <v>1100</v>
      </c>
      <c r="K104" s="805"/>
      <c r="L104" s="793">
        <v>0</v>
      </c>
      <c r="M104" s="793">
        <v>0</v>
      </c>
      <c r="N104" s="793">
        <v>0</v>
      </c>
      <c r="O104" s="793">
        <v>0</v>
      </c>
      <c r="P104" s="793">
        <v>0</v>
      </c>
      <c r="Q104" s="793">
        <v>0</v>
      </c>
      <c r="R104" s="793">
        <v>0</v>
      </c>
      <c r="S104" s="793">
        <v>0</v>
      </c>
      <c r="T104" s="793">
        <v>0</v>
      </c>
      <c r="U104" s="793">
        <v>0</v>
      </c>
      <c r="V104" s="793">
        <v>0</v>
      </c>
      <c r="W104" s="793">
        <v>0</v>
      </c>
      <c r="X104" s="793">
        <v>0</v>
      </c>
      <c r="Y104" s="793">
        <v>0</v>
      </c>
      <c r="Z104" s="793">
        <v>0</v>
      </c>
      <c r="AA104" s="793">
        <v>0</v>
      </c>
      <c r="AB104" s="793">
        <v>0</v>
      </c>
      <c r="AC104" s="793">
        <v>0</v>
      </c>
      <c r="AD104" s="793">
        <f t="shared" si="64"/>
        <v>0</v>
      </c>
      <c r="AE104" s="793"/>
      <c r="AF104" s="793"/>
      <c r="AG104" s="793"/>
      <c r="AH104" s="805"/>
      <c r="AI104" s="805"/>
      <c r="AJ104" s="793">
        <f t="shared" si="88"/>
        <v>0</v>
      </c>
      <c r="AK104" s="793">
        <f t="shared" si="70"/>
        <v>22000</v>
      </c>
      <c r="AL104" s="793">
        <f t="shared" si="71"/>
        <v>32</v>
      </c>
      <c r="AM104" s="793">
        <f t="shared" si="72"/>
        <v>611</v>
      </c>
      <c r="AN104" s="805">
        <f t="shared" si="73"/>
        <v>611</v>
      </c>
      <c r="AO104" s="805">
        <f t="shared" si="74"/>
        <v>21389</v>
      </c>
      <c r="AP104" s="793">
        <f t="shared" si="75"/>
        <v>21389</v>
      </c>
      <c r="AQ104" s="793">
        <f t="shared" si="76"/>
        <v>22000</v>
      </c>
      <c r="AR104" s="793">
        <f t="shared" si="77"/>
        <v>366</v>
      </c>
      <c r="AS104" s="793">
        <f t="shared" si="78"/>
        <v>6986</v>
      </c>
      <c r="AT104" s="793">
        <f t="shared" si="79"/>
        <v>7597</v>
      </c>
      <c r="AU104" s="793">
        <f t="shared" si="80"/>
        <v>14403</v>
      </c>
      <c r="AV104" s="793">
        <f t="shared" si="81"/>
        <v>14403</v>
      </c>
      <c r="AW104" s="793">
        <f t="shared" si="82"/>
        <v>22000</v>
      </c>
      <c r="AX104" s="793">
        <f t="shared" si="83"/>
        <v>365</v>
      </c>
      <c r="AY104" s="793">
        <f t="shared" si="84"/>
        <v>6967</v>
      </c>
      <c r="AZ104" s="793">
        <f t="shared" si="85"/>
        <v>14564</v>
      </c>
      <c r="BA104" s="793">
        <f t="shared" si="90"/>
        <v>7436</v>
      </c>
    </row>
    <row r="105" spans="1:53" ht="15" customHeight="1" x14ac:dyDescent="0.25">
      <c r="A105" s="842" t="s">
        <v>1187</v>
      </c>
      <c r="B105" s="852" t="s">
        <v>291</v>
      </c>
      <c r="C105" s="778">
        <f t="shared" si="58"/>
        <v>0.31666666666666665</v>
      </c>
      <c r="D105" s="844">
        <v>3</v>
      </c>
      <c r="E105" s="844" t="s">
        <v>677</v>
      </c>
      <c r="F105" s="853">
        <v>44798</v>
      </c>
      <c r="G105" s="845">
        <f t="shared" si="91"/>
        <v>44798</v>
      </c>
      <c r="H105" s="781">
        <f t="shared" si="59"/>
        <v>45893</v>
      </c>
      <c r="I105" s="1383">
        <v>3559.32</v>
      </c>
      <c r="J105" s="805">
        <f t="shared" si="60"/>
        <v>177.96600000000001</v>
      </c>
      <c r="K105" s="805"/>
      <c r="L105" s="793">
        <v>0</v>
      </c>
      <c r="M105" s="793">
        <v>0</v>
      </c>
      <c r="N105" s="793">
        <v>0</v>
      </c>
      <c r="O105" s="793">
        <v>0</v>
      </c>
      <c r="P105" s="793">
        <v>0</v>
      </c>
      <c r="Q105" s="793">
        <v>0</v>
      </c>
      <c r="R105" s="793">
        <v>0</v>
      </c>
      <c r="S105" s="793">
        <v>0</v>
      </c>
      <c r="T105" s="793">
        <v>0</v>
      </c>
      <c r="U105" s="793">
        <v>0</v>
      </c>
      <c r="V105" s="793">
        <v>0</v>
      </c>
      <c r="W105" s="793">
        <v>0</v>
      </c>
      <c r="X105" s="793">
        <v>0</v>
      </c>
      <c r="Y105" s="793">
        <v>0</v>
      </c>
      <c r="Z105" s="793">
        <v>0</v>
      </c>
      <c r="AA105" s="793">
        <v>0</v>
      </c>
      <c r="AB105" s="793">
        <v>0</v>
      </c>
      <c r="AC105" s="793">
        <v>0</v>
      </c>
      <c r="AD105" s="793">
        <f t="shared" si="64"/>
        <v>0</v>
      </c>
      <c r="AE105" s="793"/>
      <c r="AF105" s="793"/>
      <c r="AG105" s="793"/>
      <c r="AH105" s="805"/>
      <c r="AI105" s="805"/>
      <c r="AJ105" s="793">
        <f t="shared" si="88"/>
        <v>0</v>
      </c>
      <c r="AK105" s="793">
        <f t="shared" si="70"/>
        <v>3559.32</v>
      </c>
      <c r="AL105" s="793">
        <f t="shared" si="71"/>
        <v>219</v>
      </c>
      <c r="AM105" s="793">
        <f t="shared" si="72"/>
        <v>676</v>
      </c>
      <c r="AN105" s="805">
        <f t="shared" si="73"/>
        <v>676</v>
      </c>
      <c r="AO105" s="805">
        <f t="shared" si="74"/>
        <v>2883.32</v>
      </c>
      <c r="AP105" s="793">
        <f t="shared" si="75"/>
        <v>2883.32</v>
      </c>
      <c r="AQ105" s="793">
        <f t="shared" si="76"/>
        <v>3559.32</v>
      </c>
      <c r="AR105" s="793">
        <f t="shared" si="77"/>
        <v>366</v>
      </c>
      <c r="AS105" s="793">
        <f t="shared" si="78"/>
        <v>1130</v>
      </c>
      <c r="AT105" s="793">
        <f t="shared" si="79"/>
        <v>1806</v>
      </c>
      <c r="AU105" s="793">
        <f t="shared" si="80"/>
        <v>1753.3200000000002</v>
      </c>
      <c r="AV105" s="793">
        <f t="shared" si="81"/>
        <v>1753.3200000000002</v>
      </c>
      <c r="AW105" s="793">
        <f t="shared" si="82"/>
        <v>3559.32</v>
      </c>
      <c r="AX105" s="793">
        <f t="shared" si="83"/>
        <v>365</v>
      </c>
      <c r="AY105" s="793">
        <f t="shared" si="84"/>
        <v>1127</v>
      </c>
      <c r="AZ105" s="793">
        <f t="shared" si="85"/>
        <v>2933</v>
      </c>
      <c r="BA105" s="793">
        <f t="shared" si="90"/>
        <v>626.32000000000016</v>
      </c>
    </row>
    <row r="106" spans="1:53" ht="15" customHeight="1" x14ac:dyDescent="0.25">
      <c r="A106" s="842" t="s">
        <v>1187</v>
      </c>
      <c r="B106" s="852" t="s">
        <v>291</v>
      </c>
      <c r="C106" s="778">
        <f t="shared" si="58"/>
        <v>0.31666666666666665</v>
      </c>
      <c r="D106" s="844">
        <v>3</v>
      </c>
      <c r="E106" s="844" t="s">
        <v>677</v>
      </c>
      <c r="F106" s="853">
        <v>44799</v>
      </c>
      <c r="G106" s="845">
        <f t="shared" si="91"/>
        <v>44799</v>
      </c>
      <c r="H106" s="781">
        <f t="shared" si="59"/>
        <v>45894</v>
      </c>
      <c r="I106" s="1383">
        <v>5559.32</v>
      </c>
      <c r="J106" s="805">
        <f t="shared" si="60"/>
        <v>277.96600000000001</v>
      </c>
      <c r="K106" s="805"/>
      <c r="L106" s="793">
        <v>0</v>
      </c>
      <c r="M106" s="793">
        <v>0</v>
      </c>
      <c r="N106" s="793">
        <v>0</v>
      </c>
      <c r="O106" s="793">
        <v>0</v>
      </c>
      <c r="P106" s="793">
        <v>0</v>
      </c>
      <c r="Q106" s="793">
        <v>0</v>
      </c>
      <c r="R106" s="793">
        <v>0</v>
      </c>
      <c r="S106" s="793">
        <v>0</v>
      </c>
      <c r="T106" s="793">
        <v>0</v>
      </c>
      <c r="U106" s="793">
        <v>0</v>
      </c>
      <c r="V106" s="793">
        <v>0</v>
      </c>
      <c r="W106" s="793">
        <v>0</v>
      </c>
      <c r="X106" s="793">
        <v>0</v>
      </c>
      <c r="Y106" s="793">
        <v>0</v>
      </c>
      <c r="Z106" s="793">
        <v>0</v>
      </c>
      <c r="AA106" s="793">
        <v>0</v>
      </c>
      <c r="AB106" s="793">
        <v>0</v>
      </c>
      <c r="AC106" s="793">
        <v>0</v>
      </c>
      <c r="AD106" s="793">
        <f t="shared" si="64"/>
        <v>0</v>
      </c>
      <c r="AE106" s="793"/>
      <c r="AF106" s="793"/>
      <c r="AG106" s="793"/>
      <c r="AH106" s="805"/>
      <c r="AI106" s="805"/>
      <c r="AJ106" s="793">
        <f t="shared" si="88"/>
        <v>0</v>
      </c>
      <c r="AK106" s="793">
        <f t="shared" si="70"/>
        <v>5559.32</v>
      </c>
      <c r="AL106" s="793">
        <f t="shared" si="71"/>
        <v>218</v>
      </c>
      <c r="AM106" s="793">
        <f t="shared" si="72"/>
        <v>1051</v>
      </c>
      <c r="AN106" s="805">
        <f t="shared" si="73"/>
        <v>1051</v>
      </c>
      <c r="AO106" s="805">
        <f t="shared" si="74"/>
        <v>4508.32</v>
      </c>
      <c r="AP106" s="793">
        <f t="shared" si="75"/>
        <v>4508.32</v>
      </c>
      <c r="AQ106" s="793">
        <f t="shared" si="76"/>
        <v>5559.32</v>
      </c>
      <c r="AR106" s="793">
        <f t="shared" si="77"/>
        <v>366</v>
      </c>
      <c r="AS106" s="793">
        <f t="shared" si="78"/>
        <v>1765</v>
      </c>
      <c r="AT106" s="793">
        <f t="shared" si="79"/>
        <v>2816</v>
      </c>
      <c r="AU106" s="793">
        <f t="shared" si="80"/>
        <v>2743.3199999999997</v>
      </c>
      <c r="AV106" s="793">
        <f t="shared" si="81"/>
        <v>2743.3199999999997</v>
      </c>
      <c r="AW106" s="793">
        <f t="shared" si="82"/>
        <v>5559.32</v>
      </c>
      <c r="AX106" s="793">
        <f t="shared" si="83"/>
        <v>365</v>
      </c>
      <c r="AY106" s="793">
        <f t="shared" si="84"/>
        <v>1760</v>
      </c>
      <c r="AZ106" s="793">
        <f t="shared" si="85"/>
        <v>4576</v>
      </c>
      <c r="BA106" s="793">
        <f t="shared" si="90"/>
        <v>983.31999999999971</v>
      </c>
    </row>
    <row r="107" spans="1:53" ht="15" customHeight="1" x14ac:dyDescent="0.25">
      <c r="A107" s="842" t="s">
        <v>1187</v>
      </c>
      <c r="B107" s="852" t="s">
        <v>1220</v>
      </c>
      <c r="C107" s="778">
        <f t="shared" si="58"/>
        <v>0.31666666666666665</v>
      </c>
      <c r="D107" s="844">
        <v>3</v>
      </c>
      <c r="E107" s="844" t="s">
        <v>677</v>
      </c>
      <c r="F107" s="853">
        <v>44680</v>
      </c>
      <c r="G107" s="845">
        <f t="shared" si="91"/>
        <v>44680</v>
      </c>
      <c r="H107" s="781">
        <f t="shared" si="59"/>
        <v>45775</v>
      </c>
      <c r="I107" s="1383">
        <v>24000</v>
      </c>
      <c r="J107" s="805">
        <f t="shared" si="60"/>
        <v>1200</v>
      </c>
      <c r="K107" s="805"/>
      <c r="L107" s="793">
        <v>0</v>
      </c>
      <c r="M107" s="793">
        <v>0</v>
      </c>
      <c r="N107" s="793">
        <v>0</v>
      </c>
      <c r="O107" s="793">
        <v>0</v>
      </c>
      <c r="P107" s="793">
        <v>0</v>
      </c>
      <c r="Q107" s="793">
        <v>0</v>
      </c>
      <c r="R107" s="793">
        <v>0</v>
      </c>
      <c r="S107" s="793">
        <v>0</v>
      </c>
      <c r="T107" s="793">
        <v>0</v>
      </c>
      <c r="U107" s="793">
        <v>0</v>
      </c>
      <c r="V107" s="793">
        <v>0</v>
      </c>
      <c r="W107" s="793">
        <v>0</v>
      </c>
      <c r="X107" s="793">
        <v>0</v>
      </c>
      <c r="Y107" s="793">
        <v>0</v>
      </c>
      <c r="Z107" s="793">
        <v>0</v>
      </c>
      <c r="AA107" s="793">
        <v>0</v>
      </c>
      <c r="AB107" s="793">
        <v>0</v>
      </c>
      <c r="AC107" s="793">
        <v>0</v>
      </c>
      <c r="AD107" s="793">
        <f t="shared" si="64"/>
        <v>0</v>
      </c>
      <c r="AE107" s="793"/>
      <c r="AF107" s="793"/>
      <c r="AG107" s="793"/>
      <c r="AH107" s="805"/>
      <c r="AI107" s="805"/>
      <c r="AJ107" s="793">
        <f t="shared" si="88"/>
        <v>0</v>
      </c>
      <c r="AK107" s="793">
        <f t="shared" si="70"/>
        <v>24000</v>
      </c>
      <c r="AL107" s="793">
        <f t="shared" si="71"/>
        <v>337</v>
      </c>
      <c r="AM107" s="793">
        <f t="shared" si="72"/>
        <v>7017</v>
      </c>
      <c r="AN107" s="805">
        <f t="shared" si="73"/>
        <v>7017</v>
      </c>
      <c r="AO107" s="805">
        <f t="shared" si="74"/>
        <v>16983</v>
      </c>
      <c r="AP107" s="793">
        <f t="shared" si="75"/>
        <v>16983</v>
      </c>
      <c r="AQ107" s="793">
        <f t="shared" si="76"/>
        <v>24000</v>
      </c>
      <c r="AR107" s="793">
        <f t="shared" si="77"/>
        <v>366</v>
      </c>
      <c r="AS107" s="793">
        <f t="shared" si="78"/>
        <v>7621</v>
      </c>
      <c r="AT107" s="793">
        <f t="shared" si="79"/>
        <v>14638</v>
      </c>
      <c r="AU107" s="793">
        <f t="shared" si="80"/>
        <v>9362</v>
      </c>
      <c r="AV107" s="793">
        <f t="shared" si="81"/>
        <v>9362</v>
      </c>
      <c r="AW107" s="793">
        <f t="shared" si="82"/>
        <v>24000</v>
      </c>
      <c r="AX107" s="793">
        <f t="shared" si="83"/>
        <v>365</v>
      </c>
      <c r="AY107" s="793">
        <f t="shared" si="84"/>
        <v>7600</v>
      </c>
      <c r="AZ107" s="793">
        <f t="shared" si="85"/>
        <v>22238</v>
      </c>
      <c r="BA107" s="793">
        <f t="shared" si="90"/>
        <v>1762</v>
      </c>
    </row>
    <row r="108" spans="1:53" ht="15" customHeight="1" x14ac:dyDescent="0.25">
      <c r="A108" s="842" t="s">
        <v>1187</v>
      </c>
      <c r="B108" s="1384" t="s">
        <v>972</v>
      </c>
      <c r="C108" s="778">
        <f t="shared" si="58"/>
        <v>0.31666666666666665</v>
      </c>
      <c r="D108" s="844">
        <v>3</v>
      </c>
      <c r="E108" s="844" t="s">
        <v>677</v>
      </c>
      <c r="F108" s="853">
        <v>44846</v>
      </c>
      <c r="G108" s="845">
        <f t="shared" si="91"/>
        <v>44846</v>
      </c>
      <c r="H108" s="781">
        <f t="shared" si="59"/>
        <v>45941</v>
      </c>
      <c r="I108" s="1383">
        <v>190000</v>
      </c>
      <c r="J108" s="805">
        <f t="shared" si="60"/>
        <v>9500</v>
      </c>
      <c r="K108" s="805"/>
      <c r="L108" s="793">
        <v>0</v>
      </c>
      <c r="M108" s="793">
        <v>0</v>
      </c>
      <c r="N108" s="793">
        <v>0</v>
      </c>
      <c r="O108" s="793">
        <v>0</v>
      </c>
      <c r="P108" s="793">
        <v>0</v>
      </c>
      <c r="Q108" s="793">
        <v>0</v>
      </c>
      <c r="R108" s="793">
        <v>0</v>
      </c>
      <c r="S108" s="793">
        <v>0</v>
      </c>
      <c r="T108" s="793">
        <v>0</v>
      </c>
      <c r="U108" s="793">
        <v>0</v>
      </c>
      <c r="V108" s="793">
        <v>0</v>
      </c>
      <c r="W108" s="793">
        <v>0</v>
      </c>
      <c r="X108" s="793">
        <v>0</v>
      </c>
      <c r="Y108" s="793">
        <v>0</v>
      </c>
      <c r="Z108" s="793">
        <v>0</v>
      </c>
      <c r="AA108" s="793">
        <v>0</v>
      </c>
      <c r="AB108" s="793">
        <v>0</v>
      </c>
      <c r="AC108" s="793">
        <v>0</v>
      </c>
      <c r="AD108" s="793">
        <f t="shared" si="64"/>
        <v>0</v>
      </c>
      <c r="AE108" s="793"/>
      <c r="AF108" s="793"/>
      <c r="AG108" s="793"/>
      <c r="AH108" s="805"/>
      <c r="AI108" s="805"/>
      <c r="AJ108" s="793">
        <f t="shared" si="88"/>
        <v>0</v>
      </c>
      <c r="AK108" s="793">
        <f t="shared" si="70"/>
        <v>190000</v>
      </c>
      <c r="AL108" s="793">
        <f t="shared" si="71"/>
        <v>171</v>
      </c>
      <c r="AM108" s="793">
        <f t="shared" si="72"/>
        <v>28188</v>
      </c>
      <c r="AN108" s="805">
        <f t="shared" si="73"/>
        <v>28188</v>
      </c>
      <c r="AO108" s="805">
        <f>AK108-AN108</f>
        <v>161812</v>
      </c>
      <c r="AP108" s="793">
        <f t="shared" si="75"/>
        <v>161812</v>
      </c>
      <c r="AQ108" s="793">
        <f t="shared" si="76"/>
        <v>190000</v>
      </c>
      <c r="AR108" s="793">
        <f t="shared" si="77"/>
        <v>366</v>
      </c>
      <c r="AS108" s="793">
        <f t="shared" si="78"/>
        <v>60332</v>
      </c>
      <c r="AT108" s="793">
        <f t="shared" si="79"/>
        <v>88520</v>
      </c>
      <c r="AU108" s="793">
        <f t="shared" si="80"/>
        <v>101480</v>
      </c>
      <c r="AV108" s="793">
        <f t="shared" si="81"/>
        <v>101480</v>
      </c>
      <c r="AW108" s="793">
        <f t="shared" si="82"/>
        <v>190000</v>
      </c>
      <c r="AX108" s="793">
        <f t="shared" si="83"/>
        <v>365</v>
      </c>
      <c r="AY108" s="793">
        <f t="shared" si="84"/>
        <v>60167</v>
      </c>
      <c r="AZ108" s="793">
        <f t="shared" si="85"/>
        <v>148687</v>
      </c>
      <c r="BA108" s="793">
        <f t="shared" si="90"/>
        <v>41313</v>
      </c>
    </row>
    <row r="109" spans="1:53" ht="15" customHeight="1" x14ac:dyDescent="0.25">
      <c r="A109" s="1385" t="s">
        <v>1832</v>
      </c>
      <c r="B109" s="1386"/>
      <c r="C109" s="1387"/>
      <c r="D109" s="967"/>
      <c r="E109" s="967"/>
      <c r="F109" s="1388"/>
      <c r="G109" s="1388"/>
      <c r="H109" s="1389"/>
      <c r="I109" s="1390"/>
      <c r="J109" s="1391"/>
      <c r="K109" s="1391"/>
      <c r="L109" s="1392"/>
      <c r="M109" s="1392"/>
      <c r="N109" s="1392"/>
      <c r="O109" s="1392"/>
      <c r="P109" s="1392"/>
      <c r="Q109" s="1392"/>
      <c r="R109" s="1392"/>
      <c r="S109" s="1392"/>
      <c r="T109" s="1392"/>
      <c r="U109" s="1392"/>
      <c r="V109" s="1392"/>
      <c r="W109" s="1392"/>
      <c r="X109" s="1392"/>
      <c r="Y109" s="1392"/>
      <c r="Z109" s="1392"/>
      <c r="AA109" s="1392"/>
      <c r="AB109" s="1392"/>
      <c r="AC109" s="1392"/>
      <c r="AD109" s="1392"/>
      <c r="AE109" s="1392"/>
      <c r="AF109" s="1392"/>
      <c r="AG109" s="1392"/>
      <c r="AH109" s="1391"/>
      <c r="AI109" s="1391"/>
      <c r="AJ109" s="1392"/>
      <c r="AK109" s="1392"/>
      <c r="AL109" s="1392"/>
      <c r="AM109" s="1392"/>
      <c r="AN109" s="1391">
        <v>258826</v>
      </c>
      <c r="AO109" s="805">
        <f>AK109-AN109</f>
        <v>-258826</v>
      </c>
      <c r="AP109" s="793">
        <f t="shared" si="75"/>
        <v>-258826</v>
      </c>
      <c r="AQ109" s="1391"/>
      <c r="AR109" s="1391"/>
      <c r="AS109" s="1391"/>
      <c r="AT109" s="805">
        <f>+AN109</f>
        <v>258826</v>
      </c>
      <c r="AU109" s="805">
        <f>AQ109-AT109</f>
        <v>-258826</v>
      </c>
      <c r="AV109" s="793">
        <f>+AU109</f>
        <v>-258826</v>
      </c>
      <c r="AW109" s="1392"/>
      <c r="AX109" s="1392"/>
      <c r="AY109" s="1392"/>
      <c r="AZ109" s="805">
        <f>+AT109</f>
        <v>258826</v>
      </c>
      <c r="BA109" s="805">
        <f>AW109-AZ109</f>
        <v>-258826</v>
      </c>
    </row>
    <row r="110" spans="1:53" ht="15" customHeight="1" x14ac:dyDescent="0.25">
      <c r="A110" s="842" t="s">
        <v>1187</v>
      </c>
      <c r="B110" s="822" t="s">
        <v>285</v>
      </c>
      <c r="C110" s="778">
        <f t="shared" ref="C110:C130" si="92">(95/D110)/100</f>
        <v>0.31666666666666665</v>
      </c>
      <c r="D110" s="844">
        <v>3</v>
      </c>
      <c r="E110" s="844" t="s">
        <v>884</v>
      </c>
      <c r="F110" s="862">
        <v>45026</v>
      </c>
      <c r="G110" s="862">
        <v>45026</v>
      </c>
      <c r="H110" s="781">
        <f t="shared" ref="H110:H131" si="93">G110+(365*D110)</f>
        <v>46121</v>
      </c>
      <c r="I110" s="815">
        <v>59313</v>
      </c>
      <c r="J110" s="805">
        <f t="shared" ref="J110:J131" si="94">I110*5%</f>
        <v>2965.65</v>
      </c>
      <c r="K110" s="805"/>
      <c r="L110" s="793"/>
      <c r="M110" s="793"/>
      <c r="N110" s="793"/>
      <c r="O110" s="793"/>
      <c r="P110" s="793"/>
      <c r="Q110" s="793"/>
      <c r="R110" s="793"/>
      <c r="S110" s="793"/>
      <c r="T110" s="793"/>
      <c r="U110" s="793"/>
      <c r="V110" s="793"/>
      <c r="W110" s="793"/>
      <c r="X110" s="793"/>
      <c r="Y110" s="793"/>
      <c r="Z110" s="793"/>
      <c r="AA110" s="793"/>
      <c r="AB110" s="793"/>
      <c r="AC110" s="793"/>
      <c r="AD110" s="793"/>
      <c r="AE110" s="793"/>
      <c r="AF110" s="793"/>
      <c r="AG110" s="793"/>
      <c r="AH110" s="805"/>
      <c r="AI110" s="805"/>
      <c r="AJ110" s="793"/>
      <c r="AK110" s="793"/>
      <c r="AL110" s="793"/>
      <c r="AM110" s="793"/>
      <c r="AN110" s="805"/>
      <c r="AO110" s="805"/>
      <c r="AP110" s="793">
        <f t="shared" si="75"/>
        <v>0</v>
      </c>
      <c r="AQ110" s="793">
        <f t="shared" ref="AQ110:AQ122" si="95">I110</f>
        <v>59313</v>
      </c>
      <c r="AR110" s="793">
        <f t="shared" ref="AR110:AR123" si="96">IF(AND(F110&gt;$AJ$3,F110&lt;$AP$3),$AP$3-F110+1,IF(H110&lt;=$AJ$3,0,IF(H110&gt;$AP$3,$AP$3-$AJ$3,H110-$AJ$3)))</f>
        <v>357</v>
      </c>
      <c r="AS110" s="793">
        <f t="shared" ref="AS110:AS123" si="97">ROUND(AQ110*C110*AR110/365,0)</f>
        <v>18371</v>
      </c>
      <c r="AT110" s="793">
        <f t="shared" si="79"/>
        <v>18371</v>
      </c>
      <c r="AU110" s="793">
        <f t="shared" si="80"/>
        <v>40942</v>
      </c>
      <c r="AV110" s="793">
        <f t="shared" si="81"/>
        <v>40942</v>
      </c>
      <c r="AW110" s="793">
        <f t="shared" ref="AW110:AW122" si="98">+I110</f>
        <v>59313</v>
      </c>
      <c r="AX110" s="793">
        <f t="shared" ref="AX110:AX122" si="99">IF(AND(F110&gt;$AP$3,F110&lt;$AV$3),$AV$3-F110+1,IF(H110&lt;=$AP$3,0,IF(H110&gt;$AV$3,$AV$3-$AP$3,H110-$AP$3)))</f>
        <v>365</v>
      </c>
      <c r="AY110" s="793">
        <f t="shared" ref="AY110:AY131" si="100">ROUND(AW110*C110*AX110/365,0)</f>
        <v>18782</v>
      </c>
      <c r="AZ110" s="793">
        <f t="shared" si="85"/>
        <v>37153</v>
      </c>
      <c r="BA110" s="793">
        <f t="shared" si="90"/>
        <v>22160</v>
      </c>
    </row>
    <row r="111" spans="1:53" ht="15" customHeight="1" x14ac:dyDescent="0.25">
      <c r="A111" s="842" t="s">
        <v>1187</v>
      </c>
      <c r="B111" s="822" t="s">
        <v>285</v>
      </c>
      <c r="C111" s="778">
        <f t="shared" si="92"/>
        <v>0.31666666666666665</v>
      </c>
      <c r="D111" s="844">
        <v>3</v>
      </c>
      <c r="E111" s="844" t="s">
        <v>884</v>
      </c>
      <c r="F111" s="862">
        <v>45026</v>
      </c>
      <c r="G111" s="862">
        <v>45026</v>
      </c>
      <c r="H111" s="781">
        <f t="shared" si="93"/>
        <v>46121</v>
      </c>
      <c r="I111" s="815">
        <v>22000</v>
      </c>
      <c r="J111" s="805">
        <f t="shared" si="94"/>
        <v>1100</v>
      </c>
      <c r="K111" s="805"/>
      <c r="L111" s="793"/>
      <c r="M111" s="793"/>
      <c r="N111" s="793"/>
      <c r="O111" s="793"/>
      <c r="P111" s="793"/>
      <c r="Q111" s="793"/>
      <c r="R111" s="793"/>
      <c r="S111" s="793"/>
      <c r="T111" s="793"/>
      <c r="U111" s="793"/>
      <c r="V111" s="793"/>
      <c r="W111" s="793"/>
      <c r="X111" s="793"/>
      <c r="Y111" s="793"/>
      <c r="Z111" s="793"/>
      <c r="AA111" s="793"/>
      <c r="AB111" s="793"/>
      <c r="AC111" s="793"/>
      <c r="AD111" s="793"/>
      <c r="AE111" s="793"/>
      <c r="AF111" s="793"/>
      <c r="AG111" s="793"/>
      <c r="AH111" s="805"/>
      <c r="AI111" s="805"/>
      <c r="AJ111" s="793"/>
      <c r="AK111" s="793"/>
      <c r="AL111" s="793"/>
      <c r="AM111" s="793"/>
      <c r="AN111" s="805"/>
      <c r="AO111" s="805"/>
      <c r="AP111" s="793">
        <f t="shared" si="75"/>
        <v>0</v>
      </c>
      <c r="AQ111" s="793">
        <f t="shared" si="95"/>
        <v>22000</v>
      </c>
      <c r="AR111" s="793">
        <f t="shared" si="96"/>
        <v>357</v>
      </c>
      <c r="AS111" s="793">
        <f t="shared" si="97"/>
        <v>6814</v>
      </c>
      <c r="AT111" s="793">
        <f t="shared" si="79"/>
        <v>6814</v>
      </c>
      <c r="AU111" s="793">
        <f t="shared" si="80"/>
        <v>15186</v>
      </c>
      <c r="AV111" s="793">
        <f t="shared" si="81"/>
        <v>15186</v>
      </c>
      <c r="AW111" s="793">
        <f t="shared" si="98"/>
        <v>22000</v>
      </c>
      <c r="AX111" s="793">
        <f t="shared" si="99"/>
        <v>365</v>
      </c>
      <c r="AY111" s="793">
        <f t="shared" si="100"/>
        <v>6967</v>
      </c>
      <c r="AZ111" s="793">
        <f t="shared" si="85"/>
        <v>13781</v>
      </c>
      <c r="BA111" s="793">
        <f t="shared" si="90"/>
        <v>8219</v>
      </c>
    </row>
    <row r="112" spans="1:53" ht="15" customHeight="1" x14ac:dyDescent="0.25">
      <c r="A112" s="842" t="s">
        <v>1187</v>
      </c>
      <c r="B112" s="822" t="s">
        <v>285</v>
      </c>
      <c r="C112" s="778">
        <f t="shared" si="92"/>
        <v>0.31666666666666665</v>
      </c>
      <c r="D112" s="844">
        <v>3</v>
      </c>
      <c r="E112" s="844" t="s">
        <v>884</v>
      </c>
      <c r="F112" s="862">
        <v>45100</v>
      </c>
      <c r="G112" s="862">
        <v>45100</v>
      </c>
      <c r="H112" s="781">
        <f t="shared" si="93"/>
        <v>46195</v>
      </c>
      <c r="I112" s="815">
        <v>22000</v>
      </c>
      <c r="J112" s="805">
        <f t="shared" si="94"/>
        <v>1100</v>
      </c>
      <c r="K112" s="805"/>
      <c r="L112" s="793"/>
      <c r="M112" s="793"/>
      <c r="N112" s="793"/>
      <c r="O112" s="793"/>
      <c r="P112" s="793"/>
      <c r="Q112" s="793"/>
      <c r="R112" s="793"/>
      <c r="S112" s="793"/>
      <c r="T112" s="793"/>
      <c r="U112" s="793"/>
      <c r="V112" s="793"/>
      <c r="W112" s="793"/>
      <c r="X112" s="793"/>
      <c r="Y112" s="793"/>
      <c r="Z112" s="793"/>
      <c r="AA112" s="793"/>
      <c r="AB112" s="793"/>
      <c r="AC112" s="793"/>
      <c r="AD112" s="793"/>
      <c r="AE112" s="793"/>
      <c r="AF112" s="793"/>
      <c r="AG112" s="793"/>
      <c r="AH112" s="805"/>
      <c r="AI112" s="805"/>
      <c r="AJ112" s="793"/>
      <c r="AK112" s="793"/>
      <c r="AL112" s="793"/>
      <c r="AM112" s="793"/>
      <c r="AN112" s="805"/>
      <c r="AO112" s="805"/>
      <c r="AP112" s="793">
        <f t="shared" si="75"/>
        <v>0</v>
      </c>
      <c r="AQ112" s="793">
        <f t="shared" si="95"/>
        <v>22000</v>
      </c>
      <c r="AR112" s="793">
        <f t="shared" si="96"/>
        <v>283</v>
      </c>
      <c r="AS112" s="793">
        <f t="shared" si="97"/>
        <v>5402</v>
      </c>
      <c r="AT112" s="793">
        <f t="shared" si="79"/>
        <v>5402</v>
      </c>
      <c r="AU112" s="793">
        <f t="shared" si="80"/>
        <v>16598</v>
      </c>
      <c r="AV112" s="793">
        <f t="shared" si="81"/>
        <v>16598</v>
      </c>
      <c r="AW112" s="793">
        <f t="shared" si="98"/>
        <v>22000</v>
      </c>
      <c r="AX112" s="793">
        <f t="shared" si="99"/>
        <v>365</v>
      </c>
      <c r="AY112" s="793">
        <f t="shared" si="100"/>
        <v>6967</v>
      </c>
      <c r="AZ112" s="793">
        <f t="shared" si="85"/>
        <v>12369</v>
      </c>
      <c r="BA112" s="793">
        <f t="shared" si="90"/>
        <v>9631</v>
      </c>
    </row>
    <row r="113" spans="1:53" ht="15" customHeight="1" x14ac:dyDescent="0.25">
      <c r="A113" s="842" t="s">
        <v>1187</v>
      </c>
      <c r="B113" s="863" t="s">
        <v>1221</v>
      </c>
      <c r="C113" s="778">
        <f t="shared" si="92"/>
        <v>0.31666666666666665</v>
      </c>
      <c r="D113" s="844">
        <v>3</v>
      </c>
      <c r="E113" s="844" t="s">
        <v>884</v>
      </c>
      <c r="F113" s="862">
        <v>45175</v>
      </c>
      <c r="G113" s="862">
        <v>45175</v>
      </c>
      <c r="H113" s="781">
        <f t="shared" si="93"/>
        <v>46270</v>
      </c>
      <c r="I113" s="815">
        <v>39404</v>
      </c>
      <c r="J113" s="805">
        <f t="shared" si="94"/>
        <v>1970.2</v>
      </c>
      <c r="K113" s="805"/>
      <c r="L113" s="793"/>
      <c r="M113" s="793"/>
      <c r="N113" s="793"/>
      <c r="O113" s="793"/>
      <c r="P113" s="793"/>
      <c r="Q113" s="793"/>
      <c r="R113" s="793"/>
      <c r="S113" s="793"/>
      <c r="T113" s="793"/>
      <c r="U113" s="793"/>
      <c r="V113" s="793"/>
      <c r="W113" s="793"/>
      <c r="X113" s="793"/>
      <c r="Y113" s="793"/>
      <c r="Z113" s="793"/>
      <c r="AA113" s="793"/>
      <c r="AB113" s="793"/>
      <c r="AC113" s="793"/>
      <c r="AD113" s="793"/>
      <c r="AE113" s="793"/>
      <c r="AF113" s="793"/>
      <c r="AG113" s="793"/>
      <c r="AH113" s="805"/>
      <c r="AI113" s="805"/>
      <c r="AJ113" s="793"/>
      <c r="AK113" s="793"/>
      <c r="AL113" s="793"/>
      <c r="AM113" s="793"/>
      <c r="AN113" s="805"/>
      <c r="AO113" s="805"/>
      <c r="AP113" s="793">
        <f t="shared" si="75"/>
        <v>0</v>
      </c>
      <c r="AQ113" s="793">
        <f t="shared" si="95"/>
        <v>39404</v>
      </c>
      <c r="AR113" s="793">
        <f t="shared" si="96"/>
        <v>208</v>
      </c>
      <c r="AS113" s="793">
        <f t="shared" si="97"/>
        <v>7111</v>
      </c>
      <c r="AT113" s="793">
        <f t="shared" si="79"/>
        <v>7111</v>
      </c>
      <c r="AU113" s="793">
        <f t="shared" si="80"/>
        <v>32293</v>
      </c>
      <c r="AV113" s="793">
        <f t="shared" si="81"/>
        <v>32293</v>
      </c>
      <c r="AW113" s="793">
        <f t="shared" si="98"/>
        <v>39404</v>
      </c>
      <c r="AX113" s="793">
        <f t="shared" si="99"/>
        <v>365</v>
      </c>
      <c r="AY113" s="793">
        <f t="shared" si="100"/>
        <v>12478</v>
      </c>
      <c r="AZ113" s="793">
        <f t="shared" si="85"/>
        <v>19589</v>
      </c>
      <c r="BA113" s="793">
        <f t="shared" si="90"/>
        <v>19815</v>
      </c>
    </row>
    <row r="114" spans="1:53" ht="15" customHeight="1" x14ac:dyDescent="0.25">
      <c r="A114" s="842" t="s">
        <v>1187</v>
      </c>
      <c r="B114" s="822" t="s">
        <v>404</v>
      </c>
      <c r="C114" s="778">
        <f t="shared" si="92"/>
        <v>0.31666666666666665</v>
      </c>
      <c r="D114" s="844">
        <v>3</v>
      </c>
      <c r="E114" s="844" t="s">
        <v>884</v>
      </c>
      <c r="F114" s="862">
        <v>45264</v>
      </c>
      <c r="G114" s="862">
        <v>45264</v>
      </c>
      <c r="H114" s="781">
        <f t="shared" si="93"/>
        <v>46359</v>
      </c>
      <c r="I114" s="815">
        <v>9915</v>
      </c>
      <c r="J114" s="805">
        <f t="shared" si="94"/>
        <v>495.75</v>
      </c>
      <c r="K114" s="805"/>
      <c r="L114" s="793"/>
      <c r="M114" s="793"/>
      <c r="N114" s="793"/>
      <c r="O114" s="793"/>
      <c r="P114" s="793"/>
      <c r="Q114" s="793"/>
      <c r="R114" s="793"/>
      <c r="S114" s="793"/>
      <c r="T114" s="793"/>
      <c r="U114" s="793"/>
      <c r="V114" s="793"/>
      <c r="W114" s="793"/>
      <c r="X114" s="793"/>
      <c r="Y114" s="793"/>
      <c r="Z114" s="793"/>
      <c r="AA114" s="793"/>
      <c r="AB114" s="793"/>
      <c r="AC114" s="793"/>
      <c r="AD114" s="793"/>
      <c r="AE114" s="793"/>
      <c r="AF114" s="793"/>
      <c r="AG114" s="793"/>
      <c r="AH114" s="805"/>
      <c r="AI114" s="805"/>
      <c r="AJ114" s="793"/>
      <c r="AK114" s="793"/>
      <c r="AL114" s="793"/>
      <c r="AM114" s="793"/>
      <c r="AN114" s="805"/>
      <c r="AO114" s="805"/>
      <c r="AP114" s="793">
        <f t="shared" si="75"/>
        <v>0</v>
      </c>
      <c r="AQ114" s="793">
        <f t="shared" si="95"/>
        <v>9915</v>
      </c>
      <c r="AR114" s="793">
        <f t="shared" si="96"/>
        <v>119</v>
      </c>
      <c r="AS114" s="793">
        <f t="shared" si="97"/>
        <v>1024</v>
      </c>
      <c r="AT114" s="793">
        <f t="shared" si="79"/>
        <v>1024</v>
      </c>
      <c r="AU114" s="793">
        <f t="shared" si="80"/>
        <v>8891</v>
      </c>
      <c r="AV114" s="793">
        <f t="shared" si="81"/>
        <v>8891</v>
      </c>
      <c r="AW114" s="793">
        <f t="shared" si="98"/>
        <v>9915</v>
      </c>
      <c r="AX114" s="793">
        <f t="shared" si="99"/>
        <v>365</v>
      </c>
      <c r="AY114" s="793">
        <f t="shared" si="100"/>
        <v>3140</v>
      </c>
      <c r="AZ114" s="793">
        <f t="shared" si="85"/>
        <v>4164</v>
      </c>
      <c r="BA114" s="793">
        <f t="shared" si="90"/>
        <v>5751</v>
      </c>
    </row>
    <row r="115" spans="1:53" ht="15" customHeight="1" x14ac:dyDescent="0.25">
      <c r="A115" s="842" t="s">
        <v>1187</v>
      </c>
      <c r="B115" s="822" t="s">
        <v>291</v>
      </c>
      <c r="C115" s="778">
        <f t="shared" si="92"/>
        <v>0.31666666666666665</v>
      </c>
      <c r="D115" s="844">
        <v>3</v>
      </c>
      <c r="E115" s="844" t="s">
        <v>884</v>
      </c>
      <c r="F115" s="862">
        <v>45264</v>
      </c>
      <c r="G115" s="862">
        <v>45264</v>
      </c>
      <c r="H115" s="781">
        <f t="shared" si="93"/>
        <v>46359</v>
      </c>
      <c r="I115" s="815">
        <v>7627</v>
      </c>
      <c r="J115" s="805">
        <f t="shared" si="94"/>
        <v>381.35</v>
      </c>
      <c r="K115" s="805"/>
      <c r="L115" s="793"/>
      <c r="M115" s="793"/>
      <c r="N115" s="793"/>
      <c r="O115" s="793"/>
      <c r="P115" s="793"/>
      <c r="Q115" s="793"/>
      <c r="R115" s="793"/>
      <c r="S115" s="793"/>
      <c r="T115" s="793"/>
      <c r="U115" s="793"/>
      <c r="V115" s="793"/>
      <c r="W115" s="793"/>
      <c r="X115" s="793"/>
      <c r="Y115" s="793"/>
      <c r="Z115" s="793"/>
      <c r="AA115" s="793"/>
      <c r="AB115" s="793"/>
      <c r="AC115" s="793"/>
      <c r="AD115" s="793"/>
      <c r="AE115" s="793"/>
      <c r="AF115" s="793"/>
      <c r="AG115" s="793"/>
      <c r="AH115" s="805"/>
      <c r="AI115" s="805"/>
      <c r="AJ115" s="793"/>
      <c r="AK115" s="793"/>
      <c r="AL115" s="793"/>
      <c r="AM115" s="793"/>
      <c r="AN115" s="805"/>
      <c r="AO115" s="805"/>
      <c r="AP115" s="793">
        <f t="shared" si="75"/>
        <v>0</v>
      </c>
      <c r="AQ115" s="793">
        <f t="shared" si="95"/>
        <v>7627</v>
      </c>
      <c r="AR115" s="793">
        <f t="shared" si="96"/>
        <v>119</v>
      </c>
      <c r="AS115" s="793">
        <f t="shared" si="97"/>
        <v>787</v>
      </c>
      <c r="AT115" s="793">
        <f t="shared" si="79"/>
        <v>787</v>
      </c>
      <c r="AU115" s="793">
        <f t="shared" si="80"/>
        <v>6840</v>
      </c>
      <c r="AV115" s="793">
        <f t="shared" si="81"/>
        <v>6840</v>
      </c>
      <c r="AW115" s="793">
        <f t="shared" si="98"/>
        <v>7627</v>
      </c>
      <c r="AX115" s="793">
        <f t="shared" si="99"/>
        <v>365</v>
      </c>
      <c r="AY115" s="793">
        <f t="shared" si="100"/>
        <v>2415</v>
      </c>
      <c r="AZ115" s="793">
        <f t="shared" si="85"/>
        <v>3202</v>
      </c>
      <c r="BA115" s="793">
        <f t="shared" si="90"/>
        <v>4425</v>
      </c>
    </row>
    <row r="116" spans="1:53" ht="15" customHeight="1" x14ac:dyDescent="0.25">
      <c r="A116" s="842" t="s">
        <v>1187</v>
      </c>
      <c r="B116" s="863" t="s">
        <v>1221</v>
      </c>
      <c r="C116" s="778">
        <f t="shared" si="92"/>
        <v>0.31666666666666665</v>
      </c>
      <c r="D116" s="844">
        <v>3</v>
      </c>
      <c r="E116" s="844" t="s">
        <v>884</v>
      </c>
      <c r="F116" s="862">
        <v>45300</v>
      </c>
      <c r="G116" s="862">
        <v>45300</v>
      </c>
      <c r="H116" s="781">
        <f t="shared" si="93"/>
        <v>46395</v>
      </c>
      <c r="I116" s="815">
        <v>81000</v>
      </c>
      <c r="J116" s="805">
        <f t="shared" si="94"/>
        <v>4050</v>
      </c>
      <c r="K116" s="805"/>
      <c r="L116" s="793"/>
      <c r="M116" s="793"/>
      <c r="N116" s="793"/>
      <c r="O116" s="793"/>
      <c r="P116" s="793"/>
      <c r="Q116" s="793"/>
      <c r="R116" s="793"/>
      <c r="S116" s="793"/>
      <c r="T116" s="793"/>
      <c r="U116" s="793"/>
      <c r="V116" s="793"/>
      <c r="W116" s="793"/>
      <c r="X116" s="793"/>
      <c r="Y116" s="793"/>
      <c r="Z116" s="793"/>
      <c r="AA116" s="793"/>
      <c r="AB116" s="793"/>
      <c r="AC116" s="793"/>
      <c r="AD116" s="793"/>
      <c r="AE116" s="793"/>
      <c r="AF116" s="793"/>
      <c r="AG116" s="793"/>
      <c r="AH116" s="805"/>
      <c r="AI116" s="805"/>
      <c r="AJ116" s="793"/>
      <c r="AK116" s="793"/>
      <c r="AL116" s="793"/>
      <c r="AM116" s="793"/>
      <c r="AN116" s="805"/>
      <c r="AO116" s="805"/>
      <c r="AP116" s="793">
        <f t="shared" si="75"/>
        <v>0</v>
      </c>
      <c r="AQ116" s="793">
        <f t="shared" si="95"/>
        <v>81000</v>
      </c>
      <c r="AR116" s="793">
        <f t="shared" si="96"/>
        <v>83</v>
      </c>
      <c r="AS116" s="793">
        <f t="shared" si="97"/>
        <v>5833</v>
      </c>
      <c r="AT116" s="793">
        <f t="shared" si="79"/>
        <v>5833</v>
      </c>
      <c r="AU116" s="793">
        <f t="shared" si="80"/>
        <v>75167</v>
      </c>
      <c r="AV116" s="793">
        <f t="shared" si="81"/>
        <v>75167</v>
      </c>
      <c r="AW116" s="793">
        <f t="shared" si="98"/>
        <v>81000</v>
      </c>
      <c r="AX116" s="793">
        <f t="shared" si="99"/>
        <v>365</v>
      </c>
      <c r="AY116" s="793">
        <f t="shared" si="100"/>
        <v>25650</v>
      </c>
      <c r="AZ116" s="793">
        <f t="shared" si="85"/>
        <v>31483</v>
      </c>
      <c r="BA116" s="793">
        <f t="shared" si="90"/>
        <v>49517</v>
      </c>
    </row>
    <row r="117" spans="1:53" ht="15" customHeight="1" x14ac:dyDescent="0.25">
      <c r="A117" s="842" t="s">
        <v>1187</v>
      </c>
      <c r="B117" s="863" t="s">
        <v>1221</v>
      </c>
      <c r="C117" s="778">
        <f t="shared" si="92"/>
        <v>0.31666666666666665</v>
      </c>
      <c r="D117" s="844">
        <v>3</v>
      </c>
      <c r="E117" s="844" t="s">
        <v>884</v>
      </c>
      <c r="F117" s="814">
        <v>45323</v>
      </c>
      <c r="G117" s="814">
        <v>45323</v>
      </c>
      <c r="H117" s="781">
        <f t="shared" si="93"/>
        <v>46418</v>
      </c>
      <c r="I117" s="823">
        <v>21500</v>
      </c>
      <c r="J117" s="805">
        <f t="shared" si="94"/>
        <v>1075</v>
      </c>
      <c r="K117" s="805"/>
      <c r="L117" s="793"/>
      <c r="M117" s="793"/>
      <c r="N117" s="793"/>
      <c r="O117" s="793"/>
      <c r="P117" s="793"/>
      <c r="Q117" s="793"/>
      <c r="R117" s="793"/>
      <c r="S117" s="793"/>
      <c r="T117" s="793"/>
      <c r="U117" s="793"/>
      <c r="V117" s="793"/>
      <c r="W117" s="793"/>
      <c r="X117" s="793"/>
      <c r="Y117" s="793"/>
      <c r="Z117" s="793"/>
      <c r="AA117" s="793"/>
      <c r="AB117" s="793"/>
      <c r="AC117" s="793"/>
      <c r="AD117" s="793"/>
      <c r="AE117" s="793"/>
      <c r="AF117" s="793"/>
      <c r="AG117" s="793"/>
      <c r="AH117" s="805"/>
      <c r="AI117" s="805"/>
      <c r="AJ117" s="793"/>
      <c r="AK117" s="793"/>
      <c r="AL117" s="793"/>
      <c r="AM117" s="793"/>
      <c r="AN117" s="805"/>
      <c r="AO117" s="805"/>
      <c r="AP117" s="793">
        <f t="shared" si="75"/>
        <v>0</v>
      </c>
      <c r="AQ117" s="793">
        <f t="shared" si="95"/>
        <v>21500</v>
      </c>
      <c r="AR117" s="793">
        <f t="shared" si="96"/>
        <v>60</v>
      </c>
      <c r="AS117" s="793">
        <f t="shared" si="97"/>
        <v>1119</v>
      </c>
      <c r="AT117" s="793">
        <f t="shared" si="79"/>
        <v>1119</v>
      </c>
      <c r="AU117" s="793">
        <f t="shared" si="80"/>
        <v>20381</v>
      </c>
      <c r="AV117" s="793">
        <f t="shared" si="81"/>
        <v>20381</v>
      </c>
      <c r="AW117" s="793">
        <f t="shared" si="98"/>
        <v>21500</v>
      </c>
      <c r="AX117" s="793">
        <f t="shared" si="99"/>
        <v>365</v>
      </c>
      <c r="AY117" s="793">
        <f t="shared" si="100"/>
        <v>6808</v>
      </c>
      <c r="AZ117" s="793">
        <f t="shared" si="85"/>
        <v>7927</v>
      </c>
      <c r="BA117" s="793">
        <f t="shared" si="90"/>
        <v>13573</v>
      </c>
    </row>
    <row r="118" spans="1:53" ht="15" customHeight="1" x14ac:dyDescent="0.25">
      <c r="A118" s="842" t="s">
        <v>1187</v>
      </c>
      <c r="B118" s="822" t="s">
        <v>291</v>
      </c>
      <c r="C118" s="778">
        <f t="shared" si="92"/>
        <v>0.31666666666666665</v>
      </c>
      <c r="D118" s="844">
        <v>3</v>
      </c>
      <c r="E118" s="844" t="s">
        <v>884</v>
      </c>
      <c r="F118" s="814">
        <v>45324</v>
      </c>
      <c r="G118" s="814">
        <v>45324</v>
      </c>
      <c r="H118" s="781">
        <f t="shared" si="93"/>
        <v>46419</v>
      </c>
      <c r="I118" s="815">
        <v>47034</v>
      </c>
      <c r="J118" s="805">
        <f t="shared" si="94"/>
        <v>2351.7000000000003</v>
      </c>
      <c r="K118" s="805"/>
      <c r="L118" s="793"/>
      <c r="M118" s="793"/>
      <c r="N118" s="793"/>
      <c r="O118" s="793"/>
      <c r="P118" s="793"/>
      <c r="Q118" s="793"/>
      <c r="R118" s="793"/>
      <c r="S118" s="793"/>
      <c r="T118" s="793"/>
      <c r="U118" s="793"/>
      <c r="V118" s="793"/>
      <c r="W118" s="793"/>
      <c r="X118" s="793"/>
      <c r="Y118" s="793"/>
      <c r="Z118" s="793"/>
      <c r="AA118" s="793"/>
      <c r="AB118" s="793"/>
      <c r="AC118" s="793"/>
      <c r="AD118" s="793"/>
      <c r="AE118" s="793"/>
      <c r="AF118" s="793"/>
      <c r="AG118" s="793"/>
      <c r="AH118" s="805"/>
      <c r="AI118" s="805"/>
      <c r="AJ118" s="793"/>
      <c r="AK118" s="793"/>
      <c r="AL118" s="793"/>
      <c r="AM118" s="793"/>
      <c r="AN118" s="805"/>
      <c r="AO118" s="805"/>
      <c r="AP118" s="793">
        <f t="shared" si="75"/>
        <v>0</v>
      </c>
      <c r="AQ118" s="793">
        <f t="shared" si="95"/>
        <v>47034</v>
      </c>
      <c r="AR118" s="793">
        <f t="shared" si="96"/>
        <v>59</v>
      </c>
      <c r="AS118" s="793">
        <f t="shared" si="97"/>
        <v>2408</v>
      </c>
      <c r="AT118" s="793">
        <f t="shared" si="79"/>
        <v>2408</v>
      </c>
      <c r="AU118" s="793">
        <f t="shared" si="80"/>
        <v>44626</v>
      </c>
      <c r="AV118" s="793">
        <f t="shared" si="81"/>
        <v>44626</v>
      </c>
      <c r="AW118" s="793">
        <f t="shared" si="98"/>
        <v>47034</v>
      </c>
      <c r="AX118" s="793">
        <f t="shared" si="99"/>
        <v>365</v>
      </c>
      <c r="AY118" s="793">
        <f t="shared" si="100"/>
        <v>14894</v>
      </c>
      <c r="AZ118" s="793">
        <f t="shared" si="85"/>
        <v>17302</v>
      </c>
      <c r="BA118" s="793">
        <f t="shared" si="90"/>
        <v>29732</v>
      </c>
    </row>
    <row r="119" spans="1:53" ht="15" customHeight="1" x14ac:dyDescent="0.25">
      <c r="A119" s="842" t="s">
        <v>1187</v>
      </c>
      <c r="B119" s="822" t="s">
        <v>291</v>
      </c>
      <c r="C119" s="778">
        <f t="shared" si="92"/>
        <v>0.31666666666666665</v>
      </c>
      <c r="D119" s="844">
        <v>3</v>
      </c>
      <c r="E119" s="844" t="s">
        <v>884</v>
      </c>
      <c r="F119" s="814">
        <v>45324</v>
      </c>
      <c r="G119" s="814">
        <v>45324</v>
      </c>
      <c r="H119" s="781">
        <f t="shared" si="93"/>
        <v>46419</v>
      </c>
      <c r="I119" s="815">
        <v>5720</v>
      </c>
      <c r="J119" s="805">
        <f t="shared" si="94"/>
        <v>286</v>
      </c>
      <c r="K119" s="805"/>
      <c r="L119" s="793"/>
      <c r="M119" s="793"/>
      <c r="N119" s="793"/>
      <c r="O119" s="793"/>
      <c r="P119" s="793"/>
      <c r="Q119" s="793"/>
      <c r="R119" s="793"/>
      <c r="S119" s="793"/>
      <c r="T119" s="793"/>
      <c r="U119" s="793"/>
      <c r="V119" s="793"/>
      <c r="W119" s="793"/>
      <c r="X119" s="793"/>
      <c r="Y119" s="793"/>
      <c r="Z119" s="793"/>
      <c r="AA119" s="793"/>
      <c r="AB119" s="793"/>
      <c r="AC119" s="793"/>
      <c r="AD119" s="793"/>
      <c r="AE119" s="793"/>
      <c r="AF119" s="793"/>
      <c r="AG119" s="793"/>
      <c r="AH119" s="805"/>
      <c r="AI119" s="805"/>
      <c r="AJ119" s="793"/>
      <c r="AK119" s="793"/>
      <c r="AL119" s="793"/>
      <c r="AM119" s="793"/>
      <c r="AN119" s="805"/>
      <c r="AO119" s="805"/>
      <c r="AP119" s="793">
        <f t="shared" si="75"/>
        <v>0</v>
      </c>
      <c r="AQ119" s="793">
        <f t="shared" si="95"/>
        <v>5720</v>
      </c>
      <c r="AR119" s="793">
        <f t="shared" si="96"/>
        <v>59</v>
      </c>
      <c r="AS119" s="793">
        <f t="shared" si="97"/>
        <v>293</v>
      </c>
      <c r="AT119" s="793">
        <f t="shared" si="79"/>
        <v>293</v>
      </c>
      <c r="AU119" s="793">
        <f t="shared" si="80"/>
        <v>5427</v>
      </c>
      <c r="AV119" s="793">
        <f t="shared" si="81"/>
        <v>5427</v>
      </c>
      <c r="AW119" s="793">
        <f t="shared" si="98"/>
        <v>5720</v>
      </c>
      <c r="AX119" s="793">
        <f t="shared" si="99"/>
        <v>365</v>
      </c>
      <c r="AY119" s="793">
        <f t="shared" si="100"/>
        <v>1811</v>
      </c>
      <c r="AZ119" s="793">
        <f t="shared" si="85"/>
        <v>2104</v>
      </c>
      <c r="BA119" s="793">
        <f t="shared" si="90"/>
        <v>3616</v>
      </c>
    </row>
    <row r="120" spans="1:53" ht="15" customHeight="1" x14ac:dyDescent="0.25">
      <c r="A120" s="842" t="s">
        <v>1187</v>
      </c>
      <c r="B120" s="822" t="s">
        <v>291</v>
      </c>
      <c r="C120" s="778">
        <f t="shared" si="92"/>
        <v>0.31666666666666665</v>
      </c>
      <c r="D120" s="844">
        <v>3</v>
      </c>
      <c r="E120" s="844" t="s">
        <v>884</v>
      </c>
      <c r="F120" s="814">
        <v>45324</v>
      </c>
      <c r="G120" s="814">
        <v>45324</v>
      </c>
      <c r="H120" s="781">
        <f t="shared" si="93"/>
        <v>46419</v>
      </c>
      <c r="I120" s="815">
        <v>3305</v>
      </c>
      <c r="J120" s="805">
        <f t="shared" si="94"/>
        <v>165.25</v>
      </c>
      <c r="K120" s="805"/>
      <c r="L120" s="793"/>
      <c r="M120" s="793"/>
      <c r="N120" s="793"/>
      <c r="O120" s="793"/>
      <c r="P120" s="793"/>
      <c r="Q120" s="793"/>
      <c r="R120" s="793"/>
      <c r="S120" s="793"/>
      <c r="T120" s="793"/>
      <c r="U120" s="793"/>
      <c r="V120" s="793"/>
      <c r="W120" s="793"/>
      <c r="X120" s="793"/>
      <c r="Y120" s="793"/>
      <c r="Z120" s="793"/>
      <c r="AA120" s="793"/>
      <c r="AB120" s="793"/>
      <c r="AC120" s="793"/>
      <c r="AD120" s="793"/>
      <c r="AE120" s="793"/>
      <c r="AF120" s="793"/>
      <c r="AG120" s="793"/>
      <c r="AH120" s="805"/>
      <c r="AI120" s="805"/>
      <c r="AJ120" s="793"/>
      <c r="AK120" s="793"/>
      <c r="AL120" s="793"/>
      <c r="AM120" s="793"/>
      <c r="AN120" s="805"/>
      <c r="AO120" s="805"/>
      <c r="AP120" s="793">
        <f t="shared" si="75"/>
        <v>0</v>
      </c>
      <c r="AQ120" s="793">
        <f t="shared" si="95"/>
        <v>3305</v>
      </c>
      <c r="AR120" s="793">
        <f t="shared" si="96"/>
        <v>59</v>
      </c>
      <c r="AS120" s="793">
        <f t="shared" si="97"/>
        <v>169</v>
      </c>
      <c r="AT120" s="793">
        <f t="shared" si="79"/>
        <v>169</v>
      </c>
      <c r="AU120" s="793">
        <f t="shared" si="80"/>
        <v>3136</v>
      </c>
      <c r="AV120" s="793">
        <f t="shared" si="81"/>
        <v>3136</v>
      </c>
      <c r="AW120" s="793">
        <f t="shared" si="98"/>
        <v>3305</v>
      </c>
      <c r="AX120" s="793">
        <f t="shared" si="99"/>
        <v>365</v>
      </c>
      <c r="AY120" s="793">
        <f t="shared" si="100"/>
        <v>1047</v>
      </c>
      <c r="AZ120" s="793">
        <f t="shared" si="85"/>
        <v>1216</v>
      </c>
      <c r="BA120" s="793">
        <f t="shared" si="90"/>
        <v>2089</v>
      </c>
    </row>
    <row r="121" spans="1:53" ht="15" customHeight="1" x14ac:dyDescent="0.25">
      <c r="A121" s="842" t="s">
        <v>1187</v>
      </c>
      <c r="B121" s="863" t="s">
        <v>1221</v>
      </c>
      <c r="C121" s="778">
        <f t="shared" si="92"/>
        <v>0.31666666666666665</v>
      </c>
      <c r="D121" s="844">
        <v>3</v>
      </c>
      <c r="E121" s="844" t="s">
        <v>884</v>
      </c>
      <c r="F121" s="814">
        <v>45334</v>
      </c>
      <c r="G121" s="814">
        <v>45334</v>
      </c>
      <c r="H121" s="781">
        <f t="shared" si="93"/>
        <v>46429</v>
      </c>
      <c r="I121" s="815">
        <v>57890</v>
      </c>
      <c r="J121" s="805">
        <f t="shared" si="94"/>
        <v>2894.5</v>
      </c>
      <c r="K121" s="805"/>
      <c r="L121" s="793"/>
      <c r="M121" s="793"/>
      <c r="N121" s="793"/>
      <c r="O121" s="793"/>
      <c r="P121" s="793"/>
      <c r="Q121" s="793"/>
      <c r="R121" s="793"/>
      <c r="S121" s="793"/>
      <c r="T121" s="793"/>
      <c r="U121" s="793"/>
      <c r="V121" s="793"/>
      <c r="W121" s="793"/>
      <c r="X121" s="793"/>
      <c r="Y121" s="793"/>
      <c r="Z121" s="793"/>
      <c r="AA121" s="793"/>
      <c r="AB121" s="793"/>
      <c r="AC121" s="793"/>
      <c r="AD121" s="793"/>
      <c r="AE121" s="793"/>
      <c r="AF121" s="793"/>
      <c r="AG121" s="793"/>
      <c r="AH121" s="805"/>
      <c r="AI121" s="805"/>
      <c r="AJ121" s="793"/>
      <c r="AK121" s="793"/>
      <c r="AL121" s="793"/>
      <c r="AM121" s="793"/>
      <c r="AN121" s="805"/>
      <c r="AO121" s="805"/>
      <c r="AP121" s="793">
        <f t="shared" si="75"/>
        <v>0</v>
      </c>
      <c r="AQ121" s="793">
        <f t="shared" si="95"/>
        <v>57890</v>
      </c>
      <c r="AR121" s="793">
        <f t="shared" si="96"/>
        <v>49</v>
      </c>
      <c r="AS121" s="793">
        <f t="shared" si="97"/>
        <v>2461</v>
      </c>
      <c r="AT121" s="793">
        <f t="shared" si="79"/>
        <v>2461</v>
      </c>
      <c r="AU121" s="793">
        <f t="shared" si="80"/>
        <v>55429</v>
      </c>
      <c r="AV121" s="793">
        <f t="shared" si="81"/>
        <v>55429</v>
      </c>
      <c r="AW121" s="793">
        <f t="shared" si="98"/>
        <v>57890</v>
      </c>
      <c r="AX121" s="793">
        <f t="shared" si="99"/>
        <v>365</v>
      </c>
      <c r="AY121" s="793">
        <f t="shared" si="100"/>
        <v>18332</v>
      </c>
      <c r="AZ121" s="793">
        <f t="shared" si="85"/>
        <v>20793</v>
      </c>
      <c r="BA121" s="793">
        <f t="shared" si="90"/>
        <v>37097</v>
      </c>
    </row>
    <row r="122" spans="1:53" ht="15" customHeight="1" x14ac:dyDescent="0.25">
      <c r="A122" s="842" t="s">
        <v>1187</v>
      </c>
      <c r="B122" s="822" t="s">
        <v>1222</v>
      </c>
      <c r="C122" s="778">
        <f t="shared" si="92"/>
        <v>0.31666666666666665</v>
      </c>
      <c r="D122" s="844">
        <v>3</v>
      </c>
      <c r="E122" s="844" t="s">
        <v>884</v>
      </c>
      <c r="F122" s="814">
        <v>45376</v>
      </c>
      <c r="G122" s="814">
        <v>45376</v>
      </c>
      <c r="H122" s="781">
        <f t="shared" si="93"/>
        <v>46471</v>
      </c>
      <c r="I122" s="815">
        <v>2999</v>
      </c>
      <c r="J122" s="805">
        <f t="shared" si="94"/>
        <v>149.95000000000002</v>
      </c>
      <c r="K122" s="805"/>
      <c r="L122" s="793"/>
      <c r="M122" s="793"/>
      <c r="N122" s="793"/>
      <c r="O122" s="793"/>
      <c r="P122" s="793"/>
      <c r="Q122" s="793"/>
      <c r="R122" s="793"/>
      <c r="S122" s="793"/>
      <c r="T122" s="793"/>
      <c r="U122" s="793"/>
      <c r="V122" s="793"/>
      <c r="W122" s="793"/>
      <c r="X122" s="793"/>
      <c r="Y122" s="793"/>
      <c r="Z122" s="793"/>
      <c r="AA122" s="793"/>
      <c r="AB122" s="793"/>
      <c r="AC122" s="793"/>
      <c r="AD122" s="793"/>
      <c r="AE122" s="793"/>
      <c r="AF122" s="793"/>
      <c r="AG122" s="793"/>
      <c r="AH122" s="805"/>
      <c r="AI122" s="805"/>
      <c r="AJ122" s="793"/>
      <c r="AK122" s="793"/>
      <c r="AL122" s="793"/>
      <c r="AM122" s="793"/>
      <c r="AN122" s="805"/>
      <c r="AO122" s="805"/>
      <c r="AP122" s="793">
        <f t="shared" si="75"/>
        <v>0</v>
      </c>
      <c r="AQ122" s="793">
        <f t="shared" si="95"/>
        <v>2999</v>
      </c>
      <c r="AR122" s="793">
        <f t="shared" si="96"/>
        <v>7</v>
      </c>
      <c r="AS122" s="793">
        <f t="shared" si="97"/>
        <v>18</v>
      </c>
      <c r="AT122" s="793">
        <f t="shared" si="79"/>
        <v>18</v>
      </c>
      <c r="AU122" s="793">
        <f t="shared" si="80"/>
        <v>2981</v>
      </c>
      <c r="AV122" s="793">
        <f t="shared" si="81"/>
        <v>2981</v>
      </c>
      <c r="AW122" s="793">
        <f t="shared" si="98"/>
        <v>2999</v>
      </c>
      <c r="AX122" s="793">
        <f t="shared" si="99"/>
        <v>365</v>
      </c>
      <c r="AY122" s="793">
        <f t="shared" si="100"/>
        <v>950</v>
      </c>
      <c r="AZ122" s="793">
        <f t="shared" si="85"/>
        <v>968</v>
      </c>
      <c r="BA122" s="793">
        <f t="shared" si="90"/>
        <v>2031</v>
      </c>
    </row>
    <row r="123" spans="1:53" ht="15" customHeight="1" x14ac:dyDescent="0.25">
      <c r="A123" s="842" t="s">
        <v>1187</v>
      </c>
      <c r="B123" s="863" t="s">
        <v>1221</v>
      </c>
      <c r="C123" s="778">
        <f t="shared" si="92"/>
        <v>0.31666666666666665</v>
      </c>
      <c r="D123" s="844">
        <v>3</v>
      </c>
      <c r="E123" s="844" t="s">
        <v>884</v>
      </c>
      <c r="F123" s="1393">
        <v>45290</v>
      </c>
      <c r="G123" s="1393">
        <v>45290</v>
      </c>
      <c r="H123" s="781">
        <f t="shared" si="93"/>
        <v>46385</v>
      </c>
      <c r="I123" s="869">
        <v>15000</v>
      </c>
      <c r="J123" s="805">
        <f t="shared" si="94"/>
        <v>750</v>
      </c>
      <c r="K123" s="805"/>
      <c r="L123" s="793"/>
      <c r="M123" s="793"/>
      <c r="N123" s="793"/>
      <c r="O123" s="793"/>
      <c r="P123" s="793"/>
      <c r="Q123" s="793"/>
      <c r="R123" s="793"/>
      <c r="S123" s="793"/>
      <c r="T123" s="793"/>
      <c r="U123" s="793"/>
      <c r="V123" s="793"/>
      <c r="W123" s="793"/>
      <c r="X123" s="793"/>
      <c r="Y123" s="793"/>
      <c r="Z123" s="793"/>
      <c r="AA123" s="793"/>
      <c r="AB123" s="793"/>
      <c r="AC123" s="793"/>
      <c r="AD123" s="793"/>
      <c r="AE123" s="793"/>
      <c r="AF123" s="793"/>
      <c r="AG123" s="793"/>
      <c r="AH123" s="805"/>
      <c r="AI123" s="805"/>
      <c r="AJ123" s="793"/>
      <c r="AK123" s="793"/>
      <c r="AL123" s="793"/>
      <c r="AM123" s="793"/>
      <c r="AN123" s="805"/>
      <c r="AO123" s="805"/>
      <c r="AP123" s="805">
        <f t="shared" si="75"/>
        <v>0</v>
      </c>
      <c r="AQ123" s="805">
        <v>-15000</v>
      </c>
      <c r="AR123" s="805">
        <f t="shared" si="96"/>
        <v>93</v>
      </c>
      <c r="AS123" s="805">
        <f t="shared" si="97"/>
        <v>-1210</v>
      </c>
      <c r="AT123" s="805">
        <f t="shared" si="79"/>
        <v>-1210</v>
      </c>
      <c r="AU123" s="805">
        <f>+AQ123-AT123</f>
        <v>-13790</v>
      </c>
      <c r="AV123" s="793">
        <f t="shared" si="81"/>
        <v>-13790</v>
      </c>
      <c r="AW123" s="793">
        <f>+AQ123</f>
        <v>-15000</v>
      </c>
      <c r="AX123" s="793">
        <v>0</v>
      </c>
      <c r="AY123" s="793">
        <f t="shared" si="100"/>
        <v>0</v>
      </c>
      <c r="AZ123" s="805">
        <f t="shared" si="85"/>
        <v>-1210</v>
      </c>
      <c r="BA123" s="805">
        <f>+AW123-AZ123</f>
        <v>-13790</v>
      </c>
    </row>
    <row r="124" spans="1:53" ht="15" customHeight="1" x14ac:dyDescent="0.25">
      <c r="A124" s="842" t="s">
        <v>1187</v>
      </c>
      <c r="B124" s="863" t="s">
        <v>1221</v>
      </c>
      <c r="C124" s="778">
        <f t="shared" si="92"/>
        <v>0.31666666666666665</v>
      </c>
      <c r="D124" s="844">
        <v>3</v>
      </c>
      <c r="E124" s="844" t="s">
        <v>1567</v>
      </c>
      <c r="F124" s="1393">
        <v>45474</v>
      </c>
      <c r="G124" s="1393">
        <f t="shared" ref="G124:G131" si="101">+F124</f>
        <v>45474</v>
      </c>
      <c r="H124" s="781">
        <f t="shared" si="93"/>
        <v>46569</v>
      </c>
      <c r="I124" s="823">
        <v>24500</v>
      </c>
      <c r="J124" s="805">
        <f t="shared" si="94"/>
        <v>1225</v>
      </c>
      <c r="K124" s="805"/>
      <c r="L124" s="793"/>
      <c r="M124" s="793"/>
      <c r="N124" s="793"/>
      <c r="O124" s="793"/>
      <c r="P124" s="793"/>
      <c r="Q124" s="793"/>
      <c r="R124" s="793"/>
      <c r="S124" s="793"/>
      <c r="T124" s="793"/>
      <c r="U124" s="793"/>
      <c r="V124" s="793"/>
      <c r="W124" s="793"/>
      <c r="X124" s="793"/>
      <c r="Y124" s="793"/>
      <c r="Z124" s="793"/>
      <c r="AA124" s="793"/>
      <c r="AB124" s="793"/>
      <c r="AC124" s="793"/>
      <c r="AD124" s="793"/>
      <c r="AE124" s="793"/>
      <c r="AF124" s="793"/>
      <c r="AG124" s="793"/>
      <c r="AH124" s="805"/>
      <c r="AI124" s="805"/>
      <c r="AJ124" s="793"/>
      <c r="AK124" s="793"/>
      <c r="AL124" s="793"/>
      <c r="AM124" s="793"/>
      <c r="AN124" s="805"/>
      <c r="AO124" s="805"/>
      <c r="AP124" s="805"/>
      <c r="AQ124" s="805">
        <v>0</v>
      </c>
      <c r="AR124" s="805">
        <v>0</v>
      </c>
      <c r="AS124" s="805"/>
      <c r="AT124" s="805">
        <v>0</v>
      </c>
      <c r="AU124" s="805">
        <f t="shared" si="80"/>
        <v>0</v>
      </c>
      <c r="AV124" s="793">
        <f t="shared" si="81"/>
        <v>0</v>
      </c>
      <c r="AW124" s="793">
        <f t="shared" ref="AW124:AW130" si="102">+I124</f>
        <v>24500</v>
      </c>
      <c r="AX124" s="793">
        <f t="shared" ref="AX124:AX131" si="103">IF(AND(F124&gt;$AP$3,F124&lt;$AV$3),$AV$3-F124+1,IF(H124&lt;=$AP$3,0,IF(H124&gt;$AV$3,$AV$3-$AP$3,H124-$AP$3)))</f>
        <v>274</v>
      </c>
      <c r="AY124" s="793">
        <f t="shared" si="100"/>
        <v>5824</v>
      </c>
      <c r="AZ124" s="805">
        <f t="shared" si="85"/>
        <v>5824</v>
      </c>
      <c r="BA124" s="805">
        <f t="shared" si="90"/>
        <v>18676</v>
      </c>
    </row>
    <row r="125" spans="1:53" ht="15" customHeight="1" x14ac:dyDescent="0.25">
      <c r="A125" s="842" t="s">
        <v>1187</v>
      </c>
      <c r="B125" s="863" t="s">
        <v>1221</v>
      </c>
      <c r="C125" s="778">
        <f t="shared" si="92"/>
        <v>0.31666666666666665</v>
      </c>
      <c r="D125" s="844">
        <v>3</v>
      </c>
      <c r="E125" s="844" t="s">
        <v>1567</v>
      </c>
      <c r="F125" s="1393">
        <v>45612</v>
      </c>
      <c r="G125" s="1393">
        <f t="shared" si="101"/>
        <v>45612</v>
      </c>
      <c r="H125" s="781">
        <f t="shared" si="93"/>
        <v>46707</v>
      </c>
      <c r="I125" s="823">
        <v>47996</v>
      </c>
      <c r="J125" s="805">
        <f t="shared" si="94"/>
        <v>2399.8000000000002</v>
      </c>
      <c r="K125" s="805"/>
      <c r="L125" s="793"/>
      <c r="M125" s="793"/>
      <c r="N125" s="793"/>
      <c r="O125" s="793"/>
      <c r="P125" s="793"/>
      <c r="Q125" s="793"/>
      <c r="R125" s="793"/>
      <c r="S125" s="793"/>
      <c r="T125" s="793"/>
      <c r="U125" s="793"/>
      <c r="V125" s="793"/>
      <c r="W125" s="793"/>
      <c r="X125" s="793"/>
      <c r="Y125" s="793"/>
      <c r="Z125" s="793"/>
      <c r="AA125" s="793"/>
      <c r="AB125" s="793"/>
      <c r="AC125" s="793"/>
      <c r="AD125" s="793"/>
      <c r="AE125" s="793"/>
      <c r="AF125" s="793"/>
      <c r="AG125" s="793"/>
      <c r="AH125" s="805"/>
      <c r="AI125" s="805"/>
      <c r="AJ125" s="793"/>
      <c r="AK125" s="793"/>
      <c r="AL125" s="793"/>
      <c r="AM125" s="793"/>
      <c r="AN125" s="805"/>
      <c r="AO125" s="805"/>
      <c r="AP125" s="805"/>
      <c r="AQ125" s="805"/>
      <c r="AR125" s="805"/>
      <c r="AS125" s="805"/>
      <c r="AT125" s="805"/>
      <c r="AU125" s="805"/>
      <c r="AV125" s="793">
        <f t="shared" si="81"/>
        <v>0</v>
      </c>
      <c r="AW125" s="793">
        <f t="shared" si="102"/>
        <v>47996</v>
      </c>
      <c r="AX125" s="793">
        <f t="shared" si="103"/>
        <v>136</v>
      </c>
      <c r="AY125" s="793">
        <f t="shared" si="100"/>
        <v>5663</v>
      </c>
      <c r="AZ125" s="805">
        <f t="shared" si="85"/>
        <v>5663</v>
      </c>
      <c r="BA125" s="805">
        <f t="shared" si="90"/>
        <v>42333</v>
      </c>
    </row>
    <row r="126" spans="1:53" ht="15" customHeight="1" x14ac:dyDescent="0.25">
      <c r="A126" s="842" t="s">
        <v>1187</v>
      </c>
      <c r="B126" s="863" t="s">
        <v>1221</v>
      </c>
      <c r="C126" s="778">
        <f t="shared" si="92"/>
        <v>0.31666666666666665</v>
      </c>
      <c r="D126" s="844">
        <v>3</v>
      </c>
      <c r="E126" s="844" t="s">
        <v>1567</v>
      </c>
      <c r="F126" s="1393">
        <v>45660</v>
      </c>
      <c r="G126" s="1393">
        <f t="shared" si="101"/>
        <v>45660</v>
      </c>
      <c r="H126" s="781">
        <f t="shared" si="93"/>
        <v>46755</v>
      </c>
      <c r="I126" s="823">
        <v>22500</v>
      </c>
      <c r="J126" s="805">
        <f t="shared" si="94"/>
        <v>1125</v>
      </c>
      <c r="K126" s="805"/>
      <c r="L126" s="793"/>
      <c r="M126" s="793"/>
      <c r="N126" s="793"/>
      <c r="O126" s="793"/>
      <c r="P126" s="793"/>
      <c r="Q126" s="793"/>
      <c r="R126" s="793"/>
      <c r="S126" s="793"/>
      <c r="T126" s="793"/>
      <c r="U126" s="793"/>
      <c r="V126" s="793"/>
      <c r="W126" s="793"/>
      <c r="X126" s="793"/>
      <c r="Y126" s="793"/>
      <c r="Z126" s="793"/>
      <c r="AA126" s="793"/>
      <c r="AB126" s="793"/>
      <c r="AC126" s="793"/>
      <c r="AD126" s="793"/>
      <c r="AE126" s="793"/>
      <c r="AF126" s="793"/>
      <c r="AG126" s="793"/>
      <c r="AH126" s="805"/>
      <c r="AI126" s="805"/>
      <c r="AJ126" s="793"/>
      <c r="AK126" s="793"/>
      <c r="AL126" s="793"/>
      <c r="AM126" s="793"/>
      <c r="AN126" s="805"/>
      <c r="AO126" s="805"/>
      <c r="AP126" s="805"/>
      <c r="AQ126" s="805"/>
      <c r="AR126" s="805"/>
      <c r="AS126" s="805"/>
      <c r="AT126" s="805"/>
      <c r="AU126" s="805"/>
      <c r="AV126" s="793">
        <f t="shared" si="81"/>
        <v>0</v>
      </c>
      <c r="AW126" s="793">
        <f t="shared" si="102"/>
        <v>22500</v>
      </c>
      <c r="AX126" s="793">
        <f t="shared" si="103"/>
        <v>88</v>
      </c>
      <c r="AY126" s="793">
        <f t="shared" si="100"/>
        <v>1718</v>
      </c>
      <c r="AZ126" s="805">
        <f t="shared" si="85"/>
        <v>1718</v>
      </c>
      <c r="BA126" s="805">
        <f t="shared" si="90"/>
        <v>20782</v>
      </c>
    </row>
    <row r="127" spans="1:53" ht="15" customHeight="1" x14ac:dyDescent="0.25">
      <c r="A127" s="842" t="s">
        <v>1187</v>
      </c>
      <c r="B127" s="863" t="s">
        <v>1221</v>
      </c>
      <c r="C127" s="778">
        <f t="shared" si="92"/>
        <v>0.31666666666666665</v>
      </c>
      <c r="D127" s="844">
        <v>3</v>
      </c>
      <c r="E127" s="844" t="s">
        <v>1567</v>
      </c>
      <c r="F127" s="1393">
        <v>45693</v>
      </c>
      <c r="G127" s="1393">
        <f t="shared" si="101"/>
        <v>45693</v>
      </c>
      <c r="H127" s="781">
        <f t="shared" si="93"/>
        <v>46788</v>
      </c>
      <c r="I127" s="823">
        <v>32203.4</v>
      </c>
      <c r="J127" s="805">
        <f t="shared" si="94"/>
        <v>1610.17</v>
      </c>
      <c r="K127" s="805"/>
      <c r="L127" s="793"/>
      <c r="M127" s="793"/>
      <c r="N127" s="793"/>
      <c r="O127" s="793"/>
      <c r="P127" s="793"/>
      <c r="Q127" s="793"/>
      <c r="R127" s="793"/>
      <c r="S127" s="793"/>
      <c r="T127" s="793"/>
      <c r="U127" s="793"/>
      <c r="V127" s="793"/>
      <c r="W127" s="793"/>
      <c r="X127" s="793"/>
      <c r="Y127" s="793"/>
      <c r="Z127" s="793"/>
      <c r="AA127" s="793"/>
      <c r="AB127" s="793"/>
      <c r="AC127" s="793"/>
      <c r="AD127" s="793"/>
      <c r="AE127" s="793"/>
      <c r="AF127" s="793"/>
      <c r="AG127" s="793"/>
      <c r="AH127" s="805"/>
      <c r="AI127" s="805"/>
      <c r="AJ127" s="793"/>
      <c r="AK127" s="793"/>
      <c r="AL127" s="793"/>
      <c r="AM127" s="793"/>
      <c r="AN127" s="805"/>
      <c r="AO127" s="805"/>
      <c r="AP127" s="805"/>
      <c r="AQ127" s="805"/>
      <c r="AR127" s="805"/>
      <c r="AS127" s="805"/>
      <c r="AT127" s="805"/>
      <c r="AU127" s="805"/>
      <c r="AV127" s="793">
        <f t="shared" si="81"/>
        <v>0</v>
      </c>
      <c r="AW127" s="793">
        <f t="shared" si="102"/>
        <v>32203.4</v>
      </c>
      <c r="AX127" s="793">
        <f t="shared" si="103"/>
        <v>55</v>
      </c>
      <c r="AY127" s="793">
        <f t="shared" si="100"/>
        <v>1537</v>
      </c>
      <c r="AZ127" s="805">
        <f t="shared" si="85"/>
        <v>1537</v>
      </c>
      <c r="BA127" s="805">
        <f t="shared" si="90"/>
        <v>30666.400000000001</v>
      </c>
    </row>
    <row r="128" spans="1:53" ht="15" customHeight="1" x14ac:dyDescent="0.25">
      <c r="A128" s="842" t="s">
        <v>1187</v>
      </c>
      <c r="B128" s="863" t="s">
        <v>1221</v>
      </c>
      <c r="C128" s="778">
        <f t="shared" si="92"/>
        <v>0.31666666666666665</v>
      </c>
      <c r="D128" s="844">
        <v>3</v>
      </c>
      <c r="E128" s="844" t="s">
        <v>1567</v>
      </c>
      <c r="F128" s="1393">
        <v>45716</v>
      </c>
      <c r="G128" s="1393">
        <f t="shared" si="101"/>
        <v>45716</v>
      </c>
      <c r="H128" s="781">
        <f t="shared" si="93"/>
        <v>46811</v>
      </c>
      <c r="I128" s="823">
        <v>62791.4</v>
      </c>
      <c r="J128" s="805">
        <f t="shared" si="94"/>
        <v>3139.57</v>
      </c>
      <c r="K128" s="805"/>
      <c r="L128" s="793"/>
      <c r="M128" s="793"/>
      <c r="N128" s="793"/>
      <c r="O128" s="793"/>
      <c r="P128" s="793"/>
      <c r="Q128" s="793"/>
      <c r="R128" s="793"/>
      <c r="S128" s="793"/>
      <c r="T128" s="793"/>
      <c r="U128" s="793"/>
      <c r="V128" s="793"/>
      <c r="W128" s="793"/>
      <c r="X128" s="793"/>
      <c r="Y128" s="793"/>
      <c r="Z128" s="793"/>
      <c r="AA128" s="793"/>
      <c r="AB128" s="793"/>
      <c r="AC128" s="793"/>
      <c r="AD128" s="793"/>
      <c r="AE128" s="793"/>
      <c r="AF128" s="793"/>
      <c r="AG128" s="793"/>
      <c r="AH128" s="805"/>
      <c r="AI128" s="805"/>
      <c r="AJ128" s="793"/>
      <c r="AK128" s="793"/>
      <c r="AL128" s="793"/>
      <c r="AM128" s="793"/>
      <c r="AN128" s="805"/>
      <c r="AO128" s="805"/>
      <c r="AP128" s="805"/>
      <c r="AQ128" s="805"/>
      <c r="AR128" s="805"/>
      <c r="AS128" s="805"/>
      <c r="AT128" s="805"/>
      <c r="AU128" s="805"/>
      <c r="AV128" s="793">
        <f t="shared" si="81"/>
        <v>0</v>
      </c>
      <c r="AW128" s="793">
        <f t="shared" si="102"/>
        <v>62791.4</v>
      </c>
      <c r="AX128" s="793">
        <f t="shared" si="103"/>
        <v>32</v>
      </c>
      <c r="AY128" s="793">
        <f t="shared" si="100"/>
        <v>1743</v>
      </c>
      <c r="AZ128" s="805">
        <f t="shared" si="85"/>
        <v>1743</v>
      </c>
      <c r="BA128" s="805">
        <f t="shared" si="90"/>
        <v>61048.4</v>
      </c>
    </row>
    <row r="129" spans="1:59" ht="15" customHeight="1" x14ac:dyDescent="0.25">
      <c r="A129" s="842" t="s">
        <v>1187</v>
      </c>
      <c r="B129" s="863" t="s">
        <v>1833</v>
      </c>
      <c r="C129" s="778">
        <f t="shared" si="92"/>
        <v>0.31666666666666665</v>
      </c>
      <c r="D129" s="844">
        <v>3</v>
      </c>
      <c r="E129" s="844" t="s">
        <v>1567</v>
      </c>
      <c r="F129" s="1393">
        <v>45531</v>
      </c>
      <c r="G129" s="1393">
        <f t="shared" si="101"/>
        <v>45531</v>
      </c>
      <c r="H129" s="781">
        <f t="shared" si="93"/>
        <v>46626</v>
      </c>
      <c r="I129" s="823">
        <v>31313.58</v>
      </c>
      <c r="J129" s="805">
        <f t="shared" si="94"/>
        <v>1565.6790000000001</v>
      </c>
      <c r="K129" s="805"/>
      <c r="L129" s="793"/>
      <c r="M129" s="793"/>
      <c r="N129" s="793"/>
      <c r="O129" s="793"/>
      <c r="P129" s="793"/>
      <c r="Q129" s="793"/>
      <c r="R129" s="793"/>
      <c r="S129" s="793"/>
      <c r="T129" s="793"/>
      <c r="U129" s="793"/>
      <c r="V129" s="793"/>
      <c r="W129" s="793"/>
      <c r="X129" s="793"/>
      <c r="Y129" s="793"/>
      <c r="Z129" s="793"/>
      <c r="AA129" s="793"/>
      <c r="AB129" s="793"/>
      <c r="AC129" s="793"/>
      <c r="AD129" s="793"/>
      <c r="AE129" s="793"/>
      <c r="AF129" s="793"/>
      <c r="AG129" s="793"/>
      <c r="AH129" s="805"/>
      <c r="AI129" s="805"/>
      <c r="AJ129" s="793"/>
      <c r="AK129" s="793"/>
      <c r="AL129" s="793"/>
      <c r="AM129" s="793"/>
      <c r="AN129" s="805"/>
      <c r="AO129" s="805"/>
      <c r="AP129" s="805"/>
      <c r="AQ129" s="805"/>
      <c r="AR129" s="805"/>
      <c r="AS129" s="805"/>
      <c r="AT129" s="805"/>
      <c r="AU129" s="805"/>
      <c r="AV129" s="793">
        <f t="shared" si="81"/>
        <v>0</v>
      </c>
      <c r="AW129" s="793">
        <f t="shared" si="102"/>
        <v>31313.58</v>
      </c>
      <c r="AX129" s="793">
        <f t="shared" si="103"/>
        <v>217</v>
      </c>
      <c r="AY129" s="793">
        <f t="shared" si="100"/>
        <v>5895</v>
      </c>
      <c r="AZ129" s="805">
        <f t="shared" si="85"/>
        <v>5895</v>
      </c>
      <c r="BA129" s="805">
        <f t="shared" si="90"/>
        <v>25418.58</v>
      </c>
    </row>
    <row r="130" spans="1:59" ht="15" customHeight="1" x14ac:dyDescent="0.25">
      <c r="A130" s="842" t="s">
        <v>1187</v>
      </c>
      <c r="B130" s="863" t="s">
        <v>1833</v>
      </c>
      <c r="C130" s="778">
        <f t="shared" si="92"/>
        <v>0.31666666666666665</v>
      </c>
      <c r="D130" s="844">
        <v>3</v>
      </c>
      <c r="E130" s="844" t="s">
        <v>1567</v>
      </c>
      <c r="F130" s="1393">
        <v>45612</v>
      </c>
      <c r="G130" s="1393">
        <f t="shared" si="101"/>
        <v>45612</v>
      </c>
      <c r="H130" s="781">
        <f t="shared" si="93"/>
        <v>46707</v>
      </c>
      <c r="I130" s="823">
        <v>37932</v>
      </c>
      <c r="J130" s="805">
        <f t="shared" si="94"/>
        <v>1896.6000000000001</v>
      </c>
      <c r="K130" s="805"/>
      <c r="L130" s="793"/>
      <c r="M130" s="793"/>
      <c r="N130" s="793"/>
      <c r="O130" s="793"/>
      <c r="P130" s="793"/>
      <c r="Q130" s="793"/>
      <c r="R130" s="793"/>
      <c r="S130" s="793"/>
      <c r="T130" s="793"/>
      <c r="U130" s="793"/>
      <c r="V130" s="793"/>
      <c r="W130" s="793"/>
      <c r="X130" s="793"/>
      <c r="Y130" s="793"/>
      <c r="Z130" s="793"/>
      <c r="AA130" s="793"/>
      <c r="AB130" s="793"/>
      <c r="AC130" s="793"/>
      <c r="AD130" s="793"/>
      <c r="AE130" s="793"/>
      <c r="AF130" s="793"/>
      <c r="AG130" s="793"/>
      <c r="AH130" s="805"/>
      <c r="AI130" s="805"/>
      <c r="AJ130" s="793"/>
      <c r="AK130" s="793"/>
      <c r="AL130" s="793"/>
      <c r="AM130" s="793"/>
      <c r="AN130" s="805"/>
      <c r="AO130" s="805"/>
      <c r="AP130" s="805"/>
      <c r="AQ130" s="805"/>
      <c r="AR130" s="805"/>
      <c r="AS130" s="805"/>
      <c r="AT130" s="805"/>
      <c r="AU130" s="805"/>
      <c r="AV130" s="793">
        <f t="shared" si="81"/>
        <v>0</v>
      </c>
      <c r="AW130" s="793">
        <f t="shared" si="102"/>
        <v>37932</v>
      </c>
      <c r="AX130" s="793">
        <f t="shared" si="103"/>
        <v>136</v>
      </c>
      <c r="AY130" s="793">
        <f t="shared" si="100"/>
        <v>4476</v>
      </c>
      <c r="AZ130" s="805">
        <f t="shared" si="85"/>
        <v>4476</v>
      </c>
      <c r="BA130" s="805">
        <f t="shared" si="90"/>
        <v>33456</v>
      </c>
    </row>
    <row r="131" spans="1:59" ht="15" customHeight="1" thickBot="1" x14ac:dyDescent="0.3">
      <c r="A131" s="842" t="s">
        <v>1187</v>
      </c>
      <c r="B131" s="863"/>
      <c r="C131" s="778">
        <f>+C130</f>
        <v>0.31666666666666665</v>
      </c>
      <c r="D131" s="844">
        <f>+D130</f>
        <v>3</v>
      </c>
      <c r="E131" s="844" t="str">
        <f>+E130</f>
        <v>FY 2024-25</v>
      </c>
      <c r="F131" s="1393">
        <v>45726</v>
      </c>
      <c r="G131" s="1393">
        <f t="shared" si="101"/>
        <v>45726</v>
      </c>
      <c r="H131" s="781">
        <f t="shared" si="93"/>
        <v>46821</v>
      </c>
      <c r="I131" s="823">
        <v>22000</v>
      </c>
      <c r="J131" s="805">
        <f t="shared" si="94"/>
        <v>1100</v>
      </c>
      <c r="K131" s="805"/>
      <c r="L131" s="793"/>
      <c r="M131" s="793"/>
      <c r="N131" s="793"/>
      <c r="O131" s="793"/>
      <c r="P131" s="793"/>
      <c r="Q131" s="793"/>
      <c r="R131" s="793"/>
      <c r="S131" s="793"/>
      <c r="T131" s="793"/>
      <c r="U131" s="793"/>
      <c r="V131" s="793"/>
      <c r="W131" s="793"/>
      <c r="X131" s="793"/>
      <c r="Y131" s="793"/>
      <c r="Z131" s="793"/>
      <c r="AA131" s="793"/>
      <c r="AB131" s="793"/>
      <c r="AC131" s="793"/>
      <c r="AD131" s="793"/>
      <c r="AE131" s="793"/>
      <c r="AF131" s="793"/>
      <c r="AG131" s="793"/>
      <c r="AH131" s="805"/>
      <c r="AI131" s="805"/>
      <c r="AJ131" s="793"/>
      <c r="AK131" s="793"/>
      <c r="AL131" s="793"/>
      <c r="AM131" s="793"/>
      <c r="AN131" s="805">
        <v>0</v>
      </c>
      <c r="AO131" s="805">
        <f>AK131-AN131</f>
        <v>0</v>
      </c>
      <c r="AP131" s="793">
        <f t="shared" ref="AP131" si="104">+AO131</f>
        <v>0</v>
      </c>
      <c r="AQ131" s="805"/>
      <c r="AR131" s="805"/>
      <c r="AS131" s="805"/>
      <c r="AT131" s="805">
        <v>0</v>
      </c>
      <c r="AU131" s="805">
        <f>AQ131-AT131</f>
        <v>0</v>
      </c>
      <c r="AV131" s="793">
        <f>+AU131</f>
        <v>0</v>
      </c>
      <c r="AW131" s="793">
        <f>+I131</f>
        <v>22000</v>
      </c>
      <c r="AX131" s="793">
        <f t="shared" si="103"/>
        <v>22</v>
      </c>
      <c r="AY131" s="793">
        <f t="shared" si="100"/>
        <v>420</v>
      </c>
      <c r="AZ131" s="805">
        <f t="shared" si="85"/>
        <v>420</v>
      </c>
      <c r="BA131" s="805">
        <f t="shared" si="90"/>
        <v>21580</v>
      </c>
    </row>
    <row r="132" spans="1:59" ht="15.75" customHeight="1" thickBot="1" x14ac:dyDescent="0.3">
      <c r="A132" s="830" t="s">
        <v>1223</v>
      </c>
      <c r="B132" s="831"/>
      <c r="C132" s="832"/>
      <c r="D132" s="833"/>
      <c r="E132" s="833"/>
      <c r="F132" s="871"/>
      <c r="G132" s="871"/>
      <c r="H132" s="872"/>
      <c r="I132" s="1394">
        <f>SUM(I16:I131)-I123</f>
        <v>5323018.83</v>
      </c>
      <c r="J132" s="1394">
        <f>SUM(J16:J131)-J123</f>
        <v>266150.9414999999</v>
      </c>
      <c r="K132" s="1394">
        <f>SUM(K16:K123)</f>
        <v>0</v>
      </c>
      <c r="L132" s="1394">
        <f t="shared" ref="L132:AP132" si="105">SUM(L16:L131)-L123</f>
        <v>0</v>
      </c>
      <c r="M132" s="1394">
        <f t="shared" si="105"/>
        <v>2771997.26</v>
      </c>
      <c r="N132" s="1394">
        <f t="shared" si="105"/>
        <v>19914</v>
      </c>
      <c r="O132" s="1394">
        <f t="shared" si="105"/>
        <v>838811</v>
      </c>
      <c r="P132" s="1394">
        <f t="shared" si="105"/>
        <v>838811</v>
      </c>
      <c r="Q132" s="1394">
        <f t="shared" si="105"/>
        <v>1933186.26</v>
      </c>
      <c r="R132" s="1394">
        <f t="shared" si="105"/>
        <v>1933186.26</v>
      </c>
      <c r="S132" s="1394">
        <f t="shared" si="105"/>
        <v>2799069.26</v>
      </c>
      <c r="T132" s="1394">
        <f t="shared" si="105"/>
        <v>21979</v>
      </c>
      <c r="U132" s="1394">
        <f t="shared" si="105"/>
        <v>878246</v>
      </c>
      <c r="V132" s="1394">
        <f t="shared" si="105"/>
        <v>1717057</v>
      </c>
      <c r="W132" s="1394">
        <f t="shared" si="105"/>
        <v>1082012.26</v>
      </c>
      <c r="X132" s="1394">
        <f t="shared" si="105"/>
        <v>1082012.26</v>
      </c>
      <c r="Y132" s="1394">
        <f t="shared" si="105"/>
        <v>3030439.26</v>
      </c>
      <c r="Z132" s="1394">
        <f t="shared" si="105"/>
        <v>23052</v>
      </c>
      <c r="AA132" s="1394">
        <f t="shared" si="105"/>
        <v>907586</v>
      </c>
      <c r="AB132" s="1394">
        <f t="shared" si="105"/>
        <v>2624643</v>
      </c>
      <c r="AC132" s="1394">
        <f t="shared" si="105"/>
        <v>405796.26</v>
      </c>
      <c r="AD132" s="1394">
        <f t="shared" si="105"/>
        <v>405796.26</v>
      </c>
      <c r="AE132" s="1394">
        <f t="shared" si="105"/>
        <v>4083020.2999999993</v>
      </c>
      <c r="AF132" s="1394">
        <f t="shared" si="105"/>
        <v>6640</v>
      </c>
      <c r="AG132" s="1394">
        <f t="shared" si="105"/>
        <v>270423</v>
      </c>
      <c r="AH132" s="1394">
        <f t="shared" si="105"/>
        <v>2895066</v>
      </c>
      <c r="AI132" s="1394">
        <f t="shared" si="105"/>
        <v>1187954.3000000003</v>
      </c>
      <c r="AJ132" s="1394">
        <f t="shared" si="105"/>
        <v>1187954.3000000003</v>
      </c>
      <c r="AK132" s="1394">
        <f t="shared" si="105"/>
        <v>4662075.4499999993</v>
      </c>
      <c r="AL132" s="1394">
        <f t="shared" si="105"/>
        <v>8930</v>
      </c>
      <c r="AM132" s="1394">
        <f t="shared" si="105"/>
        <v>495692</v>
      </c>
      <c r="AN132" s="1394">
        <f t="shared" si="105"/>
        <v>3649584</v>
      </c>
      <c r="AO132" s="1394">
        <f t="shared" si="105"/>
        <v>1012491.4500000002</v>
      </c>
      <c r="AP132" s="1394">
        <f t="shared" si="105"/>
        <v>1012491.4500000002</v>
      </c>
      <c r="AQ132" s="1394">
        <f>SUM(AQ16:AQ131)</f>
        <v>5026782.4499999993</v>
      </c>
      <c r="AR132" s="1394">
        <f>SUM(AR16:AR122)-AR123</f>
        <v>12651</v>
      </c>
      <c r="AS132" s="1394">
        <f t="shared" ref="AS132:BA132" si="106">SUM(AS16:AS131)</f>
        <v>620957</v>
      </c>
      <c r="AT132" s="1394">
        <f t="shared" si="106"/>
        <v>4270541</v>
      </c>
      <c r="AU132" s="1394">
        <f t="shared" si="106"/>
        <v>756241.45</v>
      </c>
      <c r="AV132" s="1394">
        <f t="shared" si="106"/>
        <v>756241.45</v>
      </c>
      <c r="AW132" s="1394">
        <f t="shared" si="106"/>
        <v>5308018.83</v>
      </c>
      <c r="AX132" s="1394">
        <f t="shared" si="106"/>
        <v>13096</v>
      </c>
      <c r="AY132" s="1394">
        <f t="shared" si="106"/>
        <v>514611</v>
      </c>
      <c r="AZ132" s="1394">
        <f t="shared" si="106"/>
        <v>4785152</v>
      </c>
      <c r="BA132" s="1394">
        <f t="shared" si="106"/>
        <v>522866.83000000013</v>
      </c>
      <c r="BB132" s="1381">
        <f>+SUM(AW124:AW131)</f>
        <v>281236.38</v>
      </c>
      <c r="BC132" s="841">
        <f>+AV132</f>
        <v>756241.45</v>
      </c>
      <c r="BD132" s="841">
        <f>+AW132</f>
        <v>5308018.83</v>
      </c>
      <c r="BE132" s="1329">
        <f>+AY132</f>
        <v>514611</v>
      </c>
      <c r="BF132" s="841">
        <f>+AZ132</f>
        <v>4785152</v>
      </c>
      <c r="BG132" s="841">
        <f>+BA132</f>
        <v>522866.83000000013</v>
      </c>
    </row>
    <row r="133" spans="1:59" ht="15" customHeight="1" x14ac:dyDescent="0.25">
      <c r="C133" s="838"/>
      <c r="D133" s="839"/>
      <c r="E133" s="839"/>
      <c r="I133" s="1395"/>
      <c r="J133" s="1381"/>
      <c r="K133" s="1381"/>
      <c r="L133" s="1328"/>
      <c r="M133" s="1328"/>
      <c r="N133" s="1328"/>
      <c r="O133" s="1328"/>
      <c r="P133" s="1328"/>
      <c r="Q133" s="1328"/>
      <c r="R133" s="1328"/>
      <c r="S133" s="1328"/>
      <c r="T133" s="1328"/>
      <c r="U133" s="1328"/>
      <c r="V133" s="1328"/>
      <c r="W133" s="1328"/>
      <c r="X133" s="1328"/>
      <c r="Y133" s="1328"/>
      <c r="Z133" s="1328"/>
      <c r="AA133" s="1328"/>
      <c r="AB133" s="1328"/>
      <c r="AC133" s="1328"/>
      <c r="AD133" s="1328"/>
      <c r="AE133" s="1328"/>
      <c r="AF133" s="1328"/>
      <c r="AG133" s="1328"/>
      <c r="AH133" s="1328"/>
      <c r="AI133" s="1328"/>
      <c r="AJ133" s="1328"/>
      <c r="AQ133" s="1328"/>
      <c r="AR133" s="1328"/>
      <c r="AS133" s="1328"/>
      <c r="AT133" s="1328"/>
      <c r="AU133" s="1328"/>
      <c r="AV133" s="1328"/>
      <c r="AW133" s="1328"/>
      <c r="AX133" s="1328"/>
      <c r="AY133" s="1328"/>
      <c r="AZ133" s="1328"/>
      <c r="BA133" s="1328"/>
    </row>
    <row r="134" spans="1:59" ht="15" customHeight="1" x14ac:dyDescent="0.25">
      <c r="C134" s="838"/>
      <c r="D134" s="839"/>
      <c r="E134" s="839"/>
      <c r="I134" s="1382"/>
      <c r="K134" s="1328"/>
      <c r="L134" s="1328"/>
      <c r="M134" s="1328"/>
      <c r="N134" s="1328"/>
      <c r="O134" s="1328"/>
      <c r="P134" s="1328"/>
      <c r="Q134" s="1328"/>
      <c r="R134" s="1328"/>
      <c r="S134" s="1328"/>
      <c r="T134" s="1328"/>
      <c r="U134" s="1328"/>
      <c r="V134" s="1328"/>
      <c r="W134" s="1328"/>
      <c r="X134" s="1328"/>
      <c r="Y134" s="1328"/>
      <c r="Z134" s="1328"/>
      <c r="AA134" s="1328"/>
      <c r="AB134" s="1328"/>
      <c r="AC134" s="1328"/>
      <c r="AD134" s="1328"/>
      <c r="AE134" s="1328"/>
      <c r="AF134" s="1328"/>
      <c r="AG134" s="1328"/>
      <c r="AH134" s="1328"/>
      <c r="AI134" s="1328"/>
      <c r="AJ134" s="1328"/>
      <c r="AQ134" s="1328"/>
      <c r="AR134" s="1328"/>
      <c r="AS134" s="1328"/>
      <c r="AT134" s="1328"/>
      <c r="AU134" s="1328"/>
      <c r="AV134" s="1328"/>
      <c r="AW134" s="1328"/>
      <c r="AX134" s="1328"/>
      <c r="AY134" s="1328"/>
      <c r="AZ134" s="1328"/>
      <c r="BA134" s="1328"/>
    </row>
    <row r="135" spans="1:59" ht="15" customHeight="1" x14ac:dyDescent="0.25">
      <c r="A135" s="876" t="s">
        <v>1224</v>
      </c>
      <c r="B135" s="843" t="s">
        <v>1225</v>
      </c>
      <c r="C135" s="778">
        <f t="shared" ref="C135:C178" si="107">(95/D135)/100</f>
        <v>9.5000000000000001E-2</v>
      </c>
      <c r="D135" s="844">
        <v>10</v>
      </c>
      <c r="E135" s="779" t="s">
        <v>1182</v>
      </c>
      <c r="F135" s="877">
        <v>43191</v>
      </c>
      <c r="G135" s="781">
        <f t="shared" ref="G135:G178" si="108">F135</f>
        <v>43191</v>
      </c>
      <c r="H135" s="781">
        <f t="shared" ref="H135:H178" si="109">G135+(365*D135)</f>
        <v>46841</v>
      </c>
      <c r="I135" s="1359">
        <v>1724000</v>
      </c>
      <c r="J135" s="805">
        <f t="shared" ref="J135:J178" si="110">I135*5%</f>
        <v>86200</v>
      </c>
      <c r="K135" s="793"/>
      <c r="L135" s="793"/>
      <c r="M135" s="793">
        <f t="shared" ref="M135:M168" si="111">I135</f>
        <v>1724000</v>
      </c>
      <c r="N135" s="793">
        <f t="shared" ref="N135:N148" si="112">IF(AND(F135&gt;$K$3,F135&lt;$L$3),$L$3-F135+1,IF(H135&lt;=$K$3,0,IF(H135&gt;$L$3,$L$3-$K$3,H135-$K$3)))</f>
        <v>365</v>
      </c>
      <c r="O135" s="793">
        <f t="shared" ref="O135:O168" si="113">ROUND(M135*C135*N135/365,0)</f>
        <v>163780</v>
      </c>
      <c r="P135" s="793">
        <f t="shared" ref="P135:P168" si="114">O135</f>
        <v>163780</v>
      </c>
      <c r="Q135" s="793">
        <f t="shared" ref="Q135:Q168" si="115">+M135-P135</f>
        <v>1560220</v>
      </c>
      <c r="R135" s="793">
        <f t="shared" ref="R135:R168" si="116">+Q135</f>
        <v>1560220</v>
      </c>
      <c r="S135" s="793">
        <f t="shared" ref="S135:S168" si="117">I135</f>
        <v>1724000</v>
      </c>
      <c r="T135" s="793">
        <f t="shared" ref="T135:T168" si="118">IF(AND(F135&gt;$L$3,F135&lt;$R$3),$R$3-F135+1,IF(H135&lt;=$L$3,0,IF(H135&gt;$R$3,$R$3-$L$3,H135-$L$3)))</f>
        <v>366</v>
      </c>
      <c r="U135" s="793">
        <f t="shared" ref="U135:U150" si="119">ROUND(S135*C135*T135/366,0)</f>
        <v>163780</v>
      </c>
      <c r="V135" s="793">
        <f t="shared" ref="V135:V168" si="120">+P135+U135</f>
        <v>327560</v>
      </c>
      <c r="W135" s="793">
        <f t="shared" ref="W135:W168" si="121">+S135-V135</f>
        <v>1396440</v>
      </c>
      <c r="X135" s="793">
        <f t="shared" ref="X135:X170" si="122">W135</f>
        <v>1396440</v>
      </c>
      <c r="Y135" s="805">
        <f t="shared" ref="Y135:Y170" si="123">I135</f>
        <v>1724000</v>
      </c>
      <c r="Z135" s="805">
        <f t="shared" ref="Z135:Z170" si="124">IF(AND(F135&gt;$R$3,F135&lt;$X$3),$X$3-F135+1,IF(H135&lt;=$R$3,0,IF(H135&gt;$X$3,$X$3-$R$3,H135-$R$3)))</f>
        <v>365</v>
      </c>
      <c r="AA135" s="805">
        <f t="shared" ref="AA135:AA170" si="125">ROUND(Y135*C135*Z135/365,0)</f>
        <v>163780</v>
      </c>
      <c r="AB135" s="805">
        <f t="shared" ref="AB135:AB170" si="126">+V135+AA135</f>
        <v>491340</v>
      </c>
      <c r="AC135" s="805">
        <f t="shared" ref="AC135:AC170" si="127">Y135-AB135</f>
        <v>1232660</v>
      </c>
      <c r="AD135" s="793">
        <f t="shared" ref="AD135:AD178" si="128">AC135</f>
        <v>1232660</v>
      </c>
      <c r="AE135" s="793">
        <f t="shared" ref="AE135:AE175" si="129">I135</f>
        <v>1724000</v>
      </c>
      <c r="AF135" s="793">
        <f t="shared" ref="AF135:AF175" si="130">IF(AND(F135&gt;$X$3,F135&lt;$AD$3),$AD$3-F135+1,IF(H135&lt;=$X$3,0,IF(H135&gt;$AD$3,$AD$3-$X$3,H135-$X$3)))</f>
        <v>365</v>
      </c>
      <c r="AG135" s="793">
        <f t="shared" ref="AG135:AG178" si="131">ROUND(AE135*C135*AF135/365,0)</f>
        <v>163780</v>
      </c>
      <c r="AH135" s="805">
        <f t="shared" ref="AH135:AH178" si="132">+AB135+AG135</f>
        <v>655120</v>
      </c>
      <c r="AI135" s="805">
        <f t="shared" ref="AI135:AI178" si="133">AE135-AH135</f>
        <v>1068880</v>
      </c>
      <c r="AJ135" s="793">
        <f t="shared" ref="AJ135:AJ178" si="134">AI135</f>
        <v>1068880</v>
      </c>
      <c r="AK135" s="793">
        <f t="shared" ref="AK135:AK178" si="135">I135</f>
        <v>1724000</v>
      </c>
      <c r="AL135" s="793">
        <f t="shared" ref="AL135:AL178" si="136">IF(AND(F135&gt;$AD$3,F135&lt;$AJ$3),$AJ$3-F135+1,IF(H135&lt;=$AD$3,0,IF(H135&gt;$AJ$3,$AJ$3-$AD$3,H135-$AD$3)))</f>
        <v>365</v>
      </c>
      <c r="AM135" s="793">
        <f t="shared" ref="AM135:AM178" si="137">ROUND(AK135*C135*AL135/365,0)</f>
        <v>163780</v>
      </c>
      <c r="AN135" s="805">
        <f t="shared" ref="AN135:AN178" si="138">+AH135+AM135</f>
        <v>818900</v>
      </c>
      <c r="AO135" s="805">
        <f t="shared" ref="AO135:AO178" si="139">AK135-AN135</f>
        <v>905100</v>
      </c>
      <c r="AP135" s="793">
        <f t="shared" ref="AP135:AP196" si="140">+AO135</f>
        <v>905100</v>
      </c>
      <c r="AQ135" s="793">
        <f t="shared" ref="AQ135:AQ178" si="141">I135</f>
        <v>1724000</v>
      </c>
      <c r="AR135" s="793">
        <f t="shared" ref="AR135:AR178" si="142">IF(AND(F135&gt;$AJ$3,F135&lt;$AP$3),$AP$3-F135+1,IF(H135&lt;=$AJ$3,0,IF(H135&gt;$AP$3,$AP$3-$AJ$3,H135-$AJ$3)))</f>
        <v>366</v>
      </c>
      <c r="AS135" s="793">
        <f t="shared" ref="AS135:AS178" si="143">ROUND(AQ135*C135*AR135/365,0)</f>
        <v>164229</v>
      </c>
      <c r="AT135" s="793">
        <f t="shared" ref="AT135:AT178" si="144">+AN135+AS135</f>
        <v>983129</v>
      </c>
      <c r="AU135" s="793">
        <f t="shared" ref="AU135:AU196" si="145">+AQ135-AT135</f>
        <v>740871</v>
      </c>
      <c r="AV135" s="793">
        <f t="shared" ref="AV135:AV197" si="146">+AU135</f>
        <v>740871</v>
      </c>
      <c r="AW135" s="793">
        <f t="shared" ref="AW135:AW178" si="147">+I135</f>
        <v>1724000</v>
      </c>
      <c r="AX135" s="793">
        <f t="shared" ref="AX135:AX178" si="148">IF(AND(F135&gt;$AP$3,F135&lt;$AV$3),$AV$3-F135+1,IF(H135&lt;=$AP$3,0,IF(H135&gt;$AV$3,$AV$3-$AP$3,H135-$AP$3)))</f>
        <v>365</v>
      </c>
      <c r="AY135" s="793">
        <f t="shared" ref="AY135:AY178" si="149">ROUND(AW135*C135*AX135/365,0)</f>
        <v>163780</v>
      </c>
      <c r="AZ135" s="793">
        <f t="shared" ref="AZ135:AZ178" si="150">+AT135+AY135</f>
        <v>1146909</v>
      </c>
      <c r="BA135" s="793">
        <f t="shared" ref="BA135:BA197" si="151">+AW135-AZ135</f>
        <v>577091</v>
      </c>
    </row>
    <row r="136" spans="1:59" ht="15" customHeight="1" x14ac:dyDescent="0.25">
      <c r="A136" s="876" t="s">
        <v>1224</v>
      </c>
      <c r="B136" s="843" t="s">
        <v>1225</v>
      </c>
      <c r="C136" s="778">
        <f t="shared" si="107"/>
        <v>9.5000000000000001E-2</v>
      </c>
      <c r="D136" s="844">
        <v>10</v>
      </c>
      <c r="E136" s="779" t="s">
        <v>1182</v>
      </c>
      <c r="F136" s="877">
        <v>43191</v>
      </c>
      <c r="G136" s="781">
        <f t="shared" si="108"/>
        <v>43191</v>
      </c>
      <c r="H136" s="781">
        <f t="shared" si="109"/>
        <v>46841</v>
      </c>
      <c r="I136" s="1359">
        <v>342500</v>
      </c>
      <c r="J136" s="805">
        <f t="shared" si="110"/>
        <v>17125</v>
      </c>
      <c r="K136" s="793"/>
      <c r="L136" s="793"/>
      <c r="M136" s="793">
        <f t="shared" si="111"/>
        <v>342500</v>
      </c>
      <c r="N136" s="793">
        <f t="shared" si="112"/>
        <v>365</v>
      </c>
      <c r="O136" s="793">
        <f t="shared" si="113"/>
        <v>32538</v>
      </c>
      <c r="P136" s="793">
        <f t="shared" si="114"/>
        <v>32538</v>
      </c>
      <c r="Q136" s="793">
        <f t="shared" si="115"/>
        <v>309962</v>
      </c>
      <c r="R136" s="793">
        <f t="shared" si="116"/>
        <v>309962</v>
      </c>
      <c r="S136" s="793">
        <f t="shared" si="117"/>
        <v>342500</v>
      </c>
      <c r="T136" s="793">
        <f t="shared" si="118"/>
        <v>366</v>
      </c>
      <c r="U136" s="793">
        <f t="shared" si="119"/>
        <v>32538</v>
      </c>
      <c r="V136" s="793">
        <f t="shared" si="120"/>
        <v>65076</v>
      </c>
      <c r="W136" s="793">
        <f t="shared" si="121"/>
        <v>277424</v>
      </c>
      <c r="X136" s="793">
        <f t="shared" si="122"/>
        <v>277424</v>
      </c>
      <c r="Y136" s="805">
        <f t="shared" si="123"/>
        <v>342500</v>
      </c>
      <c r="Z136" s="805">
        <f t="shared" si="124"/>
        <v>365</v>
      </c>
      <c r="AA136" s="805">
        <f t="shared" si="125"/>
        <v>32538</v>
      </c>
      <c r="AB136" s="805">
        <f t="shared" si="126"/>
        <v>97614</v>
      </c>
      <c r="AC136" s="805">
        <f t="shared" si="127"/>
        <v>244886</v>
      </c>
      <c r="AD136" s="793">
        <f t="shared" si="128"/>
        <v>244886</v>
      </c>
      <c r="AE136" s="793">
        <f t="shared" si="129"/>
        <v>342500</v>
      </c>
      <c r="AF136" s="793">
        <f t="shared" si="130"/>
        <v>365</v>
      </c>
      <c r="AG136" s="793">
        <f t="shared" si="131"/>
        <v>32538</v>
      </c>
      <c r="AH136" s="805">
        <f t="shared" si="132"/>
        <v>130152</v>
      </c>
      <c r="AI136" s="805">
        <f t="shared" si="133"/>
        <v>212348</v>
      </c>
      <c r="AJ136" s="793">
        <f t="shared" si="134"/>
        <v>212348</v>
      </c>
      <c r="AK136" s="793">
        <f t="shared" si="135"/>
        <v>342500</v>
      </c>
      <c r="AL136" s="793">
        <f t="shared" si="136"/>
        <v>365</v>
      </c>
      <c r="AM136" s="793">
        <f t="shared" si="137"/>
        <v>32538</v>
      </c>
      <c r="AN136" s="805">
        <f t="shared" si="138"/>
        <v>162690</v>
      </c>
      <c r="AO136" s="805">
        <f t="shared" si="139"/>
        <v>179810</v>
      </c>
      <c r="AP136" s="793">
        <f t="shared" si="140"/>
        <v>179810</v>
      </c>
      <c r="AQ136" s="793">
        <f t="shared" si="141"/>
        <v>342500</v>
      </c>
      <c r="AR136" s="793">
        <f t="shared" si="142"/>
        <v>366</v>
      </c>
      <c r="AS136" s="793">
        <f t="shared" si="143"/>
        <v>32627</v>
      </c>
      <c r="AT136" s="793">
        <f t="shared" si="144"/>
        <v>195317</v>
      </c>
      <c r="AU136" s="793">
        <f t="shared" si="145"/>
        <v>147183</v>
      </c>
      <c r="AV136" s="793">
        <f t="shared" si="146"/>
        <v>147183</v>
      </c>
      <c r="AW136" s="793">
        <f t="shared" si="147"/>
        <v>342500</v>
      </c>
      <c r="AX136" s="793">
        <f t="shared" si="148"/>
        <v>365</v>
      </c>
      <c r="AY136" s="793">
        <f t="shared" si="149"/>
        <v>32538</v>
      </c>
      <c r="AZ136" s="793">
        <f t="shared" si="150"/>
        <v>227855</v>
      </c>
      <c r="BA136" s="793">
        <f t="shared" si="151"/>
        <v>114645</v>
      </c>
    </row>
    <row r="137" spans="1:59" ht="15" customHeight="1" x14ac:dyDescent="0.25">
      <c r="A137" s="876" t="s">
        <v>1224</v>
      </c>
      <c r="B137" s="843" t="s">
        <v>1226</v>
      </c>
      <c r="C137" s="778">
        <f t="shared" si="107"/>
        <v>9.5000000000000001E-2</v>
      </c>
      <c r="D137" s="844">
        <v>10</v>
      </c>
      <c r="E137" s="779" t="s">
        <v>1182</v>
      </c>
      <c r="F137" s="877">
        <v>43191</v>
      </c>
      <c r="G137" s="781">
        <f t="shared" si="108"/>
        <v>43191</v>
      </c>
      <c r="H137" s="781">
        <f t="shared" si="109"/>
        <v>46841</v>
      </c>
      <c r="I137" s="1359">
        <v>1255000</v>
      </c>
      <c r="J137" s="805">
        <f t="shared" si="110"/>
        <v>62750</v>
      </c>
      <c r="K137" s="793"/>
      <c r="L137" s="793"/>
      <c r="M137" s="793">
        <f t="shared" si="111"/>
        <v>1255000</v>
      </c>
      <c r="N137" s="793">
        <f t="shared" si="112"/>
        <v>365</v>
      </c>
      <c r="O137" s="793">
        <f t="shared" si="113"/>
        <v>119225</v>
      </c>
      <c r="P137" s="793">
        <f t="shared" si="114"/>
        <v>119225</v>
      </c>
      <c r="Q137" s="793">
        <f t="shared" si="115"/>
        <v>1135775</v>
      </c>
      <c r="R137" s="793">
        <f t="shared" si="116"/>
        <v>1135775</v>
      </c>
      <c r="S137" s="793">
        <f t="shared" si="117"/>
        <v>1255000</v>
      </c>
      <c r="T137" s="793">
        <f t="shared" si="118"/>
        <v>366</v>
      </c>
      <c r="U137" s="793">
        <f t="shared" si="119"/>
        <v>119225</v>
      </c>
      <c r="V137" s="793">
        <f t="shared" si="120"/>
        <v>238450</v>
      </c>
      <c r="W137" s="793">
        <f t="shared" si="121"/>
        <v>1016550</v>
      </c>
      <c r="X137" s="793">
        <f t="shared" si="122"/>
        <v>1016550</v>
      </c>
      <c r="Y137" s="805">
        <f t="shared" si="123"/>
        <v>1255000</v>
      </c>
      <c r="Z137" s="805">
        <f t="shared" si="124"/>
        <v>365</v>
      </c>
      <c r="AA137" s="805">
        <f t="shared" si="125"/>
        <v>119225</v>
      </c>
      <c r="AB137" s="805">
        <f t="shared" si="126"/>
        <v>357675</v>
      </c>
      <c r="AC137" s="805">
        <f t="shared" si="127"/>
        <v>897325</v>
      </c>
      <c r="AD137" s="793">
        <f t="shared" si="128"/>
        <v>897325</v>
      </c>
      <c r="AE137" s="793">
        <f t="shared" si="129"/>
        <v>1255000</v>
      </c>
      <c r="AF137" s="793">
        <f t="shared" si="130"/>
        <v>365</v>
      </c>
      <c r="AG137" s="793">
        <f t="shared" si="131"/>
        <v>119225</v>
      </c>
      <c r="AH137" s="805">
        <f t="shared" si="132"/>
        <v>476900</v>
      </c>
      <c r="AI137" s="805">
        <f t="shared" si="133"/>
        <v>778100</v>
      </c>
      <c r="AJ137" s="793">
        <f t="shared" si="134"/>
        <v>778100</v>
      </c>
      <c r="AK137" s="793">
        <f t="shared" si="135"/>
        <v>1255000</v>
      </c>
      <c r="AL137" s="793">
        <f t="shared" si="136"/>
        <v>365</v>
      </c>
      <c r="AM137" s="793">
        <f t="shared" si="137"/>
        <v>119225</v>
      </c>
      <c r="AN137" s="805">
        <f t="shared" si="138"/>
        <v>596125</v>
      </c>
      <c r="AO137" s="805">
        <f t="shared" si="139"/>
        <v>658875</v>
      </c>
      <c r="AP137" s="793">
        <f t="shared" si="140"/>
        <v>658875</v>
      </c>
      <c r="AQ137" s="793">
        <f t="shared" si="141"/>
        <v>1255000</v>
      </c>
      <c r="AR137" s="793">
        <f t="shared" si="142"/>
        <v>366</v>
      </c>
      <c r="AS137" s="793">
        <f t="shared" si="143"/>
        <v>119552</v>
      </c>
      <c r="AT137" s="793">
        <f t="shared" si="144"/>
        <v>715677</v>
      </c>
      <c r="AU137" s="793">
        <f t="shared" si="145"/>
        <v>539323</v>
      </c>
      <c r="AV137" s="793">
        <f t="shared" si="146"/>
        <v>539323</v>
      </c>
      <c r="AW137" s="793">
        <f t="shared" si="147"/>
        <v>1255000</v>
      </c>
      <c r="AX137" s="793">
        <f t="shared" si="148"/>
        <v>365</v>
      </c>
      <c r="AY137" s="793">
        <f t="shared" si="149"/>
        <v>119225</v>
      </c>
      <c r="AZ137" s="793">
        <f t="shared" si="150"/>
        <v>834902</v>
      </c>
      <c r="BA137" s="793">
        <f t="shared" si="151"/>
        <v>420098</v>
      </c>
    </row>
    <row r="138" spans="1:59" ht="15" customHeight="1" x14ac:dyDescent="0.25">
      <c r="A138" s="876" t="s">
        <v>1224</v>
      </c>
      <c r="B138" s="843" t="s">
        <v>1227</v>
      </c>
      <c r="C138" s="778">
        <f t="shared" si="107"/>
        <v>9.5000000000000001E-2</v>
      </c>
      <c r="D138" s="844">
        <v>10</v>
      </c>
      <c r="E138" s="779" t="s">
        <v>1182</v>
      </c>
      <c r="F138" s="877">
        <v>43191</v>
      </c>
      <c r="G138" s="781">
        <f t="shared" si="108"/>
        <v>43191</v>
      </c>
      <c r="H138" s="781">
        <f t="shared" si="109"/>
        <v>46841</v>
      </c>
      <c r="I138" s="1359">
        <v>700847.5</v>
      </c>
      <c r="J138" s="805">
        <f t="shared" si="110"/>
        <v>35042.375</v>
      </c>
      <c r="K138" s="793"/>
      <c r="L138" s="793"/>
      <c r="M138" s="793">
        <f t="shared" si="111"/>
        <v>700847.5</v>
      </c>
      <c r="N138" s="793">
        <f t="shared" si="112"/>
        <v>365</v>
      </c>
      <c r="O138" s="793">
        <f t="shared" si="113"/>
        <v>66581</v>
      </c>
      <c r="P138" s="793">
        <f t="shared" si="114"/>
        <v>66581</v>
      </c>
      <c r="Q138" s="793">
        <f t="shared" si="115"/>
        <v>634266.5</v>
      </c>
      <c r="R138" s="793">
        <f t="shared" si="116"/>
        <v>634266.5</v>
      </c>
      <c r="S138" s="793">
        <f t="shared" si="117"/>
        <v>700847.5</v>
      </c>
      <c r="T138" s="793">
        <f t="shared" si="118"/>
        <v>366</v>
      </c>
      <c r="U138" s="793">
        <f t="shared" si="119"/>
        <v>66581</v>
      </c>
      <c r="V138" s="793">
        <f t="shared" si="120"/>
        <v>133162</v>
      </c>
      <c r="W138" s="793">
        <f t="shared" si="121"/>
        <v>567685.5</v>
      </c>
      <c r="X138" s="793">
        <f t="shared" si="122"/>
        <v>567685.5</v>
      </c>
      <c r="Y138" s="805">
        <f t="shared" si="123"/>
        <v>700847.5</v>
      </c>
      <c r="Z138" s="805">
        <f t="shared" si="124"/>
        <v>365</v>
      </c>
      <c r="AA138" s="805">
        <f t="shared" si="125"/>
        <v>66581</v>
      </c>
      <c r="AB138" s="805">
        <f t="shared" si="126"/>
        <v>199743</v>
      </c>
      <c r="AC138" s="805">
        <f t="shared" si="127"/>
        <v>501104.5</v>
      </c>
      <c r="AD138" s="793">
        <f t="shared" si="128"/>
        <v>501104.5</v>
      </c>
      <c r="AE138" s="793">
        <f t="shared" si="129"/>
        <v>700847.5</v>
      </c>
      <c r="AF138" s="793">
        <f t="shared" si="130"/>
        <v>365</v>
      </c>
      <c r="AG138" s="793">
        <f t="shared" si="131"/>
        <v>66581</v>
      </c>
      <c r="AH138" s="805">
        <f t="shared" si="132"/>
        <v>266324</v>
      </c>
      <c r="AI138" s="805">
        <f t="shared" si="133"/>
        <v>434523.5</v>
      </c>
      <c r="AJ138" s="793">
        <f t="shared" si="134"/>
        <v>434523.5</v>
      </c>
      <c r="AK138" s="793">
        <f t="shared" si="135"/>
        <v>700847.5</v>
      </c>
      <c r="AL138" s="793">
        <f t="shared" si="136"/>
        <v>365</v>
      </c>
      <c r="AM138" s="793">
        <f t="shared" si="137"/>
        <v>66581</v>
      </c>
      <c r="AN138" s="805">
        <f t="shared" si="138"/>
        <v>332905</v>
      </c>
      <c r="AO138" s="805">
        <f t="shared" si="139"/>
        <v>367942.5</v>
      </c>
      <c r="AP138" s="793">
        <f t="shared" si="140"/>
        <v>367942.5</v>
      </c>
      <c r="AQ138" s="793">
        <f t="shared" si="141"/>
        <v>700847.5</v>
      </c>
      <c r="AR138" s="793">
        <f t="shared" si="142"/>
        <v>366</v>
      </c>
      <c r="AS138" s="793">
        <f t="shared" si="143"/>
        <v>66763</v>
      </c>
      <c r="AT138" s="793">
        <f t="shared" si="144"/>
        <v>399668</v>
      </c>
      <c r="AU138" s="793">
        <f t="shared" si="145"/>
        <v>301179.5</v>
      </c>
      <c r="AV138" s="793">
        <f t="shared" si="146"/>
        <v>301179.5</v>
      </c>
      <c r="AW138" s="793">
        <f t="shared" si="147"/>
        <v>700847.5</v>
      </c>
      <c r="AX138" s="793">
        <f t="shared" si="148"/>
        <v>365</v>
      </c>
      <c r="AY138" s="793">
        <f t="shared" si="149"/>
        <v>66581</v>
      </c>
      <c r="AZ138" s="793">
        <f t="shared" si="150"/>
        <v>466249</v>
      </c>
      <c r="BA138" s="793">
        <f t="shared" si="151"/>
        <v>234598.5</v>
      </c>
    </row>
    <row r="139" spans="1:59" ht="15" customHeight="1" x14ac:dyDescent="0.25">
      <c r="A139" s="876" t="s">
        <v>1224</v>
      </c>
      <c r="B139" s="843" t="s">
        <v>1228</v>
      </c>
      <c r="C139" s="778">
        <f t="shared" si="107"/>
        <v>9.5000000000000001E-2</v>
      </c>
      <c r="D139" s="844">
        <v>10</v>
      </c>
      <c r="E139" s="779" t="s">
        <v>1182</v>
      </c>
      <c r="F139" s="877">
        <v>43191</v>
      </c>
      <c r="G139" s="781">
        <f t="shared" si="108"/>
        <v>43191</v>
      </c>
      <c r="H139" s="781">
        <f t="shared" si="109"/>
        <v>46841</v>
      </c>
      <c r="I139" s="1359">
        <v>46893</v>
      </c>
      <c r="J139" s="805">
        <f t="shared" si="110"/>
        <v>2344.65</v>
      </c>
      <c r="K139" s="793"/>
      <c r="L139" s="793"/>
      <c r="M139" s="793">
        <f t="shared" si="111"/>
        <v>46893</v>
      </c>
      <c r="N139" s="793">
        <f t="shared" si="112"/>
        <v>365</v>
      </c>
      <c r="O139" s="793">
        <f t="shared" si="113"/>
        <v>4455</v>
      </c>
      <c r="P139" s="793">
        <f t="shared" si="114"/>
        <v>4455</v>
      </c>
      <c r="Q139" s="793">
        <f t="shared" si="115"/>
        <v>42438</v>
      </c>
      <c r="R139" s="793">
        <f t="shared" si="116"/>
        <v>42438</v>
      </c>
      <c r="S139" s="793">
        <f t="shared" si="117"/>
        <v>46893</v>
      </c>
      <c r="T139" s="793">
        <f t="shared" si="118"/>
        <v>366</v>
      </c>
      <c r="U139" s="793">
        <f t="shared" si="119"/>
        <v>4455</v>
      </c>
      <c r="V139" s="793">
        <f t="shared" si="120"/>
        <v>8910</v>
      </c>
      <c r="W139" s="793">
        <f t="shared" si="121"/>
        <v>37983</v>
      </c>
      <c r="X139" s="793">
        <f t="shared" si="122"/>
        <v>37983</v>
      </c>
      <c r="Y139" s="805">
        <f t="shared" si="123"/>
        <v>46893</v>
      </c>
      <c r="Z139" s="805">
        <f t="shared" si="124"/>
        <v>365</v>
      </c>
      <c r="AA139" s="805">
        <f t="shared" si="125"/>
        <v>4455</v>
      </c>
      <c r="AB139" s="805">
        <f t="shared" si="126"/>
        <v>13365</v>
      </c>
      <c r="AC139" s="805">
        <f t="shared" si="127"/>
        <v>33528</v>
      </c>
      <c r="AD139" s="793">
        <f t="shared" si="128"/>
        <v>33528</v>
      </c>
      <c r="AE139" s="793">
        <f t="shared" si="129"/>
        <v>46893</v>
      </c>
      <c r="AF139" s="793">
        <f t="shared" si="130"/>
        <v>365</v>
      </c>
      <c r="AG139" s="793">
        <f t="shared" si="131"/>
        <v>4455</v>
      </c>
      <c r="AH139" s="805">
        <f t="shared" si="132"/>
        <v>17820</v>
      </c>
      <c r="AI139" s="805">
        <f t="shared" si="133"/>
        <v>29073</v>
      </c>
      <c r="AJ139" s="793">
        <f t="shared" si="134"/>
        <v>29073</v>
      </c>
      <c r="AK139" s="793">
        <f t="shared" si="135"/>
        <v>46893</v>
      </c>
      <c r="AL139" s="793">
        <f t="shared" si="136"/>
        <v>365</v>
      </c>
      <c r="AM139" s="793">
        <f t="shared" si="137"/>
        <v>4455</v>
      </c>
      <c r="AN139" s="805">
        <f t="shared" si="138"/>
        <v>22275</v>
      </c>
      <c r="AO139" s="805">
        <f t="shared" si="139"/>
        <v>24618</v>
      </c>
      <c r="AP139" s="793">
        <f t="shared" si="140"/>
        <v>24618</v>
      </c>
      <c r="AQ139" s="793">
        <f t="shared" si="141"/>
        <v>46893</v>
      </c>
      <c r="AR139" s="793">
        <f t="shared" si="142"/>
        <v>366</v>
      </c>
      <c r="AS139" s="793">
        <f t="shared" si="143"/>
        <v>4467</v>
      </c>
      <c r="AT139" s="793">
        <f t="shared" si="144"/>
        <v>26742</v>
      </c>
      <c r="AU139" s="793">
        <f t="shared" si="145"/>
        <v>20151</v>
      </c>
      <c r="AV139" s="793">
        <f t="shared" si="146"/>
        <v>20151</v>
      </c>
      <c r="AW139" s="793">
        <f t="shared" si="147"/>
        <v>46893</v>
      </c>
      <c r="AX139" s="793">
        <f t="shared" si="148"/>
        <v>365</v>
      </c>
      <c r="AY139" s="793">
        <f t="shared" si="149"/>
        <v>4455</v>
      </c>
      <c r="AZ139" s="793">
        <f t="shared" si="150"/>
        <v>31197</v>
      </c>
      <c r="BA139" s="793">
        <f t="shared" si="151"/>
        <v>15696</v>
      </c>
    </row>
    <row r="140" spans="1:59" ht="15" customHeight="1" x14ac:dyDescent="0.25">
      <c r="A140" s="876" t="s">
        <v>1224</v>
      </c>
      <c r="B140" s="843" t="s">
        <v>1229</v>
      </c>
      <c r="C140" s="778">
        <f t="shared" si="107"/>
        <v>9.5000000000000001E-2</v>
      </c>
      <c r="D140" s="844">
        <v>10</v>
      </c>
      <c r="E140" s="779" t="s">
        <v>1182</v>
      </c>
      <c r="F140" s="877">
        <v>43191</v>
      </c>
      <c r="G140" s="781">
        <f t="shared" si="108"/>
        <v>43191</v>
      </c>
      <c r="H140" s="781">
        <f t="shared" si="109"/>
        <v>46841</v>
      </c>
      <c r="I140" s="1359">
        <v>8162</v>
      </c>
      <c r="J140" s="805">
        <f t="shared" si="110"/>
        <v>408.1</v>
      </c>
      <c r="K140" s="793"/>
      <c r="L140" s="793"/>
      <c r="M140" s="793">
        <f t="shared" si="111"/>
        <v>8162</v>
      </c>
      <c r="N140" s="793">
        <f t="shared" si="112"/>
        <v>365</v>
      </c>
      <c r="O140" s="793">
        <f t="shared" si="113"/>
        <v>775</v>
      </c>
      <c r="P140" s="793">
        <f t="shared" si="114"/>
        <v>775</v>
      </c>
      <c r="Q140" s="793">
        <f t="shared" si="115"/>
        <v>7387</v>
      </c>
      <c r="R140" s="793">
        <f t="shared" si="116"/>
        <v>7387</v>
      </c>
      <c r="S140" s="793">
        <f t="shared" si="117"/>
        <v>8162</v>
      </c>
      <c r="T140" s="793">
        <f t="shared" si="118"/>
        <v>366</v>
      </c>
      <c r="U140" s="793">
        <f t="shared" si="119"/>
        <v>775</v>
      </c>
      <c r="V140" s="793">
        <f t="shared" si="120"/>
        <v>1550</v>
      </c>
      <c r="W140" s="793">
        <f t="shared" si="121"/>
        <v>6612</v>
      </c>
      <c r="X140" s="793">
        <f t="shared" si="122"/>
        <v>6612</v>
      </c>
      <c r="Y140" s="805">
        <f t="shared" si="123"/>
        <v>8162</v>
      </c>
      <c r="Z140" s="805">
        <f t="shared" si="124"/>
        <v>365</v>
      </c>
      <c r="AA140" s="805">
        <f t="shared" si="125"/>
        <v>775</v>
      </c>
      <c r="AB140" s="805">
        <f t="shared" si="126"/>
        <v>2325</v>
      </c>
      <c r="AC140" s="805">
        <f t="shared" si="127"/>
        <v>5837</v>
      </c>
      <c r="AD140" s="793">
        <f t="shared" si="128"/>
        <v>5837</v>
      </c>
      <c r="AE140" s="793">
        <f t="shared" si="129"/>
        <v>8162</v>
      </c>
      <c r="AF140" s="793">
        <f t="shared" si="130"/>
        <v>365</v>
      </c>
      <c r="AG140" s="793">
        <f t="shared" si="131"/>
        <v>775</v>
      </c>
      <c r="AH140" s="805">
        <f t="shared" si="132"/>
        <v>3100</v>
      </c>
      <c r="AI140" s="805">
        <f t="shared" si="133"/>
        <v>5062</v>
      </c>
      <c r="AJ140" s="793">
        <f t="shared" si="134"/>
        <v>5062</v>
      </c>
      <c r="AK140" s="793">
        <f t="shared" si="135"/>
        <v>8162</v>
      </c>
      <c r="AL140" s="793">
        <f t="shared" si="136"/>
        <v>365</v>
      </c>
      <c r="AM140" s="793">
        <f t="shared" si="137"/>
        <v>775</v>
      </c>
      <c r="AN140" s="805">
        <f t="shared" si="138"/>
        <v>3875</v>
      </c>
      <c r="AO140" s="805">
        <f t="shared" si="139"/>
        <v>4287</v>
      </c>
      <c r="AP140" s="793">
        <f t="shared" si="140"/>
        <v>4287</v>
      </c>
      <c r="AQ140" s="793">
        <f t="shared" si="141"/>
        <v>8162</v>
      </c>
      <c r="AR140" s="793">
        <f t="shared" si="142"/>
        <v>366</v>
      </c>
      <c r="AS140" s="793">
        <f t="shared" si="143"/>
        <v>778</v>
      </c>
      <c r="AT140" s="793">
        <f t="shared" si="144"/>
        <v>4653</v>
      </c>
      <c r="AU140" s="793">
        <f t="shared" si="145"/>
        <v>3509</v>
      </c>
      <c r="AV140" s="793">
        <f t="shared" si="146"/>
        <v>3509</v>
      </c>
      <c r="AW140" s="793">
        <f t="shared" si="147"/>
        <v>8162</v>
      </c>
      <c r="AX140" s="793">
        <f t="shared" si="148"/>
        <v>365</v>
      </c>
      <c r="AY140" s="793">
        <f t="shared" si="149"/>
        <v>775</v>
      </c>
      <c r="AZ140" s="793">
        <f t="shared" si="150"/>
        <v>5428</v>
      </c>
      <c r="BA140" s="793">
        <f t="shared" si="151"/>
        <v>2734</v>
      </c>
    </row>
    <row r="141" spans="1:59" ht="15" customHeight="1" x14ac:dyDescent="0.25">
      <c r="A141" s="876" t="s">
        <v>1224</v>
      </c>
      <c r="B141" s="843" t="s">
        <v>1229</v>
      </c>
      <c r="C141" s="778">
        <f t="shared" si="107"/>
        <v>9.5000000000000001E-2</v>
      </c>
      <c r="D141" s="844">
        <v>10</v>
      </c>
      <c r="E141" s="779" t="s">
        <v>1182</v>
      </c>
      <c r="F141" s="877">
        <v>43191</v>
      </c>
      <c r="G141" s="781">
        <f t="shared" si="108"/>
        <v>43191</v>
      </c>
      <c r="H141" s="781">
        <f t="shared" si="109"/>
        <v>46841</v>
      </c>
      <c r="I141" s="1359">
        <v>24703</v>
      </c>
      <c r="J141" s="805">
        <f t="shared" si="110"/>
        <v>1235.1500000000001</v>
      </c>
      <c r="K141" s="793"/>
      <c r="L141" s="793"/>
      <c r="M141" s="793">
        <f t="shared" si="111"/>
        <v>24703</v>
      </c>
      <c r="N141" s="793">
        <f t="shared" si="112"/>
        <v>365</v>
      </c>
      <c r="O141" s="793">
        <f t="shared" si="113"/>
        <v>2347</v>
      </c>
      <c r="P141" s="793">
        <f t="shared" si="114"/>
        <v>2347</v>
      </c>
      <c r="Q141" s="793">
        <f t="shared" si="115"/>
        <v>22356</v>
      </c>
      <c r="R141" s="793">
        <f t="shared" si="116"/>
        <v>22356</v>
      </c>
      <c r="S141" s="793">
        <f t="shared" si="117"/>
        <v>24703</v>
      </c>
      <c r="T141" s="793">
        <f t="shared" si="118"/>
        <v>366</v>
      </c>
      <c r="U141" s="793">
        <f t="shared" si="119"/>
        <v>2347</v>
      </c>
      <c r="V141" s="793">
        <f t="shared" si="120"/>
        <v>4694</v>
      </c>
      <c r="W141" s="793">
        <f t="shared" si="121"/>
        <v>20009</v>
      </c>
      <c r="X141" s="793">
        <f t="shared" si="122"/>
        <v>20009</v>
      </c>
      <c r="Y141" s="805">
        <f t="shared" si="123"/>
        <v>24703</v>
      </c>
      <c r="Z141" s="805">
        <f t="shared" si="124"/>
        <v>365</v>
      </c>
      <c r="AA141" s="805">
        <f t="shared" si="125"/>
        <v>2347</v>
      </c>
      <c r="AB141" s="805">
        <f t="shared" si="126"/>
        <v>7041</v>
      </c>
      <c r="AC141" s="805">
        <f t="shared" si="127"/>
        <v>17662</v>
      </c>
      <c r="AD141" s="793">
        <f t="shared" si="128"/>
        <v>17662</v>
      </c>
      <c r="AE141" s="793">
        <f t="shared" si="129"/>
        <v>24703</v>
      </c>
      <c r="AF141" s="793">
        <f t="shared" si="130"/>
        <v>365</v>
      </c>
      <c r="AG141" s="793">
        <f t="shared" si="131"/>
        <v>2347</v>
      </c>
      <c r="AH141" s="805">
        <f t="shared" si="132"/>
        <v>9388</v>
      </c>
      <c r="AI141" s="805">
        <f t="shared" si="133"/>
        <v>15315</v>
      </c>
      <c r="AJ141" s="793">
        <f t="shared" si="134"/>
        <v>15315</v>
      </c>
      <c r="AK141" s="793">
        <f t="shared" si="135"/>
        <v>24703</v>
      </c>
      <c r="AL141" s="793">
        <f t="shared" si="136"/>
        <v>365</v>
      </c>
      <c r="AM141" s="793">
        <f t="shared" si="137"/>
        <v>2347</v>
      </c>
      <c r="AN141" s="805">
        <f t="shared" si="138"/>
        <v>11735</v>
      </c>
      <c r="AO141" s="805">
        <f t="shared" si="139"/>
        <v>12968</v>
      </c>
      <c r="AP141" s="793">
        <f t="shared" si="140"/>
        <v>12968</v>
      </c>
      <c r="AQ141" s="793">
        <f t="shared" si="141"/>
        <v>24703</v>
      </c>
      <c r="AR141" s="793">
        <f t="shared" si="142"/>
        <v>366</v>
      </c>
      <c r="AS141" s="793">
        <f t="shared" si="143"/>
        <v>2353</v>
      </c>
      <c r="AT141" s="793">
        <f t="shared" si="144"/>
        <v>14088</v>
      </c>
      <c r="AU141" s="793">
        <f t="shared" si="145"/>
        <v>10615</v>
      </c>
      <c r="AV141" s="793">
        <f t="shared" si="146"/>
        <v>10615</v>
      </c>
      <c r="AW141" s="793">
        <f t="shared" si="147"/>
        <v>24703</v>
      </c>
      <c r="AX141" s="793">
        <f t="shared" si="148"/>
        <v>365</v>
      </c>
      <c r="AY141" s="793">
        <f t="shared" si="149"/>
        <v>2347</v>
      </c>
      <c r="AZ141" s="793">
        <f t="shared" si="150"/>
        <v>16435</v>
      </c>
      <c r="BA141" s="793">
        <f t="shared" si="151"/>
        <v>8268</v>
      </c>
    </row>
    <row r="142" spans="1:59" ht="15" customHeight="1" x14ac:dyDescent="0.25">
      <c r="A142" s="876" t="s">
        <v>1224</v>
      </c>
      <c r="B142" s="843" t="s">
        <v>1230</v>
      </c>
      <c r="C142" s="778">
        <f t="shared" si="107"/>
        <v>9.5000000000000001E-2</v>
      </c>
      <c r="D142" s="844">
        <v>10</v>
      </c>
      <c r="E142" s="779" t="s">
        <v>1182</v>
      </c>
      <c r="F142" s="877">
        <v>43191</v>
      </c>
      <c r="G142" s="781">
        <f t="shared" si="108"/>
        <v>43191</v>
      </c>
      <c r="H142" s="781">
        <f t="shared" si="109"/>
        <v>46841</v>
      </c>
      <c r="I142" s="1359">
        <v>79110</v>
      </c>
      <c r="J142" s="805">
        <f t="shared" si="110"/>
        <v>3955.5</v>
      </c>
      <c r="K142" s="793"/>
      <c r="L142" s="793"/>
      <c r="M142" s="793">
        <f t="shared" si="111"/>
        <v>79110</v>
      </c>
      <c r="N142" s="793">
        <f t="shared" si="112"/>
        <v>365</v>
      </c>
      <c r="O142" s="793">
        <f t="shared" si="113"/>
        <v>7515</v>
      </c>
      <c r="P142" s="793">
        <f t="shared" si="114"/>
        <v>7515</v>
      </c>
      <c r="Q142" s="793">
        <f t="shared" si="115"/>
        <v>71595</v>
      </c>
      <c r="R142" s="793">
        <f t="shared" si="116"/>
        <v>71595</v>
      </c>
      <c r="S142" s="793">
        <f t="shared" si="117"/>
        <v>79110</v>
      </c>
      <c r="T142" s="793">
        <f t="shared" si="118"/>
        <v>366</v>
      </c>
      <c r="U142" s="793">
        <f t="shared" si="119"/>
        <v>7515</v>
      </c>
      <c r="V142" s="793">
        <f t="shared" si="120"/>
        <v>15030</v>
      </c>
      <c r="W142" s="793">
        <f t="shared" si="121"/>
        <v>64080</v>
      </c>
      <c r="X142" s="793">
        <f t="shared" si="122"/>
        <v>64080</v>
      </c>
      <c r="Y142" s="805">
        <f t="shared" si="123"/>
        <v>79110</v>
      </c>
      <c r="Z142" s="805">
        <f t="shared" si="124"/>
        <v>365</v>
      </c>
      <c r="AA142" s="805">
        <f t="shared" si="125"/>
        <v>7515</v>
      </c>
      <c r="AB142" s="805">
        <f t="shared" si="126"/>
        <v>22545</v>
      </c>
      <c r="AC142" s="805">
        <f t="shared" si="127"/>
        <v>56565</v>
      </c>
      <c r="AD142" s="793">
        <f t="shared" si="128"/>
        <v>56565</v>
      </c>
      <c r="AE142" s="793">
        <f t="shared" si="129"/>
        <v>79110</v>
      </c>
      <c r="AF142" s="793">
        <f t="shared" si="130"/>
        <v>365</v>
      </c>
      <c r="AG142" s="793">
        <f t="shared" si="131"/>
        <v>7515</v>
      </c>
      <c r="AH142" s="805">
        <f t="shared" si="132"/>
        <v>30060</v>
      </c>
      <c r="AI142" s="805">
        <f t="shared" si="133"/>
        <v>49050</v>
      </c>
      <c r="AJ142" s="793">
        <f t="shared" si="134"/>
        <v>49050</v>
      </c>
      <c r="AK142" s="793">
        <f t="shared" si="135"/>
        <v>79110</v>
      </c>
      <c r="AL142" s="793">
        <f t="shared" si="136"/>
        <v>365</v>
      </c>
      <c r="AM142" s="793">
        <f t="shared" si="137"/>
        <v>7515</v>
      </c>
      <c r="AN142" s="805">
        <f t="shared" si="138"/>
        <v>37575</v>
      </c>
      <c r="AO142" s="805">
        <f t="shared" si="139"/>
        <v>41535</v>
      </c>
      <c r="AP142" s="793">
        <f t="shared" si="140"/>
        <v>41535</v>
      </c>
      <c r="AQ142" s="793">
        <f t="shared" si="141"/>
        <v>79110</v>
      </c>
      <c r="AR142" s="793">
        <f t="shared" si="142"/>
        <v>366</v>
      </c>
      <c r="AS142" s="793">
        <f t="shared" si="143"/>
        <v>7536</v>
      </c>
      <c r="AT142" s="793">
        <f t="shared" si="144"/>
        <v>45111</v>
      </c>
      <c r="AU142" s="793">
        <f t="shared" si="145"/>
        <v>33999</v>
      </c>
      <c r="AV142" s="793">
        <f t="shared" si="146"/>
        <v>33999</v>
      </c>
      <c r="AW142" s="793">
        <f t="shared" si="147"/>
        <v>79110</v>
      </c>
      <c r="AX142" s="793">
        <f t="shared" si="148"/>
        <v>365</v>
      </c>
      <c r="AY142" s="793">
        <f t="shared" si="149"/>
        <v>7515</v>
      </c>
      <c r="AZ142" s="793">
        <f t="shared" si="150"/>
        <v>52626</v>
      </c>
      <c r="BA142" s="793">
        <f t="shared" si="151"/>
        <v>26484</v>
      </c>
    </row>
    <row r="143" spans="1:59" ht="15" customHeight="1" x14ac:dyDescent="0.25">
      <c r="A143" s="876" t="s">
        <v>1224</v>
      </c>
      <c r="B143" s="843" t="s">
        <v>1230</v>
      </c>
      <c r="C143" s="778">
        <f t="shared" si="107"/>
        <v>9.5000000000000001E-2</v>
      </c>
      <c r="D143" s="844">
        <v>10</v>
      </c>
      <c r="E143" s="779" t="s">
        <v>1182</v>
      </c>
      <c r="F143" s="877">
        <v>43191</v>
      </c>
      <c r="G143" s="781">
        <f t="shared" si="108"/>
        <v>43191</v>
      </c>
      <c r="H143" s="781">
        <f t="shared" si="109"/>
        <v>46841</v>
      </c>
      <c r="I143" s="1359">
        <v>13860</v>
      </c>
      <c r="J143" s="805">
        <f t="shared" si="110"/>
        <v>693</v>
      </c>
      <c r="K143" s="793"/>
      <c r="L143" s="793"/>
      <c r="M143" s="793">
        <f t="shared" si="111"/>
        <v>13860</v>
      </c>
      <c r="N143" s="793">
        <f t="shared" si="112"/>
        <v>365</v>
      </c>
      <c r="O143" s="793">
        <f t="shared" si="113"/>
        <v>1317</v>
      </c>
      <c r="P143" s="793">
        <f t="shared" si="114"/>
        <v>1317</v>
      </c>
      <c r="Q143" s="793">
        <f t="shared" si="115"/>
        <v>12543</v>
      </c>
      <c r="R143" s="793">
        <f t="shared" si="116"/>
        <v>12543</v>
      </c>
      <c r="S143" s="793">
        <f t="shared" si="117"/>
        <v>13860</v>
      </c>
      <c r="T143" s="793">
        <f t="shared" si="118"/>
        <v>366</v>
      </c>
      <c r="U143" s="793">
        <f t="shared" si="119"/>
        <v>1317</v>
      </c>
      <c r="V143" s="793">
        <f t="shared" si="120"/>
        <v>2634</v>
      </c>
      <c r="W143" s="793">
        <f t="shared" si="121"/>
        <v>11226</v>
      </c>
      <c r="X143" s="793">
        <f t="shared" si="122"/>
        <v>11226</v>
      </c>
      <c r="Y143" s="805">
        <f t="shared" si="123"/>
        <v>13860</v>
      </c>
      <c r="Z143" s="805">
        <f t="shared" si="124"/>
        <v>365</v>
      </c>
      <c r="AA143" s="805">
        <f t="shared" si="125"/>
        <v>1317</v>
      </c>
      <c r="AB143" s="805">
        <f t="shared" si="126"/>
        <v>3951</v>
      </c>
      <c r="AC143" s="805">
        <f t="shared" si="127"/>
        <v>9909</v>
      </c>
      <c r="AD143" s="793">
        <f t="shared" si="128"/>
        <v>9909</v>
      </c>
      <c r="AE143" s="793">
        <f t="shared" si="129"/>
        <v>13860</v>
      </c>
      <c r="AF143" s="793">
        <f t="shared" si="130"/>
        <v>365</v>
      </c>
      <c r="AG143" s="793">
        <f t="shared" si="131"/>
        <v>1317</v>
      </c>
      <c r="AH143" s="805">
        <f t="shared" si="132"/>
        <v>5268</v>
      </c>
      <c r="AI143" s="805">
        <f t="shared" si="133"/>
        <v>8592</v>
      </c>
      <c r="AJ143" s="793">
        <f t="shared" si="134"/>
        <v>8592</v>
      </c>
      <c r="AK143" s="793">
        <f t="shared" si="135"/>
        <v>13860</v>
      </c>
      <c r="AL143" s="793">
        <f t="shared" si="136"/>
        <v>365</v>
      </c>
      <c r="AM143" s="793">
        <f t="shared" si="137"/>
        <v>1317</v>
      </c>
      <c r="AN143" s="805">
        <f t="shared" si="138"/>
        <v>6585</v>
      </c>
      <c r="AO143" s="805">
        <f t="shared" si="139"/>
        <v>7275</v>
      </c>
      <c r="AP143" s="793">
        <f t="shared" si="140"/>
        <v>7275</v>
      </c>
      <c r="AQ143" s="793">
        <f t="shared" si="141"/>
        <v>13860</v>
      </c>
      <c r="AR143" s="793">
        <f t="shared" si="142"/>
        <v>366</v>
      </c>
      <c r="AS143" s="793">
        <f t="shared" si="143"/>
        <v>1320</v>
      </c>
      <c r="AT143" s="793">
        <f t="shared" si="144"/>
        <v>7905</v>
      </c>
      <c r="AU143" s="793">
        <f t="shared" si="145"/>
        <v>5955</v>
      </c>
      <c r="AV143" s="793">
        <f t="shared" si="146"/>
        <v>5955</v>
      </c>
      <c r="AW143" s="793">
        <f t="shared" si="147"/>
        <v>13860</v>
      </c>
      <c r="AX143" s="793">
        <f t="shared" si="148"/>
        <v>365</v>
      </c>
      <c r="AY143" s="793">
        <f t="shared" si="149"/>
        <v>1317</v>
      </c>
      <c r="AZ143" s="793">
        <f t="shared" si="150"/>
        <v>9222</v>
      </c>
      <c r="BA143" s="793">
        <f t="shared" si="151"/>
        <v>4638</v>
      </c>
    </row>
    <row r="144" spans="1:59" ht="15" customHeight="1" x14ac:dyDescent="0.25">
      <c r="A144" s="876" t="s">
        <v>1224</v>
      </c>
      <c r="B144" s="843" t="s">
        <v>1230</v>
      </c>
      <c r="C144" s="778">
        <f t="shared" si="107"/>
        <v>9.5000000000000001E-2</v>
      </c>
      <c r="D144" s="844">
        <v>10</v>
      </c>
      <c r="E144" s="779" t="s">
        <v>1182</v>
      </c>
      <c r="F144" s="877">
        <v>43191</v>
      </c>
      <c r="G144" s="781">
        <f t="shared" si="108"/>
        <v>43191</v>
      </c>
      <c r="H144" s="781">
        <f t="shared" si="109"/>
        <v>46841</v>
      </c>
      <c r="I144" s="1359">
        <v>53535</v>
      </c>
      <c r="J144" s="805">
        <f t="shared" si="110"/>
        <v>2676.75</v>
      </c>
      <c r="K144" s="793"/>
      <c r="L144" s="793"/>
      <c r="M144" s="793">
        <f t="shared" si="111"/>
        <v>53535</v>
      </c>
      <c r="N144" s="793">
        <f t="shared" si="112"/>
        <v>365</v>
      </c>
      <c r="O144" s="793">
        <f t="shared" si="113"/>
        <v>5086</v>
      </c>
      <c r="P144" s="793">
        <f t="shared" si="114"/>
        <v>5086</v>
      </c>
      <c r="Q144" s="793">
        <f t="shared" si="115"/>
        <v>48449</v>
      </c>
      <c r="R144" s="793">
        <f t="shared" si="116"/>
        <v>48449</v>
      </c>
      <c r="S144" s="793">
        <f t="shared" si="117"/>
        <v>53535</v>
      </c>
      <c r="T144" s="793">
        <f t="shared" si="118"/>
        <v>366</v>
      </c>
      <c r="U144" s="793">
        <f t="shared" si="119"/>
        <v>5086</v>
      </c>
      <c r="V144" s="793">
        <f t="shared" si="120"/>
        <v>10172</v>
      </c>
      <c r="W144" s="793">
        <f t="shared" si="121"/>
        <v>43363</v>
      </c>
      <c r="X144" s="793">
        <f t="shared" si="122"/>
        <v>43363</v>
      </c>
      <c r="Y144" s="805">
        <f t="shared" si="123"/>
        <v>53535</v>
      </c>
      <c r="Z144" s="805">
        <f t="shared" si="124"/>
        <v>365</v>
      </c>
      <c r="AA144" s="805">
        <f t="shared" si="125"/>
        <v>5086</v>
      </c>
      <c r="AB144" s="805">
        <f t="shared" si="126"/>
        <v>15258</v>
      </c>
      <c r="AC144" s="805">
        <f t="shared" si="127"/>
        <v>38277</v>
      </c>
      <c r="AD144" s="793">
        <f t="shared" si="128"/>
        <v>38277</v>
      </c>
      <c r="AE144" s="793">
        <f t="shared" si="129"/>
        <v>53535</v>
      </c>
      <c r="AF144" s="793">
        <f t="shared" si="130"/>
        <v>365</v>
      </c>
      <c r="AG144" s="793">
        <f t="shared" si="131"/>
        <v>5086</v>
      </c>
      <c r="AH144" s="805">
        <f t="shared" si="132"/>
        <v>20344</v>
      </c>
      <c r="AI144" s="805">
        <f t="shared" si="133"/>
        <v>33191</v>
      </c>
      <c r="AJ144" s="793">
        <f t="shared" si="134"/>
        <v>33191</v>
      </c>
      <c r="AK144" s="793">
        <f t="shared" si="135"/>
        <v>53535</v>
      </c>
      <c r="AL144" s="793">
        <f t="shared" si="136"/>
        <v>365</v>
      </c>
      <c r="AM144" s="793">
        <f t="shared" si="137"/>
        <v>5086</v>
      </c>
      <c r="AN144" s="805">
        <f t="shared" si="138"/>
        <v>25430</v>
      </c>
      <c r="AO144" s="805">
        <f t="shared" si="139"/>
        <v>28105</v>
      </c>
      <c r="AP144" s="793">
        <f t="shared" si="140"/>
        <v>28105</v>
      </c>
      <c r="AQ144" s="793">
        <f t="shared" si="141"/>
        <v>53535</v>
      </c>
      <c r="AR144" s="793">
        <f t="shared" si="142"/>
        <v>366</v>
      </c>
      <c r="AS144" s="793">
        <f t="shared" si="143"/>
        <v>5100</v>
      </c>
      <c r="AT144" s="793">
        <f t="shared" si="144"/>
        <v>30530</v>
      </c>
      <c r="AU144" s="793">
        <f t="shared" si="145"/>
        <v>23005</v>
      </c>
      <c r="AV144" s="793">
        <f t="shared" si="146"/>
        <v>23005</v>
      </c>
      <c r="AW144" s="793">
        <f t="shared" si="147"/>
        <v>53535</v>
      </c>
      <c r="AX144" s="793">
        <f t="shared" si="148"/>
        <v>365</v>
      </c>
      <c r="AY144" s="793">
        <f t="shared" si="149"/>
        <v>5086</v>
      </c>
      <c r="AZ144" s="793">
        <f t="shared" si="150"/>
        <v>35616</v>
      </c>
      <c r="BA144" s="793">
        <f t="shared" si="151"/>
        <v>17919</v>
      </c>
    </row>
    <row r="145" spans="1:53" ht="15" customHeight="1" x14ac:dyDescent="0.25">
      <c r="A145" s="876" t="s">
        <v>1224</v>
      </c>
      <c r="B145" s="843" t="s">
        <v>1230</v>
      </c>
      <c r="C145" s="778">
        <f t="shared" si="107"/>
        <v>9.5000000000000001E-2</v>
      </c>
      <c r="D145" s="844">
        <v>10</v>
      </c>
      <c r="E145" s="779" t="s">
        <v>1182</v>
      </c>
      <c r="F145" s="877">
        <v>43191</v>
      </c>
      <c r="G145" s="781">
        <f t="shared" si="108"/>
        <v>43191</v>
      </c>
      <c r="H145" s="781">
        <f t="shared" si="109"/>
        <v>46841</v>
      </c>
      <c r="I145" s="1359">
        <v>207056</v>
      </c>
      <c r="J145" s="805">
        <f t="shared" si="110"/>
        <v>10352.800000000001</v>
      </c>
      <c r="K145" s="793"/>
      <c r="L145" s="793"/>
      <c r="M145" s="793">
        <f t="shared" si="111"/>
        <v>207056</v>
      </c>
      <c r="N145" s="793">
        <f t="shared" si="112"/>
        <v>365</v>
      </c>
      <c r="O145" s="793">
        <f t="shared" si="113"/>
        <v>19670</v>
      </c>
      <c r="P145" s="793">
        <f t="shared" si="114"/>
        <v>19670</v>
      </c>
      <c r="Q145" s="793">
        <f t="shared" si="115"/>
        <v>187386</v>
      </c>
      <c r="R145" s="793">
        <f t="shared" si="116"/>
        <v>187386</v>
      </c>
      <c r="S145" s="793">
        <f t="shared" si="117"/>
        <v>207056</v>
      </c>
      <c r="T145" s="793">
        <f t="shared" si="118"/>
        <v>366</v>
      </c>
      <c r="U145" s="793">
        <f t="shared" si="119"/>
        <v>19670</v>
      </c>
      <c r="V145" s="793">
        <f t="shared" si="120"/>
        <v>39340</v>
      </c>
      <c r="W145" s="793">
        <f t="shared" si="121"/>
        <v>167716</v>
      </c>
      <c r="X145" s="793">
        <f t="shared" si="122"/>
        <v>167716</v>
      </c>
      <c r="Y145" s="805">
        <f t="shared" si="123"/>
        <v>207056</v>
      </c>
      <c r="Z145" s="805">
        <f t="shared" si="124"/>
        <v>365</v>
      </c>
      <c r="AA145" s="805">
        <f t="shared" si="125"/>
        <v>19670</v>
      </c>
      <c r="AB145" s="805">
        <f t="shared" si="126"/>
        <v>59010</v>
      </c>
      <c r="AC145" s="805">
        <f t="shared" si="127"/>
        <v>148046</v>
      </c>
      <c r="AD145" s="793">
        <f t="shared" si="128"/>
        <v>148046</v>
      </c>
      <c r="AE145" s="793">
        <f t="shared" si="129"/>
        <v>207056</v>
      </c>
      <c r="AF145" s="793">
        <f t="shared" si="130"/>
        <v>365</v>
      </c>
      <c r="AG145" s="793">
        <f t="shared" si="131"/>
        <v>19670</v>
      </c>
      <c r="AH145" s="805">
        <f t="shared" si="132"/>
        <v>78680</v>
      </c>
      <c r="AI145" s="805">
        <f t="shared" si="133"/>
        <v>128376</v>
      </c>
      <c r="AJ145" s="793">
        <f t="shared" si="134"/>
        <v>128376</v>
      </c>
      <c r="AK145" s="793">
        <f t="shared" si="135"/>
        <v>207056</v>
      </c>
      <c r="AL145" s="793">
        <f t="shared" si="136"/>
        <v>365</v>
      </c>
      <c r="AM145" s="793">
        <f t="shared" si="137"/>
        <v>19670</v>
      </c>
      <c r="AN145" s="805">
        <f t="shared" si="138"/>
        <v>98350</v>
      </c>
      <c r="AO145" s="805">
        <f t="shared" si="139"/>
        <v>108706</v>
      </c>
      <c r="AP145" s="793">
        <f t="shared" si="140"/>
        <v>108706</v>
      </c>
      <c r="AQ145" s="793">
        <f t="shared" si="141"/>
        <v>207056</v>
      </c>
      <c r="AR145" s="793">
        <f t="shared" si="142"/>
        <v>366</v>
      </c>
      <c r="AS145" s="793">
        <f t="shared" si="143"/>
        <v>19724</v>
      </c>
      <c r="AT145" s="793">
        <f t="shared" si="144"/>
        <v>118074</v>
      </c>
      <c r="AU145" s="793">
        <f t="shared" si="145"/>
        <v>88982</v>
      </c>
      <c r="AV145" s="793">
        <f t="shared" si="146"/>
        <v>88982</v>
      </c>
      <c r="AW145" s="793">
        <f t="shared" si="147"/>
        <v>207056</v>
      </c>
      <c r="AX145" s="793">
        <f t="shared" si="148"/>
        <v>365</v>
      </c>
      <c r="AY145" s="793">
        <f t="shared" si="149"/>
        <v>19670</v>
      </c>
      <c r="AZ145" s="793">
        <f t="shared" si="150"/>
        <v>137744</v>
      </c>
      <c r="BA145" s="793">
        <f t="shared" si="151"/>
        <v>69312</v>
      </c>
    </row>
    <row r="146" spans="1:53" ht="15" customHeight="1" x14ac:dyDescent="0.25">
      <c r="A146" s="876" t="s">
        <v>1224</v>
      </c>
      <c r="B146" s="843" t="s">
        <v>1230</v>
      </c>
      <c r="C146" s="778">
        <f t="shared" si="107"/>
        <v>9.5000000000000001E-2</v>
      </c>
      <c r="D146" s="844">
        <v>10</v>
      </c>
      <c r="E146" s="779" t="s">
        <v>1182</v>
      </c>
      <c r="F146" s="877">
        <v>43191</v>
      </c>
      <c r="G146" s="781">
        <f t="shared" si="108"/>
        <v>43191</v>
      </c>
      <c r="H146" s="781">
        <f t="shared" si="109"/>
        <v>46841</v>
      </c>
      <c r="I146" s="1359">
        <v>44550</v>
      </c>
      <c r="J146" s="805">
        <f t="shared" si="110"/>
        <v>2227.5</v>
      </c>
      <c r="K146" s="793"/>
      <c r="L146" s="793"/>
      <c r="M146" s="793">
        <f t="shared" si="111"/>
        <v>44550</v>
      </c>
      <c r="N146" s="793">
        <f t="shared" si="112"/>
        <v>365</v>
      </c>
      <c r="O146" s="793">
        <f t="shared" si="113"/>
        <v>4232</v>
      </c>
      <c r="P146" s="793">
        <f t="shared" si="114"/>
        <v>4232</v>
      </c>
      <c r="Q146" s="793">
        <f t="shared" si="115"/>
        <v>40318</v>
      </c>
      <c r="R146" s="793">
        <f t="shared" si="116"/>
        <v>40318</v>
      </c>
      <c r="S146" s="793">
        <f t="shared" si="117"/>
        <v>44550</v>
      </c>
      <c r="T146" s="793">
        <f t="shared" si="118"/>
        <v>366</v>
      </c>
      <c r="U146" s="793">
        <f t="shared" si="119"/>
        <v>4232</v>
      </c>
      <c r="V146" s="793">
        <f t="shared" si="120"/>
        <v>8464</v>
      </c>
      <c r="W146" s="793">
        <f t="shared" si="121"/>
        <v>36086</v>
      </c>
      <c r="X146" s="793">
        <f t="shared" si="122"/>
        <v>36086</v>
      </c>
      <c r="Y146" s="805">
        <f t="shared" si="123"/>
        <v>44550</v>
      </c>
      <c r="Z146" s="805">
        <f t="shared" si="124"/>
        <v>365</v>
      </c>
      <c r="AA146" s="805">
        <f t="shared" si="125"/>
        <v>4232</v>
      </c>
      <c r="AB146" s="805">
        <f t="shared" si="126"/>
        <v>12696</v>
      </c>
      <c r="AC146" s="805">
        <f t="shared" si="127"/>
        <v>31854</v>
      </c>
      <c r="AD146" s="793">
        <f t="shared" si="128"/>
        <v>31854</v>
      </c>
      <c r="AE146" s="793">
        <f t="shared" si="129"/>
        <v>44550</v>
      </c>
      <c r="AF146" s="793">
        <f t="shared" si="130"/>
        <v>365</v>
      </c>
      <c r="AG146" s="793">
        <f t="shared" si="131"/>
        <v>4232</v>
      </c>
      <c r="AH146" s="805">
        <f t="shared" si="132"/>
        <v>16928</v>
      </c>
      <c r="AI146" s="805">
        <f t="shared" si="133"/>
        <v>27622</v>
      </c>
      <c r="AJ146" s="793">
        <f t="shared" si="134"/>
        <v>27622</v>
      </c>
      <c r="AK146" s="793">
        <f t="shared" si="135"/>
        <v>44550</v>
      </c>
      <c r="AL146" s="793">
        <f t="shared" si="136"/>
        <v>365</v>
      </c>
      <c r="AM146" s="793">
        <f t="shared" si="137"/>
        <v>4232</v>
      </c>
      <c r="AN146" s="805">
        <f t="shared" si="138"/>
        <v>21160</v>
      </c>
      <c r="AO146" s="805">
        <f t="shared" si="139"/>
        <v>23390</v>
      </c>
      <c r="AP146" s="793">
        <f t="shared" si="140"/>
        <v>23390</v>
      </c>
      <c r="AQ146" s="793">
        <f t="shared" si="141"/>
        <v>44550</v>
      </c>
      <c r="AR146" s="793">
        <f t="shared" si="142"/>
        <v>366</v>
      </c>
      <c r="AS146" s="793">
        <f t="shared" si="143"/>
        <v>4244</v>
      </c>
      <c r="AT146" s="793">
        <f t="shared" si="144"/>
        <v>25404</v>
      </c>
      <c r="AU146" s="793">
        <f t="shared" si="145"/>
        <v>19146</v>
      </c>
      <c r="AV146" s="793">
        <f t="shared" si="146"/>
        <v>19146</v>
      </c>
      <c r="AW146" s="793">
        <f t="shared" si="147"/>
        <v>44550</v>
      </c>
      <c r="AX146" s="793">
        <f t="shared" si="148"/>
        <v>365</v>
      </c>
      <c r="AY146" s="793">
        <f t="shared" si="149"/>
        <v>4232</v>
      </c>
      <c r="AZ146" s="793">
        <f t="shared" si="150"/>
        <v>29636</v>
      </c>
      <c r="BA146" s="793">
        <f t="shared" si="151"/>
        <v>14914</v>
      </c>
    </row>
    <row r="147" spans="1:53" ht="15" customHeight="1" x14ac:dyDescent="0.25">
      <c r="A147" s="876" t="s">
        <v>1224</v>
      </c>
      <c r="B147" s="843" t="s">
        <v>1230</v>
      </c>
      <c r="C147" s="778">
        <f t="shared" si="107"/>
        <v>9.5000000000000001E-2</v>
      </c>
      <c r="D147" s="844">
        <v>10</v>
      </c>
      <c r="E147" s="779" t="s">
        <v>1182</v>
      </c>
      <c r="F147" s="877">
        <v>43191</v>
      </c>
      <c r="G147" s="781">
        <f t="shared" si="108"/>
        <v>43191</v>
      </c>
      <c r="H147" s="781">
        <f t="shared" si="109"/>
        <v>46841</v>
      </c>
      <c r="I147" s="1359">
        <v>226860</v>
      </c>
      <c r="J147" s="805">
        <f t="shared" si="110"/>
        <v>11343</v>
      </c>
      <c r="K147" s="793"/>
      <c r="L147" s="793"/>
      <c r="M147" s="793">
        <f t="shared" si="111"/>
        <v>226860</v>
      </c>
      <c r="N147" s="793">
        <f t="shared" si="112"/>
        <v>365</v>
      </c>
      <c r="O147" s="793">
        <f t="shared" si="113"/>
        <v>21552</v>
      </c>
      <c r="P147" s="793">
        <f t="shared" si="114"/>
        <v>21552</v>
      </c>
      <c r="Q147" s="793">
        <f t="shared" si="115"/>
        <v>205308</v>
      </c>
      <c r="R147" s="793">
        <f t="shared" si="116"/>
        <v>205308</v>
      </c>
      <c r="S147" s="793">
        <f t="shared" si="117"/>
        <v>226860</v>
      </c>
      <c r="T147" s="793">
        <f t="shared" si="118"/>
        <v>366</v>
      </c>
      <c r="U147" s="793">
        <f t="shared" si="119"/>
        <v>21552</v>
      </c>
      <c r="V147" s="793">
        <f t="shared" si="120"/>
        <v>43104</v>
      </c>
      <c r="W147" s="793">
        <f t="shared" si="121"/>
        <v>183756</v>
      </c>
      <c r="X147" s="793">
        <f t="shared" si="122"/>
        <v>183756</v>
      </c>
      <c r="Y147" s="805">
        <f t="shared" si="123"/>
        <v>226860</v>
      </c>
      <c r="Z147" s="805">
        <f t="shared" si="124"/>
        <v>365</v>
      </c>
      <c r="AA147" s="805">
        <f t="shared" si="125"/>
        <v>21552</v>
      </c>
      <c r="AB147" s="805">
        <f t="shared" si="126"/>
        <v>64656</v>
      </c>
      <c r="AC147" s="805">
        <f t="shared" si="127"/>
        <v>162204</v>
      </c>
      <c r="AD147" s="793">
        <f t="shared" si="128"/>
        <v>162204</v>
      </c>
      <c r="AE147" s="793">
        <f t="shared" si="129"/>
        <v>226860</v>
      </c>
      <c r="AF147" s="793">
        <f t="shared" si="130"/>
        <v>365</v>
      </c>
      <c r="AG147" s="793">
        <f t="shared" si="131"/>
        <v>21552</v>
      </c>
      <c r="AH147" s="805">
        <f t="shared" si="132"/>
        <v>86208</v>
      </c>
      <c r="AI147" s="805">
        <f t="shared" si="133"/>
        <v>140652</v>
      </c>
      <c r="AJ147" s="793">
        <f t="shared" si="134"/>
        <v>140652</v>
      </c>
      <c r="AK147" s="793">
        <f t="shared" si="135"/>
        <v>226860</v>
      </c>
      <c r="AL147" s="793">
        <f t="shared" si="136"/>
        <v>365</v>
      </c>
      <c r="AM147" s="793">
        <f t="shared" si="137"/>
        <v>21552</v>
      </c>
      <c r="AN147" s="805">
        <f t="shared" si="138"/>
        <v>107760</v>
      </c>
      <c r="AO147" s="805">
        <f t="shared" si="139"/>
        <v>119100</v>
      </c>
      <c r="AP147" s="793">
        <f t="shared" si="140"/>
        <v>119100</v>
      </c>
      <c r="AQ147" s="793">
        <f t="shared" si="141"/>
        <v>226860</v>
      </c>
      <c r="AR147" s="793">
        <f t="shared" si="142"/>
        <v>366</v>
      </c>
      <c r="AS147" s="793">
        <f t="shared" si="143"/>
        <v>21611</v>
      </c>
      <c r="AT147" s="793">
        <f t="shared" si="144"/>
        <v>129371</v>
      </c>
      <c r="AU147" s="793">
        <f t="shared" si="145"/>
        <v>97489</v>
      </c>
      <c r="AV147" s="793">
        <f t="shared" si="146"/>
        <v>97489</v>
      </c>
      <c r="AW147" s="793">
        <f t="shared" si="147"/>
        <v>226860</v>
      </c>
      <c r="AX147" s="793">
        <f t="shared" si="148"/>
        <v>365</v>
      </c>
      <c r="AY147" s="793">
        <f t="shared" si="149"/>
        <v>21552</v>
      </c>
      <c r="AZ147" s="793">
        <f t="shared" si="150"/>
        <v>150923</v>
      </c>
      <c r="BA147" s="793">
        <f t="shared" si="151"/>
        <v>75937</v>
      </c>
    </row>
    <row r="148" spans="1:53" ht="15" customHeight="1" x14ac:dyDescent="0.25">
      <c r="A148" s="876" t="s">
        <v>1224</v>
      </c>
      <c r="B148" s="843" t="s">
        <v>1230</v>
      </c>
      <c r="C148" s="778">
        <f t="shared" si="107"/>
        <v>9.5000000000000001E-2</v>
      </c>
      <c r="D148" s="844">
        <v>10</v>
      </c>
      <c r="E148" s="779" t="s">
        <v>1182</v>
      </c>
      <c r="F148" s="877">
        <v>43191</v>
      </c>
      <c r="G148" s="781">
        <f t="shared" si="108"/>
        <v>43191</v>
      </c>
      <c r="H148" s="781">
        <f t="shared" si="109"/>
        <v>46841</v>
      </c>
      <c r="I148" s="1359">
        <v>226860</v>
      </c>
      <c r="J148" s="805">
        <f t="shared" si="110"/>
        <v>11343</v>
      </c>
      <c r="K148" s="793"/>
      <c r="L148" s="793"/>
      <c r="M148" s="793">
        <f t="shared" si="111"/>
        <v>226860</v>
      </c>
      <c r="N148" s="793">
        <f t="shared" si="112"/>
        <v>365</v>
      </c>
      <c r="O148" s="793">
        <f t="shared" si="113"/>
        <v>21552</v>
      </c>
      <c r="P148" s="793">
        <f t="shared" si="114"/>
        <v>21552</v>
      </c>
      <c r="Q148" s="793">
        <f t="shared" si="115"/>
        <v>205308</v>
      </c>
      <c r="R148" s="793">
        <f t="shared" si="116"/>
        <v>205308</v>
      </c>
      <c r="S148" s="793">
        <f t="shared" si="117"/>
        <v>226860</v>
      </c>
      <c r="T148" s="793">
        <f t="shared" si="118"/>
        <v>366</v>
      </c>
      <c r="U148" s="793">
        <f t="shared" si="119"/>
        <v>21552</v>
      </c>
      <c r="V148" s="793">
        <f t="shared" si="120"/>
        <v>43104</v>
      </c>
      <c r="W148" s="793">
        <f t="shared" si="121"/>
        <v>183756</v>
      </c>
      <c r="X148" s="793">
        <f t="shared" si="122"/>
        <v>183756</v>
      </c>
      <c r="Y148" s="805">
        <f t="shared" si="123"/>
        <v>226860</v>
      </c>
      <c r="Z148" s="805">
        <f t="shared" si="124"/>
        <v>365</v>
      </c>
      <c r="AA148" s="805">
        <f t="shared" si="125"/>
        <v>21552</v>
      </c>
      <c r="AB148" s="805">
        <f t="shared" si="126"/>
        <v>64656</v>
      </c>
      <c r="AC148" s="805">
        <f t="shared" si="127"/>
        <v>162204</v>
      </c>
      <c r="AD148" s="793">
        <f t="shared" si="128"/>
        <v>162204</v>
      </c>
      <c r="AE148" s="793">
        <f t="shared" si="129"/>
        <v>226860</v>
      </c>
      <c r="AF148" s="793">
        <f t="shared" si="130"/>
        <v>365</v>
      </c>
      <c r="AG148" s="793">
        <f t="shared" si="131"/>
        <v>21552</v>
      </c>
      <c r="AH148" s="805">
        <f t="shared" si="132"/>
        <v>86208</v>
      </c>
      <c r="AI148" s="805">
        <f t="shared" si="133"/>
        <v>140652</v>
      </c>
      <c r="AJ148" s="793">
        <f t="shared" si="134"/>
        <v>140652</v>
      </c>
      <c r="AK148" s="793">
        <f t="shared" si="135"/>
        <v>226860</v>
      </c>
      <c r="AL148" s="793">
        <f t="shared" si="136"/>
        <v>365</v>
      </c>
      <c r="AM148" s="793">
        <f t="shared" si="137"/>
        <v>21552</v>
      </c>
      <c r="AN148" s="805">
        <f t="shared" si="138"/>
        <v>107760</v>
      </c>
      <c r="AO148" s="805">
        <f t="shared" si="139"/>
        <v>119100</v>
      </c>
      <c r="AP148" s="793">
        <f t="shared" si="140"/>
        <v>119100</v>
      </c>
      <c r="AQ148" s="793">
        <f t="shared" si="141"/>
        <v>226860</v>
      </c>
      <c r="AR148" s="793">
        <f t="shared" si="142"/>
        <v>366</v>
      </c>
      <c r="AS148" s="793">
        <f t="shared" si="143"/>
        <v>21611</v>
      </c>
      <c r="AT148" s="793">
        <f t="shared" si="144"/>
        <v>129371</v>
      </c>
      <c r="AU148" s="793">
        <f t="shared" si="145"/>
        <v>97489</v>
      </c>
      <c r="AV148" s="793">
        <f t="shared" si="146"/>
        <v>97489</v>
      </c>
      <c r="AW148" s="793">
        <f t="shared" si="147"/>
        <v>226860</v>
      </c>
      <c r="AX148" s="793">
        <f t="shared" si="148"/>
        <v>365</v>
      </c>
      <c r="AY148" s="793">
        <f t="shared" si="149"/>
        <v>21552</v>
      </c>
      <c r="AZ148" s="793">
        <f t="shared" si="150"/>
        <v>150923</v>
      </c>
      <c r="BA148" s="793">
        <f t="shared" si="151"/>
        <v>75937</v>
      </c>
    </row>
    <row r="149" spans="1:53" ht="15" customHeight="1" x14ac:dyDescent="0.25">
      <c r="A149" s="876" t="s">
        <v>1224</v>
      </c>
      <c r="B149" s="843" t="s">
        <v>1230</v>
      </c>
      <c r="C149" s="778">
        <f t="shared" si="107"/>
        <v>9.5000000000000001E-2</v>
      </c>
      <c r="D149" s="844">
        <v>10</v>
      </c>
      <c r="E149" s="779" t="s">
        <v>1182</v>
      </c>
      <c r="F149" s="877">
        <v>43191</v>
      </c>
      <c r="G149" s="781">
        <f t="shared" si="108"/>
        <v>43191</v>
      </c>
      <c r="H149" s="781">
        <f t="shared" si="109"/>
        <v>46841</v>
      </c>
      <c r="I149" s="1359">
        <v>81756</v>
      </c>
      <c r="J149" s="805">
        <f t="shared" si="110"/>
        <v>4087.8</v>
      </c>
      <c r="K149" s="793"/>
      <c r="L149" s="793"/>
      <c r="M149" s="793">
        <f t="shared" si="111"/>
        <v>81756</v>
      </c>
      <c r="N149" s="793">
        <v>0</v>
      </c>
      <c r="O149" s="793">
        <f t="shared" si="113"/>
        <v>0</v>
      </c>
      <c r="P149" s="793">
        <f t="shared" si="114"/>
        <v>0</v>
      </c>
      <c r="Q149" s="793">
        <f t="shared" si="115"/>
        <v>81756</v>
      </c>
      <c r="R149" s="793">
        <f t="shared" si="116"/>
        <v>81756</v>
      </c>
      <c r="S149" s="793">
        <f t="shared" si="117"/>
        <v>81756</v>
      </c>
      <c r="T149" s="793">
        <f t="shared" si="118"/>
        <v>366</v>
      </c>
      <c r="U149" s="793">
        <f t="shared" si="119"/>
        <v>7767</v>
      </c>
      <c r="V149" s="793">
        <f t="shared" si="120"/>
        <v>7767</v>
      </c>
      <c r="W149" s="793">
        <f t="shared" si="121"/>
        <v>73989</v>
      </c>
      <c r="X149" s="793">
        <f t="shared" si="122"/>
        <v>73989</v>
      </c>
      <c r="Y149" s="805">
        <f t="shared" si="123"/>
        <v>81756</v>
      </c>
      <c r="Z149" s="805">
        <f t="shared" si="124"/>
        <v>365</v>
      </c>
      <c r="AA149" s="805">
        <f t="shared" si="125"/>
        <v>7767</v>
      </c>
      <c r="AB149" s="805">
        <f t="shared" si="126"/>
        <v>15534</v>
      </c>
      <c r="AC149" s="805">
        <f t="shared" si="127"/>
        <v>66222</v>
      </c>
      <c r="AD149" s="793">
        <f t="shared" si="128"/>
        <v>66222</v>
      </c>
      <c r="AE149" s="793">
        <f t="shared" si="129"/>
        <v>81756</v>
      </c>
      <c r="AF149" s="793">
        <f t="shared" si="130"/>
        <v>365</v>
      </c>
      <c r="AG149" s="793">
        <f t="shared" si="131"/>
        <v>7767</v>
      </c>
      <c r="AH149" s="805">
        <f t="shared" si="132"/>
        <v>23301</v>
      </c>
      <c r="AI149" s="805">
        <f t="shared" si="133"/>
        <v>58455</v>
      </c>
      <c r="AJ149" s="793">
        <f t="shared" si="134"/>
        <v>58455</v>
      </c>
      <c r="AK149" s="793">
        <f t="shared" si="135"/>
        <v>81756</v>
      </c>
      <c r="AL149" s="793">
        <f t="shared" si="136"/>
        <v>365</v>
      </c>
      <c r="AM149" s="793">
        <f t="shared" si="137"/>
        <v>7767</v>
      </c>
      <c r="AN149" s="805">
        <f t="shared" si="138"/>
        <v>31068</v>
      </c>
      <c r="AO149" s="805">
        <f t="shared" si="139"/>
        <v>50688</v>
      </c>
      <c r="AP149" s="793">
        <f t="shared" si="140"/>
        <v>50688</v>
      </c>
      <c r="AQ149" s="793">
        <f t="shared" si="141"/>
        <v>81756</v>
      </c>
      <c r="AR149" s="793">
        <f t="shared" si="142"/>
        <v>366</v>
      </c>
      <c r="AS149" s="793">
        <f t="shared" si="143"/>
        <v>7788</v>
      </c>
      <c r="AT149" s="793">
        <f t="shared" si="144"/>
        <v>38856</v>
      </c>
      <c r="AU149" s="793">
        <f t="shared" si="145"/>
        <v>42900</v>
      </c>
      <c r="AV149" s="793">
        <f t="shared" si="146"/>
        <v>42900</v>
      </c>
      <c r="AW149" s="793">
        <f t="shared" si="147"/>
        <v>81756</v>
      </c>
      <c r="AX149" s="793">
        <f t="shared" si="148"/>
        <v>365</v>
      </c>
      <c r="AY149" s="793">
        <f t="shared" si="149"/>
        <v>7767</v>
      </c>
      <c r="AZ149" s="793">
        <f t="shared" si="150"/>
        <v>46623</v>
      </c>
      <c r="BA149" s="793">
        <f t="shared" si="151"/>
        <v>35133</v>
      </c>
    </row>
    <row r="150" spans="1:53" ht="15" customHeight="1" x14ac:dyDescent="0.25">
      <c r="A150" s="876" t="s">
        <v>1224</v>
      </c>
      <c r="B150" s="843" t="s">
        <v>1230</v>
      </c>
      <c r="C150" s="778">
        <f t="shared" si="107"/>
        <v>9.5000000000000001E-2</v>
      </c>
      <c r="D150" s="844">
        <v>10</v>
      </c>
      <c r="E150" s="779" t="s">
        <v>1182</v>
      </c>
      <c r="F150" s="877">
        <v>43191</v>
      </c>
      <c r="G150" s="781">
        <f t="shared" si="108"/>
        <v>43191</v>
      </c>
      <c r="H150" s="781">
        <f t="shared" si="109"/>
        <v>46841</v>
      </c>
      <c r="I150" s="1359">
        <v>2339789</v>
      </c>
      <c r="J150" s="805">
        <f t="shared" si="110"/>
        <v>116989.45000000001</v>
      </c>
      <c r="K150" s="793"/>
      <c r="L150" s="793"/>
      <c r="M150" s="793">
        <f t="shared" si="111"/>
        <v>2339789</v>
      </c>
      <c r="N150" s="793">
        <v>0</v>
      </c>
      <c r="O150" s="793">
        <f t="shared" si="113"/>
        <v>0</v>
      </c>
      <c r="P150" s="793">
        <f t="shared" si="114"/>
        <v>0</v>
      </c>
      <c r="Q150" s="793">
        <f t="shared" si="115"/>
        <v>2339789</v>
      </c>
      <c r="R150" s="793">
        <f t="shared" si="116"/>
        <v>2339789</v>
      </c>
      <c r="S150" s="793">
        <f t="shared" si="117"/>
        <v>2339789</v>
      </c>
      <c r="T150" s="793">
        <f t="shared" si="118"/>
        <v>366</v>
      </c>
      <c r="U150" s="793">
        <f t="shared" si="119"/>
        <v>222280</v>
      </c>
      <c r="V150" s="793">
        <f t="shared" si="120"/>
        <v>222280</v>
      </c>
      <c r="W150" s="793">
        <f t="shared" si="121"/>
        <v>2117509</v>
      </c>
      <c r="X150" s="793">
        <f t="shared" si="122"/>
        <v>2117509</v>
      </c>
      <c r="Y150" s="805">
        <f t="shared" si="123"/>
        <v>2339789</v>
      </c>
      <c r="Z150" s="805">
        <f t="shared" si="124"/>
        <v>365</v>
      </c>
      <c r="AA150" s="805">
        <f t="shared" si="125"/>
        <v>222280</v>
      </c>
      <c r="AB150" s="805">
        <f t="shared" si="126"/>
        <v>444560</v>
      </c>
      <c r="AC150" s="805">
        <f t="shared" si="127"/>
        <v>1895229</v>
      </c>
      <c r="AD150" s="793">
        <f t="shared" si="128"/>
        <v>1895229</v>
      </c>
      <c r="AE150" s="793">
        <f t="shared" si="129"/>
        <v>2339789</v>
      </c>
      <c r="AF150" s="793">
        <f t="shared" si="130"/>
        <v>365</v>
      </c>
      <c r="AG150" s="793">
        <f t="shared" si="131"/>
        <v>222280</v>
      </c>
      <c r="AH150" s="805">
        <f t="shared" si="132"/>
        <v>666840</v>
      </c>
      <c r="AI150" s="805">
        <f t="shared" si="133"/>
        <v>1672949</v>
      </c>
      <c r="AJ150" s="793">
        <f t="shared" si="134"/>
        <v>1672949</v>
      </c>
      <c r="AK150" s="793">
        <f t="shared" si="135"/>
        <v>2339789</v>
      </c>
      <c r="AL150" s="793">
        <f t="shared" si="136"/>
        <v>365</v>
      </c>
      <c r="AM150" s="793">
        <f t="shared" si="137"/>
        <v>222280</v>
      </c>
      <c r="AN150" s="805">
        <f t="shared" si="138"/>
        <v>889120</v>
      </c>
      <c r="AO150" s="805">
        <f t="shared" si="139"/>
        <v>1450669</v>
      </c>
      <c r="AP150" s="793">
        <f t="shared" si="140"/>
        <v>1450669</v>
      </c>
      <c r="AQ150" s="793">
        <f t="shared" si="141"/>
        <v>2339789</v>
      </c>
      <c r="AR150" s="793">
        <f t="shared" si="142"/>
        <v>366</v>
      </c>
      <c r="AS150" s="793">
        <f t="shared" si="143"/>
        <v>222889</v>
      </c>
      <c r="AT150" s="793">
        <f t="shared" si="144"/>
        <v>1112009</v>
      </c>
      <c r="AU150" s="793">
        <f t="shared" si="145"/>
        <v>1227780</v>
      </c>
      <c r="AV150" s="793">
        <f t="shared" si="146"/>
        <v>1227780</v>
      </c>
      <c r="AW150" s="793">
        <f t="shared" si="147"/>
        <v>2339789</v>
      </c>
      <c r="AX150" s="793">
        <f t="shared" si="148"/>
        <v>365</v>
      </c>
      <c r="AY150" s="793">
        <f t="shared" si="149"/>
        <v>222280</v>
      </c>
      <c r="AZ150" s="793">
        <f t="shared" si="150"/>
        <v>1334289</v>
      </c>
      <c r="BA150" s="793">
        <f t="shared" si="151"/>
        <v>1005500</v>
      </c>
    </row>
    <row r="151" spans="1:53" ht="15" customHeight="1" x14ac:dyDescent="0.25">
      <c r="A151" s="876" t="s">
        <v>1224</v>
      </c>
      <c r="B151" s="843" t="s">
        <v>1230</v>
      </c>
      <c r="C151" s="778">
        <f t="shared" si="107"/>
        <v>9.5000000000000001E-2</v>
      </c>
      <c r="D151" s="844">
        <v>10</v>
      </c>
      <c r="E151" s="779" t="s">
        <v>1182</v>
      </c>
      <c r="F151" s="877">
        <v>43191</v>
      </c>
      <c r="G151" s="781">
        <f t="shared" si="108"/>
        <v>43191</v>
      </c>
      <c r="H151" s="781">
        <f t="shared" si="109"/>
        <v>46841</v>
      </c>
      <c r="I151" s="1359">
        <v>2602071</v>
      </c>
      <c r="J151" s="805">
        <f t="shared" si="110"/>
        <v>130103.55</v>
      </c>
      <c r="K151" s="793"/>
      <c r="L151" s="793"/>
      <c r="M151" s="793">
        <f t="shared" si="111"/>
        <v>2602071</v>
      </c>
      <c r="N151" s="793">
        <f t="shared" ref="N151:N168" si="152">IF(AND(F151&gt;$K$3,F151&lt;$L$3),$L$3-F151+1,IF(H151&lt;=$K$3,0,IF(H151&gt;$L$3,$L$3-$K$3,H151-$K$3)))</f>
        <v>365</v>
      </c>
      <c r="O151" s="793">
        <f t="shared" si="113"/>
        <v>247197</v>
      </c>
      <c r="P151" s="793">
        <f t="shared" si="114"/>
        <v>247197</v>
      </c>
      <c r="Q151" s="793">
        <f t="shared" si="115"/>
        <v>2354874</v>
      </c>
      <c r="R151" s="793">
        <f t="shared" si="116"/>
        <v>2354874</v>
      </c>
      <c r="S151" s="793">
        <f t="shared" si="117"/>
        <v>2602071</v>
      </c>
      <c r="T151" s="793">
        <f t="shared" si="118"/>
        <v>366</v>
      </c>
      <c r="U151" s="793">
        <v>-276</v>
      </c>
      <c r="V151" s="793">
        <f t="shared" si="120"/>
        <v>246921</v>
      </c>
      <c r="W151" s="793">
        <f t="shared" si="121"/>
        <v>2355150</v>
      </c>
      <c r="X151" s="793">
        <f t="shared" si="122"/>
        <v>2355150</v>
      </c>
      <c r="Y151" s="805">
        <f t="shared" si="123"/>
        <v>2602071</v>
      </c>
      <c r="Z151" s="805">
        <f t="shared" si="124"/>
        <v>365</v>
      </c>
      <c r="AA151" s="805">
        <f t="shared" si="125"/>
        <v>247197</v>
      </c>
      <c r="AB151" s="805">
        <f t="shared" si="126"/>
        <v>494118</v>
      </c>
      <c r="AC151" s="805">
        <f t="shared" si="127"/>
        <v>2107953</v>
      </c>
      <c r="AD151" s="793">
        <f t="shared" si="128"/>
        <v>2107953</v>
      </c>
      <c r="AE151" s="793">
        <f t="shared" si="129"/>
        <v>2602071</v>
      </c>
      <c r="AF151" s="793">
        <f t="shared" si="130"/>
        <v>365</v>
      </c>
      <c r="AG151" s="793">
        <f t="shared" si="131"/>
        <v>247197</v>
      </c>
      <c r="AH151" s="805">
        <f t="shared" si="132"/>
        <v>741315</v>
      </c>
      <c r="AI151" s="805">
        <f t="shared" si="133"/>
        <v>1860756</v>
      </c>
      <c r="AJ151" s="793">
        <f t="shared" si="134"/>
        <v>1860756</v>
      </c>
      <c r="AK151" s="793">
        <f t="shared" si="135"/>
        <v>2602071</v>
      </c>
      <c r="AL151" s="793">
        <f t="shared" si="136"/>
        <v>365</v>
      </c>
      <c r="AM151" s="793">
        <f t="shared" si="137"/>
        <v>247197</v>
      </c>
      <c r="AN151" s="805">
        <f t="shared" si="138"/>
        <v>988512</v>
      </c>
      <c r="AO151" s="805">
        <f t="shared" si="139"/>
        <v>1613559</v>
      </c>
      <c r="AP151" s="793">
        <f t="shared" si="140"/>
        <v>1613559</v>
      </c>
      <c r="AQ151" s="793">
        <f t="shared" si="141"/>
        <v>2602071</v>
      </c>
      <c r="AR151" s="793">
        <f t="shared" si="142"/>
        <v>366</v>
      </c>
      <c r="AS151" s="793">
        <f t="shared" si="143"/>
        <v>247874</v>
      </c>
      <c r="AT151" s="793">
        <f t="shared" si="144"/>
        <v>1236386</v>
      </c>
      <c r="AU151" s="793">
        <f t="shared" si="145"/>
        <v>1365685</v>
      </c>
      <c r="AV151" s="793">
        <f t="shared" si="146"/>
        <v>1365685</v>
      </c>
      <c r="AW151" s="793">
        <f t="shared" si="147"/>
        <v>2602071</v>
      </c>
      <c r="AX151" s="793">
        <f t="shared" si="148"/>
        <v>365</v>
      </c>
      <c r="AY151" s="793">
        <f t="shared" si="149"/>
        <v>247197</v>
      </c>
      <c r="AZ151" s="793">
        <f t="shared" si="150"/>
        <v>1483583</v>
      </c>
      <c r="BA151" s="793">
        <f t="shared" si="151"/>
        <v>1118488</v>
      </c>
    </row>
    <row r="152" spans="1:53" ht="15" customHeight="1" x14ac:dyDescent="0.25">
      <c r="A152" s="876" t="s">
        <v>1224</v>
      </c>
      <c r="B152" s="843" t="s">
        <v>1230</v>
      </c>
      <c r="C152" s="778">
        <f t="shared" si="107"/>
        <v>9.5000000000000001E-2</v>
      </c>
      <c r="D152" s="844">
        <v>10</v>
      </c>
      <c r="E152" s="779" t="s">
        <v>1182</v>
      </c>
      <c r="F152" s="877">
        <v>43191</v>
      </c>
      <c r="G152" s="781">
        <f t="shared" si="108"/>
        <v>43191</v>
      </c>
      <c r="H152" s="781">
        <f t="shared" si="109"/>
        <v>46841</v>
      </c>
      <c r="I152" s="1359">
        <v>2654562</v>
      </c>
      <c r="J152" s="805">
        <f t="shared" si="110"/>
        <v>132728.1</v>
      </c>
      <c r="K152" s="1396"/>
      <c r="L152" s="793"/>
      <c r="M152" s="793">
        <f t="shared" si="111"/>
        <v>2654562</v>
      </c>
      <c r="N152" s="793">
        <f t="shared" si="152"/>
        <v>365</v>
      </c>
      <c r="O152" s="793">
        <f t="shared" si="113"/>
        <v>252183</v>
      </c>
      <c r="P152" s="793">
        <f t="shared" si="114"/>
        <v>252183</v>
      </c>
      <c r="Q152" s="793">
        <f t="shared" si="115"/>
        <v>2402379</v>
      </c>
      <c r="R152" s="793">
        <f t="shared" si="116"/>
        <v>2402379</v>
      </c>
      <c r="S152" s="793">
        <f t="shared" si="117"/>
        <v>2654562</v>
      </c>
      <c r="T152" s="793">
        <f t="shared" si="118"/>
        <v>366</v>
      </c>
      <c r="U152" s="793">
        <f t="shared" ref="U152:U168" si="153">ROUND(S152*C152*T152/366,0)-643</f>
        <v>251540</v>
      </c>
      <c r="V152" s="793">
        <f t="shared" si="120"/>
        <v>503723</v>
      </c>
      <c r="W152" s="793">
        <f t="shared" si="121"/>
        <v>2150839</v>
      </c>
      <c r="X152" s="793">
        <f t="shared" si="122"/>
        <v>2150839</v>
      </c>
      <c r="Y152" s="805">
        <f t="shared" si="123"/>
        <v>2654562</v>
      </c>
      <c r="Z152" s="805">
        <f t="shared" si="124"/>
        <v>365</v>
      </c>
      <c r="AA152" s="805">
        <f t="shared" si="125"/>
        <v>252183</v>
      </c>
      <c r="AB152" s="805">
        <f t="shared" si="126"/>
        <v>755906</v>
      </c>
      <c r="AC152" s="805">
        <f t="shared" si="127"/>
        <v>1898656</v>
      </c>
      <c r="AD152" s="793">
        <f t="shared" si="128"/>
        <v>1898656</v>
      </c>
      <c r="AE152" s="793">
        <f t="shared" si="129"/>
        <v>2654562</v>
      </c>
      <c r="AF152" s="793">
        <f t="shared" si="130"/>
        <v>365</v>
      </c>
      <c r="AG152" s="793">
        <f t="shared" si="131"/>
        <v>252183</v>
      </c>
      <c r="AH152" s="805">
        <f t="shared" si="132"/>
        <v>1008089</v>
      </c>
      <c r="AI152" s="805">
        <f t="shared" si="133"/>
        <v>1646473</v>
      </c>
      <c r="AJ152" s="793">
        <f t="shared" si="134"/>
        <v>1646473</v>
      </c>
      <c r="AK152" s="793">
        <f t="shared" si="135"/>
        <v>2654562</v>
      </c>
      <c r="AL152" s="793">
        <f t="shared" si="136"/>
        <v>365</v>
      </c>
      <c r="AM152" s="793">
        <f t="shared" si="137"/>
        <v>252183</v>
      </c>
      <c r="AN152" s="805">
        <f t="shared" si="138"/>
        <v>1260272</v>
      </c>
      <c r="AO152" s="805">
        <f t="shared" si="139"/>
        <v>1394290</v>
      </c>
      <c r="AP152" s="793">
        <f t="shared" si="140"/>
        <v>1394290</v>
      </c>
      <c r="AQ152" s="793">
        <f t="shared" si="141"/>
        <v>2654562</v>
      </c>
      <c r="AR152" s="793">
        <f t="shared" si="142"/>
        <v>366</v>
      </c>
      <c r="AS152" s="793">
        <f t="shared" si="143"/>
        <v>252874</v>
      </c>
      <c r="AT152" s="793">
        <f t="shared" si="144"/>
        <v>1513146</v>
      </c>
      <c r="AU152" s="793">
        <f t="shared" si="145"/>
        <v>1141416</v>
      </c>
      <c r="AV152" s="793">
        <f t="shared" si="146"/>
        <v>1141416</v>
      </c>
      <c r="AW152" s="793">
        <f t="shared" si="147"/>
        <v>2654562</v>
      </c>
      <c r="AX152" s="793">
        <f t="shared" si="148"/>
        <v>365</v>
      </c>
      <c r="AY152" s="793">
        <f t="shared" si="149"/>
        <v>252183</v>
      </c>
      <c r="AZ152" s="793">
        <f t="shared" si="150"/>
        <v>1765329</v>
      </c>
      <c r="BA152" s="793">
        <f t="shared" si="151"/>
        <v>889233</v>
      </c>
    </row>
    <row r="153" spans="1:53" ht="15" customHeight="1" x14ac:dyDescent="0.25">
      <c r="A153" s="876" t="s">
        <v>1224</v>
      </c>
      <c r="B153" s="843" t="s">
        <v>1230</v>
      </c>
      <c r="C153" s="778">
        <f t="shared" si="107"/>
        <v>9.5000000000000001E-2</v>
      </c>
      <c r="D153" s="844">
        <v>10</v>
      </c>
      <c r="E153" s="779" t="s">
        <v>1182</v>
      </c>
      <c r="F153" s="877">
        <v>43191</v>
      </c>
      <c r="G153" s="781">
        <f t="shared" si="108"/>
        <v>43191</v>
      </c>
      <c r="H153" s="781">
        <f t="shared" si="109"/>
        <v>46841</v>
      </c>
      <c r="I153" s="1359">
        <v>498590</v>
      </c>
      <c r="J153" s="805">
        <f t="shared" si="110"/>
        <v>24929.5</v>
      </c>
      <c r="K153" s="1396"/>
      <c r="L153" s="793"/>
      <c r="M153" s="793">
        <f t="shared" si="111"/>
        <v>498590</v>
      </c>
      <c r="N153" s="793">
        <f t="shared" si="152"/>
        <v>365</v>
      </c>
      <c r="O153" s="793">
        <f t="shared" si="113"/>
        <v>47366</v>
      </c>
      <c r="P153" s="793">
        <f t="shared" si="114"/>
        <v>47366</v>
      </c>
      <c r="Q153" s="793">
        <f t="shared" si="115"/>
        <v>451224</v>
      </c>
      <c r="R153" s="793">
        <f t="shared" si="116"/>
        <v>451224</v>
      </c>
      <c r="S153" s="793">
        <f t="shared" si="117"/>
        <v>498590</v>
      </c>
      <c r="T153" s="793">
        <f t="shared" si="118"/>
        <v>366</v>
      </c>
      <c r="U153" s="793">
        <f t="shared" si="153"/>
        <v>46723</v>
      </c>
      <c r="V153" s="793">
        <f t="shared" si="120"/>
        <v>94089</v>
      </c>
      <c r="W153" s="793">
        <f t="shared" si="121"/>
        <v>404501</v>
      </c>
      <c r="X153" s="793">
        <f t="shared" si="122"/>
        <v>404501</v>
      </c>
      <c r="Y153" s="805">
        <f t="shared" si="123"/>
        <v>498590</v>
      </c>
      <c r="Z153" s="805">
        <f t="shared" si="124"/>
        <v>365</v>
      </c>
      <c r="AA153" s="805">
        <f t="shared" si="125"/>
        <v>47366</v>
      </c>
      <c r="AB153" s="805">
        <f t="shared" si="126"/>
        <v>141455</v>
      </c>
      <c r="AC153" s="805">
        <f t="shared" si="127"/>
        <v>357135</v>
      </c>
      <c r="AD153" s="793">
        <f t="shared" si="128"/>
        <v>357135</v>
      </c>
      <c r="AE153" s="793">
        <f t="shared" si="129"/>
        <v>498590</v>
      </c>
      <c r="AF153" s="793">
        <f t="shared" si="130"/>
        <v>365</v>
      </c>
      <c r="AG153" s="793">
        <f t="shared" si="131"/>
        <v>47366</v>
      </c>
      <c r="AH153" s="805">
        <f t="shared" si="132"/>
        <v>188821</v>
      </c>
      <c r="AI153" s="805">
        <f t="shared" si="133"/>
        <v>309769</v>
      </c>
      <c r="AJ153" s="793">
        <f t="shared" si="134"/>
        <v>309769</v>
      </c>
      <c r="AK153" s="793">
        <f t="shared" si="135"/>
        <v>498590</v>
      </c>
      <c r="AL153" s="793">
        <f t="shared" si="136"/>
        <v>365</v>
      </c>
      <c r="AM153" s="793">
        <f t="shared" si="137"/>
        <v>47366</v>
      </c>
      <c r="AN153" s="805">
        <f t="shared" si="138"/>
        <v>236187</v>
      </c>
      <c r="AO153" s="805">
        <f t="shared" si="139"/>
        <v>262403</v>
      </c>
      <c r="AP153" s="793">
        <f t="shared" si="140"/>
        <v>262403</v>
      </c>
      <c r="AQ153" s="793">
        <f t="shared" si="141"/>
        <v>498590</v>
      </c>
      <c r="AR153" s="793">
        <f t="shared" si="142"/>
        <v>366</v>
      </c>
      <c r="AS153" s="793">
        <f t="shared" si="143"/>
        <v>47496</v>
      </c>
      <c r="AT153" s="793">
        <f t="shared" si="144"/>
        <v>283683</v>
      </c>
      <c r="AU153" s="793">
        <f t="shared" si="145"/>
        <v>214907</v>
      </c>
      <c r="AV153" s="793">
        <f t="shared" si="146"/>
        <v>214907</v>
      </c>
      <c r="AW153" s="793">
        <f t="shared" si="147"/>
        <v>498590</v>
      </c>
      <c r="AX153" s="793">
        <f t="shared" si="148"/>
        <v>365</v>
      </c>
      <c r="AY153" s="793">
        <f t="shared" si="149"/>
        <v>47366</v>
      </c>
      <c r="AZ153" s="793">
        <f t="shared" si="150"/>
        <v>331049</v>
      </c>
      <c r="BA153" s="793">
        <f t="shared" si="151"/>
        <v>167541</v>
      </c>
    </row>
    <row r="154" spans="1:53" ht="15" customHeight="1" x14ac:dyDescent="0.25">
      <c r="A154" s="876" t="s">
        <v>1224</v>
      </c>
      <c r="B154" s="843" t="s">
        <v>1230</v>
      </c>
      <c r="C154" s="778">
        <f t="shared" si="107"/>
        <v>9.5000000000000001E-2</v>
      </c>
      <c r="D154" s="844">
        <v>10</v>
      </c>
      <c r="E154" s="779" t="s">
        <v>1182</v>
      </c>
      <c r="F154" s="877">
        <v>43191</v>
      </c>
      <c r="G154" s="781">
        <f t="shared" si="108"/>
        <v>43191</v>
      </c>
      <c r="H154" s="781">
        <f t="shared" si="109"/>
        <v>46841</v>
      </c>
      <c r="I154" s="1359">
        <v>764750</v>
      </c>
      <c r="J154" s="805">
        <f t="shared" si="110"/>
        <v>38237.5</v>
      </c>
      <c r="K154" s="1396"/>
      <c r="L154" s="793"/>
      <c r="M154" s="793">
        <f t="shared" si="111"/>
        <v>764750</v>
      </c>
      <c r="N154" s="793">
        <f t="shared" si="152"/>
        <v>365</v>
      </c>
      <c r="O154" s="793">
        <f t="shared" si="113"/>
        <v>72651</v>
      </c>
      <c r="P154" s="793">
        <f t="shared" si="114"/>
        <v>72651</v>
      </c>
      <c r="Q154" s="793">
        <f t="shared" si="115"/>
        <v>692099</v>
      </c>
      <c r="R154" s="793">
        <f t="shared" si="116"/>
        <v>692099</v>
      </c>
      <c r="S154" s="793">
        <f t="shared" si="117"/>
        <v>764750</v>
      </c>
      <c r="T154" s="793">
        <f t="shared" si="118"/>
        <v>366</v>
      </c>
      <c r="U154" s="793">
        <f t="shared" si="153"/>
        <v>72008</v>
      </c>
      <c r="V154" s="793">
        <f t="shared" si="120"/>
        <v>144659</v>
      </c>
      <c r="W154" s="793">
        <f t="shared" si="121"/>
        <v>620091</v>
      </c>
      <c r="X154" s="793">
        <f t="shared" si="122"/>
        <v>620091</v>
      </c>
      <c r="Y154" s="805">
        <f t="shared" si="123"/>
        <v>764750</v>
      </c>
      <c r="Z154" s="805">
        <f t="shared" si="124"/>
        <v>365</v>
      </c>
      <c r="AA154" s="805">
        <f t="shared" si="125"/>
        <v>72651</v>
      </c>
      <c r="AB154" s="805">
        <f t="shared" si="126"/>
        <v>217310</v>
      </c>
      <c r="AC154" s="805">
        <f t="shared" si="127"/>
        <v>547440</v>
      </c>
      <c r="AD154" s="793">
        <f t="shared" si="128"/>
        <v>547440</v>
      </c>
      <c r="AE154" s="793">
        <f t="shared" si="129"/>
        <v>764750</v>
      </c>
      <c r="AF154" s="793">
        <f t="shared" si="130"/>
        <v>365</v>
      </c>
      <c r="AG154" s="793">
        <f t="shared" si="131"/>
        <v>72651</v>
      </c>
      <c r="AH154" s="805">
        <f t="shared" si="132"/>
        <v>289961</v>
      </c>
      <c r="AI154" s="805">
        <f t="shared" si="133"/>
        <v>474789</v>
      </c>
      <c r="AJ154" s="793">
        <f t="shared" si="134"/>
        <v>474789</v>
      </c>
      <c r="AK154" s="793">
        <f t="shared" si="135"/>
        <v>764750</v>
      </c>
      <c r="AL154" s="793">
        <f t="shared" si="136"/>
        <v>365</v>
      </c>
      <c r="AM154" s="793">
        <f t="shared" si="137"/>
        <v>72651</v>
      </c>
      <c r="AN154" s="805">
        <f t="shared" si="138"/>
        <v>362612</v>
      </c>
      <c r="AO154" s="805">
        <f t="shared" si="139"/>
        <v>402138</v>
      </c>
      <c r="AP154" s="793">
        <f t="shared" si="140"/>
        <v>402138</v>
      </c>
      <c r="AQ154" s="793">
        <f t="shared" si="141"/>
        <v>764750</v>
      </c>
      <c r="AR154" s="793">
        <f t="shared" si="142"/>
        <v>366</v>
      </c>
      <c r="AS154" s="793">
        <f t="shared" si="143"/>
        <v>72850</v>
      </c>
      <c r="AT154" s="793">
        <f t="shared" si="144"/>
        <v>435462</v>
      </c>
      <c r="AU154" s="793">
        <f t="shared" si="145"/>
        <v>329288</v>
      </c>
      <c r="AV154" s="793">
        <f t="shared" si="146"/>
        <v>329288</v>
      </c>
      <c r="AW154" s="793">
        <f t="shared" si="147"/>
        <v>764750</v>
      </c>
      <c r="AX154" s="793">
        <f t="shared" si="148"/>
        <v>365</v>
      </c>
      <c r="AY154" s="793">
        <f t="shared" si="149"/>
        <v>72651</v>
      </c>
      <c r="AZ154" s="793">
        <f t="shared" si="150"/>
        <v>508113</v>
      </c>
      <c r="BA154" s="793">
        <f t="shared" si="151"/>
        <v>256637</v>
      </c>
    </row>
    <row r="155" spans="1:53" ht="15" customHeight="1" x14ac:dyDescent="0.25">
      <c r="A155" s="876" t="s">
        <v>1224</v>
      </c>
      <c r="B155" s="843" t="s">
        <v>1230</v>
      </c>
      <c r="C155" s="778">
        <f t="shared" si="107"/>
        <v>9.5000000000000001E-2</v>
      </c>
      <c r="D155" s="844">
        <v>10</v>
      </c>
      <c r="E155" s="779" t="s">
        <v>1182</v>
      </c>
      <c r="F155" s="877">
        <v>43191</v>
      </c>
      <c r="G155" s="781">
        <f t="shared" si="108"/>
        <v>43191</v>
      </c>
      <c r="H155" s="781">
        <f t="shared" si="109"/>
        <v>46841</v>
      </c>
      <c r="I155" s="1359">
        <v>13810</v>
      </c>
      <c r="J155" s="805">
        <f t="shared" si="110"/>
        <v>690.5</v>
      </c>
      <c r="K155" s="1396"/>
      <c r="L155" s="793"/>
      <c r="M155" s="793">
        <f t="shared" si="111"/>
        <v>13810</v>
      </c>
      <c r="N155" s="793">
        <f t="shared" si="152"/>
        <v>365</v>
      </c>
      <c r="O155" s="793">
        <f t="shared" si="113"/>
        <v>1312</v>
      </c>
      <c r="P155" s="793">
        <f t="shared" si="114"/>
        <v>1312</v>
      </c>
      <c r="Q155" s="793">
        <f t="shared" si="115"/>
        <v>12498</v>
      </c>
      <c r="R155" s="793">
        <f t="shared" si="116"/>
        <v>12498</v>
      </c>
      <c r="S155" s="793">
        <f t="shared" si="117"/>
        <v>13810</v>
      </c>
      <c r="T155" s="793">
        <f t="shared" si="118"/>
        <v>366</v>
      </c>
      <c r="U155" s="793">
        <f t="shared" si="153"/>
        <v>669</v>
      </c>
      <c r="V155" s="793">
        <f t="shared" si="120"/>
        <v>1981</v>
      </c>
      <c r="W155" s="793">
        <f t="shared" si="121"/>
        <v>11829</v>
      </c>
      <c r="X155" s="793">
        <f t="shared" si="122"/>
        <v>11829</v>
      </c>
      <c r="Y155" s="805">
        <f t="shared" si="123"/>
        <v>13810</v>
      </c>
      <c r="Z155" s="805">
        <f t="shared" si="124"/>
        <v>365</v>
      </c>
      <c r="AA155" s="805">
        <f t="shared" si="125"/>
        <v>1312</v>
      </c>
      <c r="AB155" s="805">
        <f t="shared" si="126"/>
        <v>3293</v>
      </c>
      <c r="AC155" s="805">
        <f t="shared" si="127"/>
        <v>10517</v>
      </c>
      <c r="AD155" s="793">
        <f t="shared" si="128"/>
        <v>10517</v>
      </c>
      <c r="AE155" s="793">
        <f t="shared" si="129"/>
        <v>13810</v>
      </c>
      <c r="AF155" s="793">
        <f t="shared" si="130"/>
        <v>365</v>
      </c>
      <c r="AG155" s="793">
        <f t="shared" si="131"/>
        <v>1312</v>
      </c>
      <c r="AH155" s="805">
        <f t="shared" si="132"/>
        <v>4605</v>
      </c>
      <c r="AI155" s="805">
        <f t="shared" si="133"/>
        <v>9205</v>
      </c>
      <c r="AJ155" s="793">
        <f t="shared" si="134"/>
        <v>9205</v>
      </c>
      <c r="AK155" s="793">
        <f t="shared" si="135"/>
        <v>13810</v>
      </c>
      <c r="AL155" s="793">
        <f t="shared" si="136"/>
        <v>365</v>
      </c>
      <c r="AM155" s="793">
        <f t="shared" si="137"/>
        <v>1312</v>
      </c>
      <c r="AN155" s="805">
        <f t="shared" si="138"/>
        <v>5917</v>
      </c>
      <c r="AO155" s="805">
        <f t="shared" si="139"/>
        <v>7893</v>
      </c>
      <c r="AP155" s="793">
        <f t="shared" si="140"/>
        <v>7893</v>
      </c>
      <c r="AQ155" s="793">
        <f t="shared" si="141"/>
        <v>13810</v>
      </c>
      <c r="AR155" s="793">
        <f t="shared" si="142"/>
        <v>366</v>
      </c>
      <c r="AS155" s="793">
        <f t="shared" si="143"/>
        <v>1316</v>
      </c>
      <c r="AT155" s="793">
        <f t="shared" si="144"/>
        <v>7233</v>
      </c>
      <c r="AU155" s="793">
        <f t="shared" si="145"/>
        <v>6577</v>
      </c>
      <c r="AV155" s="793">
        <f t="shared" si="146"/>
        <v>6577</v>
      </c>
      <c r="AW155" s="793">
        <f t="shared" si="147"/>
        <v>13810</v>
      </c>
      <c r="AX155" s="793">
        <f t="shared" si="148"/>
        <v>365</v>
      </c>
      <c r="AY155" s="793">
        <f t="shared" si="149"/>
        <v>1312</v>
      </c>
      <c r="AZ155" s="793">
        <f t="shared" si="150"/>
        <v>8545</v>
      </c>
      <c r="BA155" s="793">
        <f t="shared" si="151"/>
        <v>5265</v>
      </c>
    </row>
    <row r="156" spans="1:53" ht="15" customHeight="1" x14ac:dyDescent="0.25">
      <c r="A156" s="876" t="s">
        <v>1224</v>
      </c>
      <c r="B156" s="843" t="s">
        <v>1230</v>
      </c>
      <c r="C156" s="778">
        <f t="shared" si="107"/>
        <v>9.5000000000000001E-2</v>
      </c>
      <c r="D156" s="844">
        <v>10</v>
      </c>
      <c r="E156" s="779" t="s">
        <v>1182</v>
      </c>
      <c r="F156" s="877">
        <v>43191</v>
      </c>
      <c r="G156" s="781">
        <f t="shared" si="108"/>
        <v>43191</v>
      </c>
      <c r="H156" s="781">
        <f t="shared" si="109"/>
        <v>46841</v>
      </c>
      <c r="I156" s="1359">
        <v>200150</v>
      </c>
      <c r="J156" s="805">
        <f t="shared" si="110"/>
        <v>10007.5</v>
      </c>
      <c r="K156" s="1396"/>
      <c r="L156" s="793"/>
      <c r="M156" s="793">
        <f t="shared" si="111"/>
        <v>200150</v>
      </c>
      <c r="N156" s="793">
        <f t="shared" si="152"/>
        <v>365</v>
      </c>
      <c r="O156" s="793">
        <f t="shared" si="113"/>
        <v>19014</v>
      </c>
      <c r="P156" s="793">
        <f t="shared" si="114"/>
        <v>19014</v>
      </c>
      <c r="Q156" s="793">
        <f t="shared" si="115"/>
        <v>181136</v>
      </c>
      <c r="R156" s="793">
        <f t="shared" si="116"/>
        <v>181136</v>
      </c>
      <c r="S156" s="793">
        <f t="shared" si="117"/>
        <v>200150</v>
      </c>
      <c r="T156" s="793">
        <f t="shared" si="118"/>
        <v>366</v>
      </c>
      <c r="U156" s="793">
        <f t="shared" si="153"/>
        <v>18371</v>
      </c>
      <c r="V156" s="793">
        <f t="shared" si="120"/>
        <v>37385</v>
      </c>
      <c r="W156" s="793">
        <f t="shared" si="121"/>
        <v>162765</v>
      </c>
      <c r="X156" s="793">
        <f t="shared" si="122"/>
        <v>162765</v>
      </c>
      <c r="Y156" s="805">
        <f t="shared" si="123"/>
        <v>200150</v>
      </c>
      <c r="Z156" s="805">
        <f t="shared" si="124"/>
        <v>365</v>
      </c>
      <c r="AA156" s="805">
        <f t="shared" si="125"/>
        <v>19014</v>
      </c>
      <c r="AB156" s="805">
        <f t="shared" si="126"/>
        <v>56399</v>
      </c>
      <c r="AC156" s="805">
        <f t="shared" si="127"/>
        <v>143751</v>
      </c>
      <c r="AD156" s="793">
        <f t="shared" si="128"/>
        <v>143751</v>
      </c>
      <c r="AE156" s="793">
        <f t="shared" si="129"/>
        <v>200150</v>
      </c>
      <c r="AF156" s="793">
        <f t="shared" si="130"/>
        <v>365</v>
      </c>
      <c r="AG156" s="793">
        <f t="shared" si="131"/>
        <v>19014</v>
      </c>
      <c r="AH156" s="805">
        <f t="shared" si="132"/>
        <v>75413</v>
      </c>
      <c r="AI156" s="805">
        <f t="shared" si="133"/>
        <v>124737</v>
      </c>
      <c r="AJ156" s="793">
        <f t="shared" si="134"/>
        <v>124737</v>
      </c>
      <c r="AK156" s="793">
        <f t="shared" si="135"/>
        <v>200150</v>
      </c>
      <c r="AL156" s="793">
        <f t="shared" si="136"/>
        <v>365</v>
      </c>
      <c r="AM156" s="793">
        <f t="shared" si="137"/>
        <v>19014</v>
      </c>
      <c r="AN156" s="805">
        <f t="shared" si="138"/>
        <v>94427</v>
      </c>
      <c r="AO156" s="805">
        <f t="shared" si="139"/>
        <v>105723</v>
      </c>
      <c r="AP156" s="793">
        <f t="shared" si="140"/>
        <v>105723</v>
      </c>
      <c r="AQ156" s="793">
        <f t="shared" si="141"/>
        <v>200150</v>
      </c>
      <c r="AR156" s="793">
        <f t="shared" si="142"/>
        <v>366</v>
      </c>
      <c r="AS156" s="793">
        <f t="shared" si="143"/>
        <v>19066</v>
      </c>
      <c r="AT156" s="793">
        <f t="shared" si="144"/>
        <v>113493</v>
      </c>
      <c r="AU156" s="793">
        <f t="shared" si="145"/>
        <v>86657</v>
      </c>
      <c r="AV156" s="793">
        <f t="shared" si="146"/>
        <v>86657</v>
      </c>
      <c r="AW156" s="793">
        <f t="shared" si="147"/>
        <v>200150</v>
      </c>
      <c r="AX156" s="793">
        <f t="shared" si="148"/>
        <v>365</v>
      </c>
      <c r="AY156" s="793">
        <f t="shared" si="149"/>
        <v>19014</v>
      </c>
      <c r="AZ156" s="793">
        <f t="shared" si="150"/>
        <v>132507</v>
      </c>
      <c r="BA156" s="793">
        <f t="shared" si="151"/>
        <v>67643</v>
      </c>
    </row>
    <row r="157" spans="1:53" ht="15" customHeight="1" x14ac:dyDescent="0.25">
      <c r="A157" s="876" t="s">
        <v>1224</v>
      </c>
      <c r="B157" s="843" t="s">
        <v>1231</v>
      </c>
      <c r="C157" s="778">
        <f t="shared" si="107"/>
        <v>9.5000000000000001E-2</v>
      </c>
      <c r="D157" s="844">
        <v>10</v>
      </c>
      <c r="E157" s="779" t="s">
        <v>1182</v>
      </c>
      <c r="F157" s="877">
        <v>43191</v>
      </c>
      <c r="G157" s="781">
        <f t="shared" si="108"/>
        <v>43191</v>
      </c>
      <c r="H157" s="781">
        <f t="shared" si="109"/>
        <v>46841</v>
      </c>
      <c r="I157" s="1359">
        <v>95500</v>
      </c>
      <c r="J157" s="805">
        <f t="shared" si="110"/>
        <v>4775</v>
      </c>
      <c r="K157" s="1396"/>
      <c r="L157" s="793"/>
      <c r="M157" s="793">
        <f t="shared" si="111"/>
        <v>95500</v>
      </c>
      <c r="N157" s="793">
        <f t="shared" si="152"/>
        <v>365</v>
      </c>
      <c r="O157" s="793">
        <f t="shared" si="113"/>
        <v>9073</v>
      </c>
      <c r="P157" s="793">
        <f t="shared" si="114"/>
        <v>9073</v>
      </c>
      <c r="Q157" s="793">
        <f t="shared" si="115"/>
        <v>86427</v>
      </c>
      <c r="R157" s="793">
        <f t="shared" si="116"/>
        <v>86427</v>
      </c>
      <c r="S157" s="793">
        <f t="shared" si="117"/>
        <v>95500</v>
      </c>
      <c r="T157" s="793">
        <f t="shared" si="118"/>
        <v>366</v>
      </c>
      <c r="U157" s="793">
        <f t="shared" si="153"/>
        <v>8430</v>
      </c>
      <c r="V157" s="793">
        <f t="shared" si="120"/>
        <v>17503</v>
      </c>
      <c r="W157" s="793">
        <f t="shared" si="121"/>
        <v>77997</v>
      </c>
      <c r="X157" s="793">
        <f t="shared" si="122"/>
        <v>77997</v>
      </c>
      <c r="Y157" s="805">
        <f t="shared" si="123"/>
        <v>95500</v>
      </c>
      <c r="Z157" s="805">
        <f t="shared" si="124"/>
        <v>365</v>
      </c>
      <c r="AA157" s="805">
        <f t="shared" si="125"/>
        <v>9073</v>
      </c>
      <c r="AB157" s="805">
        <f t="shared" si="126"/>
        <v>26576</v>
      </c>
      <c r="AC157" s="805">
        <f t="shared" si="127"/>
        <v>68924</v>
      </c>
      <c r="AD157" s="793">
        <f t="shared" si="128"/>
        <v>68924</v>
      </c>
      <c r="AE157" s="793">
        <f t="shared" si="129"/>
        <v>95500</v>
      </c>
      <c r="AF157" s="793">
        <f t="shared" si="130"/>
        <v>365</v>
      </c>
      <c r="AG157" s="793">
        <f t="shared" si="131"/>
        <v>9073</v>
      </c>
      <c r="AH157" s="805">
        <f t="shared" si="132"/>
        <v>35649</v>
      </c>
      <c r="AI157" s="805">
        <f t="shared" si="133"/>
        <v>59851</v>
      </c>
      <c r="AJ157" s="793">
        <f t="shared" si="134"/>
        <v>59851</v>
      </c>
      <c r="AK157" s="793">
        <f t="shared" si="135"/>
        <v>95500</v>
      </c>
      <c r="AL157" s="793">
        <f t="shared" si="136"/>
        <v>365</v>
      </c>
      <c r="AM157" s="793">
        <f t="shared" si="137"/>
        <v>9073</v>
      </c>
      <c r="AN157" s="805">
        <f t="shared" si="138"/>
        <v>44722</v>
      </c>
      <c r="AO157" s="805">
        <f t="shared" si="139"/>
        <v>50778</v>
      </c>
      <c r="AP157" s="793">
        <f t="shared" si="140"/>
        <v>50778</v>
      </c>
      <c r="AQ157" s="793">
        <f t="shared" si="141"/>
        <v>95500</v>
      </c>
      <c r="AR157" s="793">
        <f t="shared" si="142"/>
        <v>366</v>
      </c>
      <c r="AS157" s="793">
        <f t="shared" si="143"/>
        <v>9097</v>
      </c>
      <c r="AT157" s="793">
        <f t="shared" si="144"/>
        <v>53819</v>
      </c>
      <c r="AU157" s="793">
        <f t="shared" si="145"/>
        <v>41681</v>
      </c>
      <c r="AV157" s="793">
        <f t="shared" si="146"/>
        <v>41681</v>
      </c>
      <c r="AW157" s="793">
        <f t="shared" si="147"/>
        <v>95500</v>
      </c>
      <c r="AX157" s="793">
        <f t="shared" si="148"/>
        <v>365</v>
      </c>
      <c r="AY157" s="793">
        <f t="shared" si="149"/>
        <v>9073</v>
      </c>
      <c r="AZ157" s="793">
        <f t="shared" si="150"/>
        <v>62892</v>
      </c>
      <c r="BA157" s="793">
        <f t="shared" si="151"/>
        <v>32608</v>
      </c>
    </row>
    <row r="158" spans="1:53" ht="15" customHeight="1" x14ac:dyDescent="0.25">
      <c r="A158" s="876" t="s">
        <v>1224</v>
      </c>
      <c r="B158" s="843" t="s">
        <v>1231</v>
      </c>
      <c r="C158" s="778">
        <f t="shared" si="107"/>
        <v>9.5000000000000001E-2</v>
      </c>
      <c r="D158" s="844">
        <v>10</v>
      </c>
      <c r="E158" s="779" t="s">
        <v>1182</v>
      </c>
      <c r="F158" s="877">
        <v>43191</v>
      </c>
      <c r="G158" s="781">
        <f t="shared" si="108"/>
        <v>43191</v>
      </c>
      <c r="H158" s="781">
        <f t="shared" si="109"/>
        <v>46841</v>
      </c>
      <c r="I158" s="1359">
        <v>95500</v>
      </c>
      <c r="J158" s="805">
        <f t="shared" si="110"/>
        <v>4775</v>
      </c>
      <c r="K158" s="1396"/>
      <c r="L158" s="793"/>
      <c r="M158" s="793">
        <f t="shared" si="111"/>
        <v>95500</v>
      </c>
      <c r="N158" s="793">
        <f t="shared" si="152"/>
        <v>365</v>
      </c>
      <c r="O158" s="793">
        <f t="shared" si="113"/>
        <v>9073</v>
      </c>
      <c r="P158" s="793">
        <f t="shared" si="114"/>
        <v>9073</v>
      </c>
      <c r="Q158" s="793">
        <f t="shared" si="115"/>
        <v>86427</v>
      </c>
      <c r="R158" s="793">
        <f t="shared" si="116"/>
        <v>86427</v>
      </c>
      <c r="S158" s="793">
        <f t="shared" si="117"/>
        <v>95500</v>
      </c>
      <c r="T158" s="793">
        <f t="shared" si="118"/>
        <v>366</v>
      </c>
      <c r="U158" s="793">
        <f t="shared" si="153"/>
        <v>8430</v>
      </c>
      <c r="V158" s="793">
        <f t="shared" si="120"/>
        <v>17503</v>
      </c>
      <c r="W158" s="793">
        <f t="shared" si="121"/>
        <v>77997</v>
      </c>
      <c r="X158" s="793">
        <f t="shared" si="122"/>
        <v>77997</v>
      </c>
      <c r="Y158" s="805">
        <f t="shared" si="123"/>
        <v>95500</v>
      </c>
      <c r="Z158" s="805">
        <f t="shared" si="124"/>
        <v>365</v>
      </c>
      <c r="AA158" s="805">
        <f t="shared" si="125"/>
        <v>9073</v>
      </c>
      <c r="AB158" s="805">
        <f t="shared" si="126"/>
        <v>26576</v>
      </c>
      <c r="AC158" s="805">
        <f t="shared" si="127"/>
        <v>68924</v>
      </c>
      <c r="AD158" s="793">
        <f t="shared" si="128"/>
        <v>68924</v>
      </c>
      <c r="AE158" s="793">
        <f t="shared" si="129"/>
        <v>95500</v>
      </c>
      <c r="AF158" s="793">
        <f t="shared" si="130"/>
        <v>365</v>
      </c>
      <c r="AG158" s="793">
        <f t="shared" si="131"/>
        <v>9073</v>
      </c>
      <c r="AH158" s="805">
        <f t="shared" si="132"/>
        <v>35649</v>
      </c>
      <c r="AI158" s="805">
        <f t="shared" si="133"/>
        <v>59851</v>
      </c>
      <c r="AJ158" s="793">
        <f t="shared" si="134"/>
        <v>59851</v>
      </c>
      <c r="AK158" s="793">
        <f t="shared" si="135"/>
        <v>95500</v>
      </c>
      <c r="AL158" s="793">
        <f t="shared" si="136"/>
        <v>365</v>
      </c>
      <c r="AM158" s="793">
        <f t="shared" si="137"/>
        <v>9073</v>
      </c>
      <c r="AN158" s="805">
        <f t="shared" si="138"/>
        <v>44722</v>
      </c>
      <c r="AO158" s="805">
        <f t="shared" si="139"/>
        <v>50778</v>
      </c>
      <c r="AP158" s="793">
        <f t="shared" si="140"/>
        <v>50778</v>
      </c>
      <c r="AQ158" s="793">
        <f t="shared" si="141"/>
        <v>95500</v>
      </c>
      <c r="AR158" s="793">
        <f t="shared" si="142"/>
        <v>366</v>
      </c>
      <c r="AS158" s="793">
        <f t="shared" si="143"/>
        <v>9097</v>
      </c>
      <c r="AT158" s="793">
        <f t="shared" si="144"/>
        <v>53819</v>
      </c>
      <c r="AU158" s="793">
        <f t="shared" si="145"/>
        <v>41681</v>
      </c>
      <c r="AV158" s="793">
        <f t="shared" si="146"/>
        <v>41681</v>
      </c>
      <c r="AW158" s="793">
        <f t="shared" si="147"/>
        <v>95500</v>
      </c>
      <c r="AX158" s="793">
        <f t="shared" si="148"/>
        <v>365</v>
      </c>
      <c r="AY158" s="793">
        <f t="shared" si="149"/>
        <v>9073</v>
      </c>
      <c r="AZ158" s="793">
        <f t="shared" si="150"/>
        <v>62892</v>
      </c>
      <c r="BA158" s="793">
        <f t="shared" si="151"/>
        <v>32608</v>
      </c>
    </row>
    <row r="159" spans="1:53" ht="15" customHeight="1" x14ac:dyDescent="0.25">
      <c r="A159" s="876" t="s">
        <v>1224</v>
      </c>
      <c r="B159" s="843" t="s">
        <v>1231</v>
      </c>
      <c r="C159" s="778">
        <f t="shared" si="107"/>
        <v>9.5000000000000001E-2</v>
      </c>
      <c r="D159" s="844">
        <v>10</v>
      </c>
      <c r="E159" s="779" t="s">
        <v>1182</v>
      </c>
      <c r="F159" s="877">
        <v>43191</v>
      </c>
      <c r="G159" s="781">
        <f t="shared" si="108"/>
        <v>43191</v>
      </c>
      <c r="H159" s="781">
        <f t="shared" si="109"/>
        <v>46841</v>
      </c>
      <c r="I159" s="1359">
        <v>95500</v>
      </c>
      <c r="J159" s="805">
        <f t="shared" si="110"/>
        <v>4775</v>
      </c>
      <c r="K159" s="1396"/>
      <c r="L159" s="793"/>
      <c r="M159" s="793">
        <f t="shared" si="111"/>
        <v>95500</v>
      </c>
      <c r="N159" s="793">
        <f t="shared" si="152"/>
        <v>365</v>
      </c>
      <c r="O159" s="793">
        <f t="shared" si="113"/>
        <v>9073</v>
      </c>
      <c r="P159" s="793">
        <f t="shared" si="114"/>
        <v>9073</v>
      </c>
      <c r="Q159" s="793">
        <f t="shared" si="115"/>
        <v>86427</v>
      </c>
      <c r="R159" s="793">
        <f t="shared" si="116"/>
        <v>86427</v>
      </c>
      <c r="S159" s="793">
        <f t="shared" si="117"/>
        <v>95500</v>
      </c>
      <c r="T159" s="793">
        <f t="shared" si="118"/>
        <v>366</v>
      </c>
      <c r="U159" s="793">
        <f t="shared" si="153"/>
        <v>8430</v>
      </c>
      <c r="V159" s="793">
        <f t="shared" si="120"/>
        <v>17503</v>
      </c>
      <c r="W159" s="793">
        <f t="shared" si="121"/>
        <v>77997</v>
      </c>
      <c r="X159" s="793">
        <f t="shared" si="122"/>
        <v>77997</v>
      </c>
      <c r="Y159" s="805">
        <f t="shared" si="123"/>
        <v>95500</v>
      </c>
      <c r="Z159" s="805">
        <f t="shared" si="124"/>
        <v>365</v>
      </c>
      <c r="AA159" s="805">
        <f t="shared" si="125"/>
        <v>9073</v>
      </c>
      <c r="AB159" s="805">
        <f t="shared" si="126"/>
        <v>26576</v>
      </c>
      <c r="AC159" s="805">
        <f t="shared" si="127"/>
        <v>68924</v>
      </c>
      <c r="AD159" s="793">
        <f t="shared" si="128"/>
        <v>68924</v>
      </c>
      <c r="AE159" s="793">
        <f t="shared" si="129"/>
        <v>95500</v>
      </c>
      <c r="AF159" s="793">
        <f t="shared" si="130"/>
        <v>365</v>
      </c>
      <c r="AG159" s="793">
        <f t="shared" si="131"/>
        <v>9073</v>
      </c>
      <c r="AH159" s="805">
        <f t="shared" si="132"/>
        <v>35649</v>
      </c>
      <c r="AI159" s="805">
        <f t="shared" si="133"/>
        <v>59851</v>
      </c>
      <c r="AJ159" s="793">
        <f t="shared" si="134"/>
        <v>59851</v>
      </c>
      <c r="AK159" s="793">
        <f t="shared" si="135"/>
        <v>95500</v>
      </c>
      <c r="AL159" s="793">
        <f t="shared" si="136"/>
        <v>365</v>
      </c>
      <c r="AM159" s="793">
        <f t="shared" si="137"/>
        <v>9073</v>
      </c>
      <c r="AN159" s="805">
        <f t="shared" si="138"/>
        <v>44722</v>
      </c>
      <c r="AO159" s="805">
        <f t="shared" si="139"/>
        <v>50778</v>
      </c>
      <c r="AP159" s="793">
        <f t="shared" si="140"/>
        <v>50778</v>
      </c>
      <c r="AQ159" s="793">
        <f t="shared" si="141"/>
        <v>95500</v>
      </c>
      <c r="AR159" s="793">
        <f t="shared" si="142"/>
        <v>366</v>
      </c>
      <c r="AS159" s="793">
        <f t="shared" si="143"/>
        <v>9097</v>
      </c>
      <c r="AT159" s="793">
        <f t="shared" si="144"/>
        <v>53819</v>
      </c>
      <c r="AU159" s="793">
        <f t="shared" si="145"/>
        <v>41681</v>
      </c>
      <c r="AV159" s="793">
        <f t="shared" si="146"/>
        <v>41681</v>
      </c>
      <c r="AW159" s="793">
        <f t="shared" si="147"/>
        <v>95500</v>
      </c>
      <c r="AX159" s="793">
        <f t="shared" si="148"/>
        <v>365</v>
      </c>
      <c r="AY159" s="793">
        <f t="shared" si="149"/>
        <v>9073</v>
      </c>
      <c r="AZ159" s="793">
        <f t="shared" si="150"/>
        <v>62892</v>
      </c>
      <c r="BA159" s="793">
        <f t="shared" si="151"/>
        <v>32608</v>
      </c>
    </row>
    <row r="160" spans="1:53" ht="15" customHeight="1" x14ac:dyDescent="0.25">
      <c r="A160" s="876" t="s">
        <v>1224</v>
      </c>
      <c r="B160" s="843" t="s">
        <v>1231</v>
      </c>
      <c r="C160" s="778">
        <f t="shared" si="107"/>
        <v>9.5000000000000001E-2</v>
      </c>
      <c r="D160" s="844">
        <v>10</v>
      </c>
      <c r="E160" s="779" t="s">
        <v>1182</v>
      </c>
      <c r="F160" s="877">
        <v>43191</v>
      </c>
      <c r="G160" s="781">
        <f t="shared" si="108"/>
        <v>43191</v>
      </c>
      <c r="H160" s="781">
        <f t="shared" si="109"/>
        <v>46841</v>
      </c>
      <c r="I160" s="1359">
        <v>95500</v>
      </c>
      <c r="J160" s="805">
        <f t="shared" si="110"/>
        <v>4775</v>
      </c>
      <c r="K160" s="1396"/>
      <c r="L160" s="793"/>
      <c r="M160" s="793">
        <f t="shared" si="111"/>
        <v>95500</v>
      </c>
      <c r="N160" s="793">
        <f t="shared" si="152"/>
        <v>365</v>
      </c>
      <c r="O160" s="793">
        <f t="shared" si="113"/>
        <v>9073</v>
      </c>
      <c r="P160" s="793">
        <f t="shared" si="114"/>
        <v>9073</v>
      </c>
      <c r="Q160" s="793">
        <f t="shared" si="115"/>
        <v>86427</v>
      </c>
      <c r="R160" s="793">
        <f t="shared" si="116"/>
        <v>86427</v>
      </c>
      <c r="S160" s="793">
        <f t="shared" si="117"/>
        <v>95500</v>
      </c>
      <c r="T160" s="793">
        <f t="shared" si="118"/>
        <v>366</v>
      </c>
      <c r="U160" s="793">
        <f t="shared" si="153"/>
        <v>8430</v>
      </c>
      <c r="V160" s="793">
        <f t="shared" si="120"/>
        <v>17503</v>
      </c>
      <c r="W160" s="793">
        <f t="shared" si="121"/>
        <v>77997</v>
      </c>
      <c r="X160" s="793">
        <f t="shared" si="122"/>
        <v>77997</v>
      </c>
      <c r="Y160" s="805">
        <f t="shared" si="123"/>
        <v>95500</v>
      </c>
      <c r="Z160" s="805">
        <f t="shared" si="124"/>
        <v>365</v>
      </c>
      <c r="AA160" s="805">
        <f t="shared" si="125"/>
        <v>9073</v>
      </c>
      <c r="AB160" s="805">
        <f t="shared" si="126"/>
        <v>26576</v>
      </c>
      <c r="AC160" s="805">
        <f t="shared" si="127"/>
        <v>68924</v>
      </c>
      <c r="AD160" s="793">
        <f t="shared" si="128"/>
        <v>68924</v>
      </c>
      <c r="AE160" s="793">
        <f t="shared" si="129"/>
        <v>95500</v>
      </c>
      <c r="AF160" s="793">
        <f t="shared" si="130"/>
        <v>365</v>
      </c>
      <c r="AG160" s="793">
        <f t="shared" si="131"/>
        <v>9073</v>
      </c>
      <c r="AH160" s="805">
        <f t="shared" si="132"/>
        <v>35649</v>
      </c>
      <c r="AI160" s="805">
        <f t="shared" si="133"/>
        <v>59851</v>
      </c>
      <c r="AJ160" s="793">
        <f t="shared" si="134"/>
        <v>59851</v>
      </c>
      <c r="AK160" s="793">
        <f t="shared" si="135"/>
        <v>95500</v>
      </c>
      <c r="AL160" s="793">
        <f t="shared" si="136"/>
        <v>365</v>
      </c>
      <c r="AM160" s="793">
        <f t="shared" si="137"/>
        <v>9073</v>
      </c>
      <c r="AN160" s="805">
        <f t="shared" si="138"/>
        <v>44722</v>
      </c>
      <c r="AO160" s="805">
        <f t="shared" si="139"/>
        <v>50778</v>
      </c>
      <c r="AP160" s="793">
        <f t="shared" si="140"/>
        <v>50778</v>
      </c>
      <c r="AQ160" s="793">
        <f t="shared" si="141"/>
        <v>95500</v>
      </c>
      <c r="AR160" s="793">
        <f t="shared" si="142"/>
        <v>366</v>
      </c>
      <c r="AS160" s="793">
        <f t="shared" si="143"/>
        <v>9097</v>
      </c>
      <c r="AT160" s="793">
        <f t="shared" si="144"/>
        <v>53819</v>
      </c>
      <c r="AU160" s="793">
        <f t="shared" si="145"/>
        <v>41681</v>
      </c>
      <c r="AV160" s="793">
        <f t="shared" si="146"/>
        <v>41681</v>
      </c>
      <c r="AW160" s="793">
        <f t="shared" si="147"/>
        <v>95500</v>
      </c>
      <c r="AX160" s="793">
        <f t="shared" si="148"/>
        <v>365</v>
      </c>
      <c r="AY160" s="793">
        <f t="shared" si="149"/>
        <v>9073</v>
      </c>
      <c r="AZ160" s="793">
        <f t="shared" si="150"/>
        <v>62892</v>
      </c>
      <c r="BA160" s="793">
        <f t="shared" si="151"/>
        <v>32608</v>
      </c>
    </row>
    <row r="161" spans="1:53" ht="15" customHeight="1" x14ac:dyDescent="0.25">
      <c r="A161" s="876" t="s">
        <v>1224</v>
      </c>
      <c r="B161" s="843" t="s">
        <v>1232</v>
      </c>
      <c r="C161" s="778">
        <f t="shared" si="107"/>
        <v>9.5000000000000001E-2</v>
      </c>
      <c r="D161" s="844">
        <v>10</v>
      </c>
      <c r="E161" s="779" t="s">
        <v>1182</v>
      </c>
      <c r="F161" s="877">
        <v>43191</v>
      </c>
      <c r="G161" s="781">
        <f t="shared" si="108"/>
        <v>43191</v>
      </c>
      <c r="H161" s="781">
        <f t="shared" si="109"/>
        <v>46841</v>
      </c>
      <c r="I161" s="1359">
        <v>26000</v>
      </c>
      <c r="J161" s="805">
        <f t="shared" si="110"/>
        <v>1300</v>
      </c>
      <c r="K161" s="1396"/>
      <c r="L161" s="793"/>
      <c r="M161" s="793">
        <f t="shared" si="111"/>
        <v>26000</v>
      </c>
      <c r="N161" s="793">
        <f t="shared" si="152"/>
        <v>365</v>
      </c>
      <c r="O161" s="793">
        <f t="shared" si="113"/>
        <v>2470</v>
      </c>
      <c r="P161" s="793">
        <f t="shared" si="114"/>
        <v>2470</v>
      </c>
      <c r="Q161" s="793">
        <f t="shared" si="115"/>
        <v>23530</v>
      </c>
      <c r="R161" s="793">
        <f t="shared" si="116"/>
        <v>23530</v>
      </c>
      <c r="S161" s="793">
        <f t="shared" si="117"/>
        <v>26000</v>
      </c>
      <c r="T161" s="793">
        <f t="shared" si="118"/>
        <v>366</v>
      </c>
      <c r="U161" s="793">
        <f t="shared" si="153"/>
        <v>1827</v>
      </c>
      <c r="V161" s="793">
        <f t="shared" si="120"/>
        <v>4297</v>
      </c>
      <c r="W161" s="793">
        <f t="shared" si="121"/>
        <v>21703</v>
      </c>
      <c r="X161" s="793">
        <f t="shared" si="122"/>
        <v>21703</v>
      </c>
      <c r="Y161" s="805">
        <f t="shared" si="123"/>
        <v>26000</v>
      </c>
      <c r="Z161" s="805">
        <f t="shared" si="124"/>
        <v>365</v>
      </c>
      <c r="AA161" s="805">
        <f t="shared" si="125"/>
        <v>2470</v>
      </c>
      <c r="AB161" s="805">
        <f t="shared" si="126"/>
        <v>6767</v>
      </c>
      <c r="AC161" s="805">
        <f t="shared" si="127"/>
        <v>19233</v>
      </c>
      <c r="AD161" s="793">
        <f t="shared" si="128"/>
        <v>19233</v>
      </c>
      <c r="AE161" s="793">
        <f t="shared" si="129"/>
        <v>26000</v>
      </c>
      <c r="AF161" s="793">
        <f t="shared" si="130"/>
        <v>365</v>
      </c>
      <c r="AG161" s="793">
        <f t="shared" si="131"/>
        <v>2470</v>
      </c>
      <c r="AH161" s="805">
        <f t="shared" si="132"/>
        <v>9237</v>
      </c>
      <c r="AI161" s="805">
        <f t="shared" si="133"/>
        <v>16763</v>
      </c>
      <c r="AJ161" s="793">
        <f t="shared" si="134"/>
        <v>16763</v>
      </c>
      <c r="AK161" s="793">
        <f t="shared" si="135"/>
        <v>26000</v>
      </c>
      <c r="AL161" s="793">
        <f t="shared" si="136"/>
        <v>365</v>
      </c>
      <c r="AM161" s="793">
        <f t="shared" si="137"/>
        <v>2470</v>
      </c>
      <c r="AN161" s="805">
        <f t="shared" si="138"/>
        <v>11707</v>
      </c>
      <c r="AO161" s="805">
        <f t="shared" si="139"/>
        <v>14293</v>
      </c>
      <c r="AP161" s="793">
        <f t="shared" si="140"/>
        <v>14293</v>
      </c>
      <c r="AQ161" s="793">
        <f t="shared" si="141"/>
        <v>26000</v>
      </c>
      <c r="AR161" s="793">
        <f t="shared" si="142"/>
        <v>366</v>
      </c>
      <c r="AS161" s="793">
        <f t="shared" si="143"/>
        <v>2477</v>
      </c>
      <c r="AT161" s="793">
        <f t="shared" si="144"/>
        <v>14184</v>
      </c>
      <c r="AU161" s="793">
        <f t="shared" si="145"/>
        <v>11816</v>
      </c>
      <c r="AV161" s="793">
        <f t="shared" si="146"/>
        <v>11816</v>
      </c>
      <c r="AW161" s="793">
        <f t="shared" si="147"/>
        <v>26000</v>
      </c>
      <c r="AX161" s="793">
        <f t="shared" si="148"/>
        <v>365</v>
      </c>
      <c r="AY161" s="793">
        <f t="shared" si="149"/>
        <v>2470</v>
      </c>
      <c r="AZ161" s="793">
        <f t="shared" si="150"/>
        <v>16654</v>
      </c>
      <c r="BA161" s="793">
        <f t="shared" si="151"/>
        <v>9346</v>
      </c>
    </row>
    <row r="162" spans="1:53" ht="15" customHeight="1" x14ac:dyDescent="0.25">
      <c r="A162" s="876" t="s">
        <v>1224</v>
      </c>
      <c r="B162" s="843" t="s">
        <v>1233</v>
      </c>
      <c r="C162" s="778">
        <f t="shared" si="107"/>
        <v>9.5000000000000001E-2</v>
      </c>
      <c r="D162" s="844">
        <v>10</v>
      </c>
      <c r="E162" s="779" t="s">
        <v>1182</v>
      </c>
      <c r="F162" s="877">
        <v>43191</v>
      </c>
      <c r="G162" s="781">
        <f t="shared" si="108"/>
        <v>43191</v>
      </c>
      <c r="H162" s="781">
        <f t="shared" si="109"/>
        <v>46841</v>
      </c>
      <c r="I162" s="1359">
        <v>57500</v>
      </c>
      <c r="J162" s="805">
        <f t="shared" si="110"/>
        <v>2875</v>
      </c>
      <c r="K162" s="1396"/>
      <c r="L162" s="793"/>
      <c r="M162" s="793">
        <f t="shared" si="111"/>
        <v>57500</v>
      </c>
      <c r="N162" s="793">
        <f t="shared" si="152"/>
        <v>365</v>
      </c>
      <c r="O162" s="793">
        <f t="shared" si="113"/>
        <v>5463</v>
      </c>
      <c r="P162" s="793">
        <f t="shared" si="114"/>
        <v>5463</v>
      </c>
      <c r="Q162" s="793">
        <f t="shared" si="115"/>
        <v>52037</v>
      </c>
      <c r="R162" s="793">
        <f t="shared" si="116"/>
        <v>52037</v>
      </c>
      <c r="S162" s="793">
        <f t="shared" si="117"/>
        <v>57500</v>
      </c>
      <c r="T162" s="793">
        <f t="shared" si="118"/>
        <v>366</v>
      </c>
      <c r="U162" s="793">
        <f t="shared" si="153"/>
        <v>4820</v>
      </c>
      <c r="V162" s="793">
        <f t="shared" si="120"/>
        <v>10283</v>
      </c>
      <c r="W162" s="793">
        <f t="shared" si="121"/>
        <v>47217</v>
      </c>
      <c r="X162" s="793">
        <f t="shared" si="122"/>
        <v>47217</v>
      </c>
      <c r="Y162" s="805">
        <f t="shared" si="123"/>
        <v>57500</v>
      </c>
      <c r="Z162" s="805">
        <f t="shared" si="124"/>
        <v>365</v>
      </c>
      <c r="AA162" s="805">
        <f t="shared" si="125"/>
        <v>5463</v>
      </c>
      <c r="AB162" s="805">
        <f t="shared" si="126"/>
        <v>15746</v>
      </c>
      <c r="AC162" s="805">
        <f t="shared" si="127"/>
        <v>41754</v>
      </c>
      <c r="AD162" s="793">
        <f t="shared" si="128"/>
        <v>41754</v>
      </c>
      <c r="AE162" s="793">
        <f t="shared" si="129"/>
        <v>57500</v>
      </c>
      <c r="AF162" s="793">
        <f t="shared" si="130"/>
        <v>365</v>
      </c>
      <c r="AG162" s="793">
        <f t="shared" si="131"/>
        <v>5463</v>
      </c>
      <c r="AH162" s="805">
        <f t="shared" si="132"/>
        <v>21209</v>
      </c>
      <c r="AI162" s="805">
        <f t="shared" si="133"/>
        <v>36291</v>
      </c>
      <c r="AJ162" s="793">
        <f t="shared" si="134"/>
        <v>36291</v>
      </c>
      <c r="AK162" s="793">
        <f t="shared" si="135"/>
        <v>57500</v>
      </c>
      <c r="AL162" s="793">
        <f t="shared" si="136"/>
        <v>365</v>
      </c>
      <c r="AM162" s="793">
        <f t="shared" si="137"/>
        <v>5463</v>
      </c>
      <c r="AN162" s="805">
        <f t="shared" si="138"/>
        <v>26672</v>
      </c>
      <c r="AO162" s="805">
        <f t="shared" si="139"/>
        <v>30828</v>
      </c>
      <c r="AP162" s="793">
        <f t="shared" si="140"/>
        <v>30828</v>
      </c>
      <c r="AQ162" s="793">
        <f t="shared" si="141"/>
        <v>57500</v>
      </c>
      <c r="AR162" s="793">
        <f t="shared" si="142"/>
        <v>366</v>
      </c>
      <c r="AS162" s="793">
        <f t="shared" si="143"/>
        <v>5477</v>
      </c>
      <c r="AT162" s="793">
        <f t="shared" si="144"/>
        <v>32149</v>
      </c>
      <c r="AU162" s="793">
        <f t="shared" si="145"/>
        <v>25351</v>
      </c>
      <c r="AV162" s="793">
        <f t="shared" si="146"/>
        <v>25351</v>
      </c>
      <c r="AW162" s="793">
        <f t="shared" si="147"/>
        <v>57500</v>
      </c>
      <c r="AX162" s="793">
        <f t="shared" si="148"/>
        <v>365</v>
      </c>
      <c r="AY162" s="793">
        <f t="shared" si="149"/>
        <v>5463</v>
      </c>
      <c r="AZ162" s="793">
        <f t="shared" si="150"/>
        <v>37612</v>
      </c>
      <c r="BA162" s="793">
        <f t="shared" si="151"/>
        <v>19888</v>
      </c>
    </row>
    <row r="163" spans="1:53" ht="15" customHeight="1" x14ac:dyDescent="0.25">
      <c r="A163" s="876" t="s">
        <v>1224</v>
      </c>
      <c r="B163" s="843" t="s">
        <v>1234</v>
      </c>
      <c r="C163" s="778">
        <f t="shared" si="107"/>
        <v>9.5000000000000001E-2</v>
      </c>
      <c r="D163" s="844">
        <v>10</v>
      </c>
      <c r="E163" s="779" t="s">
        <v>1182</v>
      </c>
      <c r="F163" s="877">
        <v>43191</v>
      </c>
      <c r="G163" s="781">
        <f t="shared" si="108"/>
        <v>43191</v>
      </c>
      <c r="H163" s="781">
        <f t="shared" si="109"/>
        <v>46841</v>
      </c>
      <c r="I163" s="1359">
        <v>4375</v>
      </c>
      <c r="J163" s="805">
        <f t="shared" si="110"/>
        <v>218.75</v>
      </c>
      <c r="K163" s="1396"/>
      <c r="L163" s="793"/>
      <c r="M163" s="793">
        <f t="shared" si="111"/>
        <v>4375</v>
      </c>
      <c r="N163" s="793">
        <f t="shared" si="152"/>
        <v>365</v>
      </c>
      <c r="O163" s="793">
        <f t="shared" si="113"/>
        <v>416</v>
      </c>
      <c r="P163" s="793">
        <f t="shared" si="114"/>
        <v>416</v>
      </c>
      <c r="Q163" s="793">
        <f t="shared" si="115"/>
        <v>3959</v>
      </c>
      <c r="R163" s="793">
        <f t="shared" si="116"/>
        <v>3959</v>
      </c>
      <c r="S163" s="793">
        <f t="shared" si="117"/>
        <v>4375</v>
      </c>
      <c r="T163" s="793">
        <f t="shared" si="118"/>
        <v>366</v>
      </c>
      <c r="U163" s="793">
        <f t="shared" si="153"/>
        <v>-227</v>
      </c>
      <c r="V163" s="793">
        <f t="shared" si="120"/>
        <v>189</v>
      </c>
      <c r="W163" s="793">
        <f t="shared" si="121"/>
        <v>4186</v>
      </c>
      <c r="X163" s="793">
        <f t="shared" si="122"/>
        <v>4186</v>
      </c>
      <c r="Y163" s="805">
        <f t="shared" si="123"/>
        <v>4375</v>
      </c>
      <c r="Z163" s="805">
        <f t="shared" si="124"/>
        <v>365</v>
      </c>
      <c r="AA163" s="805">
        <f t="shared" si="125"/>
        <v>416</v>
      </c>
      <c r="AB163" s="805">
        <f t="shared" si="126"/>
        <v>605</v>
      </c>
      <c r="AC163" s="805">
        <f t="shared" si="127"/>
        <v>3770</v>
      </c>
      <c r="AD163" s="793">
        <f t="shared" si="128"/>
        <v>3770</v>
      </c>
      <c r="AE163" s="793">
        <f t="shared" si="129"/>
        <v>4375</v>
      </c>
      <c r="AF163" s="793">
        <f t="shared" si="130"/>
        <v>365</v>
      </c>
      <c r="AG163" s="793">
        <f t="shared" si="131"/>
        <v>416</v>
      </c>
      <c r="AH163" s="805">
        <f t="shared" si="132"/>
        <v>1021</v>
      </c>
      <c r="AI163" s="805">
        <f t="shared" si="133"/>
        <v>3354</v>
      </c>
      <c r="AJ163" s="793">
        <f t="shared" si="134"/>
        <v>3354</v>
      </c>
      <c r="AK163" s="793">
        <f t="shared" si="135"/>
        <v>4375</v>
      </c>
      <c r="AL163" s="793">
        <f t="shared" si="136"/>
        <v>365</v>
      </c>
      <c r="AM163" s="793">
        <f t="shared" si="137"/>
        <v>416</v>
      </c>
      <c r="AN163" s="805">
        <f t="shared" si="138"/>
        <v>1437</v>
      </c>
      <c r="AO163" s="805">
        <f t="shared" si="139"/>
        <v>2938</v>
      </c>
      <c r="AP163" s="793">
        <f t="shared" si="140"/>
        <v>2938</v>
      </c>
      <c r="AQ163" s="793">
        <f t="shared" si="141"/>
        <v>4375</v>
      </c>
      <c r="AR163" s="793">
        <f t="shared" si="142"/>
        <v>366</v>
      </c>
      <c r="AS163" s="793">
        <f t="shared" si="143"/>
        <v>417</v>
      </c>
      <c r="AT163" s="793">
        <f t="shared" si="144"/>
        <v>1854</v>
      </c>
      <c r="AU163" s="793">
        <f t="shared" si="145"/>
        <v>2521</v>
      </c>
      <c r="AV163" s="793">
        <f t="shared" si="146"/>
        <v>2521</v>
      </c>
      <c r="AW163" s="793">
        <f t="shared" si="147"/>
        <v>4375</v>
      </c>
      <c r="AX163" s="793">
        <f t="shared" si="148"/>
        <v>365</v>
      </c>
      <c r="AY163" s="793">
        <f t="shared" si="149"/>
        <v>416</v>
      </c>
      <c r="AZ163" s="793">
        <f t="shared" si="150"/>
        <v>2270</v>
      </c>
      <c r="BA163" s="793">
        <f t="shared" si="151"/>
        <v>2105</v>
      </c>
    </row>
    <row r="164" spans="1:53" ht="15" customHeight="1" x14ac:dyDescent="0.25">
      <c r="A164" s="876" t="s">
        <v>1224</v>
      </c>
      <c r="B164" s="843" t="s">
        <v>1235</v>
      </c>
      <c r="C164" s="778">
        <f t="shared" si="107"/>
        <v>9.5000000000000001E-2</v>
      </c>
      <c r="D164" s="844">
        <v>10</v>
      </c>
      <c r="E164" s="779" t="s">
        <v>1182</v>
      </c>
      <c r="F164" s="877">
        <v>43191</v>
      </c>
      <c r="G164" s="781">
        <f t="shared" si="108"/>
        <v>43191</v>
      </c>
      <c r="H164" s="781">
        <f t="shared" si="109"/>
        <v>46841</v>
      </c>
      <c r="I164" s="1359">
        <v>2542.36</v>
      </c>
      <c r="J164" s="805">
        <f t="shared" si="110"/>
        <v>127.11800000000001</v>
      </c>
      <c r="K164" s="1396"/>
      <c r="L164" s="793"/>
      <c r="M164" s="793">
        <f t="shared" si="111"/>
        <v>2542.36</v>
      </c>
      <c r="N164" s="793">
        <f t="shared" si="152"/>
        <v>365</v>
      </c>
      <c r="O164" s="793">
        <f t="shared" si="113"/>
        <v>242</v>
      </c>
      <c r="P164" s="793">
        <f t="shared" si="114"/>
        <v>242</v>
      </c>
      <c r="Q164" s="793">
        <f t="shared" si="115"/>
        <v>2300.36</v>
      </c>
      <c r="R164" s="793">
        <f t="shared" si="116"/>
        <v>2300.36</v>
      </c>
      <c r="S164" s="793">
        <f t="shared" si="117"/>
        <v>2542.36</v>
      </c>
      <c r="T164" s="793">
        <f t="shared" si="118"/>
        <v>366</v>
      </c>
      <c r="U164" s="793">
        <f t="shared" si="153"/>
        <v>-401</v>
      </c>
      <c r="V164" s="793">
        <f t="shared" si="120"/>
        <v>-159</v>
      </c>
      <c r="W164" s="793">
        <f t="shared" si="121"/>
        <v>2701.36</v>
      </c>
      <c r="X164" s="793">
        <f t="shared" si="122"/>
        <v>2701.36</v>
      </c>
      <c r="Y164" s="805">
        <f t="shared" si="123"/>
        <v>2542.36</v>
      </c>
      <c r="Z164" s="805">
        <f t="shared" si="124"/>
        <v>365</v>
      </c>
      <c r="AA164" s="805">
        <f t="shared" si="125"/>
        <v>242</v>
      </c>
      <c r="AB164" s="805">
        <f t="shared" si="126"/>
        <v>83</v>
      </c>
      <c r="AC164" s="805">
        <f t="shared" si="127"/>
        <v>2459.36</v>
      </c>
      <c r="AD164" s="793">
        <f t="shared" si="128"/>
        <v>2459.36</v>
      </c>
      <c r="AE164" s="793">
        <f t="shared" si="129"/>
        <v>2542.36</v>
      </c>
      <c r="AF164" s="793">
        <f t="shared" si="130"/>
        <v>365</v>
      </c>
      <c r="AG164" s="793">
        <f t="shared" si="131"/>
        <v>242</v>
      </c>
      <c r="AH164" s="805">
        <f t="shared" si="132"/>
        <v>325</v>
      </c>
      <c r="AI164" s="805">
        <f t="shared" si="133"/>
        <v>2217.36</v>
      </c>
      <c r="AJ164" s="793">
        <f t="shared" si="134"/>
        <v>2217.36</v>
      </c>
      <c r="AK164" s="793">
        <f t="shared" si="135"/>
        <v>2542.36</v>
      </c>
      <c r="AL164" s="793">
        <f t="shared" si="136"/>
        <v>365</v>
      </c>
      <c r="AM164" s="793">
        <f t="shared" si="137"/>
        <v>242</v>
      </c>
      <c r="AN164" s="805">
        <f t="shared" si="138"/>
        <v>567</v>
      </c>
      <c r="AO164" s="805">
        <f t="shared" si="139"/>
        <v>1975.3600000000001</v>
      </c>
      <c r="AP164" s="793">
        <f t="shared" si="140"/>
        <v>1975.3600000000001</v>
      </c>
      <c r="AQ164" s="793">
        <f t="shared" si="141"/>
        <v>2542.36</v>
      </c>
      <c r="AR164" s="793">
        <f t="shared" si="142"/>
        <v>366</v>
      </c>
      <c r="AS164" s="793">
        <f t="shared" si="143"/>
        <v>242</v>
      </c>
      <c r="AT164" s="793">
        <f t="shared" si="144"/>
        <v>809</v>
      </c>
      <c r="AU164" s="793">
        <f t="shared" si="145"/>
        <v>1733.3600000000001</v>
      </c>
      <c r="AV164" s="793">
        <f t="shared" si="146"/>
        <v>1733.3600000000001</v>
      </c>
      <c r="AW164" s="793">
        <f t="shared" si="147"/>
        <v>2542.36</v>
      </c>
      <c r="AX164" s="793">
        <f t="shared" si="148"/>
        <v>365</v>
      </c>
      <c r="AY164" s="793">
        <f t="shared" si="149"/>
        <v>242</v>
      </c>
      <c r="AZ164" s="793">
        <f t="shared" si="150"/>
        <v>1051</v>
      </c>
      <c r="BA164" s="793">
        <f t="shared" si="151"/>
        <v>1491.3600000000001</v>
      </c>
    </row>
    <row r="165" spans="1:53" ht="15" customHeight="1" x14ac:dyDescent="0.25">
      <c r="A165" s="876" t="s">
        <v>1224</v>
      </c>
      <c r="B165" s="843" t="s">
        <v>1236</v>
      </c>
      <c r="C165" s="778">
        <f t="shared" si="107"/>
        <v>9.5000000000000001E-2</v>
      </c>
      <c r="D165" s="844">
        <v>10</v>
      </c>
      <c r="E165" s="779" t="s">
        <v>1182</v>
      </c>
      <c r="F165" s="877">
        <v>43191</v>
      </c>
      <c r="G165" s="781">
        <f t="shared" si="108"/>
        <v>43191</v>
      </c>
      <c r="H165" s="781">
        <f t="shared" si="109"/>
        <v>46841</v>
      </c>
      <c r="I165" s="1359">
        <v>15322.04</v>
      </c>
      <c r="J165" s="805">
        <f t="shared" si="110"/>
        <v>766.10200000000009</v>
      </c>
      <c r="K165" s="1396"/>
      <c r="L165" s="793"/>
      <c r="M165" s="793">
        <f t="shared" si="111"/>
        <v>15322.04</v>
      </c>
      <c r="N165" s="793">
        <f t="shared" si="152"/>
        <v>365</v>
      </c>
      <c r="O165" s="793">
        <f t="shared" si="113"/>
        <v>1456</v>
      </c>
      <c r="P165" s="793">
        <f t="shared" si="114"/>
        <v>1456</v>
      </c>
      <c r="Q165" s="793">
        <f t="shared" si="115"/>
        <v>13866.04</v>
      </c>
      <c r="R165" s="793">
        <f t="shared" si="116"/>
        <v>13866.04</v>
      </c>
      <c r="S165" s="793">
        <f t="shared" si="117"/>
        <v>15322.04</v>
      </c>
      <c r="T165" s="793">
        <f t="shared" si="118"/>
        <v>366</v>
      </c>
      <c r="U165" s="793">
        <f t="shared" si="153"/>
        <v>813</v>
      </c>
      <c r="V165" s="793">
        <f t="shared" si="120"/>
        <v>2269</v>
      </c>
      <c r="W165" s="793">
        <f t="shared" si="121"/>
        <v>13053.04</v>
      </c>
      <c r="X165" s="793">
        <f t="shared" si="122"/>
        <v>13053.04</v>
      </c>
      <c r="Y165" s="805">
        <f t="shared" si="123"/>
        <v>15322.04</v>
      </c>
      <c r="Z165" s="805">
        <f t="shared" si="124"/>
        <v>365</v>
      </c>
      <c r="AA165" s="805">
        <f t="shared" si="125"/>
        <v>1456</v>
      </c>
      <c r="AB165" s="805">
        <f t="shared" si="126"/>
        <v>3725</v>
      </c>
      <c r="AC165" s="805">
        <f t="shared" si="127"/>
        <v>11597.04</v>
      </c>
      <c r="AD165" s="793">
        <f t="shared" si="128"/>
        <v>11597.04</v>
      </c>
      <c r="AE165" s="793">
        <f t="shared" si="129"/>
        <v>15322.04</v>
      </c>
      <c r="AF165" s="793">
        <f t="shared" si="130"/>
        <v>365</v>
      </c>
      <c r="AG165" s="793">
        <f t="shared" si="131"/>
        <v>1456</v>
      </c>
      <c r="AH165" s="805">
        <f t="shared" si="132"/>
        <v>5181</v>
      </c>
      <c r="AI165" s="805">
        <f t="shared" si="133"/>
        <v>10141.040000000001</v>
      </c>
      <c r="AJ165" s="793">
        <f t="shared" si="134"/>
        <v>10141.040000000001</v>
      </c>
      <c r="AK165" s="793">
        <f t="shared" si="135"/>
        <v>15322.04</v>
      </c>
      <c r="AL165" s="793">
        <f t="shared" si="136"/>
        <v>365</v>
      </c>
      <c r="AM165" s="793">
        <f t="shared" si="137"/>
        <v>1456</v>
      </c>
      <c r="AN165" s="805">
        <f t="shared" si="138"/>
        <v>6637</v>
      </c>
      <c r="AO165" s="805">
        <f t="shared" si="139"/>
        <v>8685.0400000000009</v>
      </c>
      <c r="AP165" s="793">
        <f t="shared" si="140"/>
        <v>8685.0400000000009</v>
      </c>
      <c r="AQ165" s="793">
        <f t="shared" si="141"/>
        <v>15322.04</v>
      </c>
      <c r="AR165" s="793">
        <f t="shared" si="142"/>
        <v>366</v>
      </c>
      <c r="AS165" s="793">
        <f t="shared" si="143"/>
        <v>1460</v>
      </c>
      <c r="AT165" s="793">
        <f t="shared" si="144"/>
        <v>8097</v>
      </c>
      <c r="AU165" s="793">
        <f t="shared" si="145"/>
        <v>7225.0400000000009</v>
      </c>
      <c r="AV165" s="793">
        <f t="shared" si="146"/>
        <v>7225.0400000000009</v>
      </c>
      <c r="AW165" s="793">
        <f t="shared" si="147"/>
        <v>15322.04</v>
      </c>
      <c r="AX165" s="793">
        <f t="shared" si="148"/>
        <v>365</v>
      </c>
      <c r="AY165" s="793">
        <f t="shared" si="149"/>
        <v>1456</v>
      </c>
      <c r="AZ165" s="793">
        <f t="shared" si="150"/>
        <v>9553</v>
      </c>
      <c r="BA165" s="793">
        <f t="shared" si="151"/>
        <v>5769.0400000000009</v>
      </c>
    </row>
    <row r="166" spans="1:53" ht="15" customHeight="1" x14ac:dyDescent="0.25">
      <c r="A166" s="876" t="s">
        <v>1224</v>
      </c>
      <c r="B166" s="843" t="s">
        <v>1237</v>
      </c>
      <c r="C166" s="778">
        <f t="shared" si="107"/>
        <v>9.5000000000000001E-2</v>
      </c>
      <c r="D166" s="844">
        <v>10</v>
      </c>
      <c r="E166" s="779" t="s">
        <v>1182</v>
      </c>
      <c r="F166" s="877">
        <v>43201</v>
      </c>
      <c r="G166" s="781">
        <f t="shared" si="108"/>
        <v>43201</v>
      </c>
      <c r="H166" s="781">
        <f t="shared" si="109"/>
        <v>46851</v>
      </c>
      <c r="I166" s="1359">
        <v>160000</v>
      </c>
      <c r="J166" s="805">
        <f t="shared" si="110"/>
        <v>8000</v>
      </c>
      <c r="K166" s="1396"/>
      <c r="L166" s="793"/>
      <c r="M166" s="793">
        <f t="shared" si="111"/>
        <v>160000</v>
      </c>
      <c r="N166" s="793">
        <f t="shared" si="152"/>
        <v>355</v>
      </c>
      <c r="O166" s="793">
        <f t="shared" si="113"/>
        <v>14784</v>
      </c>
      <c r="P166" s="793">
        <f t="shared" si="114"/>
        <v>14784</v>
      </c>
      <c r="Q166" s="793">
        <f t="shared" si="115"/>
        <v>145216</v>
      </c>
      <c r="R166" s="793">
        <f t="shared" si="116"/>
        <v>145216</v>
      </c>
      <c r="S166" s="793">
        <f t="shared" si="117"/>
        <v>160000</v>
      </c>
      <c r="T166" s="793">
        <f t="shared" si="118"/>
        <v>366</v>
      </c>
      <c r="U166" s="793">
        <f t="shared" si="153"/>
        <v>14557</v>
      </c>
      <c r="V166" s="793">
        <f t="shared" si="120"/>
        <v>29341</v>
      </c>
      <c r="W166" s="793">
        <f t="shared" si="121"/>
        <v>130659</v>
      </c>
      <c r="X166" s="793">
        <f t="shared" si="122"/>
        <v>130659</v>
      </c>
      <c r="Y166" s="805">
        <f t="shared" si="123"/>
        <v>160000</v>
      </c>
      <c r="Z166" s="805">
        <f t="shared" si="124"/>
        <v>365</v>
      </c>
      <c r="AA166" s="805">
        <f t="shared" si="125"/>
        <v>15200</v>
      </c>
      <c r="AB166" s="805">
        <f t="shared" si="126"/>
        <v>44541</v>
      </c>
      <c r="AC166" s="805">
        <f t="shared" si="127"/>
        <v>115459</v>
      </c>
      <c r="AD166" s="793">
        <f t="shared" si="128"/>
        <v>115459</v>
      </c>
      <c r="AE166" s="793">
        <f t="shared" si="129"/>
        <v>160000</v>
      </c>
      <c r="AF166" s="793">
        <f t="shared" si="130"/>
        <v>365</v>
      </c>
      <c r="AG166" s="793">
        <f t="shared" si="131"/>
        <v>15200</v>
      </c>
      <c r="AH166" s="805">
        <f t="shared" si="132"/>
        <v>59741</v>
      </c>
      <c r="AI166" s="805">
        <f t="shared" si="133"/>
        <v>100259</v>
      </c>
      <c r="AJ166" s="793">
        <f t="shared" si="134"/>
        <v>100259</v>
      </c>
      <c r="AK166" s="793">
        <f t="shared" si="135"/>
        <v>160000</v>
      </c>
      <c r="AL166" s="793">
        <f t="shared" si="136"/>
        <v>365</v>
      </c>
      <c r="AM166" s="793">
        <f t="shared" si="137"/>
        <v>15200</v>
      </c>
      <c r="AN166" s="805">
        <f t="shared" si="138"/>
        <v>74941</v>
      </c>
      <c r="AO166" s="805">
        <f t="shared" si="139"/>
        <v>85059</v>
      </c>
      <c r="AP166" s="793">
        <f t="shared" si="140"/>
        <v>85059</v>
      </c>
      <c r="AQ166" s="793">
        <f t="shared" si="141"/>
        <v>160000</v>
      </c>
      <c r="AR166" s="793">
        <f t="shared" si="142"/>
        <v>366</v>
      </c>
      <c r="AS166" s="793">
        <f t="shared" si="143"/>
        <v>15242</v>
      </c>
      <c r="AT166" s="793">
        <f t="shared" si="144"/>
        <v>90183</v>
      </c>
      <c r="AU166" s="793">
        <f t="shared" si="145"/>
        <v>69817</v>
      </c>
      <c r="AV166" s="793">
        <f t="shared" si="146"/>
        <v>69817</v>
      </c>
      <c r="AW166" s="793">
        <f t="shared" si="147"/>
        <v>160000</v>
      </c>
      <c r="AX166" s="793">
        <f t="shared" si="148"/>
        <v>365</v>
      </c>
      <c r="AY166" s="793">
        <f t="shared" si="149"/>
        <v>15200</v>
      </c>
      <c r="AZ166" s="793">
        <f t="shared" si="150"/>
        <v>105383</v>
      </c>
      <c r="BA166" s="793">
        <f t="shared" si="151"/>
        <v>54617</v>
      </c>
    </row>
    <row r="167" spans="1:53" ht="15" customHeight="1" x14ac:dyDescent="0.25">
      <c r="A167" s="876" t="s">
        <v>1224</v>
      </c>
      <c r="B167" s="843" t="s">
        <v>1238</v>
      </c>
      <c r="C167" s="778">
        <f t="shared" si="107"/>
        <v>9.5000000000000001E-2</v>
      </c>
      <c r="D167" s="844">
        <v>10</v>
      </c>
      <c r="E167" s="779" t="s">
        <v>1182</v>
      </c>
      <c r="F167" s="877">
        <v>43325</v>
      </c>
      <c r="G167" s="781">
        <f t="shared" si="108"/>
        <v>43325</v>
      </c>
      <c r="H167" s="781">
        <f t="shared" si="109"/>
        <v>46975</v>
      </c>
      <c r="I167" s="1359">
        <v>29500</v>
      </c>
      <c r="J167" s="805">
        <f t="shared" si="110"/>
        <v>1475</v>
      </c>
      <c r="K167" s="1396"/>
      <c r="L167" s="793"/>
      <c r="M167" s="793">
        <f t="shared" si="111"/>
        <v>29500</v>
      </c>
      <c r="N167" s="793">
        <f t="shared" si="152"/>
        <v>231</v>
      </c>
      <c r="O167" s="793">
        <f t="shared" si="113"/>
        <v>1774</v>
      </c>
      <c r="P167" s="793">
        <f t="shared" si="114"/>
        <v>1774</v>
      </c>
      <c r="Q167" s="793">
        <f t="shared" si="115"/>
        <v>27726</v>
      </c>
      <c r="R167" s="793">
        <f t="shared" si="116"/>
        <v>27726</v>
      </c>
      <c r="S167" s="793">
        <f t="shared" si="117"/>
        <v>29500</v>
      </c>
      <c r="T167" s="793">
        <f t="shared" si="118"/>
        <v>366</v>
      </c>
      <c r="U167" s="793">
        <f t="shared" si="153"/>
        <v>2160</v>
      </c>
      <c r="V167" s="793">
        <f t="shared" si="120"/>
        <v>3934</v>
      </c>
      <c r="W167" s="793">
        <f t="shared" si="121"/>
        <v>25566</v>
      </c>
      <c r="X167" s="793">
        <f t="shared" si="122"/>
        <v>25566</v>
      </c>
      <c r="Y167" s="805">
        <f t="shared" si="123"/>
        <v>29500</v>
      </c>
      <c r="Z167" s="805">
        <f t="shared" si="124"/>
        <v>365</v>
      </c>
      <c r="AA167" s="805">
        <f t="shared" si="125"/>
        <v>2803</v>
      </c>
      <c r="AB167" s="805">
        <f t="shared" si="126"/>
        <v>6737</v>
      </c>
      <c r="AC167" s="805">
        <f t="shared" si="127"/>
        <v>22763</v>
      </c>
      <c r="AD167" s="793">
        <f t="shared" si="128"/>
        <v>22763</v>
      </c>
      <c r="AE167" s="793">
        <f t="shared" si="129"/>
        <v>29500</v>
      </c>
      <c r="AF167" s="793">
        <f t="shared" si="130"/>
        <v>365</v>
      </c>
      <c r="AG167" s="793">
        <f t="shared" si="131"/>
        <v>2803</v>
      </c>
      <c r="AH167" s="805">
        <f t="shared" si="132"/>
        <v>9540</v>
      </c>
      <c r="AI167" s="805">
        <f t="shared" si="133"/>
        <v>19960</v>
      </c>
      <c r="AJ167" s="793">
        <f t="shared" si="134"/>
        <v>19960</v>
      </c>
      <c r="AK167" s="793">
        <f t="shared" si="135"/>
        <v>29500</v>
      </c>
      <c r="AL167" s="793">
        <f t="shared" si="136"/>
        <v>365</v>
      </c>
      <c r="AM167" s="793">
        <f t="shared" si="137"/>
        <v>2803</v>
      </c>
      <c r="AN167" s="805">
        <f t="shared" si="138"/>
        <v>12343</v>
      </c>
      <c r="AO167" s="805">
        <f t="shared" si="139"/>
        <v>17157</v>
      </c>
      <c r="AP167" s="793">
        <f t="shared" si="140"/>
        <v>17157</v>
      </c>
      <c r="AQ167" s="793">
        <f t="shared" si="141"/>
        <v>29500</v>
      </c>
      <c r="AR167" s="793">
        <f t="shared" si="142"/>
        <v>366</v>
      </c>
      <c r="AS167" s="793">
        <f t="shared" si="143"/>
        <v>2810</v>
      </c>
      <c r="AT167" s="793">
        <f t="shared" si="144"/>
        <v>15153</v>
      </c>
      <c r="AU167" s="793">
        <f t="shared" si="145"/>
        <v>14347</v>
      </c>
      <c r="AV167" s="793">
        <f t="shared" si="146"/>
        <v>14347</v>
      </c>
      <c r="AW167" s="793">
        <f t="shared" si="147"/>
        <v>29500</v>
      </c>
      <c r="AX167" s="793">
        <f t="shared" si="148"/>
        <v>365</v>
      </c>
      <c r="AY167" s="793">
        <f t="shared" si="149"/>
        <v>2803</v>
      </c>
      <c r="AZ167" s="793">
        <f t="shared" si="150"/>
        <v>17956</v>
      </c>
      <c r="BA167" s="793">
        <f t="shared" si="151"/>
        <v>11544</v>
      </c>
    </row>
    <row r="168" spans="1:53" ht="15" customHeight="1" x14ac:dyDescent="0.25">
      <c r="A168" s="876" t="s">
        <v>1224</v>
      </c>
      <c r="B168" s="843" t="s">
        <v>1239</v>
      </c>
      <c r="C168" s="778">
        <f t="shared" si="107"/>
        <v>9.5000000000000001E-2</v>
      </c>
      <c r="D168" s="844">
        <v>10</v>
      </c>
      <c r="E168" s="779" t="s">
        <v>1182</v>
      </c>
      <c r="F168" s="877">
        <v>43479</v>
      </c>
      <c r="G168" s="781">
        <f t="shared" si="108"/>
        <v>43479</v>
      </c>
      <c r="H168" s="781">
        <f t="shared" si="109"/>
        <v>47129</v>
      </c>
      <c r="I168" s="1359">
        <v>3135</v>
      </c>
      <c r="J168" s="805">
        <f t="shared" si="110"/>
        <v>156.75</v>
      </c>
      <c r="K168" s="1396"/>
      <c r="L168" s="793"/>
      <c r="M168" s="793">
        <f t="shared" si="111"/>
        <v>3135</v>
      </c>
      <c r="N168" s="793">
        <f t="shared" si="152"/>
        <v>77</v>
      </c>
      <c r="O168" s="793">
        <f t="shared" si="113"/>
        <v>63</v>
      </c>
      <c r="P168" s="793">
        <f t="shared" si="114"/>
        <v>63</v>
      </c>
      <c r="Q168" s="793">
        <f t="shared" si="115"/>
        <v>3072</v>
      </c>
      <c r="R168" s="793">
        <f t="shared" si="116"/>
        <v>3072</v>
      </c>
      <c r="S168" s="793">
        <f t="shared" si="117"/>
        <v>3135</v>
      </c>
      <c r="T168" s="793">
        <f t="shared" si="118"/>
        <v>366</v>
      </c>
      <c r="U168" s="793">
        <f t="shared" si="153"/>
        <v>-345</v>
      </c>
      <c r="V168" s="793">
        <f t="shared" si="120"/>
        <v>-282</v>
      </c>
      <c r="W168" s="793">
        <f t="shared" si="121"/>
        <v>3417</v>
      </c>
      <c r="X168" s="793">
        <f t="shared" si="122"/>
        <v>3417</v>
      </c>
      <c r="Y168" s="805">
        <f t="shared" si="123"/>
        <v>3135</v>
      </c>
      <c r="Z168" s="805">
        <f t="shared" si="124"/>
        <v>365</v>
      </c>
      <c r="AA168" s="805">
        <f t="shared" si="125"/>
        <v>298</v>
      </c>
      <c r="AB168" s="805">
        <f t="shared" si="126"/>
        <v>16</v>
      </c>
      <c r="AC168" s="805">
        <f t="shared" si="127"/>
        <v>3119</v>
      </c>
      <c r="AD168" s="793">
        <f t="shared" si="128"/>
        <v>3119</v>
      </c>
      <c r="AE168" s="793">
        <f t="shared" si="129"/>
        <v>3135</v>
      </c>
      <c r="AF168" s="793">
        <f t="shared" si="130"/>
        <v>365</v>
      </c>
      <c r="AG168" s="793">
        <f t="shared" si="131"/>
        <v>298</v>
      </c>
      <c r="AH168" s="805">
        <f t="shared" si="132"/>
        <v>314</v>
      </c>
      <c r="AI168" s="805">
        <f t="shared" si="133"/>
        <v>2821</v>
      </c>
      <c r="AJ168" s="793">
        <f t="shared" si="134"/>
        <v>2821</v>
      </c>
      <c r="AK168" s="793">
        <f t="shared" si="135"/>
        <v>3135</v>
      </c>
      <c r="AL168" s="793">
        <f t="shared" si="136"/>
        <v>365</v>
      </c>
      <c r="AM168" s="793">
        <f t="shared" si="137"/>
        <v>298</v>
      </c>
      <c r="AN168" s="805">
        <f t="shared" si="138"/>
        <v>612</v>
      </c>
      <c r="AO168" s="805">
        <f t="shared" si="139"/>
        <v>2523</v>
      </c>
      <c r="AP168" s="793">
        <f t="shared" si="140"/>
        <v>2523</v>
      </c>
      <c r="AQ168" s="793">
        <f t="shared" si="141"/>
        <v>3135</v>
      </c>
      <c r="AR168" s="793">
        <f t="shared" si="142"/>
        <v>366</v>
      </c>
      <c r="AS168" s="793">
        <f t="shared" si="143"/>
        <v>299</v>
      </c>
      <c r="AT168" s="793">
        <f t="shared" si="144"/>
        <v>911</v>
      </c>
      <c r="AU168" s="793">
        <f t="shared" si="145"/>
        <v>2224</v>
      </c>
      <c r="AV168" s="793">
        <f t="shared" si="146"/>
        <v>2224</v>
      </c>
      <c r="AW168" s="793">
        <f t="shared" si="147"/>
        <v>3135</v>
      </c>
      <c r="AX168" s="793">
        <f t="shared" si="148"/>
        <v>365</v>
      </c>
      <c r="AY168" s="793">
        <f t="shared" si="149"/>
        <v>298</v>
      </c>
      <c r="AZ168" s="793">
        <f t="shared" si="150"/>
        <v>1209</v>
      </c>
      <c r="BA168" s="793">
        <f t="shared" si="151"/>
        <v>1926</v>
      </c>
    </row>
    <row r="169" spans="1:53" ht="15" customHeight="1" x14ac:dyDescent="0.25">
      <c r="A169" s="876" t="s">
        <v>1224</v>
      </c>
      <c r="B169" s="843" t="s">
        <v>1230</v>
      </c>
      <c r="C169" s="778">
        <f t="shared" si="107"/>
        <v>9.5000000000000001E-2</v>
      </c>
      <c r="D169" s="844">
        <v>10</v>
      </c>
      <c r="E169" s="844" t="s">
        <v>1207</v>
      </c>
      <c r="F169" s="877">
        <v>44205</v>
      </c>
      <c r="G169" s="781">
        <f t="shared" si="108"/>
        <v>44205</v>
      </c>
      <c r="H169" s="781">
        <f t="shared" si="109"/>
        <v>47855</v>
      </c>
      <c r="I169" s="1359">
        <v>4310</v>
      </c>
      <c r="J169" s="805">
        <f t="shared" si="110"/>
        <v>215.5</v>
      </c>
      <c r="K169" s="1396"/>
      <c r="L169" s="793">
        <v>0</v>
      </c>
      <c r="M169" s="793">
        <v>0</v>
      </c>
      <c r="N169" s="793">
        <v>0</v>
      </c>
      <c r="O169" s="793">
        <v>0</v>
      </c>
      <c r="P169" s="793">
        <v>0</v>
      </c>
      <c r="Q169" s="793">
        <v>0</v>
      </c>
      <c r="R169" s="793">
        <v>0</v>
      </c>
      <c r="S169" s="793">
        <v>0</v>
      </c>
      <c r="T169" s="793">
        <v>0</v>
      </c>
      <c r="U169" s="793">
        <v>0</v>
      </c>
      <c r="V169" s="793">
        <v>0</v>
      </c>
      <c r="W169" s="793">
        <v>0</v>
      </c>
      <c r="X169" s="793">
        <f t="shared" si="122"/>
        <v>0</v>
      </c>
      <c r="Y169" s="805">
        <f t="shared" si="123"/>
        <v>4310</v>
      </c>
      <c r="Z169" s="805">
        <f t="shared" si="124"/>
        <v>82</v>
      </c>
      <c r="AA169" s="805">
        <f t="shared" si="125"/>
        <v>92</v>
      </c>
      <c r="AB169" s="805">
        <f t="shared" si="126"/>
        <v>92</v>
      </c>
      <c r="AC169" s="805">
        <f t="shared" si="127"/>
        <v>4218</v>
      </c>
      <c r="AD169" s="793">
        <f t="shared" si="128"/>
        <v>4218</v>
      </c>
      <c r="AE169" s="793">
        <f t="shared" si="129"/>
        <v>4310</v>
      </c>
      <c r="AF169" s="793">
        <f t="shared" si="130"/>
        <v>365</v>
      </c>
      <c r="AG169" s="793">
        <f t="shared" si="131"/>
        <v>409</v>
      </c>
      <c r="AH169" s="805">
        <f t="shared" si="132"/>
        <v>501</v>
      </c>
      <c r="AI169" s="805">
        <f t="shared" si="133"/>
        <v>3809</v>
      </c>
      <c r="AJ169" s="793">
        <f t="shared" si="134"/>
        <v>3809</v>
      </c>
      <c r="AK169" s="793">
        <f t="shared" si="135"/>
        <v>4310</v>
      </c>
      <c r="AL169" s="793">
        <f t="shared" si="136"/>
        <v>365</v>
      </c>
      <c r="AM169" s="793">
        <f t="shared" si="137"/>
        <v>409</v>
      </c>
      <c r="AN169" s="805">
        <f t="shared" si="138"/>
        <v>910</v>
      </c>
      <c r="AO169" s="805">
        <f t="shared" si="139"/>
        <v>3400</v>
      </c>
      <c r="AP169" s="793">
        <f t="shared" si="140"/>
        <v>3400</v>
      </c>
      <c r="AQ169" s="793">
        <f t="shared" si="141"/>
        <v>4310</v>
      </c>
      <c r="AR169" s="793">
        <f t="shared" si="142"/>
        <v>366</v>
      </c>
      <c r="AS169" s="793">
        <f t="shared" si="143"/>
        <v>411</v>
      </c>
      <c r="AT169" s="793">
        <f t="shared" si="144"/>
        <v>1321</v>
      </c>
      <c r="AU169" s="793">
        <f t="shared" si="145"/>
        <v>2989</v>
      </c>
      <c r="AV169" s="793">
        <f t="shared" si="146"/>
        <v>2989</v>
      </c>
      <c r="AW169" s="793">
        <f t="shared" si="147"/>
        <v>4310</v>
      </c>
      <c r="AX169" s="793">
        <f t="shared" si="148"/>
        <v>365</v>
      </c>
      <c r="AY169" s="793">
        <f t="shared" si="149"/>
        <v>409</v>
      </c>
      <c r="AZ169" s="793">
        <f t="shared" si="150"/>
        <v>1730</v>
      </c>
      <c r="BA169" s="793">
        <f t="shared" si="151"/>
        <v>2580</v>
      </c>
    </row>
    <row r="170" spans="1:53" ht="15" customHeight="1" x14ac:dyDescent="0.25">
      <c r="A170" s="876" t="s">
        <v>1224</v>
      </c>
      <c r="B170" s="843" t="s">
        <v>1230</v>
      </c>
      <c r="C170" s="778">
        <f t="shared" si="107"/>
        <v>9.5000000000000001E-2</v>
      </c>
      <c r="D170" s="844">
        <v>10</v>
      </c>
      <c r="E170" s="844" t="s">
        <v>1207</v>
      </c>
      <c r="F170" s="877">
        <v>44235</v>
      </c>
      <c r="G170" s="781">
        <f t="shared" si="108"/>
        <v>44235</v>
      </c>
      <c r="H170" s="781">
        <f t="shared" si="109"/>
        <v>47885</v>
      </c>
      <c r="I170" s="1359">
        <v>940</v>
      </c>
      <c r="J170" s="805">
        <f t="shared" si="110"/>
        <v>47</v>
      </c>
      <c r="K170" s="1396"/>
      <c r="L170" s="793">
        <v>0</v>
      </c>
      <c r="M170" s="793">
        <v>0</v>
      </c>
      <c r="N170" s="793">
        <v>0</v>
      </c>
      <c r="O170" s="793">
        <v>0</v>
      </c>
      <c r="P170" s="793">
        <v>0</v>
      </c>
      <c r="Q170" s="793">
        <v>0</v>
      </c>
      <c r="R170" s="793">
        <v>0</v>
      </c>
      <c r="S170" s="793">
        <v>0</v>
      </c>
      <c r="T170" s="793">
        <v>0</v>
      </c>
      <c r="U170" s="793">
        <v>0</v>
      </c>
      <c r="V170" s="793">
        <v>0</v>
      </c>
      <c r="W170" s="793">
        <v>0</v>
      </c>
      <c r="X170" s="793">
        <f t="shared" si="122"/>
        <v>0</v>
      </c>
      <c r="Y170" s="805">
        <f t="shared" si="123"/>
        <v>940</v>
      </c>
      <c r="Z170" s="805">
        <f t="shared" si="124"/>
        <v>52</v>
      </c>
      <c r="AA170" s="805">
        <f t="shared" si="125"/>
        <v>13</v>
      </c>
      <c r="AB170" s="805">
        <f t="shared" si="126"/>
        <v>13</v>
      </c>
      <c r="AC170" s="805">
        <f t="shared" si="127"/>
        <v>927</v>
      </c>
      <c r="AD170" s="793">
        <f t="shared" si="128"/>
        <v>927</v>
      </c>
      <c r="AE170" s="793">
        <f t="shared" si="129"/>
        <v>940</v>
      </c>
      <c r="AF170" s="793">
        <f t="shared" si="130"/>
        <v>365</v>
      </c>
      <c r="AG170" s="793">
        <f t="shared" si="131"/>
        <v>89</v>
      </c>
      <c r="AH170" s="805">
        <f t="shared" si="132"/>
        <v>102</v>
      </c>
      <c r="AI170" s="805">
        <f t="shared" si="133"/>
        <v>838</v>
      </c>
      <c r="AJ170" s="793">
        <f t="shared" si="134"/>
        <v>838</v>
      </c>
      <c r="AK170" s="793">
        <f t="shared" si="135"/>
        <v>940</v>
      </c>
      <c r="AL170" s="793">
        <f t="shared" si="136"/>
        <v>365</v>
      </c>
      <c r="AM170" s="793">
        <f t="shared" si="137"/>
        <v>89</v>
      </c>
      <c r="AN170" s="805">
        <f t="shared" si="138"/>
        <v>191</v>
      </c>
      <c r="AO170" s="805">
        <f t="shared" si="139"/>
        <v>749</v>
      </c>
      <c r="AP170" s="793">
        <f t="shared" si="140"/>
        <v>749</v>
      </c>
      <c r="AQ170" s="793">
        <f t="shared" si="141"/>
        <v>940</v>
      </c>
      <c r="AR170" s="793">
        <f t="shared" si="142"/>
        <v>366</v>
      </c>
      <c r="AS170" s="793">
        <f t="shared" si="143"/>
        <v>90</v>
      </c>
      <c r="AT170" s="793">
        <f t="shared" si="144"/>
        <v>281</v>
      </c>
      <c r="AU170" s="793">
        <f t="shared" si="145"/>
        <v>659</v>
      </c>
      <c r="AV170" s="793">
        <f t="shared" si="146"/>
        <v>659</v>
      </c>
      <c r="AW170" s="793">
        <f t="shared" si="147"/>
        <v>940</v>
      </c>
      <c r="AX170" s="793">
        <f t="shared" si="148"/>
        <v>365</v>
      </c>
      <c r="AY170" s="793">
        <f t="shared" si="149"/>
        <v>89</v>
      </c>
      <c r="AZ170" s="793">
        <f t="shared" si="150"/>
        <v>370</v>
      </c>
      <c r="BA170" s="793">
        <f t="shared" si="151"/>
        <v>570</v>
      </c>
    </row>
    <row r="171" spans="1:53" ht="15" customHeight="1" x14ac:dyDescent="0.25">
      <c r="A171" s="876" t="s">
        <v>1224</v>
      </c>
      <c r="B171" s="843" t="s">
        <v>1240</v>
      </c>
      <c r="C171" s="778">
        <f t="shared" si="107"/>
        <v>9.5000000000000001E-2</v>
      </c>
      <c r="D171" s="844">
        <v>10</v>
      </c>
      <c r="E171" s="844" t="s">
        <v>723</v>
      </c>
      <c r="F171" s="877">
        <v>44363</v>
      </c>
      <c r="G171" s="781">
        <f t="shared" si="108"/>
        <v>44363</v>
      </c>
      <c r="H171" s="781">
        <f t="shared" si="109"/>
        <v>48013</v>
      </c>
      <c r="I171" s="1359">
        <v>7458</v>
      </c>
      <c r="J171" s="805">
        <f t="shared" si="110"/>
        <v>372.90000000000003</v>
      </c>
      <c r="K171" s="1396"/>
      <c r="L171" s="793">
        <v>0</v>
      </c>
      <c r="M171" s="793">
        <v>0</v>
      </c>
      <c r="N171" s="793">
        <v>0</v>
      </c>
      <c r="O171" s="793">
        <v>0</v>
      </c>
      <c r="P171" s="793">
        <v>0</v>
      </c>
      <c r="Q171" s="793">
        <v>0</v>
      </c>
      <c r="R171" s="793">
        <v>0</v>
      </c>
      <c r="S171" s="793">
        <v>0</v>
      </c>
      <c r="T171" s="793">
        <v>0</v>
      </c>
      <c r="U171" s="793">
        <v>0</v>
      </c>
      <c r="V171" s="793">
        <v>0</v>
      </c>
      <c r="W171" s="793">
        <v>0</v>
      </c>
      <c r="X171" s="793">
        <v>0</v>
      </c>
      <c r="Y171" s="793">
        <v>0</v>
      </c>
      <c r="Z171" s="793">
        <v>0</v>
      </c>
      <c r="AA171" s="793">
        <v>0</v>
      </c>
      <c r="AB171" s="793">
        <v>0</v>
      </c>
      <c r="AC171" s="793">
        <v>0</v>
      </c>
      <c r="AD171" s="793">
        <f t="shared" si="128"/>
        <v>0</v>
      </c>
      <c r="AE171" s="793">
        <f t="shared" si="129"/>
        <v>7458</v>
      </c>
      <c r="AF171" s="793">
        <f t="shared" si="130"/>
        <v>289</v>
      </c>
      <c r="AG171" s="793">
        <f t="shared" si="131"/>
        <v>561</v>
      </c>
      <c r="AH171" s="805">
        <f t="shared" si="132"/>
        <v>561</v>
      </c>
      <c r="AI171" s="805">
        <f t="shared" si="133"/>
        <v>6897</v>
      </c>
      <c r="AJ171" s="793">
        <f t="shared" si="134"/>
        <v>6897</v>
      </c>
      <c r="AK171" s="793">
        <f t="shared" si="135"/>
        <v>7458</v>
      </c>
      <c r="AL171" s="793">
        <f t="shared" si="136"/>
        <v>365</v>
      </c>
      <c r="AM171" s="793">
        <f t="shared" si="137"/>
        <v>709</v>
      </c>
      <c r="AN171" s="805">
        <f t="shared" si="138"/>
        <v>1270</v>
      </c>
      <c r="AO171" s="805">
        <f t="shared" si="139"/>
        <v>6188</v>
      </c>
      <c r="AP171" s="793">
        <f t="shared" si="140"/>
        <v>6188</v>
      </c>
      <c r="AQ171" s="793">
        <f t="shared" si="141"/>
        <v>7458</v>
      </c>
      <c r="AR171" s="793">
        <f t="shared" si="142"/>
        <v>366</v>
      </c>
      <c r="AS171" s="793">
        <f t="shared" si="143"/>
        <v>710</v>
      </c>
      <c r="AT171" s="793">
        <f t="shared" si="144"/>
        <v>1980</v>
      </c>
      <c r="AU171" s="793">
        <f t="shared" si="145"/>
        <v>5478</v>
      </c>
      <c r="AV171" s="793">
        <f t="shared" si="146"/>
        <v>5478</v>
      </c>
      <c r="AW171" s="793">
        <f t="shared" si="147"/>
        <v>7458</v>
      </c>
      <c r="AX171" s="793">
        <f t="shared" si="148"/>
        <v>365</v>
      </c>
      <c r="AY171" s="793">
        <f t="shared" si="149"/>
        <v>709</v>
      </c>
      <c r="AZ171" s="793">
        <f t="shared" si="150"/>
        <v>2689</v>
      </c>
      <c r="BA171" s="793">
        <f t="shared" si="151"/>
        <v>4769</v>
      </c>
    </row>
    <row r="172" spans="1:53" ht="15" customHeight="1" x14ac:dyDescent="0.25">
      <c r="A172" s="876" t="s">
        <v>1224</v>
      </c>
      <c r="B172" s="843" t="s">
        <v>1240</v>
      </c>
      <c r="C172" s="778">
        <f t="shared" si="107"/>
        <v>9.5000000000000001E-2</v>
      </c>
      <c r="D172" s="844">
        <v>10</v>
      </c>
      <c r="E172" s="844" t="s">
        <v>723</v>
      </c>
      <c r="F172" s="877">
        <v>44399</v>
      </c>
      <c r="G172" s="781">
        <f t="shared" si="108"/>
        <v>44399</v>
      </c>
      <c r="H172" s="781">
        <f t="shared" si="109"/>
        <v>48049</v>
      </c>
      <c r="I172" s="1359">
        <v>4190</v>
      </c>
      <c r="J172" s="805">
        <f t="shared" si="110"/>
        <v>209.5</v>
      </c>
      <c r="K172" s="1396"/>
      <c r="L172" s="793">
        <v>0</v>
      </c>
      <c r="M172" s="793">
        <v>0</v>
      </c>
      <c r="N172" s="793">
        <v>0</v>
      </c>
      <c r="O172" s="793">
        <v>0</v>
      </c>
      <c r="P172" s="793">
        <v>0</v>
      </c>
      <c r="Q172" s="793">
        <v>0</v>
      </c>
      <c r="R172" s="793">
        <v>0</v>
      </c>
      <c r="S172" s="793">
        <v>0</v>
      </c>
      <c r="T172" s="793">
        <v>0</v>
      </c>
      <c r="U172" s="793">
        <v>0</v>
      </c>
      <c r="V172" s="793">
        <v>0</v>
      </c>
      <c r="W172" s="793">
        <v>0</v>
      </c>
      <c r="X172" s="793">
        <v>0</v>
      </c>
      <c r="Y172" s="793">
        <v>0</v>
      </c>
      <c r="Z172" s="793">
        <v>0</v>
      </c>
      <c r="AA172" s="793">
        <v>0</v>
      </c>
      <c r="AB172" s="793">
        <v>0</v>
      </c>
      <c r="AC172" s="793">
        <v>0</v>
      </c>
      <c r="AD172" s="793">
        <f t="shared" si="128"/>
        <v>0</v>
      </c>
      <c r="AE172" s="793">
        <f t="shared" si="129"/>
        <v>4190</v>
      </c>
      <c r="AF172" s="793">
        <f t="shared" si="130"/>
        <v>253</v>
      </c>
      <c r="AG172" s="793">
        <f t="shared" si="131"/>
        <v>276</v>
      </c>
      <c r="AH172" s="805">
        <f t="shared" si="132"/>
        <v>276</v>
      </c>
      <c r="AI172" s="805">
        <f t="shared" si="133"/>
        <v>3914</v>
      </c>
      <c r="AJ172" s="793">
        <f t="shared" si="134"/>
        <v>3914</v>
      </c>
      <c r="AK172" s="793">
        <f t="shared" si="135"/>
        <v>4190</v>
      </c>
      <c r="AL172" s="793">
        <f t="shared" si="136"/>
        <v>365</v>
      </c>
      <c r="AM172" s="793">
        <f t="shared" si="137"/>
        <v>398</v>
      </c>
      <c r="AN172" s="805">
        <f t="shared" si="138"/>
        <v>674</v>
      </c>
      <c r="AO172" s="805">
        <f t="shared" si="139"/>
        <v>3516</v>
      </c>
      <c r="AP172" s="793">
        <f t="shared" si="140"/>
        <v>3516</v>
      </c>
      <c r="AQ172" s="793">
        <f t="shared" si="141"/>
        <v>4190</v>
      </c>
      <c r="AR172" s="793">
        <f t="shared" si="142"/>
        <v>366</v>
      </c>
      <c r="AS172" s="793">
        <f t="shared" si="143"/>
        <v>399</v>
      </c>
      <c r="AT172" s="793">
        <f t="shared" si="144"/>
        <v>1073</v>
      </c>
      <c r="AU172" s="793">
        <f t="shared" si="145"/>
        <v>3117</v>
      </c>
      <c r="AV172" s="793">
        <f t="shared" si="146"/>
        <v>3117</v>
      </c>
      <c r="AW172" s="793">
        <f t="shared" si="147"/>
        <v>4190</v>
      </c>
      <c r="AX172" s="793">
        <f t="shared" si="148"/>
        <v>365</v>
      </c>
      <c r="AY172" s="793">
        <f t="shared" si="149"/>
        <v>398</v>
      </c>
      <c r="AZ172" s="793">
        <f t="shared" si="150"/>
        <v>1471</v>
      </c>
      <c r="BA172" s="793">
        <f t="shared" si="151"/>
        <v>2719</v>
      </c>
    </row>
    <row r="173" spans="1:53" ht="15" customHeight="1" x14ac:dyDescent="0.25">
      <c r="A173" s="876" t="s">
        <v>1224</v>
      </c>
      <c r="B173" s="843" t="s">
        <v>1230</v>
      </c>
      <c r="C173" s="778">
        <f t="shared" si="107"/>
        <v>9.5000000000000001E-2</v>
      </c>
      <c r="D173" s="844">
        <v>10</v>
      </c>
      <c r="E173" s="844" t="s">
        <v>723</v>
      </c>
      <c r="F173" s="877">
        <v>44495</v>
      </c>
      <c r="G173" s="781">
        <f t="shared" si="108"/>
        <v>44495</v>
      </c>
      <c r="H173" s="781">
        <f t="shared" si="109"/>
        <v>48145</v>
      </c>
      <c r="I173" s="1359">
        <v>231005.1</v>
      </c>
      <c r="J173" s="805">
        <f t="shared" si="110"/>
        <v>11550.255000000001</v>
      </c>
      <c r="K173" s="1396"/>
      <c r="L173" s="793">
        <v>0</v>
      </c>
      <c r="M173" s="793">
        <v>0</v>
      </c>
      <c r="N173" s="793">
        <v>0</v>
      </c>
      <c r="O173" s="793">
        <v>0</v>
      </c>
      <c r="P173" s="793">
        <v>0</v>
      </c>
      <c r="Q173" s="793">
        <v>0</v>
      </c>
      <c r="R173" s="793">
        <v>0</v>
      </c>
      <c r="S173" s="793">
        <v>0</v>
      </c>
      <c r="T173" s="793">
        <v>0</v>
      </c>
      <c r="U173" s="793">
        <v>0</v>
      </c>
      <c r="V173" s="793">
        <v>0</v>
      </c>
      <c r="W173" s="793">
        <v>0</v>
      </c>
      <c r="X173" s="793">
        <v>0</v>
      </c>
      <c r="Y173" s="793">
        <v>0</v>
      </c>
      <c r="Z173" s="793">
        <v>0</v>
      </c>
      <c r="AA173" s="793">
        <v>0</v>
      </c>
      <c r="AB173" s="793">
        <v>0</v>
      </c>
      <c r="AC173" s="793">
        <v>0</v>
      </c>
      <c r="AD173" s="793">
        <f t="shared" si="128"/>
        <v>0</v>
      </c>
      <c r="AE173" s="793">
        <f t="shared" si="129"/>
        <v>231005.1</v>
      </c>
      <c r="AF173" s="793">
        <f t="shared" si="130"/>
        <v>157</v>
      </c>
      <c r="AG173" s="793">
        <f t="shared" si="131"/>
        <v>9440</v>
      </c>
      <c r="AH173" s="805">
        <f t="shared" si="132"/>
        <v>9440</v>
      </c>
      <c r="AI173" s="805">
        <f t="shared" si="133"/>
        <v>221565.1</v>
      </c>
      <c r="AJ173" s="793">
        <f t="shared" si="134"/>
        <v>221565.1</v>
      </c>
      <c r="AK173" s="793">
        <f t="shared" si="135"/>
        <v>231005.1</v>
      </c>
      <c r="AL173" s="793">
        <f t="shared" si="136"/>
        <v>365</v>
      </c>
      <c r="AM173" s="793">
        <f t="shared" si="137"/>
        <v>21945</v>
      </c>
      <c r="AN173" s="805">
        <f t="shared" si="138"/>
        <v>31385</v>
      </c>
      <c r="AO173" s="805">
        <f t="shared" si="139"/>
        <v>199620.1</v>
      </c>
      <c r="AP173" s="793">
        <f t="shared" si="140"/>
        <v>199620.1</v>
      </c>
      <c r="AQ173" s="793">
        <f t="shared" si="141"/>
        <v>231005.1</v>
      </c>
      <c r="AR173" s="793">
        <f t="shared" si="142"/>
        <v>366</v>
      </c>
      <c r="AS173" s="793">
        <f t="shared" si="143"/>
        <v>22006</v>
      </c>
      <c r="AT173" s="793">
        <f t="shared" si="144"/>
        <v>53391</v>
      </c>
      <c r="AU173" s="793">
        <f t="shared" si="145"/>
        <v>177614.1</v>
      </c>
      <c r="AV173" s="793">
        <f t="shared" si="146"/>
        <v>177614.1</v>
      </c>
      <c r="AW173" s="793">
        <f t="shared" si="147"/>
        <v>231005.1</v>
      </c>
      <c r="AX173" s="793">
        <f t="shared" si="148"/>
        <v>365</v>
      </c>
      <c r="AY173" s="793">
        <f t="shared" si="149"/>
        <v>21945</v>
      </c>
      <c r="AZ173" s="793">
        <f t="shared" si="150"/>
        <v>75336</v>
      </c>
      <c r="BA173" s="793">
        <f t="shared" si="151"/>
        <v>155669.1</v>
      </c>
    </row>
    <row r="174" spans="1:53" ht="15" customHeight="1" x14ac:dyDescent="0.25">
      <c r="A174" s="876" t="s">
        <v>1224</v>
      </c>
      <c r="B174" s="843" t="s">
        <v>1240</v>
      </c>
      <c r="C174" s="778">
        <f t="shared" si="107"/>
        <v>9.5000000000000001E-2</v>
      </c>
      <c r="D174" s="844">
        <v>10</v>
      </c>
      <c r="E174" s="844" t="s">
        <v>723</v>
      </c>
      <c r="F174" s="877">
        <v>44577</v>
      </c>
      <c r="G174" s="781">
        <f t="shared" si="108"/>
        <v>44577</v>
      </c>
      <c r="H174" s="781">
        <f t="shared" si="109"/>
        <v>48227</v>
      </c>
      <c r="I174" s="1359">
        <v>5609.32</v>
      </c>
      <c r="J174" s="805">
        <f t="shared" si="110"/>
        <v>280.46600000000001</v>
      </c>
      <c r="K174" s="1396"/>
      <c r="L174" s="793">
        <v>0</v>
      </c>
      <c r="M174" s="793">
        <v>0</v>
      </c>
      <c r="N174" s="793">
        <v>0</v>
      </c>
      <c r="O174" s="793">
        <v>0</v>
      </c>
      <c r="P174" s="793">
        <v>0</v>
      </c>
      <c r="Q174" s="793">
        <v>0</v>
      </c>
      <c r="R174" s="793">
        <v>0</v>
      </c>
      <c r="S174" s="793">
        <v>0</v>
      </c>
      <c r="T174" s="793">
        <v>0</v>
      </c>
      <c r="U174" s="793">
        <v>0</v>
      </c>
      <c r="V174" s="793">
        <v>0</v>
      </c>
      <c r="W174" s="793">
        <v>0</v>
      </c>
      <c r="X174" s="793">
        <v>0</v>
      </c>
      <c r="Y174" s="793">
        <v>0</v>
      </c>
      <c r="Z174" s="793">
        <v>0</v>
      </c>
      <c r="AA174" s="793">
        <v>0</v>
      </c>
      <c r="AB174" s="793">
        <v>0</v>
      </c>
      <c r="AC174" s="793">
        <v>0</v>
      </c>
      <c r="AD174" s="793">
        <f t="shared" si="128"/>
        <v>0</v>
      </c>
      <c r="AE174" s="793">
        <f t="shared" si="129"/>
        <v>5609.32</v>
      </c>
      <c r="AF174" s="793">
        <f t="shared" si="130"/>
        <v>75</v>
      </c>
      <c r="AG174" s="793">
        <f t="shared" si="131"/>
        <v>109</v>
      </c>
      <c r="AH174" s="805">
        <f t="shared" si="132"/>
        <v>109</v>
      </c>
      <c r="AI174" s="805">
        <f t="shared" si="133"/>
        <v>5500.32</v>
      </c>
      <c r="AJ174" s="793">
        <f t="shared" si="134"/>
        <v>5500.32</v>
      </c>
      <c r="AK174" s="793">
        <f t="shared" si="135"/>
        <v>5609.32</v>
      </c>
      <c r="AL174" s="793">
        <f t="shared" si="136"/>
        <v>365</v>
      </c>
      <c r="AM174" s="793">
        <f t="shared" si="137"/>
        <v>533</v>
      </c>
      <c r="AN174" s="805">
        <f t="shared" si="138"/>
        <v>642</v>
      </c>
      <c r="AO174" s="805">
        <f t="shared" si="139"/>
        <v>4967.32</v>
      </c>
      <c r="AP174" s="793">
        <f t="shared" si="140"/>
        <v>4967.32</v>
      </c>
      <c r="AQ174" s="793">
        <f t="shared" si="141"/>
        <v>5609.32</v>
      </c>
      <c r="AR174" s="793">
        <f t="shared" si="142"/>
        <v>366</v>
      </c>
      <c r="AS174" s="793">
        <f t="shared" si="143"/>
        <v>534</v>
      </c>
      <c r="AT174" s="793">
        <f t="shared" si="144"/>
        <v>1176</v>
      </c>
      <c r="AU174" s="793">
        <f t="shared" si="145"/>
        <v>4433.32</v>
      </c>
      <c r="AV174" s="793">
        <f t="shared" si="146"/>
        <v>4433.32</v>
      </c>
      <c r="AW174" s="793">
        <f t="shared" si="147"/>
        <v>5609.32</v>
      </c>
      <c r="AX174" s="793">
        <f t="shared" si="148"/>
        <v>365</v>
      </c>
      <c r="AY174" s="793">
        <f t="shared" si="149"/>
        <v>533</v>
      </c>
      <c r="AZ174" s="793">
        <f t="shared" si="150"/>
        <v>1709</v>
      </c>
      <c r="BA174" s="793">
        <f t="shared" si="151"/>
        <v>3900.3199999999997</v>
      </c>
    </row>
    <row r="175" spans="1:53" ht="15" customHeight="1" x14ac:dyDescent="0.25">
      <c r="A175" s="876" t="s">
        <v>1224</v>
      </c>
      <c r="B175" s="843" t="s">
        <v>1227</v>
      </c>
      <c r="C175" s="778">
        <f t="shared" si="107"/>
        <v>9.5000000000000001E-2</v>
      </c>
      <c r="D175" s="844">
        <v>10</v>
      </c>
      <c r="E175" s="844" t="s">
        <v>723</v>
      </c>
      <c r="F175" s="877">
        <v>44618</v>
      </c>
      <c r="G175" s="781">
        <f t="shared" si="108"/>
        <v>44618</v>
      </c>
      <c r="H175" s="781">
        <f t="shared" si="109"/>
        <v>48268</v>
      </c>
      <c r="I175" s="1359">
        <v>22000</v>
      </c>
      <c r="J175" s="805">
        <f t="shared" si="110"/>
        <v>1100</v>
      </c>
      <c r="K175" s="1396"/>
      <c r="L175" s="793">
        <v>0</v>
      </c>
      <c r="M175" s="793">
        <v>0</v>
      </c>
      <c r="N175" s="793">
        <v>0</v>
      </c>
      <c r="O175" s="793">
        <v>0</v>
      </c>
      <c r="P175" s="793">
        <v>0</v>
      </c>
      <c r="Q175" s="793">
        <v>0</v>
      </c>
      <c r="R175" s="793">
        <v>0</v>
      </c>
      <c r="S175" s="793">
        <v>0</v>
      </c>
      <c r="T175" s="793">
        <v>0</v>
      </c>
      <c r="U175" s="793">
        <v>0</v>
      </c>
      <c r="V175" s="793">
        <v>0</v>
      </c>
      <c r="W175" s="793">
        <v>0</v>
      </c>
      <c r="X175" s="793">
        <v>0</v>
      </c>
      <c r="Y175" s="793">
        <v>0</v>
      </c>
      <c r="Z175" s="793">
        <v>0</v>
      </c>
      <c r="AA175" s="793">
        <v>0</v>
      </c>
      <c r="AB175" s="793">
        <v>0</v>
      </c>
      <c r="AC175" s="793">
        <v>0</v>
      </c>
      <c r="AD175" s="793">
        <f t="shared" si="128"/>
        <v>0</v>
      </c>
      <c r="AE175" s="793">
        <f t="shared" si="129"/>
        <v>22000</v>
      </c>
      <c r="AF175" s="793">
        <f t="shared" si="130"/>
        <v>34</v>
      </c>
      <c r="AG175" s="793">
        <f t="shared" si="131"/>
        <v>195</v>
      </c>
      <c r="AH175" s="805">
        <f t="shared" si="132"/>
        <v>195</v>
      </c>
      <c r="AI175" s="805">
        <f t="shared" si="133"/>
        <v>21805</v>
      </c>
      <c r="AJ175" s="793">
        <f t="shared" si="134"/>
        <v>21805</v>
      </c>
      <c r="AK175" s="793">
        <f t="shared" si="135"/>
        <v>22000</v>
      </c>
      <c r="AL175" s="793">
        <f t="shared" si="136"/>
        <v>365</v>
      </c>
      <c r="AM175" s="793">
        <f t="shared" si="137"/>
        <v>2090</v>
      </c>
      <c r="AN175" s="805">
        <f t="shared" si="138"/>
        <v>2285</v>
      </c>
      <c r="AO175" s="805">
        <f t="shared" si="139"/>
        <v>19715</v>
      </c>
      <c r="AP175" s="793">
        <f t="shared" si="140"/>
        <v>19715</v>
      </c>
      <c r="AQ175" s="793">
        <f t="shared" si="141"/>
        <v>22000</v>
      </c>
      <c r="AR175" s="793">
        <f t="shared" si="142"/>
        <v>366</v>
      </c>
      <c r="AS175" s="793">
        <f t="shared" si="143"/>
        <v>2096</v>
      </c>
      <c r="AT175" s="793">
        <f t="shared" si="144"/>
        <v>4381</v>
      </c>
      <c r="AU175" s="793">
        <f t="shared" si="145"/>
        <v>17619</v>
      </c>
      <c r="AV175" s="793">
        <f t="shared" si="146"/>
        <v>17619</v>
      </c>
      <c r="AW175" s="793">
        <f t="shared" si="147"/>
        <v>22000</v>
      </c>
      <c r="AX175" s="793">
        <f t="shared" si="148"/>
        <v>365</v>
      </c>
      <c r="AY175" s="793">
        <f t="shared" si="149"/>
        <v>2090</v>
      </c>
      <c r="AZ175" s="793">
        <f t="shared" si="150"/>
        <v>6471</v>
      </c>
      <c r="BA175" s="793">
        <f t="shared" si="151"/>
        <v>15529</v>
      </c>
    </row>
    <row r="176" spans="1:53" ht="15" customHeight="1" x14ac:dyDescent="0.25">
      <c r="A176" s="876" t="s">
        <v>1224</v>
      </c>
      <c r="B176" s="852" t="s">
        <v>1241</v>
      </c>
      <c r="C176" s="778">
        <f t="shared" si="107"/>
        <v>9.5000000000000001E-2</v>
      </c>
      <c r="D176" s="844">
        <v>10</v>
      </c>
      <c r="E176" s="844" t="s">
        <v>677</v>
      </c>
      <c r="F176" s="853">
        <v>44789</v>
      </c>
      <c r="G176" s="781">
        <f t="shared" si="108"/>
        <v>44789</v>
      </c>
      <c r="H176" s="781">
        <f t="shared" si="109"/>
        <v>48439</v>
      </c>
      <c r="I176" s="1383">
        <v>11496.6</v>
      </c>
      <c r="J176" s="805">
        <f t="shared" si="110"/>
        <v>574.83000000000004</v>
      </c>
      <c r="K176" s="793"/>
      <c r="L176" s="793">
        <v>0</v>
      </c>
      <c r="M176" s="793">
        <v>0</v>
      </c>
      <c r="N176" s="793">
        <v>0</v>
      </c>
      <c r="O176" s="793">
        <v>0</v>
      </c>
      <c r="P176" s="793">
        <v>0</v>
      </c>
      <c r="Q176" s="793">
        <v>0</v>
      </c>
      <c r="R176" s="793">
        <v>0</v>
      </c>
      <c r="S176" s="793">
        <v>0</v>
      </c>
      <c r="T176" s="793">
        <v>0</v>
      </c>
      <c r="U176" s="793">
        <v>0</v>
      </c>
      <c r="V176" s="793">
        <v>0</v>
      </c>
      <c r="W176" s="793">
        <v>0</v>
      </c>
      <c r="X176" s="793">
        <v>0</v>
      </c>
      <c r="Y176" s="793">
        <v>0</v>
      </c>
      <c r="Z176" s="793">
        <v>0</v>
      </c>
      <c r="AA176" s="793">
        <v>0</v>
      </c>
      <c r="AB176" s="793">
        <v>0</v>
      </c>
      <c r="AC176" s="793">
        <v>0</v>
      </c>
      <c r="AD176" s="793">
        <f t="shared" si="128"/>
        <v>0</v>
      </c>
      <c r="AE176" s="793">
        <v>0</v>
      </c>
      <c r="AF176" s="793">
        <v>0</v>
      </c>
      <c r="AG176" s="793">
        <f t="shared" si="131"/>
        <v>0</v>
      </c>
      <c r="AH176" s="805">
        <f t="shared" si="132"/>
        <v>0</v>
      </c>
      <c r="AI176" s="805">
        <f t="shared" si="133"/>
        <v>0</v>
      </c>
      <c r="AJ176" s="793">
        <f t="shared" si="134"/>
        <v>0</v>
      </c>
      <c r="AK176" s="793">
        <f t="shared" si="135"/>
        <v>11496.6</v>
      </c>
      <c r="AL176" s="793">
        <f t="shared" si="136"/>
        <v>228</v>
      </c>
      <c r="AM176" s="793">
        <f t="shared" si="137"/>
        <v>682</v>
      </c>
      <c r="AN176" s="805">
        <f t="shared" si="138"/>
        <v>682</v>
      </c>
      <c r="AO176" s="805">
        <f t="shared" si="139"/>
        <v>10814.6</v>
      </c>
      <c r="AP176" s="793">
        <f t="shared" si="140"/>
        <v>10814.6</v>
      </c>
      <c r="AQ176" s="793">
        <f t="shared" si="141"/>
        <v>11496.6</v>
      </c>
      <c r="AR176" s="793">
        <f t="shared" si="142"/>
        <v>366</v>
      </c>
      <c r="AS176" s="793">
        <f t="shared" si="143"/>
        <v>1095</v>
      </c>
      <c r="AT176" s="793">
        <f t="shared" si="144"/>
        <v>1777</v>
      </c>
      <c r="AU176" s="793">
        <f t="shared" si="145"/>
        <v>9719.6</v>
      </c>
      <c r="AV176" s="793">
        <f t="shared" si="146"/>
        <v>9719.6</v>
      </c>
      <c r="AW176" s="793">
        <f t="shared" si="147"/>
        <v>11496.6</v>
      </c>
      <c r="AX176" s="793">
        <f t="shared" si="148"/>
        <v>365</v>
      </c>
      <c r="AY176" s="793">
        <f t="shared" si="149"/>
        <v>1092</v>
      </c>
      <c r="AZ176" s="793">
        <f t="shared" si="150"/>
        <v>2869</v>
      </c>
      <c r="BA176" s="793">
        <f t="shared" si="151"/>
        <v>8627.6</v>
      </c>
    </row>
    <row r="177" spans="1:268" ht="15" customHeight="1" x14ac:dyDescent="0.25">
      <c r="A177" s="876" t="s">
        <v>1224</v>
      </c>
      <c r="B177" s="852" t="s">
        <v>1242</v>
      </c>
      <c r="C177" s="778">
        <f t="shared" si="107"/>
        <v>9.5000000000000001E-2</v>
      </c>
      <c r="D177" s="844">
        <v>10</v>
      </c>
      <c r="E177" s="844" t="s">
        <v>677</v>
      </c>
      <c r="F177" s="853">
        <v>44988</v>
      </c>
      <c r="G177" s="781">
        <f t="shared" si="108"/>
        <v>44988</v>
      </c>
      <c r="H177" s="781">
        <f t="shared" si="109"/>
        <v>48638</v>
      </c>
      <c r="I177" s="1383">
        <v>10416.24</v>
      </c>
      <c r="J177" s="805">
        <f t="shared" si="110"/>
        <v>520.81200000000001</v>
      </c>
      <c r="K177" s="793"/>
      <c r="L177" s="793">
        <v>0</v>
      </c>
      <c r="M177" s="793">
        <v>0</v>
      </c>
      <c r="N177" s="793">
        <v>0</v>
      </c>
      <c r="O177" s="793">
        <v>0</v>
      </c>
      <c r="P177" s="793">
        <v>0</v>
      </c>
      <c r="Q177" s="793">
        <v>0</v>
      </c>
      <c r="R177" s="793">
        <v>0</v>
      </c>
      <c r="S177" s="793">
        <v>0</v>
      </c>
      <c r="T177" s="793">
        <v>0</v>
      </c>
      <c r="U177" s="793">
        <v>0</v>
      </c>
      <c r="V177" s="793">
        <v>0</v>
      </c>
      <c r="W177" s="793">
        <v>0</v>
      </c>
      <c r="X177" s="793">
        <v>0</v>
      </c>
      <c r="Y177" s="793">
        <v>0</v>
      </c>
      <c r="Z177" s="793">
        <v>0</v>
      </c>
      <c r="AA177" s="793">
        <v>0</v>
      </c>
      <c r="AB177" s="793">
        <v>0</v>
      </c>
      <c r="AC177" s="793">
        <v>0</v>
      </c>
      <c r="AD177" s="793">
        <f t="shared" si="128"/>
        <v>0</v>
      </c>
      <c r="AE177" s="793">
        <v>0</v>
      </c>
      <c r="AF177" s="793">
        <v>0</v>
      </c>
      <c r="AG177" s="793">
        <f t="shared" si="131"/>
        <v>0</v>
      </c>
      <c r="AH177" s="805">
        <f t="shared" si="132"/>
        <v>0</v>
      </c>
      <c r="AI177" s="805">
        <f t="shared" si="133"/>
        <v>0</v>
      </c>
      <c r="AJ177" s="793">
        <f t="shared" si="134"/>
        <v>0</v>
      </c>
      <c r="AK177" s="793">
        <f t="shared" si="135"/>
        <v>10416.24</v>
      </c>
      <c r="AL177" s="793">
        <f t="shared" si="136"/>
        <v>29</v>
      </c>
      <c r="AM177" s="793">
        <f t="shared" si="137"/>
        <v>79</v>
      </c>
      <c r="AN177" s="805">
        <f t="shared" si="138"/>
        <v>79</v>
      </c>
      <c r="AO177" s="805">
        <f t="shared" si="139"/>
        <v>10337.24</v>
      </c>
      <c r="AP177" s="793">
        <f t="shared" si="140"/>
        <v>10337.24</v>
      </c>
      <c r="AQ177" s="793">
        <f t="shared" si="141"/>
        <v>10416.24</v>
      </c>
      <c r="AR177" s="793">
        <f t="shared" si="142"/>
        <v>366</v>
      </c>
      <c r="AS177" s="793">
        <f t="shared" si="143"/>
        <v>992</v>
      </c>
      <c r="AT177" s="793">
        <f t="shared" si="144"/>
        <v>1071</v>
      </c>
      <c r="AU177" s="793">
        <f t="shared" si="145"/>
        <v>9345.24</v>
      </c>
      <c r="AV177" s="793">
        <f t="shared" si="146"/>
        <v>9345.24</v>
      </c>
      <c r="AW177" s="793">
        <f t="shared" si="147"/>
        <v>10416.24</v>
      </c>
      <c r="AX177" s="793">
        <f t="shared" si="148"/>
        <v>365</v>
      </c>
      <c r="AY177" s="793">
        <f t="shared" si="149"/>
        <v>990</v>
      </c>
      <c r="AZ177" s="793">
        <f t="shared" si="150"/>
        <v>2061</v>
      </c>
      <c r="BA177" s="793">
        <f t="shared" si="151"/>
        <v>8355.24</v>
      </c>
    </row>
    <row r="178" spans="1:268" ht="15" customHeight="1" x14ac:dyDescent="0.25">
      <c r="A178" s="876" t="s">
        <v>1224</v>
      </c>
      <c r="B178" s="852" t="s">
        <v>1242</v>
      </c>
      <c r="C178" s="778">
        <f t="shared" si="107"/>
        <v>9.5000000000000001E-2</v>
      </c>
      <c r="D178" s="844">
        <v>10</v>
      </c>
      <c r="E178" s="844" t="s">
        <v>677</v>
      </c>
      <c r="F178" s="853">
        <v>44991</v>
      </c>
      <c r="G178" s="781">
        <f t="shared" si="108"/>
        <v>44991</v>
      </c>
      <c r="H178" s="781">
        <f t="shared" si="109"/>
        <v>48641</v>
      </c>
      <c r="I178" s="1383">
        <v>3500</v>
      </c>
      <c r="J178" s="805">
        <f t="shared" si="110"/>
        <v>175</v>
      </c>
      <c r="K178" s="793"/>
      <c r="L178" s="793">
        <v>0</v>
      </c>
      <c r="M178" s="793">
        <v>0</v>
      </c>
      <c r="N178" s="793">
        <v>0</v>
      </c>
      <c r="O178" s="793">
        <v>0</v>
      </c>
      <c r="P178" s="793">
        <v>0</v>
      </c>
      <c r="Q178" s="793">
        <v>0</v>
      </c>
      <c r="R178" s="793">
        <v>0</v>
      </c>
      <c r="S178" s="793">
        <v>0</v>
      </c>
      <c r="T178" s="793">
        <v>0</v>
      </c>
      <c r="U178" s="793">
        <v>0</v>
      </c>
      <c r="V178" s="793">
        <v>0</v>
      </c>
      <c r="W178" s="793">
        <v>0</v>
      </c>
      <c r="X178" s="793">
        <v>0</v>
      </c>
      <c r="Y178" s="793">
        <v>0</v>
      </c>
      <c r="Z178" s="793">
        <v>0</v>
      </c>
      <c r="AA178" s="793">
        <v>0</v>
      </c>
      <c r="AB178" s="793">
        <v>0</v>
      </c>
      <c r="AC178" s="793">
        <v>0</v>
      </c>
      <c r="AD178" s="793">
        <f t="shared" si="128"/>
        <v>0</v>
      </c>
      <c r="AE178" s="793">
        <v>0</v>
      </c>
      <c r="AF178" s="793">
        <v>0</v>
      </c>
      <c r="AG178" s="793">
        <f t="shared" si="131"/>
        <v>0</v>
      </c>
      <c r="AH178" s="805">
        <f t="shared" si="132"/>
        <v>0</v>
      </c>
      <c r="AI178" s="805">
        <f t="shared" si="133"/>
        <v>0</v>
      </c>
      <c r="AJ178" s="793">
        <f t="shared" si="134"/>
        <v>0</v>
      </c>
      <c r="AK178" s="793">
        <f t="shared" si="135"/>
        <v>3500</v>
      </c>
      <c r="AL178" s="793">
        <f t="shared" si="136"/>
        <v>26</v>
      </c>
      <c r="AM178" s="793">
        <f t="shared" si="137"/>
        <v>24</v>
      </c>
      <c r="AN178" s="805">
        <f t="shared" si="138"/>
        <v>24</v>
      </c>
      <c r="AO178" s="805">
        <f t="shared" si="139"/>
        <v>3476</v>
      </c>
      <c r="AP178" s="793">
        <f t="shared" si="140"/>
        <v>3476</v>
      </c>
      <c r="AQ178" s="793">
        <f t="shared" si="141"/>
        <v>3500</v>
      </c>
      <c r="AR178" s="793">
        <f t="shared" si="142"/>
        <v>366</v>
      </c>
      <c r="AS178" s="793">
        <f t="shared" si="143"/>
        <v>333</v>
      </c>
      <c r="AT178" s="793">
        <f t="shared" si="144"/>
        <v>357</v>
      </c>
      <c r="AU178" s="793">
        <f t="shared" si="145"/>
        <v>3143</v>
      </c>
      <c r="AV178" s="793">
        <f t="shared" si="146"/>
        <v>3143</v>
      </c>
      <c r="AW178" s="793">
        <f t="shared" si="147"/>
        <v>3500</v>
      </c>
      <c r="AX178" s="793">
        <f t="shared" si="148"/>
        <v>365</v>
      </c>
      <c r="AY178" s="793">
        <f t="shared" si="149"/>
        <v>333</v>
      </c>
      <c r="AZ178" s="793">
        <f t="shared" si="150"/>
        <v>690</v>
      </c>
      <c r="BA178" s="793">
        <f t="shared" si="151"/>
        <v>2810</v>
      </c>
    </row>
    <row r="179" spans="1:268" ht="15" customHeight="1" x14ac:dyDescent="0.25">
      <c r="A179" s="1397" t="s">
        <v>1832</v>
      </c>
      <c r="B179" s="1398"/>
      <c r="C179" s="1387"/>
      <c r="D179" s="967"/>
      <c r="E179" s="967"/>
      <c r="F179" s="1399"/>
      <c r="G179" s="1399"/>
      <c r="H179" s="1389"/>
      <c r="I179" s="1400"/>
      <c r="J179" s="1391"/>
      <c r="K179" s="1392"/>
      <c r="L179" s="1392"/>
      <c r="M179" s="1392"/>
      <c r="N179" s="1392"/>
      <c r="O179" s="1392"/>
      <c r="P179" s="1392"/>
      <c r="Q179" s="1392"/>
      <c r="R179" s="1392"/>
      <c r="S179" s="1392"/>
      <c r="T179" s="1392"/>
      <c r="U179" s="1392"/>
      <c r="V179" s="1392"/>
      <c r="W179" s="1392"/>
      <c r="X179" s="1392"/>
      <c r="Y179" s="1392"/>
      <c r="Z179" s="1392"/>
      <c r="AA179" s="1392"/>
      <c r="AB179" s="1392"/>
      <c r="AC179" s="1392"/>
      <c r="AD179" s="1392"/>
      <c r="AE179" s="1392"/>
      <c r="AF179" s="1392"/>
      <c r="AG179" s="1392"/>
      <c r="AH179" s="1391"/>
      <c r="AI179" s="1391"/>
      <c r="AJ179" s="1392"/>
      <c r="AK179" s="1392"/>
      <c r="AL179" s="1392"/>
      <c r="AM179" s="1392">
        <v>117121</v>
      </c>
      <c r="AN179" s="805">
        <v>-97293</v>
      </c>
      <c r="AO179" s="805">
        <v>0</v>
      </c>
      <c r="AP179" s="793">
        <f t="shared" si="140"/>
        <v>0</v>
      </c>
      <c r="AQ179" s="1392"/>
      <c r="AR179" s="1392"/>
      <c r="AS179" s="1392"/>
      <c r="AT179" s="1392">
        <f>+AN179</f>
        <v>-97293</v>
      </c>
      <c r="AU179" s="1392">
        <f>+AQ179-AT179</f>
        <v>97293</v>
      </c>
      <c r="AV179" s="1392">
        <f>+AU179</f>
        <v>97293</v>
      </c>
      <c r="AW179" s="1392"/>
      <c r="AX179" s="1392"/>
      <c r="AY179" s="1392"/>
      <c r="AZ179" s="1392">
        <f>+AT179</f>
        <v>-97293</v>
      </c>
      <c r="BA179" s="1392">
        <f>+AW179-AZ179</f>
        <v>97293</v>
      </c>
    </row>
    <row r="180" spans="1:268" s="791" customFormat="1" ht="15" customHeight="1" x14ac:dyDescent="0.25">
      <c r="A180" s="876" t="s">
        <v>1224</v>
      </c>
      <c r="B180" s="822" t="s">
        <v>298</v>
      </c>
      <c r="C180" s="778">
        <f t="shared" ref="C180:C197" si="154">(95/D180)/100</f>
        <v>9.5000000000000001E-2</v>
      </c>
      <c r="D180" s="844">
        <v>10</v>
      </c>
      <c r="E180" s="844" t="s">
        <v>884</v>
      </c>
      <c r="F180" s="862">
        <v>45071</v>
      </c>
      <c r="G180" s="862">
        <v>45071</v>
      </c>
      <c r="H180" s="781">
        <f t="shared" ref="H180:H197" si="155">G180+(365*D180)</f>
        <v>48721</v>
      </c>
      <c r="I180" s="815">
        <v>120000</v>
      </c>
      <c r="J180" s="805">
        <f t="shared" ref="J180:J197" si="156">I180*5%</f>
        <v>6000</v>
      </c>
      <c r="K180" s="793"/>
      <c r="L180" s="793"/>
      <c r="M180" s="793"/>
      <c r="N180" s="793"/>
      <c r="O180" s="793"/>
      <c r="P180" s="793"/>
      <c r="Q180" s="793"/>
      <c r="R180" s="793"/>
      <c r="S180" s="793"/>
      <c r="T180" s="793"/>
      <c r="U180" s="793"/>
      <c r="V180" s="793"/>
      <c r="W180" s="793"/>
      <c r="X180" s="793"/>
      <c r="Y180" s="793"/>
      <c r="Z180" s="793"/>
      <c r="AA180" s="793"/>
      <c r="AB180" s="793"/>
      <c r="AC180" s="793"/>
      <c r="AD180" s="793"/>
      <c r="AE180" s="793"/>
      <c r="AF180" s="793"/>
      <c r="AG180" s="793"/>
      <c r="AH180" s="805"/>
      <c r="AI180" s="805"/>
      <c r="AJ180" s="793"/>
      <c r="AK180" s="793"/>
      <c r="AL180" s="793"/>
      <c r="AM180" s="793"/>
      <c r="AN180" s="805"/>
      <c r="AO180" s="805"/>
      <c r="AP180" s="793">
        <f t="shared" si="140"/>
        <v>0</v>
      </c>
      <c r="AQ180" s="793">
        <f t="shared" ref="AQ180:AQ196" si="157">I180</f>
        <v>120000</v>
      </c>
      <c r="AR180" s="793">
        <f t="shared" ref="AR180:AR196" si="158">IF(AND(F180&gt;$AJ$3,F180&lt;$AP$3),$AP$3-F180+1,IF(H180&lt;=$AJ$3,0,IF(H180&gt;$AP$3,$AP$3-$AJ$3,H180-$AJ$3)))</f>
        <v>312</v>
      </c>
      <c r="AS180" s="793">
        <f t="shared" ref="AS180:AS196" si="159">ROUND(AQ180*C180*AR180/365,0)</f>
        <v>9745</v>
      </c>
      <c r="AT180" s="793">
        <f t="shared" ref="AT180:AT196" si="160">+AN180+AS180</f>
        <v>9745</v>
      </c>
      <c r="AU180" s="793">
        <f t="shared" si="145"/>
        <v>110255</v>
      </c>
      <c r="AV180" s="793">
        <f t="shared" si="146"/>
        <v>110255</v>
      </c>
      <c r="AW180" s="793">
        <f t="shared" ref="AW180:AW197" si="161">+I180</f>
        <v>120000</v>
      </c>
      <c r="AX180" s="793">
        <f t="shared" ref="AX180:AX197" si="162">IF(AND(F180&gt;$AP$3,F180&lt;$AV$3),$AV$3-F180+1,IF(H180&lt;=$AP$3,0,IF(H180&gt;$AV$3,$AV$3-$AP$3,H180-$AP$3)))</f>
        <v>365</v>
      </c>
      <c r="AY180" s="793">
        <f t="shared" ref="AY180:AY197" si="163">ROUND(AW180*C180*AX180/365,0)</f>
        <v>11400</v>
      </c>
      <c r="AZ180" s="793">
        <f t="shared" ref="AZ180:AZ197" si="164">+AT180+AY180</f>
        <v>21145</v>
      </c>
      <c r="BA180" s="793">
        <f t="shared" si="151"/>
        <v>98855</v>
      </c>
      <c r="BB180" s="1328"/>
      <c r="BC180" s="738"/>
      <c r="BD180" s="738"/>
      <c r="BE180" s="1329"/>
      <c r="BF180" s="738"/>
      <c r="BG180" s="738"/>
      <c r="BH180" s="738"/>
      <c r="BI180" s="738"/>
      <c r="BJ180" s="738"/>
      <c r="BK180" s="738"/>
      <c r="BL180" s="738"/>
      <c r="BM180" s="738"/>
      <c r="BN180" s="738"/>
      <c r="BO180" s="738"/>
      <c r="BP180" s="738"/>
      <c r="BQ180" s="738"/>
      <c r="BR180" s="738"/>
      <c r="BS180" s="738"/>
      <c r="BT180" s="738"/>
      <c r="BU180" s="738"/>
      <c r="BV180" s="738"/>
      <c r="BW180" s="738"/>
      <c r="BX180" s="738"/>
      <c r="BY180" s="738"/>
      <c r="BZ180" s="738"/>
      <c r="CA180" s="738"/>
      <c r="CB180" s="738"/>
      <c r="CC180" s="738"/>
      <c r="CD180" s="738"/>
      <c r="CE180" s="738"/>
      <c r="CF180" s="738"/>
      <c r="CG180" s="738"/>
      <c r="CH180" s="738"/>
      <c r="CI180" s="738"/>
      <c r="CJ180" s="738"/>
      <c r="CK180" s="738"/>
      <c r="CL180" s="738"/>
      <c r="CM180" s="738"/>
      <c r="CN180" s="738"/>
      <c r="CO180" s="738"/>
      <c r="CP180" s="738"/>
      <c r="CQ180" s="738"/>
      <c r="CR180" s="738"/>
      <c r="CS180" s="738"/>
      <c r="CT180" s="738"/>
      <c r="CU180" s="738"/>
      <c r="CV180" s="738"/>
      <c r="CW180" s="738"/>
      <c r="CX180" s="738"/>
      <c r="CY180" s="738"/>
      <c r="CZ180" s="738"/>
      <c r="DA180" s="738"/>
      <c r="DB180" s="738"/>
      <c r="DC180" s="738"/>
      <c r="DD180" s="738"/>
      <c r="DE180" s="738"/>
      <c r="DF180" s="738"/>
      <c r="DG180" s="738"/>
      <c r="DH180" s="738"/>
      <c r="DI180" s="738"/>
      <c r="DJ180" s="738"/>
      <c r="DK180" s="738"/>
      <c r="DL180" s="738"/>
      <c r="DM180" s="738"/>
      <c r="DN180" s="738"/>
      <c r="DO180" s="738"/>
      <c r="DP180" s="738"/>
      <c r="DQ180" s="738"/>
      <c r="DR180" s="738"/>
      <c r="DS180" s="738"/>
      <c r="DT180" s="738"/>
      <c r="DU180" s="738"/>
      <c r="DV180" s="738"/>
      <c r="DW180" s="738"/>
      <c r="DX180" s="738"/>
      <c r="DY180" s="738"/>
      <c r="DZ180" s="738"/>
      <c r="EA180" s="738"/>
      <c r="EB180" s="738"/>
      <c r="EC180" s="738"/>
      <c r="ED180" s="738"/>
      <c r="EE180" s="738"/>
      <c r="EF180" s="738"/>
      <c r="EG180" s="738"/>
      <c r="EH180" s="738"/>
      <c r="EI180" s="738"/>
      <c r="EJ180" s="738"/>
      <c r="EK180" s="738"/>
      <c r="EL180" s="738"/>
      <c r="EM180" s="738"/>
      <c r="EN180" s="738"/>
      <c r="EO180" s="738"/>
      <c r="EP180" s="738"/>
      <c r="EQ180" s="738"/>
      <c r="ER180" s="738"/>
      <c r="ES180" s="738"/>
      <c r="ET180" s="738"/>
      <c r="EU180" s="738"/>
      <c r="EV180" s="738"/>
      <c r="EW180" s="738"/>
      <c r="EX180" s="738"/>
      <c r="EY180" s="738"/>
      <c r="EZ180" s="738"/>
      <c r="FA180" s="738"/>
      <c r="FB180" s="738"/>
      <c r="FC180" s="738"/>
      <c r="FD180" s="738"/>
      <c r="FE180" s="738"/>
      <c r="FF180" s="738"/>
      <c r="FG180" s="738"/>
      <c r="FH180" s="738"/>
      <c r="FI180" s="738"/>
      <c r="FJ180" s="738"/>
      <c r="FK180" s="738"/>
      <c r="FL180" s="902"/>
    </row>
    <row r="181" spans="1:268" s="791" customFormat="1" ht="15" customHeight="1" x14ac:dyDescent="0.25">
      <c r="A181" s="876" t="s">
        <v>1224</v>
      </c>
      <c r="B181" s="822" t="s">
        <v>521</v>
      </c>
      <c r="C181" s="778">
        <f t="shared" si="154"/>
        <v>9.5000000000000001E-2</v>
      </c>
      <c r="D181" s="844">
        <v>10</v>
      </c>
      <c r="E181" s="844" t="s">
        <v>884</v>
      </c>
      <c r="F181" s="862">
        <v>45122</v>
      </c>
      <c r="G181" s="862">
        <v>45122</v>
      </c>
      <c r="H181" s="781">
        <f t="shared" si="155"/>
        <v>48772</v>
      </c>
      <c r="I181" s="815">
        <v>12375</v>
      </c>
      <c r="J181" s="805">
        <f t="shared" si="156"/>
        <v>618.75</v>
      </c>
      <c r="K181" s="793"/>
      <c r="L181" s="793"/>
      <c r="M181" s="793"/>
      <c r="N181" s="793"/>
      <c r="O181" s="793"/>
      <c r="P181" s="793"/>
      <c r="Q181" s="793"/>
      <c r="R181" s="793"/>
      <c r="S181" s="793"/>
      <c r="T181" s="793"/>
      <c r="U181" s="793"/>
      <c r="V181" s="793"/>
      <c r="W181" s="793"/>
      <c r="X181" s="793"/>
      <c r="Y181" s="793"/>
      <c r="Z181" s="793"/>
      <c r="AA181" s="793"/>
      <c r="AB181" s="793"/>
      <c r="AC181" s="793"/>
      <c r="AD181" s="793"/>
      <c r="AE181" s="793"/>
      <c r="AF181" s="793"/>
      <c r="AG181" s="793"/>
      <c r="AH181" s="805"/>
      <c r="AI181" s="805"/>
      <c r="AJ181" s="793"/>
      <c r="AK181" s="793"/>
      <c r="AL181" s="793"/>
      <c r="AM181" s="793"/>
      <c r="AN181" s="805"/>
      <c r="AO181" s="805"/>
      <c r="AP181" s="793">
        <f t="shared" si="140"/>
        <v>0</v>
      </c>
      <c r="AQ181" s="793">
        <f t="shared" si="157"/>
        <v>12375</v>
      </c>
      <c r="AR181" s="793">
        <f t="shared" si="158"/>
        <v>261</v>
      </c>
      <c r="AS181" s="793">
        <f t="shared" si="159"/>
        <v>841</v>
      </c>
      <c r="AT181" s="793">
        <f t="shared" si="160"/>
        <v>841</v>
      </c>
      <c r="AU181" s="793">
        <f t="shared" si="145"/>
        <v>11534</v>
      </c>
      <c r="AV181" s="793">
        <f t="shared" si="146"/>
        <v>11534</v>
      </c>
      <c r="AW181" s="793">
        <f t="shared" si="161"/>
        <v>12375</v>
      </c>
      <c r="AX181" s="793">
        <f t="shared" si="162"/>
        <v>365</v>
      </c>
      <c r="AY181" s="793">
        <f t="shared" si="163"/>
        <v>1176</v>
      </c>
      <c r="AZ181" s="793">
        <f t="shared" si="164"/>
        <v>2017</v>
      </c>
      <c r="BA181" s="793">
        <f t="shared" si="151"/>
        <v>10358</v>
      </c>
      <c r="BB181" s="1328"/>
      <c r="BC181" s="738"/>
      <c r="BD181" s="738"/>
      <c r="BE181" s="1329"/>
      <c r="BF181" s="738"/>
      <c r="BG181" s="738"/>
      <c r="BH181" s="738"/>
      <c r="BI181" s="738"/>
      <c r="BJ181" s="738"/>
      <c r="BK181" s="738"/>
      <c r="BL181" s="738"/>
      <c r="BM181" s="738"/>
      <c r="BN181" s="738"/>
      <c r="BO181" s="738"/>
      <c r="BP181" s="738"/>
      <c r="BQ181" s="738"/>
      <c r="BR181" s="738"/>
      <c r="BS181" s="738"/>
      <c r="BT181" s="738"/>
      <c r="BU181" s="738"/>
      <c r="BV181" s="738"/>
      <c r="BW181" s="738"/>
      <c r="BX181" s="738"/>
      <c r="BY181" s="738"/>
      <c r="BZ181" s="738"/>
      <c r="CA181" s="738"/>
      <c r="CB181" s="738"/>
      <c r="CC181" s="738"/>
      <c r="CD181" s="738"/>
      <c r="CE181" s="738"/>
      <c r="CF181" s="738"/>
      <c r="CG181" s="738"/>
      <c r="CH181" s="738"/>
      <c r="CI181" s="738"/>
      <c r="CJ181" s="738"/>
      <c r="CK181" s="738"/>
      <c r="CL181" s="738"/>
      <c r="CM181" s="738"/>
      <c r="CN181" s="738"/>
      <c r="CO181" s="738"/>
      <c r="CP181" s="738"/>
      <c r="CQ181" s="738"/>
      <c r="CR181" s="738"/>
      <c r="CS181" s="738"/>
      <c r="CT181" s="738"/>
      <c r="CU181" s="738"/>
      <c r="CV181" s="738"/>
      <c r="CW181" s="738"/>
      <c r="CX181" s="738"/>
      <c r="CY181" s="738"/>
      <c r="CZ181" s="738"/>
      <c r="DA181" s="738"/>
      <c r="DB181" s="738"/>
      <c r="DC181" s="738"/>
      <c r="DD181" s="738"/>
      <c r="DE181" s="738"/>
      <c r="DF181" s="738"/>
      <c r="DG181" s="738"/>
      <c r="DH181" s="738"/>
      <c r="DI181" s="738"/>
      <c r="DJ181" s="738"/>
      <c r="DK181" s="738"/>
      <c r="DL181" s="738"/>
      <c r="DM181" s="738"/>
      <c r="DN181" s="738"/>
      <c r="DO181" s="738"/>
      <c r="DP181" s="738"/>
      <c r="DQ181" s="738"/>
      <c r="DR181" s="738"/>
      <c r="DS181" s="738"/>
      <c r="DT181" s="738"/>
      <c r="DU181" s="738"/>
      <c r="DV181" s="738"/>
      <c r="DW181" s="738"/>
      <c r="DX181" s="738"/>
      <c r="DY181" s="738"/>
      <c r="DZ181" s="738"/>
      <c r="EA181" s="738"/>
      <c r="EB181" s="738"/>
      <c r="EC181" s="738"/>
      <c r="ED181" s="738"/>
      <c r="EE181" s="738"/>
      <c r="EF181" s="738"/>
      <c r="EG181" s="738"/>
      <c r="EH181" s="738"/>
      <c r="EI181" s="738"/>
      <c r="EJ181" s="738"/>
      <c r="EK181" s="738"/>
      <c r="EL181" s="738"/>
      <c r="EM181" s="738"/>
      <c r="EN181" s="738"/>
      <c r="EO181" s="738"/>
      <c r="EP181" s="738"/>
      <c r="EQ181" s="738"/>
      <c r="ER181" s="738"/>
      <c r="ES181" s="738"/>
      <c r="ET181" s="738"/>
      <c r="EU181" s="738"/>
      <c r="EV181" s="738"/>
      <c r="EW181" s="738"/>
      <c r="EX181" s="738"/>
      <c r="EY181" s="738"/>
      <c r="EZ181" s="738"/>
      <c r="FA181" s="738"/>
      <c r="FB181" s="738"/>
      <c r="FC181" s="738"/>
      <c r="FD181" s="738"/>
      <c r="FE181" s="738"/>
      <c r="FF181" s="738"/>
      <c r="FG181" s="738"/>
      <c r="FH181" s="738"/>
      <c r="FI181" s="738"/>
      <c r="FJ181" s="738"/>
      <c r="FK181" s="738"/>
      <c r="FL181" s="902"/>
    </row>
    <row r="182" spans="1:268" s="791" customFormat="1" ht="15" customHeight="1" x14ac:dyDescent="0.25">
      <c r="A182" s="876" t="s">
        <v>1224</v>
      </c>
      <c r="B182" s="822" t="s">
        <v>316</v>
      </c>
      <c r="C182" s="778">
        <f t="shared" si="154"/>
        <v>9.5000000000000001E-2</v>
      </c>
      <c r="D182" s="844">
        <v>10</v>
      </c>
      <c r="E182" s="844" t="s">
        <v>884</v>
      </c>
      <c r="F182" s="862">
        <v>45138</v>
      </c>
      <c r="G182" s="862">
        <v>45138</v>
      </c>
      <c r="H182" s="781">
        <f t="shared" si="155"/>
        <v>48788</v>
      </c>
      <c r="I182" s="815">
        <v>29400</v>
      </c>
      <c r="J182" s="805">
        <f t="shared" si="156"/>
        <v>1470</v>
      </c>
      <c r="K182" s="793"/>
      <c r="L182" s="793"/>
      <c r="M182" s="793"/>
      <c r="N182" s="793"/>
      <c r="O182" s="793"/>
      <c r="P182" s="793"/>
      <c r="Q182" s="793"/>
      <c r="R182" s="793"/>
      <c r="S182" s="793"/>
      <c r="T182" s="793"/>
      <c r="U182" s="793"/>
      <c r="V182" s="793"/>
      <c r="W182" s="793"/>
      <c r="X182" s="793"/>
      <c r="Y182" s="793"/>
      <c r="Z182" s="793"/>
      <c r="AA182" s="793"/>
      <c r="AB182" s="793"/>
      <c r="AC182" s="793"/>
      <c r="AD182" s="793"/>
      <c r="AE182" s="793"/>
      <c r="AF182" s="793"/>
      <c r="AG182" s="793"/>
      <c r="AH182" s="805"/>
      <c r="AI182" s="805"/>
      <c r="AJ182" s="793"/>
      <c r="AK182" s="793"/>
      <c r="AL182" s="793"/>
      <c r="AM182" s="793"/>
      <c r="AN182" s="805"/>
      <c r="AO182" s="805"/>
      <c r="AP182" s="793">
        <f t="shared" si="140"/>
        <v>0</v>
      </c>
      <c r="AQ182" s="793">
        <f t="shared" si="157"/>
        <v>29400</v>
      </c>
      <c r="AR182" s="793">
        <f t="shared" si="158"/>
        <v>245</v>
      </c>
      <c r="AS182" s="793">
        <f t="shared" si="159"/>
        <v>1875</v>
      </c>
      <c r="AT182" s="793">
        <f t="shared" si="160"/>
        <v>1875</v>
      </c>
      <c r="AU182" s="793">
        <f t="shared" si="145"/>
        <v>27525</v>
      </c>
      <c r="AV182" s="793">
        <f t="shared" si="146"/>
        <v>27525</v>
      </c>
      <c r="AW182" s="793">
        <f t="shared" si="161"/>
        <v>29400</v>
      </c>
      <c r="AX182" s="793">
        <f t="shared" si="162"/>
        <v>365</v>
      </c>
      <c r="AY182" s="793">
        <f t="shared" si="163"/>
        <v>2793</v>
      </c>
      <c r="AZ182" s="793">
        <f t="shared" si="164"/>
        <v>4668</v>
      </c>
      <c r="BA182" s="793">
        <f t="shared" si="151"/>
        <v>24732</v>
      </c>
      <c r="BB182" s="1328"/>
      <c r="BC182" s="738"/>
      <c r="BD182" s="738"/>
      <c r="BE182" s="1329"/>
      <c r="BF182" s="738"/>
      <c r="BG182" s="738"/>
      <c r="BH182" s="738"/>
      <c r="BI182" s="738"/>
      <c r="BJ182" s="738"/>
      <c r="BK182" s="738"/>
      <c r="BL182" s="738"/>
      <c r="BM182" s="738"/>
      <c r="BN182" s="738"/>
      <c r="BO182" s="738"/>
      <c r="BP182" s="738"/>
      <c r="BQ182" s="738"/>
      <c r="BR182" s="738"/>
      <c r="BS182" s="738"/>
      <c r="BT182" s="738"/>
      <c r="BU182" s="738"/>
      <c r="BV182" s="738"/>
      <c r="BW182" s="738"/>
      <c r="BX182" s="738"/>
      <c r="BY182" s="738"/>
      <c r="BZ182" s="738"/>
      <c r="CA182" s="738"/>
      <c r="CB182" s="738"/>
      <c r="CC182" s="738"/>
      <c r="CD182" s="738"/>
      <c r="CE182" s="738"/>
      <c r="CF182" s="738"/>
      <c r="CG182" s="738"/>
      <c r="CH182" s="738"/>
      <c r="CI182" s="738"/>
      <c r="CJ182" s="738"/>
      <c r="CK182" s="738"/>
      <c r="CL182" s="738"/>
      <c r="CM182" s="738"/>
      <c r="CN182" s="738"/>
      <c r="CO182" s="738"/>
      <c r="CP182" s="738"/>
      <c r="CQ182" s="738"/>
      <c r="CR182" s="738"/>
      <c r="CS182" s="738"/>
      <c r="CT182" s="738"/>
      <c r="CU182" s="738"/>
      <c r="CV182" s="738"/>
      <c r="CW182" s="738"/>
      <c r="CX182" s="738"/>
      <c r="CY182" s="738"/>
      <c r="CZ182" s="738"/>
      <c r="DA182" s="738"/>
      <c r="DB182" s="738"/>
      <c r="DC182" s="738"/>
      <c r="DD182" s="738"/>
      <c r="DE182" s="738"/>
      <c r="DF182" s="738"/>
      <c r="DG182" s="738"/>
      <c r="DH182" s="738"/>
      <c r="DI182" s="738"/>
      <c r="DJ182" s="738"/>
      <c r="DK182" s="738"/>
      <c r="DL182" s="738"/>
      <c r="DM182" s="738"/>
      <c r="DN182" s="738"/>
      <c r="DO182" s="738"/>
      <c r="DP182" s="738"/>
      <c r="DQ182" s="738"/>
      <c r="DR182" s="738"/>
      <c r="DS182" s="738"/>
      <c r="DT182" s="738"/>
      <c r="DU182" s="738"/>
      <c r="DV182" s="738"/>
      <c r="DW182" s="738"/>
      <c r="DX182" s="738"/>
      <c r="DY182" s="738"/>
      <c r="DZ182" s="738"/>
      <c r="EA182" s="738"/>
      <c r="EB182" s="738"/>
      <c r="EC182" s="738"/>
      <c r="ED182" s="738"/>
      <c r="EE182" s="738"/>
      <c r="EF182" s="738"/>
      <c r="EG182" s="738"/>
      <c r="EH182" s="738"/>
      <c r="EI182" s="738"/>
      <c r="EJ182" s="738"/>
      <c r="EK182" s="738"/>
      <c r="EL182" s="738"/>
      <c r="EM182" s="738"/>
      <c r="EN182" s="738"/>
      <c r="EO182" s="738"/>
      <c r="EP182" s="738"/>
      <c r="EQ182" s="738"/>
      <c r="ER182" s="738"/>
      <c r="ES182" s="738"/>
      <c r="ET182" s="738"/>
      <c r="EU182" s="738"/>
      <c r="EV182" s="738"/>
      <c r="EW182" s="738"/>
      <c r="EX182" s="738"/>
      <c r="EY182" s="738"/>
      <c r="EZ182" s="738"/>
      <c r="FA182" s="738"/>
      <c r="FB182" s="738"/>
      <c r="FC182" s="738"/>
      <c r="FD182" s="738"/>
      <c r="FE182" s="738"/>
      <c r="FF182" s="738"/>
      <c r="FG182" s="738"/>
      <c r="FH182" s="738"/>
      <c r="FI182" s="738"/>
      <c r="FJ182" s="738"/>
      <c r="FK182" s="738"/>
      <c r="FL182" s="902"/>
    </row>
    <row r="183" spans="1:268" s="791" customFormat="1" ht="15" customHeight="1" x14ac:dyDescent="0.25">
      <c r="A183" s="876" t="s">
        <v>1224</v>
      </c>
      <c r="B183" s="822" t="s">
        <v>294</v>
      </c>
      <c r="C183" s="778">
        <f t="shared" si="154"/>
        <v>9.5000000000000001E-2</v>
      </c>
      <c r="D183" s="844">
        <v>10</v>
      </c>
      <c r="E183" s="844" t="s">
        <v>884</v>
      </c>
      <c r="F183" s="862">
        <v>45283</v>
      </c>
      <c r="G183" s="862">
        <v>45283</v>
      </c>
      <c r="H183" s="781">
        <f t="shared" si="155"/>
        <v>48933</v>
      </c>
      <c r="I183" s="815">
        <v>233811</v>
      </c>
      <c r="J183" s="805">
        <f t="shared" si="156"/>
        <v>11690.550000000001</v>
      </c>
      <c r="K183" s="793"/>
      <c r="L183" s="793"/>
      <c r="M183" s="793"/>
      <c r="N183" s="793"/>
      <c r="O183" s="793"/>
      <c r="P183" s="793"/>
      <c r="Q183" s="793"/>
      <c r="R183" s="793"/>
      <c r="S183" s="793"/>
      <c r="T183" s="793"/>
      <c r="U183" s="793"/>
      <c r="V183" s="793"/>
      <c r="W183" s="793"/>
      <c r="X183" s="793"/>
      <c r="Y183" s="793"/>
      <c r="Z183" s="793"/>
      <c r="AA183" s="793"/>
      <c r="AB183" s="793"/>
      <c r="AC183" s="793"/>
      <c r="AD183" s="793"/>
      <c r="AE183" s="793"/>
      <c r="AF183" s="793"/>
      <c r="AG183" s="793"/>
      <c r="AH183" s="805"/>
      <c r="AI183" s="805"/>
      <c r="AJ183" s="793"/>
      <c r="AK183" s="793"/>
      <c r="AL183" s="793"/>
      <c r="AM183" s="793"/>
      <c r="AN183" s="805"/>
      <c r="AO183" s="805"/>
      <c r="AP183" s="793">
        <f t="shared" si="140"/>
        <v>0</v>
      </c>
      <c r="AQ183" s="793">
        <f t="shared" si="157"/>
        <v>233811</v>
      </c>
      <c r="AR183" s="793">
        <f t="shared" si="158"/>
        <v>100</v>
      </c>
      <c r="AS183" s="793">
        <f t="shared" si="159"/>
        <v>6085</v>
      </c>
      <c r="AT183" s="793">
        <f t="shared" si="160"/>
        <v>6085</v>
      </c>
      <c r="AU183" s="793">
        <f t="shared" si="145"/>
        <v>227726</v>
      </c>
      <c r="AV183" s="793">
        <f t="shared" si="146"/>
        <v>227726</v>
      </c>
      <c r="AW183" s="793">
        <f t="shared" si="161"/>
        <v>233811</v>
      </c>
      <c r="AX183" s="793">
        <f t="shared" si="162"/>
        <v>365</v>
      </c>
      <c r="AY183" s="793">
        <f t="shared" si="163"/>
        <v>22212</v>
      </c>
      <c r="AZ183" s="793">
        <f t="shared" si="164"/>
        <v>28297</v>
      </c>
      <c r="BA183" s="793">
        <f t="shared" si="151"/>
        <v>205514</v>
      </c>
      <c r="BB183" s="1328"/>
      <c r="BC183" s="738"/>
      <c r="BD183" s="738"/>
      <c r="BE183" s="1329"/>
      <c r="BF183" s="738"/>
      <c r="BG183" s="738"/>
      <c r="BH183" s="738"/>
      <c r="BI183" s="738"/>
      <c r="BJ183" s="738"/>
      <c r="BK183" s="738"/>
      <c r="BL183" s="738"/>
      <c r="BM183" s="738"/>
      <c r="BN183" s="738"/>
      <c r="BO183" s="738"/>
      <c r="BP183" s="738"/>
      <c r="BQ183" s="738"/>
      <c r="BR183" s="738"/>
      <c r="BS183" s="738"/>
      <c r="BT183" s="738"/>
      <c r="BU183" s="738"/>
      <c r="BV183" s="738"/>
      <c r="BW183" s="738"/>
      <c r="BX183" s="738"/>
      <c r="BY183" s="738"/>
      <c r="BZ183" s="738"/>
      <c r="CA183" s="738"/>
      <c r="CB183" s="738"/>
      <c r="CC183" s="738"/>
      <c r="CD183" s="738"/>
      <c r="CE183" s="738"/>
      <c r="CF183" s="738"/>
      <c r="CG183" s="738"/>
      <c r="CH183" s="738"/>
      <c r="CI183" s="738"/>
      <c r="CJ183" s="738"/>
      <c r="CK183" s="738"/>
      <c r="CL183" s="738"/>
      <c r="CM183" s="738"/>
      <c r="CN183" s="738"/>
      <c r="CO183" s="738"/>
      <c r="CP183" s="738"/>
      <c r="CQ183" s="738"/>
      <c r="CR183" s="738"/>
      <c r="CS183" s="738"/>
      <c r="CT183" s="738"/>
      <c r="CU183" s="738"/>
      <c r="CV183" s="738"/>
      <c r="CW183" s="738"/>
      <c r="CX183" s="738"/>
      <c r="CY183" s="738"/>
      <c r="CZ183" s="738"/>
      <c r="DA183" s="738"/>
      <c r="DB183" s="738"/>
      <c r="DC183" s="738"/>
      <c r="DD183" s="738"/>
      <c r="DE183" s="738"/>
      <c r="DF183" s="738"/>
      <c r="DG183" s="738"/>
      <c r="DH183" s="738"/>
      <c r="DI183" s="738"/>
      <c r="DJ183" s="738"/>
      <c r="DK183" s="738"/>
      <c r="DL183" s="738"/>
      <c r="DM183" s="738"/>
      <c r="DN183" s="738"/>
      <c r="DO183" s="738"/>
      <c r="DP183" s="738"/>
      <c r="DQ183" s="738"/>
      <c r="DR183" s="738"/>
      <c r="DS183" s="738"/>
      <c r="DT183" s="738"/>
      <c r="DU183" s="738"/>
      <c r="DV183" s="738"/>
      <c r="DW183" s="738"/>
      <c r="DX183" s="738"/>
      <c r="DY183" s="738"/>
      <c r="DZ183" s="738"/>
      <c r="EA183" s="738"/>
      <c r="EB183" s="738"/>
      <c r="EC183" s="738"/>
      <c r="ED183" s="738"/>
      <c r="EE183" s="738"/>
      <c r="EF183" s="738"/>
      <c r="EG183" s="738"/>
      <c r="EH183" s="738"/>
      <c r="EI183" s="738"/>
      <c r="EJ183" s="738"/>
      <c r="EK183" s="738"/>
      <c r="EL183" s="738"/>
      <c r="EM183" s="738"/>
      <c r="EN183" s="738"/>
      <c r="EO183" s="738"/>
      <c r="EP183" s="738"/>
      <c r="EQ183" s="738"/>
      <c r="ER183" s="738"/>
      <c r="ES183" s="738"/>
      <c r="ET183" s="738"/>
      <c r="EU183" s="738"/>
      <c r="EV183" s="738"/>
      <c r="EW183" s="738"/>
      <c r="EX183" s="738"/>
      <c r="EY183" s="738"/>
      <c r="EZ183" s="738"/>
      <c r="FA183" s="738"/>
      <c r="FB183" s="738"/>
      <c r="FC183" s="738"/>
      <c r="FD183" s="738"/>
      <c r="FE183" s="738"/>
      <c r="FF183" s="738"/>
      <c r="FG183" s="738"/>
      <c r="FH183" s="738"/>
      <c r="FI183" s="738"/>
      <c r="FJ183" s="738"/>
      <c r="FK183" s="738"/>
      <c r="FL183" s="902"/>
    </row>
    <row r="184" spans="1:268" s="791" customFormat="1" ht="15" customHeight="1" x14ac:dyDescent="0.25">
      <c r="A184" s="876" t="s">
        <v>1224</v>
      </c>
      <c r="B184" s="863" t="s">
        <v>507</v>
      </c>
      <c r="C184" s="778">
        <f t="shared" si="154"/>
        <v>9.5000000000000001E-2</v>
      </c>
      <c r="D184" s="844">
        <v>10</v>
      </c>
      <c r="E184" s="844" t="s">
        <v>884</v>
      </c>
      <c r="F184" s="862">
        <v>45285</v>
      </c>
      <c r="G184" s="862">
        <v>45285</v>
      </c>
      <c r="H184" s="781">
        <f t="shared" si="155"/>
        <v>48935</v>
      </c>
      <c r="I184" s="815">
        <v>817900</v>
      </c>
      <c r="J184" s="805">
        <f t="shared" si="156"/>
        <v>40895</v>
      </c>
      <c r="K184" s="793"/>
      <c r="L184" s="793"/>
      <c r="M184" s="793"/>
      <c r="N184" s="793"/>
      <c r="O184" s="793"/>
      <c r="P184" s="793"/>
      <c r="Q184" s="793"/>
      <c r="R184" s="793"/>
      <c r="S184" s="793"/>
      <c r="T184" s="793"/>
      <c r="U184" s="793"/>
      <c r="V184" s="793"/>
      <c r="W184" s="793"/>
      <c r="X184" s="793"/>
      <c r="Y184" s="793"/>
      <c r="Z184" s="793"/>
      <c r="AA184" s="793"/>
      <c r="AB184" s="793"/>
      <c r="AC184" s="793"/>
      <c r="AD184" s="793"/>
      <c r="AE184" s="793"/>
      <c r="AF184" s="793"/>
      <c r="AG184" s="793"/>
      <c r="AH184" s="805"/>
      <c r="AI184" s="805"/>
      <c r="AJ184" s="793"/>
      <c r="AK184" s="793"/>
      <c r="AL184" s="793"/>
      <c r="AM184" s="793"/>
      <c r="AN184" s="805"/>
      <c r="AO184" s="805"/>
      <c r="AP184" s="793">
        <f t="shared" si="140"/>
        <v>0</v>
      </c>
      <c r="AQ184" s="793">
        <f t="shared" si="157"/>
        <v>817900</v>
      </c>
      <c r="AR184" s="793">
        <f t="shared" si="158"/>
        <v>98</v>
      </c>
      <c r="AS184" s="793">
        <f t="shared" si="159"/>
        <v>20862</v>
      </c>
      <c r="AT184" s="793">
        <f t="shared" si="160"/>
        <v>20862</v>
      </c>
      <c r="AU184" s="793">
        <f t="shared" si="145"/>
        <v>797038</v>
      </c>
      <c r="AV184" s="793">
        <f t="shared" si="146"/>
        <v>797038</v>
      </c>
      <c r="AW184" s="793">
        <f t="shared" si="161"/>
        <v>817900</v>
      </c>
      <c r="AX184" s="793">
        <f t="shared" si="162"/>
        <v>365</v>
      </c>
      <c r="AY184" s="793">
        <f t="shared" si="163"/>
        <v>77701</v>
      </c>
      <c r="AZ184" s="793">
        <f t="shared" si="164"/>
        <v>98563</v>
      </c>
      <c r="BA184" s="793">
        <f t="shared" si="151"/>
        <v>719337</v>
      </c>
      <c r="BB184" s="1328"/>
      <c r="BC184" s="738"/>
      <c r="BD184" s="738"/>
      <c r="BE184" s="1329"/>
      <c r="BF184" s="738"/>
      <c r="BG184" s="738"/>
      <c r="BH184" s="738"/>
      <c r="BI184" s="738"/>
      <c r="BJ184" s="738"/>
      <c r="BK184" s="738"/>
      <c r="BL184" s="738"/>
      <c r="BM184" s="738"/>
      <c r="BN184" s="738"/>
      <c r="BO184" s="738"/>
      <c r="BP184" s="738"/>
      <c r="BQ184" s="738"/>
      <c r="BR184" s="738"/>
      <c r="BS184" s="738"/>
      <c r="BT184" s="738"/>
      <c r="BU184" s="738"/>
      <c r="BV184" s="738"/>
      <c r="BW184" s="738"/>
      <c r="BX184" s="738"/>
      <c r="BY184" s="738"/>
      <c r="BZ184" s="738"/>
      <c r="CA184" s="738"/>
      <c r="CB184" s="738"/>
      <c r="CC184" s="738"/>
      <c r="CD184" s="738"/>
      <c r="CE184" s="738"/>
      <c r="CF184" s="738"/>
      <c r="CG184" s="738"/>
      <c r="CH184" s="738"/>
      <c r="CI184" s="738"/>
      <c r="CJ184" s="738"/>
      <c r="CK184" s="738"/>
      <c r="CL184" s="738"/>
      <c r="CM184" s="738"/>
      <c r="CN184" s="738"/>
      <c r="CO184" s="738"/>
      <c r="CP184" s="738"/>
      <c r="CQ184" s="738"/>
      <c r="CR184" s="738"/>
      <c r="CS184" s="738"/>
      <c r="CT184" s="738"/>
      <c r="CU184" s="738"/>
      <c r="CV184" s="738"/>
      <c r="CW184" s="738"/>
      <c r="CX184" s="738"/>
      <c r="CY184" s="738"/>
      <c r="CZ184" s="738"/>
      <c r="DA184" s="738"/>
      <c r="DB184" s="738"/>
      <c r="DC184" s="738"/>
      <c r="DD184" s="738"/>
      <c r="DE184" s="738"/>
      <c r="DF184" s="738"/>
      <c r="DG184" s="738"/>
      <c r="DH184" s="738"/>
      <c r="DI184" s="738"/>
      <c r="DJ184" s="738"/>
      <c r="DK184" s="738"/>
      <c r="DL184" s="738"/>
      <c r="DM184" s="738"/>
      <c r="DN184" s="738"/>
      <c r="DO184" s="738"/>
      <c r="DP184" s="738"/>
      <c r="DQ184" s="738"/>
      <c r="DR184" s="738"/>
      <c r="DS184" s="738"/>
      <c r="DT184" s="738"/>
      <c r="DU184" s="738"/>
      <c r="DV184" s="738"/>
      <c r="DW184" s="738"/>
      <c r="DX184" s="738"/>
      <c r="DY184" s="738"/>
      <c r="DZ184" s="738"/>
      <c r="EA184" s="738"/>
      <c r="EB184" s="738"/>
      <c r="EC184" s="738"/>
      <c r="ED184" s="738"/>
      <c r="EE184" s="738"/>
      <c r="EF184" s="738"/>
      <c r="EG184" s="738"/>
      <c r="EH184" s="738"/>
      <c r="EI184" s="738"/>
      <c r="EJ184" s="738"/>
      <c r="EK184" s="738"/>
      <c r="EL184" s="738"/>
      <c r="EM184" s="738"/>
      <c r="EN184" s="738"/>
      <c r="EO184" s="738"/>
      <c r="EP184" s="738"/>
      <c r="EQ184" s="738"/>
      <c r="ER184" s="738"/>
      <c r="ES184" s="738"/>
      <c r="ET184" s="738"/>
      <c r="EU184" s="738"/>
      <c r="EV184" s="738"/>
      <c r="EW184" s="738"/>
      <c r="EX184" s="738"/>
      <c r="EY184" s="738"/>
      <c r="EZ184" s="738"/>
      <c r="FA184" s="738"/>
      <c r="FB184" s="738"/>
      <c r="FC184" s="738"/>
      <c r="FD184" s="738"/>
      <c r="FE184" s="738"/>
      <c r="FF184" s="738"/>
      <c r="FG184" s="738"/>
      <c r="FH184" s="738"/>
      <c r="FI184" s="738"/>
      <c r="FJ184" s="738"/>
      <c r="FK184" s="738"/>
      <c r="FL184" s="902"/>
    </row>
    <row r="185" spans="1:268" s="791" customFormat="1" ht="15" customHeight="1" x14ac:dyDescent="0.25">
      <c r="A185" s="876" t="s">
        <v>1224</v>
      </c>
      <c r="B185" s="822" t="s">
        <v>316</v>
      </c>
      <c r="C185" s="778">
        <f t="shared" si="154"/>
        <v>9.5000000000000001E-2</v>
      </c>
      <c r="D185" s="844">
        <v>10</v>
      </c>
      <c r="E185" s="844" t="s">
        <v>884</v>
      </c>
      <c r="F185" s="862">
        <v>45290</v>
      </c>
      <c r="G185" s="862">
        <v>45290</v>
      </c>
      <c r="H185" s="781">
        <f t="shared" si="155"/>
        <v>48940</v>
      </c>
      <c r="I185" s="815">
        <v>1530000</v>
      </c>
      <c r="J185" s="805">
        <f t="shared" si="156"/>
        <v>76500</v>
      </c>
      <c r="K185" s="793"/>
      <c r="L185" s="793"/>
      <c r="M185" s="793"/>
      <c r="N185" s="793"/>
      <c r="O185" s="793"/>
      <c r="P185" s="793"/>
      <c r="Q185" s="793"/>
      <c r="R185" s="793"/>
      <c r="S185" s="793"/>
      <c r="T185" s="793"/>
      <c r="U185" s="793"/>
      <c r="V185" s="793"/>
      <c r="W185" s="793"/>
      <c r="X185" s="793"/>
      <c r="Y185" s="793"/>
      <c r="Z185" s="793"/>
      <c r="AA185" s="793"/>
      <c r="AB185" s="793"/>
      <c r="AC185" s="793"/>
      <c r="AD185" s="793"/>
      <c r="AE185" s="793"/>
      <c r="AF185" s="793"/>
      <c r="AG185" s="793"/>
      <c r="AH185" s="805"/>
      <c r="AI185" s="805"/>
      <c r="AJ185" s="793"/>
      <c r="AK185" s="793"/>
      <c r="AL185" s="793"/>
      <c r="AM185" s="793"/>
      <c r="AN185" s="805"/>
      <c r="AO185" s="805"/>
      <c r="AP185" s="793">
        <f t="shared" si="140"/>
        <v>0</v>
      </c>
      <c r="AQ185" s="793">
        <f t="shared" si="157"/>
        <v>1530000</v>
      </c>
      <c r="AR185" s="793">
        <f t="shared" si="158"/>
        <v>93</v>
      </c>
      <c r="AS185" s="793">
        <f t="shared" si="159"/>
        <v>37034</v>
      </c>
      <c r="AT185" s="793">
        <f t="shared" si="160"/>
        <v>37034</v>
      </c>
      <c r="AU185" s="793">
        <f t="shared" si="145"/>
        <v>1492966</v>
      </c>
      <c r="AV185" s="793">
        <f t="shared" si="146"/>
        <v>1492966</v>
      </c>
      <c r="AW185" s="793">
        <f t="shared" si="161"/>
        <v>1530000</v>
      </c>
      <c r="AX185" s="793">
        <f t="shared" si="162"/>
        <v>365</v>
      </c>
      <c r="AY185" s="793">
        <f t="shared" si="163"/>
        <v>145350</v>
      </c>
      <c r="AZ185" s="793">
        <f t="shared" si="164"/>
        <v>182384</v>
      </c>
      <c r="BA185" s="793">
        <f t="shared" si="151"/>
        <v>1347616</v>
      </c>
      <c r="BB185" s="1328"/>
      <c r="BC185" s="738"/>
      <c r="BD185" s="738"/>
      <c r="BE185" s="1329"/>
      <c r="BF185" s="738"/>
      <c r="BG185" s="738"/>
      <c r="BH185" s="738"/>
      <c r="BI185" s="738"/>
      <c r="BJ185" s="738"/>
      <c r="BK185" s="738"/>
      <c r="BL185" s="738"/>
      <c r="BM185" s="738"/>
      <c r="BN185" s="738"/>
      <c r="BO185" s="738"/>
      <c r="BP185" s="738"/>
      <c r="BQ185" s="738"/>
      <c r="BR185" s="738"/>
      <c r="BS185" s="738"/>
      <c r="BT185" s="738"/>
      <c r="BU185" s="738"/>
      <c r="BV185" s="738"/>
      <c r="BW185" s="738"/>
      <c r="BX185" s="738"/>
      <c r="BY185" s="738"/>
      <c r="BZ185" s="738"/>
      <c r="CA185" s="738"/>
      <c r="CB185" s="738"/>
      <c r="CC185" s="738"/>
      <c r="CD185" s="738"/>
      <c r="CE185" s="738"/>
      <c r="CF185" s="738"/>
      <c r="CG185" s="738"/>
      <c r="CH185" s="738"/>
      <c r="CI185" s="738"/>
      <c r="CJ185" s="738"/>
      <c r="CK185" s="738"/>
      <c r="CL185" s="738"/>
      <c r="CM185" s="738"/>
      <c r="CN185" s="738"/>
      <c r="CO185" s="738"/>
      <c r="CP185" s="738"/>
      <c r="CQ185" s="738"/>
      <c r="CR185" s="738"/>
      <c r="CS185" s="738"/>
      <c r="CT185" s="738"/>
      <c r="CU185" s="738"/>
      <c r="CV185" s="738"/>
      <c r="CW185" s="738"/>
      <c r="CX185" s="738"/>
      <c r="CY185" s="738"/>
      <c r="CZ185" s="738"/>
      <c r="DA185" s="738"/>
      <c r="DB185" s="738"/>
      <c r="DC185" s="738"/>
      <c r="DD185" s="738"/>
      <c r="DE185" s="738"/>
      <c r="DF185" s="738"/>
      <c r="DG185" s="738"/>
      <c r="DH185" s="738"/>
      <c r="DI185" s="738"/>
      <c r="DJ185" s="738"/>
      <c r="DK185" s="738"/>
      <c r="DL185" s="738"/>
      <c r="DM185" s="738"/>
      <c r="DN185" s="738"/>
      <c r="DO185" s="738"/>
      <c r="DP185" s="738"/>
      <c r="DQ185" s="738"/>
      <c r="DR185" s="738"/>
      <c r="DS185" s="738"/>
      <c r="DT185" s="738"/>
      <c r="DU185" s="738"/>
      <c r="DV185" s="738"/>
      <c r="DW185" s="738"/>
      <c r="DX185" s="738"/>
      <c r="DY185" s="738"/>
      <c r="DZ185" s="738"/>
      <c r="EA185" s="738"/>
      <c r="EB185" s="738"/>
      <c r="EC185" s="738"/>
      <c r="ED185" s="738"/>
      <c r="EE185" s="738"/>
      <c r="EF185" s="738"/>
      <c r="EG185" s="738"/>
      <c r="EH185" s="738"/>
      <c r="EI185" s="738"/>
      <c r="EJ185" s="738"/>
      <c r="EK185" s="738"/>
      <c r="EL185" s="738"/>
      <c r="EM185" s="738"/>
      <c r="EN185" s="738"/>
      <c r="EO185" s="738"/>
      <c r="EP185" s="738"/>
      <c r="EQ185" s="738"/>
      <c r="ER185" s="738"/>
      <c r="ES185" s="738"/>
      <c r="ET185" s="738"/>
      <c r="EU185" s="738"/>
      <c r="EV185" s="738"/>
      <c r="EW185" s="738"/>
      <c r="EX185" s="738"/>
      <c r="EY185" s="738"/>
      <c r="EZ185" s="738"/>
      <c r="FA185" s="738"/>
      <c r="FB185" s="738"/>
      <c r="FC185" s="738"/>
      <c r="FD185" s="738"/>
      <c r="FE185" s="738"/>
      <c r="FF185" s="738"/>
      <c r="FG185" s="738"/>
      <c r="FH185" s="738"/>
      <c r="FI185" s="738"/>
      <c r="FJ185" s="738"/>
      <c r="FK185" s="738"/>
      <c r="FL185" s="902"/>
    </row>
    <row r="186" spans="1:268" s="791" customFormat="1" ht="15" customHeight="1" x14ac:dyDescent="0.25">
      <c r="A186" s="876" t="s">
        <v>1224</v>
      </c>
      <c r="B186" s="822" t="s">
        <v>294</v>
      </c>
      <c r="C186" s="778">
        <f t="shared" si="154"/>
        <v>9.5000000000000001E-2</v>
      </c>
      <c r="D186" s="844">
        <v>10</v>
      </c>
      <c r="E186" s="844" t="s">
        <v>884</v>
      </c>
      <c r="F186" s="862">
        <v>45292</v>
      </c>
      <c r="G186" s="862">
        <v>45292</v>
      </c>
      <c r="H186" s="781">
        <f t="shared" si="155"/>
        <v>48942</v>
      </c>
      <c r="I186" s="815">
        <v>64375</v>
      </c>
      <c r="J186" s="805">
        <f t="shared" si="156"/>
        <v>3218.75</v>
      </c>
      <c r="K186" s="793"/>
      <c r="L186" s="793"/>
      <c r="M186" s="793"/>
      <c r="N186" s="793"/>
      <c r="O186" s="793"/>
      <c r="P186" s="793"/>
      <c r="Q186" s="793"/>
      <c r="R186" s="793"/>
      <c r="S186" s="793"/>
      <c r="T186" s="793"/>
      <c r="U186" s="793"/>
      <c r="V186" s="793"/>
      <c r="W186" s="793"/>
      <c r="X186" s="793"/>
      <c r="Y186" s="793"/>
      <c r="Z186" s="793"/>
      <c r="AA186" s="793"/>
      <c r="AB186" s="793"/>
      <c r="AC186" s="793"/>
      <c r="AD186" s="793"/>
      <c r="AE186" s="793"/>
      <c r="AF186" s="793"/>
      <c r="AG186" s="793"/>
      <c r="AH186" s="805"/>
      <c r="AI186" s="805"/>
      <c r="AJ186" s="793"/>
      <c r="AK186" s="793"/>
      <c r="AL186" s="793"/>
      <c r="AM186" s="793"/>
      <c r="AN186" s="805"/>
      <c r="AO186" s="805"/>
      <c r="AP186" s="793">
        <f t="shared" si="140"/>
        <v>0</v>
      </c>
      <c r="AQ186" s="793">
        <f t="shared" si="157"/>
        <v>64375</v>
      </c>
      <c r="AR186" s="793">
        <f t="shared" si="158"/>
        <v>91</v>
      </c>
      <c r="AS186" s="793">
        <f t="shared" si="159"/>
        <v>1525</v>
      </c>
      <c r="AT186" s="793">
        <f t="shared" si="160"/>
        <v>1525</v>
      </c>
      <c r="AU186" s="793">
        <f t="shared" si="145"/>
        <v>62850</v>
      </c>
      <c r="AV186" s="793">
        <f t="shared" si="146"/>
        <v>62850</v>
      </c>
      <c r="AW186" s="793">
        <f t="shared" si="161"/>
        <v>64375</v>
      </c>
      <c r="AX186" s="793">
        <f t="shared" si="162"/>
        <v>365</v>
      </c>
      <c r="AY186" s="793">
        <f t="shared" si="163"/>
        <v>6116</v>
      </c>
      <c r="AZ186" s="793">
        <f t="shared" si="164"/>
        <v>7641</v>
      </c>
      <c r="BA186" s="793">
        <f t="shared" si="151"/>
        <v>56734</v>
      </c>
      <c r="BB186" s="1328"/>
      <c r="BC186" s="738"/>
      <c r="BD186" s="738"/>
      <c r="BE186" s="1329"/>
      <c r="BF186" s="738"/>
      <c r="BG186" s="738"/>
      <c r="BH186" s="738"/>
      <c r="BI186" s="738"/>
      <c r="BJ186" s="738"/>
      <c r="BK186" s="738"/>
      <c r="BL186" s="738"/>
      <c r="BM186" s="738"/>
      <c r="BN186" s="738"/>
      <c r="BO186" s="738"/>
      <c r="BP186" s="738"/>
      <c r="BQ186" s="738"/>
      <c r="BR186" s="738"/>
      <c r="BS186" s="738"/>
      <c r="BT186" s="738"/>
      <c r="BU186" s="738"/>
      <c r="BV186" s="738"/>
      <c r="BW186" s="738"/>
      <c r="BX186" s="738"/>
      <c r="BY186" s="738"/>
      <c r="BZ186" s="738"/>
      <c r="CA186" s="738"/>
      <c r="CB186" s="738"/>
      <c r="CC186" s="738"/>
      <c r="CD186" s="738"/>
      <c r="CE186" s="738"/>
      <c r="CF186" s="738"/>
      <c r="CG186" s="738"/>
      <c r="CH186" s="738"/>
      <c r="CI186" s="738"/>
      <c r="CJ186" s="738"/>
      <c r="CK186" s="738"/>
      <c r="CL186" s="738"/>
      <c r="CM186" s="738"/>
      <c r="CN186" s="738"/>
      <c r="CO186" s="738"/>
      <c r="CP186" s="738"/>
      <c r="CQ186" s="738"/>
      <c r="CR186" s="738"/>
      <c r="CS186" s="738"/>
      <c r="CT186" s="738"/>
      <c r="CU186" s="738"/>
      <c r="CV186" s="738"/>
      <c r="CW186" s="738"/>
      <c r="CX186" s="738"/>
      <c r="CY186" s="738"/>
      <c r="CZ186" s="738"/>
      <c r="DA186" s="738"/>
      <c r="DB186" s="738"/>
      <c r="DC186" s="738"/>
      <c r="DD186" s="738"/>
      <c r="DE186" s="738"/>
      <c r="DF186" s="738"/>
      <c r="DG186" s="738"/>
      <c r="DH186" s="738"/>
      <c r="DI186" s="738"/>
      <c r="DJ186" s="738"/>
      <c r="DK186" s="738"/>
      <c r="DL186" s="738"/>
      <c r="DM186" s="738"/>
      <c r="DN186" s="738"/>
      <c r="DO186" s="738"/>
      <c r="DP186" s="738"/>
      <c r="DQ186" s="738"/>
      <c r="DR186" s="738"/>
      <c r="DS186" s="738"/>
      <c r="DT186" s="738"/>
      <c r="DU186" s="738"/>
      <c r="DV186" s="738"/>
      <c r="DW186" s="738"/>
      <c r="DX186" s="738"/>
      <c r="DY186" s="738"/>
      <c r="DZ186" s="738"/>
      <c r="EA186" s="738"/>
      <c r="EB186" s="738"/>
      <c r="EC186" s="738"/>
      <c r="ED186" s="738"/>
      <c r="EE186" s="738"/>
      <c r="EF186" s="738"/>
      <c r="EG186" s="738"/>
      <c r="EH186" s="738"/>
      <c r="EI186" s="738"/>
      <c r="EJ186" s="738"/>
      <c r="EK186" s="738"/>
      <c r="EL186" s="738"/>
      <c r="EM186" s="738"/>
      <c r="EN186" s="738"/>
      <c r="EO186" s="738"/>
      <c r="EP186" s="738"/>
      <c r="EQ186" s="738"/>
      <c r="ER186" s="738"/>
      <c r="ES186" s="738"/>
      <c r="ET186" s="738"/>
      <c r="EU186" s="738"/>
      <c r="EV186" s="738"/>
      <c r="EW186" s="738"/>
      <c r="EX186" s="738"/>
      <c r="EY186" s="738"/>
      <c r="EZ186" s="738"/>
      <c r="FA186" s="738"/>
      <c r="FB186" s="738"/>
      <c r="FC186" s="738"/>
      <c r="FD186" s="738"/>
      <c r="FE186" s="738"/>
      <c r="FF186" s="738"/>
      <c r="FG186" s="738"/>
      <c r="FH186" s="738"/>
      <c r="FI186" s="738"/>
      <c r="FJ186" s="738"/>
      <c r="FK186" s="738"/>
      <c r="FL186" s="902"/>
    </row>
    <row r="187" spans="1:268" s="791" customFormat="1" ht="15" customHeight="1" x14ac:dyDescent="0.25">
      <c r="A187" s="876" t="s">
        <v>1224</v>
      </c>
      <c r="B187" s="822" t="s">
        <v>298</v>
      </c>
      <c r="C187" s="778">
        <f t="shared" si="154"/>
        <v>9.5000000000000001E-2</v>
      </c>
      <c r="D187" s="844">
        <v>10</v>
      </c>
      <c r="E187" s="844" t="s">
        <v>884</v>
      </c>
      <c r="F187" s="862">
        <v>45295</v>
      </c>
      <c r="G187" s="862">
        <v>45295</v>
      </c>
      <c r="H187" s="781">
        <f t="shared" si="155"/>
        <v>48945</v>
      </c>
      <c r="I187" s="815">
        <v>892335</v>
      </c>
      <c r="J187" s="805">
        <f t="shared" si="156"/>
        <v>44616.75</v>
      </c>
      <c r="K187" s="793"/>
      <c r="L187" s="793"/>
      <c r="M187" s="793"/>
      <c r="N187" s="793"/>
      <c r="O187" s="793"/>
      <c r="P187" s="793"/>
      <c r="Q187" s="793"/>
      <c r="R187" s="793"/>
      <c r="S187" s="793"/>
      <c r="T187" s="793"/>
      <c r="U187" s="793"/>
      <c r="V187" s="793"/>
      <c r="W187" s="793"/>
      <c r="X187" s="793"/>
      <c r="Y187" s="793"/>
      <c r="Z187" s="793"/>
      <c r="AA187" s="793"/>
      <c r="AB187" s="793"/>
      <c r="AC187" s="793"/>
      <c r="AD187" s="793"/>
      <c r="AE187" s="793"/>
      <c r="AF187" s="793"/>
      <c r="AG187" s="793"/>
      <c r="AH187" s="805"/>
      <c r="AI187" s="805"/>
      <c r="AJ187" s="793"/>
      <c r="AK187" s="793"/>
      <c r="AL187" s="793"/>
      <c r="AM187" s="793"/>
      <c r="AN187" s="805"/>
      <c r="AO187" s="805"/>
      <c r="AP187" s="793">
        <f t="shared" si="140"/>
        <v>0</v>
      </c>
      <c r="AQ187" s="793">
        <f t="shared" si="157"/>
        <v>892335</v>
      </c>
      <c r="AR187" s="793">
        <f t="shared" si="158"/>
        <v>88</v>
      </c>
      <c r="AS187" s="793">
        <f t="shared" si="159"/>
        <v>20438</v>
      </c>
      <c r="AT187" s="793">
        <f t="shared" si="160"/>
        <v>20438</v>
      </c>
      <c r="AU187" s="793">
        <f t="shared" si="145"/>
        <v>871897</v>
      </c>
      <c r="AV187" s="793">
        <f t="shared" si="146"/>
        <v>871897</v>
      </c>
      <c r="AW187" s="793">
        <f t="shared" si="161"/>
        <v>892335</v>
      </c>
      <c r="AX187" s="793">
        <f t="shared" si="162"/>
        <v>365</v>
      </c>
      <c r="AY187" s="793">
        <f t="shared" si="163"/>
        <v>84772</v>
      </c>
      <c r="AZ187" s="793">
        <f t="shared" si="164"/>
        <v>105210</v>
      </c>
      <c r="BA187" s="793">
        <f t="shared" si="151"/>
        <v>787125</v>
      </c>
      <c r="BB187" s="1328"/>
      <c r="BC187" s="738"/>
      <c r="BD187" s="738"/>
      <c r="BE187" s="1329"/>
      <c r="BF187" s="738"/>
      <c r="BG187" s="738"/>
      <c r="BH187" s="738"/>
      <c r="BI187" s="738"/>
      <c r="BJ187" s="738"/>
      <c r="BK187" s="738"/>
      <c r="BL187" s="738"/>
      <c r="BM187" s="738"/>
      <c r="BN187" s="738"/>
      <c r="BO187" s="738"/>
      <c r="BP187" s="738"/>
      <c r="BQ187" s="738"/>
      <c r="BR187" s="738"/>
      <c r="BS187" s="738"/>
      <c r="BT187" s="738"/>
      <c r="BU187" s="738"/>
      <c r="BV187" s="738"/>
      <c r="BW187" s="738"/>
      <c r="BX187" s="738"/>
      <c r="BY187" s="738"/>
      <c r="BZ187" s="738"/>
      <c r="CA187" s="738"/>
      <c r="CB187" s="738"/>
      <c r="CC187" s="738"/>
      <c r="CD187" s="738"/>
      <c r="CE187" s="738"/>
      <c r="CF187" s="738"/>
      <c r="CG187" s="738"/>
      <c r="CH187" s="738"/>
      <c r="CI187" s="738"/>
      <c r="CJ187" s="738"/>
      <c r="CK187" s="738"/>
      <c r="CL187" s="738"/>
      <c r="CM187" s="738"/>
      <c r="CN187" s="738"/>
      <c r="CO187" s="738"/>
      <c r="CP187" s="738"/>
      <c r="CQ187" s="738"/>
      <c r="CR187" s="738"/>
      <c r="CS187" s="738"/>
      <c r="CT187" s="738"/>
      <c r="CU187" s="738"/>
      <c r="CV187" s="738"/>
      <c r="CW187" s="738"/>
      <c r="CX187" s="738"/>
      <c r="CY187" s="738"/>
      <c r="CZ187" s="738"/>
      <c r="DA187" s="738"/>
      <c r="DB187" s="738"/>
      <c r="DC187" s="738"/>
      <c r="DD187" s="738"/>
      <c r="DE187" s="738"/>
      <c r="DF187" s="738"/>
      <c r="DG187" s="738"/>
      <c r="DH187" s="738"/>
      <c r="DI187" s="738"/>
      <c r="DJ187" s="738"/>
      <c r="DK187" s="738"/>
      <c r="DL187" s="738"/>
      <c r="DM187" s="738"/>
      <c r="DN187" s="738"/>
      <c r="DO187" s="738"/>
      <c r="DP187" s="738"/>
      <c r="DQ187" s="738"/>
      <c r="DR187" s="738"/>
      <c r="DS187" s="738"/>
      <c r="DT187" s="738"/>
      <c r="DU187" s="738"/>
      <c r="DV187" s="738"/>
      <c r="DW187" s="738"/>
      <c r="DX187" s="738"/>
      <c r="DY187" s="738"/>
      <c r="DZ187" s="738"/>
      <c r="EA187" s="738"/>
      <c r="EB187" s="738"/>
      <c r="EC187" s="738"/>
      <c r="ED187" s="738"/>
      <c r="EE187" s="738"/>
      <c r="EF187" s="738"/>
      <c r="EG187" s="738"/>
      <c r="EH187" s="738"/>
      <c r="EI187" s="738"/>
      <c r="EJ187" s="738"/>
      <c r="EK187" s="738"/>
      <c r="EL187" s="738"/>
      <c r="EM187" s="738"/>
      <c r="EN187" s="738"/>
      <c r="EO187" s="738"/>
      <c r="EP187" s="738"/>
      <c r="EQ187" s="738"/>
      <c r="ER187" s="738"/>
      <c r="ES187" s="738"/>
      <c r="ET187" s="738"/>
      <c r="EU187" s="738"/>
      <c r="EV187" s="738"/>
      <c r="EW187" s="738"/>
      <c r="EX187" s="738"/>
      <c r="EY187" s="738"/>
      <c r="EZ187" s="738"/>
      <c r="FA187" s="738"/>
      <c r="FB187" s="738"/>
      <c r="FC187" s="738"/>
      <c r="FD187" s="738"/>
      <c r="FE187" s="738"/>
      <c r="FF187" s="738"/>
      <c r="FG187" s="738"/>
      <c r="FH187" s="738"/>
      <c r="FI187" s="738"/>
      <c r="FJ187" s="738"/>
      <c r="FK187" s="738"/>
      <c r="FL187" s="902"/>
    </row>
    <row r="188" spans="1:268" s="791" customFormat="1" ht="15" customHeight="1" x14ac:dyDescent="0.25">
      <c r="A188" s="876" t="s">
        <v>1224</v>
      </c>
      <c r="B188" s="822" t="s">
        <v>294</v>
      </c>
      <c r="C188" s="778">
        <f t="shared" si="154"/>
        <v>9.5000000000000001E-2</v>
      </c>
      <c r="D188" s="844">
        <v>10</v>
      </c>
      <c r="E188" s="844" t="s">
        <v>884</v>
      </c>
      <c r="F188" s="862">
        <v>45296</v>
      </c>
      <c r="G188" s="862">
        <v>45296</v>
      </c>
      <c r="H188" s="781">
        <f t="shared" si="155"/>
        <v>48946</v>
      </c>
      <c r="I188" s="815">
        <v>397666</v>
      </c>
      <c r="J188" s="805">
        <f t="shared" si="156"/>
        <v>19883.300000000003</v>
      </c>
      <c r="K188" s="793"/>
      <c r="L188" s="793"/>
      <c r="M188" s="793"/>
      <c r="N188" s="793"/>
      <c r="O188" s="793"/>
      <c r="P188" s="793"/>
      <c r="Q188" s="793"/>
      <c r="R188" s="793"/>
      <c r="S188" s="793"/>
      <c r="T188" s="793"/>
      <c r="U188" s="793"/>
      <c r="V188" s="793"/>
      <c r="W188" s="793"/>
      <c r="X188" s="793"/>
      <c r="Y188" s="793"/>
      <c r="Z188" s="793"/>
      <c r="AA188" s="793"/>
      <c r="AB188" s="793"/>
      <c r="AC188" s="793"/>
      <c r="AD188" s="793"/>
      <c r="AE188" s="793"/>
      <c r="AF188" s="793"/>
      <c r="AG188" s="793"/>
      <c r="AH188" s="805"/>
      <c r="AI188" s="805"/>
      <c r="AJ188" s="793"/>
      <c r="AK188" s="793"/>
      <c r="AL188" s="793"/>
      <c r="AM188" s="793"/>
      <c r="AN188" s="805"/>
      <c r="AO188" s="805"/>
      <c r="AP188" s="793">
        <f t="shared" si="140"/>
        <v>0</v>
      </c>
      <c r="AQ188" s="793">
        <f t="shared" si="157"/>
        <v>397666</v>
      </c>
      <c r="AR188" s="793">
        <f t="shared" si="158"/>
        <v>87</v>
      </c>
      <c r="AS188" s="793">
        <f t="shared" si="159"/>
        <v>9005</v>
      </c>
      <c r="AT188" s="793">
        <f t="shared" si="160"/>
        <v>9005</v>
      </c>
      <c r="AU188" s="793">
        <f t="shared" si="145"/>
        <v>388661</v>
      </c>
      <c r="AV188" s="793">
        <f t="shared" si="146"/>
        <v>388661</v>
      </c>
      <c r="AW188" s="793">
        <f t="shared" si="161"/>
        <v>397666</v>
      </c>
      <c r="AX188" s="793">
        <f t="shared" si="162"/>
        <v>365</v>
      </c>
      <c r="AY188" s="793">
        <f t="shared" si="163"/>
        <v>37778</v>
      </c>
      <c r="AZ188" s="793">
        <f t="shared" si="164"/>
        <v>46783</v>
      </c>
      <c r="BA188" s="793">
        <f t="shared" si="151"/>
        <v>350883</v>
      </c>
      <c r="BB188" s="1328"/>
      <c r="BC188" s="738"/>
      <c r="BD188" s="738"/>
      <c r="BE188" s="1329"/>
      <c r="BF188" s="738"/>
      <c r="BG188" s="738"/>
      <c r="BH188" s="738"/>
      <c r="BI188" s="738"/>
      <c r="BJ188" s="738"/>
      <c r="BK188" s="738"/>
      <c r="BL188" s="738"/>
      <c r="BM188" s="738"/>
      <c r="BN188" s="738"/>
      <c r="BO188" s="738"/>
      <c r="BP188" s="738"/>
      <c r="BQ188" s="738"/>
      <c r="BR188" s="738"/>
      <c r="BS188" s="738"/>
      <c r="BT188" s="738"/>
      <c r="BU188" s="738"/>
      <c r="BV188" s="738"/>
      <c r="BW188" s="738"/>
      <c r="BX188" s="738"/>
      <c r="BY188" s="738"/>
      <c r="BZ188" s="738"/>
      <c r="CA188" s="738"/>
      <c r="CB188" s="738"/>
      <c r="CC188" s="738"/>
      <c r="CD188" s="738"/>
      <c r="CE188" s="738"/>
      <c r="CF188" s="738"/>
      <c r="CG188" s="738"/>
      <c r="CH188" s="738"/>
      <c r="CI188" s="738"/>
      <c r="CJ188" s="738"/>
      <c r="CK188" s="738"/>
      <c r="CL188" s="738"/>
      <c r="CM188" s="738"/>
      <c r="CN188" s="738"/>
      <c r="CO188" s="738"/>
      <c r="CP188" s="738"/>
      <c r="CQ188" s="738"/>
      <c r="CR188" s="738"/>
      <c r="CS188" s="738"/>
      <c r="CT188" s="738"/>
      <c r="CU188" s="738"/>
      <c r="CV188" s="738"/>
      <c r="CW188" s="738"/>
      <c r="CX188" s="738"/>
      <c r="CY188" s="738"/>
      <c r="CZ188" s="738"/>
      <c r="DA188" s="738"/>
      <c r="DB188" s="738"/>
      <c r="DC188" s="738"/>
      <c r="DD188" s="738"/>
      <c r="DE188" s="738"/>
      <c r="DF188" s="738"/>
      <c r="DG188" s="738"/>
      <c r="DH188" s="738"/>
      <c r="DI188" s="738"/>
      <c r="DJ188" s="738"/>
      <c r="DK188" s="738"/>
      <c r="DL188" s="738"/>
      <c r="DM188" s="738"/>
      <c r="DN188" s="738"/>
      <c r="DO188" s="738"/>
      <c r="DP188" s="738"/>
      <c r="DQ188" s="738"/>
      <c r="DR188" s="738"/>
      <c r="DS188" s="738"/>
      <c r="DT188" s="738"/>
      <c r="DU188" s="738"/>
      <c r="DV188" s="738"/>
      <c r="DW188" s="738"/>
      <c r="DX188" s="738"/>
      <c r="DY188" s="738"/>
      <c r="DZ188" s="738"/>
      <c r="EA188" s="738"/>
      <c r="EB188" s="738"/>
      <c r="EC188" s="738"/>
      <c r="ED188" s="738"/>
      <c r="EE188" s="738"/>
      <c r="EF188" s="738"/>
      <c r="EG188" s="738"/>
      <c r="EH188" s="738"/>
      <c r="EI188" s="738"/>
      <c r="EJ188" s="738"/>
      <c r="EK188" s="738"/>
      <c r="EL188" s="738"/>
      <c r="EM188" s="738"/>
      <c r="EN188" s="738"/>
      <c r="EO188" s="738"/>
      <c r="EP188" s="738"/>
      <c r="EQ188" s="738"/>
      <c r="ER188" s="738"/>
      <c r="ES188" s="738"/>
      <c r="ET188" s="738"/>
      <c r="EU188" s="738"/>
      <c r="EV188" s="738"/>
      <c r="EW188" s="738"/>
      <c r="EX188" s="738"/>
      <c r="EY188" s="738"/>
      <c r="EZ188" s="738"/>
      <c r="FA188" s="738"/>
      <c r="FB188" s="738"/>
      <c r="FC188" s="738"/>
      <c r="FD188" s="738"/>
      <c r="FE188" s="738"/>
      <c r="FF188" s="738"/>
      <c r="FG188" s="738"/>
      <c r="FH188" s="738"/>
      <c r="FI188" s="738"/>
      <c r="FJ188" s="738"/>
      <c r="FK188" s="738"/>
      <c r="FL188" s="902"/>
    </row>
    <row r="189" spans="1:268" s="791" customFormat="1" ht="15" customHeight="1" x14ac:dyDescent="0.25">
      <c r="A189" s="876" t="s">
        <v>1224</v>
      </c>
      <c r="B189" s="822" t="s">
        <v>294</v>
      </c>
      <c r="C189" s="778">
        <f t="shared" si="154"/>
        <v>9.5000000000000001E-2</v>
      </c>
      <c r="D189" s="844">
        <v>10</v>
      </c>
      <c r="E189" s="844" t="s">
        <v>884</v>
      </c>
      <c r="F189" s="862">
        <v>45300</v>
      </c>
      <c r="G189" s="862">
        <v>45300</v>
      </c>
      <c r="H189" s="781">
        <f t="shared" si="155"/>
        <v>48950</v>
      </c>
      <c r="I189" s="815">
        <v>295000</v>
      </c>
      <c r="J189" s="805">
        <f t="shared" si="156"/>
        <v>14750</v>
      </c>
      <c r="K189" s="793"/>
      <c r="L189" s="793"/>
      <c r="M189" s="793"/>
      <c r="N189" s="793"/>
      <c r="O189" s="793"/>
      <c r="P189" s="793"/>
      <c r="Q189" s="793"/>
      <c r="R189" s="793"/>
      <c r="S189" s="793"/>
      <c r="T189" s="793"/>
      <c r="U189" s="793"/>
      <c r="V189" s="793"/>
      <c r="W189" s="793"/>
      <c r="X189" s="793"/>
      <c r="Y189" s="793"/>
      <c r="Z189" s="793"/>
      <c r="AA189" s="793"/>
      <c r="AB189" s="793"/>
      <c r="AC189" s="793"/>
      <c r="AD189" s="793"/>
      <c r="AE189" s="793"/>
      <c r="AF189" s="793"/>
      <c r="AG189" s="793"/>
      <c r="AH189" s="805"/>
      <c r="AI189" s="805"/>
      <c r="AJ189" s="793"/>
      <c r="AK189" s="793"/>
      <c r="AL189" s="793"/>
      <c r="AM189" s="793"/>
      <c r="AN189" s="805"/>
      <c r="AO189" s="805"/>
      <c r="AP189" s="793">
        <f t="shared" si="140"/>
        <v>0</v>
      </c>
      <c r="AQ189" s="793">
        <f t="shared" si="157"/>
        <v>295000</v>
      </c>
      <c r="AR189" s="793">
        <f t="shared" si="158"/>
        <v>83</v>
      </c>
      <c r="AS189" s="793">
        <f t="shared" si="159"/>
        <v>6373</v>
      </c>
      <c r="AT189" s="793">
        <f t="shared" si="160"/>
        <v>6373</v>
      </c>
      <c r="AU189" s="793">
        <f t="shared" si="145"/>
        <v>288627</v>
      </c>
      <c r="AV189" s="793">
        <f t="shared" si="146"/>
        <v>288627</v>
      </c>
      <c r="AW189" s="793">
        <f t="shared" si="161"/>
        <v>295000</v>
      </c>
      <c r="AX189" s="793">
        <f t="shared" si="162"/>
        <v>365</v>
      </c>
      <c r="AY189" s="793">
        <f t="shared" si="163"/>
        <v>28025</v>
      </c>
      <c r="AZ189" s="793">
        <f t="shared" si="164"/>
        <v>34398</v>
      </c>
      <c r="BA189" s="793">
        <f t="shared" si="151"/>
        <v>260602</v>
      </c>
      <c r="BB189" s="1328"/>
      <c r="BC189" s="738"/>
      <c r="BD189" s="738"/>
      <c r="BE189" s="1329"/>
      <c r="BF189" s="738"/>
      <c r="BG189" s="738"/>
      <c r="BH189" s="738"/>
      <c r="BI189" s="738"/>
      <c r="BJ189" s="738"/>
      <c r="BK189" s="738"/>
      <c r="BL189" s="738"/>
      <c r="BM189" s="738"/>
      <c r="BN189" s="738"/>
      <c r="BO189" s="738"/>
      <c r="BP189" s="738"/>
      <c r="BQ189" s="738"/>
      <c r="BR189" s="738"/>
      <c r="BS189" s="738"/>
      <c r="BT189" s="738"/>
      <c r="BU189" s="738"/>
      <c r="BV189" s="738"/>
      <c r="BW189" s="738"/>
      <c r="BX189" s="738"/>
      <c r="BY189" s="738"/>
      <c r="BZ189" s="738"/>
      <c r="CA189" s="738"/>
      <c r="CB189" s="738"/>
      <c r="CC189" s="738"/>
      <c r="CD189" s="738"/>
      <c r="CE189" s="738"/>
      <c r="CF189" s="738"/>
      <c r="CG189" s="738"/>
      <c r="CH189" s="738"/>
      <c r="CI189" s="738"/>
      <c r="CJ189" s="738"/>
      <c r="CK189" s="738"/>
      <c r="CL189" s="738"/>
      <c r="CM189" s="738"/>
      <c r="CN189" s="738"/>
      <c r="CO189" s="738"/>
      <c r="CP189" s="738"/>
      <c r="CQ189" s="738"/>
      <c r="CR189" s="738"/>
      <c r="CS189" s="738"/>
      <c r="CT189" s="738"/>
      <c r="CU189" s="738"/>
      <c r="CV189" s="738"/>
      <c r="CW189" s="738"/>
      <c r="CX189" s="738"/>
      <c r="CY189" s="738"/>
      <c r="CZ189" s="738"/>
      <c r="DA189" s="738"/>
      <c r="DB189" s="738"/>
      <c r="DC189" s="738"/>
      <c r="DD189" s="738"/>
      <c r="DE189" s="738"/>
      <c r="DF189" s="738"/>
      <c r="DG189" s="738"/>
      <c r="DH189" s="738"/>
      <c r="DI189" s="738"/>
      <c r="DJ189" s="738"/>
      <c r="DK189" s="738"/>
      <c r="DL189" s="738"/>
      <c r="DM189" s="738"/>
      <c r="DN189" s="738"/>
      <c r="DO189" s="738"/>
      <c r="DP189" s="738"/>
      <c r="DQ189" s="738"/>
      <c r="DR189" s="738"/>
      <c r="DS189" s="738"/>
      <c r="DT189" s="738"/>
      <c r="DU189" s="738"/>
      <c r="DV189" s="738"/>
      <c r="DW189" s="738"/>
      <c r="DX189" s="738"/>
      <c r="DY189" s="738"/>
      <c r="DZ189" s="738"/>
      <c r="EA189" s="738"/>
      <c r="EB189" s="738"/>
      <c r="EC189" s="738"/>
      <c r="ED189" s="738"/>
      <c r="EE189" s="738"/>
      <c r="EF189" s="738"/>
      <c r="EG189" s="738"/>
      <c r="EH189" s="738"/>
      <c r="EI189" s="738"/>
      <c r="EJ189" s="738"/>
      <c r="EK189" s="738"/>
      <c r="EL189" s="738"/>
      <c r="EM189" s="738"/>
      <c r="EN189" s="738"/>
      <c r="EO189" s="738"/>
      <c r="EP189" s="738"/>
      <c r="EQ189" s="738"/>
      <c r="ER189" s="738"/>
      <c r="ES189" s="738"/>
      <c r="ET189" s="738"/>
      <c r="EU189" s="738"/>
      <c r="EV189" s="738"/>
      <c r="EW189" s="738"/>
      <c r="EX189" s="738"/>
      <c r="EY189" s="738"/>
      <c r="EZ189" s="738"/>
      <c r="FA189" s="738"/>
      <c r="FB189" s="738"/>
      <c r="FC189" s="738"/>
      <c r="FD189" s="738"/>
      <c r="FE189" s="738"/>
      <c r="FF189" s="738"/>
      <c r="FG189" s="738"/>
      <c r="FH189" s="738"/>
      <c r="FI189" s="738"/>
      <c r="FJ189" s="738"/>
      <c r="FK189" s="738"/>
      <c r="FL189" s="902"/>
    </row>
    <row r="190" spans="1:268" s="791" customFormat="1" ht="15" customHeight="1" x14ac:dyDescent="0.25">
      <c r="A190" s="876" t="s">
        <v>1224</v>
      </c>
      <c r="B190" s="822" t="s">
        <v>294</v>
      </c>
      <c r="C190" s="778">
        <f t="shared" si="154"/>
        <v>9.5000000000000001E-2</v>
      </c>
      <c r="D190" s="844">
        <v>10</v>
      </c>
      <c r="E190" s="844" t="s">
        <v>884</v>
      </c>
      <c r="F190" s="862">
        <v>45304</v>
      </c>
      <c r="G190" s="862">
        <v>45304</v>
      </c>
      <c r="H190" s="781">
        <f t="shared" si="155"/>
        <v>48954</v>
      </c>
      <c r="I190" s="815">
        <v>272402</v>
      </c>
      <c r="J190" s="805">
        <f t="shared" si="156"/>
        <v>13620.1</v>
      </c>
      <c r="K190" s="793"/>
      <c r="L190" s="793"/>
      <c r="M190" s="793"/>
      <c r="N190" s="793"/>
      <c r="O190" s="793"/>
      <c r="P190" s="793"/>
      <c r="Q190" s="793"/>
      <c r="R190" s="793"/>
      <c r="S190" s="793"/>
      <c r="T190" s="793"/>
      <c r="U190" s="793"/>
      <c r="V190" s="793"/>
      <c r="W190" s="793"/>
      <c r="X190" s="793"/>
      <c r="Y190" s="793"/>
      <c r="Z190" s="793"/>
      <c r="AA190" s="793"/>
      <c r="AB190" s="793"/>
      <c r="AC190" s="793"/>
      <c r="AD190" s="793"/>
      <c r="AE190" s="793"/>
      <c r="AF190" s="793"/>
      <c r="AG190" s="793"/>
      <c r="AH190" s="805"/>
      <c r="AI190" s="805"/>
      <c r="AJ190" s="793"/>
      <c r="AK190" s="793"/>
      <c r="AL190" s="793"/>
      <c r="AM190" s="793"/>
      <c r="AN190" s="805"/>
      <c r="AO190" s="805"/>
      <c r="AP190" s="793">
        <f t="shared" si="140"/>
        <v>0</v>
      </c>
      <c r="AQ190" s="793">
        <f t="shared" si="157"/>
        <v>272402</v>
      </c>
      <c r="AR190" s="793">
        <f t="shared" si="158"/>
        <v>79</v>
      </c>
      <c r="AS190" s="793">
        <f t="shared" si="159"/>
        <v>5601</v>
      </c>
      <c r="AT190" s="793">
        <f t="shared" si="160"/>
        <v>5601</v>
      </c>
      <c r="AU190" s="793">
        <f t="shared" si="145"/>
        <v>266801</v>
      </c>
      <c r="AV190" s="793">
        <f t="shared" si="146"/>
        <v>266801</v>
      </c>
      <c r="AW190" s="793">
        <f t="shared" si="161"/>
        <v>272402</v>
      </c>
      <c r="AX190" s="793">
        <f t="shared" si="162"/>
        <v>365</v>
      </c>
      <c r="AY190" s="793">
        <f t="shared" si="163"/>
        <v>25878</v>
      </c>
      <c r="AZ190" s="793">
        <f t="shared" si="164"/>
        <v>31479</v>
      </c>
      <c r="BA190" s="793">
        <f t="shared" si="151"/>
        <v>240923</v>
      </c>
      <c r="BB190" s="1328"/>
      <c r="BC190" s="738"/>
      <c r="BD190" s="738"/>
      <c r="BE190" s="1329"/>
      <c r="BF190" s="738"/>
      <c r="BG190" s="738"/>
      <c r="BH190" s="738"/>
      <c r="BI190" s="738"/>
      <c r="BJ190" s="738"/>
      <c r="BK190" s="738"/>
      <c r="BL190" s="738"/>
      <c r="BM190" s="738"/>
      <c r="BN190" s="738"/>
      <c r="BO190" s="738"/>
      <c r="BP190" s="738"/>
      <c r="BQ190" s="738"/>
      <c r="BR190" s="738"/>
      <c r="BS190" s="738"/>
      <c r="BT190" s="738"/>
      <c r="BU190" s="738"/>
      <c r="BV190" s="738"/>
      <c r="BW190" s="738"/>
      <c r="BX190" s="738"/>
      <c r="BY190" s="738"/>
      <c r="BZ190" s="738"/>
      <c r="CA190" s="738"/>
      <c r="CB190" s="738"/>
      <c r="CC190" s="738"/>
      <c r="CD190" s="738"/>
      <c r="CE190" s="738"/>
      <c r="CF190" s="738"/>
      <c r="CG190" s="738"/>
      <c r="CH190" s="738"/>
      <c r="CI190" s="738"/>
      <c r="CJ190" s="738"/>
      <c r="CK190" s="738"/>
      <c r="CL190" s="738"/>
      <c r="CM190" s="738"/>
      <c r="CN190" s="738"/>
      <c r="CO190" s="738"/>
      <c r="CP190" s="738"/>
      <c r="CQ190" s="738"/>
      <c r="CR190" s="738"/>
      <c r="CS190" s="738"/>
      <c r="CT190" s="738"/>
      <c r="CU190" s="738"/>
      <c r="CV190" s="738"/>
      <c r="CW190" s="738"/>
      <c r="CX190" s="738"/>
      <c r="CY190" s="738"/>
      <c r="CZ190" s="738"/>
      <c r="DA190" s="738"/>
      <c r="DB190" s="738"/>
      <c r="DC190" s="738"/>
      <c r="DD190" s="738"/>
      <c r="DE190" s="738"/>
      <c r="DF190" s="738"/>
      <c r="DG190" s="738"/>
      <c r="DH190" s="738"/>
      <c r="DI190" s="738"/>
      <c r="DJ190" s="738"/>
      <c r="DK190" s="738"/>
      <c r="DL190" s="738"/>
      <c r="DM190" s="738"/>
      <c r="DN190" s="738"/>
      <c r="DO190" s="738"/>
      <c r="DP190" s="738"/>
      <c r="DQ190" s="738"/>
      <c r="DR190" s="738"/>
      <c r="DS190" s="738"/>
      <c r="DT190" s="738"/>
      <c r="DU190" s="738"/>
      <c r="DV190" s="738"/>
      <c r="DW190" s="738"/>
      <c r="DX190" s="738"/>
      <c r="DY190" s="738"/>
      <c r="DZ190" s="738"/>
      <c r="EA190" s="738"/>
      <c r="EB190" s="738"/>
      <c r="EC190" s="738"/>
      <c r="ED190" s="738"/>
      <c r="EE190" s="738"/>
      <c r="EF190" s="738"/>
      <c r="EG190" s="738"/>
      <c r="EH190" s="738"/>
      <c r="EI190" s="738"/>
      <c r="EJ190" s="738"/>
      <c r="EK190" s="738"/>
      <c r="EL190" s="738"/>
      <c r="EM190" s="738"/>
      <c r="EN190" s="738"/>
      <c r="EO190" s="738"/>
      <c r="EP190" s="738"/>
      <c r="EQ190" s="738"/>
      <c r="ER190" s="738"/>
      <c r="ES190" s="738"/>
      <c r="ET190" s="738"/>
      <c r="EU190" s="738"/>
      <c r="EV190" s="738"/>
      <c r="EW190" s="738"/>
      <c r="EX190" s="738"/>
      <c r="EY190" s="738"/>
      <c r="EZ190" s="738"/>
      <c r="FA190" s="738"/>
      <c r="FB190" s="738"/>
      <c r="FC190" s="738"/>
      <c r="FD190" s="738"/>
      <c r="FE190" s="738"/>
      <c r="FF190" s="738"/>
      <c r="FG190" s="738"/>
      <c r="FH190" s="738"/>
      <c r="FI190" s="738"/>
      <c r="FJ190" s="738"/>
      <c r="FK190" s="738"/>
      <c r="FL190" s="903"/>
      <c r="FM190" s="809"/>
      <c r="FN190" s="809"/>
      <c r="FO190" s="809"/>
      <c r="FP190" s="809"/>
      <c r="FQ190" s="809"/>
      <c r="FR190" s="809"/>
      <c r="FS190" s="809"/>
      <c r="FT190" s="809"/>
      <c r="FU190" s="809"/>
      <c r="FV190" s="809"/>
      <c r="FW190" s="809"/>
      <c r="FX190" s="809"/>
      <c r="FY190" s="809"/>
      <c r="FZ190" s="809"/>
      <c r="GA190" s="809"/>
      <c r="GB190" s="809"/>
      <c r="GC190" s="809"/>
      <c r="GD190" s="809"/>
      <c r="GE190" s="809"/>
      <c r="GF190" s="809"/>
      <c r="GG190" s="809"/>
      <c r="GH190" s="809"/>
      <c r="GI190" s="809"/>
      <c r="GJ190" s="809"/>
      <c r="GK190" s="809"/>
      <c r="GL190" s="809"/>
      <c r="GM190" s="809"/>
      <c r="GN190" s="809"/>
      <c r="GO190" s="809"/>
      <c r="GP190" s="809"/>
      <c r="GQ190" s="809"/>
      <c r="GR190" s="809"/>
      <c r="GS190" s="809"/>
      <c r="GT190" s="809"/>
      <c r="GU190" s="809"/>
      <c r="GV190" s="809"/>
      <c r="GW190" s="809"/>
      <c r="GX190" s="809"/>
      <c r="GY190" s="809"/>
      <c r="GZ190" s="809"/>
      <c r="HA190" s="809"/>
      <c r="HB190" s="809"/>
      <c r="HC190" s="809"/>
      <c r="HD190" s="809"/>
      <c r="HE190" s="809"/>
      <c r="HF190" s="809"/>
      <c r="HG190" s="809"/>
      <c r="HH190" s="809"/>
      <c r="HI190" s="809"/>
      <c r="HJ190" s="809"/>
      <c r="HK190" s="809"/>
      <c r="HL190" s="809"/>
      <c r="HM190" s="809"/>
      <c r="HN190" s="809"/>
      <c r="HO190" s="809"/>
      <c r="HP190" s="809"/>
      <c r="HQ190" s="809"/>
      <c r="HR190" s="809"/>
      <c r="HS190" s="809"/>
      <c r="HT190" s="809"/>
      <c r="HU190" s="809"/>
      <c r="HV190" s="809"/>
      <c r="HW190" s="809"/>
      <c r="HX190" s="809"/>
      <c r="HY190" s="809"/>
      <c r="HZ190" s="809"/>
      <c r="IA190" s="809"/>
      <c r="IB190" s="809"/>
      <c r="IC190" s="809"/>
      <c r="ID190" s="809"/>
      <c r="IE190" s="809"/>
      <c r="IF190" s="809"/>
      <c r="IG190" s="809"/>
      <c r="IH190" s="809"/>
      <c r="II190" s="809"/>
      <c r="IJ190" s="809"/>
      <c r="IK190" s="809"/>
      <c r="IL190" s="809"/>
      <c r="IM190" s="809"/>
      <c r="IN190" s="809"/>
      <c r="IO190" s="809"/>
      <c r="IP190" s="809"/>
      <c r="IQ190" s="809"/>
      <c r="IR190" s="809"/>
      <c r="IS190" s="809"/>
      <c r="IT190" s="809"/>
      <c r="IU190" s="809"/>
      <c r="IV190" s="809"/>
      <c r="IW190" s="809"/>
      <c r="IX190" s="809"/>
      <c r="IY190" s="809"/>
      <c r="IZ190" s="809"/>
      <c r="JA190" s="809"/>
      <c r="JB190" s="809"/>
      <c r="JC190" s="809"/>
      <c r="JD190" s="809"/>
      <c r="JE190" s="809"/>
      <c r="JF190" s="809"/>
      <c r="JG190" s="809"/>
      <c r="JH190" s="809"/>
    </row>
    <row r="191" spans="1:268" s="791" customFormat="1" ht="15" customHeight="1" x14ac:dyDescent="0.25">
      <c r="A191" s="876" t="s">
        <v>1224</v>
      </c>
      <c r="B191" s="822" t="s">
        <v>298</v>
      </c>
      <c r="C191" s="778">
        <f t="shared" si="154"/>
        <v>9.5000000000000001E-2</v>
      </c>
      <c r="D191" s="844">
        <v>10</v>
      </c>
      <c r="E191" s="844" t="s">
        <v>884</v>
      </c>
      <c r="F191" s="862">
        <v>45310</v>
      </c>
      <c r="G191" s="862">
        <v>45310</v>
      </c>
      <c r="H191" s="781">
        <f t="shared" si="155"/>
        <v>48960</v>
      </c>
      <c r="I191" s="815">
        <v>62000</v>
      </c>
      <c r="J191" s="805">
        <f t="shared" si="156"/>
        <v>3100</v>
      </c>
      <c r="K191" s="793"/>
      <c r="L191" s="793"/>
      <c r="M191" s="793"/>
      <c r="N191" s="793"/>
      <c r="O191" s="793"/>
      <c r="P191" s="793"/>
      <c r="Q191" s="793"/>
      <c r="R191" s="793"/>
      <c r="S191" s="793"/>
      <c r="T191" s="793"/>
      <c r="U191" s="793"/>
      <c r="V191" s="793"/>
      <c r="W191" s="793"/>
      <c r="X191" s="793"/>
      <c r="Y191" s="793"/>
      <c r="Z191" s="793"/>
      <c r="AA191" s="793"/>
      <c r="AB191" s="793"/>
      <c r="AC191" s="793"/>
      <c r="AD191" s="793"/>
      <c r="AE191" s="793"/>
      <c r="AF191" s="793"/>
      <c r="AG191" s="793"/>
      <c r="AH191" s="805"/>
      <c r="AI191" s="805"/>
      <c r="AJ191" s="793"/>
      <c r="AK191" s="793"/>
      <c r="AL191" s="793"/>
      <c r="AM191" s="793"/>
      <c r="AN191" s="805"/>
      <c r="AO191" s="805"/>
      <c r="AP191" s="793">
        <f t="shared" si="140"/>
        <v>0</v>
      </c>
      <c r="AQ191" s="793">
        <f t="shared" si="157"/>
        <v>62000</v>
      </c>
      <c r="AR191" s="793">
        <f t="shared" si="158"/>
        <v>73</v>
      </c>
      <c r="AS191" s="793">
        <f t="shared" si="159"/>
        <v>1178</v>
      </c>
      <c r="AT191" s="793">
        <f t="shared" si="160"/>
        <v>1178</v>
      </c>
      <c r="AU191" s="793">
        <f t="shared" si="145"/>
        <v>60822</v>
      </c>
      <c r="AV191" s="793">
        <f t="shared" si="146"/>
        <v>60822</v>
      </c>
      <c r="AW191" s="793">
        <f t="shared" si="161"/>
        <v>62000</v>
      </c>
      <c r="AX191" s="793">
        <f t="shared" si="162"/>
        <v>365</v>
      </c>
      <c r="AY191" s="793">
        <f t="shared" si="163"/>
        <v>5890</v>
      </c>
      <c r="AZ191" s="793">
        <f t="shared" si="164"/>
        <v>7068</v>
      </c>
      <c r="BA191" s="793">
        <f t="shared" si="151"/>
        <v>54932</v>
      </c>
      <c r="BB191" s="1328"/>
      <c r="BC191" s="738"/>
      <c r="BD191" s="738"/>
      <c r="BE191" s="1329"/>
      <c r="BF191" s="738"/>
      <c r="BG191" s="738"/>
      <c r="BH191" s="738"/>
      <c r="BI191" s="738"/>
      <c r="BJ191" s="738"/>
      <c r="BK191" s="738"/>
      <c r="BL191" s="738"/>
      <c r="BM191" s="738"/>
      <c r="BN191" s="738"/>
      <c r="BO191" s="738"/>
      <c r="BP191" s="738"/>
      <c r="BQ191" s="738"/>
      <c r="BR191" s="738"/>
      <c r="BS191" s="738"/>
      <c r="BT191" s="738"/>
      <c r="BU191" s="738"/>
      <c r="BV191" s="738"/>
      <c r="BW191" s="738"/>
      <c r="BX191" s="738"/>
      <c r="BY191" s="738"/>
      <c r="BZ191" s="738"/>
      <c r="CA191" s="738"/>
      <c r="CB191" s="738"/>
      <c r="CC191" s="738"/>
      <c r="CD191" s="738"/>
      <c r="CE191" s="738"/>
      <c r="CF191" s="738"/>
      <c r="CG191" s="738"/>
      <c r="CH191" s="738"/>
      <c r="CI191" s="738"/>
      <c r="CJ191" s="738"/>
      <c r="CK191" s="738"/>
      <c r="CL191" s="738"/>
      <c r="CM191" s="738"/>
      <c r="CN191" s="738"/>
      <c r="CO191" s="738"/>
      <c r="CP191" s="738"/>
      <c r="CQ191" s="738"/>
      <c r="CR191" s="738"/>
      <c r="CS191" s="738"/>
      <c r="CT191" s="738"/>
      <c r="CU191" s="738"/>
      <c r="CV191" s="738"/>
      <c r="CW191" s="738"/>
      <c r="CX191" s="738"/>
      <c r="CY191" s="738"/>
      <c r="CZ191" s="738"/>
      <c r="DA191" s="738"/>
      <c r="DB191" s="738"/>
      <c r="DC191" s="738"/>
      <c r="DD191" s="738"/>
      <c r="DE191" s="738"/>
      <c r="DF191" s="738"/>
      <c r="DG191" s="738"/>
      <c r="DH191" s="738"/>
      <c r="DI191" s="738"/>
      <c r="DJ191" s="738"/>
      <c r="DK191" s="738"/>
      <c r="DL191" s="738"/>
      <c r="DM191" s="738"/>
      <c r="DN191" s="738"/>
      <c r="DO191" s="738"/>
      <c r="DP191" s="738"/>
      <c r="DQ191" s="738"/>
      <c r="DR191" s="738"/>
      <c r="DS191" s="738"/>
      <c r="DT191" s="738"/>
      <c r="DU191" s="738"/>
      <c r="DV191" s="738"/>
      <c r="DW191" s="738"/>
      <c r="DX191" s="738"/>
      <c r="DY191" s="738"/>
      <c r="DZ191" s="738"/>
      <c r="EA191" s="738"/>
      <c r="EB191" s="738"/>
      <c r="EC191" s="738"/>
      <c r="ED191" s="738"/>
      <c r="EE191" s="738"/>
      <c r="EF191" s="738"/>
      <c r="EG191" s="738"/>
      <c r="EH191" s="738"/>
      <c r="EI191" s="738"/>
      <c r="EJ191" s="738"/>
      <c r="EK191" s="738"/>
      <c r="EL191" s="738"/>
      <c r="EM191" s="738"/>
      <c r="EN191" s="738"/>
      <c r="EO191" s="738"/>
      <c r="EP191" s="738"/>
      <c r="EQ191" s="738"/>
      <c r="ER191" s="738"/>
      <c r="ES191" s="738"/>
      <c r="ET191" s="738"/>
      <c r="EU191" s="738"/>
      <c r="EV191" s="738"/>
      <c r="EW191" s="738"/>
      <c r="EX191" s="738"/>
      <c r="EY191" s="738"/>
      <c r="EZ191" s="738"/>
      <c r="FA191" s="738"/>
      <c r="FB191" s="738"/>
      <c r="FC191" s="738"/>
      <c r="FD191" s="738"/>
      <c r="FE191" s="738"/>
      <c r="FF191" s="738"/>
      <c r="FG191" s="738"/>
      <c r="FH191" s="738"/>
      <c r="FI191" s="738"/>
      <c r="FJ191" s="738"/>
      <c r="FK191" s="738"/>
      <c r="FL191" s="738"/>
      <c r="FM191" s="738"/>
      <c r="FN191" s="738"/>
      <c r="FO191" s="738"/>
      <c r="FP191" s="738"/>
      <c r="FQ191" s="738"/>
      <c r="FR191" s="738"/>
      <c r="FS191" s="738"/>
      <c r="FT191" s="738"/>
      <c r="FU191" s="738"/>
      <c r="FV191" s="738"/>
      <c r="FW191" s="738"/>
      <c r="FX191" s="738"/>
      <c r="FY191" s="738"/>
      <c r="FZ191" s="738"/>
      <c r="GA191" s="738"/>
      <c r="GB191" s="738"/>
      <c r="GC191" s="738"/>
      <c r="GD191" s="738"/>
      <c r="GE191" s="738"/>
      <c r="GF191" s="738"/>
      <c r="GG191" s="738"/>
      <c r="GH191" s="738"/>
      <c r="GI191" s="738"/>
      <c r="GJ191" s="738"/>
      <c r="GK191" s="738"/>
      <c r="GL191" s="738"/>
      <c r="GM191" s="738"/>
      <c r="GN191" s="738"/>
      <c r="GO191" s="738"/>
      <c r="GP191" s="738"/>
      <c r="GQ191" s="738"/>
      <c r="GR191" s="738"/>
      <c r="GS191" s="738"/>
      <c r="GT191" s="738"/>
      <c r="GU191" s="738"/>
      <c r="GV191" s="738"/>
      <c r="GW191" s="738"/>
      <c r="GX191" s="738"/>
      <c r="GY191" s="738"/>
      <c r="GZ191" s="738"/>
      <c r="HA191" s="738"/>
      <c r="HB191" s="738"/>
      <c r="HC191" s="738"/>
      <c r="HD191" s="738"/>
      <c r="HE191" s="738"/>
      <c r="HF191" s="738"/>
      <c r="HG191" s="738"/>
      <c r="HH191" s="738"/>
      <c r="HI191" s="738"/>
      <c r="HJ191" s="738"/>
      <c r="HK191" s="738"/>
      <c r="HL191" s="738"/>
      <c r="HM191" s="738"/>
      <c r="HN191" s="738"/>
      <c r="HO191" s="738"/>
      <c r="HP191" s="738"/>
      <c r="HQ191" s="738"/>
      <c r="HR191" s="738"/>
      <c r="HS191" s="738"/>
      <c r="HT191" s="738"/>
      <c r="HU191" s="738"/>
      <c r="HV191" s="738"/>
      <c r="HW191" s="738"/>
      <c r="HX191" s="738"/>
      <c r="HY191" s="738"/>
      <c r="HZ191" s="738"/>
      <c r="IA191" s="738"/>
      <c r="IB191" s="738"/>
      <c r="IC191" s="738"/>
      <c r="ID191" s="738"/>
      <c r="IE191" s="738"/>
      <c r="IF191" s="738"/>
      <c r="IG191" s="738"/>
      <c r="IH191" s="738"/>
      <c r="II191" s="738"/>
      <c r="IJ191" s="738"/>
      <c r="IK191" s="738"/>
      <c r="IL191" s="738"/>
      <c r="IM191" s="738"/>
      <c r="IN191" s="738"/>
      <c r="IO191" s="738"/>
      <c r="IP191" s="738"/>
      <c r="IQ191" s="738"/>
      <c r="IR191" s="738"/>
      <c r="IS191" s="738"/>
      <c r="IT191" s="738"/>
      <c r="IU191" s="738"/>
      <c r="IV191" s="738"/>
      <c r="IW191" s="738"/>
      <c r="IX191" s="738"/>
      <c r="IY191" s="738"/>
      <c r="IZ191" s="738"/>
      <c r="JA191" s="738"/>
      <c r="JB191" s="738"/>
      <c r="JC191" s="738"/>
      <c r="JD191" s="738"/>
      <c r="JE191" s="738"/>
      <c r="JF191" s="738"/>
      <c r="JG191" s="738"/>
      <c r="JH191" s="738"/>
    </row>
    <row r="192" spans="1:268" s="791" customFormat="1" ht="15" customHeight="1" x14ac:dyDescent="0.25">
      <c r="A192" s="876" t="s">
        <v>1224</v>
      </c>
      <c r="B192" s="822" t="s">
        <v>298</v>
      </c>
      <c r="C192" s="778">
        <f t="shared" si="154"/>
        <v>9.5000000000000001E-2</v>
      </c>
      <c r="D192" s="844">
        <v>10</v>
      </c>
      <c r="E192" s="844" t="s">
        <v>884</v>
      </c>
      <c r="F192" s="862">
        <v>45316</v>
      </c>
      <c r="G192" s="862">
        <v>45316</v>
      </c>
      <c r="H192" s="781">
        <f t="shared" si="155"/>
        <v>48966</v>
      </c>
      <c r="I192" s="815">
        <v>940000</v>
      </c>
      <c r="J192" s="805">
        <f t="shared" si="156"/>
        <v>47000</v>
      </c>
      <c r="K192" s="793"/>
      <c r="L192" s="793"/>
      <c r="M192" s="793"/>
      <c r="N192" s="793"/>
      <c r="O192" s="793"/>
      <c r="P192" s="793"/>
      <c r="Q192" s="793"/>
      <c r="R192" s="793"/>
      <c r="S192" s="793"/>
      <c r="T192" s="793"/>
      <c r="U192" s="793"/>
      <c r="V192" s="793"/>
      <c r="W192" s="793"/>
      <c r="X192" s="793"/>
      <c r="Y192" s="793"/>
      <c r="Z192" s="793"/>
      <c r="AA192" s="793"/>
      <c r="AB192" s="793"/>
      <c r="AC192" s="793"/>
      <c r="AD192" s="793"/>
      <c r="AE192" s="793"/>
      <c r="AF192" s="793"/>
      <c r="AG192" s="793"/>
      <c r="AH192" s="805"/>
      <c r="AI192" s="805"/>
      <c r="AJ192" s="793"/>
      <c r="AK192" s="793"/>
      <c r="AL192" s="793"/>
      <c r="AM192" s="793"/>
      <c r="AN192" s="805"/>
      <c r="AO192" s="805"/>
      <c r="AP192" s="793">
        <f t="shared" si="140"/>
        <v>0</v>
      </c>
      <c r="AQ192" s="793">
        <f t="shared" si="157"/>
        <v>940000</v>
      </c>
      <c r="AR192" s="793">
        <f t="shared" si="158"/>
        <v>67</v>
      </c>
      <c r="AS192" s="793">
        <f t="shared" si="159"/>
        <v>16392</v>
      </c>
      <c r="AT192" s="793">
        <f t="shared" si="160"/>
        <v>16392</v>
      </c>
      <c r="AU192" s="793">
        <f t="shared" si="145"/>
        <v>923608</v>
      </c>
      <c r="AV192" s="793">
        <f t="shared" si="146"/>
        <v>923608</v>
      </c>
      <c r="AW192" s="793">
        <f t="shared" si="161"/>
        <v>940000</v>
      </c>
      <c r="AX192" s="793">
        <f t="shared" si="162"/>
        <v>365</v>
      </c>
      <c r="AY192" s="793">
        <f t="shared" si="163"/>
        <v>89300</v>
      </c>
      <c r="AZ192" s="793">
        <f t="shared" si="164"/>
        <v>105692</v>
      </c>
      <c r="BA192" s="793">
        <f t="shared" si="151"/>
        <v>834308</v>
      </c>
      <c r="BB192" s="1328"/>
      <c r="BC192" s="738"/>
      <c r="BD192" s="738"/>
      <c r="BE192" s="1329"/>
      <c r="BF192" s="738"/>
      <c r="BG192" s="738"/>
      <c r="BH192" s="738"/>
      <c r="BI192" s="738"/>
      <c r="BJ192" s="738"/>
      <c r="BK192" s="738"/>
      <c r="BL192" s="738"/>
      <c r="BM192" s="738"/>
      <c r="BN192" s="738"/>
      <c r="BO192" s="738"/>
      <c r="BP192" s="738"/>
      <c r="BQ192" s="738"/>
      <c r="BR192" s="738"/>
      <c r="BS192" s="738"/>
      <c r="BT192" s="738"/>
      <c r="BU192" s="738"/>
      <c r="BV192" s="738"/>
      <c r="BW192" s="738"/>
      <c r="BX192" s="738"/>
      <c r="BY192" s="738"/>
      <c r="BZ192" s="738"/>
      <c r="CA192" s="738"/>
      <c r="CB192" s="738"/>
      <c r="CC192" s="738"/>
      <c r="CD192" s="738"/>
      <c r="CE192" s="738"/>
      <c r="CF192" s="738"/>
      <c r="CG192" s="738"/>
      <c r="CH192" s="738"/>
      <c r="CI192" s="738"/>
      <c r="CJ192" s="738"/>
      <c r="CK192" s="738"/>
      <c r="CL192" s="738"/>
      <c r="CM192" s="738"/>
      <c r="CN192" s="738"/>
      <c r="CO192" s="738"/>
      <c r="CP192" s="738"/>
      <c r="CQ192" s="738"/>
      <c r="CR192" s="738"/>
      <c r="CS192" s="738"/>
      <c r="CT192" s="738"/>
      <c r="CU192" s="738"/>
      <c r="CV192" s="738"/>
      <c r="CW192" s="738"/>
      <c r="CX192" s="738"/>
      <c r="CY192" s="738"/>
      <c r="CZ192" s="738"/>
      <c r="DA192" s="738"/>
      <c r="DB192" s="738"/>
      <c r="DC192" s="738"/>
      <c r="DD192" s="738"/>
      <c r="DE192" s="738"/>
      <c r="DF192" s="738"/>
      <c r="DG192" s="738"/>
      <c r="DH192" s="738"/>
      <c r="DI192" s="738"/>
      <c r="DJ192" s="738"/>
      <c r="DK192" s="738"/>
      <c r="DL192" s="738"/>
      <c r="DM192" s="738"/>
      <c r="DN192" s="738"/>
      <c r="DO192" s="738"/>
      <c r="DP192" s="738"/>
      <c r="DQ192" s="738"/>
      <c r="DR192" s="738"/>
      <c r="DS192" s="738"/>
      <c r="DT192" s="738"/>
      <c r="DU192" s="738"/>
      <c r="DV192" s="738"/>
      <c r="DW192" s="738"/>
      <c r="DX192" s="738"/>
      <c r="DY192" s="738"/>
      <c r="DZ192" s="738"/>
      <c r="EA192" s="738"/>
      <c r="EB192" s="738"/>
      <c r="EC192" s="738"/>
      <c r="ED192" s="738"/>
      <c r="EE192" s="738"/>
      <c r="EF192" s="738"/>
      <c r="EG192" s="738"/>
      <c r="EH192" s="738"/>
      <c r="EI192" s="738"/>
      <c r="EJ192" s="738"/>
      <c r="EK192" s="738"/>
      <c r="EL192" s="738"/>
      <c r="EM192" s="738"/>
      <c r="EN192" s="738"/>
      <c r="EO192" s="738"/>
      <c r="EP192" s="738"/>
      <c r="EQ192" s="738"/>
      <c r="ER192" s="738"/>
      <c r="ES192" s="738"/>
      <c r="ET192" s="738"/>
      <c r="EU192" s="738"/>
      <c r="EV192" s="738"/>
      <c r="EW192" s="738"/>
      <c r="EX192" s="738"/>
      <c r="EY192" s="738"/>
      <c r="EZ192" s="738"/>
      <c r="FA192" s="738"/>
      <c r="FB192" s="738"/>
      <c r="FC192" s="738"/>
      <c r="FD192" s="738"/>
      <c r="FE192" s="738"/>
      <c r="FF192" s="738"/>
      <c r="FG192" s="738"/>
      <c r="FH192" s="738"/>
      <c r="FI192" s="738"/>
      <c r="FJ192" s="738"/>
      <c r="FK192" s="738"/>
      <c r="FL192" s="738"/>
      <c r="FM192" s="738"/>
      <c r="FN192" s="738"/>
      <c r="FO192" s="738"/>
      <c r="FP192" s="738"/>
      <c r="FQ192" s="738"/>
      <c r="FR192" s="738"/>
      <c r="FS192" s="738"/>
      <c r="FT192" s="738"/>
      <c r="FU192" s="738"/>
      <c r="FV192" s="738"/>
      <c r="FW192" s="738"/>
      <c r="FX192" s="738"/>
      <c r="FY192" s="738"/>
      <c r="FZ192" s="738"/>
      <c r="GA192" s="738"/>
      <c r="GB192" s="738"/>
      <c r="GC192" s="738"/>
      <c r="GD192" s="738"/>
      <c r="GE192" s="738"/>
      <c r="GF192" s="738"/>
      <c r="GG192" s="738"/>
      <c r="GH192" s="738"/>
      <c r="GI192" s="738"/>
      <c r="GJ192" s="738"/>
      <c r="GK192" s="738"/>
      <c r="GL192" s="738"/>
      <c r="GM192" s="738"/>
      <c r="GN192" s="738"/>
      <c r="GO192" s="738"/>
      <c r="GP192" s="738"/>
      <c r="GQ192" s="738"/>
      <c r="GR192" s="738"/>
      <c r="GS192" s="738"/>
      <c r="GT192" s="738"/>
      <c r="GU192" s="738"/>
      <c r="GV192" s="738"/>
      <c r="GW192" s="738"/>
      <c r="GX192" s="738"/>
      <c r="GY192" s="738"/>
      <c r="GZ192" s="738"/>
      <c r="HA192" s="738"/>
      <c r="HB192" s="738"/>
      <c r="HC192" s="738"/>
      <c r="HD192" s="738"/>
      <c r="HE192" s="738"/>
      <c r="HF192" s="738"/>
      <c r="HG192" s="738"/>
      <c r="HH192" s="738"/>
      <c r="HI192" s="738"/>
      <c r="HJ192" s="738"/>
      <c r="HK192" s="738"/>
      <c r="HL192" s="738"/>
      <c r="HM192" s="738"/>
      <c r="HN192" s="738"/>
      <c r="HO192" s="738"/>
      <c r="HP192" s="738"/>
      <c r="HQ192" s="738"/>
      <c r="HR192" s="738"/>
      <c r="HS192" s="738"/>
      <c r="HT192" s="738"/>
      <c r="HU192" s="738"/>
      <c r="HV192" s="738"/>
      <c r="HW192" s="738"/>
      <c r="HX192" s="738"/>
      <c r="HY192" s="738"/>
      <c r="HZ192" s="738"/>
      <c r="IA192" s="738"/>
      <c r="IB192" s="738"/>
      <c r="IC192" s="738"/>
      <c r="ID192" s="738"/>
      <c r="IE192" s="738"/>
      <c r="IF192" s="738"/>
      <c r="IG192" s="738"/>
      <c r="IH192" s="738"/>
      <c r="II192" s="738"/>
      <c r="IJ192" s="738"/>
      <c r="IK192" s="738"/>
      <c r="IL192" s="738"/>
      <c r="IM192" s="738"/>
      <c r="IN192" s="738"/>
      <c r="IO192" s="738"/>
      <c r="IP192" s="738"/>
      <c r="IQ192" s="738"/>
      <c r="IR192" s="738"/>
      <c r="IS192" s="738"/>
      <c r="IT192" s="738"/>
      <c r="IU192" s="738"/>
      <c r="IV192" s="738"/>
      <c r="IW192" s="738"/>
      <c r="IX192" s="738"/>
      <c r="IY192" s="738"/>
      <c r="IZ192" s="738"/>
      <c r="JA192" s="738"/>
      <c r="JB192" s="738"/>
      <c r="JC192" s="738"/>
      <c r="JD192" s="738"/>
      <c r="JE192" s="738"/>
      <c r="JF192" s="738"/>
      <c r="JG192" s="738"/>
      <c r="JH192" s="738"/>
    </row>
    <row r="193" spans="1:268" s="791" customFormat="1" ht="15" customHeight="1" x14ac:dyDescent="0.25">
      <c r="A193" s="876" t="s">
        <v>1224</v>
      </c>
      <c r="B193" s="822" t="s">
        <v>298</v>
      </c>
      <c r="C193" s="778">
        <f t="shared" si="154"/>
        <v>9.5000000000000001E-2</v>
      </c>
      <c r="D193" s="844">
        <v>10</v>
      </c>
      <c r="E193" s="844" t="s">
        <v>884</v>
      </c>
      <c r="F193" s="862">
        <v>45321</v>
      </c>
      <c r="G193" s="862">
        <v>45321</v>
      </c>
      <c r="H193" s="781">
        <f t="shared" si="155"/>
        <v>48971</v>
      </c>
      <c r="I193" s="815">
        <v>95000</v>
      </c>
      <c r="J193" s="805">
        <f t="shared" si="156"/>
        <v>4750</v>
      </c>
      <c r="K193" s="793"/>
      <c r="L193" s="793"/>
      <c r="M193" s="793"/>
      <c r="N193" s="793"/>
      <c r="O193" s="793"/>
      <c r="P193" s="793"/>
      <c r="Q193" s="793"/>
      <c r="R193" s="793"/>
      <c r="S193" s="793"/>
      <c r="T193" s="793"/>
      <c r="U193" s="793"/>
      <c r="V193" s="793"/>
      <c r="W193" s="793"/>
      <c r="X193" s="793"/>
      <c r="Y193" s="793"/>
      <c r="Z193" s="793"/>
      <c r="AA193" s="793"/>
      <c r="AB193" s="793"/>
      <c r="AC193" s="793"/>
      <c r="AD193" s="793"/>
      <c r="AE193" s="793"/>
      <c r="AF193" s="793"/>
      <c r="AG193" s="793"/>
      <c r="AH193" s="805"/>
      <c r="AI193" s="805"/>
      <c r="AJ193" s="793"/>
      <c r="AK193" s="793"/>
      <c r="AL193" s="793"/>
      <c r="AM193" s="793"/>
      <c r="AN193" s="805"/>
      <c r="AO193" s="805"/>
      <c r="AP193" s="793">
        <f t="shared" si="140"/>
        <v>0</v>
      </c>
      <c r="AQ193" s="793">
        <f t="shared" si="157"/>
        <v>95000</v>
      </c>
      <c r="AR193" s="793">
        <f t="shared" si="158"/>
        <v>62</v>
      </c>
      <c r="AS193" s="793">
        <f t="shared" si="159"/>
        <v>1533</v>
      </c>
      <c r="AT193" s="793">
        <f t="shared" si="160"/>
        <v>1533</v>
      </c>
      <c r="AU193" s="793">
        <f t="shared" si="145"/>
        <v>93467</v>
      </c>
      <c r="AV193" s="793">
        <f t="shared" si="146"/>
        <v>93467</v>
      </c>
      <c r="AW193" s="793">
        <f t="shared" si="161"/>
        <v>95000</v>
      </c>
      <c r="AX193" s="793">
        <f t="shared" si="162"/>
        <v>365</v>
      </c>
      <c r="AY193" s="793">
        <f t="shared" si="163"/>
        <v>9025</v>
      </c>
      <c r="AZ193" s="793">
        <f t="shared" si="164"/>
        <v>10558</v>
      </c>
      <c r="BA193" s="793">
        <f t="shared" si="151"/>
        <v>84442</v>
      </c>
      <c r="BB193" s="1328"/>
      <c r="BC193" s="738"/>
      <c r="BD193" s="738"/>
      <c r="BE193" s="1329"/>
      <c r="BF193" s="738"/>
      <c r="BG193" s="738"/>
      <c r="BH193" s="738"/>
      <c r="BI193" s="738"/>
      <c r="BJ193" s="738"/>
      <c r="BK193" s="738"/>
      <c r="BL193" s="738"/>
      <c r="BM193" s="738"/>
      <c r="BN193" s="738"/>
      <c r="BO193" s="738"/>
      <c r="BP193" s="738"/>
      <c r="BQ193" s="738"/>
      <c r="BR193" s="738"/>
      <c r="BS193" s="738"/>
      <c r="BT193" s="738"/>
      <c r="BU193" s="738"/>
      <c r="BV193" s="738"/>
      <c r="BW193" s="738"/>
      <c r="BX193" s="738"/>
      <c r="BY193" s="738"/>
      <c r="BZ193" s="738"/>
      <c r="CA193" s="738"/>
      <c r="CB193" s="738"/>
      <c r="CC193" s="738"/>
      <c r="CD193" s="738"/>
      <c r="CE193" s="738"/>
      <c r="CF193" s="738"/>
      <c r="CG193" s="738"/>
      <c r="CH193" s="738"/>
      <c r="CI193" s="738"/>
      <c r="CJ193" s="738"/>
      <c r="CK193" s="738"/>
      <c r="CL193" s="738"/>
      <c r="CM193" s="738"/>
      <c r="CN193" s="738"/>
      <c r="CO193" s="738"/>
      <c r="CP193" s="738"/>
      <c r="CQ193" s="738"/>
      <c r="CR193" s="738"/>
      <c r="CS193" s="738"/>
      <c r="CT193" s="738"/>
      <c r="CU193" s="738"/>
      <c r="CV193" s="738"/>
      <c r="CW193" s="738"/>
      <c r="CX193" s="738"/>
      <c r="CY193" s="738"/>
      <c r="CZ193" s="738"/>
      <c r="DA193" s="738"/>
      <c r="DB193" s="738"/>
      <c r="DC193" s="738"/>
      <c r="DD193" s="738"/>
      <c r="DE193" s="738"/>
      <c r="DF193" s="738"/>
      <c r="DG193" s="738"/>
      <c r="DH193" s="738"/>
      <c r="DI193" s="738"/>
      <c r="DJ193" s="738"/>
      <c r="DK193" s="738"/>
      <c r="DL193" s="738"/>
      <c r="DM193" s="738"/>
      <c r="DN193" s="738"/>
      <c r="DO193" s="738"/>
      <c r="DP193" s="738"/>
      <c r="DQ193" s="738"/>
      <c r="DR193" s="738"/>
      <c r="DS193" s="738"/>
      <c r="DT193" s="738"/>
      <c r="DU193" s="738"/>
      <c r="DV193" s="738"/>
      <c r="DW193" s="738"/>
      <c r="DX193" s="738"/>
      <c r="DY193" s="738"/>
      <c r="DZ193" s="738"/>
      <c r="EA193" s="738"/>
      <c r="EB193" s="738"/>
      <c r="EC193" s="738"/>
      <c r="ED193" s="738"/>
      <c r="EE193" s="738"/>
      <c r="EF193" s="738"/>
      <c r="EG193" s="738"/>
      <c r="EH193" s="738"/>
      <c r="EI193" s="738"/>
      <c r="EJ193" s="738"/>
      <c r="EK193" s="738"/>
      <c r="EL193" s="738"/>
      <c r="EM193" s="738"/>
      <c r="EN193" s="738"/>
      <c r="EO193" s="738"/>
      <c r="EP193" s="738"/>
      <c r="EQ193" s="738"/>
      <c r="ER193" s="738"/>
      <c r="ES193" s="738"/>
      <c r="ET193" s="738"/>
      <c r="EU193" s="738"/>
      <c r="EV193" s="738"/>
      <c r="EW193" s="738"/>
      <c r="EX193" s="738"/>
      <c r="EY193" s="738"/>
      <c r="EZ193" s="738"/>
      <c r="FA193" s="738"/>
      <c r="FB193" s="738"/>
      <c r="FC193" s="738"/>
      <c r="FD193" s="738"/>
      <c r="FE193" s="738"/>
      <c r="FF193" s="738"/>
      <c r="FG193" s="738"/>
      <c r="FH193" s="738"/>
      <c r="FI193" s="738"/>
      <c r="FJ193" s="738"/>
      <c r="FK193" s="738"/>
      <c r="FL193" s="738"/>
      <c r="FM193" s="738"/>
      <c r="FN193" s="738"/>
      <c r="FO193" s="738"/>
      <c r="FP193" s="738"/>
      <c r="FQ193" s="738"/>
      <c r="FR193" s="738"/>
      <c r="FS193" s="738"/>
      <c r="FT193" s="738"/>
      <c r="FU193" s="738"/>
      <c r="FV193" s="738"/>
      <c r="FW193" s="738"/>
      <c r="FX193" s="738"/>
      <c r="FY193" s="738"/>
      <c r="FZ193" s="738"/>
      <c r="GA193" s="738"/>
      <c r="GB193" s="738"/>
      <c r="GC193" s="738"/>
      <c r="GD193" s="738"/>
      <c r="GE193" s="738"/>
      <c r="GF193" s="738"/>
      <c r="GG193" s="738"/>
      <c r="GH193" s="738"/>
      <c r="GI193" s="738"/>
      <c r="GJ193" s="738"/>
      <c r="GK193" s="738"/>
      <c r="GL193" s="738"/>
      <c r="GM193" s="738"/>
      <c r="GN193" s="738"/>
      <c r="GO193" s="738"/>
      <c r="GP193" s="738"/>
      <c r="GQ193" s="738"/>
      <c r="GR193" s="738"/>
      <c r="GS193" s="738"/>
      <c r="GT193" s="738"/>
      <c r="GU193" s="738"/>
      <c r="GV193" s="738"/>
      <c r="GW193" s="738"/>
      <c r="GX193" s="738"/>
      <c r="GY193" s="738"/>
      <c r="GZ193" s="738"/>
      <c r="HA193" s="738"/>
      <c r="HB193" s="738"/>
      <c r="HC193" s="738"/>
      <c r="HD193" s="738"/>
      <c r="HE193" s="738"/>
      <c r="HF193" s="738"/>
      <c r="HG193" s="738"/>
      <c r="HH193" s="738"/>
      <c r="HI193" s="738"/>
      <c r="HJ193" s="738"/>
      <c r="HK193" s="738"/>
      <c r="HL193" s="738"/>
      <c r="HM193" s="738"/>
      <c r="HN193" s="738"/>
      <c r="HO193" s="738"/>
      <c r="HP193" s="738"/>
      <c r="HQ193" s="738"/>
      <c r="HR193" s="738"/>
      <c r="HS193" s="738"/>
      <c r="HT193" s="738"/>
      <c r="HU193" s="738"/>
      <c r="HV193" s="738"/>
      <c r="HW193" s="738"/>
      <c r="HX193" s="738"/>
      <c r="HY193" s="738"/>
      <c r="HZ193" s="738"/>
      <c r="IA193" s="738"/>
      <c r="IB193" s="738"/>
      <c r="IC193" s="738"/>
      <c r="ID193" s="738"/>
      <c r="IE193" s="738"/>
      <c r="IF193" s="738"/>
      <c r="IG193" s="738"/>
      <c r="IH193" s="738"/>
      <c r="II193" s="738"/>
      <c r="IJ193" s="738"/>
      <c r="IK193" s="738"/>
      <c r="IL193" s="738"/>
      <c r="IM193" s="738"/>
      <c r="IN193" s="738"/>
      <c r="IO193" s="738"/>
      <c r="IP193" s="738"/>
      <c r="IQ193" s="738"/>
      <c r="IR193" s="738"/>
      <c r="IS193" s="738"/>
      <c r="IT193" s="738"/>
      <c r="IU193" s="738"/>
      <c r="IV193" s="738"/>
      <c r="IW193" s="738"/>
      <c r="IX193" s="738"/>
      <c r="IY193" s="738"/>
      <c r="IZ193" s="738"/>
      <c r="JA193" s="738"/>
      <c r="JB193" s="738"/>
      <c r="JC193" s="738"/>
      <c r="JD193" s="738"/>
      <c r="JE193" s="738"/>
      <c r="JF193" s="738"/>
      <c r="JG193" s="738"/>
      <c r="JH193" s="738"/>
    </row>
    <row r="194" spans="1:268" s="791" customFormat="1" ht="15" customHeight="1" x14ac:dyDescent="0.25">
      <c r="A194" s="876" t="s">
        <v>1224</v>
      </c>
      <c r="B194" s="822" t="s">
        <v>294</v>
      </c>
      <c r="C194" s="778">
        <f t="shared" si="154"/>
        <v>9.5000000000000001E-2</v>
      </c>
      <c r="D194" s="844">
        <v>10</v>
      </c>
      <c r="E194" s="844" t="s">
        <v>884</v>
      </c>
      <c r="F194" s="814">
        <v>45324</v>
      </c>
      <c r="G194" s="814">
        <v>45324</v>
      </c>
      <c r="H194" s="781">
        <f t="shared" si="155"/>
        <v>48974</v>
      </c>
      <c r="I194" s="815">
        <v>235528</v>
      </c>
      <c r="J194" s="805">
        <f t="shared" si="156"/>
        <v>11776.400000000001</v>
      </c>
      <c r="K194" s="793"/>
      <c r="L194" s="793"/>
      <c r="M194" s="793"/>
      <c r="N194" s="793"/>
      <c r="O194" s="793"/>
      <c r="P194" s="793"/>
      <c r="Q194" s="793"/>
      <c r="R194" s="793"/>
      <c r="S194" s="793"/>
      <c r="T194" s="793"/>
      <c r="U194" s="793"/>
      <c r="V194" s="793"/>
      <c r="W194" s="793"/>
      <c r="X194" s="793"/>
      <c r="Y194" s="793"/>
      <c r="Z194" s="793"/>
      <c r="AA194" s="793"/>
      <c r="AB194" s="793"/>
      <c r="AC194" s="793"/>
      <c r="AD194" s="793"/>
      <c r="AE194" s="793"/>
      <c r="AF194" s="793"/>
      <c r="AG194" s="793"/>
      <c r="AH194" s="805"/>
      <c r="AI194" s="805"/>
      <c r="AJ194" s="793"/>
      <c r="AK194" s="793"/>
      <c r="AL194" s="793"/>
      <c r="AM194" s="793"/>
      <c r="AN194" s="805"/>
      <c r="AO194" s="805"/>
      <c r="AP194" s="793">
        <f t="shared" si="140"/>
        <v>0</v>
      </c>
      <c r="AQ194" s="793">
        <f t="shared" si="157"/>
        <v>235528</v>
      </c>
      <c r="AR194" s="793">
        <f t="shared" si="158"/>
        <v>59</v>
      </c>
      <c r="AS194" s="793">
        <f t="shared" si="159"/>
        <v>3617</v>
      </c>
      <c r="AT194" s="793">
        <f t="shared" si="160"/>
        <v>3617</v>
      </c>
      <c r="AU194" s="793">
        <f t="shared" si="145"/>
        <v>231911</v>
      </c>
      <c r="AV194" s="793">
        <f t="shared" si="146"/>
        <v>231911</v>
      </c>
      <c r="AW194" s="793">
        <f t="shared" si="161"/>
        <v>235528</v>
      </c>
      <c r="AX194" s="793">
        <f t="shared" si="162"/>
        <v>365</v>
      </c>
      <c r="AY194" s="793">
        <f t="shared" si="163"/>
        <v>22375</v>
      </c>
      <c r="AZ194" s="793">
        <f t="shared" si="164"/>
        <v>25992</v>
      </c>
      <c r="BA194" s="793">
        <f t="shared" si="151"/>
        <v>209536</v>
      </c>
      <c r="BB194" s="1328"/>
      <c r="BC194" s="738"/>
      <c r="BD194" s="738"/>
      <c r="BE194" s="1329"/>
      <c r="BF194" s="738"/>
      <c r="BG194" s="738"/>
      <c r="BH194" s="738"/>
      <c r="BI194" s="738"/>
      <c r="BJ194" s="738"/>
      <c r="BK194" s="738"/>
      <c r="BL194" s="738"/>
      <c r="BM194" s="738"/>
      <c r="BN194" s="738"/>
      <c r="BO194" s="738"/>
      <c r="BP194" s="738"/>
      <c r="BQ194" s="738"/>
      <c r="BR194" s="738"/>
      <c r="BS194" s="738"/>
      <c r="BT194" s="738"/>
      <c r="BU194" s="738"/>
      <c r="BV194" s="738"/>
      <c r="BW194" s="738"/>
      <c r="BX194" s="738"/>
      <c r="BY194" s="738"/>
      <c r="BZ194" s="738"/>
      <c r="CA194" s="738"/>
      <c r="CB194" s="738"/>
      <c r="CC194" s="738"/>
      <c r="CD194" s="738"/>
      <c r="CE194" s="738"/>
      <c r="CF194" s="738"/>
      <c r="CG194" s="738"/>
      <c r="CH194" s="738"/>
      <c r="CI194" s="738"/>
      <c r="CJ194" s="738"/>
      <c r="CK194" s="738"/>
      <c r="CL194" s="738"/>
      <c r="CM194" s="738"/>
      <c r="CN194" s="738"/>
      <c r="CO194" s="738"/>
      <c r="CP194" s="738"/>
      <c r="CQ194" s="738"/>
      <c r="CR194" s="738"/>
      <c r="CS194" s="738"/>
      <c r="CT194" s="738"/>
      <c r="CU194" s="738"/>
      <c r="CV194" s="738"/>
      <c r="CW194" s="738"/>
      <c r="CX194" s="738"/>
      <c r="CY194" s="738"/>
      <c r="CZ194" s="738"/>
      <c r="DA194" s="738"/>
      <c r="DB194" s="738"/>
      <c r="DC194" s="738"/>
      <c r="DD194" s="738"/>
      <c r="DE194" s="738"/>
      <c r="DF194" s="738"/>
      <c r="DG194" s="738"/>
      <c r="DH194" s="738"/>
      <c r="DI194" s="738"/>
      <c r="DJ194" s="738"/>
      <c r="DK194" s="738"/>
      <c r="DL194" s="738"/>
      <c r="DM194" s="738"/>
      <c r="DN194" s="738"/>
      <c r="DO194" s="738"/>
      <c r="DP194" s="738"/>
      <c r="DQ194" s="738"/>
      <c r="DR194" s="738"/>
      <c r="DS194" s="738"/>
      <c r="DT194" s="738"/>
      <c r="DU194" s="738"/>
      <c r="DV194" s="738"/>
      <c r="DW194" s="738"/>
      <c r="DX194" s="738"/>
      <c r="DY194" s="738"/>
      <c r="DZ194" s="738"/>
      <c r="EA194" s="738"/>
      <c r="EB194" s="738"/>
      <c r="EC194" s="738"/>
      <c r="ED194" s="738"/>
      <c r="EE194" s="738"/>
      <c r="EF194" s="738"/>
      <c r="EG194" s="738"/>
      <c r="EH194" s="738"/>
      <c r="EI194" s="738"/>
      <c r="EJ194" s="738"/>
      <c r="EK194" s="738"/>
      <c r="EL194" s="738"/>
      <c r="EM194" s="738"/>
      <c r="EN194" s="738"/>
      <c r="EO194" s="738"/>
      <c r="EP194" s="738"/>
      <c r="EQ194" s="738"/>
      <c r="ER194" s="738"/>
      <c r="ES194" s="738"/>
      <c r="ET194" s="738"/>
      <c r="EU194" s="738"/>
      <c r="EV194" s="738"/>
      <c r="EW194" s="738"/>
      <c r="EX194" s="738"/>
      <c r="EY194" s="738"/>
      <c r="EZ194" s="738"/>
      <c r="FA194" s="738"/>
      <c r="FB194" s="738"/>
      <c r="FC194" s="738"/>
      <c r="FD194" s="738"/>
      <c r="FE194" s="738"/>
      <c r="FF194" s="738"/>
      <c r="FG194" s="738"/>
      <c r="FH194" s="738"/>
      <c r="FI194" s="738"/>
      <c r="FJ194" s="738"/>
      <c r="FK194" s="738"/>
      <c r="FL194" s="738"/>
      <c r="FM194" s="738"/>
      <c r="FN194" s="738"/>
      <c r="FO194" s="738"/>
      <c r="FP194" s="738"/>
      <c r="FQ194" s="738"/>
      <c r="FR194" s="738"/>
      <c r="FS194" s="738"/>
      <c r="FT194" s="738"/>
      <c r="FU194" s="738"/>
      <c r="FV194" s="738"/>
      <c r="FW194" s="738"/>
      <c r="FX194" s="738"/>
      <c r="FY194" s="738"/>
      <c r="FZ194" s="738"/>
      <c r="GA194" s="738"/>
      <c r="GB194" s="738"/>
      <c r="GC194" s="738"/>
      <c r="GD194" s="738"/>
      <c r="GE194" s="738"/>
      <c r="GF194" s="738"/>
      <c r="GG194" s="738"/>
      <c r="GH194" s="738"/>
      <c r="GI194" s="738"/>
      <c r="GJ194" s="738"/>
      <c r="GK194" s="738"/>
      <c r="GL194" s="738"/>
      <c r="GM194" s="738"/>
      <c r="GN194" s="738"/>
      <c r="GO194" s="738"/>
      <c r="GP194" s="738"/>
      <c r="GQ194" s="738"/>
      <c r="GR194" s="738"/>
      <c r="GS194" s="738"/>
      <c r="GT194" s="738"/>
      <c r="GU194" s="738"/>
      <c r="GV194" s="738"/>
      <c r="GW194" s="738"/>
      <c r="GX194" s="738"/>
      <c r="GY194" s="738"/>
      <c r="GZ194" s="738"/>
      <c r="HA194" s="738"/>
      <c r="HB194" s="738"/>
      <c r="HC194" s="738"/>
      <c r="HD194" s="738"/>
      <c r="HE194" s="738"/>
      <c r="HF194" s="738"/>
      <c r="HG194" s="738"/>
      <c r="HH194" s="738"/>
      <c r="HI194" s="738"/>
      <c r="HJ194" s="738"/>
      <c r="HK194" s="738"/>
      <c r="HL194" s="738"/>
      <c r="HM194" s="738"/>
      <c r="HN194" s="738"/>
      <c r="HO194" s="738"/>
      <c r="HP194" s="738"/>
      <c r="HQ194" s="738"/>
      <c r="HR194" s="738"/>
      <c r="HS194" s="738"/>
      <c r="HT194" s="738"/>
      <c r="HU194" s="738"/>
      <c r="HV194" s="738"/>
      <c r="HW194" s="738"/>
      <c r="HX194" s="738"/>
      <c r="HY194" s="738"/>
      <c r="HZ194" s="738"/>
      <c r="IA194" s="738"/>
      <c r="IB194" s="738"/>
      <c r="IC194" s="738"/>
      <c r="ID194" s="738"/>
      <c r="IE194" s="738"/>
      <c r="IF194" s="738"/>
      <c r="IG194" s="738"/>
      <c r="IH194" s="738"/>
      <c r="II194" s="738"/>
      <c r="IJ194" s="738"/>
      <c r="IK194" s="738"/>
      <c r="IL194" s="738"/>
      <c r="IM194" s="738"/>
      <c r="IN194" s="738"/>
      <c r="IO194" s="738"/>
      <c r="IP194" s="738"/>
      <c r="IQ194" s="738"/>
      <c r="IR194" s="738"/>
      <c r="IS194" s="738"/>
      <c r="IT194" s="738"/>
      <c r="IU194" s="738"/>
      <c r="IV194" s="738"/>
      <c r="IW194" s="738"/>
      <c r="IX194" s="738"/>
      <c r="IY194" s="738"/>
      <c r="IZ194" s="738"/>
      <c r="JA194" s="738"/>
      <c r="JB194" s="738"/>
      <c r="JC194" s="738"/>
      <c r="JD194" s="738"/>
      <c r="JE194" s="738"/>
      <c r="JF194" s="738"/>
      <c r="JG194" s="738"/>
      <c r="JH194" s="738"/>
    </row>
    <row r="195" spans="1:268" s="791" customFormat="1" ht="15" customHeight="1" x14ac:dyDescent="0.25">
      <c r="A195" s="876" t="s">
        <v>1224</v>
      </c>
      <c r="B195" s="822" t="s">
        <v>294</v>
      </c>
      <c r="C195" s="778">
        <f t="shared" si="154"/>
        <v>9.5000000000000001E-2</v>
      </c>
      <c r="D195" s="844">
        <v>10</v>
      </c>
      <c r="E195" s="844" t="s">
        <v>884</v>
      </c>
      <c r="F195" s="814">
        <v>45334</v>
      </c>
      <c r="G195" s="814">
        <v>45334</v>
      </c>
      <c r="H195" s="781">
        <f t="shared" si="155"/>
        <v>48984</v>
      </c>
      <c r="I195" s="815">
        <v>112504</v>
      </c>
      <c r="J195" s="805">
        <f t="shared" si="156"/>
        <v>5625.2000000000007</v>
      </c>
      <c r="K195" s="793"/>
      <c r="L195" s="793"/>
      <c r="M195" s="793"/>
      <c r="N195" s="793"/>
      <c r="O195" s="793"/>
      <c r="P195" s="793"/>
      <c r="Q195" s="793"/>
      <c r="R195" s="793"/>
      <c r="S195" s="793"/>
      <c r="T195" s="793"/>
      <c r="U195" s="793"/>
      <c r="V195" s="793"/>
      <c r="W195" s="793"/>
      <c r="X195" s="793"/>
      <c r="Y195" s="793"/>
      <c r="Z195" s="793"/>
      <c r="AA195" s="793"/>
      <c r="AB195" s="793"/>
      <c r="AC195" s="793"/>
      <c r="AD195" s="793"/>
      <c r="AE195" s="793"/>
      <c r="AF195" s="793"/>
      <c r="AG195" s="793"/>
      <c r="AH195" s="805"/>
      <c r="AI195" s="805"/>
      <c r="AJ195" s="793"/>
      <c r="AK195" s="793"/>
      <c r="AL195" s="793"/>
      <c r="AM195" s="793"/>
      <c r="AN195" s="805"/>
      <c r="AO195" s="805"/>
      <c r="AP195" s="793">
        <f t="shared" si="140"/>
        <v>0</v>
      </c>
      <c r="AQ195" s="793">
        <f t="shared" si="157"/>
        <v>112504</v>
      </c>
      <c r="AR195" s="793">
        <f t="shared" si="158"/>
        <v>49</v>
      </c>
      <c r="AS195" s="793">
        <f t="shared" si="159"/>
        <v>1435</v>
      </c>
      <c r="AT195" s="793">
        <f t="shared" si="160"/>
        <v>1435</v>
      </c>
      <c r="AU195" s="793">
        <f t="shared" si="145"/>
        <v>111069</v>
      </c>
      <c r="AV195" s="793">
        <f t="shared" si="146"/>
        <v>111069</v>
      </c>
      <c r="AW195" s="793">
        <f t="shared" si="161"/>
        <v>112504</v>
      </c>
      <c r="AX195" s="793">
        <f t="shared" si="162"/>
        <v>365</v>
      </c>
      <c r="AY195" s="793">
        <f t="shared" si="163"/>
        <v>10688</v>
      </c>
      <c r="AZ195" s="793">
        <f t="shared" si="164"/>
        <v>12123</v>
      </c>
      <c r="BA195" s="793">
        <f t="shared" si="151"/>
        <v>100381</v>
      </c>
      <c r="BB195" s="1328"/>
      <c r="BC195" s="738"/>
      <c r="BD195" s="738"/>
      <c r="BE195" s="1329"/>
      <c r="BF195" s="738"/>
      <c r="BG195" s="738"/>
      <c r="BH195" s="738"/>
      <c r="BI195" s="738"/>
      <c r="BJ195" s="738"/>
      <c r="BK195" s="738"/>
      <c r="BL195" s="738"/>
      <c r="BM195" s="738"/>
      <c r="BN195" s="738"/>
      <c r="BO195" s="738"/>
      <c r="BP195" s="738"/>
      <c r="BQ195" s="738"/>
      <c r="BR195" s="738"/>
      <c r="BS195" s="738"/>
      <c r="BT195" s="738"/>
      <c r="BU195" s="738"/>
      <c r="BV195" s="738"/>
      <c r="BW195" s="738"/>
      <c r="BX195" s="738"/>
      <c r="BY195" s="738"/>
      <c r="BZ195" s="738"/>
      <c r="CA195" s="738"/>
      <c r="CB195" s="738"/>
      <c r="CC195" s="738"/>
      <c r="CD195" s="738"/>
      <c r="CE195" s="738"/>
      <c r="CF195" s="738"/>
      <c r="CG195" s="738"/>
      <c r="CH195" s="738"/>
      <c r="CI195" s="738"/>
      <c r="CJ195" s="738"/>
      <c r="CK195" s="738"/>
      <c r="CL195" s="738"/>
      <c r="CM195" s="738"/>
      <c r="CN195" s="738"/>
      <c r="CO195" s="738"/>
      <c r="CP195" s="738"/>
      <c r="CQ195" s="738"/>
      <c r="CR195" s="738"/>
      <c r="CS195" s="738"/>
      <c r="CT195" s="738"/>
      <c r="CU195" s="738"/>
      <c r="CV195" s="738"/>
      <c r="CW195" s="738"/>
      <c r="CX195" s="738"/>
      <c r="CY195" s="738"/>
      <c r="CZ195" s="738"/>
      <c r="DA195" s="738"/>
      <c r="DB195" s="738"/>
      <c r="DC195" s="738"/>
      <c r="DD195" s="738"/>
      <c r="DE195" s="738"/>
      <c r="DF195" s="738"/>
      <c r="DG195" s="738"/>
      <c r="DH195" s="738"/>
      <c r="DI195" s="738"/>
      <c r="DJ195" s="738"/>
      <c r="DK195" s="738"/>
      <c r="DL195" s="738"/>
      <c r="DM195" s="738"/>
      <c r="DN195" s="738"/>
      <c r="DO195" s="738"/>
      <c r="DP195" s="738"/>
      <c r="DQ195" s="738"/>
      <c r="DR195" s="738"/>
      <c r="DS195" s="738"/>
      <c r="DT195" s="738"/>
      <c r="DU195" s="738"/>
      <c r="DV195" s="738"/>
      <c r="DW195" s="738"/>
      <c r="DX195" s="738"/>
      <c r="DY195" s="738"/>
      <c r="DZ195" s="738"/>
      <c r="EA195" s="738"/>
      <c r="EB195" s="738"/>
      <c r="EC195" s="738"/>
      <c r="ED195" s="738"/>
      <c r="EE195" s="738"/>
      <c r="EF195" s="738"/>
      <c r="EG195" s="738"/>
      <c r="EH195" s="738"/>
      <c r="EI195" s="738"/>
      <c r="EJ195" s="738"/>
      <c r="EK195" s="738"/>
      <c r="EL195" s="738"/>
      <c r="EM195" s="738"/>
      <c r="EN195" s="738"/>
      <c r="EO195" s="738"/>
      <c r="EP195" s="738"/>
      <c r="EQ195" s="738"/>
      <c r="ER195" s="738"/>
      <c r="ES195" s="738"/>
      <c r="ET195" s="738"/>
      <c r="EU195" s="738"/>
      <c r="EV195" s="738"/>
      <c r="EW195" s="738"/>
      <c r="EX195" s="738"/>
      <c r="EY195" s="738"/>
      <c r="EZ195" s="738"/>
      <c r="FA195" s="738"/>
      <c r="FB195" s="738"/>
      <c r="FC195" s="738"/>
      <c r="FD195" s="738"/>
      <c r="FE195" s="738"/>
      <c r="FF195" s="738"/>
      <c r="FG195" s="738"/>
      <c r="FH195" s="738"/>
      <c r="FI195" s="738"/>
      <c r="FJ195" s="738"/>
      <c r="FK195" s="738"/>
      <c r="FL195" s="738"/>
      <c r="FM195" s="738"/>
      <c r="FN195" s="738"/>
      <c r="FO195" s="738"/>
      <c r="FP195" s="738"/>
      <c r="FQ195" s="738"/>
      <c r="FR195" s="738"/>
      <c r="FS195" s="738"/>
      <c r="FT195" s="738"/>
      <c r="FU195" s="738"/>
      <c r="FV195" s="738"/>
      <c r="FW195" s="738"/>
      <c r="FX195" s="738"/>
      <c r="FY195" s="738"/>
      <c r="FZ195" s="738"/>
      <c r="GA195" s="738"/>
      <c r="GB195" s="738"/>
      <c r="GC195" s="738"/>
      <c r="GD195" s="738"/>
      <c r="GE195" s="738"/>
      <c r="GF195" s="738"/>
      <c r="GG195" s="738"/>
      <c r="GH195" s="738"/>
      <c r="GI195" s="738"/>
      <c r="GJ195" s="738"/>
      <c r="GK195" s="738"/>
      <c r="GL195" s="738"/>
      <c r="GM195" s="738"/>
      <c r="GN195" s="738"/>
      <c r="GO195" s="738"/>
      <c r="GP195" s="738"/>
      <c r="GQ195" s="738"/>
      <c r="GR195" s="738"/>
      <c r="GS195" s="738"/>
      <c r="GT195" s="738"/>
      <c r="GU195" s="738"/>
      <c r="GV195" s="738"/>
      <c r="GW195" s="738"/>
      <c r="GX195" s="738"/>
      <c r="GY195" s="738"/>
      <c r="GZ195" s="738"/>
      <c r="HA195" s="738"/>
      <c r="HB195" s="738"/>
      <c r="HC195" s="738"/>
      <c r="HD195" s="738"/>
      <c r="HE195" s="738"/>
      <c r="HF195" s="738"/>
      <c r="HG195" s="738"/>
      <c r="HH195" s="738"/>
      <c r="HI195" s="738"/>
      <c r="HJ195" s="738"/>
      <c r="HK195" s="738"/>
      <c r="HL195" s="738"/>
      <c r="HM195" s="738"/>
      <c r="HN195" s="738"/>
      <c r="HO195" s="738"/>
      <c r="HP195" s="738"/>
      <c r="HQ195" s="738"/>
      <c r="HR195" s="738"/>
      <c r="HS195" s="738"/>
      <c r="HT195" s="738"/>
      <c r="HU195" s="738"/>
      <c r="HV195" s="738"/>
      <c r="HW195" s="738"/>
      <c r="HX195" s="738"/>
      <c r="HY195" s="738"/>
      <c r="HZ195" s="738"/>
      <c r="IA195" s="738"/>
      <c r="IB195" s="738"/>
      <c r="IC195" s="738"/>
      <c r="ID195" s="738"/>
      <c r="IE195" s="738"/>
      <c r="IF195" s="738"/>
      <c r="IG195" s="738"/>
      <c r="IH195" s="738"/>
      <c r="II195" s="738"/>
      <c r="IJ195" s="738"/>
      <c r="IK195" s="738"/>
      <c r="IL195" s="738"/>
      <c r="IM195" s="738"/>
      <c r="IN195" s="738"/>
      <c r="IO195" s="738"/>
      <c r="IP195" s="738"/>
      <c r="IQ195" s="738"/>
      <c r="IR195" s="738"/>
      <c r="IS195" s="738"/>
      <c r="IT195" s="738"/>
      <c r="IU195" s="738"/>
      <c r="IV195" s="738"/>
      <c r="IW195" s="738"/>
      <c r="IX195" s="738"/>
      <c r="IY195" s="738"/>
      <c r="IZ195" s="738"/>
      <c r="JA195" s="738"/>
      <c r="JB195" s="738"/>
      <c r="JC195" s="738"/>
      <c r="JD195" s="738"/>
      <c r="JE195" s="738"/>
      <c r="JF195" s="738"/>
      <c r="JG195" s="738"/>
      <c r="JH195" s="738"/>
    </row>
    <row r="196" spans="1:268" s="791" customFormat="1" ht="15" customHeight="1" x14ac:dyDescent="0.25">
      <c r="A196" s="876" t="s">
        <v>1224</v>
      </c>
      <c r="B196" s="822" t="s">
        <v>298</v>
      </c>
      <c r="C196" s="778">
        <f t="shared" si="154"/>
        <v>9.5000000000000001E-2</v>
      </c>
      <c r="D196" s="844">
        <v>10</v>
      </c>
      <c r="E196" s="844" t="s">
        <v>884</v>
      </c>
      <c r="F196" s="814">
        <v>45338</v>
      </c>
      <c r="G196" s="814">
        <v>45338</v>
      </c>
      <c r="H196" s="781">
        <f t="shared" si="155"/>
        <v>48988</v>
      </c>
      <c r="I196" s="815">
        <v>818700</v>
      </c>
      <c r="J196" s="805">
        <f t="shared" si="156"/>
        <v>40935</v>
      </c>
      <c r="K196" s="793"/>
      <c r="L196" s="793"/>
      <c r="M196" s="793"/>
      <c r="N196" s="793"/>
      <c r="O196" s="793"/>
      <c r="P196" s="793"/>
      <c r="Q196" s="793"/>
      <c r="R196" s="793"/>
      <c r="S196" s="793"/>
      <c r="T196" s="793"/>
      <c r="U196" s="793"/>
      <c r="V196" s="793"/>
      <c r="W196" s="793"/>
      <c r="X196" s="793"/>
      <c r="Y196" s="793"/>
      <c r="Z196" s="793"/>
      <c r="AA196" s="793"/>
      <c r="AB196" s="793"/>
      <c r="AC196" s="793"/>
      <c r="AD196" s="793"/>
      <c r="AE196" s="793"/>
      <c r="AF196" s="793"/>
      <c r="AG196" s="793"/>
      <c r="AH196" s="805"/>
      <c r="AI196" s="805"/>
      <c r="AJ196" s="793"/>
      <c r="AK196" s="793"/>
      <c r="AL196" s="793"/>
      <c r="AM196" s="793"/>
      <c r="AN196" s="805"/>
      <c r="AO196" s="805"/>
      <c r="AP196" s="793">
        <f t="shared" si="140"/>
        <v>0</v>
      </c>
      <c r="AQ196" s="793">
        <f t="shared" si="157"/>
        <v>818700</v>
      </c>
      <c r="AR196" s="793">
        <f t="shared" si="158"/>
        <v>45</v>
      </c>
      <c r="AS196" s="793">
        <f t="shared" si="159"/>
        <v>9589</v>
      </c>
      <c r="AT196" s="793">
        <f t="shared" si="160"/>
        <v>9589</v>
      </c>
      <c r="AU196" s="793">
        <f t="shared" si="145"/>
        <v>809111</v>
      </c>
      <c r="AV196" s="793">
        <f t="shared" si="146"/>
        <v>809111</v>
      </c>
      <c r="AW196" s="793">
        <f t="shared" si="161"/>
        <v>818700</v>
      </c>
      <c r="AX196" s="793">
        <f t="shared" si="162"/>
        <v>365</v>
      </c>
      <c r="AY196" s="793">
        <f t="shared" si="163"/>
        <v>77777</v>
      </c>
      <c r="AZ196" s="793">
        <f t="shared" si="164"/>
        <v>87366</v>
      </c>
      <c r="BA196" s="793">
        <f t="shared" si="151"/>
        <v>731334</v>
      </c>
      <c r="BB196" s="1328"/>
      <c r="BC196" s="738"/>
      <c r="BD196" s="738"/>
      <c r="BE196" s="1329"/>
      <c r="BF196" s="738"/>
      <c r="BG196" s="738"/>
      <c r="BH196" s="738"/>
      <c r="BI196" s="738"/>
      <c r="BJ196" s="738"/>
      <c r="BK196" s="738"/>
      <c r="BL196" s="738"/>
      <c r="BM196" s="738"/>
      <c r="BN196" s="738"/>
      <c r="BO196" s="738"/>
      <c r="BP196" s="738"/>
      <c r="BQ196" s="738"/>
      <c r="BR196" s="738"/>
      <c r="BS196" s="738"/>
      <c r="BT196" s="738"/>
      <c r="BU196" s="738"/>
      <c r="BV196" s="738"/>
      <c r="BW196" s="738"/>
      <c r="BX196" s="738"/>
      <c r="BY196" s="738"/>
      <c r="BZ196" s="738"/>
      <c r="CA196" s="738"/>
      <c r="CB196" s="738"/>
      <c r="CC196" s="738"/>
      <c r="CD196" s="738"/>
      <c r="CE196" s="738"/>
      <c r="CF196" s="738"/>
      <c r="CG196" s="738"/>
      <c r="CH196" s="738"/>
      <c r="CI196" s="738"/>
      <c r="CJ196" s="738"/>
      <c r="CK196" s="738"/>
      <c r="CL196" s="738"/>
      <c r="CM196" s="738"/>
      <c r="CN196" s="738"/>
      <c r="CO196" s="738"/>
      <c r="CP196" s="738"/>
      <c r="CQ196" s="738"/>
      <c r="CR196" s="738"/>
      <c r="CS196" s="738"/>
      <c r="CT196" s="738"/>
      <c r="CU196" s="738"/>
      <c r="CV196" s="738"/>
      <c r="CW196" s="738"/>
      <c r="CX196" s="738"/>
      <c r="CY196" s="738"/>
      <c r="CZ196" s="738"/>
      <c r="DA196" s="738"/>
      <c r="DB196" s="738"/>
      <c r="DC196" s="738"/>
      <c r="DD196" s="738"/>
      <c r="DE196" s="738"/>
      <c r="DF196" s="738"/>
      <c r="DG196" s="738"/>
      <c r="DH196" s="738"/>
      <c r="DI196" s="738"/>
      <c r="DJ196" s="738"/>
      <c r="DK196" s="738"/>
      <c r="DL196" s="738"/>
      <c r="DM196" s="738"/>
      <c r="DN196" s="738"/>
      <c r="DO196" s="738"/>
      <c r="DP196" s="738"/>
      <c r="DQ196" s="738"/>
      <c r="DR196" s="738"/>
      <c r="DS196" s="738"/>
      <c r="DT196" s="738"/>
      <c r="DU196" s="738"/>
      <c r="DV196" s="738"/>
      <c r="DW196" s="738"/>
      <c r="DX196" s="738"/>
      <c r="DY196" s="738"/>
      <c r="DZ196" s="738"/>
      <c r="EA196" s="738"/>
      <c r="EB196" s="738"/>
      <c r="EC196" s="738"/>
      <c r="ED196" s="738"/>
      <c r="EE196" s="738"/>
      <c r="EF196" s="738"/>
      <c r="EG196" s="738"/>
      <c r="EH196" s="738"/>
      <c r="EI196" s="738"/>
      <c r="EJ196" s="738"/>
      <c r="EK196" s="738"/>
      <c r="EL196" s="738"/>
      <c r="EM196" s="738"/>
      <c r="EN196" s="738"/>
      <c r="EO196" s="738"/>
      <c r="EP196" s="738"/>
      <c r="EQ196" s="738"/>
      <c r="ER196" s="738"/>
      <c r="ES196" s="738"/>
      <c r="ET196" s="738"/>
      <c r="EU196" s="738"/>
      <c r="EV196" s="738"/>
      <c r="EW196" s="738"/>
      <c r="EX196" s="738"/>
      <c r="EY196" s="738"/>
      <c r="EZ196" s="738"/>
      <c r="FA196" s="738"/>
      <c r="FB196" s="738"/>
      <c r="FC196" s="738"/>
      <c r="FD196" s="738"/>
      <c r="FE196" s="738"/>
      <c r="FF196" s="738"/>
      <c r="FG196" s="738"/>
      <c r="FH196" s="738"/>
      <c r="FI196" s="738"/>
      <c r="FJ196" s="738"/>
      <c r="FK196" s="738"/>
      <c r="FL196" s="738"/>
      <c r="FM196" s="738"/>
      <c r="FN196" s="738"/>
      <c r="FO196" s="738"/>
      <c r="FP196" s="738"/>
      <c r="FQ196" s="738"/>
      <c r="FR196" s="738"/>
      <c r="FS196" s="738"/>
      <c r="FT196" s="738"/>
      <c r="FU196" s="738"/>
      <c r="FV196" s="738"/>
      <c r="FW196" s="738"/>
      <c r="FX196" s="738"/>
      <c r="FY196" s="738"/>
      <c r="FZ196" s="738"/>
      <c r="GA196" s="738"/>
      <c r="GB196" s="738"/>
      <c r="GC196" s="738"/>
      <c r="GD196" s="738"/>
      <c r="GE196" s="738"/>
      <c r="GF196" s="738"/>
      <c r="GG196" s="738"/>
      <c r="GH196" s="738"/>
      <c r="GI196" s="738"/>
      <c r="GJ196" s="738"/>
      <c r="GK196" s="738"/>
      <c r="GL196" s="738"/>
      <c r="GM196" s="738"/>
      <c r="GN196" s="738"/>
      <c r="GO196" s="738"/>
      <c r="GP196" s="738"/>
      <c r="GQ196" s="738"/>
      <c r="GR196" s="738"/>
      <c r="GS196" s="738"/>
      <c r="GT196" s="738"/>
      <c r="GU196" s="738"/>
      <c r="GV196" s="738"/>
      <c r="GW196" s="738"/>
      <c r="GX196" s="738"/>
      <c r="GY196" s="738"/>
      <c r="GZ196" s="738"/>
      <c r="HA196" s="738"/>
      <c r="HB196" s="738"/>
      <c r="HC196" s="738"/>
      <c r="HD196" s="738"/>
      <c r="HE196" s="738"/>
      <c r="HF196" s="738"/>
      <c r="HG196" s="738"/>
      <c r="HH196" s="738"/>
      <c r="HI196" s="738"/>
      <c r="HJ196" s="738"/>
      <c r="HK196" s="738"/>
      <c r="HL196" s="738"/>
      <c r="HM196" s="738"/>
      <c r="HN196" s="738"/>
      <c r="HO196" s="738"/>
      <c r="HP196" s="738"/>
      <c r="HQ196" s="738"/>
      <c r="HR196" s="738"/>
      <c r="HS196" s="738"/>
      <c r="HT196" s="738"/>
      <c r="HU196" s="738"/>
      <c r="HV196" s="738"/>
      <c r="HW196" s="738"/>
      <c r="HX196" s="738"/>
      <c r="HY196" s="738"/>
      <c r="HZ196" s="738"/>
      <c r="IA196" s="738"/>
      <c r="IB196" s="738"/>
      <c r="IC196" s="738"/>
      <c r="ID196" s="738"/>
      <c r="IE196" s="738"/>
      <c r="IF196" s="738"/>
      <c r="IG196" s="738"/>
      <c r="IH196" s="738"/>
      <c r="II196" s="738"/>
      <c r="IJ196" s="738"/>
      <c r="IK196" s="738"/>
      <c r="IL196" s="738"/>
      <c r="IM196" s="738"/>
      <c r="IN196" s="738"/>
      <c r="IO196" s="738"/>
      <c r="IP196" s="738"/>
      <c r="IQ196" s="738"/>
      <c r="IR196" s="738"/>
      <c r="IS196" s="738"/>
      <c r="IT196" s="738"/>
      <c r="IU196" s="738"/>
      <c r="IV196" s="738"/>
      <c r="IW196" s="738"/>
      <c r="IX196" s="738"/>
      <c r="IY196" s="738"/>
      <c r="IZ196" s="738"/>
      <c r="JA196" s="738"/>
      <c r="JB196" s="738"/>
      <c r="JC196" s="738"/>
      <c r="JD196" s="738"/>
      <c r="JE196" s="738"/>
      <c r="JF196" s="738"/>
      <c r="JG196" s="738"/>
      <c r="JH196" s="738"/>
    </row>
    <row r="197" spans="1:268" ht="15" customHeight="1" thickBot="1" x14ac:dyDescent="0.3">
      <c r="A197" s="876" t="s">
        <v>1224</v>
      </c>
      <c r="B197" s="822" t="s">
        <v>1834</v>
      </c>
      <c r="C197" s="778">
        <f t="shared" si="154"/>
        <v>9.5000000000000001E-2</v>
      </c>
      <c r="D197" s="844">
        <v>10</v>
      </c>
      <c r="E197" s="844" t="s">
        <v>1567</v>
      </c>
      <c r="F197" s="814">
        <v>45394</v>
      </c>
      <c r="G197" s="814">
        <f>+F197</f>
        <v>45394</v>
      </c>
      <c r="H197" s="781">
        <f t="shared" si="155"/>
        <v>49044</v>
      </c>
      <c r="I197" s="815">
        <v>43000</v>
      </c>
      <c r="J197" s="805">
        <f t="shared" si="156"/>
        <v>2150</v>
      </c>
      <c r="K197" s="793"/>
      <c r="L197" s="793"/>
      <c r="M197" s="793"/>
      <c r="N197" s="793"/>
      <c r="O197" s="793"/>
      <c r="P197" s="793"/>
      <c r="Q197" s="793"/>
      <c r="R197" s="793"/>
      <c r="S197" s="793"/>
      <c r="T197" s="793"/>
      <c r="U197" s="793"/>
      <c r="V197" s="793"/>
      <c r="W197" s="793"/>
      <c r="X197" s="793"/>
      <c r="Y197" s="793"/>
      <c r="Z197" s="793"/>
      <c r="AA197" s="793"/>
      <c r="AB197" s="793"/>
      <c r="AC197" s="793"/>
      <c r="AD197" s="793"/>
      <c r="AE197" s="793"/>
      <c r="AF197" s="793"/>
      <c r="AG197" s="793"/>
      <c r="AH197" s="805"/>
      <c r="AI197" s="805"/>
      <c r="AJ197" s="793"/>
      <c r="AK197" s="793"/>
      <c r="AL197" s="793"/>
      <c r="AM197" s="793"/>
      <c r="AN197" s="805"/>
      <c r="AO197" s="805"/>
      <c r="AP197" s="793"/>
      <c r="AQ197" s="793">
        <v>0</v>
      </c>
      <c r="AR197" s="793">
        <v>0</v>
      </c>
      <c r="AS197" s="793"/>
      <c r="AT197" s="793"/>
      <c r="AU197" s="793"/>
      <c r="AV197" s="793">
        <f t="shared" si="146"/>
        <v>0</v>
      </c>
      <c r="AW197" s="793">
        <f t="shared" si="161"/>
        <v>43000</v>
      </c>
      <c r="AX197" s="793">
        <f t="shared" si="162"/>
        <v>354</v>
      </c>
      <c r="AY197" s="793">
        <f t="shared" si="163"/>
        <v>3962</v>
      </c>
      <c r="AZ197" s="793">
        <f t="shared" si="164"/>
        <v>3962</v>
      </c>
      <c r="BA197" s="793">
        <f t="shared" si="151"/>
        <v>39038</v>
      </c>
    </row>
    <row r="198" spans="1:268" ht="15.75" customHeight="1" thickBot="1" x14ac:dyDescent="0.3">
      <c r="A198" s="830" t="s">
        <v>1835</v>
      </c>
      <c r="B198" s="831"/>
      <c r="C198" s="832"/>
      <c r="D198" s="833"/>
      <c r="E198" s="833"/>
      <c r="F198" s="831"/>
      <c r="G198" s="831"/>
      <c r="H198" s="831"/>
      <c r="I198" s="1394">
        <f>SUM(I135:I197)</f>
        <v>22062710.159999996</v>
      </c>
      <c r="J198" s="1394">
        <f>SUM(J135:J197)</f>
        <v>1103135.5079999999</v>
      </c>
      <c r="K198" s="1394">
        <f>SUM(K135:K152)</f>
        <v>0</v>
      </c>
      <c r="L198" s="1394">
        <f t="shared" ref="L198:BA198" si="165">SUM(L135:L197)</f>
        <v>0</v>
      </c>
      <c r="M198" s="1394">
        <f t="shared" si="165"/>
        <v>14789788.899999999</v>
      </c>
      <c r="N198" s="1394">
        <f t="shared" si="165"/>
        <v>11248</v>
      </c>
      <c r="O198" s="1394">
        <f t="shared" si="165"/>
        <v>1173308</v>
      </c>
      <c r="P198" s="1394">
        <f t="shared" si="165"/>
        <v>1173308</v>
      </c>
      <c r="Q198" s="1394">
        <f t="shared" si="165"/>
        <v>13616480.899999999</v>
      </c>
      <c r="R198" s="1394">
        <f t="shared" si="165"/>
        <v>13616480.899999999</v>
      </c>
      <c r="S198" s="1394">
        <f t="shared" si="165"/>
        <v>14789788.899999999</v>
      </c>
      <c r="T198" s="1394">
        <f t="shared" si="165"/>
        <v>12444</v>
      </c>
      <c r="U198" s="1394">
        <f t="shared" si="165"/>
        <v>1146631</v>
      </c>
      <c r="V198" s="1394">
        <f t="shared" si="165"/>
        <v>2319939</v>
      </c>
      <c r="W198" s="1394">
        <f t="shared" si="165"/>
        <v>12469849.899999999</v>
      </c>
      <c r="X198" s="1394">
        <f t="shared" si="165"/>
        <v>12469849.899999999</v>
      </c>
      <c r="Y198" s="1394">
        <f t="shared" si="165"/>
        <v>14795038.899999999</v>
      </c>
      <c r="Z198" s="1394">
        <f t="shared" si="165"/>
        <v>12544</v>
      </c>
      <c r="AA198" s="1394">
        <f t="shared" si="165"/>
        <v>1405140</v>
      </c>
      <c r="AB198" s="1394">
        <f t="shared" si="165"/>
        <v>3725079</v>
      </c>
      <c r="AC198" s="1394">
        <f t="shared" si="165"/>
        <v>11069959.899999999</v>
      </c>
      <c r="AD198" s="1394">
        <f t="shared" si="165"/>
        <v>11069959.899999999</v>
      </c>
      <c r="AE198" s="1394">
        <f t="shared" si="165"/>
        <v>15065301.319999998</v>
      </c>
      <c r="AF198" s="1394">
        <f t="shared" si="165"/>
        <v>13948</v>
      </c>
      <c r="AG198" s="1394">
        <f t="shared" si="165"/>
        <v>1416114</v>
      </c>
      <c r="AH198" s="1394">
        <f t="shared" si="165"/>
        <v>5141193</v>
      </c>
      <c r="AI198" s="1394">
        <f t="shared" si="165"/>
        <v>9924108.3199999984</v>
      </c>
      <c r="AJ198" s="1394">
        <f t="shared" si="165"/>
        <v>9924108.3199999984</v>
      </c>
      <c r="AK198" s="1394">
        <f t="shared" si="165"/>
        <v>15090714.159999998</v>
      </c>
      <c r="AL198" s="1394">
        <f t="shared" si="165"/>
        <v>15248</v>
      </c>
      <c r="AM198" s="1394">
        <f t="shared" si="165"/>
        <v>1549114</v>
      </c>
      <c r="AN198" s="1394">
        <f t="shared" si="165"/>
        <v>6475893</v>
      </c>
      <c r="AO198" s="1394">
        <f t="shared" si="165"/>
        <v>8517528.1600000001</v>
      </c>
      <c r="AP198" s="1394">
        <f t="shared" si="165"/>
        <v>8517528.1600000001</v>
      </c>
      <c r="AQ198" s="1394">
        <f t="shared" si="165"/>
        <v>22019710.159999996</v>
      </c>
      <c r="AR198" s="1394">
        <f t="shared" si="165"/>
        <v>17996</v>
      </c>
      <c r="AS198" s="1394">
        <f t="shared" si="165"/>
        <v>1590674</v>
      </c>
      <c r="AT198" s="1394">
        <f t="shared" si="165"/>
        <v>8066567</v>
      </c>
      <c r="AU198" s="1394">
        <f t="shared" si="165"/>
        <v>13953143.16</v>
      </c>
      <c r="AV198" s="1394">
        <f t="shared" si="165"/>
        <v>13953143.16</v>
      </c>
      <c r="AW198" s="1394">
        <f t="shared" si="165"/>
        <v>22062710.159999996</v>
      </c>
      <c r="AX198" s="1394">
        <f t="shared" si="165"/>
        <v>22619</v>
      </c>
      <c r="AY198" s="1394">
        <f t="shared" si="165"/>
        <v>2095841</v>
      </c>
      <c r="AZ198" s="1394">
        <f t="shared" si="165"/>
        <v>10162408</v>
      </c>
      <c r="BA198" s="1394">
        <f t="shared" si="165"/>
        <v>11900302.16</v>
      </c>
      <c r="BB198" s="1381">
        <f>+AW197</f>
        <v>43000</v>
      </c>
      <c r="BC198" s="841">
        <f>+AV198</f>
        <v>13953143.16</v>
      </c>
      <c r="BD198" s="841">
        <f>+AW198</f>
        <v>22062710.159999996</v>
      </c>
      <c r="BE198" s="1329">
        <f>+AY198</f>
        <v>2095841</v>
      </c>
      <c r="BF198" s="841">
        <f>+AZ198</f>
        <v>10162408</v>
      </c>
      <c r="BG198" s="841">
        <f>+BA198</f>
        <v>11900302.16</v>
      </c>
    </row>
    <row r="199" spans="1:268" ht="15.75" customHeight="1" x14ac:dyDescent="0.25">
      <c r="A199" s="906"/>
      <c r="C199" s="838"/>
      <c r="D199" s="839"/>
      <c r="E199" s="839"/>
      <c r="I199" s="1395"/>
      <c r="J199" s="1401"/>
      <c r="K199" s="1395"/>
      <c r="L199" s="1395"/>
      <c r="M199" s="1395"/>
      <c r="N199" s="1395"/>
      <c r="O199" s="1395"/>
      <c r="P199" s="1395"/>
      <c r="Q199" s="1395"/>
      <c r="R199" s="1395"/>
      <c r="S199" s="1395"/>
      <c r="T199" s="1395"/>
      <c r="U199" s="1395"/>
      <c r="V199" s="1395"/>
      <c r="W199" s="1395"/>
      <c r="X199" s="1395"/>
      <c r="Y199" s="1395"/>
      <c r="Z199" s="1395"/>
      <c r="AA199" s="1395"/>
      <c r="AB199" s="1395"/>
      <c r="AC199" s="1395"/>
      <c r="AD199" s="1395"/>
      <c r="AE199" s="1395"/>
      <c r="AF199" s="1395"/>
      <c r="AG199" s="1395"/>
      <c r="AH199" s="1395"/>
      <c r="AI199" s="1395"/>
      <c r="AJ199" s="1395"/>
      <c r="AK199" s="1395"/>
      <c r="AL199" s="1395"/>
      <c r="AM199" s="1395"/>
      <c r="AN199" s="1395"/>
      <c r="AO199" s="1395"/>
      <c r="AQ199" s="1328"/>
      <c r="AR199" s="1328"/>
      <c r="AS199" s="1328"/>
      <c r="AT199" s="1328"/>
      <c r="AU199" s="1328"/>
      <c r="AV199" s="1328"/>
      <c r="AW199" s="1328"/>
      <c r="AX199" s="1328"/>
      <c r="AY199" s="1328"/>
      <c r="AZ199" s="1328"/>
      <c r="BA199" s="1328"/>
    </row>
    <row r="200" spans="1:268" ht="15" customHeight="1" x14ac:dyDescent="0.25">
      <c r="A200" s="842" t="s">
        <v>133</v>
      </c>
      <c r="B200" s="843" t="s">
        <v>1244</v>
      </c>
      <c r="C200" s="778">
        <f t="shared" ref="C200:C263" si="166">(95/D200)/100</f>
        <v>9.5000000000000001E-2</v>
      </c>
      <c r="D200" s="844">
        <v>10</v>
      </c>
      <c r="E200" s="779" t="s">
        <v>1182</v>
      </c>
      <c r="F200" s="845">
        <v>43191</v>
      </c>
      <c r="G200" s="781">
        <f t="shared" ref="G200:G263" si="167">F200</f>
        <v>43191</v>
      </c>
      <c r="H200" s="781">
        <f t="shared" ref="H200:H263" si="168">G200+(365*D200)</f>
        <v>46841</v>
      </c>
      <c r="I200" s="1359">
        <v>200000</v>
      </c>
      <c r="J200" s="805">
        <f t="shared" ref="J200:J263" si="169">I200*5%</f>
        <v>10000</v>
      </c>
      <c r="K200" s="793"/>
      <c r="L200" s="793">
        <v>0</v>
      </c>
      <c r="M200" s="793">
        <f t="shared" ref="M200:M263" si="170">I200</f>
        <v>200000</v>
      </c>
      <c r="N200" s="793">
        <f t="shared" ref="N200:N263" si="171">IF(AND(F200&gt;$K$3,F200&lt;$L$3),$L$3-F200+1,IF(H200&lt;=$K$3,0,IF(H200&gt;$L$3,$L$3-$K$3,H200-$K$3)))</f>
        <v>365</v>
      </c>
      <c r="O200" s="793">
        <f t="shared" ref="O200:O263" si="172">ROUND(M200*C200*N200/365,0)</f>
        <v>19000</v>
      </c>
      <c r="P200" s="793">
        <f t="shared" ref="P200:P263" si="173">O200</f>
        <v>19000</v>
      </c>
      <c r="Q200" s="793">
        <f t="shared" ref="Q200:Q263" si="174">+M200-P200</f>
        <v>181000</v>
      </c>
      <c r="R200" s="793">
        <f t="shared" ref="R200:R263" si="175">+Q200</f>
        <v>181000</v>
      </c>
      <c r="S200" s="793">
        <f t="shared" ref="S200:S263" si="176">I200</f>
        <v>200000</v>
      </c>
      <c r="T200" s="805">
        <f t="shared" ref="T200:T263" si="177">IF(AND(F200&gt;$L$3,F200&lt;$R$3),$R$3-F200+1,IF(H200&lt;=$L$3,0,IF(H200&gt;$R$3,$R$3-$L$3,H200-$L$3)))</f>
        <v>366</v>
      </c>
      <c r="U200" s="805">
        <f t="shared" ref="U200:U263" si="178">ROUND(S200*C200*T200/366,0)</f>
        <v>19000</v>
      </c>
      <c r="V200" s="793">
        <f t="shared" ref="V200:V263" si="179">+P200+U200</f>
        <v>38000</v>
      </c>
      <c r="W200" s="793">
        <f t="shared" ref="W200:W263" si="180">+S200-V200</f>
        <v>162000</v>
      </c>
      <c r="X200" s="793">
        <f t="shared" ref="X200:X263" si="181">W200</f>
        <v>162000</v>
      </c>
      <c r="Y200" s="805">
        <f t="shared" ref="Y200:Y263" si="182">I200</f>
        <v>200000</v>
      </c>
      <c r="Z200" s="805">
        <f t="shared" ref="Z200:Z263" si="183">IF(AND(F200&gt;$R$3,F200&lt;$X$3),$X$3-F200+1,IF(H200&lt;=$R$3,0,IF(H200&gt;$X$3,$X$3-$R$3,H200-$R$3)))</f>
        <v>365</v>
      </c>
      <c r="AA200" s="805">
        <f t="shared" ref="AA200:AA263" si="184">ROUND(Y200*C200*Z200/365,0)</f>
        <v>19000</v>
      </c>
      <c r="AB200" s="805">
        <f t="shared" ref="AB200:AB263" si="185">+V200+AA200</f>
        <v>57000</v>
      </c>
      <c r="AC200" s="805">
        <f t="shared" ref="AC200:AC263" si="186">Y200-AB200</f>
        <v>143000</v>
      </c>
      <c r="AD200" s="793">
        <f t="shared" ref="AD200:AD263" si="187">AC200</f>
        <v>143000</v>
      </c>
      <c r="AE200" s="793">
        <f t="shared" ref="AE200:AE263" si="188">I200</f>
        <v>200000</v>
      </c>
      <c r="AF200" s="793">
        <f t="shared" ref="AF200:AF263" si="189">IF(AND(F200&gt;$X$3,F200&lt;$AD$3),$AD$3-F200+1,IF(H200&lt;=$X$3,0,IF(H200&gt;$AD$3,$AD$3-$X$3,H200-$X$3)))</f>
        <v>365</v>
      </c>
      <c r="AG200" s="793">
        <f t="shared" ref="AG200:AG263" si="190">ROUND(AE200*C200*AF200/365,0)</f>
        <v>19000</v>
      </c>
      <c r="AH200" s="805">
        <f t="shared" ref="AH200:AH263" si="191">+AB200+AG200</f>
        <v>76000</v>
      </c>
      <c r="AI200" s="805">
        <f t="shared" ref="AI200:AI263" si="192">AE200-AH200</f>
        <v>124000</v>
      </c>
      <c r="AJ200" s="793">
        <f t="shared" ref="AJ200:AJ263" si="193">AI200</f>
        <v>124000</v>
      </c>
      <c r="AK200" s="793">
        <f t="shared" ref="AK200:AK263" si="194">I200</f>
        <v>200000</v>
      </c>
      <c r="AL200" s="793">
        <f t="shared" ref="AL200:AL263" si="195">IF(AND(F200&gt;$AD$3,F200&lt;$AJ$3),$AJ$3-F200+1,IF(H200&lt;=$AD$3,0,IF(H200&gt;$AJ$3,$AJ$3-$AD$3,H200-$AD$3)))</f>
        <v>365</v>
      </c>
      <c r="AM200" s="793">
        <f t="shared" ref="AM200:AM263" si="196">ROUND(AK200*C200*AL200/365,0)</f>
        <v>19000</v>
      </c>
      <c r="AN200" s="805">
        <f t="shared" ref="AN200:AN263" si="197">+AH200+AM200</f>
        <v>95000</v>
      </c>
      <c r="AO200" s="805">
        <f t="shared" ref="AO200:AO263" si="198">AK200-AN200</f>
        <v>105000</v>
      </c>
      <c r="AP200" s="793">
        <f t="shared" ref="AP200:AP263" si="199">+AO200</f>
        <v>105000</v>
      </c>
      <c r="AQ200" s="793">
        <f t="shared" ref="AQ200:AQ263" si="200">I200</f>
        <v>200000</v>
      </c>
      <c r="AR200" s="793">
        <f t="shared" ref="AR200:AR263" si="201">IF(AND(F200&gt;$AJ$3,F200&lt;$AP$3),$AP$3-F200+1,IF(H200&lt;=$AJ$3,0,IF(H200&gt;$AP$3,$AP$3-$AJ$3,H200-$AJ$3)))</f>
        <v>366</v>
      </c>
      <c r="AS200" s="793">
        <f t="shared" ref="AS200:AS263" si="202">ROUND(AQ200*C200*AR200/365,0)</f>
        <v>19052</v>
      </c>
      <c r="AT200" s="793">
        <f t="shared" ref="AT200:AT263" si="203">+AN200+AS200</f>
        <v>114052</v>
      </c>
      <c r="AU200" s="793">
        <f t="shared" ref="AU200:AU263" si="204">+AQ200-AT200</f>
        <v>85948</v>
      </c>
      <c r="AV200" s="793">
        <f t="shared" ref="AV200:AV263" si="205">+AU200</f>
        <v>85948</v>
      </c>
      <c r="AW200" s="793">
        <f t="shared" ref="AW200:AW263" si="206">+I200</f>
        <v>200000</v>
      </c>
      <c r="AX200" s="793">
        <f t="shared" ref="AX200:AX263" si="207">IF(AND(F200&gt;$AP$3,F200&lt;$AV$3),$AV$3-F200+1,IF(H200&lt;=$AP$3,0,IF(H200&gt;$AV$3,$AV$3-$AP$3,H200-$AP$3)))</f>
        <v>365</v>
      </c>
      <c r="AY200" s="793">
        <f t="shared" ref="AY200:AY263" si="208">ROUND(AW200*C200*AX200/365,0)</f>
        <v>19000</v>
      </c>
      <c r="AZ200" s="793">
        <f t="shared" ref="AZ200:AZ263" si="209">+AT200+AY200</f>
        <v>133052</v>
      </c>
      <c r="BA200" s="793">
        <f t="shared" ref="BA200:BA263" si="210">+AW200-AZ200</f>
        <v>66948</v>
      </c>
    </row>
    <row r="201" spans="1:268" ht="15" customHeight="1" x14ac:dyDescent="0.25">
      <c r="A201" s="908" t="s">
        <v>133</v>
      </c>
      <c r="B201" s="879" t="s">
        <v>1245</v>
      </c>
      <c r="C201" s="880">
        <f t="shared" si="166"/>
        <v>9.5000000000000001E-2</v>
      </c>
      <c r="D201" s="881">
        <v>10</v>
      </c>
      <c r="E201" s="882" t="s">
        <v>1182</v>
      </c>
      <c r="F201" s="909">
        <v>43191</v>
      </c>
      <c r="G201" s="884">
        <f t="shared" si="167"/>
        <v>43191</v>
      </c>
      <c r="H201" s="884">
        <f t="shared" si="168"/>
        <v>46841</v>
      </c>
      <c r="I201" s="1402">
        <v>5084.72</v>
      </c>
      <c r="J201" s="1403">
        <f t="shared" si="169"/>
        <v>254.23600000000002</v>
      </c>
      <c r="K201" s="1404"/>
      <c r="L201" s="1405">
        <v>0</v>
      </c>
      <c r="M201" s="1406">
        <f t="shared" si="170"/>
        <v>5084.72</v>
      </c>
      <c r="N201" s="1406">
        <f t="shared" si="171"/>
        <v>365</v>
      </c>
      <c r="O201" s="1406">
        <f t="shared" si="172"/>
        <v>483</v>
      </c>
      <c r="P201" s="1406">
        <f t="shared" si="173"/>
        <v>483</v>
      </c>
      <c r="Q201" s="1407">
        <f t="shared" si="174"/>
        <v>4601.72</v>
      </c>
      <c r="R201" s="1333">
        <f t="shared" si="175"/>
        <v>4601.72</v>
      </c>
      <c r="S201" s="1406">
        <f t="shared" si="176"/>
        <v>5084.72</v>
      </c>
      <c r="T201" s="1403">
        <f t="shared" si="177"/>
        <v>366</v>
      </c>
      <c r="U201" s="1403">
        <f t="shared" si="178"/>
        <v>483</v>
      </c>
      <c r="V201" s="1406">
        <f t="shared" si="179"/>
        <v>966</v>
      </c>
      <c r="W201" s="1407">
        <f t="shared" si="180"/>
        <v>4118.72</v>
      </c>
      <c r="X201" s="1405">
        <f t="shared" si="181"/>
        <v>4118.72</v>
      </c>
      <c r="Y201" s="1403">
        <f t="shared" si="182"/>
        <v>5084.72</v>
      </c>
      <c r="Z201" s="1403">
        <f t="shared" si="183"/>
        <v>365</v>
      </c>
      <c r="AA201" s="1403">
        <f t="shared" si="184"/>
        <v>483</v>
      </c>
      <c r="AB201" s="1403">
        <f t="shared" si="185"/>
        <v>1449</v>
      </c>
      <c r="AC201" s="1408">
        <f t="shared" si="186"/>
        <v>3635.7200000000003</v>
      </c>
      <c r="AD201" s="1409">
        <f t="shared" si="187"/>
        <v>3635.7200000000003</v>
      </c>
      <c r="AE201" s="1406">
        <f t="shared" si="188"/>
        <v>5084.72</v>
      </c>
      <c r="AF201" s="1406">
        <f t="shared" si="189"/>
        <v>365</v>
      </c>
      <c r="AG201" s="1406">
        <f t="shared" si="190"/>
        <v>483</v>
      </c>
      <c r="AH201" s="1403">
        <f t="shared" si="191"/>
        <v>1932</v>
      </c>
      <c r="AI201" s="1403">
        <f t="shared" si="192"/>
        <v>3152.7200000000003</v>
      </c>
      <c r="AJ201" s="1406">
        <f t="shared" si="193"/>
        <v>3152.7200000000003</v>
      </c>
      <c r="AK201" s="1406">
        <f t="shared" si="194"/>
        <v>5084.72</v>
      </c>
      <c r="AL201" s="1406">
        <f t="shared" si="195"/>
        <v>365</v>
      </c>
      <c r="AM201" s="1406">
        <f t="shared" si="196"/>
        <v>483</v>
      </c>
      <c r="AN201" s="1403">
        <f t="shared" si="197"/>
        <v>2415</v>
      </c>
      <c r="AO201" s="1403">
        <f t="shared" si="198"/>
        <v>2669.7200000000003</v>
      </c>
      <c r="AP201" s="1392">
        <f t="shared" si="199"/>
        <v>2669.7200000000003</v>
      </c>
      <c r="AQ201" s="1392">
        <f t="shared" si="200"/>
        <v>5084.72</v>
      </c>
      <c r="AR201" s="1392">
        <f t="shared" si="201"/>
        <v>366</v>
      </c>
      <c r="AS201" s="1392">
        <f t="shared" si="202"/>
        <v>484</v>
      </c>
      <c r="AT201" s="1392">
        <f t="shared" si="203"/>
        <v>2899</v>
      </c>
      <c r="AU201" s="1392">
        <f t="shared" si="204"/>
        <v>2185.7200000000003</v>
      </c>
      <c r="AV201" s="1406">
        <f t="shared" si="205"/>
        <v>2185.7200000000003</v>
      </c>
      <c r="AW201" s="1406">
        <f t="shared" si="206"/>
        <v>5084.72</v>
      </c>
      <c r="AX201" s="1406">
        <f t="shared" si="207"/>
        <v>365</v>
      </c>
      <c r="AY201" s="1406">
        <f t="shared" si="208"/>
        <v>483</v>
      </c>
      <c r="AZ201" s="1392">
        <f t="shared" si="209"/>
        <v>3382</v>
      </c>
      <c r="BA201" s="1392">
        <f t="shared" si="210"/>
        <v>1702.7200000000003</v>
      </c>
    </row>
    <row r="202" spans="1:268" ht="15" customHeight="1" x14ac:dyDescent="0.25">
      <c r="A202" s="842" t="s">
        <v>133</v>
      </c>
      <c r="B202" s="843" t="s">
        <v>1246</v>
      </c>
      <c r="C202" s="778">
        <f t="shared" si="166"/>
        <v>9.5000000000000001E-2</v>
      </c>
      <c r="D202" s="844">
        <v>10</v>
      </c>
      <c r="E202" s="779" t="s">
        <v>1182</v>
      </c>
      <c r="F202" s="845">
        <v>43191</v>
      </c>
      <c r="G202" s="781">
        <f t="shared" si="167"/>
        <v>43191</v>
      </c>
      <c r="H202" s="781">
        <f t="shared" si="168"/>
        <v>46841</v>
      </c>
      <c r="I202" s="1359">
        <v>512500</v>
      </c>
      <c r="J202" s="805">
        <f t="shared" si="169"/>
        <v>25625</v>
      </c>
      <c r="K202" s="1404"/>
      <c r="L202" s="1410">
        <v>0</v>
      </c>
      <c r="M202" s="793">
        <f t="shared" si="170"/>
        <v>512500</v>
      </c>
      <c r="N202" s="793">
        <f t="shared" si="171"/>
        <v>365</v>
      </c>
      <c r="O202" s="793">
        <f t="shared" si="172"/>
        <v>48688</v>
      </c>
      <c r="P202" s="793">
        <f t="shared" si="173"/>
        <v>48688</v>
      </c>
      <c r="Q202" s="1365">
        <f t="shared" si="174"/>
        <v>463812</v>
      </c>
      <c r="R202" s="1411">
        <f t="shared" si="175"/>
        <v>463812</v>
      </c>
      <c r="S202" s="793">
        <f t="shared" si="176"/>
        <v>512500</v>
      </c>
      <c r="T202" s="805">
        <f t="shared" si="177"/>
        <v>366</v>
      </c>
      <c r="U202" s="805">
        <f t="shared" si="178"/>
        <v>48688</v>
      </c>
      <c r="V202" s="793">
        <f t="shared" si="179"/>
        <v>97376</v>
      </c>
      <c r="W202" s="1365">
        <f t="shared" si="180"/>
        <v>415124</v>
      </c>
      <c r="X202" s="1410">
        <f t="shared" si="181"/>
        <v>415124</v>
      </c>
      <c r="Y202" s="805">
        <f t="shared" si="182"/>
        <v>512500</v>
      </c>
      <c r="Z202" s="805">
        <f t="shared" si="183"/>
        <v>365</v>
      </c>
      <c r="AA202" s="805">
        <f t="shared" si="184"/>
        <v>48688</v>
      </c>
      <c r="AB202" s="805">
        <f t="shared" si="185"/>
        <v>146064</v>
      </c>
      <c r="AC202" s="1360">
        <f t="shared" si="186"/>
        <v>366436</v>
      </c>
      <c r="AD202" s="1412">
        <f t="shared" si="187"/>
        <v>366436</v>
      </c>
      <c r="AE202" s="793">
        <f t="shared" si="188"/>
        <v>512500</v>
      </c>
      <c r="AF202" s="793">
        <f t="shared" si="189"/>
        <v>365</v>
      </c>
      <c r="AG202" s="793">
        <f t="shared" si="190"/>
        <v>48688</v>
      </c>
      <c r="AH202" s="805">
        <f t="shared" si="191"/>
        <v>194752</v>
      </c>
      <c r="AI202" s="805">
        <f t="shared" si="192"/>
        <v>317748</v>
      </c>
      <c r="AJ202" s="793">
        <f t="shared" si="193"/>
        <v>317748</v>
      </c>
      <c r="AK202" s="793">
        <f t="shared" si="194"/>
        <v>512500</v>
      </c>
      <c r="AL202" s="793">
        <f t="shared" si="195"/>
        <v>365</v>
      </c>
      <c r="AM202" s="793">
        <f t="shared" si="196"/>
        <v>48688</v>
      </c>
      <c r="AN202" s="805">
        <f t="shared" si="197"/>
        <v>243440</v>
      </c>
      <c r="AO202" s="805">
        <f t="shared" si="198"/>
        <v>269060</v>
      </c>
      <c r="AP202" s="818">
        <f t="shared" si="199"/>
        <v>269060</v>
      </c>
      <c r="AQ202" s="818">
        <f t="shared" si="200"/>
        <v>512500</v>
      </c>
      <c r="AR202" s="818">
        <f t="shared" si="201"/>
        <v>366</v>
      </c>
      <c r="AS202" s="818">
        <f t="shared" si="202"/>
        <v>48821</v>
      </c>
      <c r="AT202" s="818">
        <f t="shared" si="203"/>
        <v>292261</v>
      </c>
      <c r="AU202" s="818">
        <f t="shared" si="204"/>
        <v>220239</v>
      </c>
      <c r="AV202" s="793">
        <f t="shared" si="205"/>
        <v>220239</v>
      </c>
      <c r="AW202" s="793">
        <f t="shared" si="206"/>
        <v>512500</v>
      </c>
      <c r="AX202" s="793">
        <f t="shared" si="207"/>
        <v>365</v>
      </c>
      <c r="AY202" s="793">
        <f t="shared" si="208"/>
        <v>48688</v>
      </c>
      <c r="AZ202" s="818">
        <f t="shared" si="209"/>
        <v>340949</v>
      </c>
      <c r="BA202" s="818">
        <f t="shared" si="210"/>
        <v>171551</v>
      </c>
    </row>
    <row r="203" spans="1:268" ht="15" customHeight="1" x14ac:dyDescent="0.25">
      <c r="A203" s="842" t="s">
        <v>133</v>
      </c>
      <c r="B203" s="843" t="s">
        <v>1247</v>
      </c>
      <c r="C203" s="778">
        <f t="shared" si="166"/>
        <v>9.5000000000000001E-2</v>
      </c>
      <c r="D203" s="844">
        <v>10</v>
      </c>
      <c r="E203" s="779" t="s">
        <v>1182</v>
      </c>
      <c r="F203" s="845">
        <v>43191</v>
      </c>
      <c r="G203" s="781">
        <f t="shared" si="167"/>
        <v>43191</v>
      </c>
      <c r="H203" s="781">
        <f t="shared" si="168"/>
        <v>46841</v>
      </c>
      <c r="I203" s="1359">
        <v>1091000</v>
      </c>
      <c r="J203" s="805">
        <f t="shared" si="169"/>
        <v>54550</v>
      </c>
      <c r="K203" s="1404"/>
      <c r="L203" s="1410">
        <v>0</v>
      </c>
      <c r="M203" s="793">
        <f t="shared" si="170"/>
        <v>1091000</v>
      </c>
      <c r="N203" s="793">
        <f t="shared" si="171"/>
        <v>365</v>
      </c>
      <c r="O203" s="793">
        <f t="shared" si="172"/>
        <v>103645</v>
      </c>
      <c r="P203" s="793">
        <f t="shared" si="173"/>
        <v>103645</v>
      </c>
      <c r="Q203" s="1365">
        <f t="shared" si="174"/>
        <v>987355</v>
      </c>
      <c r="R203" s="1411">
        <f t="shared" si="175"/>
        <v>987355</v>
      </c>
      <c r="S203" s="793">
        <f t="shared" si="176"/>
        <v>1091000</v>
      </c>
      <c r="T203" s="805">
        <f t="shared" si="177"/>
        <v>366</v>
      </c>
      <c r="U203" s="805">
        <f t="shared" si="178"/>
        <v>103645</v>
      </c>
      <c r="V203" s="793">
        <f t="shared" si="179"/>
        <v>207290</v>
      </c>
      <c r="W203" s="1365">
        <f t="shared" si="180"/>
        <v>883710</v>
      </c>
      <c r="X203" s="1410">
        <f t="shared" si="181"/>
        <v>883710</v>
      </c>
      <c r="Y203" s="805">
        <f t="shared" si="182"/>
        <v>1091000</v>
      </c>
      <c r="Z203" s="805">
        <f t="shared" si="183"/>
        <v>365</v>
      </c>
      <c r="AA203" s="805">
        <f t="shared" si="184"/>
        <v>103645</v>
      </c>
      <c r="AB203" s="805">
        <f t="shared" si="185"/>
        <v>310935</v>
      </c>
      <c r="AC203" s="1360">
        <f t="shared" si="186"/>
        <v>780065</v>
      </c>
      <c r="AD203" s="1412">
        <f t="shared" si="187"/>
        <v>780065</v>
      </c>
      <c r="AE203" s="793">
        <f t="shared" si="188"/>
        <v>1091000</v>
      </c>
      <c r="AF203" s="793">
        <f t="shared" si="189"/>
        <v>365</v>
      </c>
      <c r="AG203" s="793">
        <f t="shared" si="190"/>
        <v>103645</v>
      </c>
      <c r="AH203" s="805">
        <f t="shared" si="191"/>
        <v>414580</v>
      </c>
      <c r="AI203" s="805">
        <f t="shared" si="192"/>
        <v>676420</v>
      </c>
      <c r="AJ203" s="793">
        <f t="shared" si="193"/>
        <v>676420</v>
      </c>
      <c r="AK203" s="793">
        <f t="shared" si="194"/>
        <v>1091000</v>
      </c>
      <c r="AL203" s="793">
        <f t="shared" si="195"/>
        <v>365</v>
      </c>
      <c r="AM203" s="793">
        <f t="shared" si="196"/>
        <v>103645</v>
      </c>
      <c r="AN203" s="805">
        <f t="shared" si="197"/>
        <v>518225</v>
      </c>
      <c r="AO203" s="805">
        <f t="shared" si="198"/>
        <v>572775</v>
      </c>
      <c r="AP203" s="818">
        <f t="shared" si="199"/>
        <v>572775</v>
      </c>
      <c r="AQ203" s="818">
        <f t="shared" si="200"/>
        <v>1091000</v>
      </c>
      <c r="AR203" s="818">
        <f t="shared" si="201"/>
        <v>366</v>
      </c>
      <c r="AS203" s="818">
        <f t="shared" si="202"/>
        <v>103929</v>
      </c>
      <c r="AT203" s="818">
        <f t="shared" si="203"/>
        <v>622154</v>
      </c>
      <c r="AU203" s="818">
        <f t="shared" si="204"/>
        <v>468846</v>
      </c>
      <c r="AV203" s="793">
        <f t="shared" si="205"/>
        <v>468846</v>
      </c>
      <c r="AW203" s="793">
        <f t="shared" si="206"/>
        <v>1091000</v>
      </c>
      <c r="AX203" s="793">
        <f t="shared" si="207"/>
        <v>365</v>
      </c>
      <c r="AY203" s="793">
        <f t="shared" si="208"/>
        <v>103645</v>
      </c>
      <c r="AZ203" s="818">
        <f t="shared" si="209"/>
        <v>725799</v>
      </c>
      <c r="BA203" s="818">
        <f t="shared" si="210"/>
        <v>365201</v>
      </c>
    </row>
    <row r="204" spans="1:268" ht="15" customHeight="1" x14ac:dyDescent="0.25">
      <c r="A204" s="842" t="s">
        <v>133</v>
      </c>
      <c r="B204" s="843" t="s">
        <v>1248</v>
      </c>
      <c r="C204" s="778">
        <f t="shared" si="166"/>
        <v>9.5000000000000001E-2</v>
      </c>
      <c r="D204" s="844">
        <v>10</v>
      </c>
      <c r="E204" s="779" t="s">
        <v>1182</v>
      </c>
      <c r="F204" s="845">
        <v>43191</v>
      </c>
      <c r="G204" s="781">
        <f t="shared" si="167"/>
        <v>43191</v>
      </c>
      <c r="H204" s="781">
        <f t="shared" si="168"/>
        <v>46841</v>
      </c>
      <c r="I204" s="1359">
        <v>24610</v>
      </c>
      <c r="J204" s="805">
        <f t="shared" si="169"/>
        <v>1230.5</v>
      </c>
      <c r="K204" s="1404"/>
      <c r="L204" s="1410">
        <v>0</v>
      </c>
      <c r="M204" s="793">
        <f t="shared" si="170"/>
        <v>24610</v>
      </c>
      <c r="N204" s="793">
        <f t="shared" si="171"/>
        <v>365</v>
      </c>
      <c r="O204" s="793">
        <f t="shared" si="172"/>
        <v>2338</v>
      </c>
      <c r="P204" s="793">
        <f t="shared" si="173"/>
        <v>2338</v>
      </c>
      <c r="Q204" s="1365">
        <f t="shared" si="174"/>
        <v>22272</v>
      </c>
      <c r="R204" s="1411">
        <f t="shared" si="175"/>
        <v>22272</v>
      </c>
      <c r="S204" s="793">
        <f t="shared" si="176"/>
        <v>24610</v>
      </c>
      <c r="T204" s="805">
        <f t="shared" si="177"/>
        <v>366</v>
      </c>
      <c r="U204" s="805">
        <f t="shared" si="178"/>
        <v>2338</v>
      </c>
      <c r="V204" s="793">
        <f t="shared" si="179"/>
        <v>4676</v>
      </c>
      <c r="W204" s="1365">
        <f t="shared" si="180"/>
        <v>19934</v>
      </c>
      <c r="X204" s="1410">
        <f t="shared" si="181"/>
        <v>19934</v>
      </c>
      <c r="Y204" s="805">
        <f t="shared" si="182"/>
        <v>24610</v>
      </c>
      <c r="Z204" s="805">
        <f t="shared" si="183"/>
        <v>365</v>
      </c>
      <c r="AA204" s="805">
        <f t="shared" si="184"/>
        <v>2338</v>
      </c>
      <c r="AB204" s="805">
        <f t="shared" si="185"/>
        <v>7014</v>
      </c>
      <c r="AC204" s="1360">
        <f t="shared" si="186"/>
        <v>17596</v>
      </c>
      <c r="AD204" s="1412">
        <f t="shared" si="187"/>
        <v>17596</v>
      </c>
      <c r="AE204" s="793">
        <f t="shared" si="188"/>
        <v>24610</v>
      </c>
      <c r="AF204" s="793">
        <f t="shared" si="189"/>
        <v>365</v>
      </c>
      <c r="AG204" s="793">
        <f t="shared" si="190"/>
        <v>2338</v>
      </c>
      <c r="AH204" s="805">
        <f t="shared" si="191"/>
        <v>9352</v>
      </c>
      <c r="AI204" s="805">
        <f t="shared" si="192"/>
        <v>15258</v>
      </c>
      <c r="AJ204" s="793">
        <f t="shared" si="193"/>
        <v>15258</v>
      </c>
      <c r="AK204" s="793">
        <f t="shared" si="194"/>
        <v>24610</v>
      </c>
      <c r="AL204" s="793">
        <f t="shared" si="195"/>
        <v>365</v>
      </c>
      <c r="AM204" s="793">
        <f t="shared" si="196"/>
        <v>2338</v>
      </c>
      <c r="AN204" s="805">
        <f t="shared" si="197"/>
        <v>11690</v>
      </c>
      <c r="AO204" s="805">
        <f t="shared" si="198"/>
        <v>12920</v>
      </c>
      <c r="AP204" s="818">
        <f t="shared" si="199"/>
        <v>12920</v>
      </c>
      <c r="AQ204" s="818">
        <f t="shared" si="200"/>
        <v>24610</v>
      </c>
      <c r="AR204" s="818">
        <f t="shared" si="201"/>
        <v>366</v>
      </c>
      <c r="AS204" s="818">
        <f t="shared" si="202"/>
        <v>2344</v>
      </c>
      <c r="AT204" s="818">
        <f t="shared" si="203"/>
        <v>14034</v>
      </c>
      <c r="AU204" s="818">
        <f t="shared" si="204"/>
        <v>10576</v>
      </c>
      <c r="AV204" s="793">
        <f t="shared" si="205"/>
        <v>10576</v>
      </c>
      <c r="AW204" s="793">
        <f t="shared" si="206"/>
        <v>24610</v>
      </c>
      <c r="AX204" s="793">
        <f t="shared" si="207"/>
        <v>365</v>
      </c>
      <c r="AY204" s="793">
        <f t="shared" si="208"/>
        <v>2338</v>
      </c>
      <c r="AZ204" s="818">
        <f t="shared" si="209"/>
        <v>16372</v>
      </c>
      <c r="BA204" s="818">
        <f t="shared" si="210"/>
        <v>8238</v>
      </c>
    </row>
    <row r="205" spans="1:268" ht="15" customHeight="1" x14ac:dyDescent="0.25">
      <c r="A205" s="842" t="s">
        <v>133</v>
      </c>
      <c r="B205" s="843" t="s">
        <v>1249</v>
      </c>
      <c r="C205" s="778">
        <f t="shared" si="166"/>
        <v>9.5000000000000001E-2</v>
      </c>
      <c r="D205" s="844">
        <v>10</v>
      </c>
      <c r="E205" s="779" t="s">
        <v>1182</v>
      </c>
      <c r="F205" s="845">
        <v>43191</v>
      </c>
      <c r="G205" s="781">
        <f t="shared" si="167"/>
        <v>43191</v>
      </c>
      <c r="H205" s="781">
        <f t="shared" si="168"/>
        <v>46841</v>
      </c>
      <c r="I205" s="1359">
        <v>30000</v>
      </c>
      <c r="J205" s="805">
        <f t="shared" si="169"/>
        <v>1500</v>
      </c>
      <c r="K205" s="1404"/>
      <c r="L205" s="1410">
        <v>0</v>
      </c>
      <c r="M205" s="793">
        <f t="shared" si="170"/>
        <v>30000</v>
      </c>
      <c r="N205" s="793">
        <f t="shared" si="171"/>
        <v>365</v>
      </c>
      <c r="O205" s="793">
        <f t="shared" si="172"/>
        <v>2850</v>
      </c>
      <c r="P205" s="793">
        <f t="shared" si="173"/>
        <v>2850</v>
      </c>
      <c r="Q205" s="1365">
        <f t="shared" si="174"/>
        <v>27150</v>
      </c>
      <c r="R205" s="1411">
        <f t="shared" si="175"/>
        <v>27150</v>
      </c>
      <c r="S205" s="793">
        <f t="shared" si="176"/>
        <v>30000</v>
      </c>
      <c r="T205" s="805">
        <f t="shared" si="177"/>
        <v>366</v>
      </c>
      <c r="U205" s="805">
        <f t="shared" si="178"/>
        <v>2850</v>
      </c>
      <c r="V205" s="793">
        <f t="shared" si="179"/>
        <v>5700</v>
      </c>
      <c r="W205" s="1365">
        <f t="shared" si="180"/>
        <v>24300</v>
      </c>
      <c r="X205" s="1410">
        <f t="shared" si="181"/>
        <v>24300</v>
      </c>
      <c r="Y205" s="805">
        <f t="shared" si="182"/>
        <v>30000</v>
      </c>
      <c r="Z205" s="805">
        <f t="shared" si="183"/>
        <v>365</v>
      </c>
      <c r="AA205" s="805">
        <f t="shared" si="184"/>
        <v>2850</v>
      </c>
      <c r="AB205" s="805">
        <f t="shared" si="185"/>
        <v>8550</v>
      </c>
      <c r="AC205" s="1360">
        <f t="shared" si="186"/>
        <v>21450</v>
      </c>
      <c r="AD205" s="1412">
        <f t="shared" si="187"/>
        <v>21450</v>
      </c>
      <c r="AE205" s="793">
        <f t="shared" si="188"/>
        <v>30000</v>
      </c>
      <c r="AF205" s="793">
        <f t="shared" si="189"/>
        <v>365</v>
      </c>
      <c r="AG205" s="793">
        <f t="shared" si="190"/>
        <v>2850</v>
      </c>
      <c r="AH205" s="805">
        <f t="shared" si="191"/>
        <v>11400</v>
      </c>
      <c r="AI205" s="805">
        <f t="shared" si="192"/>
        <v>18600</v>
      </c>
      <c r="AJ205" s="793">
        <f t="shared" si="193"/>
        <v>18600</v>
      </c>
      <c r="AK205" s="793">
        <f t="shared" si="194"/>
        <v>30000</v>
      </c>
      <c r="AL205" s="793">
        <f t="shared" si="195"/>
        <v>365</v>
      </c>
      <c r="AM205" s="793">
        <f t="shared" si="196"/>
        <v>2850</v>
      </c>
      <c r="AN205" s="805">
        <f t="shared" si="197"/>
        <v>14250</v>
      </c>
      <c r="AO205" s="805">
        <f t="shared" si="198"/>
        <v>15750</v>
      </c>
      <c r="AP205" s="818">
        <f t="shared" si="199"/>
        <v>15750</v>
      </c>
      <c r="AQ205" s="818">
        <f t="shared" si="200"/>
        <v>30000</v>
      </c>
      <c r="AR205" s="818">
        <f t="shared" si="201"/>
        <v>366</v>
      </c>
      <c r="AS205" s="818">
        <f t="shared" si="202"/>
        <v>2858</v>
      </c>
      <c r="AT205" s="818">
        <f t="shared" si="203"/>
        <v>17108</v>
      </c>
      <c r="AU205" s="818">
        <f t="shared" si="204"/>
        <v>12892</v>
      </c>
      <c r="AV205" s="793">
        <f t="shared" si="205"/>
        <v>12892</v>
      </c>
      <c r="AW205" s="793">
        <f t="shared" si="206"/>
        <v>30000</v>
      </c>
      <c r="AX205" s="793">
        <f t="shared" si="207"/>
        <v>365</v>
      </c>
      <c r="AY205" s="793">
        <f t="shared" si="208"/>
        <v>2850</v>
      </c>
      <c r="AZ205" s="818">
        <f t="shared" si="209"/>
        <v>19958</v>
      </c>
      <c r="BA205" s="818">
        <f t="shared" si="210"/>
        <v>10042</v>
      </c>
    </row>
    <row r="206" spans="1:268" ht="15" customHeight="1" x14ac:dyDescent="0.25">
      <c r="A206" s="842" t="s">
        <v>133</v>
      </c>
      <c r="B206" s="843" t="s">
        <v>1250</v>
      </c>
      <c r="C206" s="778">
        <f t="shared" si="166"/>
        <v>9.5000000000000001E-2</v>
      </c>
      <c r="D206" s="844">
        <v>10</v>
      </c>
      <c r="E206" s="779" t="s">
        <v>1182</v>
      </c>
      <c r="F206" s="845">
        <v>43191</v>
      </c>
      <c r="G206" s="781">
        <f t="shared" si="167"/>
        <v>43191</v>
      </c>
      <c r="H206" s="781">
        <f t="shared" si="168"/>
        <v>46841</v>
      </c>
      <c r="I206" s="1359">
        <v>1630500</v>
      </c>
      <c r="J206" s="805">
        <f t="shared" si="169"/>
        <v>81525</v>
      </c>
      <c r="K206" s="1404"/>
      <c r="L206" s="1410">
        <v>0</v>
      </c>
      <c r="M206" s="793">
        <f t="shared" si="170"/>
        <v>1630500</v>
      </c>
      <c r="N206" s="793">
        <f t="shared" si="171"/>
        <v>365</v>
      </c>
      <c r="O206" s="793">
        <f t="shared" si="172"/>
        <v>154898</v>
      </c>
      <c r="P206" s="793">
        <f t="shared" si="173"/>
        <v>154898</v>
      </c>
      <c r="Q206" s="1365">
        <f t="shared" si="174"/>
        <v>1475602</v>
      </c>
      <c r="R206" s="1411">
        <f t="shared" si="175"/>
        <v>1475602</v>
      </c>
      <c r="S206" s="793">
        <f t="shared" si="176"/>
        <v>1630500</v>
      </c>
      <c r="T206" s="805">
        <f t="shared" si="177"/>
        <v>366</v>
      </c>
      <c r="U206" s="805">
        <f t="shared" si="178"/>
        <v>154898</v>
      </c>
      <c r="V206" s="793">
        <f t="shared" si="179"/>
        <v>309796</v>
      </c>
      <c r="W206" s="1365">
        <f t="shared" si="180"/>
        <v>1320704</v>
      </c>
      <c r="X206" s="1410">
        <f t="shared" si="181"/>
        <v>1320704</v>
      </c>
      <c r="Y206" s="805">
        <f t="shared" si="182"/>
        <v>1630500</v>
      </c>
      <c r="Z206" s="805">
        <f t="shared" si="183"/>
        <v>365</v>
      </c>
      <c r="AA206" s="805">
        <f t="shared" si="184"/>
        <v>154898</v>
      </c>
      <c r="AB206" s="805">
        <f t="shared" si="185"/>
        <v>464694</v>
      </c>
      <c r="AC206" s="1360">
        <f t="shared" si="186"/>
        <v>1165806</v>
      </c>
      <c r="AD206" s="1412">
        <f t="shared" si="187"/>
        <v>1165806</v>
      </c>
      <c r="AE206" s="793">
        <f t="shared" si="188"/>
        <v>1630500</v>
      </c>
      <c r="AF206" s="793">
        <f t="shared" si="189"/>
        <v>365</v>
      </c>
      <c r="AG206" s="793">
        <f t="shared" si="190"/>
        <v>154898</v>
      </c>
      <c r="AH206" s="805">
        <f t="shared" si="191"/>
        <v>619592</v>
      </c>
      <c r="AI206" s="805">
        <f t="shared" si="192"/>
        <v>1010908</v>
      </c>
      <c r="AJ206" s="793">
        <f t="shared" si="193"/>
        <v>1010908</v>
      </c>
      <c r="AK206" s="793">
        <f t="shared" si="194"/>
        <v>1630500</v>
      </c>
      <c r="AL206" s="793">
        <f t="shared" si="195"/>
        <v>365</v>
      </c>
      <c r="AM206" s="793">
        <f t="shared" si="196"/>
        <v>154898</v>
      </c>
      <c r="AN206" s="805">
        <f t="shared" si="197"/>
        <v>774490</v>
      </c>
      <c r="AO206" s="805">
        <f t="shared" si="198"/>
        <v>856010</v>
      </c>
      <c r="AP206" s="818">
        <f t="shared" si="199"/>
        <v>856010</v>
      </c>
      <c r="AQ206" s="818">
        <f t="shared" si="200"/>
        <v>1630500</v>
      </c>
      <c r="AR206" s="818">
        <f t="shared" si="201"/>
        <v>366</v>
      </c>
      <c r="AS206" s="818">
        <f t="shared" si="202"/>
        <v>155322</v>
      </c>
      <c r="AT206" s="818">
        <f t="shared" si="203"/>
        <v>929812</v>
      </c>
      <c r="AU206" s="818">
        <f t="shared" si="204"/>
        <v>700688</v>
      </c>
      <c r="AV206" s="793">
        <f t="shared" si="205"/>
        <v>700688</v>
      </c>
      <c r="AW206" s="793">
        <f t="shared" si="206"/>
        <v>1630500</v>
      </c>
      <c r="AX206" s="793">
        <f t="shared" si="207"/>
        <v>365</v>
      </c>
      <c r="AY206" s="793">
        <f t="shared" si="208"/>
        <v>154898</v>
      </c>
      <c r="AZ206" s="818">
        <f t="shared" si="209"/>
        <v>1084710</v>
      </c>
      <c r="BA206" s="818">
        <f t="shared" si="210"/>
        <v>545790</v>
      </c>
    </row>
    <row r="207" spans="1:268" ht="15" customHeight="1" x14ac:dyDescent="0.25">
      <c r="A207" s="842" t="s">
        <v>133</v>
      </c>
      <c r="B207" s="843" t="s">
        <v>1251</v>
      </c>
      <c r="C207" s="778">
        <f t="shared" si="166"/>
        <v>9.5000000000000001E-2</v>
      </c>
      <c r="D207" s="844">
        <v>10</v>
      </c>
      <c r="E207" s="779" t="s">
        <v>1182</v>
      </c>
      <c r="F207" s="845">
        <v>43191</v>
      </c>
      <c r="G207" s="781">
        <f t="shared" si="167"/>
        <v>43191</v>
      </c>
      <c r="H207" s="781">
        <f t="shared" si="168"/>
        <v>46841</v>
      </c>
      <c r="I207" s="1359">
        <v>23265</v>
      </c>
      <c r="J207" s="805">
        <f t="shared" si="169"/>
        <v>1163.25</v>
      </c>
      <c r="K207" s="1404"/>
      <c r="L207" s="1410">
        <v>0</v>
      </c>
      <c r="M207" s="793">
        <f t="shared" si="170"/>
        <v>23265</v>
      </c>
      <c r="N207" s="793">
        <f t="shared" si="171"/>
        <v>365</v>
      </c>
      <c r="O207" s="793">
        <f t="shared" si="172"/>
        <v>2210</v>
      </c>
      <c r="P207" s="793">
        <f t="shared" si="173"/>
        <v>2210</v>
      </c>
      <c r="Q207" s="1365">
        <f t="shared" si="174"/>
        <v>21055</v>
      </c>
      <c r="R207" s="1411">
        <f t="shared" si="175"/>
        <v>21055</v>
      </c>
      <c r="S207" s="793">
        <f t="shared" si="176"/>
        <v>23265</v>
      </c>
      <c r="T207" s="805">
        <f t="shared" si="177"/>
        <v>366</v>
      </c>
      <c r="U207" s="805">
        <f t="shared" si="178"/>
        <v>2210</v>
      </c>
      <c r="V207" s="793">
        <f t="shared" si="179"/>
        <v>4420</v>
      </c>
      <c r="W207" s="1365">
        <f t="shared" si="180"/>
        <v>18845</v>
      </c>
      <c r="X207" s="1410">
        <f t="shared" si="181"/>
        <v>18845</v>
      </c>
      <c r="Y207" s="805">
        <f t="shared" si="182"/>
        <v>23265</v>
      </c>
      <c r="Z207" s="805">
        <f t="shared" si="183"/>
        <v>365</v>
      </c>
      <c r="AA207" s="805">
        <f t="shared" si="184"/>
        <v>2210</v>
      </c>
      <c r="AB207" s="805">
        <f t="shared" si="185"/>
        <v>6630</v>
      </c>
      <c r="AC207" s="1360">
        <f t="shared" si="186"/>
        <v>16635</v>
      </c>
      <c r="AD207" s="1412">
        <f t="shared" si="187"/>
        <v>16635</v>
      </c>
      <c r="AE207" s="793">
        <f t="shared" si="188"/>
        <v>23265</v>
      </c>
      <c r="AF207" s="793">
        <f t="shared" si="189"/>
        <v>365</v>
      </c>
      <c r="AG207" s="793">
        <f t="shared" si="190"/>
        <v>2210</v>
      </c>
      <c r="AH207" s="805">
        <f t="shared" si="191"/>
        <v>8840</v>
      </c>
      <c r="AI207" s="805">
        <f t="shared" si="192"/>
        <v>14425</v>
      </c>
      <c r="AJ207" s="793">
        <f t="shared" si="193"/>
        <v>14425</v>
      </c>
      <c r="AK207" s="793">
        <f t="shared" si="194"/>
        <v>23265</v>
      </c>
      <c r="AL207" s="793">
        <f t="shared" si="195"/>
        <v>365</v>
      </c>
      <c r="AM207" s="793">
        <f t="shared" si="196"/>
        <v>2210</v>
      </c>
      <c r="AN207" s="805">
        <f t="shared" si="197"/>
        <v>11050</v>
      </c>
      <c r="AO207" s="805">
        <f t="shared" si="198"/>
        <v>12215</v>
      </c>
      <c r="AP207" s="818">
        <f t="shared" si="199"/>
        <v>12215</v>
      </c>
      <c r="AQ207" s="818">
        <f t="shared" si="200"/>
        <v>23265</v>
      </c>
      <c r="AR207" s="818">
        <f t="shared" si="201"/>
        <v>366</v>
      </c>
      <c r="AS207" s="818">
        <f t="shared" si="202"/>
        <v>2216</v>
      </c>
      <c r="AT207" s="818">
        <f t="shared" si="203"/>
        <v>13266</v>
      </c>
      <c r="AU207" s="818">
        <f t="shared" si="204"/>
        <v>9999</v>
      </c>
      <c r="AV207" s="793">
        <f t="shared" si="205"/>
        <v>9999</v>
      </c>
      <c r="AW207" s="793">
        <f t="shared" si="206"/>
        <v>23265</v>
      </c>
      <c r="AX207" s="793">
        <f t="shared" si="207"/>
        <v>365</v>
      </c>
      <c r="AY207" s="793">
        <f t="shared" si="208"/>
        <v>2210</v>
      </c>
      <c r="AZ207" s="818">
        <f t="shared" si="209"/>
        <v>15476</v>
      </c>
      <c r="BA207" s="818">
        <f t="shared" si="210"/>
        <v>7789</v>
      </c>
    </row>
    <row r="208" spans="1:268" ht="15" customHeight="1" x14ac:dyDescent="0.25">
      <c r="A208" s="842" t="s">
        <v>133</v>
      </c>
      <c r="B208" s="843" t="s">
        <v>1252</v>
      </c>
      <c r="C208" s="778">
        <f t="shared" si="166"/>
        <v>9.5000000000000001E-2</v>
      </c>
      <c r="D208" s="844">
        <v>10</v>
      </c>
      <c r="E208" s="779" t="s">
        <v>1182</v>
      </c>
      <c r="F208" s="845">
        <v>43191</v>
      </c>
      <c r="G208" s="781">
        <f t="shared" si="167"/>
        <v>43191</v>
      </c>
      <c r="H208" s="781">
        <f t="shared" si="168"/>
        <v>46841</v>
      </c>
      <c r="I208" s="1359">
        <v>21500</v>
      </c>
      <c r="J208" s="805">
        <f t="shared" si="169"/>
        <v>1075</v>
      </c>
      <c r="K208" s="1404"/>
      <c r="L208" s="1410">
        <v>0</v>
      </c>
      <c r="M208" s="793">
        <f t="shared" si="170"/>
        <v>21500</v>
      </c>
      <c r="N208" s="793">
        <f t="shared" si="171"/>
        <v>365</v>
      </c>
      <c r="O208" s="793">
        <f t="shared" si="172"/>
        <v>2043</v>
      </c>
      <c r="P208" s="793">
        <f t="shared" si="173"/>
        <v>2043</v>
      </c>
      <c r="Q208" s="1365">
        <f t="shared" si="174"/>
        <v>19457</v>
      </c>
      <c r="R208" s="1411">
        <f t="shared" si="175"/>
        <v>19457</v>
      </c>
      <c r="S208" s="793">
        <f t="shared" si="176"/>
        <v>21500</v>
      </c>
      <c r="T208" s="805">
        <f t="shared" si="177"/>
        <v>366</v>
      </c>
      <c r="U208" s="805">
        <f t="shared" si="178"/>
        <v>2043</v>
      </c>
      <c r="V208" s="793">
        <f t="shared" si="179"/>
        <v>4086</v>
      </c>
      <c r="W208" s="1365">
        <f t="shared" si="180"/>
        <v>17414</v>
      </c>
      <c r="X208" s="1410">
        <f t="shared" si="181"/>
        <v>17414</v>
      </c>
      <c r="Y208" s="805">
        <f t="shared" si="182"/>
        <v>21500</v>
      </c>
      <c r="Z208" s="805">
        <f t="shared" si="183"/>
        <v>365</v>
      </c>
      <c r="AA208" s="805">
        <f t="shared" si="184"/>
        <v>2043</v>
      </c>
      <c r="AB208" s="805">
        <f t="shared" si="185"/>
        <v>6129</v>
      </c>
      <c r="AC208" s="1360">
        <f t="shared" si="186"/>
        <v>15371</v>
      </c>
      <c r="AD208" s="1412">
        <f t="shared" si="187"/>
        <v>15371</v>
      </c>
      <c r="AE208" s="793">
        <f t="shared" si="188"/>
        <v>21500</v>
      </c>
      <c r="AF208" s="793">
        <f t="shared" si="189"/>
        <v>365</v>
      </c>
      <c r="AG208" s="793">
        <f t="shared" si="190"/>
        <v>2043</v>
      </c>
      <c r="AH208" s="805">
        <f t="shared" si="191"/>
        <v>8172</v>
      </c>
      <c r="AI208" s="805">
        <f t="shared" si="192"/>
        <v>13328</v>
      </c>
      <c r="AJ208" s="793">
        <f t="shared" si="193"/>
        <v>13328</v>
      </c>
      <c r="AK208" s="793">
        <f t="shared" si="194"/>
        <v>21500</v>
      </c>
      <c r="AL208" s="793">
        <f t="shared" si="195"/>
        <v>365</v>
      </c>
      <c r="AM208" s="793">
        <f t="shared" si="196"/>
        <v>2043</v>
      </c>
      <c r="AN208" s="805">
        <f t="shared" si="197"/>
        <v>10215</v>
      </c>
      <c r="AO208" s="805">
        <f t="shared" si="198"/>
        <v>11285</v>
      </c>
      <c r="AP208" s="818">
        <f t="shared" si="199"/>
        <v>11285</v>
      </c>
      <c r="AQ208" s="818">
        <f t="shared" si="200"/>
        <v>21500</v>
      </c>
      <c r="AR208" s="818">
        <f t="shared" si="201"/>
        <v>366</v>
      </c>
      <c r="AS208" s="818">
        <f t="shared" si="202"/>
        <v>2048</v>
      </c>
      <c r="AT208" s="818">
        <f t="shared" si="203"/>
        <v>12263</v>
      </c>
      <c r="AU208" s="818">
        <f t="shared" si="204"/>
        <v>9237</v>
      </c>
      <c r="AV208" s="793">
        <f t="shared" si="205"/>
        <v>9237</v>
      </c>
      <c r="AW208" s="793">
        <f t="shared" si="206"/>
        <v>21500</v>
      </c>
      <c r="AX208" s="793">
        <f t="shared" si="207"/>
        <v>365</v>
      </c>
      <c r="AY208" s="793">
        <f t="shared" si="208"/>
        <v>2043</v>
      </c>
      <c r="AZ208" s="818">
        <f t="shared" si="209"/>
        <v>14306</v>
      </c>
      <c r="BA208" s="818">
        <f t="shared" si="210"/>
        <v>7194</v>
      </c>
    </row>
    <row r="209" spans="1:53" ht="15" customHeight="1" x14ac:dyDescent="0.25">
      <c r="A209" s="842" t="s">
        <v>133</v>
      </c>
      <c r="B209" s="843" t="s">
        <v>1253</v>
      </c>
      <c r="C209" s="778">
        <f t="shared" si="166"/>
        <v>9.5000000000000001E-2</v>
      </c>
      <c r="D209" s="844">
        <v>10</v>
      </c>
      <c r="E209" s="779" t="s">
        <v>1182</v>
      </c>
      <c r="F209" s="845">
        <v>43191</v>
      </c>
      <c r="G209" s="781">
        <f t="shared" si="167"/>
        <v>43191</v>
      </c>
      <c r="H209" s="781">
        <f t="shared" si="168"/>
        <v>46841</v>
      </c>
      <c r="I209" s="1359">
        <v>8400</v>
      </c>
      <c r="J209" s="805">
        <f t="shared" si="169"/>
        <v>420</v>
      </c>
      <c r="K209" s="1404"/>
      <c r="L209" s="1410">
        <v>0</v>
      </c>
      <c r="M209" s="793">
        <f t="shared" si="170"/>
        <v>8400</v>
      </c>
      <c r="N209" s="793">
        <f t="shared" si="171"/>
        <v>365</v>
      </c>
      <c r="O209" s="793">
        <f t="shared" si="172"/>
        <v>798</v>
      </c>
      <c r="P209" s="793">
        <f t="shared" si="173"/>
        <v>798</v>
      </c>
      <c r="Q209" s="1365">
        <f t="shared" si="174"/>
        <v>7602</v>
      </c>
      <c r="R209" s="1411">
        <f t="shared" si="175"/>
        <v>7602</v>
      </c>
      <c r="S209" s="793">
        <f t="shared" si="176"/>
        <v>8400</v>
      </c>
      <c r="T209" s="805">
        <f t="shared" si="177"/>
        <v>366</v>
      </c>
      <c r="U209" s="805">
        <f t="shared" si="178"/>
        <v>798</v>
      </c>
      <c r="V209" s="793">
        <f t="shared" si="179"/>
        <v>1596</v>
      </c>
      <c r="W209" s="1365">
        <f t="shared" si="180"/>
        <v>6804</v>
      </c>
      <c r="X209" s="1410">
        <f t="shared" si="181"/>
        <v>6804</v>
      </c>
      <c r="Y209" s="805">
        <f t="shared" si="182"/>
        <v>8400</v>
      </c>
      <c r="Z209" s="805">
        <f t="shared" si="183"/>
        <v>365</v>
      </c>
      <c r="AA209" s="805">
        <f t="shared" si="184"/>
        <v>798</v>
      </c>
      <c r="AB209" s="805">
        <f t="shared" si="185"/>
        <v>2394</v>
      </c>
      <c r="AC209" s="1360">
        <f t="shared" si="186"/>
        <v>6006</v>
      </c>
      <c r="AD209" s="1412">
        <f t="shared" si="187"/>
        <v>6006</v>
      </c>
      <c r="AE209" s="793">
        <f t="shared" si="188"/>
        <v>8400</v>
      </c>
      <c r="AF209" s="793">
        <f t="shared" si="189"/>
        <v>365</v>
      </c>
      <c r="AG209" s="793">
        <f t="shared" si="190"/>
        <v>798</v>
      </c>
      <c r="AH209" s="805">
        <f t="shared" si="191"/>
        <v>3192</v>
      </c>
      <c r="AI209" s="805">
        <f t="shared" si="192"/>
        <v>5208</v>
      </c>
      <c r="AJ209" s="793">
        <f t="shared" si="193"/>
        <v>5208</v>
      </c>
      <c r="AK209" s="793">
        <f t="shared" si="194"/>
        <v>8400</v>
      </c>
      <c r="AL209" s="793">
        <f t="shared" si="195"/>
        <v>365</v>
      </c>
      <c r="AM209" s="793">
        <f t="shared" si="196"/>
        <v>798</v>
      </c>
      <c r="AN209" s="805">
        <f t="shared" si="197"/>
        <v>3990</v>
      </c>
      <c r="AO209" s="805">
        <f t="shared" si="198"/>
        <v>4410</v>
      </c>
      <c r="AP209" s="818">
        <f t="shared" si="199"/>
        <v>4410</v>
      </c>
      <c r="AQ209" s="818">
        <f t="shared" si="200"/>
        <v>8400</v>
      </c>
      <c r="AR209" s="818">
        <f t="shared" si="201"/>
        <v>366</v>
      </c>
      <c r="AS209" s="818">
        <f t="shared" si="202"/>
        <v>800</v>
      </c>
      <c r="AT209" s="818">
        <f t="shared" si="203"/>
        <v>4790</v>
      </c>
      <c r="AU209" s="818">
        <f t="shared" si="204"/>
        <v>3610</v>
      </c>
      <c r="AV209" s="793">
        <f t="shared" si="205"/>
        <v>3610</v>
      </c>
      <c r="AW209" s="793">
        <f t="shared" si="206"/>
        <v>8400</v>
      </c>
      <c r="AX209" s="793">
        <f t="shared" si="207"/>
        <v>365</v>
      </c>
      <c r="AY209" s="793">
        <f t="shared" si="208"/>
        <v>798</v>
      </c>
      <c r="AZ209" s="818">
        <f t="shared" si="209"/>
        <v>5588</v>
      </c>
      <c r="BA209" s="818">
        <f t="shared" si="210"/>
        <v>2812</v>
      </c>
    </row>
    <row r="210" spans="1:53" ht="15" customHeight="1" x14ac:dyDescent="0.25">
      <c r="A210" s="842" t="s">
        <v>133</v>
      </c>
      <c r="B210" s="843" t="s">
        <v>1254</v>
      </c>
      <c r="C210" s="778">
        <f t="shared" si="166"/>
        <v>9.5000000000000001E-2</v>
      </c>
      <c r="D210" s="844">
        <v>10</v>
      </c>
      <c r="E210" s="779" t="s">
        <v>1182</v>
      </c>
      <c r="F210" s="845">
        <v>43191</v>
      </c>
      <c r="G210" s="781">
        <f t="shared" si="167"/>
        <v>43191</v>
      </c>
      <c r="H210" s="781">
        <f t="shared" si="168"/>
        <v>46841</v>
      </c>
      <c r="I210" s="1359">
        <v>10169.5</v>
      </c>
      <c r="J210" s="805">
        <f t="shared" si="169"/>
        <v>508.47500000000002</v>
      </c>
      <c r="K210" s="1404"/>
      <c r="L210" s="1410">
        <v>0</v>
      </c>
      <c r="M210" s="793">
        <f t="shared" si="170"/>
        <v>10169.5</v>
      </c>
      <c r="N210" s="793">
        <f t="shared" si="171"/>
        <v>365</v>
      </c>
      <c r="O210" s="793">
        <f t="shared" si="172"/>
        <v>966</v>
      </c>
      <c r="P210" s="793">
        <f t="shared" si="173"/>
        <v>966</v>
      </c>
      <c r="Q210" s="1365">
        <f t="shared" si="174"/>
        <v>9203.5</v>
      </c>
      <c r="R210" s="1411">
        <f t="shared" si="175"/>
        <v>9203.5</v>
      </c>
      <c r="S210" s="793">
        <f t="shared" si="176"/>
        <v>10169.5</v>
      </c>
      <c r="T210" s="805">
        <f t="shared" si="177"/>
        <v>366</v>
      </c>
      <c r="U210" s="805">
        <f t="shared" si="178"/>
        <v>966</v>
      </c>
      <c r="V210" s="793">
        <f t="shared" si="179"/>
        <v>1932</v>
      </c>
      <c r="W210" s="1365">
        <f t="shared" si="180"/>
        <v>8237.5</v>
      </c>
      <c r="X210" s="1410">
        <f t="shared" si="181"/>
        <v>8237.5</v>
      </c>
      <c r="Y210" s="805">
        <f t="shared" si="182"/>
        <v>10169.5</v>
      </c>
      <c r="Z210" s="805">
        <f t="shared" si="183"/>
        <v>365</v>
      </c>
      <c r="AA210" s="805">
        <f t="shared" si="184"/>
        <v>966</v>
      </c>
      <c r="AB210" s="805">
        <f t="shared" si="185"/>
        <v>2898</v>
      </c>
      <c r="AC210" s="1360">
        <f t="shared" si="186"/>
        <v>7271.5</v>
      </c>
      <c r="AD210" s="1412">
        <f t="shared" si="187"/>
        <v>7271.5</v>
      </c>
      <c r="AE210" s="793">
        <f t="shared" si="188"/>
        <v>10169.5</v>
      </c>
      <c r="AF210" s="793">
        <f t="shared" si="189"/>
        <v>365</v>
      </c>
      <c r="AG210" s="793">
        <f t="shared" si="190"/>
        <v>966</v>
      </c>
      <c r="AH210" s="805">
        <f t="shared" si="191"/>
        <v>3864</v>
      </c>
      <c r="AI210" s="805">
        <f t="shared" si="192"/>
        <v>6305.5</v>
      </c>
      <c r="AJ210" s="793">
        <f t="shared" si="193"/>
        <v>6305.5</v>
      </c>
      <c r="AK210" s="793">
        <f t="shared" si="194"/>
        <v>10169.5</v>
      </c>
      <c r="AL210" s="793">
        <f t="shared" si="195"/>
        <v>365</v>
      </c>
      <c r="AM210" s="793">
        <f t="shared" si="196"/>
        <v>966</v>
      </c>
      <c r="AN210" s="805">
        <f t="shared" si="197"/>
        <v>4830</v>
      </c>
      <c r="AO210" s="805">
        <f t="shared" si="198"/>
        <v>5339.5</v>
      </c>
      <c r="AP210" s="818">
        <f t="shared" si="199"/>
        <v>5339.5</v>
      </c>
      <c r="AQ210" s="818">
        <f t="shared" si="200"/>
        <v>10169.5</v>
      </c>
      <c r="AR210" s="818">
        <f t="shared" si="201"/>
        <v>366</v>
      </c>
      <c r="AS210" s="818">
        <f t="shared" si="202"/>
        <v>969</v>
      </c>
      <c r="AT210" s="818">
        <f t="shared" si="203"/>
        <v>5799</v>
      </c>
      <c r="AU210" s="818">
        <f t="shared" si="204"/>
        <v>4370.5</v>
      </c>
      <c r="AV210" s="793">
        <f t="shared" si="205"/>
        <v>4370.5</v>
      </c>
      <c r="AW210" s="793">
        <f t="shared" si="206"/>
        <v>10169.5</v>
      </c>
      <c r="AX210" s="793">
        <f t="shared" si="207"/>
        <v>365</v>
      </c>
      <c r="AY210" s="793">
        <f t="shared" si="208"/>
        <v>966</v>
      </c>
      <c r="AZ210" s="818">
        <f t="shared" si="209"/>
        <v>6765</v>
      </c>
      <c r="BA210" s="818">
        <f t="shared" si="210"/>
        <v>3404.5</v>
      </c>
    </row>
    <row r="211" spans="1:53" ht="15" customHeight="1" x14ac:dyDescent="0.25">
      <c r="A211" s="842" t="s">
        <v>133</v>
      </c>
      <c r="B211" s="843" t="s">
        <v>1255</v>
      </c>
      <c r="C211" s="778">
        <f t="shared" si="166"/>
        <v>9.5000000000000001E-2</v>
      </c>
      <c r="D211" s="844">
        <v>10</v>
      </c>
      <c r="E211" s="779" t="s">
        <v>1182</v>
      </c>
      <c r="F211" s="845">
        <v>43191</v>
      </c>
      <c r="G211" s="781">
        <f t="shared" si="167"/>
        <v>43191</v>
      </c>
      <c r="H211" s="781">
        <f t="shared" si="168"/>
        <v>46841</v>
      </c>
      <c r="I211" s="1359">
        <v>26000</v>
      </c>
      <c r="J211" s="805">
        <f t="shared" si="169"/>
        <v>1300</v>
      </c>
      <c r="K211" s="1404"/>
      <c r="L211" s="1410">
        <v>0</v>
      </c>
      <c r="M211" s="793">
        <f t="shared" si="170"/>
        <v>26000</v>
      </c>
      <c r="N211" s="793">
        <f t="shared" si="171"/>
        <v>365</v>
      </c>
      <c r="O211" s="793">
        <f t="shared" si="172"/>
        <v>2470</v>
      </c>
      <c r="P211" s="793">
        <f t="shared" si="173"/>
        <v>2470</v>
      </c>
      <c r="Q211" s="1365">
        <f t="shared" si="174"/>
        <v>23530</v>
      </c>
      <c r="R211" s="1411">
        <f t="shared" si="175"/>
        <v>23530</v>
      </c>
      <c r="S211" s="793">
        <f t="shared" si="176"/>
        <v>26000</v>
      </c>
      <c r="T211" s="805">
        <f t="shared" si="177"/>
        <v>366</v>
      </c>
      <c r="U211" s="805">
        <f t="shared" si="178"/>
        <v>2470</v>
      </c>
      <c r="V211" s="793">
        <f t="shared" si="179"/>
        <v>4940</v>
      </c>
      <c r="W211" s="1365">
        <f t="shared" si="180"/>
        <v>21060</v>
      </c>
      <c r="X211" s="1410">
        <f t="shared" si="181"/>
        <v>21060</v>
      </c>
      <c r="Y211" s="805">
        <f t="shared" si="182"/>
        <v>26000</v>
      </c>
      <c r="Z211" s="805">
        <f t="shared" si="183"/>
        <v>365</v>
      </c>
      <c r="AA211" s="805">
        <f t="shared" si="184"/>
        <v>2470</v>
      </c>
      <c r="AB211" s="805">
        <f t="shared" si="185"/>
        <v>7410</v>
      </c>
      <c r="AC211" s="1360">
        <f t="shared" si="186"/>
        <v>18590</v>
      </c>
      <c r="AD211" s="1412">
        <f t="shared" si="187"/>
        <v>18590</v>
      </c>
      <c r="AE211" s="793">
        <f t="shared" si="188"/>
        <v>26000</v>
      </c>
      <c r="AF211" s="793">
        <f t="shared" si="189"/>
        <v>365</v>
      </c>
      <c r="AG211" s="793">
        <f t="shared" si="190"/>
        <v>2470</v>
      </c>
      <c r="AH211" s="805">
        <f t="shared" si="191"/>
        <v>9880</v>
      </c>
      <c r="AI211" s="805">
        <f t="shared" si="192"/>
        <v>16120</v>
      </c>
      <c r="AJ211" s="793">
        <f t="shared" si="193"/>
        <v>16120</v>
      </c>
      <c r="AK211" s="793">
        <f t="shared" si="194"/>
        <v>26000</v>
      </c>
      <c r="AL211" s="793">
        <f t="shared" si="195"/>
        <v>365</v>
      </c>
      <c r="AM211" s="793">
        <f t="shared" si="196"/>
        <v>2470</v>
      </c>
      <c r="AN211" s="805">
        <f t="shared" si="197"/>
        <v>12350</v>
      </c>
      <c r="AO211" s="805">
        <f t="shared" si="198"/>
        <v>13650</v>
      </c>
      <c r="AP211" s="818">
        <f t="shared" si="199"/>
        <v>13650</v>
      </c>
      <c r="AQ211" s="818">
        <f t="shared" si="200"/>
        <v>26000</v>
      </c>
      <c r="AR211" s="818">
        <f t="shared" si="201"/>
        <v>366</v>
      </c>
      <c r="AS211" s="818">
        <f t="shared" si="202"/>
        <v>2477</v>
      </c>
      <c r="AT211" s="818">
        <f t="shared" si="203"/>
        <v>14827</v>
      </c>
      <c r="AU211" s="818">
        <f t="shared" si="204"/>
        <v>11173</v>
      </c>
      <c r="AV211" s="793">
        <f t="shared" si="205"/>
        <v>11173</v>
      </c>
      <c r="AW211" s="793">
        <f t="shared" si="206"/>
        <v>26000</v>
      </c>
      <c r="AX211" s="793">
        <f t="shared" si="207"/>
        <v>365</v>
      </c>
      <c r="AY211" s="793">
        <f t="shared" si="208"/>
        <v>2470</v>
      </c>
      <c r="AZ211" s="818">
        <f t="shared" si="209"/>
        <v>17297</v>
      </c>
      <c r="BA211" s="818">
        <f t="shared" si="210"/>
        <v>8703</v>
      </c>
    </row>
    <row r="212" spans="1:53" ht="15" customHeight="1" x14ac:dyDescent="0.25">
      <c r="A212" s="842" t="s">
        <v>133</v>
      </c>
      <c r="B212" s="843" t="s">
        <v>1256</v>
      </c>
      <c r="C212" s="778">
        <f t="shared" si="166"/>
        <v>9.5000000000000001E-2</v>
      </c>
      <c r="D212" s="844">
        <v>10</v>
      </c>
      <c r="E212" s="779" t="s">
        <v>1182</v>
      </c>
      <c r="F212" s="845">
        <v>43191</v>
      </c>
      <c r="G212" s="781">
        <f t="shared" si="167"/>
        <v>43191</v>
      </c>
      <c r="H212" s="781">
        <f t="shared" si="168"/>
        <v>46841</v>
      </c>
      <c r="I212" s="1359">
        <v>2768</v>
      </c>
      <c r="J212" s="805">
        <f t="shared" si="169"/>
        <v>138.4</v>
      </c>
      <c r="K212" s="1404"/>
      <c r="L212" s="1410">
        <v>0</v>
      </c>
      <c r="M212" s="793">
        <f t="shared" si="170"/>
        <v>2768</v>
      </c>
      <c r="N212" s="793">
        <f t="shared" si="171"/>
        <v>365</v>
      </c>
      <c r="O212" s="793">
        <f t="shared" si="172"/>
        <v>263</v>
      </c>
      <c r="P212" s="793">
        <f t="shared" si="173"/>
        <v>263</v>
      </c>
      <c r="Q212" s="1365">
        <f t="shared" si="174"/>
        <v>2505</v>
      </c>
      <c r="R212" s="1411">
        <f t="shared" si="175"/>
        <v>2505</v>
      </c>
      <c r="S212" s="793">
        <f t="shared" si="176"/>
        <v>2768</v>
      </c>
      <c r="T212" s="805">
        <f t="shared" si="177"/>
        <v>366</v>
      </c>
      <c r="U212" s="805">
        <f t="shared" si="178"/>
        <v>263</v>
      </c>
      <c r="V212" s="793">
        <f t="shared" si="179"/>
        <v>526</v>
      </c>
      <c r="W212" s="1365">
        <f t="shared" si="180"/>
        <v>2242</v>
      </c>
      <c r="X212" s="1410">
        <f t="shared" si="181"/>
        <v>2242</v>
      </c>
      <c r="Y212" s="805">
        <f t="shared" si="182"/>
        <v>2768</v>
      </c>
      <c r="Z212" s="805">
        <f t="shared" si="183"/>
        <v>365</v>
      </c>
      <c r="AA212" s="805">
        <f t="shared" si="184"/>
        <v>263</v>
      </c>
      <c r="AB212" s="805">
        <f t="shared" si="185"/>
        <v>789</v>
      </c>
      <c r="AC212" s="1360">
        <f t="shared" si="186"/>
        <v>1979</v>
      </c>
      <c r="AD212" s="1412">
        <f t="shared" si="187"/>
        <v>1979</v>
      </c>
      <c r="AE212" s="793">
        <f t="shared" si="188"/>
        <v>2768</v>
      </c>
      <c r="AF212" s="793">
        <f t="shared" si="189"/>
        <v>365</v>
      </c>
      <c r="AG212" s="793">
        <f t="shared" si="190"/>
        <v>263</v>
      </c>
      <c r="AH212" s="805">
        <f t="shared" si="191"/>
        <v>1052</v>
      </c>
      <c r="AI212" s="805">
        <f t="shared" si="192"/>
        <v>1716</v>
      </c>
      <c r="AJ212" s="793">
        <f t="shared" si="193"/>
        <v>1716</v>
      </c>
      <c r="AK212" s="793">
        <f t="shared" si="194"/>
        <v>2768</v>
      </c>
      <c r="AL212" s="793">
        <f t="shared" si="195"/>
        <v>365</v>
      </c>
      <c r="AM212" s="793">
        <f t="shared" si="196"/>
        <v>263</v>
      </c>
      <c r="AN212" s="805">
        <f t="shared" si="197"/>
        <v>1315</v>
      </c>
      <c r="AO212" s="805">
        <f t="shared" si="198"/>
        <v>1453</v>
      </c>
      <c r="AP212" s="818">
        <f t="shared" si="199"/>
        <v>1453</v>
      </c>
      <c r="AQ212" s="818">
        <f t="shared" si="200"/>
        <v>2768</v>
      </c>
      <c r="AR212" s="818">
        <f t="shared" si="201"/>
        <v>366</v>
      </c>
      <c r="AS212" s="818">
        <f t="shared" si="202"/>
        <v>264</v>
      </c>
      <c r="AT212" s="818">
        <f t="shared" si="203"/>
        <v>1579</v>
      </c>
      <c r="AU212" s="818">
        <f t="shared" si="204"/>
        <v>1189</v>
      </c>
      <c r="AV212" s="793">
        <f t="shared" si="205"/>
        <v>1189</v>
      </c>
      <c r="AW212" s="793">
        <f t="shared" si="206"/>
        <v>2768</v>
      </c>
      <c r="AX212" s="793">
        <f t="shared" si="207"/>
        <v>365</v>
      </c>
      <c r="AY212" s="793">
        <f t="shared" si="208"/>
        <v>263</v>
      </c>
      <c r="AZ212" s="818">
        <f t="shared" si="209"/>
        <v>1842</v>
      </c>
      <c r="BA212" s="818">
        <f t="shared" si="210"/>
        <v>926</v>
      </c>
    </row>
    <row r="213" spans="1:53" ht="15" customHeight="1" x14ac:dyDescent="0.25">
      <c r="A213" s="842" t="s">
        <v>133</v>
      </c>
      <c r="B213" s="843" t="s">
        <v>1257</v>
      </c>
      <c r="C213" s="778">
        <f t="shared" si="166"/>
        <v>9.5000000000000001E-2</v>
      </c>
      <c r="D213" s="844">
        <v>10</v>
      </c>
      <c r="E213" s="779" t="s">
        <v>1182</v>
      </c>
      <c r="F213" s="845">
        <v>43191</v>
      </c>
      <c r="G213" s="781">
        <f t="shared" si="167"/>
        <v>43191</v>
      </c>
      <c r="H213" s="781">
        <f t="shared" si="168"/>
        <v>46841</v>
      </c>
      <c r="I213" s="1359">
        <v>5860</v>
      </c>
      <c r="J213" s="805">
        <f t="shared" si="169"/>
        <v>293</v>
      </c>
      <c r="K213" s="1404"/>
      <c r="L213" s="1410">
        <v>0</v>
      </c>
      <c r="M213" s="793">
        <f t="shared" si="170"/>
        <v>5860</v>
      </c>
      <c r="N213" s="793">
        <f t="shared" si="171"/>
        <v>365</v>
      </c>
      <c r="O213" s="793">
        <f t="shared" si="172"/>
        <v>557</v>
      </c>
      <c r="P213" s="793">
        <f t="shared" si="173"/>
        <v>557</v>
      </c>
      <c r="Q213" s="1365">
        <f t="shared" si="174"/>
        <v>5303</v>
      </c>
      <c r="R213" s="1411">
        <f t="shared" si="175"/>
        <v>5303</v>
      </c>
      <c r="S213" s="793">
        <f t="shared" si="176"/>
        <v>5860</v>
      </c>
      <c r="T213" s="805">
        <f t="shared" si="177"/>
        <v>366</v>
      </c>
      <c r="U213" s="805">
        <f t="shared" si="178"/>
        <v>557</v>
      </c>
      <c r="V213" s="793">
        <f t="shared" si="179"/>
        <v>1114</v>
      </c>
      <c r="W213" s="1365">
        <f t="shared" si="180"/>
        <v>4746</v>
      </c>
      <c r="X213" s="1410">
        <f t="shared" si="181"/>
        <v>4746</v>
      </c>
      <c r="Y213" s="805">
        <f t="shared" si="182"/>
        <v>5860</v>
      </c>
      <c r="Z213" s="805">
        <f t="shared" si="183"/>
        <v>365</v>
      </c>
      <c r="AA213" s="805">
        <f t="shared" si="184"/>
        <v>557</v>
      </c>
      <c r="AB213" s="805">
        <f t="shared" si="185"/>
        <v>1671</v>
      </c>
      <c r="AC213" s="1360">
        <f t="shared" si="186"/>
        <v>4189</v>
      </c>
      <c r="AD213" s="1412">
        <f t="shared" si="187"/>
        <v>4189</v>
      </c>
      <c r="AE213" s="793">
        <f t="shared" si="188"/>
        <v>5860</v>
      </c>
      <c r="AF213" s="793">
        <f t="shared" si="189"/>
        <v>365</v>
      </c>
      <c r="AG213" s="793">
        <f t="shared" si="190"/>
        <v>557</v>
      </c>
      <c r="AH213" s="805">
        <f t="shared" si="191"/>
        <v>2228</v>
      </c>
      <c r="AI213" s="805">
        <f t="shared" si="192"/>
        <v>3632</v>
      </c>
      <c r="AJ213" s="793">
        <f t="shared" si="193"/>
        <v>3632</v>
      </c>
      <c r="AK213" s="793">
        <f t="shared" si="194"/>
        <v>5860</v>
      </c>
      <c r="AL213" s="793">
        <f t="shared" si="195"/>
        <v>365</v>
      </c>
      <c r="AM213" s="793">
        <f t="shared" si="196"/>
        <v>557</v>
      </c>
      <c r="AN213" s="805">
        <f t="shared" si="197"/>
        <v>2785</v>
      </c>
      <c r="AO213" s="805">
        <f t="shared" si="198"/>
        <v>3075</v>
      </c>
      <c r="AP213" s="818">
        <f t="shared" si="199"/>
        <v>3075</v>
      </c>
      <c r="AQ213" s="818">
        <f t="shared" si="200"/>
        <v>5860</v>
      </c>
      <c r="AR213" s="818">
        <f t="shared" si="201"/>
        <v>366</v>
      </c>
      <c r="AS213" s="818">
        <f t="shared" si="202"/>
        <v>558</v>
      </c>
      <c r="AT213" s="818">
        <f t="shared" si="203"/>
        <v>3343</v>
      </c>
      <c r="AU213" s="818">
        <f t="shared" si="204"/>
        <v>2517</v>
      </c>
      <c r="AV213" s="793">
        <f t="shared" si="205"/>
        <v>2517</v>
      </c>
      <c r="AW213" s="793">
        <f t="shared" si="206"/>
        <v>5860</v>
      </c>
      <c r="AX213" s="793">
        <f t="shared" si="207"/>
        <v>365</v>
      </c>
      <c r="AY213" s="793">
        <f t="shared" si="208"/>
        <v>557</v>
      </c>
      <c r="AZ213" s="818">
        <f t="shared" si="209"/>
        <v>3900</v>
      </c>
      <c r="BA213" s="818">
        <f t="shared" si="210"/>
        <v>1960</v>
      </c>
    </row>
    <row r="214" spans="1:53" ht="15" customHeight="1" x14ac:dyDescent="0.25">
      <c r="A214" s="842" t="s">
        <v>133</v>
      </c>
      <c r="B214" s="843" t="s">
        <v>1258</v>
      </c>
      <c r="C214" s="778">
        <f t="shared" si="166"/>
        <v>9.5000000000000001E-2</v>
      </c>
      <c r="D214" s="844">
        <v>10</v>
      </c>
      <c r="E214" s="779" t="s">
        <v>1182</v>
      </c>
      <c r="F214" s="845">
        <v>43191</v>
      </c>
      <c r="G214" s="781">
        <f t="shared" si="167"/>
        <v>43191</v>
      </c>
      <c r="H214" s="781">
        <f t="shared" si="168"/>
        <v>46841</v>
      </c>
      <c r="I214" s="1359">
        <v>1562</v>
      </c>
      <c r="J214" s="805">
        <f t="shared" si="169"/>
        <v>78.100000000000009</v>
      </c>
      <c r="K214" s="1404"/>
      <c r="L214" s="1410">
        <v>0</v>
      </c>
      <c r="M214" s="793">
        <f t="shared" si="170"/>
        <v>1562</v>
      </c>
      <c r="N214" s="793">
        <f t="shared" si="171"/>
        <v>365</v>
      </c>
      <c r="O214" s="793">
        <f t="shared" si="172"/>
        <v>148</v>
      </c>
      <c r="P214" s="793">
        <f t="shared" si="173"/>
        <v>148</v>
      </c>
      <c r="Q214" s="1365">
        <f t="shared" si="174"/>
        <v>1414</v>
      </c>
      <c r="R214" s="1411">
        <f t="shared" si="175"/>
        <v>1414</v>
      </c>
      <c r="S214" s="793">
        <f t="shared" si="176"/>
        <v>1562</v>
      </c>
      <c r="T214" s="805">
        <f t="shared" si="177"/>
        <v>366</v>
      </c>
      <c r="U214" s="805">
        <f t="shared" si="178"/>
        <v>148</v>
      </c>
      <c r="V214" s="793">
        <f t="shared" si="179"/>
        <v>296</v>
      </c>
      <c r="W214" s="1365">
        <f t="shared" si="180"/>
        <v>1266</v>
      </c>
      <c r="X214" s="1410">
        <f t="shared" si="181"/>
        <v>1266</v>
      </c>
      <c r="Y214" s="805">
        <f t="shared" si="182"/>
        <v>1562</v>
      </c>
      <c r="Z214" s="805">
        <f t="shared" si="183"/>
        <v>365</v>
      </c>
      <c r="AA214" s="805">
        <f t="shared" si="184"/>
        <v>148</v>
      </c>
      <c r="AB214" s="805">
        <f t="shared" si="185"/>
        <v>444</v>
      </c>
      <c r="AC214" s="1360">
        <f t="shared" si="186"/>
        <v>1118</v>
      </c>
      <c r="AD214" s="1412">
        <f t="shared" si="187"/>
        <v>1118</v>
      </c>
      <c r="AE214" s="793">
        <f t="shared" si="188"/>
        <v>1562</v>
      </c>
      <c r="AF214" s="793">
        <f t="shared" si="189"/>
        <v>365</v>
      </c>
      <c r="AG214" s="793">
        <f t="shared" si="190"/>
        <v>148</v>
      </c>
      <c r="AH214" s="805">
        <f t="shared" si="191"/>
        <v>592</v>
      </c>
      <c r="AI214" s="805">
        <f t="shared" si="192"/>
        <v>970</v>
      </c>
      <c r="AJ214" s="793">
        <f t="shared" si="193"/>
        <v>970</v>
      </c>
      <c r="AK214" s="793">
        <f t="shared" si="194"/>
        <v>1562</v>
      </c>
      <c r="AL214" s="793">
        <f t="shared" si="195"/>
        <v>365</v>
      </c>
      <c r="AM214" s="793">
        <f t="shared" si="196"/>
        <v>148</v>
      </c>
      <c r="AN214" s="805">
        <f t="shared" si="197"/>
        <v>740</v>
      </c>
      <c r="AO214" s="805">
        <f t="shared" si="198"/>
        <v>822</v>
      </c>
      <c r="AP214" s="818">
        <f t="shared" si="199"/>
        <v>822</v>
      </c>
      <c r="AQ214" s="818">
        <f t="shared" si="200"/>
        <v>1562</v>
      </c>
      <c r="AR214" s="818">
        <f t="shared" si="201"/>
        <v>366</v>
      </c>
      <c r="AS214" s="818">
        <f t="shared" si="202"/>
        <v>149</v>
      </c>
      <c r="AT214" s="818">
        <f t="shared" si="203"/>
        <v>889</v>
      </c>
      <c r="AU214" s="818">
        <f t="shared" si="204"/>
        <v>673</v>
      </c>
      <c r="AV214" s="793">
        <f t="shared" si="205"/>
        <v>673</v>
      </c>
      <c r="AW214" s="793">
        <f t="shared" si="206"/>
        <v>1562</v>
      </c>
      <c r="AX214" s="793">
        <f t="shared" si="207"/>
        <v>365</v>
      </c>
      <c r="AY214" s="793">
        <f t="shared" si="208"/>
        <v>148</v>
      </c>
      <c r="AZ214" s="818">
        <f t="shared" si="209"/>
        <v>1037</v>
      </c>
      <c r="BA214" s="818">
        <f t="shared" si="210"/>
        <v>525</v>
      </c>
    </row>
    <row r="215" spans="1:53" ht="15" customHeight="1" x14ac:dyDescent="0.25">
      <c r="A215" s="842" t="s">
        <v>133</v>
      </c>
      <c r="B215" s="843" t="s">
        <v>1259</v>
      </c>
      <c r="C215" s="778">
        <f t="shared" si="166"/>
        <v>9.5000000000000001E-2</v>
      </c>
      <c r="D215" s="844">
        <v>10</v>
      </c>
      <c r="E215" s="779" t="s">
        <v>1182</v>
      </c>
      <c r="F215" s="845">
        <v>43191</v>
      </c>
      <c r="G215" s="781">
        <f t="shared" si="167"/>
        <v>43191</v>
      </c>
      <c r="H215" s="781">
        <f t="shared" si="168"/>
        <v>46841</v>
      </c>
      <c r="I215" s="1359">
        <v>6210</v>
      </c>
      <c r="J215" s="805">
        <f t="shared" si="169"/>
        <v>310.5</v>
      </c>
      <c r="K215" s="1404"/>
      <c r="L215" s="1410">
        <v>0</v>
      </c>
      <c r="M215" s="793">
        <f t="shared" si="170"/>
        <v>6210</v>
      </c>
      <c r="N215" s="793">
        <f t="shared" si="171"/>
        <v>365</v>
      </c>
      <c r="O215" s="793">
        <f t="shared" si="172"/>
        <v>590</v>
      </c>
      <c r="P215" s="793">
        <f t="shared" si="173"/>
        <v>590</v>
      </c>
      <c r="Q215" s="1365">
        <f t="shared" si="174"/>
        <v>5620</v>
      </c>
      <c r="R215" s="1411">
        <f t="shared" si="175"/>
        <v>5620</v>
      </c>
      <c r="S215" s="793">
        <f t="shared" si="176"/>
        <v>6210</v>
      </c>
      <c r="T215" s="805">
        <f t="shared" si="177"/>
        <v>366</v>
      </c>
      <c r="U215" s="805">
        <f t="shared" si="178"/>
        <v>590</v>
      </c>
      <c r="V215" s="793">
        <f t="shared" si="179"/>
        <v>1180</v>
      </c>
      <c r="W215" s="1365">
        <f t="shared" si="180"/>
        <v>5030</v>
      </c>
      <c r="X215" s="1410">
        <f t="shared" si="181"/>
        <v>5030</v>
      </c>
      <c r="Y215" s="805">
        <f t="shared" si="182"/>
        <v>6210</v>
      </c>
      <c r="Z215" s="805">
        <f t="shared" si="183"/>
        <v>365</v>
      </c>
      <c r="AA215" s="805">
        <f t="shared" si="184"/>
        <v>590</v>
      </c>
      <c r="AB215" s="805">
        <f t="shared" si="185"/>
        <v>1770</v>
      </c>
      <c r="AC215" s="1360">
        <f t="shared" si="186"/>
        <v>4440</v>
      </c>
      <c r="AD215" s="1412">
        <f t="shared" si="187"/>
        <v>4440</v>
      </c>
      <c r="AE215" s="793">
        <f t="shared" si="188"/>
        <v>6210</v>
      </c>
      <c r="AF215" s="793">
        <f t="shared" si="189"/>
        <v>365</v>
      </c>
      <c r="AG215" s="793">
        <f t="shared" si="190"/>
        <v>590</v>
      </c>
      <c r="AH215" s="805">
        <f t="shared" si="191"/>
        <v>2360</v>
      </c>
      <c r="AI215" s="805">
        <f t="shared" si="192"/>
        <v>3850</v>
      </c>
      <c r="AJ215" s="793">
        <f t="shared" si="193"/>
        <v>3850</v>
      </c>
      <c r="AK215" s="793">
        <f t="shared" si="194"/>
        <v>6210</v>
      </c>
      <c r="AL215" s="793">
        <f t="shared" si="195"/>
        <v>365</v>
      </c>
      <c r="AM215" s="793">
        <f t="shared" si="196"/>
        <v>590</v>
      </c>
      <c r="AN215" s="805">
        <f t="shared" si="197"/>
        <v>2950</v>
      </c>
      <c r="AO215" s="805">
        <f t="shared" si="198"/>
        <v>3260</v>
      </c>
      <c r="AP215" s="818">
        <f t="shared" si="199"/>
        <v>3260</v>
      </c>
      <c r="AQ215" s="818">
        <f t="shared" si="200"/>
        <v>6210</v>
      </c>
      <c r="AR215" s="818">
        <f t="shared" si="201"/>
        <v>366</v>
      </c>
      <c r="AS215" s="818">
        <f t="shared" si="202"/>
        <v>592</v>
      </c>
      <c r="AT215" s="818">
        <f t="shared" si="203"/>
        <v>3542</v>
      </c>
      <c r="AU215" s="818">
        <f t="shared" si="204"/>
        <v>2668</v>
      </c>
      <c r="AV215" s="793">
        <f t="shared" si="205"/>
        <v>2668</v>
      </c>
      <c r="AW215" s="793">
        <f t="shared" si="206"/>
        <v>6210</v>
      </c>
      <c r="AX215" s="793">
        <f t="shared" si="207"/>
        <v>365</v>
      </c>
      <c r="AY215" s="793">
        <f t="shared" si="208"/>
        <v>590</v>
      </c>
      <c r="AZ215" s="818">
        <f t="shared" si="209"/>
        <v>4132</v>
      </c>
      <c r="BA215" s="818">
        <f t="shared" si="210"/>
        <v>2078</v>
      </c>
    </row>
    <row r="216" spans="1:53" ht="15" customHeight="1" x14ac:dyDescent="0.25">
      <c r="A216" s="842" t="s">
        <v>133</v>
      </c>
      <c r="B216" s="843" t="s">
        <v>1260</v>
      </c>
      <c r="C216" s="778">
        <f t="shared" si="166"/>
        <v>9.5000000000000001E-2</v>
      </c>
      <c r="D216" s="844">
        <v>10</v>
      </c>
      <c r="E216" s="779" t="s">
        <v>1182</v>
      </c>
      <c r="F216" s="845">
        <v>43191</v>
      </c>
      <c r="G216" s="781">
        <f t="shared" si="167"/>
        <v>43191</v>
      </c>
      <c r="H216" s="781">
        <f t="shared" si="168"/>
        <v>46841</v>
      </c>
      <c r="I216" s="1359">
        <v>7416</v>
      </c>
      <c r="J216" s="805">
        <f t="shared" si="169"/>
        <v>370.8</v>
      </c>
      <c r="K216" s="1404"/>
      <c r="L216" s="1410">
        <v>0</v>
      </c>
      <c r="M216" s="793">
        <f t="shared" si="170"/>
        <v>7416</v>
      </c>
      <c r="N216" s="793">
        <f t="shared" si="171"/>
        <v>365</v>
      </c>
      <c r="O216" s="793">
        <f t="shared" si="172"/>
        <v>705</v>
      </c>
      <c r="P216" s="793">
        <f t="shared" si="173"/>
        <v>705</v>
      </c>
      <c r="Q216" s="1365">
        <f t="shared" si="174"/>
        <v>6711</v>
      </c>
      <c r="R216" s="1411">
        <f t="shared" si="175"/>
        <v>6711</v>
      </c>
      <c r="S216" s="793">
        <f t="shared" si="176"/>
        <v>7416</v>
      </c>
      <c r="T216" s="805">
        <f t="shared" si="177"/>
        <v>366</v>
      </c>
      <c r="U216" s="805">
        <f t="shared" si="178"/>
        <v>705</v>
      </c>
      <c r="V216" s="793">
        <f t="shared" si="179"/>
        <v>1410</v>
      </c>
      <c r="W216" s="1365">
        <f t="shared" si="180"/>
        <v>6006</v>
      </c>
      <c r="X216" s="1410">
        <f t="shared" si="181"/>
        <v>6006</v>
      </c>
      <c r="Y216" s="805">
        <f t="shared" si="182"/>
        <v>7416</v>
      </c>
      <c r="Z216" s="805">
        <f t="shared" si="183"/>
        <v>365</v>
      </c>
      <c r="AA216" s="805">
        <f t="shared" si="184"/>
        <v>705</v>
      </c>
      <c r="AB216" s="805">
        <f t="shared" si="185"/>
        <v>2115</v>
      </c>
      <c r="AC216" s="1360">
        <f t="shared" si="186"/>
        <v>5301</v>
      </c>
      <c r="AD216" s="1412">
        <f t="shared" si="187"/>
        <v>5301</v>
      </c>
      <c r="AE216" s="793">
        <f t="shared" si="188"/>
        <v>7416</v>
      </c>
      <c r="AF216" s="793">
        <f t="shared" si="189"/>
        <v>365</v>
      </c>
      <c r="AG216" s="793">
        <f t="shared" si="190"/>
        <v>705</v>
      </c>
      <c r="AH216" s="805">
        <f t="shared" si="191"/>
        <v>2820</v>
      </c>
      <c r="AI216" s="805">
        <f t="shared" si="192"/>
        <v>4596</v>
      </c>
      <c r="AJ216" s="793">
        <f t="shared" si="193"/>
        <v>4596</v>
      </c>
      <c r="AK216" s="793">
        <f t="shared" si="194"/>
        <v>7416</v>
      </c>
      <c r="AL216" s="793">
        <f t="shared" si="195"/>
        <v>365</v>
      </c>
      <c r="AM216" s="793">
        <f t="shared" si="196"/>
        <v>705</v>
      </c>
      <c r="AN216" s="805">
        <f t="shared" si="197"/>
        <v>3525</v>
      </c>
      <c r="AO216" s="805">
        <f t="shared" si="198"/>
        <v>3891</v>
      </c>
      <c r="AP216" s="818">
        <f t="shared" si="199"/>
        <v>3891</v>
      </c>
      <c r="AQ216" s="818">
        <f t="shared" si="200"/>
        <v>7416</v>
      </c>
      <c r="AR216" s="818">
        <f t="shared" si="201"/>
        <v>366</v>
      </c>
      <c r="AS216" s="818">
        <f t="shared" si="202"/>
        <v>706</v>
      </c>
      <c r="AT216" s="818">
        <f t="shared" si="203"/>
        <v>4231</v>
      </c>
      <c r="AU216" s="818">
        <f t="shared" si="204"/>
        <v>3185</v>
      </c>
      <c r="AV216" s="793">
        <f t="shared" si="205"/>
        <v>3185</v>
      </c>
      <c r="AW216" s="793">
        <f t="shared" si="206"/>
        <v>7416</v>
      </c>
      <c r="AX216" s="793">
        <f t="shared" si="207"/>
        <v>365</v>
      </c>
      <c r="AY216" s="793">
        <f t="shared" si="208"/>
        <v>705</v>
      </c>
      <c r="AZ216" s="818">
        <f t="shared" si="209"/>
        <v>4936</v>
      </c>
      <c r="BA216" s="818">
        <f t="shared" si="210"/>
        <v>2480</v>
      </c>
    </row>
    <row r="217" spans="1:53" ht="15" customHeight="1" x14ac:dyDescent="0.25">
      <c r="A217" s="842" t="s">
        <v>133</v>
      </c>
      <c r="B217" s="843" t="s">
        <v>1261</v>
      </c>
      <c r="C217" s="778">
        <f t="shared" si="166"/>
        <v>9.5000000000000001E-2</v>
      </c>
      <c r="D217" s="844">
        <v>10</v>
      </c>
      <c r="E217" s="779" t="s">
        <v>1182</v>
      </c>
      <c r="F217" s="845">
        <v>43191</v>
      </c>
      <c r="G217" s="781">
        <f t="shared" si="167"/>
        <v>43191</v>
      </c>
      <c r="H217" s="781">
        <f t="shared" si="168"/>
        <v>46841</v>
      </c>
      <c r="I217" s="1359">
        <v>16314</v>
      </c>
      <c r="J217" s="805">
        <f t="shared" si="169"/>
        <v>815.7</v>
      </c>
      <c r="K217" s="1404"/>
      <c r="L217" s="1410">
        <v>0</v>
      </c>
      <c r="M217" s="793">
        <f t="shared" si="170"/>
        <v>16314</v>
      </c>
      <c r="N217" s="793">
        <f t="shared" si="171"/>
        <v>365</v>
      </c>
      <c r="O217" s="793">
        <f t="shared" si="172"/>
        <v>1550</v>
      </c>
      <c r="P217" s="793">
        <f t="shared" si="173"/>
        <v>1550</v>
      </c>
      <c r="Q217" s="1365">
        <f t="shared" si="174"/>
        <v>14764</v>
      </c>
      <c r="R217" s="1411">
        <f t="shared" si="175"/>
        <v>14764</v>
      </c>
      <c r="S217" s="793">
        <f t="shared" si="176"/>
        <v>16314</v>
      </c>
      <c r="T217" s="805">
        <f t="shared" si="177"/>
        <v>366</v>
      </c>
      <c r="U217" s="805">
        <f t="shared" si="178"/>
        <v>1550</v>
      </c>
      <c r="V217" s="793">
        <f t="shared" si="179"/>
        <v>3100</v>
      </c>
      <c r="W217" s="1365">
        <f t="shared" si="180"/>
        <v>13214</v>
      </c>
      <c r="X217" s="1410">
        <f t="shared" si="181"/>
        <v>13214</v>
      </c>
      <c r="Y217" s="805">
        <f t="shared" si="182"/>
        <v>16314</v>
      </c>
      <c r="Z217" s="805">
        <f t="shared" si="183"/>
        <v>365</v>
      </c>
      <c r="AA217" s="805">
        <f t="shared" si="184"/>
        <v>1550</v>
      </c>
      <c r="AB217" s="805">
        <f t="shared" si="185"/>
        <v>4650</v>
      </c>
      <c r="AC217" s="1360">
        <f t="shared" si="186"/>
        <v>11664</v>
      </c>
      <c r="AD217" s="1412">
        <f t="shared" si="187"/>
        <v>11664</v>
      </c>
      <c r="AE217" s="793">
        <f t="shared" si="188"/>
        <v>16314</v>
      </c>
      <c r="AF217" s="793">
        <f t="shared" si="189"/>
        <v>365</v>
      </c>
      <c r="AG217" s="793">
        <f t="shared" si="190"/>
        <v>1550</v>
      </c>
      <c r="AH217" s="805">
        <f t="shared" si="191"/>
        <v>6200</v>
      </c>
      <c r="AI217" s="805">
        <f t="shared" si="192"/>
        <v>10114</v>
      </c>
      <c r="AJ217" s="793">
        <f t="shared" si="193"/>
        <v>10114</v>
      </c>
      <c r="AK217" s="793">
        <f t="shared" si="194"/>
        <v>16314</v>
      </c>
      <c r="AL217" s="793">
        <f t="shared" si="195"/>
        <v>365</v>
      </c>
      <c r="AM217" s="793">
        <f t="shared" si="196"/>
        <v>1550</v>
      </c>
      <c r="AN217" s="805">
        <f t="shared" si="197"/>
        <v>7750</v>
      </c>
      <c r="AO217" s="805">
        <f t="shared" si="198"/>
        <v>8564</v>
      </c>
      <c r="AP217" s="818">
        <f t="shared" si="199"/>
        <v>8564</v>
      </c>
      <c r="AQ217" s="818">
        <f t="shared" si="200"/>
        <v>16314</v>
      </c>
      <c r="AR217" s="818">
        <f t="shared" si="201"/>
        <v>366</v>
      </c>
      <c r="AS217" s="818">
        <f t="shared" si="202"/>
        <v>1554</v>
      </c>
      <c r="AT217" s="818">
        <f t="shared" si="203"/>
        <v>9304</v>
      </c>
      <c r="AU217" s="818">
        <f t="shared" si="204"/>
        <v>7010</v>
      </c>
      <c r="AV217" s="793">
        <f t="shared" si="205"/>
        <v>7010</v>
      </c>
      <c r="AW217" s="793">
        <f t="shared" si="206"/>
        <v>16314</v>
      </c>
      <c r="AX217" s="793">
        <f t="shared" si="207"/>
        <v>365</v>
      </c>
      <c r="AY217" s="793">
        <f t="shared" si="208"/>
        <v>1550</v>
      </c>
      <c r="AZ217" s="818">
        <f t="shared" si="209"/>
        <v>10854</v>
      </c>
      <c r="BA217" s="818">
        <f t="shared" si="210"/>
        <v>5460</v>
      </c>
    </row>
    <row r="218" spans="1:53" ht="15" customHeight="1" x14ac:dyDescent="0.25">
      <c r="A218" s="842" t="s">
        <v>133</v>
      </c>
      <c r="B218" s="843" t="s">
        <v>1262</v>
      </c>
      <c r="C218" s="778">
        <f t="shared" si="166"/>
        <v>9.5000000000000001E-2</v>
      </c>
      <c r="D218" s="844">
        <v>10</v>
      </c>
      <c r="E218" s="779" t="s">
        <v>1182</v>
      </c>
      <c r="F218" s="845">
        <v>43191</v>
      </c>
      <c r="G218" s="781">
        <f t="shared" si="167"/>
        <v>43191</v>
      </c>
      <c r="H218" s="781">
        <f t="shared" si="168"/>
        <v>46841</v>
      </c>
      <c r="I218" s="1359">
        <v>34207</v>
      </c>
      <c r="J218" s="805">
        <f t="shared" si="169"/>
        <v>1710.3500000000001</v>
      </c>
      <c r="K218" s="1404"/>
      <c r="L218" s="1410">
        <v>0</v>
      </c>
      <c r="M218" s="793">
        <f t="shared" si="170"/>
        <v>34207</v>
      </c>
      <c r="N218" s="793">
        <f t="shared" si="171"/>
        <v>365</v>
      </c>
      <c r="O218" s="793">
        <f t="shared" si="172"/>
        <v>3250</v>
      </c>
      <c r="P218" s="793">
        <f t="shared" si="173"/>
        <v>3250</v>
      </c>
      <c r="Q218" s="1365">
        <f t="shared" si="174"/>
        <v>30957</v>
      </c>
      <c r="R218" s="1411">
        <f t="shared" si="175"/>
        <v>30957</v>
      </c>
      <c r="S218" s="793">
        <f t="shared" si="176"/>
        <v>34207</v>
      </c>
      <c r="T218" s="805">
        <f t="shared" si="177"/>
        <v>366</v>
      </c>
      <c r="U218" s="805">
        <f t="shared" si="178"/>
        <v>3250</v>
      </c>
      <c r="V218" s="793">
        <f t="shared" si="179"/>
        <v>6500</v>
      </c>
      <c r="W218" s="1365">
        <f t="shared" si="180"/>
        <v>27707</v>
      </c>
      <c r="X218" s="1410">
        <f t="shared" si="181"/>
        <v>27707</v>
      </c>
      <c r="Y218" s="805">
        <f t="shared" si="182"/>
        <v>34207</v>
      </c>
      <c r="Z218" s="805">
        <f t="shared" si="183"/>
        <v>365</v>
      </c>
      <c r="AA218" s="805">
        <f t="shared" si="184"/>
        <v>3250</v>
      </c>
      <c r="AB218" s="805">
        <f t="shared" si="185"/>
        <v>9750</v>
      </c>
      <c r="AC218" s="1360">
        <f t="shared" si="186"/>
        <v>24457</v>
      </c>
      <c r="AD218" s="1412">
        <f t="shared" si="187"/>
        <v>24457</v>
      </c>
      <c r="AE218" s="793">
        <f t="shared" si="188"/>
        <v>34207</v>
      </c>
      <c r="AF218" s="793">
        <f t="shared" si="189"/>
        <v>365</v>
      </c>
      <c r="AG218" s="793">
        <f t="shared" si="190"/>
        <v>3250</v>
      </c>
      <c r="AH218" s="805">
        <f t="shared" si="191"/>
        <v>13000</v>
      </c>
      <c r="AI218" s="805">
        <f t="shared" si="192"/>
        <v>21207</v>
      </c>
      <c r="AJ218" s="793">
        <f t="shared" si="193"/>
        <v>21207</v>
      </c>
      <c r="AK218" s="793">
        <f t="shared" si="194"/>
        <v>34207</v>
      </c>
      <c r="AL218" s="793">
        <f t="shared" si="195"/>
        <v>365</v>
      </c>
      <c r="AM218" s="793">
        <f t="shared" si="196"/>
        <v>3250</v>
      </c>
      <c r="AN218" s="805">
        <f t="shared" si="197"/>
        <v>16250</v>
      </c>
      <c r="AO218" s="805">
        <f t="shared" si="198"/>
        <v>17957</v>
      </c>
      <c r="AP218" s="818">
        <f t="shared" si="199"/>
        <v>17957</v>
      </c>
      <c r="AQ218" s="818">
        <f t="shared" si="200"/>
        <v>34207</v>
      </c>
      <c r="AR218" s="818">
        <f t="shared" si="201"/>
        <v>366</v>
      </c>
      <c r="AS218" s="818">
        <f t="shared" si="202"/>
        <v>3259</v>
      </c>
      <c r="AT218" s="818">
        <f t="shared" si="203"/>
        <v>19509</v>
      </c>
      <c r="AU218" s="818">
        <f t="shared" si="204"/>
        <v>14698</v>
      </c>
      <c r="AV218" s="793">
        <f t="shared" si="205"/>
        <v>14698</v>
      </c>
      <c r="AW218" s="793">
        <f t="shared" si="206"/>
        <v>34207</v>
      </c>
      <c r="AX218" s="793">
        <f t="shared" si="207"/>
        <v>365</v>
      </c>
      <c r="AY218" s="793">
        <f t="shared" si="208"/>
        <v>3250</v>
      </c>
      <c r="AZ218" s="818">
        <f t="shared" si="209"/>
        <v>22759</v>
      </c>
      <c r="BA218" s="818">
        <f t="shared" si="210"/>
        <v>11448</v>
      </c>
    </row>
    <row r="219" spans="1:53" ht="15" customHeight="1" x14ac:dyDescent="0.25">
      <c r="A219" s="842" t="s">
        <v>133</v>
      </c>
      <c r="B219" s="843" t="s">
        <v>1263</v>
      </c>
      <c r="C219" s="778">
        <f t="shared" si="166"/>
        <v>9.5000000000000001E-2</v>
      </c>
      <c r="D219" s="844">
        <v>10</v>
      </c>
      <c r="E219" s="779" t="s">
        <v>1182</v>
      </c>
      <c r="F219" s="845">
        <v>43191</v>
      </c>
      <c r="G219" s="781">
        <f t="shared" si="167"/>
        <v>43191</v>
      </c>
      <c r="H219" s="781">
        <f t="shared" si="168"/>
        <v>46841</v>
      </c>
      <c r="I219" s="1359">
        <v>33665</v>
      </c>
      <c r="J219" s="805">
        <f t="shared" si="169"/>
        <v>1683.25</v>
      </c>
      <c r="K219" s="1404"/>
      <c r="L219" s="1410">
        <v>0</v>
      </c>
      <c r="M219" s="793">
        <f t="shared" si="170"/>
        <v>33665</v>
      </c>
      <c r="N219" s="793">
        <f t="shared" si="171"/>
        <v>365</v>
      </c>
      <c r="O219" s="793">
        <f t="shared" si="172"/>
        <v>3198</v>
      </c>
      <c r="P219" s="793">
        <f t="shared" si="173"/>
        <v>3198</v>
      </c>
      <c r="Q219" s="1365">
        <f t="shared" si="174"/>
        <v>30467</v>
      </c>
      <c r="R219" s="1411">
        <f t="shared" si="175"/>
        <v>30467</v>
      </c>
      <c r="S219" s="793">
        <f t="shared" si="176"/>
        <v>33665</v>
      </c>
      <c r="T219" s="805">
        <f t="shared" si="177"/>
        <v>366</v>
      </c>
      <c r="U219" s="805">
        <f t="shared" si="178"/>
        <v>3198</v>
      </c>
      <c r="V219" s="793">
        <f t="shared" si="179"/>
        <v>6396</v>
      </c>
      <c r="W219" s="1365">
        <f t="shared" si="180"/>
        <v>27269</v>
      </c>
      <c r="X219" s="1410">
        <f t="shared" si="181"/>
        <v>27269</v>
      </c>
      <c r="Y219" s="805">
        <f t="shared" si="182"/>
        <v>33665</v>
      </c>
      <c r="Z219" s="805">
        <f t="shared" si="183"/>
        <v>365</v>
      </c>
      <c r="AA219" s="805">
        <f t="shared" si="184"/>
        <v>3198</v>
      </c>
      <c r="AB219" s="805">
        <f t="shared" si="185"/>
        <v>9594</v>
      </c>
      <c r="AC219" s="1360">
        <f t="shared" si="186"/>
        <v>24071</v>
      </c>
      <c r="AD219" s="1412">
        <f t="shared" si="187"/>
        <v>24071</v>
      </c>
      <c r="AE219" s="793">
        <f t="shared" si="188"/>
        <v>33665</v>
      </c>
      <c r="AF219" s="793">
        <f t="shared" si="189"/>
        <v>365</v>
      </c>
      <c r="AG219" s="793">
        <f t="shared" si="190"/>
        <v>3198</v>
      </c>
      <c r="AH219" s="805">
        <f t="shared" si="191"/>
        <v>12792</v>
      </c>
      <c r="AI219" s="805">
        <f t="shared" si="192"/>
        <v>20873</v>
      </c>
      <c r="AJ219" s="793">
        <f t="shared" si="193"/>
        <v>20873</v>
      </c>
      <c r="AK219" s="793">
        <f t="shared" si="194"/>
        <v>33665</v>
      </c>
      <c r="AL219" s="793">
        <f t="shared" si="195"/>
        <v>365</v>
      </c>
      <c r="AM219" s="793">
        <f t="shared" si="196"/>
        <v>3198</v>
      </c>
      <c r="AN219" s="805">
        <f t="shared" si="197"/>
        <v>15990</v>
      </c>
      <c r="AO219" s="805">
        <f t="shared" si="198"/>
        <v>17675</v>
      </c>
      <c r="AP219" s="818">
        <f t="shared" si="199"/>
        <v>17675</v>
      </c>
      <c r="AQ219" s="818">
        <f t="shared" si="200"/>
        <v>33665</v>
      </c>
      <c r="AR219" s="818">
        <f t="shared" si="201"/>
        <v>366</v>
      </c>
      <c r="AS219" s="818">
        <f t="shared" si="202"/>
        <v>3207</v>
      </c>
      <c r="AT219" s="818">
        <f t="shared" si="203"/>
        <v>19197</v>
      </c>
      <c r="AU219" s="818">
        <f t="shared" si="204"/>
        <v>14468</v>
      </c>
      <c r="AV219" s="793">
        <f t="shared" si="205"/>
        <v>14468</v>
      </c>
      <c r="AW219" s="793">
        <f t="shared" si="206"/>
        <v>33665</v>
      </c>
      <c r="AX219" s="793">
        <f t="shared" si="207"/>
        <v>365</v>
      </c>
      <c r="AY219" s="793">
        <f t="shared" si="208"/>
        <v>3198</v>
      </c>
      <c r="AZ219" s="818">
        <f t="shared" si="209"/>
        <v>22395</v>
      </c>
      <c r="BA219" s="818">
        <f t="shared" si="210"/>
        <v>11270</v>
      </c>
    </row>
    <row r="220" spans="1:53" ht="15.75" customHeight="1" x14ac:dyDescent="0.25">
      <c r="A220" s="842" t="s">
        <v>133</v>
      </c>
      <c r="B220" s="915" t="s">
        <v>1264</v>
      </c>
      <c r="C220" s="778">
        <f t="shared" si="166"/>
        <v>9.5000000000000001E-2</v>
      </c>
      <c r="D220" s="844">
        <v>10</v>
      </c>
      <c r="E220" s="779" t="s">
        <v>1182</v>
      </c>
      <c r="F220" s="845">
        <v>43191</v>
      </c>
      <c r="G220" s="781">
        <f t="shared" si="167"/>
        <v>43191</v>
      </c>
      <c r="H220" s="781">
        <f t="shared" si="168"/>
        <v>46841</v>
      </c>
      <c r="I220" s="1359">
        <v>423728</v>
      </c>
      <c r="J220" s="805">
        <f t="shared" si="169"/>
        <v>21186.400000000001</v>
      </c>
      <c r="K220" s="1404"/>
      <c r="L220" s="1410">
        <v>0</v>
      </c>
      <c r="M220" s="793">
        <f t="shared" si="170"/>
        <v>423728</v>
      </c>
      <c r="N220" s="793">
        <f t="shared" si="171"/>
        <v>365</v>
      </c>
      <c r="O220" s="793">
        <f t="shared" si="172"/>
        <v>40254</v>
      </c>
      <c r="P220" s="793">
        <f t="shared" si="173"/>
        <v>40254</v>
      </c>
      <c r="Q220" s="1365">
        <f t="shared" si="174"/>
        <v>383474</v>
      </c>
      <c r="R220" s="1411">
        <f t="shared" si="175"/>
        <v>383474</v>
      </c>
      <c r="S220" s="793">
        <f t="shared" si="176"/>
        <v>423728</v>
      </c>
      <c r="T220" s="805">
        <f t="shared" si="177"/>
        <v>366</v>
      </c>
      <c r="U220" s="805">
        <f t="shared" si="178"/>
        <v>40254</v>
      </c>
      <c r="V220" s="793">
        <f t="shared" si="179"/>
        <v>80508</v>
      </c>
      <c r="W220" s="1365">
        <f t="shared" si="180"/>
        <v>343220</v>
      </c>
      <c r="X220" s="1410">
        <f t="shared" si="181"/>
        <v>343220</v>
      </c>
      <c r="Y220" s="805">
        <f t="shared" si="182"/>
        <v>423728</v>
      </c>
      <c r="Z220" s="805">
        <f t="shared" si="183"/>
        <v>365</v>
      </c>
      <c r="AA220" s="805">
        <f t="shared" si="184"/>
        <v>40254</v>
      </c>
      <c r="AB220" s="805">
        <f t="shared" si="185"/>
        <v>120762</v>
      </c>
      <c r="AC220" s="1360">
        <f t="shared" si="186"/>
        <v>302966</v>
      </c>
      <c r="AD220" s="1412">
        <f t="shared" si="187"/>
        <v>302966</v>
      </c>
      <c r="AE220" s="793">
        <f t="shared" si="188"/>
        <v>423728</v>
      </c>
      <c r="AF220" s="793">
        <f t="shared" si="189"/>
        <v>365</v>
      </c>
      <c r="AG220" s="793">
        <f t="shared" si="190"/>
        <v>40254</v>
      </c>
      <c r="AH220" s="805">
        <f t="shared" si="191"/>
        <v>161016</v>
      </c>
      <c r="AI220" s="805">
        <f t="shared" si="192"/>
        <v>262712</v>
      </c>
      <c r="AJ220" s="793">
        <f t="shared" si="193"/>
        <v>262712</v>
      </c>
      <c r="AK220" s="793">
        <f t="shared" si="194"/>
        <v>423728</v>
      </c>
      <c r="AL220" s="793">
        <f t="shared" si="195"/>
        <v>365</v>
      </c>
      <c r="AM220" s="793">
        <f t="shared" si="196"/>
        <v>40254</v>
      </c>
      <c r="AN220" s="805">
        <f t="shared" si="197"/>
        <v>201270</v>
      </c>
      <c r="AO220" s="805">
        <f t="shared" si="198"/>
        <v>222458</v>
      </c>
      <c r="AP220" s="818">
        <f t="shared" si="199"/>
        <v>222458</v>
      </c>
      <c r="AQ220" s="818">
        <f t="shared" si="200"/>
        <v>423728</v>
      </c>
      <c r="AR220" s="818">
        <f t="shared" si="201"/>
        <v>366</v>
      </c>
      <c r="AS220" s="818">
        <f t="shared" si="202"/>
        <v>40364</v>
      </c>
      <c r="AT220" s="818">
        <f t="shared" si="203"/>
        <v>241634</v>
      </c>
      <c r="AU220" s="818">
        <f t="shared" si="204"/>
        <v>182094</v>
      </c>
      <c r="AV220" s="793">
        <f t="shared" si="205"/>
        <v>182094</v>
      </c>
      <c r="AW220" s="793">
        <f t="shared" si="206"/>
        <v>423728</v>
      </c>
      <c r="AX220" s="793">
        <f t="shared" si="207"/>
        <v>365</v>
      </c>
      <c r="AY220" s="793">
        <f t="shared" si="208"/>
        <v>40254</v>
      </c>
      <c r="AZ220" s="818">
        <f t="shared" si="209"/>
        <v>281888</v>
      </c>
      <c r="BA220" s="818">
        <f t="shared" si="210"/>
        <v>141840</v>
      </c>
    </row>
    <row r="221" spans="1:53" ht="13.5" customHeight="1" x14ac:dyDescent="0.25">
      <c r="A221" s="842" t="s">
        <v>133</v>
      </c>
      <c r="B221" s="915" t="s">
        <v>1265</v>
      </c>
      <c r="C221" s="778">
        <f t="shared" si="166"/>
        <v>9.5000000000000001E-2</v>
      </c>
      <c r="D221" s="844">
        <v>10</v>
      </c>
      <c r="E221" s="779" t="s">
        <v>1182</v>
      </c>
      <c r="F221" s="845">
        <v>43191</v>
      </c>
      <c r="G221" s="781">
        <f t="shared" si="167"/>
        <v>43191</v>
      </c>
      <c r="H221" s="781">
        <f t="shared" si="168"/>
        <v>46841</v>
      </c>
      <c r="I221" s="1359">
        <v>1086640</v>
      </c>
      <c r="J221" s="805">
        <f t="shared" si="169"/>
        <v>54332</v>
      </c>
      <c r="K221" s="1404"/>
      <c r="L221" s="1410">
        <v>0</v>
      </c>
      <c r="M221" s="793">
        <f t="shared" si="170"/>
        <v>1086640</v>
      </c>
      <c r="N221" s="793">
        <f t="shared" si="171"/>
        <v>365</v>
      </c>
      <c r="O221" s="793">
        <f t="shared" si="172"/>
        <v>103231</v>
      </c>
      <c r="P221" s="793">
        <f t="shared" si="173"/>
        <v>103231</v>
      </c>
      <c r="Q221" s="1365">
        <f t="shared" si="174"/>
        <v>983409</v>
      </c>
      <c r="R221" s="1411">
        <f t="shared" si="175"/>
        <v>983409</v>
      </c>
      <c r="S221" s="793">
        <f t="shared" si="176"/>
        <v>1086640</v>
      </c>
      <c r="T221" s="805">
        <f t="shared" si="177"/>
        <v>366</v>
      </c>
      <c r="U221" s="805">
        <f t="shared" si="178"/>
        <v>103231</v>
      </c>
      <c r="V221" s="793">
        <f t="shared" si="179"/>
        <v>206462</v>
      </c>
      <c r="W221" s="1365">
        <f t="shared" si="180"/>
        <v>880178</v>
      </c>
      <c r="X221" s="1410">
        <f t="shared" si="181"/>
        <v>880178</v>
      </c>
      <c r="Y221" s="805">
        <f t="shared" si="182"/>
        <v>1086640</v>
      </c>
      <c r="Z221" s="805">
        <f t="shared" si="183"/>
        <v>365</v>
      </c>
      <c r="AA221" s="805">
        <f t="shared" si="184"/>
        <v>103231</v>
      </c>
      <c r="AB221" s="805">
        <f t="shared" si="185"/>
        <v>309693</v>
      </c>
      <c r="AC221" s="1360">
        <f t="shared" si="186"/>
        <v>776947</v>
      </c>
      <c r="AD221" s="1412">
        <f t="shared" si="187"/>
        <v>776947</v>
      </c>
      <c r="AE221" s="793">
        <f t="shared" si="188"/>
        <v>1086640</v>
      </c>
      <c r="AF221" s="793">
        <f t="shared" si="189"/>
        <v>365</v>
      </c>
      <c r="AG221" s="793">
        <f t="shared" si="190"/>
        <v>103231</v>
      </c>
      <c r="AH221" s="805">
        <f t="shared" si="191"/>
        <v>412924</v>
      </c>
      <c r="AI221" s="805">
        <f t="shared" si="192"/>
        <v>673716</v>
      </c>
      <c r="AJ221" s="793">
        <f t="shared" si="193"/>
        <v>673716</v>
      </c>
      <c r="AK221" s="793">
        <f t="shared" si="194"/>
        <v>1086640</v>
      </c>
      <c r="AL221" s="793">
        <f t="shared" si="195"/>
        <v>365</v>
      </c>
      <c r="AM221" s="793">
        <f t="shared" si="196"/>
        <v>103231</v>
      </c>
      <c r="AN221" s="805">
        <f t="shared" si="197"/>
        <v>516155</v>
      </c>
      <c r="AO221" s="805">
        <f t="shared" si="198"/>
        <v>570485</v>
      </c>
      <c r="AP221" s="818">
        <f t="shared" si="199"/>
        <v>570485</v>
      </c>
      <c r="AQ221" s="818">
        <f t="shared" si="200"/>
        <v>1086640</v>
      </c>
      <c r="AR221" s="818">
        <f t="shared" si="201"/>
        <v>366</v>
      </c>
      <c r="AS221" s="818">
        <f t="shared" si="202"/>
        <v>103514</v>
      </c>
      <c r="AT221" s="818">
        <f t="shared" si="203"/>
        <v>619669</v>
      </c>
      <c r="AU221" s="818">
        <f t="shared" si="204"/>
        <v>466971</v>
      </c>
      <c r="AV221" s="793">
        <f t="shared" si="205"/>
        <v>466971</v>
      </c>
      <c r="AW221" s="793">
        <f t="shared" si="206"/>
        <v>1086640</v>
      </c>
      <c r="AX221" s="793">
        <f t="shared" si="207"/>
        <v>365</v>
      </c>
      <c r="AY221" s="793">
        <f t="shared" si="208"/>
        <v>103231</v>
      </c>
      <c r="AZ221" s="818">
        <f t="shared" si="209"/>
        <v>722900</v>
      </c>
      <c r="BA221" s="818">
        <f t="shared" si="210"/>
        <v>363740</v>
      </c>
    </row>
    <row r="222" spans="1:53" ht="15" customHeight="1" x14ac:dyDescent="0.25">
      <c r="A222" s="842" t="s">
        <v>133</v>
      </c>
      <c r="B222" s="843" t="s">
        <v>1266</v>
      </c>
      <c r="C222" s="778">
        <f t="shared" si="166"/>
        <v>9.5000000000000001E-2</v>
      </c>
      <c r="D222" s="844">
        <v>10</v>
      </c>
      <c r="E222" s="779" t="s">
        <v>1182</v>
      </c>
      <c r="F222" s="845">
        <v>43191</v>
      </c>
      <c r="G222" s="781">
        <f t="shared" si="167"/>
        <v>43191</v>
      </c>
      <c r="H222" s="781">
        <f t="shared" si="168"/>
        <v>46841</v>
      </c>
      <c r="I222" s="1359">
        <v>147220</v>
      </c>
      <c r="J222" s="805">
        <f t="shared" si="169"/>
        <v>7361</v>
      </c>
      <c r="K222" s="1404"/>
      <c r="L222" s="1410">
        <v>0</v>
      </c>
      <c r="M222" s="793">
        <f t="shared" si="170"/>
        <v>147220</v>
      </c>
      <c r="N222" s="793">
        <f t="shared" si="171"/>
        <v>365</v>
      </c>
      <c r="O222" s="793">
        <f t="shared" si="172"/>
        <v>13986</v>
      </c>
      <c r="P222" s="793">
        <f t="shared" si="173"/>
        <v>13986</v>
      </c>
      <c r="Q222" s="1365">
        <f t="shared" si="174"/>
        <v>133234</v>
      </c>
      <c r="R222" s="1411">
        <f t="shared" si="175"/>
        <v>133234</v>
      </c>
      <c r="S222" s="793">
        <f t="shared" si="176"/>
        <v>147220</v>
      </c>
      <c r="T222" s="805">
        <f t="shared" si="177"/>
        <v>366</v>
      </c>
      <c r="U222" s="805">
        <f t="shared" si="178"/>
        <v>13986</v>
      </c>
      <c r="V222" s="793">
        <f t="shared" si="179"/>
        <v>27972</v>
      </c>
      <c r="W222" s="1365">
        <f t="shared" si="180"/>
        <v>119248</v>
      </c>
      <c r="X222" s="1410">
        <f t="shared" si="181"/>
        <v>119248</v>
      </c>
      <c r="Y222" s="805">
        <f t="shared" si="182"/>
        <v>147220</v>
      </c>
      <c r="Z222" s="805">
        <f t="shared" si="183"/>
        <v>365</v>
      </c>
      <c r="AA222" s="805">
        <f t="shared" si="184"/>
        <v>13986</v>
      </c>
      <c r="AB222" s="805">
        <f t="shared" si="185"/>
        <v>41958</v>
      </c>
      <c r="AC222" s="1360">
        <f t="shared" si="186"/>
        <v>105262</v>
      </c>
      <c r="AD222" s="1412">
        <f t="shared" si="187"/>
        <v>105262</v>
      </c>
      <c r="AE222" s="793">
        <f t="shared" si="188"/>
        <v>147220</v>
      </c>
      <c r="AF222" s="793">
        <f t="shared" si="189"/>
        <v>365</v>
      </c>
      <c r="AG222" s="793">
        <f t="shared" si="190"/>
        <v>13986</v>
      </c>
      <c r="AH222" s="805">
        <f t="shared" si="191"/>
        <v>55944</v>
      </c>
      <c r="AI222" s="805">
        <f t="shared" si="192"/>
        <v>91276</v>
      </c>
      <c r="AJ222" s="793">
        <f t="shared" si="193"/>
        <v>91276</v>
      </c>
      <c r="AK222" s="793">
        <f t="shared" si="194"/>
        <v>147220</v>
      </c>
      <c r="AL222" s="793">
        <f t="shared" si="195"/>
        <v>365</v>
      </c>
      <c r="AM222" s="793">
        <f t="shared" si="196"/>
        <v>13986</v>
      </c>
      <c r="AN222" s="805">
        <f t="shared" si="197"/>
        <v>69930</v>
      </c>
      <c r="AO222" s="805">
        <f t="shared" si="198"/>
        <v>77290</v>
      </c>
      <c r="AP222" s="818">
        <f t="shared" si="199"/>
        <v>77290</v>
      </c>
      <c r="AQ222" s="818">
        <f t="shared" si="200"/>
        <v>147220</v>
      </c>
      <c r="AR222" s="818">
        <f t="shared" si="201"/>
        <v>366</v>
      </c>
      <c r="AS222" s="818">
        <f t="shared" si="202"/>
        <v>14024</v>
      </c>
      <c r="AT222" s="818">
        <f t="shared" si="203"/>
        <v>83954</v>
      </c>
      <c r="AU222" s="818">
        <f t="shared" si="204"/>
        <v>63266</v>
      </c>
      <c r="AV222" s="793">
        <f t="shared" si="205"/>
        <v>63266</v>
      </c>
      <c r="AW222" s="793">
        <f t="shared" si="206"/>
        <v>147220</v>
      </c>
      <c r="AX222" s="793">
        <f t="shared" si="207"/>
        <v>365</v>
      </c>
      <c r="AY222" s="793">
        <f t="shared" si="208"/>
        <v>13986</v>
      </c>
      <c r="AZ222" s="818">
        <f t="shared" si="209"/>
        <v>97940</v>
      </c>
      <c r="BA222" s="818">
        <f t="shared" si="210"/>
        <v>49280</v>
      </c>
    </row>
    <row r="223" spans="1:53" ht="15" customHeight="1" x14ac:dyDescent="0.25">
      <c r="A223" s="842" t="s">
        <v>133</v>
      </c>
      <c r="B223" s="843" t="s">
        <v>1266</v>
      </c>
      <c r="C223" s="778">
        <f t="shared" si="166"/>
        <v>9.5000000000000001E-2</v>
      </c>
      <c r="D223" s="844">
        <v>10</v>
      </c>
      <c r="E223" s="779" t="s">
        <v>1182</v>
      </c>
      <c r="F223" s="845">
        <v>43191</v>
      </c>
      <c r="G223" s="781">
        <f t="shared" si="167"/>
        <v>43191</v>
      </c>
      <c r="H223" s="781">
        <f t="shared" si="168"/>
        <v>46841</v>
      </c>
      <c r="I223" s="1359">
        <v>14520</v>
      </c>
      <c r="J223" s="805">
        <f t="shared" si="169"/>
        <v>726</v>
      </c>
      <c r="K223" s="1404"/>
      <c r="L223" s="1410">
        <v>0</v>
      </c>
      <c r="M223" s="793">
        <f t="shared" si="170"/>
        <v>14520</v>
      </c>
      <c r="N223" s="793">
        <f t="shared" si="171"/>
        <v>365</v>
      </c>
      <c r="O223" s="793">
        <f t="shared" si="172"/>
        <v>1379</v>
      </c>
      <c r="P223" s="793">
        <f t="shared" si="173"/>
        <v>1379</v>
      </c>
      <c r="Q223" s="1365">
        <f t="shared" si="174"/>
        <v>13141</v>
      </c>
      <c r="R223" s="1411">
        <f t="shared" si="175"/>
        <v>13141</v>
      </c>
      <c r="S223" s="793">
        <f t="shared" si="176"/>
        <v>14520</v>
      </c>
      <c r="T223" s="805">
        <f t="shared" si="177"/>
        <v>366</v>
      </c>
      <c r="U223" s="805">
        <f t="shared" si="178"/>
        <v>1379</v>
      </c>
      <c r="V223" s="793">
        <f t="shared" si="179"/>
        <v>2758</v>
      </c>
      <c r="W223" s="1365">
        <f t="shared" si="180"/>
        <v>11762</v>
      </c>
      <c r="X223" s="1410">
        <f t="shared" si="181"/>
        <v>11762</v>
      </c>
      <c r="Y223" s="805">
        <f t="shared" si="182"/>
        <v>14520</v>
      </c>
      <c r="Z223" s="805">
        <f t="shared" si="183"/>
        <v>365</v>
      </c>
      <c r="AA223" s="805">
        <f t="shared" si="184"/>
        <v>1379</v>
      </c>
      <c r="AB223" s="805">
        <f t="shared" si="185"/>
        <v>4137</v>
      </c>
      <c r="AC223" s="1360">
        <f t="shared" si="186"/>
        <v>10383</v>
      </c>
      <c r="AD223" s="1412">
        <f t="shared" si="187"/>
        <v>10383</v>
      </c>
      <c r="AE223" s="793">
        <f t="shared" si="188"/>
        <v>14520</v>
      </c>
      <c r="AF223" s="793">
        <f t="shared" si="189"/>
        <v>365</v>
      </c>
      <c r="AG223" s="793">
        <f t="shared" si="190"/>
        <v>1379</v>
      </c>
      <c r="AH223" s="805">
        <f t="shared" si="191"/>
        <v>5516</v>
      </c>
      <c r="AI223" s="805">
        <f t="shared" si="192"/>
        <v>9004</v>
      </c>
      <c r="AJ223" s="793">
        <f t="shared" si="193"/>
        <v>9004</v>
      </c>
      <c r="AK223" s="793">
        <f t="shared" si="194"/>
        <v>14520</v>
      </c>
      <c r="AL223" s="793">
        <f t="shared" si="195"/>
        <v>365</v>
      </c>
      <c r="AM223" s="793">
        <f t="shared" si="196"/>
        <v>1379</v>
      </c>
      <c r="AN223" s="805">
        <f t="shared" si="197"/>
        <v>6895</v>
      </c>
      <c r="AO223" s="805">
        <f t="shared" si="198"/>
        <v>7625</v>
      </c>
      <c r="AP223" s="818">
        <f t="shared" si="199"/>
        <v>7625</v>
      </c>
      <c r="AQ223" s="818">
        <f t="shared" si="200"/>
        <v>14520</v>
      </c>
      <c r="AR223" s="818">
        <f t="shared" si="201"/>
        <v>366</v>
      </c>
      <c r="AS223" s="818">
        <f t="shared" si="202"/>
        <v>1383</v>
      </c>
      <c r="AT223" s="818">
        <f t="shared" si="203"/>
        <v>8278</v>
      </c>
      <c r="AU223" s="818">
        <f t="shared" si="204"/>
        <v>6242</v>
      </c>
      <c r="AV223" s="793">
        <f t="shared" si="205"/>
        <v>6242</v>
      </c>
      <c r="AW223" s="793">
        <f t="shared" si="206"/>
        <v>14520</v>
      </c>
      <c r="AX223" s="793">
        <f t="shared" si="207"/>
        <v>365</v>
      </c>
      <c r="AY223" s="793">
        <f t="shared" si="208"/>
        <v>1379</v>
      </c>
      <c r="AZ223" s="818">
        <f t="shared" si="209"/>
        <v>9657</v>
      </c>
      <c r="BA223" s="818">
        <f t="shared" si="210"/>
        <v>4863</v>
      </c>
    </row>
    <row r="224" spans="1:53" ht="15" customHeight="1" x14ac:dyDescent="0.25">
      <c r="A224" s="842" t="s">
        <v>133</v>
      </c>
      <c r="B224" s="843" t="s">
        <v>1266</v>
      </c>
      <c r="C224" s="778">
        <f t="shared" si="166"/>
        <v>9.5000000000000001E-2</v>
      </c>
      <c r="D224" s="844">
        <v>10</v>
      </c>
      <c r="E224" s="779" t="s">
        <v>1182</v>
      </c>
      <c r="F224" s="845">
        <v>43191</v>
      </c>
      <c r="G224" s="781">
        <f t="shared" si="167"/>
        <v>43191</v>
      </c>
      <c r="H224" s="781">
        <f t="shared" si="168"/>
        <v>46841</v>
      </c>
      <c r="I224" s="1359">
        <v>89404</v>
      </c>
      <c r="J224" s="805">
        <f t="shared" si="169"/>
        <v>4470.2</v>
      </c>
      <c r="K224" s="1404"/>
      <c r="L224" s="1410">
        <v>0</v>
      </c>
      <c r="M224" s="793">
        <f t="shared" si="170"/>
        <v>89404</v>
      </c>
      <c r="N224" s="793">
        <f t="shared" si="171"/>
        <v>365</v>
      </c>
      <c r="O224" s="793">
        <f t="shared" si="172"/>
        <v>8493</v>
      </c>
      <c r="P224" s="793">
        <f t="shared" si="173"/>
        <v>8493</v>
      </c>
      <c r="Q224" s="1365">
        <f t="shared" si="174"/>
        <v>80911</v>
      </c>
      <c r="R224" s="1411">
        <f t="shared" si="175"/>
        <v>80911</v>
      </c>
      <c r="S224" s="793">
        <f t="shared" si="176"/>
        <v>89404</v>
      </c>
      <c r="T224" s="805">
        <f t="shared" si="177"/>
        <v>366</v>
      </c>
      <c r="U224" s="805">
        <f t="shared" si="178"/>
        <v>8493</v>
      </c>
      <c r="V224" s="793">
        <f t="shared" si="179"/>
        <v>16986</v>
      </c>
      <c r="W224" s="1365">
        <f t="shared" si="180"/>
        <v>72418</v>
      </c>
      <c r="X224" s="1410">
        <f t="shared" si="181"/>
        <v>72418</v>
      </c>
      <c r="Y224" s="805">
        <f t="shared" si="182"/>
        <v>89404</v>
      </c>
      <c r="Z224" s="805">
        <f t="shared" si="183"/>
        <v>365</v>
      </c>
      <c r="AA224" s="805">
        <f t="shared" si="184"/>
        <v>8493</v>
      </c>
      <c r="AB224" s="805">
        <f t="shared" si="185"/>
        <v>25479</v>
      </c>
      <c r="AC224" s="1360">
        <f t="shared" si="186"/>
        <v>63925</v>
      </c>
      <c r="AD224" s="1412">
        <f t="shared" si="187"/>
        <v>63925</v>
      </c>
      <c r="AE224" s="793">
        <f t="shared" si="188"/>
        <v>89404</v>
      </c>
      <c r="AF224" s="793">
        <f t="shared" si="189"/>
        <v>365</v>
      </c>
      <c r="AG224" s="793">
        <f t="shared" si="190"/>
        <v>8493</v>
      </c>
      <c r="AH224" s="805">
        <f t="shared" si="191"/>
        <v>33972</v>
      </c>
      <c r="AI224" s="805">
        <f t="shared" si="192"/>
        <v>55432</v>
      </c>
      <c r="AJ224" s="793">
        <f t="shared" si="193"/>
        <v>55432</v>
      </c>
      <c r="AK224" s="793">
        <f t="shared" si="194"/>
        <v>89404</v>
      </c>
      <c r="AL224" s="793">
        <f t="shared" si="195"/>
        <v>365</v>
      </c>
      <c r="AM224" s="793">
        <f t="shared" si="196"/>
        <v>8493</v>
      </c>
      <c r="AN224" s="805">
        <f t="shared" si="197"/>
        <v>42465</v>
      </c>
      <c r="AO224" s="805">
        <f t="shared" si="198"/>
        <v>46939</v>
      </c>
      <c r="AP224" s="818">
        <f t="shared" si="199"/>
        <v>46939</v>
      </c>
      <c r="AQ224" s="818">
        <f t="shared" si="200"/>
        <v>89404</v>
      </c>
      <c r="AR224" s="818">
        <f t="shared" si="201"/>
        <v>366</v>
      </c>
      <c r="AS224" s="818">
        <f t="shared" si="202"/>
        <v>8517</v>
      </c>
      <c r="AT224" s="818">
        <f t="shared" si="203"/>
        <v>50982</v>
      </c>
      <c r="AU224" s="818">
        <f t="shared" si="204"/>
        <v>38422</v>
      </c>
      <c r="AV224" s="793">
        <f t="shared" si="205"/>
        <v>38422</v>
      </c>
      <c r="AW224" s="793">
        <f t="shared" si="206"/>
        <v>89404</v>
      </c>
      <c r="AX224" s="793">
        <f t="shared" si="207"/>
        <v>365</v>
      </c>
      <c r="AY224" s="793">
        <f t="shared" si="208"/>
        <v>8493</v>
      </c>
      <c r="AZ224" s="818">
        <f t="shared" si="209"/>
        <v>59475</v>
      </c>
      <c r="BA224" s="818">
        <f t="shared" si="210"/>
        <v>29929</v>
      </c>
    </row>
    <row r="225" spans="1:53" ht="15" customHeight="1" x14ac:dyDescent="0.25">
      <c r="A225" s="842" t="s">
        <v>133</v>
      </c>
      <c r="B225" s="843" t="s">
        <v>1266</v>
      </c>
      <c r="C225" s="778">
        <f t="shared" si="166"/>
        <v>9.5000000000000001E-2</v>
      </c>
      <c r="D225" s="844">
        <v>10</v>
      </c>
      <c r="E225" s="779" t="s">
        <v>1182</v>
      </c>
      <c r="F225" s="845">
        <v>43191</v>
      </c>
      <c r="G225" s="781">
        <f t="shared" si="167"/>
        <v>43191</v>
      </c>
      <c r="H225" s="781">
        <f t="shared" si="168"/>
        <v>46841</v>
      </c>
      <c r="I225" s="1359">
        <v>76395</v>
      </c>
      <c r="J225" s="805">
        <f t="shared" si="169"/>
        <v>3819.75</v>
      </c>
      <c r="K225" s="1404"/>
      <c r="L225" s="1410">
        <v>0</v>
      </c>
      <c r="M225" s="793">
        <f t="shared" si="170"/>
        <v>76395</v>
      </c>
      <c r="N225" s="793">
        <f t="shared" si="171"/>
        <v>365</v>
      </c>
      <c r="O225" s="793">
        <f t="shared" si="172"/>
        <v>7258</v>
      </c>
      <c r="P225" s="793">
        <f t="shared" si="173"/>
        <v>7258</v>
      </c>
      <c r="Q225" s="1365">
        <f t="shared" si="174"/>
        <v>69137</v>
      </c>
      <c r="R225" s="1411">
        <f t="shared" si="175"/>
        <v>69137</v>
      </c>
      <c r="S225" s="793">
        <f t="shared" si="176"/>
        <v>76395</v>
      </c>
      <c r="T225" s="805">
        <f t="shared" si="177"/>
        <v>366</v>
      </c>
      <c r="U225" s="805">
        <f t="shared" si="178"/>
        <v>7258</v>
      </c>
      <c r="V225" s="793">
        <f t="shared" si="179"/>
        <v>14516</v>
      </c>
      <c r="W225" s="1365">
        <f t="shared" si="180"/>
        <v>61879</v>
      </c>
      <c r="X225" s="1410">
        <f t="shared" si="181"/>
        <v>61879</v>
      </c>
      <c r="Y225" s="805">
        <f t="shared" si="182"/>
        <v>76395</v>
      </c>
      <c r="Z225" s="805">
        <f t="shared" si="183"/>
        <v>365</v>
      </c>
      <c r="AA225" s="805">
        <f t="shared" si="184"/>
        <v>7258</v>
      </c>
      <c r="AB225" s="805">
        <f t="shared" si="185"/>
        <v>21774</v>
      </c>
      <c r="AC225" s="1360">
        <f t="shared" si="186"/>
        <v>54621</v>
      </c>
      <c r="AD225" s="1412">
        <f t="shared" si="187"/>
        <v>54621</v>
      </c>
      <c r="AE225" s="793">
        <f t="shared" si="188"/>
        <v>76395</v>
      </c>
      <c r="AF225" s="793">
        <f t="shared" si="189"/>
        <v>365</v>
      </c>
      <c r="AG225" s="793">
        <f t="shared" si="190"/>
        <v>7258</v>
      </c>
      <c r="AH225" s="805">
        <f t="shared" si="191"/>
        <v>29032</v>
      </c>
      <c r="AI225" s="805">
        <f t="shared" si="192"/>
        <v>47363</v>
      </c>
      <c r="AJ225" s="793">
        <f t="shared" si="193"/>
        <v>47363</v>
      </c>
      <c r="AK225" s="793">
        <f t="shared" si="194"/>
        <v>76395</v>
      </c>
      <c r="AL225" s="793">
        <f t="shared" si="195"/>
        <v>365</v>
      </c>
      <c r="AM225" s="793">
        <f t="shared" si="196"/>
        <v>7258</v>
      </c>
      <c r="AN225" s="805">
        <f t="shared" si="197"/>
        <v>36290</v>
      </c>
      <c r="AO225" s="805">
        <f t="shared" si="198"/>
        <v>40105</v>
      </c>
      <c r="AP225" s="818">
        <f t="shared" si="199"/>
        <v>40105</v>
      </c>
      <c r="AQ225" s="818">
        <f t="shared" si="200"/>
        <v>76395</v>
      </c>
      <c r="AR225" s="818">
        <f t="shared" si="201"/>
        <v>366</v>
      </c>
      <c r="AS225" s="818">
        <f t="shared" si="202"/>
        <v>7277</v>
      </c>
      <c r="AT225" s="818">
        <f t="shared" si="203"/>
        <v>43567</v>
      </c>
      <c r="AU225" s="818">
        <f t="shared" si="204"/>
        <v>32828</v>
      </c>
      <c r="AV225" s="793">
        <f t="shared" si="205"/>
        <v>32828</v>
      </c>
      <c r="AW225" s="793">
        <f t="shared" si="206"/>
        <v>76395</v>
      </c>
      <c r="AX225" s="793">
        <f t="shared" si="207"/>
        <v>365</v>
      </c>
      <c r="AY225" s="793">
        <f t="shared" si="208"/>
        <v>7258</v>
      </c>
      <c r="AZ225" s="818">
        <f t="shared" si="209"/>
        <v>50825</v>
      </c>
      <c r="BA225" s="818">
        <f t="shared" si="210"/>
        <v>25570</v>
      </c>
    </row>
    <row r="226" spans="1:53" ht="15" customHeight="1" x14ac:dyDescent="0.25">
      <c r="A226" s="842" t="s">
        <v>133</v>
      </c>
      <c r="B226" s="843" t="s">
        <v>1266</v>
      </c>
      <c r="C226" s="778">
        <f t="shared" si="166"/>
        <v>9.5000000000000001E-2</v>
      </c>
      <c r="D226" s="844">
        <v>10</v>
      </c>
      <c r="E226" s="779" t="s">
        <v>1182</v>
      </c>
      <c r="F226" s="845">
        <v>43191</v>
      </c>
      <c r="G226" s="781">
        <f t="shared" si="167"/>
        <v>43191</v>
      </c>
      <c r="H226" s="781">
        <f t="shared" si="168"/>
        <v>46841</v>
      </c>
      <c r="I226" s="1359">
        <v>73885</v>
      </c>
      <c r="J226" s="805">
        <f t="shared" si="169"/>
        <v>3694.25</v>
      </c>
      <c r="K226" s="1404"/>
      <c r="L226" s="1410">
        <v>0</v>
      </c>
      <c r="M226" s="793">
        <f t="shared" si="170"/>
        <v>73885</v>
      </c>
      <c r="N226" s="793">
        <f t="shared" si="171"/>
        <v>365</v>
      </c>
      <c r="O226" s="793">
        <f t="shared" si="172"/>
        <v>7019</v>
      </c>
      <c r="P226" s="793">
        <f t="shared" si="173"/>
        <v>7019</v>
      </c>
      <c r="Q226" s="1365">
        <f t="shared" si="174"/>
        <v>66866</v>
      </c>
      <c r="R226" s="1411">
        <f t="shared" si="175"/>
        <v>66866</v>
      </c>
      <c r="S226" s="793">
        <f t="shared" si="176"/>
        <v>73885</v>
      </c>
      <c r="T226" s="805">
        <f t="shared" si="177"/>
        <v>366</v>
      </c>
      <c r="U226" s="805">
        <f t="shared" si="178"/>
        <v>7019</v>
      </c>
      <c r="V226" s="793">
        <f t="shared" si="179"/>
        <v>14038</v>
      </c>
      <c r="W226" s="1365">
        <f t="shared" si="180"/>
        <v>59847</v>
      </c>
      <c r="X226" s="1410">
        <f t="shared" si="181"/>
        <v>59847</v>
      </c>
      <c r="Y226" s="805">
        <f t="shared" si="182"/>
        <v>73885</v>
      </c>
      <c r="Z226" s="805">
        <f t="shared" si="183"/>
        <v>365</v>
      </c>
      <c r="AA226" s="805">
        <f t="shared" si="184"/>
        <v>7019</v>
      </c>
      <c r="AB226" s="805">
        <f t="shared" si="185"/>
        <v>21057</v>
      </c>
      <c r="AC226" s="1360">
        <f t="shared" si="186"/>
        <v>52828</v>
      </c>
      <c r="AD226" s="1412">
        <f t="shared" si="187"/>
        <v>52828</v>
      </c>
      <c r="AE226" s="793">
        <f t="shared" si="188"/>
        <v>73885</v>
      </c>
      <c r="AF226" s="793">
        <f t="shared" si="189"/>
        <v>365</v>
      </c>
      <c r="AG226" s="793">
        <f t="shared" si="190"/>
        <v>7019</v>
      </c>
      <c r="AH226" s="805">
        <f t="shared" si="191"/>
        <v>28076</v>
      </c>
      <c r="AI226" s="805">
        <f t="shared" si="192"/>
        <v>45809</v>
      </c>
      <c r="AJ226" s="793">
        <f t="shared" si="193"/>
        <v>45809</v>
      </c>
      <c r="AK226" s="793">
        <f t="shared" si="194"/>
        <v>73885</v>
      </c>
      <c r="AL226" s="793">
        <f t="shared" si="195"/>
        <v>365</v>
      </c>
      <c r="AM226" s="793">
        <f t="shared" si="196"/>
        <v>7019</v>
      </c>
      <c r="AN226" s="805">
        <f t="shared" si="197"/>
        <v>35095</v>
      </c>
      <c r="AO226" s="805">
        <f t="shared" si="198"/>
        <v>38790</v>
      </c>
      <c r="AP226" s="818">
        <f t="shared" si="199"/>
        <v>38790</v>
      </c>
      <c r="AQ226" s="818">
        <f t="shared" si="200"/>
        <v>73885</v>
      </c>
      <c r="AR226" s="818">
        <f t="shared" si="201"/>
        <v>366</v>
      </c>
      <c r="AS226" s="818">
        <f t="shared" si="202"/>
        <v>7038</v>
      </c>
      <c r="AT226" s="818">
        <f t="shared" si="203"/>
        <v>42133</v>
      </c>
      <c r="AU226" s="818">
        <f t="shared" si="204"/>
        <v>31752</v>
      </c>
      <c r="AV226" s="793">
        <f t="shared" si="205"/>
        <v>31752</v>
      </c>
      <c r="AW226" s="793">
        <f t="shared" si="206"/>
        <v>73885</v>
      </c>
      <c r="AX226" s="793">
        <f t="shared" si="207"/>
        <v>365</v>
      </c>
      <c r="AY226" s="793">
        <f t="shared" si="208"/>
        <v>7019</v>
      </c>
      <c r="AZ226" s="818">
        <f t="shared" si="209"/>
        <v>49152</v>
      </c>
      <c r="BA226" s="818">
        <f t="shared" si="210"/>
        <v>24733</v>
      </c>
    </row>
    <row r="227" spans="1:53" ht="15" customHeight="1" x14ac:dyDescent="0.25">
      <c r="A227" s="842" t="s">
        <v>133</v>
      </c>
      <c r="B227" s="843" t="s">
        <v>1266</v>
      </c>
      <c r="C227" s="778">
        <f t="shared" si="166"/>
        <v>9.5000000000000001E-2</v>
      </c>
      <c r="D227" s="844">
        <v>10</v>
      </c>
      <c r="E227" s="779" t="s">
        <v>1182</v>
      </c>
      <c r="F227" s="845">
        <v>43191</v>
      </c>
      <c r="G227" s="781">
        <f t="shared" si="167"/>
        <v>43191</v>
      </c>
      <c r="H227" s="781">
        <f t="shared" si="168"/>
        <v>46841</v>
      </c>
      <c r="I227" s="1359">
        <v>44093</v>
      </c>
      <c r="J227" s="805">
        <f t="shared" si="169"/>
        <v>2204.65</v>
      </c>
      <c r="K227" s="1404"/>
      <c r="L227" s="1410">
        <v>0</v>
      </c>
      <c r="M227" s="793">
        <f t="shared" si="170"/>
        <v>44093</v>
      </c>
      <c r="N227" s="793">
        <f t="shared" si="171"/>
        <v>365</v>
      </c>
      <c r="O227" s="793">
        <f t="shared" si="172"/>
        <v>4189</v>
      </c>
      <c r="P227" s="793">
        <f t="shared" si="173"/>
        <v>4189</v>
      </c>
      <c r="Q227" s="1365">
        <f t="shared" si="174"/>
        <v>39904</v>
      </c>
      <c r="R227" s="1411">
        <f t="shared" si="175"/>
        <v>39904</v>
      </c>
      <c r="S227" s="793">
        <f t="shared" si="176"/>
        <v>44093</v>
      </c>
      <c r="T227" s="805">
        <f t="shared" si="177"/>
        <v>366</v>
      </c>
      <c r="U227" s="805">
        <f t="shared" si="178"/>
        <v>4189</v>
      </c>
      <c r="V227" s="793">
        <f t="shared" si="179"/>
        <v>8378</v>
      </c>
      <c r="W227" s="1365">
        <f t="shared" si="180"/>
        <v>35715</v>
      </c>
      <c r="X227" s="1410">
        <f t="shared" si="181"/>
        <v>35715</v>
      </c>
      <c r="Y227" s="805">
        <f t="shared" si="182"/>
        <v>44093</v>
      </c>
      <c r="Z227" s="805">
        <f t="shared" si="183"/>
        <v>365</v>
      </c>
      <c r="AA227" s="805">
        <f t="shared" si="184"/>
        <v>4189</v>
      </c>
      <c r="AB227" s="805">
        <f t="shared" si="185"/>
        <v>12567</v>
      </c>
      <c r="AC227" s="1360">
        <f t="shared" si="186"/>
        <v>31526</v>
      </c>
      <c r="AD227" s="1412">
        <f t="shared" si="187"/>
        <v>31526</v>
      </c>
      <c r="AE227" s="793">
        <f t="shared" si="188"/>
        <v>44093</v>
      </c>
      <c r="AF227" s="793">
        <f t="shared" si="189"/>
        <v>365</v>
      </c>
      <c r="AG227" s="793">
        <f t="shared" si="190"/>
        <v>4189</v>
      </c>
      <c r="AH227" s="805">
        <f t="shared" si="191"/>
        <v>16756</v>
      </c>
      <c r="AI227" s="805">
        <f t="shared" si="192"/>
        <v>27337</v>
      </c>
      <c r="AJ227" s="793">
        <f t="shared" si="193"/>
        <v>27337</v>
      </c>
      <c r="AK227" s="793">
        <f t="shared" si="194"/>
        <v>44093</v>
      </c>
      <c r="AL227" s="793">
        <f t="shared" si="195"/>
        <v>365</v>
      </c>
      <c r="AM227" s="793">
        <f t="shared" si="196"/>
        <v>4189</v>
      </c>
      <c r="AN227" s="805">
        <f t="shared" si="197"/>
        <v>20945</v>
      </c>
      <c r="AO227" s="805">
        <f t="shared" si="198"/>
        <v>23148</v>
      </c>
      <c r="AP227" s="818">
        <f t="shared" si="199"/>
        <v>23148</v>
      </c>
      <c r="AQ227" s="818">
        <f t="shared" si="200"/>
        <v>44093</v>
      </c>
      <c r="AR227" s="818">
        <f t="shared" si="201"/>
        <v>366</v>
      </c>
      <c r="AS227" s="818">
        <f t="shared" si="202"/>
        <v>4200</v>
      </c>
      <c r="AT227" s="818">
        <f t="shared" si="203"/>
        <v>25145</v>
      </c>
      <c r="AU227" s="818">
        <f t="shared" si="204"/>
        <v>18948</v>
      </c>
      <c r="AV227" s="793">
        <f t="shared" si="205"/>
        <v>18948</v>
      </c>
      <c r="AW227" s="793">
        <f t="shared" si="206"/>
        <v>44093</v>
      </c>
      <c r="AX227" s="793">
        <f t="shared" si="207"/>
        <v>365</v>
      </c>
      <c r="AY227" s="793">
        <f t="shared" si="208"/>
        <v>4189</v>
      </c>
      <c r="AZ227" s="818">
        <f t="shared" si="209"/>
        <v>29334</v>
      </c>
      <c r="BA227" s="818">
        <f t="shared" si="210"/>
        <v>14759</v>
      </c>
    </row>
    <row r="228" spans="1:53" ht="15" customHeight="1" x14ac:dyDescent="0.25">
      <c r="A228" s="842" t="s">
        <v>133</v>
      </c>
      <c r="B228" s="843" t="s">
        <v>1266</v>
      </c>
      <c r="C228" s="778">
        <f t="shared" si="166"/>
        <v>9.5000000000000001E-2</v>
      </c>
      <c r="D228" s="844">
        <v>10</v>
      </c>
      <c r="E228" s="779" t="s">
        <v>1182</v>
      </c>
      <c r="F228" s="845">
        <v>43191</v>
      </c>
      <c r="G228" s="781">
        <f t="shared" si="167"/>
        <v>43191</v>
      </c>
      <c r="H228" s="781">
        <f t="shared" si="168"/>
        <v>46841</v>
      </c>
      <c r="I228" s="1359">
        <v>50848</v>
      </c>
      <c r="J228" s="805">
        <f t="shared" si="169"/>
        <v>2542.4</v>
      </c>
      <c r="K228" s="1404"/>
      <c r="L228" s="1410">
        <v>0</v>
      </c>
      <c r="M228" s="793">
        <f t="shared" si="170"/>
        <v>50848</v>
      </c>
      <c r="N228" s="793">
        <f t="shared" si="171"/>
        <v>365</v>
      </c>
      <c r="O228" s="793">
        <f t="shared" si="172"/>
        <v>4831</v>
      </c>
      <c r="P228" s="793">
        <f t="shared" si="173"/>
        <v>4831</v>
      </c>
      <c r="Q228" s="1365">
        <f t="shared" si="174"/>
        <v>46017</v>
      </c>
      <c r="R228" s="1411">
        <f t="shared" si="175"/>
        <v>46017</v>
      </c>
      <c r="S228" s="793">
        <f t="shared" si="176"/>
        <v>50848</v>
      </c>
      <c r="T228" s="805">
        <f t="shared" si="177"/>
        <v>366</v>
      </c>
      <c r="U228" s="805">
        <f t="shared" si="178"/>
        <v>4831</v>
      </c>
      <c r="V228" s="793">
        <f t="shared" si="179"/>
        <v>9662</v>
      </c>
      <c r="W228" s="1365">
        <f t="shared" si="180"/>
        <v>41186</v>
      </c>
      <c r="X228" s="1410">
        <f t="shared" si="181"/>
        <v>41186</v>
      </c>
      <c r="Y228" s="805">
        <f t="shared" si="182"/>
        <v>50848</v>
      </c>
      <c r="Z228" s="805">
        <f t="shared" si="183"/>
        <v>365</v>
      </c>
      <c r="AA228" s="805">
        <f t="shared" si="184"/>
        <v>4831</v>
      </c>
      <c r="AB228" s="805">
        <f t="shared" si="185"/>
        <v>14493</v>
      </c>
      <c r="AC228" s="1360">
        <f t="shared" si="186"/>
        <v>36355</v>
      </c>
      <c r="AD228" s="1412">
        <f t="shared" si="187"/>
        <v>36355</v>
      </c>
      <c r="AE228" s="793">
        <f t="shared" si="188"/>
        <v>50848</v>
      </c>
      <c r="AF228" s="793">
        <f t="shared" si="189"/>
        <v>365</v>
      </c>
      <c r="AG228" s="793">
        <f t="shared" si="190"/>
        <v>4831</v>
      </c>
      <c r="AH228" s="805">
        <f t="shared" si="191"/>
        <v>19324</v>
      </c>
      <c r="AI228" s="805">
        <f t="shared" si="192"/>
        <v>31524</v>
      </c>
      <c r="AJ228" s="793">
        <f t="shared" si="193"/>
        <v>31524</v>
      </c>
      <c r="AK228" s="793">
        <f t="shared" si="194"/>
        <v>50848</v>
      </c>
      <c r="AL228" s="793">
        <f t="shared" si="195"/>
        <v>365</v>
      </c>
      <c r="AM228" s="793">
        <f t="shared" si="196"/>
        <v>4831</v>
      </c>
      <c r="AN228" s="805">
        <f t="shared" si="197"/>
        <v>24155</v>
      </c>
      <c r="AO228" s="805">
        <f t="shared" si="198"/>
        <v>26693</v>
      </c>
      <c r="AP228" s="818">
        <f t="shared" si="199"/>
        <v>26693</v>
      </c>
      <c r="AQ228" s="818">
        <f t="shared" si="200"/>
        <v>50848</v>
      </c>
      <c r="AR228" s="818">
        <f t="shared" si="201"/>
        <v>366</v>
      </c>
      <c r="AS228" s="818">
        <f t="shared" si="202"/>
        <v>4844</v>
      </c>
      <c r="AT228" s="818">
        <f t="shared" si="203"/>
        <v>28999</v>
      </c>
      <c r="AU228" s="818">
        <f t="shared" si="204"/>
        <v>21849</v>
      </c>
      <c r="AV228" s="793">
        <f t="shared" si="205"/>
        <v>21849</v>
      </c>
      <c r="AW228" s="793">
        <f t="shared" si="206"/>
        <v>50848</v>
      </c>
      <c r="AX228" s="793">
        <f t="shared" si="207"/>
        <v>365</v>
      </c>
      <c r="AY228" s="793">
        <f t="shared" si="208"/>
        <v>4831</v>
      </c>
      <c r="AZ228" s="818">
        <f t="shared" si="209"/>
        <v>33830</v>
      </c>
      <c r="BA228" s="818">
        <f t="shared" si="210"/>
        <v>17018</v>
      </c>
    </row>
    <row r="229" spans="1:53" ht="15" customHeight="1" x14ac:dyDescent="0.25">
      <c r="A229" s="842" t="s">
        <v>133</v>
      </c>
      <c r="B229" s="843" t="s">
        <v>1266</v>
      </c>
      <c r="C229" s="778">
        <f t="shared" si="166"/>
        <v>9.5000000000000001E-2</v>
      </c>
      <c r="D229" s="844">
        <v>10</v>
      </c>
      <c r="E229" s="779" t="s">
        <v>1182</v>
      </c>
      <c r="F229" s="845">
        <v>43191</v>
      </c>
      <c r="G229" s="781">
        <f t="shared" si="167"/>
        <v>43191</v>
      </c>
      <c r="H229" s="781">
        <f t="shared" si="168"/>
        <v>46841</v>
      </c>
      <c r="I229" s="1359">
        <v>51059</v>
      </c>
      <c r="J229" s="805">
        <f t="shared" si="169"/>
        <v>2552.9500000000003</v>
      </c>
      <c r="K229" s="1404"/>
      <c r="L229" s="1410">
        <v>0</v>
      </c>
      <c r="M229" s="793">
        <f t="shared" si="170"/>
        <v>51059</v>
      </c>
      <c r="N229" s="793">
        <f t="shared" si="171"/>
        <v>365</v>
      </c>
      <c r="O229" s="793">
        <f t="shared" si="172"/>
        <v>4851</v>
      </c>
      <c r="P229" s="793">
        <f t="shared" si="173"/>
        <v>4851</v>
      </c>
      <c r="Q229" s="1365">
        <f t="shared" si="174"/>
        <v>46208</v>
      </c>
      <c r="R229" s="1411">
        <f t="shared" si="175"/>
        <v>46208</v>
      </c>
      <c r="S229" s="793">
        <f t="shared" si="176"/>
        <v>51059</v>
      </c>
      <c r="T229" s="805">
        <f t="shared" si="177"/>
        <v>366</v>
      </c>
      <c r="U229" s="805">
        <f t="shared" si="178"/>
        <v>4851</v>
      </c>
      <c r="V229" s="793">
        <f t="shared" si="179"/>
        <v>9702</v>
      </c>
      <c r="W229" s="1365">
        <f t="shared" si="180"/>
        <v>41357</v>
      </c>
      <c r="X229" s="1410">
        <f t="shared" si="181"/>
        <v>41357</v>
      </c>
      <c r="Y229" s="805">
        <f t="shared" si="182"/>
        <v>51059</v>
      </c>
      <c r="Z229" s="805">
        <f t="shared" si="183"/>
        <v>365</v>
      </c>
      <c r="AA229" s="805">
        <f t="shared" si="184"/>
        <v>4851</v>
      </c>
      <c r="AB229" s="805">
        <f t="shared" si="185"/>
        <v>14553</v>
      </c>
      <c r="AC229" s="1360">
        <f t="shared" si="186"/>
        <v>36506</v>
      </c>
      <c r="AD229" s="1412">
        <f t="shared" si="187"/>
        <v>36506</v>
      </c>
      <c r="AE229" s="793">
        <f t="shared" si="188"/>
        <v>51059</v>
      </c>
      <c r="AF229" s="793">
        <f t="shared" si="189"/>
        <v>365</v>
      </c>
      <c r="AG229" s="793">
        <f t="shared" si="190"/>
        <v>4851</v>
      </c>
      <c r="AH229" s="805">
        <f t="shared" si="191"/>
        <v>19404</v>
      </c>
      <c r="AI229" s="805">
        <f t="shared" si="192"/>
        <v>31655</v>
      </c>
      <c r="AJ229" s="793">
        <f t="shared" si="193"/>
        <v>31655</v>
      </c>
      <c r="AK229" s="793">
        <f t="shared" si="194"/>
        <v>51059</v>
      </c>
      <c r="AL229" s="793">
        <f t="shared" si="195"/>
        <v>365</v>
      </c>
      <c r="AM229" s="793">
        <f t="shared" si="196"/>
        <v>4851</v>
      </c>
      <c r="AN229" s="805">
        <f t="shared" si="197"/>
        <v>24255</v>
      </c>
      <c r="AO229" s="805">
        <f t="shared" si="198"/>
        <v>26804</v>
      </c>
      <c r="AP229" s="818">
        <f t="shared" si="199"/>
        <v>26804</v>
      </c>
      <c r="AQ229" s="818">
        <f t="shared" si="200"/>
        <v>51059</v>
      </c>
      <c r="AR229" s="818">
        <f t="shared" si="201"/>
        <v>366</v>
      </c>
      <c r="AS229" s="818">
        <f t="shared" si="202"/>
        <v>4864</v>
      </c>
      <c r="AT229" s="818">
        <f t="shared" si="203"/>
        <v>29119</v>
      </c>
      <c r="AU229" s="818">
        <f t="shared" si="204"/>
        <v>21940</v>
      </c>
      <c r="AV229" s="793">
        <f t="shared" si="205"/>
        <v>21940</v>
      </c>
      <c r="AW229" s="793">
        <f t="shared" si="206"/>
        <v>51059</v>
      </c>
      <c r="AX229" s="793">
        <f t="shared" si="207"/>
        <v>365</v>
      </c>
      <c r="AY229" s="793">
        <f t="shared" si="208"/>
        <v>4851</v>
      </c>
      <c r="AZ229" s="818">
        <f t="shared" si="209"/>
        <v>33970</v>
      </c>
      <c r="BA229" s="818">
        <f t="shared" si="210"/>
        <v>17089</v>
      </c>
    </row>
    <row r="230" spans="1:53" ht="15" customHeight="1" x14ac:dyDescent="0.25">
      <c r="A230" s="842" t="s">
        <v>133</v>
      </c>
      <c r="B230" s="843" t="s">
        <v>1266</v>
      </c>
      <c r="C230" s="778">
        <f t="shared" si="166"/>
        <v>9.5000000000000001E-2</v>
      </c>
      <c r="D230" s="844">
        <v>10</v>
      </c>
      <c r="E230" s="779" t="s">
        <v>1182</v>
      </c>
      <c r="F230" s="845">
        <v>43191</v>
      </c>
      <c r="G230" s="781">
        <f t="shared" si="167"/>
        <v>43191</v>
      </c>
      <c r="H230" s="781">
        <f t="shared" si="168"/>
        <v>46841</v>
      </c>
      <c r="I230" s="1359">
        <v>31040</v>
      </c>
      <c r="J230" s="805">
        <f t="shared" si="169"/>
        <v>1552</v>
      </c>
      <c r="K230" s="1404"/>
      <c r="L230" s="1410">
        <v>0</v>
      </c>
      <c r="M230" s="793">
        <f t="shared" si="170"/>
        <v>31040</v>
      </c>
      <c r="N230" s="793">
        <f t="shared" si="171"/>
        <v>365</v>
      </c>
      <c r="O230" s="793">
        <f t="shared" si="172"/>
        <v>2949</v>
      </c>
      <c r="P230" s="793">
        <f t="shared" si="173"/>
        <v>2949</v>
      </c>
      <c r="Q230" s="1365">
        <f t="shared" si="174"/>
        <v>28091</v>
      </c>
      <c r="R230" s="1411">
        <f t="shared" si="175"/>
        <v>28091</v>
      </c>
      <c r="S230" s="793">
        <f t="shared" si="176"/>
        <v>31040</v>
      </c>
      <c r="T230" s="805">
        <f t="shared" si="177"/>
        <v>366</v>
      </c>
      <c r="U230" s="805">
        <f t="shared" si="178"/>
        <v>2949</v>
      </c>
      <c r="V230" s="793">
        <f t="shared" si="179"/>
        <v>5898</v>
      </c>
      <c r="W230" s="1365">
        <f t="shared" si="180"/>
        <v>25142</v>
      </c>
      <c r="X230" s="1410">
        <f t="shared" si="181"/>
        <v>25142</v>
      </c>
      <c r="Y230" s="805">
        <f t="shared" si="182"/>
        <v>31040</v>
      </c>
      <c r="Z230" s="805">
        <f t="shared" si="183"/>
        <v>365</v>
      </c>
      <c r="AA230" s="805">
        <f t="shared" si="184"/>
        <v>2949</v>
      </c>
      <c r="AB230" s="805">
        <f t="shared" si="185"/>
        <v>8847</v>
      </c>
      <c r="AC230" s="1360">
        <f t="shared" si="186"/>
        <v>22193</v>
      </c>
      <c r="AD230" s="1412">
        <f t="shared" si="187"/>
        <v>22193</v>
      </c>
      <c r="AE230" s="793">
        <f t="shared" si="188"/>
        <v>31040</v>
      </c>
      <c r="AF230" s="793">
        <f t="shared" si="189"/>
        <v>365</v>
      </c>
      <c r="AG230" s="793">
        <f t="shared" si="190"/>
        <v>2949</v>
      </c>
      <c r="AH230" s="805">
        <f t="shared" si="191"/>
        <v>11796</v>
      </c>
      <c r="AI230" s="805">
        <f t="shared" si="192"/>
        <v>19244</v>
      </c>
      <c r="AJ230" s="793">
        <f t="shared" si="193"/>
        <v>19244</v>
      </c>
      <c r="AK230" s="793">
        <f t="shared" si="194"/>
        <v>31040</v>
      </c>
      <c r="AL230" s="793">
        <f t="shared" si="195"/>
        <v>365</v>
      </c>
      <c r="AM230" s="793">
        <f t="shared" si="196"/>
        <v>2949</v>
      </c>
      <c r="AN230" s="805">
        <f t="shared" si="197"/>
        <v>14745</v>
      </c>
      <c r="AO230" s="805">
        <f t="shared" si="198"/>
        <v>16295</v>
      </c>
      <c r="AP230" s="818">
        <f t="shared" si="199"/>
        <v>16295</v>
      </c>
      <c r="AQ230" s="818">
        <f t="shared" si="200"/>
        <v>31040</v>
      </c>
      <c r="AR230" s="818">
        <f t="shared" si="201"/>
        <v>366</v>
      </c>
      <c r="AS230" s="818">
        <f t="shared" si="202"/>
        <v>2957</v>
      </c>
      <c r="AT230" s="818">
        <f t="shared" si="203"/>
        <v>17702</v>
      </c>
      <c r="AU230" s="818">
        <f t="shared" si="204"/>
        <v>13338</v>
      </c>
      <c r="AV230" s="793">
        <f t="shared" si="205"/>
        <v>13338</v>
      </c>
      <c r="AW230" s="793">
        <f t="shared" si="206"/>
        <v>31040</v>
      </c>
      <c r="AX230" s="793">
        <f t="shared" si="207"/>
        <v>365</v>
      </c>
      <c r="AY230" s="793">
        <f t="shared" si="208"/>
        <v>2949</v>
      </c>
      <c r="AZ230" s="818">
        <f t="shared" si="209"/>
        <v>20651</v>
      </c>
      <c r="BA230" s="818">
        <f t="shared" si="210"/>
        <v>10389</v>
      </c>
    </row>
    <row r="231" spans="1:53" ht="15" customHeight="1" x14ac:dyDescent="0.25">
      <c r="A231" s="842" t="s">
        <v>133</v>
      </c>
      <c r="B231" s="843" t="s">
        <v>1267</v>
      </c>
      <c r="C231" s="778">
        <f t="shared" si="166"/>
        <v>9.5000000000000001E-2</v>
      </c>
      <c r="D231" s="844">
        <v>10</v>
      </c>
      <c r="E231" s="779" t="s">
        <v>1182</v>
      </c>
      <c r="F231" s="845">
        <v>43191</v>
      </c>
      <c r="G231" s="781">
        <f t="shared" si="167"/>
        <v>43191</v>
      </c>
      <c r="H231" s="781">
        <f t="shared" si="168"/>
        <v>46841</v>
      </c>
      <c r="I231" s="1359">
        <v>492813</v>
      </c>
      <c r="J231" s="805">
        <f t="shared" si="169"/>
        <v>24640.65</v>
      </c>
      <c r="K231" s="1404"/>
      <c r="L231" s="1410">
        <v>0</v>
      </c>
      <c r="M231" s="793">
        <f t="shared" si="170"/>
        <v>492813</v>
      </c>
      <c r="N231" s="793">
        <f t="shared" si="171"/>
        <v>365</v>
      </c>
      <c r="O231" s="793">
        <f t="shared" si="172"/>
        <v>46817</v>
      </c>
      <c r="P231" s="793">
        <f t="shared" si="173"/>
        <v>46817</v>
      </c>
      <c r="Q231" s="1365">
        <f t="shared" si="174"/>
        <v>445996</v>
      </c>
      <c r="R231" s="1411">
        <f t="shared" si="175"/>
        <v>445996</v>
      </c>
      <c r="S231" s="793">
        <f t="shared" si="176"/>
        <v>492813</v>
      </c>
      <c r="T231" s="805">
        <f t="shared" si="177"/>
        <v>366</v>
      </c>
      <c r="U231" s="805">
        <f t="shared" si="178"/>
        <v>46817</v>
      </c>
      <c r="V231" s="793">
        <f t="shared" si="179"/>
        <v>93634</v>
      </c>
      <c r="W231" s="1365">
        <f t="shared" si="180"/>
        <v>399179</v>
      </c>
      <c r="X231" s="1410">
        <f t="shared" si="181"/>
        <v>399179</v>
      </c>
      <c r="Y231" s="805">
        <f t="shared" si="182"/>
        <v>492813</v>
      </c>
      <c r="Z231" s="805">
        <f t="shared" si="183"/>
        <v>365</v>
      </c>
      <c r="AA231" s="805">
        <f t="shared" si="184"/>
        <v>46817</v>
      </c>
      <c r="AB231" s="805">
        <f t="shared" si="185"/>
        <v>140451</v>
      </c>
      <c r="AC231" s="1360">
        <f t="shared" si="186"/>
        <v>352362</v>
      </c>
      <c r="AD231" s="1412">
        <f t="shared" si="187"/>
        <v>352362</v>
      </c>
      <c r="AE231" s="793">
        <f t="shared" si="188"/>
        <v>492813</v>
      </c>
      <c r="AF231" s="793">
        <f t="shared" si="189"/>
        <v>365</v>
      </c>
      <c r="AG231" s="793">
        <f t="shared" si="190"/>
        <v>46817</v>
      </c>
      <c r="AH231" s="805">
        <f t="shared" si="191"/>
        <v>187268</v>
      </c>
      <c r="AI231" s="805">
        <f t="shared" si="192"/>
        <v>305545</v>
      </c>
      <c r="AJ231" s="793">
        <f t="shared" si="193"/>
        <v>305545</v>
      </c>
      <c r="AK231" s="793">
        <f t="shared" si="194"/>
        <v>492813</v>
      </c>
      <c r="AL231" s="793">
        <f t="shared" si="195"/>
        <v>365</v>
      </c>
      <c r="AM231" s="793">
        <f t="shared" si="196"/>
        <v>46817</v>
      </c>
      <c r="AN231" s="805">
        <f t="shared" si="197"/>
        <v>234085</v>
      </c>
      <c r="AO231" s="805">
        <f t="shared" si="198"/>
        <v>258728</v>
      </c>
      <c r="AP231" s="818">
        <f t="shared" si="199"/>
        <v>258728</v>
      </c>
      <c r="AQ231" s="818">
        <f t="shared" si="200"/>
        <v>492813</v>
      </c>
      <c r="AR231" s="818">
        <f t="shared" si="201"/>
        <v>366</v>
      </c>
      <c r="AS231" s="818">
        <f t="shared" si="202"/>
        <v>46946</v>
      </c>
      <c r="AT231" s="818">
        <f t="shared" si="203"/>
        <v>281031</v>
      </c>
      <c r="AU231" s="818">
        <f t="shared" si="204"/>
        <v>211782</v>
      </c>
      <c r="AV231" s="793">
        <f t="shared" si="205"/>
        <v>211782</v>
      </c>
      <c r="AW231" s="793">
        <f t="shared" si="206"/>
        <v>492813</v>
      </c>
      <c r="AX231" s="793">
        <f t="shared" si="207"/>
        <v>365</v>
      </c>
      <c r="AY231" s="793">
        <f t="shared" si="208"/>
        <v>46817</v>
      </c>
      <c r="AZ231" s="818">
        <f t="shared" si="209"/>
        <v>327848</v>
      </c>
      <c r="BA231" s="818">
        <f t="shared" si="210"/>
        <v>164965</v>
      </c>
    </row>
    <row r="232" spans="1:53" ht="15" customHeight="1" x14ac:dyDescent="0.25">
      <c r="A232" s="842" t="s">
        <v>133</v>
      </c>
      <c r="B232" s="843" t="s">
        <v>1267</v>
      </c>
      <c r="C232" s="778">
        <f t="shared" si="166"/>
        <v>9.5000000000000001E-2</v>
      </c>
      <c r="D232" s="844">
        <v>10</v>
      </c>
      <c r="E232" s="779" t="s">
        <v>1182</v>
      </c>
      <c r="F232" s="845">
        <v>43191</v>
      </c>
      <c r="G232" s="781">
        <f t="shared" si="167"/>
        <v>43191</v>
      </c>
      <c r="H232" s="781">
        <f t="shared" si="168"/>
        <v>46841</v>
      </c>
      <c r="I232" s="1359">
        <v>212511</v>
      </c>
      <c r="J232" s="805">
        <f t="shared" si="169"/>
        <v>10625.550000000001</v>
      </c>
      <c r="K232" s="1404"/>
      <c r="L232" s="1410">
        <v>0</v>
      </c>
      <c r="M232" s="793">
        <f t="shared" si="170"/>
        <v>212511</v>
      </c>
      <c r="N232" s="793">
        <f t="shared" si="171"/>
        <v>365</v>
      </c>
      <c r="O232" s="793">
        <f t="shared" si="172"/>
        <v>20189</v>
      </c>
      <c r="P232" s="793">
        <f t="shared" si="173"/>
        <v>20189</v>
      </c>
      <c r="Q232" s="1365">
        <f t="shared" si="174"/>
        <v>192322</v>
      </c>
      <c r="R232" s="1411">
        <f t="shared" si="175"/>
        <v>192322</v>
      </c>
      <c r="S232" s="793">
        <f t="shared" si="176"/>
        <v>212511</v>
      </c>
      <c r="T232" s="805">
        <f t="shared" si="177"/>
        <v>366</v>
      </c>
      <c r="U232" s="805">
        <f t="shared" si="178"/>
        <v>20189</v>
      </c>
      <c r="V232" s="793">
        <f t="shared" si="179"/>
        <v>40378</v>
      </c>
      <c r="W232" s="1365">
        <f t="shared" si="180"/>
        <v>172133</v>
      </c>
      <c r="X232" s="1410">
        <f t="shared" si="181"/>
        <v>172133</v>
      </c>
      <c r="Y232" s="805">
        <f t="shared" si="182"/>
        <v>212511</v>
      </c>
      <c r="Z232" s="805">
        <f t="shared" si="183"/>
        <v>365</v>
      </c>
      <c r="AA232" s="805">
        <f t="shared" si="184"/>
        <v>20189</v>
      </c>
      <c r="AB232" s="805">
        <f t="shared" si="185"/>
        <v>60567</v>
      </c>
      <c r="AC232" s="1360">
        <f t="shared" si="186"/>
        <v>151944</v>
      </c>
      <c r="AD232" s="1412">
        <f t="shared" si="187"/>
        <v>151944</v>
      </c>
      <c r="AE232" s="793">
        <f t="shared" si="188"/>
        <v>212511</v>
      </c>
      <c r="AF232" s="793">
        <f t="shared" si="189"/>
        <v>365</v>
      </c>
      <c r="AG232" s="793">
        <f t="shared" si="190"/>
        <v>20189</v>
      </c>
      <c r="AH232" s="805">
        <f t="shared" si="191"/>
        <v>80756</v>
      </c>
      <c r="AI232" s="805">
        <f t="shared" si="192"/>
        <v>131755</v>
      </c>
      <c r="AJ232" s="793">
        <f t="shared" si="193"/>
        <v>131755</v>
      </c>
      <c r="AK232" s="793">
        <f t="shared" si="194"/>
        <v>212511</v>
      </c>
      <c r="AL232" s="793">
        <f t="shared" si="195"/>
        <v>365</v>
      </c>
      <c r="AM232" s="793">
        <f t="shared" si="196"/>
        <v>20189</v>
      </c>
      <c r="AN232" s="805">
        <f t="shared" si="197"/>
        <v>100945</v>
      </c>
      <c r="AO232" s="805">
        <f t="shared" si="198"/>
        <v>111566</v>
      </c>
      <c r="AP232" s="818">
        <f t="shared" si="199"/>
        <v>111566</v>
      </c>
      <c r="AQ232" s="818">
        <f t="shared" si="200"/>
        <v>212511</v>
      </c>
      <c r="AR232" s="818">
        <f t="shared" si="201"/>
        <v>366</v>
      </c>
      <c r="AS232" s="818">
        <f t="shared" si="202"/>
        <v>20244</v>
      </c>
      <c r="AT232" s="818">
        <f t="shared" si="203"/>
        <v>121189</v>
      </c>
      <c r="AU232" s="818">
        <f t="shared" si="204"/>
        <v>91322</v>
      </c>
      <c r="AV232" s="793">
        <f t="shared" si="205"/>
        <v>91322</v>
      </c>
      <c r="AW232" s="793">
        <f t="shared" si="206"/>
        <v>212511</v>
      </c>
      <c r="AX232" s="793">
        <f t="shared" si="207"/>
        <v>365</v>
      </c>
      <c r="AY232" s="793">
        <f t="shared" si="208"/>
        <v>20189</v>
      </c>
      <c r="AZ232" s="818">
        <f t="shared" si="209"/>
        <v>141378</v>
      </c>
      <c r="BA232" s="818">
        <f t="shared" si="210"/>
        <v>71133</v>
      </c>
    </row>
    <row r="233" spans="1:53" ht="15" customHeight="1" x14ac:dyDescent="0.25">
      <c r="A233" s="842" t="s">
        <v>133</v>
      </c>
      <c r="B233" s="843" t="s">
        <v>1267</v>
      </c>
      <c r="C233" s="778">
        <f t="shared" si="166"/>
        <v>9.5000000000000001E-2</v>
      </c>
      <c r="D233" s="844">
        <v>10</v>
      </c>
      <c r="E233" s="779" t="s">
        <v>1182</v>
      </c>
      <c r="F233" s="845">
        <v>43191</v>
      </c>
      <c r="G233" s="781">
        <f t="shared" si="167"/>
        <v>43191</v>
      </c>
      <c r="H233" s="781">
        <f t="shared" si="168"/>
        <v>46841</v>
      </c>
      <c r="I233" s="1359">
        <v>327492</v>
      </c>
      <c r="J233" s="805">
        <f t="shared" si="169"/>
        <v>16374.6</v>
      </c>
      <c r="K233" s="1404"/>
      <c r="L233" s="1410">
        <v>0</v>
      </c>
      <c r="M233" s="793">
        <f t="shared" si="170"/>
        <v>327492</v>
      </c>
      <c r="N233" s="793">
        <f t="shared" si="171"/>
        <v>365</v>
      </c>
      <c r="O233" s="793">
        <f t="shared" si="172"/>
        <v>31112</v>
      </c>
      <c r="P233" s="793">
        <f t="shared" si="173"/>
        <v>31112</v>
      </c>
      <c r="Q233" s="1365">
        <f t="shared" si="174"/>
        <v>296380</v>
      </c>
      <c r="R233" s="1411">
        <f t="shared" si="175"/>
        <v>296380</v>
      </c>
      <c r="S233" s="793">
        <f t="shared" si="176"/>
        <v>327492</v>
      </c>
      <c r="T233" s="805">
        <f t="shared" si="177"/>
        <v>366</v>
      </c>
      <c r="U233" s="805">
        <f t="shared" si="178"/>
        <v>31112</v>
      </c>
      <c r="V233" s="793">
        <f t="shared" si="179"/>
        <v>62224</v>
      </c>
      <c r="W233" s="1365">
        <f t="shared" si="180"/>
        <v>265268</v>
      </c>
      <c r="X233" s="1410">
        <f t="shared" si="181"/>
        <v>265268</v>
      </c>
      <c r="Y233" s="805">
        <f t="shared" si="182"/>
        <v>327492</v>
      </c>
      <c r="Z233" s="805">
        <f t="shared" si="183"/>
        <v>365</v>
      </c>
      <c r="AA233" s="805">
        <f t="shared" si="184"/>
        <v>31112</v>
      </c>
      <c r="AB233" s="805">
        <f t="shared" si="185"/>
        <v>93336</v>
      </c>
      <c r="AC233" s="1360">
        <f t="shared" si="186"/>
        <v>234156</v>
      </c>
      <c r="AD233" s="1412">
        <f t="shared" si="187"/>
        <v>234156</v>
      </c>
      <c r="AE233" s="793">
        <f t="shared" si="188"/>
        <v>327492</v>
      </c>
      <c r="AF233" s="793">
        <f t="shared" si="189"/>
        <v>365</v>
      </c>
      <c r="AG233" s="793">
        <f t="shared" si="190"/>
        <v>31112</v>
      </c>
      <c r="AH233" s="805">
        <f t="shared" si="191"/>
        <v>124448</v>
      </c>
      <c r="AI233" s="805">
        <f t="shared" si="192"/>
        <v>203044</v>
      </c>
      <c r="AJ233" s="793">
        <f t="shared" si="193"/>
        <v>203044</v>
      </c>
      <c r="AK233" s="793">
        <f t="shared" si="194"/>
        <v>327492</v>
      </c>
      <c r="AL233" s="793">
        <f t="shared" si="195"/>
        <v>365</v>
      </c>
      <c r="AM233" s="793">
        <f t="shared" si="196"/>
        <v>31112</v>
      </c>
      <c r="AN233" s="805">
        <f t="shared" si="197"/>
        <v>155560</v>
      </c>
      <c r="AO233" s="805">
        <f t="shared" si="198"/>
        <v>171932</v>
      </c>
      <c r="AP233" s="818">
        <f t="shared" si="199"/>
        <v>171932</v>
      </c>
      <c r="AQ233" s="818">
        <f t="shared" si="200"/>
        <v>327492</v>
      </c>
      <c r="AR233" s="818">
        <f t="shared" si="201"/>
        <v>366</v>
      </c>
      <c r="AS233" s="818">
        <f t="shared" si="202"/>
        <v>31197</v>
      </c>
      <c r="AT233" s="818">
        <f t="shared" si="203"/>
        <v>186757</v>
      </c>
      <c r="AU233" s="818">
        <f t="shared" si="204"/>
        <v>140735</v>
      </c>
      <c r="AV233" s="793">
        <f t="shared" si="205"/>
        <v>140735</v>
      </c>
      <c r="AW233" s="793">
        <f t="shared" si="206"/>
        <v>327492</v>
      </c>
      <c r="AX233" s="793">
        <f t="shared" si="207"/>
        <v>365</v>
      </c>
      <c r="AY233" s="793">
        <f t="shared" si="208"/>
        <v>31112</v>
      </c>
      <c r="AZ233" s="818">
        <f t="shared" si="209"/>
        <v>217869</v>
      </c>
      <c r="BA233" s="818">
        <f t="shared" si="210"/>
        <v>109623</v>
      </c>
    </row>
    <row r="234" spans="1:53" ht="15" customHeight="1" x14ac:dyDescent="0.25">
      <c r="A234" s="842" t="s">
        <v>133</v>
      </c>
      <c r="B234" s="843" t="s">
        <v>1267</v>
      </c>
      <c r="C234" s="778">
        <f t="shared" si="166"/>
        <v>9.5000000000000001E-2</v>
      </c>
      <c r="D234" s="844">
        <v>10</v>
      </c>
      <c r="E234" s="779" t="s">
        <v>1182</v>
      </c>
      <c r="F234" s="845">
        <v>43191</v>
      </c>
      <c r="G234" s="781">
        <f t="shared" si="167"/>
        <v>43191</v>
      </c>
      <c r="H234" s="781">
        <f t="shared" si="168"/>
        <v>46841</v>
      </c>
      <c r="I234" s="1359">
        <v>103339</v>
      </c>
      <c r="J234" s="805">
        <f t="shared" si="169"/>
        <v>5166.9500000000007</v>
      </c>
      <c r="K234" s="1404"/>
      <c r="L234" s="1410">
        <v>0</v>
      </c>
      <c r="M234" s="793">
        <f t="shared" si="170"/>
        <v>103339</v>
      </c>
      <c r="N234" s="793">
        <f t="shared" si="171"/>
        <v>365</v>
      </c>
      <c r="O234" s="793">
        <f t="shared" si="172"/>
        <v>9817</v>
      </c>
      <c r="P234" s="793">
        <f t="shared" si="173"/>
        <v>9817</v>
      </c>
      <c r="Q234" s="1365">
        <f t="shared" si="174"/>
        <v>93522</v>
      </c>
      <c r="R234" s="1411">
        <f t="shared" si="175"/>
        <v>93522</v>
      </c>
      <c r="S234" s="793">
        <f t="shared" si="176"/>
        <v>103339</v>
      </c>
      <c r="T234" s="805">
        <f t="shared" si="177"/>
        <v>366</v>
      </c>
      <c r="U234" s="805">
        <f t="shared" si="178"/>
        <v>9817</v>
      </c>
      <c r="V234" s="793">
        <f t="shared" si="179"/>
        <v>19634</v>
      </c>
      <c r="W234" s="1365">
        <f t="shared" si="180"/>
        <v>83705</v>
      </c>
      <c r="X234" s="1410">
        <f t="shared" si="181"/>
        <v>83705</v>
      </c>
      <c r="Y234" s="805">
        <f t="shared" si="182"/>
        <v>103339</v>
      </c>
      <c r="Z234" s="805">
        <f t="shared" si="183"/>
        <v>365</v>
      </c>
      <c r="AA234" s="805">
        <f t="shared" si="184"/>
        <v>9817</v>
      </c>
      <c r="AB234" s="805">
        <f t="shared" si="185"/>
        <v>29451</v>
      </c>
      <c r="AC234" s="1360">
        <f t="shared" si="186"/>
        <v>73888</v>
      </c>
      <c r="AD234" s="1412">
        <f t="shared" si="187"/>
        <v>73888</v>
      </c>
      <c r="AE234" s="793">
        <f t="shared" si="188"/>
        <v>103339</v>
      </c>
      <c r="AF234" s="793">
        <f t="shared" si="189"/>
        <v>365</v>
      </c>
      <c r="AG234" s="793">
        <f t="shared" si="190"/>
        <v>9817</v>
      </c>
      <c r="AH234" s="805">
        <f t="shared" si="191"/>
        <v>39268</v>
      </c>
      <c r="AI234" s="805">
        <f t="shared" si="192"/>
        <v>64071</v>
      </c>
      <c r="AJ234" s="793">
        <f t="shared" si="193"/>
        <v>64071</v>
      </c>
      <c r="AK234" s="793">
        <f t="shared" si="194"/>
        <v>103339</v>
      </c>
      <c r="AL234" s="793">
        <f t="shared" si="195"/>
        <v>365</v>
      </c>
      <c r="AM234" s="793">
        <f t="shared" si="196"/>
        <v>9817</v>
      </c>
      <c r="AN234" s="805">
        <f t="shared" si="197"/>
        <v>49085</v>
      </c>
      <c r="AO234" s="805">
        <f t="shared" si="198"/>
        <v>54254</v>
      </c>
      <c r="AP234" s="818">
        <f t="shared" si="199"/>
        <v>54254</v>
      </c>
      <c r="AQ234" s="818">
        <f t="shared" si="200"/>
        <v>103339</v>
      </c>
      <c r="AR234" s="818">
        <f t="shared" si="201"/>
        <v>366</v>
      </c>
      <c r="AS234" s="818">
        <f t="shared" si="202"/>
        <v>9844</v>
      </c>
      <c r="AT234" s="818">
        <f t="shared" si="203"/>
        <v>58929</v>
      </c>
      <c r="AU234" s="818">
        <f t="shared" si="204"/>
        <v>44410</v>
      </c>
      <c r="AV234" s="793">
        <f t="shared" si="205"/>
        <v>44410</v>
      </c>
      <c r="AW234" s="793">
        <f t="shared" si="206"/>
        <v>103339</v>
      </c>
      <c r="AX234" s="793">
        <f t="shared" si="207"/>
        <v>365</v>
      </c>
      <c r="AY234" s="793">
        <f t="shared" si="208"/>
        <v>9817</v>
      </c>
      <c r="AZ234" s="818">
        <f t="shared" si="209"/>
        <v>68746</v>
      </c>
      <c r="BA234" s="818">
        <f t="shared" si="210"/>
        <v>34593</v>
      </c>
    </row>
    <row r="235" spans="1:53" ht="15" customHeight="1" x14ac:dyDescent="0.25">
      <c r="A235" s="842" t="s">
        <v>133</v>
      </c>
      <c r="B235" s="843" t="s">
        <v>1267</v>
      </c>
      <c r="C235" s="778">
        <f t="shared" si="166"/>
        <v>9.5000000000000001E-2</v>
      </c>
      <c r="D235" s="844">
        <v>10</v>
      </c>
      <c r="E235" s="779" t="s">
        <v>1182</v>
      </c>
      <c r="F235" s="845">
        <v>43191</v>
      </c>
      <c r="G235" s="781">
        <f t="shared" si="167"/>
        <v>43191</v>
      </c>
      <c r="H235" s="781">
        <f t="shared" si="168"/>
        <v>46841</v>
      </c>
      <c r="I235" s="1359">
        <v>93750</v>
      </c>
      <c r="J235" s="805">
        <f t="shared" si="169"/>
        <v>4687.5</v>
      </c>
      <c r="K235" s="1404"/>
      <c r="L235" s="1410">
        <v>0</v>
      </c>
      <c r="M235" s="793">
        <f t="shared" si="170"/>
        <v>93750</v>
      </c>
      <c r="N235" s="793">
        <f t="shared" si="171"/>
        <v>365</v>
      </c>
      <c r="O235" s="793">
        <f t="shared" si="172"/>
        <v>8906</v>
      </c>
      <c r="P235" s="793">
        <f t="shared" si="173"/>
        <v>8906</v>
      </c>
      <c r="Q235" s="1365">
        <f t="shared" si="174"/>
        <v>84844</v>
      </c>
      <c r="R235" s="1411">
        <f t="shared" si="175"/>
        <v>84844</v>
      </c>
      <c r="S235" s="793">
        <f t="shared" si="176"/>
        <v>93750</v>
      </c>
      <c r="T235" s="805">
        <f t="shared" si="177"/>
        <v>366</v>
      </c>
      <c r="U235" s="805">
        <f t="shared" si="178"/>
        <v>8906</v>
      </c>
      <c r="V235" s="793">
        <f t="shared" si="179"/>
        <v>17812</v>
      </c>
      <c r="W235" s="1365">
        <f t="shared" si="180"/>
        <v>75938</v>
      </c>
      <c r="X235" s="1410">
        <f t="shared" si="181"/>
        <v>75938</v>
      </c>
      <c r="Y235" s="805">
        <f t="shared" si="182"/>
        <v>93750</v>
      </c>
      <c r="Z235" s="805">
        <f t="shared" si="183"/>
        <v>365</v>
      </c>
      <c r="AA235" s="805">
        <f t="shared" si="184"/>
        <v>8906</v>
      </c>
      <c r="AB235" s="805">
        <f t="shared" si="185"/>
        <v>26718</v>
      </c>
      <c r="AC235" s="1360">
        <f t="shared" si="186"/>
        <v>67032</v>
      </c>
      <c r="AD235" s="1412">
        <f t="shared" si="187"/>
        <v>67032</v>
      </c>
      <c r="AE235" s="793">
        <f t="shared" si="188"/>
        <v>93750</v>
      </c>
      <c r="AF235" s="793">
        <f t="shared" si="189"/>
        <v>365</v>
      </c>
      <c r="AG235" s="793">
        <f t="shared" si="190"/>
        <v>8906</v>
      </c>
      <c r="AH235" s="805">
        <f t="shared" si="191"/>
        <v>35624</v>
      </c>
      <c r="AI235" s="805">
        <f t="shared" si="192"/>
        <v>58126</v>
      </c>
      <c r="AJ235" s="793">
        <f t="shared" si="193"/>
        <v>58126</v>
      </c>
      <c r="AK235" s="793">
        <f t="shared" si="194"/>
        <v>93750</v>
      </c>
      <c r="AL235" s="793">
        <f t="shared" si="195"/>
        <v>365</v>
      </c>
      <c r="AM235" s="793">
        <f t="shared" si="196"/>
        <v>8906</v>
      </c>
      <c r="AN235" s="805">
        <f t="shared" si="197"/>
        <v>44530</v>
      </c>
      <c r="AO235" s="805">
        <f t="shared" si="198"/>
        <v>49220</v>
      </c>
      <c r="AP235" s="818">
        <f t="shared" si="199"/>
        <v>49220</v>
      </c>
      <c r="AQ235" s="818">
        <f t="shared" si="200"/>
        <v>93750</v>
      </c>
      <c r="AR235" s="818">
        <f t="shared" si="201"/>
        <v>366</v>
      </c>
      <c r="AS235" s="818">
        <f t="shared" si="202"/>
        <v>8931</v>
      </c>
      <c r="AT235" s="818">
        <f t="shared" si="203"/>
        <v>53461</v>
      </c>
      <c r="AU235" s="818">
        <f t="shared" si="204"/>
        <v>40289</v>
      </c>
      <c r="AV235" s="793">
        <f t="shared" si="205"/>
        <v>40289</v>
      </c>
      <c r="AW235" s="793">
        <f t="shared" si="206"/>
        <v>93750</v>
      </c>
      <c r="AX235" s="793">
        <f t="shared" si="207"/>
        <v>365</v>
      </c>
      <c r="AY235" s="793">
        <f t="shared" si="208"/>
        <v>8906</v>
      </c>
      <c r="AZ235" s="818">
        <f t="shared" si="209"/>
        <v>62367</v>
      </c>
      <c r="BA235" s="818">
        <f t="shared" si="210"/>
        <v>31383</v>
      </c>
    </row>
    <row r="236" spans="1:53" ht="15" customHeight="1" x14ac:dyDescent="0.25">
      <c r="A236" s="842" t="s">
        <v>133</v>
      </c>
      <c r="B236" s="843" t="s">
        <v>1267</v>
      </c>
      <c r="C236" s="778">
        <f t="shared" si="166"/>
        <v>9.5000000000000001E-2</v>
      </c>
      <c r="D236" s="844">
        <v>10</v>
      </c>
      <c r="E236" s="779" t="s">
        <v>1182</v>
      </c>
      <c r="F236" s="845">
        <v>43191</v>
      </c>
      <c r="G236" s="781">
        <f t="shared" si="167"/>
        <v>43191</v>
      </c>
      <c r="H236" s="781">
        <f t="shared" si="168"/>
        <v>46841</v>
      </c>
      <c r="I236" s="1359">
        <v>4107638</v>
      </c>
      <c r="J236" s="805">
        <f t="shared" si="169"/>
        <v>205381.90000000002</v>
      </c>
      <c r="K236" s="1404"/>
      <c r="L236" s="1410">
        <v>0</v>
      </c>
      <c r="M236" s="793">
        <f t="shared" si="170"/>
        <v>4107638</v>
      </c>
      <c r="N236" s="793">
        <f t="shared" si="171"/>
        <v>365</v>
      </c>
      <c r="O236" s="793">
        <f t="shared" si="172"/>
        <v>390226</v>
      </c>
      <c r="P236" s="793">
        <f t="shared" si="173"/>
        <v>390226</v>
      </c>
      <c r="Q236" s="1365">
        <f t="shared" si="174"/>
        <v>3717412</v>
      </c>
      <c r="R236" s="1411">
        <f t="shared" si="175"/>
        <v>3717412</v>
      </c>
      <c r="S236" s="793">
        <f t="shared" si="176"/>
        <v>4107638</v>
      </c>
      <c r="T236" s="805">
        <f t="shared" si="177"/>
        <v>366</v>
      </c>
      <c r="U236" s="805">
        <f t="shared" si="178"/>
        <v>390226</v>
      </c>
      <c r="V236" s="793">
        <f t="shared" si="179"/>
        <v>780452</v>
      </c>
      <c r="W236" s="1365">
        <f t="shared" si="180"/>
        <v>3327186</v>
      </c>
      <c r="X236" s="1410">
        <f t="shared" si="181"/>
        <v>3327186</v>
      </c>
      <c r="Y236" s="805">
        <f t="shared" si="182"/>
        <v>4107638</v>
      </c>
      <c r="Z236" s="805">
        <f t="shared" si="183"/>
        <v>365</v>
      </c>
      <c r="AA236" s="805">
        <f t="shared" si="184"/>
        <v>390226</v>
      </c>
      <c r="AB236" s="805">
        <f t="shared" si="185"/>
        <v>1170678</v>
      </c>
      <c r="AC236" s="1360">
        <f t="shared" si="186"/>
        <v>2936960</v>
      </c>
      <c r="AD236" s="1412">
        <f t="shared" si="187"/>
        <v>2936960</v>
      </c>
      <c r="AE236" s="793">
        <f t="shared" si="188"/>
        <v>4107638</v>
      </c>
      <c r="AF236" s="793">
        <f t="shared" si="189"/>
        <v>365</v>
      </c>
      <c r="AG236" s="793">
        <f t="shared" si="190"/>
        <v>390226</v>
      </c>
      <c r="AH236" s="805">
        <f t="shared" si="191"/>
        <v>1560904</v>
      </c>
      <c r="AI236" s="805">
        <f t="shared" si="192"/>
        <v>2546734</v>
      </c>
      <c r="AJ236" s="793">
        <f t="shared" si="193"/>
        <v>2546734</v>
      </c>
      <c r="AK236" s="793">
        <f t="shared" si="194"/>
        <v>4107638</v>
      </c>
      <c r="AL236" s="793">
        <f t="shared" si="195"/>
        <v>365</v>
      </c>
      <c r="AM236" s="793">
        <f t="shared" si="196"/>
        <v>390226</v>
      </c>
      <c r="AN236" s="805">
        <f t="shared" si="197"/>
        <v>1951130</v>
      </c>
      <c r="AO236" s="805">
        <f t="shared" si="198"/>
        <v>2156508</v>
      </c>
      <c r="AP236" s="818">
        <f t="shared" si="199"/>
        <v>2156508</v>
      </c>
      <c r="AQ236" s="818">
        <f t="shared" si="200"/>
        <v>4107638</v>
      </c>
      <c r="AR236" s="818">
        <f t="shared" si="201"/>
        <v>366</v>
      </c>
      <c r="AS236" s="818">
        <f t="shared" si="202"/>
        <v>391295</v>
      </c>
      <c r="AT236" s="818">
        <f t="shared" si="203"/>
        <v>2342425</v>
      </c>
      <c r="AU236" s="818">
        <f t="shared" si="204"/>
        <v>1765213</v>
      </c>
      <c r="AV236" s="793">
        <f t="shared" si="205"/>
        <v>1765213</v>
      </c>
      <c r="AW236" s="793">
        <f t="shared" si="206"/>
        <v>4107638</v>
      </c>
      <c r="AX236" s="793">
        <f t="shared" si="207"/>
        <v>365</v>
      </c>
      <c r="AY236" s="793">
        <f t="shared" si="208"/>
        <v>390226</v>
      </c>
      <c r="AZ236" s="818">
        <f t="shared" si="209"/>
        <v>2732651</v>
      </c>
      <c r="BA236" s="818">
        <f t="shared" si="210"/>
        <v>1374987</v>
      </c>
    </row>
    <row r="237" spans="1:53" ht="15" customHeight="1" x14ac:dyDescent="0.25">
      <c r="A237" s="842" t="s">
        <v>133</v>
      </c>
      <c r="B237" s="843" t="s">
        <v>1267</v>
      </c>
      <c r="C237" s="778">
        <f t="shared" si="166"/>
        <v>9.5000000000000001E-2</v>
      </c>
      <c r="D237" s="844">
        <v>10</v>
      </c>
      <c r="E237" s="779" t="s">
        <v>1182</v>
      </c>
      <c r="F237" s="845">
        <v>43191</v>
      </c>
      <c r="G237" s="781">
        <f t="shared" si="167"/>
        <v>43191</v>
      </c>
      <c r="H237" s="781">
        <f t="shared" si="168"/>
        <v>46841</v>
      </c>
      <c r="I237" s="1359">
        <v>54220</v>
      </c>
      <c r="J237" s="805">
        <f t="shared" si="169"/>
        <v>2711</v>
      </c>
      <c r="K237" s="1404"/>
      <c r="L237" s="1410">
        <v>0</v>
      </c>
      <c r="M237" s="793">
        <f t="shared" si="170"/>
        <v>54220</v>
      </c>
      <c r="N237" s="793">
        <f t="shared" si="171"/>
        <v>365</v>
      </c>
      <c r="O237" s="793">
        <f t="shared" si="172"/>
        <v>5151</v>
      </c>
      <c r="P237" s="793">
        <f t="shared" si="173"/>
        <v>5151</v>
      </c>
      <c r="Q237" s="1365">
        <f t="shared" si="174"/>
        <v>49069</v>
      </c>
      <c r="R237" s="1411">
        <f t="shared" si="175"/>
        <v>49069</v>
      </c>
      <c r="S237" s="793">
        <f t="shared" si="176"/>
        <v>54220</v>
      </c>
      <c r="T237" s="805">
        <f t="shared" si="177"/>
        <v>366</v>
      </c>
      <c r="U237" s="805">
        <f t="shared" si="178"/>
        <v>5151</v>
      </c>
      <c r="V237" s="793">
        <f t="shared" si="179"/>
        <v>10302</v>
      </c>
      <c r="W237" s="1365">
        <f t="shared" si="180"/>
        <v>43918</v>
      </c>
      <c r="X237" s="1410">
        <f t="shared" si="181"/>
        <v>43918</v>
      </c>
      <c r="Y237" s="805">
        <f t="shared" si="182"/>
        <v>54220</v>
      </c>
      <c r="Z237" s="805">
        <f t="shared" si="183"/>
        <v>365</v>
      </c>
      <c r="AA237" s="805">
        <f t="shared" si="184"/>
        <v>5151</v>
      </c>
      <c r="AB237" s="805">
        <f t="shared" si="185"/>
        <v>15453</v>
      </c>
      <c r="AC237" s="1360">
        <f t="shared" si="186"/>
        <v>38767</v>
      </c>
      <c r="AD237" s="1412">
        <f t="shared" si="187"/>
        <v>38767</v>
      </c>
      <c r="AE237" s="793">
        <f t="shared" si="188"/>
        <v>54220</v>
      </c>
      <c r="AF237" s="793">
        <f t="shared" si="189"/>
        <v>365</v>
      </c>
      <c r="AG237" s="793">
        <f t="shared" si="190"/>
        <v>5151</v>
      </c>
      <c r="AH237" s="805">
        <f t="shared" si="191"/>
        <v>20604</v>
      </c>
      <c r="AI237" s="805">
        <f t="shared" si="192"/>
        <v>33616</v>
      </c>
      <c r="AJ237" s="793">
        <f t="shared" si="193"/>
        <v>33616</v>
      </c>
      <c r="AK237" s="793">
        <f t="shared" si="194"/>
        <v>54220</v>
      </c>
      <c r="AL237" s="793">
        <f t="shared" si="195"/>
        <v>365</v>
      </c>
      <c r="AM237" s="793">
        <f t="shared" si="196"/>
        <v>5151</v>
      </c>
      <c r="AN237" s="805">
        <f t="shared" si="197"/>
        <v>25755</v>
      </c>
      <c r="AO237" s="805">
        <f t="shared" si="198"/>
        <v>28465</v>
      </c>
      <c r="AP237" s="818">
        <f t="shared" si="199"/>
        <v>28465</v>
      </c>
      <c r="AQ237" s="818">
        <f t="shared" si="200"/>
        <v>54220</v>
      </c>
      <c r="AR237" s="818">
        <f t="shared" si="201"/>
        <v>366</v>
      </c>
      <c r="AS237" s="818">
        <f t="shared" si="202"/>
        <v>5165</v>
      </c>
      <c r="AT237" s="818">
        <f t="shared" si="203"/>
        <v>30920</v>
      </c>
      <c r="AU237" s="818">
        <f t="shared" si="204"/>
        <v>23300</v>
      </c>
      <c r="AV237" s="793">
        <f t="shared" si="205"/>
        <v>23300</v>
      </c>
      <c r="AW237" s="793">
        <f t="shared" si="206"/>
        <v>54220</v>
      </c>
      <c r="AX237" s="793">
        <f t="shared" si="207"/>
        <v>365</v>
      </c>
      <c r="AY237" s="793">
        <f t="shared" si="208"/>
        <v>5151</v>
      </c>
      <c r="AZ237" s="818">
        <f t="shared" si="209"/>
        <v>36071</v>
      </c>
      <c r="BA237" s="818">
        <f t="shared" si="210"/>
        <v>18149</v>
      </c>
    </row>
    <row r="238" spans="1:53" ht="15" customHeight="1" x14ac:dyDescent="0.25">
      <c r="A238" s="842" t="s">
        <v>133</v>
      </c>
      <c r="B238" s="843" t="s">
        <v>1267</v>
      </c>
      <c r="C238" s="778">
        <f t="shared" si="166"/>
        <v>9.5000000000000001E-2</v>
      </c>
      <c r="D238" s="844">
        <v>10</v>
      </c>
      <c r="E238" s="779" t="s">
        <v>1182</v>
      </c>
      <c r="F238" s="845">
        <v>43191</v>
      </c>
      <c r="G238" s="781">
        <f t="shared" si="167"/>
        <v>43191</v>
      </c>
      <c r="H238" s="781">
        <f t="shared" si="168"/>
        <v>46841</v>
      </c>
      <c r="I238" s="1359">
        <v>22599.200000000001</v>
      </c>
      <c r="J238" s="805">
        <f t="shared" si="169"/>
        <v>1129.96</v>
      </c>
      <c r="K238" s="1404"/>
      <c r="L238" s="1410">
        <v>0</v>
      </c>
      <c r="M238" s="793">
        <f t="shared" si="170"/>
        <v>22599.200000000001</v>
      </c>
      <c r="N238" s="793">
        <f t="shared" si="171"/>
        <v>365</v>
      </c>
      <c r="O238" s="793">
        <f t="shared" si="172"/>
        <v>2147</v>
      </c>
      <c r="P238" s="793">
        <f t="shared" si="173"/>
        <v>2147</v>
      </c>
      <c r="Q238" s="1365">
        <f t="shared" si="174"/>
        <v>20452.2</v>
      </c>
      <c r="R238" s="1411">
        <f t="shared" si="175"/>
        <v>20452.2</v>
      </c>
      <c r="S238" s="793">
        <f t="shared" si="176"/>
        <v>22599.200000000001</v>
      </c>
      <c r="T238" s="805">
        <f t="shared" si="177"/>
        <v>366</v>
      </c>
      <c r="U238" s="805">
        <f t="shared" si="178"/>
        <v>2147</v>
      </c>
      <c r="V238" s="793">
        <f t="shared" si="179"/>
        <v>4294</v>
      </c>
      <c r="W238" s="1365">
        <f t="shared" si="180"/>
        <v>18305.2</v>
      </c>
      <c r="X238" s="1410">
        <f t="shared" si="181"/>
        <v>18305.2</v>
      </c>
      <c r="Y238" s="805">
        <f t="shared" si="182"/>
        <v>22599.200000000001</v>
      </c>
      <c r="Z238" s="805">
        <f t="shared" si="183"/>
        <v>365</v>
      </c>
      <c r="AA238" s="805">
        <f t="shared" si="184"/>
        <v>2147</v>
      </c>
      <c r="AB238" s="805">
        <f t="shared" si="185"/>
        <v>6441</v>
      </c>
      <c r="AC238" s="1360">
        <f t="shared" si="186"/>
        <v>16158.2</v>
      </c>
      <c r="AD238" s="1412">
        <f t="shared" si="187"/>
        <v>16158.2</v>
      </c>
      <c r="AE238" s="793">
        <f t="shared" si="188"/>
        <v>22599.200000000001</v>
      </c>
      <c r="AF238" s="793">
        <f t="shared" si="189"/>
        <v>365</v>
      </c>
      <c r="AG238" s="793">
        <f t="shared" si="190"/>
        <v>2147</v>
      </c>
      <c r="AH238" s="805">
        <f t="shared" si="191"/>
        <v>8588</v>
      </c>
      <c r="AI238" s="805">
        <f t="shared" si="192"/>
        <v>14011.2</v>
      </c>
      <c r="AJ238" s="793">
        <f t="shared" si="193"/>
        <v>14011.2</v>
      </c>
      <c r="AK238" s="793">
        <f t="shared" si="194"/>
        <v>22599.200000000001</v>
      </c>
      <c r="AL238" s="793">
        <f t="shared" si="195"/>
        <v>365</v>
      </c>
      <c r="AM238" s="793">
        <f t="shared" si="196"/>
        <v>2147</v>
      </c>
      <c r="AN238" s="805">
        <f t="shared" si="197"/>
        <v>10735</v>
      </c>
      <c r="AO238" s="805">
        <f t="shared" si="198"/>
        <v>11864.2</v>
      </c>
      <c r="AP238" s="818">
        <f t="shared" si="199"/>
        <v>11864.2</v>
      </c>
      <c r="AQ238" s="818">
        <f t="shared" si="200"/>
        <v>22599.200000000001</v>
      </c>
      <c r="AR238" s="818">
        <f t="shared" si="201"/>
        <v>366</v>
      </c>
      <c r="AS238" s="818">
        <f t="shared" si="202"/>
        <v>2153</v>
      </c>
      <c r="AT238" s="818">
        <f t="shared" si="203"/>
        <v>12888</v>
      </c>
      <c r="AU238" s="818">
        <f t="shared" si="204"/>
        <v>9711.2000000000007</v>
      </c>
      <c r="AV238" s="793">
        <f t="shared" si="205"/>
        <v>9711.2000000000007</v>
      </c>
      <c r="AW238" s="793">
        <f t="shared" si="206"/>
        <v>22599.200000000001</v>
      </c>
      <c r="AX238" s="793">
        <f t="shared" si="207"/>
        <v>365</v>
      </c>
      <c r="AY238" s="793">
        <f t="shared" si="208"/>
        <v>2147</v>
      </c>
      <c r="AZ238" s="818">
        <f t="shared" si="209"/>
        <v>15035</v>
      </c>
      <c r="BA238" s="818">
        <f t="shared" si="210"/>
        <v>7564.2000000000007</v>
      </c>
    </row>
    <row r="239" spans="1:53" ht="15" customHeight="1" x14ac:dyDescent="0.25">
      <c r="A239" s="842" t="s">
        <v>133</v>
      </c>
      <c r="B239" s="843" t="s">
        <v>1267</v>
      </c>
      <c r="C239" s="778">
        <f t="shared" si="166"/>
        <v>9.5000000000000001E-2</v>
      </c>
      <c r="D239" s="844">
        <v>10</v>
      </c>
      <c r="E239" s="779" t="s">
        <v>1182</v>
      </c>
      <c r="F239" s="845">
        <v>43191</v>
      </c>
      <c r="G239" s="781">
        <f t="shared" si="167"/>
        <v>43191</v>
      </c>
      <c r="H239" s="781">
        <f t="shared" si="168"/>
        <v>46841</v>
      </c>
      <c r="I239" s="1359">
        <v>25119</v>
      </c>
      <c r="J239" s="805">
        <f t="shared" si="169"/>
        <v>1255.95</v>
      </c>
      <c r="K239" s="1404"/>
      <c r="L239" s="1410">
        <v>0</v>
      </c>
      <c r="M239" s="793">
        <f t="shared" si="170"/>
        <v>25119</v>
      </c>
      <c r="N239" s="793">
        <f t="shared" si="171"/>
        <v>365</v>
      </c>
      <c r="O239" s="793">
        <f t="shared" si="172"/>
        <v>2386</v>
      </c>
      <c r="P239" s="793">
        <f t="shared" si="173"/>
        <v>2386</v>
      </c>
      <c r="Q239" s="1365">
        <f t="shared" si="174"/>
        <v>22733</v>
      </c>
      <c r="R239" s="1411">
        <f t="shared" si="175"/>
        <v>22733</v>
      </c>
      <c r="S239" s="793">
        <f t="shared" si="176"/>
        <v>25119</v>
      </c>
      <c r="T239" s="805">
        <f t="shared" si="177"/>
        <v>366</v>
      </c>
      <c r="U239" s="805">
        <f t="shared" si="178"/>
        <v>2386</v>
      </c>
      <c r="V239" s="793">
        <f t="shared" si="179"/>
        <v>4772</v>
      </c>
      <c r="W239" s="1365">
        <f t="shared" si="180"/>
        <v>20347</v>
      </c>
      <c r="X239" s="1410">
        <f t="shared" si="181"/>
        <v>20347</v>
      </c>
      <c r="Y239" s="805">
        <f t="shared" si="182"/>
        <v>25119</v>
      </c>
      <c r="Z239" s="805">
        <f t="shared" si="183"/>
        <v>365</v>
      </c>
      <c r="AA239" s="805">
        <f t="shared" si="184"/>
        <v>2386</v>
      </c>
      <c r="AB239" s="805">
        <f t="shared" si="185"/>
        <v>7158</v>
      </c>
      <c r="AC239" s="1360">
        <f t="shared" si="186"/>
        <v>17961</v>
      </c>
      <c r="AD239" s="1412">
        <f t="shared" si="187"/>
        <v>17961</v>
      </c>
      <c r="AE239" s="793">
        <f t="shared" si="188"/>
        <v>25119</v>
      </c>
      <c r="AF239" s="793">
        <f t="shared" si="189"/>
        <v>365</v>
      </c>
      <c r="AG239" s="793">
        <f t="shared" si="190"/>
        <v>2386</v>
      </c>
      <c r="AH239" s="805">
        <f t="shared" si="191"/>
        <v>9544</v>
      </c>
      <c r="AI239" s="805">
        <f t="shared" si="192"/>
        <v>15575</v>
      </c>
      <c r="AJ239" s="793">
        <f t="shared" si="193"/>
        <v>15575</v>
      </c>
      <c r="AK239" s="793">
        <f t="shared" si="194"/>
        <v>25119</v>
      </c>
      <c r="AL239" s="793">
        <f t="shared" si="195"/>
        <v>365</v>
      </c>
      <c r="AM239" s="793">
        <f t="shared" si="196"/>
        <v>2386</v>
      </c>
      <c r="AN239" s="805">
        <f t="shared" si="197"/>
        <v>11930</v>
      </c>
      <c r="AO239" s="805">
        <f t="shared" si="198"/>
        <v>13189</v>
      </c>
      <c r="AP239" s="818">
        <f t="shared" si="199"/>
        <v>13189</v>
      </c>
      <c r="AQ239" s="818">
        <f t="shared" si="200"/>
        <v>25119</v>
      </c>
      <c r="AR239" s="818">
        <f t="shared" si="201"/>
        <v>366</v>
      </c>
      <c r="AS239" s="818">
        <f t="shared" si="202"/>
        <v>2393</v>
      </c>
      <c r="AT239" s="818">
        <f t="shared" si="203"/>
        <v>14323</v>
      </c>
      <c r="AU239" s="818">
        <f t="shared" si="204"/>
        <v>10796</v>
      </c>
      <c r="AV239" s="793">
        <f t="shared" si="205"/>
        <v>10796</v>
      </c>
      <c r="AW239" s="793">
        <f t="shared" si="206"/>
        <v>25119</v>
      </c>
      <c r="AX239" s="793">
        <f t="shared" si="207"/>
        <v>365</v>
      </c>
      <c r="AY239" s="793">
        <f t="shared" si="208"/>
        <v>2386</v>
      </c>
      <c r="AZ239" s="818">
        <f t="shared" si="209"/>
        <v>16709</v>
      </c>
      <c r="BA239" s="818">
        <f t="shared" si="210"/>
        <v>8410</v>
      </c>
    </row>
    <row r="240" spans="1:53" ht="15" customHeight="1" x14ac:dyDescent="0.25">
      <c r="A240" s="842" t="s">
        <v>133</v>
      </c>
      <c r="B240" s="843" t="s">
        <v>1267</v>
      </c>
      <c r="C240" s="778">
        <f t="shared" si="166"/>
        <v>9.5000000000000001E-2</v>
      </c>
      <c r="D240" s="844">
        <v>10</v>
      </c>
      <c r="E240" s="779" t="s">
        <v>1182</v>
      </c>
      <c r="F240" s="845">
        <v>43191</v>
      </c>
      <c r="G240" s="781">
        <f t="shared" si="167"/>
        <v>43191</v>
      </c>
      <c r="H240" s="781">
        <f t="shared" si="168"/>
        <v>46841</v>
      </c>
      <c r="I240" s="1359">
        <v>32500</v>
      </c>
      <c r="J240" s="805">
        <f t="shared" si="169"/>
        <v>1625</v>
      </c>
      <c r="K240" s="1404"/>
      <c r="L240" s="1410">
        <v>0</v>
      </c>
      <c r="M240" s="793">
        <f t="shared" si="170"/>
        <v>32500</v>
      </c>
      <c r="N240" s="793">
        <f t="shared" si="171"/>
        <v>365</v>
      </c>
      <c r="O240" s="793">
        <f t="shared" si="172"/>
        <v>3088</v>
      </c>
      <c r="P240" s="793">
        <f t="shared" si="173"/>
        <v>3088</v>
      </c>
      <c r="Q240" s="1365">
        <f t="shared" si="174"/>
        <v>29412</v>
      </c>
      <c r="R240" s="1411">
        <f t="shared" si="175"/>
        <v>29412</v>
      </c>
      <c r="S240" s="793">
        <f t="shared" si="176"/>
        <v>32500</v>
      </c>
      <c r="T240" s="805">
        <f t="shared" si="177"/>
        <v>366</v>
      </c>
      <c r="U240" s="805">
        <f t="shared" si="178"/>
        <v>3088</v>
      </c>
      <c r="V240" s="793">
        <f t="shared" si="179"/>
        <v>6176</v>
      </c>
      <c r="W240" s="1365">
        <f t="shared" si="180"/>
        <v>26324</v>
      </c>
      <c r="X240" s="1410">
        <f t="shared" si="181"/>
        <v>26324</v>
      </c>
      <c r="Y240" s="805">
        <f t="shared" si="182"/>
        <v>32500</v>
      </c>
      <c r="Z240" s="805">
        <f t="shared" si="183"/>
        <v>365</v>
      </c>
      <c r="AA240" s="805">
        <f t="shared" si="184"/>
        <v>3088</v>
      </c>
      <c r="AB240" s="805">
        <f t="shared" si="185"/>
        <v>9264</v>
      </c>
      <c r="AC240" s="1360">
        <f t="shared" si="186"/>
        <v>23236</v>
      </c>
      <c r="AD240" s="1412">
        <f t="shared" si="187"/>
        <v>23236</v>
      </c>
      <c r="AE240" s="793">
        <f t="shared" si="188"/>
        <v>32500</v>
      </c>
      <c r="AF240" s="793">
        <f t="shared" si="189"/>
        <v>365</v>
      </c>
      <c r="AG240" s="793">
        <f t="shared" si="190"/>
        <v>3088</v>
      </c>
      <c r="AH240" s="805">
        <f t="shared" si="191"/>
        <v>12352</v>
      </c>
      <c r="AI240" s="805">
        <f t="shared" si="192"/>
        <v>20148</v>
      </c>
      <c r="AJ240" s="793">
        <f t="shared" si="193"/>
        <v>20148</v>
      </c>
      <c r="AK240" s="793">
        <f t="shared" si="194"/>
        <v>32500</v>
      </c>
      <c r="AL240" s="793">
        <f t="shared" si="195"/>
        <v>365</v>
      </c>
      <c r="AM240" s="793">
        <f t="shared" si="196"/>
        <v>3088</v>
      </c>
      <c r="AN240" s="805">
        <f t="shared" si="197"/>
        <v>15440</v>
      </c>
      <c r="AO240" s="805">
        <f t="shared" si="198"/>
        <v>17060</v>
      </c>
      <c r="AP240" s="818">
        <f t="shared" si="199"/>
        <v>17060</v>
      </c>
      <c r="AQ240" s="818">
        <f t="shared" si="200"/>
        <v>32500</v>
      </c>
      <c r="AR240" s="818">
        <f t="shared" si="201"/>
        <v>366</v>
      </c>
      <c r="AS240" s="818">
        <f t="shared" si="202"/>
        <v>3096</v>
      </c>
      <c r="AT240" s="818">
        <f t="shared" si="203"/>
        <v>18536</v>
      </c>
      <c r="AU240" s="818">
        <f t="shared" si="204"/>
        <v>13964</v>
      </c>
      <c r="AV240" s="793">
        <f t="shared" si="205"/>
        <v>13964</v>
      </c>
      <c r="AW240" s="793">
        <f t="shared" si="206"/>
        <v>32500</v>
      </c>
      <c r="AX240" s="793">
        <f t="shared" si="207"/>
        <v>365</v>
      </c>
      <c r="AY240" s="793">
        <f t="shared" si="208"/>
        <v>3088</v>
      </c>
      <c r="AZ240" s="818">
        <f t="shared" si="209"/>
        <v>21624</v>
      </c>
      <c r="BA240" s="818">
        <f t="shared" si="210"/>
        <v>10876</v>
      </c>
    </row>
    <row r="241" spans="1:53" ht="15" customHeight="1" x14ac:dyDescent="0.25">
      <c r="A241" s="842" t="s">
        <v>133</v>
      </c>
      <c r="B241" s="843" t="s">
        <v>1268</v>
      </c>
      <c r="C241" s="778">
        <f t="shared" si="166"/>
        <v>9.5000000000000001E-2</v>
      </c>
      <c r="D241" s="844">
        <v>10</v>
      </c>
      <c r="E241" s="779" t="s">
        <v>1182</v>
      </c>
      <c r="F241" s="845">
        <v>43191</v>
      </c>
      <c r="G241" s="781">
        <f t="shared" si="167"/>
        <v>43191</v>
      </c>
      <c r="H241" s="781">
        <f t="shared" si="168"/>
        <v>46841</v>
      </c>
      <c r="I241" s="1359">
        <v>15150</v>
      </c>
      <c r="J241" s="805">
        <f t="shared" si="169"/>
        <v>757.5</v>
      </c>
      <c r="K241" s="1404"/>
      <c r="L241" s="1410">
        <v>0</v>
      </c>
      <c r="M241" s="793">
        <f t="shared" si="170"/>
        <v>15150</v>
      </c>
      <c r="N241" s="793">
        <f t="shared" si="171"/>
        <v>365</v>
      </c>
      <c r="O241" s="793">
        <f t="shared" si="172"/>
        <v>1439</v>
      </c>
      <c r="P241" s="793">
        <f t="shared" si="173"/>
        <v>1439</v>
      </c>
      <c r="Q241" s="1365">
        <f t="shared" si="174"/>
        <v>13711</v>
      </c>
      <c r="R241" s="1411">
        <f t="shared" si="175"/>
        <v>13711</v>
      </c>
      <c r="S241" s="793">
        <f t="shared" si="176"/>
        <v>15150</v>
      </c>
      <c r="T241" s="805">
        <f t="shared" si="177"/>
        <v>366</v>
      </c>
      <c r="U241" s="805">
        <f t="shared" si="178"/>
        <v>1439</v>
      </c>
      <c r="V241" s="793">
        <f t="shared" si="179"/>
        <v>2878</v>
      </c>
      <c r="W241" s="1365">
        <f t="shared" si="180"/>
        <v>12272</v>
      </c>
      <c r="X241" s="1410">
        <f t="shared" si="181"/>
        <v>12272</v>
      </c>
      <c r="Y241" s="805">
        <f t="shared" si="182"/>
        <v>15150</v>
      </c>
      <c r="Z241" s="805">
        <f t="shared" si="183"/>
        <v>365</v>
      </c>
      <c r="AA241" s="805">
        <f t="shared" si="184"/>
        <v>1439</v>
      </c>
      <c r="AB241" s="805">
        <f t="shared" si="185"/>
        <v>4317</v>
      </c>
      <c r="AC241" s="1360">
        <f t="shared" si="186"/>
        <v>10833</v>
      </c>
      <c r="AD241" s="1412">
        <f t="shared" si="187"/>
        <v>10833</v>
      </c>
      <c r="AE241" s="793">
        <f t="shared" si="188"/>
        <v>15150</v>
      </c>
      <c r="AF241" s="793">
        <f t="shared" si="189"/>
        <v>365</v>
      </c>
      <c r="AG241" s="793">
        <f t="shared" si="190"/>
        <v>1439</v>
      </c>
      <c r="AH241" s="805">
        <f t="shared" si="191"/>
        <v>5756</v>
      </c>
      <c r="AI241" s="805">
        <f t="shared" si="192"/>
        <v>9394</v>
      </c>
      <c r="AJ241" s="793">
        <f t="shared" si="193"/>
        <v>9394</v>
      </c>
      <c r="AK241" s="793">
        <f t="shared" si="194"/>
        <v>15150</v>
      </c>
      <c r="AL241" s="793">
        <f t="shared" si="195"/>
        <v>365</v>
      </c>
      <c r="AM241" s="793">
        <f t="shared" si="196"/>
        <v>1439</v>
      </c>
      <c r="AN241" s="805">
        <f t="shared" si="197"/>
        <v>7195</v>
      </c>
      <c r="AO241" s="805">
        <f t="shared" si="198"/>
        <v>7955</v>
      </c>
      <c r="AP241" s="818">
        <f t="shared" si="199"/>
        <v>7955</v>
      </c>
      <c r="AQ241" s="818">
        <f t="shared" si="200"/>
        <v>15150</v>
      </c>
      <c r="AR241" s="818">
        <f t="shared" si="201"/>
        <v>366</v>
      </c>
      <c r="AS241" s="818">
        <f t="shared" si="202"/>
        <v>1443</v>
      </c>
      <c r="AT241" s="818">
        <f t="shared" si="203"/>
        <v>8638</v>
      </c>
      <c r="AU241" s="818">
        <f t="shared" si="204"/>
        <v>6512</v>
      </c>
      <c r="AV241" s="793">
        <f t="shared" si="205"/>
        <v>6512</v>
      </c>
      <c r="AW241" s="793">
        <f t="shared" si="206"/>
        <v>15150</v>
      </c>
      <c r="AX241" s="793">
        <f t="shared" si="207"/>
        <v>365</v>
      </c>
      <c r="AY241" s="793">
        <f t="shared" si="208"/>
        <v>1439</v>
      </c>
      <c r="AZ241" s="818">
        <f t="shared" si="209"/>
        <v>10077</v>
      </c>
      <c r="BA241" s="818">
        <f t="shared" si="210"/>
        <v>5073</v>
      </c>
    </row>
    <row r="242" spans="1:53" ht="15" customHeight="1" x14ac:dyDescent="0.25">
      <c r="A242" s="842" t="s">
        <v>133</v>
      </c>
      <c r="B242" s="843" t="s">
        <v>1267</v>
      </c>
      <c r="C242" s="778">
        <f t="shared" si="166"/>
        <v>9.5000000000000001E-2</v>
      </c>
      <c r="D242" s="844">
        <v>10</v>
      </c>
      <c r="E242" s="779" t="s">
        <v>1182</v>
      </c>
      <c r="F242" s="845">
        <v>43191</v>
      </c>
      <c r="G242" s="781">
        <f t="shared" si="167"/>
        <v>43191</v>
      </c>
      <c r="H242" s="781">
        <f t="shared" si="168"/>
        <v>46841</v>
      </c>
      <c r="I242" s="1359">
        <v>30620</v>
      </c>
      <c r="J242" s="805">
        <f t="shared" si="169"/>
        <v>1531</v>
      </c>
      <c r="K242" s="1404"/>
      <c r="L242" s="1410">
        <v>0</v>
      </c>
      <c r="M242" s="793">
        <f t="shared" si="170"/>
        <v>30620</v>
      </c>
      <c r="N242" s="793">
        <f t="shared" si="171"/>
        <v>365</v>
      </c>
      <c r="O242" s="793">
        <f t="shared" si="172"/>
        <v>2909</v>
      </c>
      <c r="P242" s="793">
        <f t="shared" si="173"/>
        <v>2909</v>
      </c>
      <c r="Q242" s="1365">
        <f t="shared" si="174"/>
        <v>27711</v>
      </c>
      <c r="R242" s="1411">
        <f t="shared" si="175"/>
        <v>27711</v>
      </c>
      <c r="S242" s="793">
        <f t="shared" si="176"/>
        <v>30620</v>
      </c>
      <c r="T242" s="805">
        <f t="shared" si="177"/>
        <v>366</v>
      </c>
      <c r="U242" s="805">
        <f t="shared" si="178"/>
        <v>2909</v>
      </c>
      <c r="V242" s="793">
        <f t="shared" si="179"/>
        <v>5818</v>
      </c>
      <c r="W242" s="1365">
        <f t="shared" si="180"/>
        <v>24802</v>
      </c>
      <c r="X242" s="1410">
        <f t="shared" si="181"/>
        <v>24802</v>
      </c>
      <c r="Y242" s="805">
        <f t="shared" si="182"/>
        <v>30620</v>
      </c>
      <c r="Z242" s="805">
        <f t="shared" si="183"/>
        <v>365</v>
      </c>
      <c r="AA242" s="805">
        <f t="shared" si="184"/>
        <v>2909</v>
      </c>
      <c r="AB242" s="805">
        <f t="shared" si="185"/>
        <v>8727</v>
      </c>
      <c r="AC242" s="1360">
        <f t="shared" si="186"/>
        <v>21893</v>
      </c>
      <c r="AD242" s="1412">
        <f t="shared" si="187"/>
        <v>21893</v>
      </c>
      <c r="AE242" s="793">
        <f t="shared" si="188"/>
        <v>30620</v>
      </c>
      <c r="AF242" s="793">
        <f t="shared" si="189"/>
        <v>365</v>
      </c>
      <c r="AG242" s="793">
        <f t="shared" si="190"/>
        <v>2909</v>
      </c>
      <c r="AH242" s="805">
        <f t="shared" si="191"/>
        <v>11636</v>
      </c>
      <c r="AI242" s="805">
        <f t="shared" si="192"/>
        <v>18984</v>
      </c>
      <c r="AJ242" s="793">
        <f t="shared" si="193"/>
        <v>18984</v>
      </c>
      <c r="AK242" s="793">
        <f t="shared" si="194"/>
        <v>30620</v>
      </c>
      <c r="AL242" s="793">
        <f t="shared" si="195"/>
        <v>365</v>
      </c>
      <c r="AM242" s="793">
        <f t="shared" si="196"/>
        <v>2909</v>
      </c>
      <c r="AN242" s="805">
        <f t="shared" si="197"/>
        <v>14545</v>
      </c>
      <c r="AO242" s="805">
        <f t="shared" si="198"/>
        <v>16075</v>
      </c>
      <c r="AP242" s="818">
        <f t="shared" si="199"/>
        <v>16075</v>
      </c>
      <c r="AQ242" s="818">
        <f t="shared" si="200"/>
        <v>30620</v>
      </c>
      <c r="AR242" s="818">
        <f t="shared" si="201"/>
        <v>366</v>
      </c>
      <c r="AS242" s="818">
        <f t="shared" si="202"/>
        <v>2917</v>
      </c>
      <c r="AT242" s="818">
        <f t="shared" si="203"/>
        <v>17462</v>
      </c>
      <c r="AU242" s="818">
        <f t="shared" si="204"/>
        <v>13158</v>
      </c>
      <c r="AV242" s="793">
        <f t="shared" si="205"/>
        <v>13158</v>
      </c>
      <c r="AW242" s="793">
        <f t="shared" si="206"/>
        <v>30620</v>
      </c>
      <c r="AX242" s="793">
        <f t="shared" si="207"/>
        <v>365</v>
      </c>
      <c r="AY242" s="793">
        <f t="shared" si="208"/>
        <v>2909</v>
      </c>
      <c r="AZ242" s="818">
        <f t="shared" si="209"/>
        <v>20371</v>
      </c>
      <c r="BA242" s="818">
        <f t="shared" si="210"/>
        <v>10249</v>
      </c>
    </row>
    <row r="243" spans="1:53" ht="15" customHeight="1" x14ac:dyDescent="0.25">
      <c r="A243" s="842" t="s">
        <v>133</v>
      </c>
      <c r="B243" s="843" t="s">
        <v>1267</v>
      </c>
      <c r="C243" s="778">
        <f t="shared" si="166"/>
        <v>9.5000000000000001E-2</v>
      </c>
      <c r="D243" s="844">
        <v>10</v>
      </c>
      <c r="E243" s="779" t="s">
        <v>1182</v>
      </c>
      <c r="F243" s="845">
        <v>43191</v>
      </c>
      <c r="G243" s="781">
        <f t="shared" si="167"/>
        <v>43191</v>
      </c>
      <c r="H243" s="781">
        <f t="shared" si="168"/>
        <v>46841</v>
      </c>
      <c r="I243" s="1359">
        <v>37220</v>
      </c>
      <c r="J243" s="805">
        <f t="shared" si="169"/>
        <v>1861</v>
      </c>
      <c r="K243" s="1404"/>
      <c r="L243" s="1410">
        <v>0</v>
      </c>
      <c r="M243" s="793">
        <f t="shared" si="170"/>
        <v>37220</v>
      </c>
      <c r="N243" s="793">
        <f t="shared" si="171"/>
        <v>365</v>
      </c>
      <c r="O243" s="793">
        <f t="shared" si="172"/>
        <v>3536</v>
      </c>
      <c r="P243" s="793">
        <f t="shared" si="173"/>
        <v>3536</v>
      </c>
      <c r="Q243" s="1365">
        <f t="shared" si="174"/>
        <v>33684</v>
      </c>
      <c r="R243" s="1411">
        <f t="shared" si="175"/>
        <v>33684</v>
      </c>
      <c r="S243" s="793">
        <f t="shared" si="176"/>
        <v>37220</v>
      </c>
      <c r="T243" s="805">
        <f t="shared" si="177"/>
        <v>366</v>
      </c>
      <c r="U243" s="805">
        <f t="shared" si="178"/>
        <v>3536</v>
      </c>
      <c r="V243" s="793">
        <f t="shared" si="179"/>
        <v>7072</v>
      </c>
      <c r="W243" s="1365">
        <f t="shared" si="180"/>
        <v>30148</v>
      </c>
      <c r="X243" s="1410">
        <f t="shared" si="181"/>
        <v>30148</v>
      </c>
      <c r="Y243" s="805">
        <f t="shared" si="182"/>
        <v>37220</v>
      </c>
      <c r="Z243" s="805">
        <f t="shared" si="183"/>
        <v>365</v>
      </c>
      <c r="AA243" s="805">
        <f t="shared" si="184"/>
        <v>3536</v>
      </c>
      <c r="AB243" s="805">
        <f t="shared" si="185"/>
        <v>10608</v>
      </c>
      <c r="AC243" s="1360">
        <f t="shared" si="186"/>
        <v>26612</v>
      </c>
      <c r="AD243" s="1412">
        <f t="shared" si="187"/>
        <v>26612</v>
      </c>
      <c r="AE243" s="793">
        <f t="shared" si="188"/>
        <v>37220</v>
      </c>
      <c r="AF243" s="793">
        <f t="shared" si="189"/>
        <v>365</v>
      </c>
      <c r="AG243" s="793">
        <f t="shared" si="190"/>
        <v>3536</v>
      </c>
      <c r="AH243" s="805">
        <f t="shared" si="191"/>
        <v>14144</v>
      </c>
      <c r="AI243" s="805">
        <f t="shared" si="192"/>
        <v>23076</v>
      </c>
      <c r="AJ243" s="793">
        <f t="shared" si="193"/>
        <v>23076</v>
      </c>
      <c r="AK243" s="793">
        <f t="shared" si="194"/>
        <v>37220</v>
      </c>
      <c r="AL243" s="793">
        <f t="shared" si="195"/>
        <v>365</v>
      </c>
      <c r="AM243" s="793">
        <f t="shared" si="196"/>
        <v>3536</v>
      </c>
      <c r="AN243" s="805">
        <f t="shared" si="197"/>
        <v>17680</v>
      </c>
      <c r="AO243" s="805">
        <f t="shared" si="198"/>
        <v>19540</v>
      </c>
      <c r="AP243" s="818">
        <f t="shared" si="199"/>
        <v>19540</v>
      </c>
      <c r="AQ243" s="818">
        <f t="shared" si="200"/>
        <v>37220</v>
      </c>
      <c r="AR243" s="818">
        <f t="shared" si="201"/>
        <v>366</v>
      </c>
      <c r="AS243" s="818">
        <f t="shared" si="202"/>
        <v>3546</v>
      </c>
      <c r="AT243" s="818">
        <f t="shared" si="203"/>
        <v>21226</v>
      </c>
      <c r="AU243" s="818">
        <f t="shared" si="204"/>
        <v>15994</v>
      </c>
      <c r="AV243" s="793">
        <f t="shared" si="205"/>
        <v>15994</v>
      </c>
      <c r="AW243" s="793">
        <f t="shared" si="206"/>
        <v>37220</v>
      </c>
      <c r="AX243" s="793">
        <f t="shared" si="207"/>
        <v>365</v>
      </c>
      <c r="AY243" s="793">
        <f t="shared" si="208"/>
        <v>3536</v>
      </c>
      <c r="AZ243" s="818">
        <f t="shared" si="209"/>
        <v>24762</v>
      </c>
      <c r="BA243" s="818">
        <f t="shared" si="210"/>
        <v>12458</v>
      </c>
    </row>
    <row r="244" spans="1:53" ht="15" customHeight="1" x14ac:dyDescent="0.25">
      <c r="A244" s="842" t="s">
        <v>133</v>
      </c>
      <c r="B244" s="843" t="s">
        <v>1267</v>
      </c>
      <c r="C244" s="778">
        <f t="shared" si="166"/>
        <v>9.5000000000000001E-2</v>
      </c>
      <c r="D244" s="844">
        <v>10</v>
      </c>
      <c r="E244" s="779" t="s">
        <v>1182</v>
      </c>
      <c r="F244" s="845">
        <v>43191</v>
      </c>
      <c r="G244" s="781">
        <f t="shared" si="167"/>
        <v>43191</v>
      </c>
      <c r="H244" s="781">
        <f t="shared" si="168"/>
        <v>46841</v>
      </c>
      <c r="I244" s="1359">
        <v>42220</v>
      </c>
      <c r="J244" s="805">
        <f t="shared" si="169"/>
        <v>2111</v>
      </c>
      <c r="K244" s="1404"/>
      <c r="L244" s="1410">
        <v>0</v>
      </c>
      <c r="M244" s="793">
        <f t="shared" si="170"/>
        <v>42220</v>
      </c>
      <c r="N244" s="793">
        <f t="shared" si="171"/>
        <v>365</v>
      </c>
      <c r="O244" s="793">
        <f t="shared" si="172"/>
        <v>4011</v>
      </c>
      <c r="P244" s="793">
        <f t="shared" si="173"/>
        <v>4011</v>
      </c>
      <c r="Q244" s="1365">
        <f t="shared" si="174"/>
        <v>38209</v>
      </c>
      <c r="R244" s="1411">
        <f t="shared" si="175"/>
        <v>38209</v>
      </c>
      <c r="S244" s="793">
        <f t="shared" si="176"/>
        <v>42220</v>
      </c>
      <c r="T244" s="805">
        <f t="shared" si="177"/>
        <v>366</v>
      </c>
      <c r="U244" s="805">
        <f t="shared" si="178"/>
        <v>4011</v>
      </c>
      <c r="V244" s="793">
        <f t="shared" si="179"/>
        <v>8022</v>
      </c>
      <c r="W244" s="1365">
        <f t="shared" si="180"/>
        <v>34198</v>
      </c>
      <c r="X244" s="1410">
        <f t="shared" si="181"/>
        <v>34198</v>
      </c>
      <c r="Y244" s="805">
        <f t="shared" si="182"/>
        <v>42220</v>
      </c>
      <c r="Z244" s="805">
        <f t="shared" si="183"/>
        <v>365</v>
      </c>
      <c r="AA244" s="805">
        <f t="shared" si="184"/>
        <v>4011</v>
      </c>
      <c r="AB244" s="805">
        <f t="shared" si="185"/>
        <v>12033</v>
      </c>
      <c r="AC244" s="1360">
        <f t="shared" si="186"/>
        <v>30187</v>
      </c>
      <c r="AD244" s="1412">
        <f t="shared" si="187"/>
        <v>30187</v>
      </c>
      <c r="AE244" s="793">
        <f t="shared" si="188"/>
        <v>42220</v>
      </c>
      <c r="AF244" s="793">
        <f t="shared" si="189"/>
        <v>365</v>
      </c>
      <c r="AG244" s="793">
        <f t="shared" si="190"/>
        <v>4011</v>
      </c>
      <c r="AH244" s="805">
        <f t="shared" si="191"/>
        <v>16044</v>
      </c>
      <c r="AI244" s="805">
        <f t="shared" si="192"/>
        <v>26176</v>
      </c>
      <c r="AJ244" s="793">
        <f t="shared" si="193"/>
        <v>26176</v>
      </c>
      <c r="AK244" s="793">
        <f t="shared" si="194"/>
        <v>42220</v>
      </c>
      <c r="AL244" s="793">
        <f t="shared" si="195"/>
        <v>365</v>
      </c>
      <c r="AM244" s="793">
        <f t="shared" si="196"/>
        <v>4011</v>
      </c>
      <c r="AN244" s="805">
        <f t="shared" si="197"/>
        <v>20055</v>
      </c>
      <c r="AO244" s="805">
        <f t="shared" si="198"/>
        <v>22165</v>
      </c>
      <c r="AP244" s="818">
        <f t="shared" si="199"/>
        <v>22165</v>
      </c>
      <c r="AQ244" s="818">
        <f t="shared" si="200"/>
        <v>42220</v>
      </c>
      <c r="AR244" s="818">
        <f t="shared" si="201"/>
        <v>366</v>
      </c>
      <c r="AS244" s="818">
        <f t="shared" si="202"/>
        <v>4022</v>
      </c>
      <c r="AT244" s="818">
        <f t="shared" si="203"/>
        <v>24077</v>
      </c>
      <c r="AU244" s="818">
        <f t="shared" si="204"/>
        <v>18143</v>
      </c>
      <c r="AV244" s="793">
        <f t="shared" si="205"/>
        <v>18143</v>
      </c>
      <c r="AW244" s="793">
        <f t="shared" si="206"/>
        <v>42220</v>
      </c>
      <c r="AX244" s="793">
        <f t="shared" si="207"/>
        <v>365</v>
      </c>
      <c r="AY244" s="793">
        <f t="shared" si="208"/>
        <v>4011</v>
      </c>
      <c r="AZ244" s="818">
        <f t="shared" si="209"/>
        <v>28088</v>
      </c>
      <c r="BA244" s="818">
        <f t="shared" si="210"/>
        <v>14132</v>
      </c>
    </row>
    <row r="245" spans="1:53" ht="15" customHeight="1" x14ac:dyDescent="0.25">
      <c r="A245" s="842" t="s">
        <v>133</v>
      </c>
      <c r="B245" s="843" t="s">
        <v>1267</v>
      </c>
      <c r="C245" s="778">
        <f t="shared" si="166"/>
        <v>9.5000000000000001E-2</v>
      </c>
      <c r="D245" s="844">
        <v>10</v>
      </c>
      <c r="E245" s="779" t="s">
        <v>1182</v>
      </c>
      <c r="F245" s="845">
        <v>43191</v>
      </c>
      <c r="G245" s="781">
        <f t="shared" si="167"/>
        <v>43191</v>
      </c>
      <c r="H245" s="781">
        <f t="shared" si="168"/>
        <v>46841</v>
      </c>
      <c r="I245" s="1359">
        <v>40060</v>
      </c>
      <c r="J245" s="805">
        <f t="shared" si="169"/>
        <v>2003</v>
      </c>
      <c r="K245" s="1404"/>
      <c r="L245" s="1410">
        <v>0</v>
      </c>
      <c r="M245" s="793">
        <f t="shared" si="170"/>
        <v>40060</v>
      </c>
      <c r="N245" s="793">
        <f t="shared" si="171"/>
        <v>365</v>
      </c>
      <c r="O245" s="793">
        <f t="shared" si="172"/>
        <v>3806</v>
      </c>
      <c r="P245" s="793">
        <f t="shared" si="173"/>
        <v>3806</v>
      </c>
      <c r="Q245" s="1365">
        <f t="shared" si="174"/>
        <v>36254</v>
      </c>
      <c r="R245" s="1411">
        <f t="shared" si="175"/>
        <v>36254</v>
      </c>
      <c r="S245" s="793">
        <f t="shared" si="176"/>
        <v>40060</v>
      </c>
      <c r="T245" s="805">
        <f t="shared" si="177"/>
        <v>366</v>
      </c>
      <c r="U245" s="805">
        <f t="shared" si="178"/>
        <v>3806</v>
      </c>
      <c r="V245" s="793">
        <f t="shared" si="179"/>
        <v>7612</v>
      </c>
      <c r="W245" s="1365">
        <f t="shared" si="180"/>
        <v>32448</v>
      </c>
      <c r="X245" s="1410">
        <f t="shared" si="181"/>
        <v>32448</v>
      </c>
      <c r="Y245" s="805">
        <f t="shared" si="182"/>
        <v>40060</v>
      </c>
      <c r="Z245" s="805">
        <f t="shared" si="183"/>
        <v>365</v>
      </c>
      <c r="AA245" s="805">
        <f t="shared" si="184"/>
        <v>3806</v>
      </c>
      <c r="AB245" s="805">
        <f t="shared" si="185"/>
        <v>11418</v>
      </c>
      <c r="AC245" s="1360">
        <f t="shared" si="186"/>
        <v>28642</v>
      </c>
      <c r="AD245" s="1412">
        <f t="shared" si="187"/>
        <v>28642</v>
      </c>
      <c r="AE245" s="793">
        <f t="shared" si="188"/>
        <v>40060</v>
      </c>
      <c r="AF245" s="793">
        <f t="shared" si="189"/>
        <v>365</v>
      </c>
      <c r="AG245" s="793">
        <f t="shared" si="190"/>
        <v>3806</v>
      </c>
      <c r="AH245" s="805">
        <f t="shared" si="191"/>
        <v>15224</v>
      </c>
      <c r="AI245" s="805">
        <f t="shared" si="192"/>
        <v>24836</v>
      </c>
      <c r="AJ245" s="793">
        <f t="shared" si="193"/>
        <v>24836</v>
      </c>
      <c r="AK245" s="793">
        <f t="shared" si="194"/>
        <v>40060</v>
      </c>
      <c r="AL245" s="793">
        <f t="shared" si="195"/>
        <v>365</v>
      </c>
      <c r="AM245" s="793">
        <f t="shared" si="196"/>
        <v>3806</v>
      </c>
      <c r="AN245" s="805">
        <f t="shared" si="197"/>
        <v>19030</v>
      </c>
      <c r="AO245" s="805">
        <f t="shared" si="198"/>
        <v>21030</v>
      </c>
      <c r="AP245" s="818">
        <f t="shared" si="199"/>
        <v>21030</v>
      </c>
      <c r="AQ245" s="818">
        <f t="shared" si="200"/>
        <v>40060</v>
      </c>
      <c r="AR245" s="818">
        <f t="shared" si="201"/>
        <v>366</v>
      </c>
      <c r="AS245" s="818">
        <f t="shared" si="202"/>
        <v>3816</v>
      </c>
      <c r="AT245" s="818">
        <f t="shared" si="203"/>
        <v>22846</v>
      </c>
      <c r="AU245" s="818">
        <f t="shared" si="204"/>
        <v>17214</v>
      </c>
      <c r="AV245" s="793">
        <f t="shared" si="205"/>
        <v>17214</v>
      </c>
      <c r="AW245" s="793">
        <f t="shared" si="206"/>
        <v>40060</v>
      </c>
      <c r="AX245" s="793">
        <f t="shared" si="207"/>
        <v>365</v>
      </c>
      <c r="AY245" s="793">
        <f t="shared" si="208"/>
        <v>3806</v>
      </c>
      <c r="AZ245" s="818">
        <f t="shared" si="209"/>
        <v>26652</v>
      </c>
      <c r="BA245" s="818">
        <f t="shared" si="210"/>
        <v>13408</v>
      </c>
    </row>
    <row r="246" spans="1:53" ht="15" customHeight="1" x14ac:dyDescent="0.25">
      <c r="A246" s="842" t="s">
        <v>133</v>
      </c>
      <c r="B246" s="843" t="s">
        <v>1269</v>
      </c>
      <c r="C246" s="778">
        <f t="shared" si="166"/>
        <v>9.5000000000000001E-2</v>
      </c>
      <c r="D246" s="844">
        <v>10</v>
      </c>
      <c r="E246" s="779" t="s">
        <v>1182</v>
      </c>
      <c r="F246" s="845">
        <v>43191</v>
      </c>
      <c r="G246" s="781">
        <f t="shared" si="167"/>
        <v>43191</v>
      </c>
      <c r="H246" s="781">
        <f t="shared" si="168"/>
        <v>46841</v>
      </c>
      <c r="I246" s="1359">
        <v>5700</v>
      </c>
      <c r="J246" s="805">
        <f t="shared" si="169"/>
        <v>285</v>
      </c>
      <c r="K246" s="1404"/>
      <c r="L246" s="1410">
        <v>0</v>
      </c>
      <c r="M246" s="793">
        <f t="shared" si="170"/>
        <v>5700</v>
      </c>
      <c r="N246" s="793">
        <f t="shared" si="171"/>
        <v>365</v>
      </c>
      <c r="O246" s="793">
        <f t="shared" si="172"/>
        <v>542</v>
      </c>
      <c r="P246" s="793">
        <f t="shared" si="173"/>
        <v>542</v>
      </c>
      <c r="Q246" s="1365">
        <f t="shared" si="174"/>
        <v>5158</v>
      </c>
      <c r="R246" s="1411">
        <f t="shared" si="175"/>
        <v>5158</v>
      </c>
      <c r="S246" s="793">
        <f t="shared" si="176"/>
        <v>5700</v>
      </c>
      <c r="T246" s="805">
        <f t="shared" si="177"/>
        <v>366</v>
      </c>
      <c r="U246" s="805">
        <f t="shared" si="178"/>
        <v>542</v>
      </c>
      <c r="V246" s="793">
        <f t="shared" si="179"/>
        <v>1084</v>
      </c>
      <c r="W246" s="1365">
        <f t="shared" si="180"/>
        <v>4616</v>
      </c>
      <c r="X246" s="1410">
        <f t="shared" si="181"/>
        <v>4616</v>
      </c>
      <c r="Y246" s="805">
        <f t="shared" si="182"/>
        <v>5700</v>
      </c>
      <c r="Z246" s="805">
        <f t="shared" si="183"/>
        <v>365</v>
      </c>
      <c r="AA246" s="805">
        <f t="shared" si="184"/>
        <v>542</v>
      </c>
      <c r="AB246" s="805">
        <f t="shared" si="185"/>
        <v>1626</v>
      </c>
      <c r="AC246" s="1360">
        <f t="shared" si="186"/>
        <v>4074</v>
      </c>
      <c r="AD246" s="1412">
        <f t="shared" si="187"/>
        <v>4074</v>
      </c>
      <c r="AE246" s="793">
        <f t="shared" si="188"/>
        <v>5700</v>
      </c>
      <c r="AF246" s="793">
        <f t="shared" si="189"/>
        <v>365</v>
      </c>
      <c r="AG246" s="793">
        <f t="shared" si="190"/>
        <v>542</v>
      </c>
      <c r="AH246" s="805">
        <f t="shared" si="191"/>
        <v>2168</v>
      </c>
      <c r="AI246" s="805">
        <f t="shared" si="192"/>
        <v>3532</v>
      </c>
      <c r="AJ246" s="793">
        <f t="shared" si="193"/>
        <v>3532</v>
      </c>
      <c r="AK246" s="793">
        <f t="shared" si="194"/>
        <v>5700</v>
      </c>
      <c r="AL246" s="793">
        <f t="shared" si="195"/>
        <v>365</v>
      </c>
      <c r="AM246" s="793">
        <f t="shared" si="196"/>
        <v>542</v>
      </c>
      <c r="AN246" s="805">
        <f t="shared" si="197"/>
        <v>2710</v>
      </c>
      <c r="AO246" s="805">
        <f t="shared" si="198"/>
        <v>2990</v>
      </c>
      <c r="AP246" s="818">
        <f t="shared" si="199"/>
        <v>2990</v>
      </c>
      <c r="AQ246" s="818">
        <f t="shared" si="200"/>
        <v>5700</v>
      </c>
      <c r="AR246" s="818">
        <f t="shared" si="201"/>
        <v>366</v>
      </c>
      <c r="AS246" s="818">
        <f t="shared" si="202"/>
        <v>543</v>
      </c>
      <c r="AT246" s="818">
        <f t="shared" si="203"/>
        <v>3253</v>
      </c>
      <c r="AU246" s="818">
        <f t="shared" si="204"/>
        <v>2447</v>
      </c>
      <c r="AV246" s="793">
        <f t="shared" si="205"/>
        <v>2447</v>
      </c>
      <c r="AW246" s="793">
        <f t="shared" si="206"/>
        <v>5700</v>
      </c>
      <c r="AX246" s="793">
        <f t="shared" si="207"/>
        <v>365</v>
      </c>
      <c r="AY246" s="793">
        <f t="shared" si="208"/>
        <v>542</v>
      </c>
      <c r="AZ246" s="818">
        <f t="shared" si="209"/>
        <v>3795</v>
      </c>
      <c r="BA246" s="818">
        <f t="shared" si="210"/>
        <v>1905</v>
      </c>
    </row>
    <row r="247" spans="1:53" ht="15" customHeight="1" x14ac:dyDescent="0.25">
      <c r="A247" s="842" t="s">
        <v>133</v>
      </c>
      <c r="B247" s="843" t="s">
        <v>1267</v>
      </c>
      <c r="C247" s="778">
        <f t="shared" si="166"/>
        <v>9.5000000000000001E-2</v>
      </c>
      <c r="D247" s="844">
        <v>10</v>
      </c>
      <c r="E247" s="779" t="s">
        <v>1182</v>
      </c>
      <c r="F247" s="845">
        <v>43191</v>
      </c>
      <c r="G247" s="781">
        <f t="shared" si="167"/>
        <v>43191</v>
      </c>
      <c r="H247" s="781">
        <f t="shared" si="168"/>
        <v>46841</v>
      </c>
      <c r="I247" s="1359">
        <v>39960</v>
      </c>
      <c r="J247" s="805">
        <f t="shared" si="169"/>
        <v>1998</v>
      </c>
      <c r="K247" s="1404"/>
      <c r="L247" s="1410">
        <v>0</v>
      </c>
      <c r="M247" s="793">
        <f t="shared" si="170"/>
        <v>39960</v>
      </c>
      <c r="N247" s="793">
        <f t="shared" si="171"/>
        <v>365</v>
      </c>
      <c r="O247" s="793">
        <f t="shared" si="172"/>
        <v>3796</v>
      </c>
      <c r="P247" s="793">
        <f t="shared" si="173"/>
        <v>3796</v>
      </c>
      <c r="Q247" s="1365">
        <f t="shared" si="174"/>
        <v>36164</v>
      </c>
      <c r="R247" s="1411">
        <f t="shared" si="175"/>
        <v>36164</v>
      </c>
      <c r="S247" s="793">
        <f t="shared" si="176"/>
        <v>39960</v>
      </c>
      <c r="T247" s="805">
        <f t="shared" si="177"/>
        <v>366</v>
      </c>
      <c r="U247" s="805">
        <f t="shared" si="178"/>
        <v>3796</v>
      </c>
      <c r="V247" s="793">
        <f t="shared" si="179"/>
        <v>7592</v>
      </c>
      <c r="W247" s="1365">
        <f t="shared" si="180"/>
        <v>32368</v>
      </c>
      <c r="X247" s="1410">
        <f t="shared" si="181"/>
        <v>32368</v>
      </c>
      <c r="Y247" s="805">
        <f t="shared" si="182"/>
        <v>39960</v>
      </c>
      <c r="Z247" s="805">
        <f t="shared" si="183"/>
        <v>365</v>
      </c>
      <c r="AA247" s="805">
        <f t="shared" si="184"/>
        <v>3796</v>
      </c>
      <c r="AB247" s="805">
        <f t="shared" si="185"/>
        <v>11388</v>
      </c>
      <c r="AC247" s="1360">
        <f t="shared" si="186"/>
        <v>28572</v>
      </c>
      <c r="AD247" s="1412">
        <f t="shared" si="187"/>
        <v>28572</v>
      </c>
      <c r="AE247" s="793">
        <f t="shared" si="188"/>
        <v>39960</v>
      </c>
      <c r="AF247" s="793">
        <f t="shared" si="189"/>
        <v>365</v>
      </c>
      <c r="AG247" s="793">
        <f t="shared" si="190"/>
        <v>3796</v>
      </c>
      <c r="AH247" s="805">
        <f t="shared" si="191"/>
        <v>15184</v>
      </c>
      <c r="AI247" s="805">
        <f t="shared" si="192"/>
        <v>24776</v>
      </c>
      <c r="AJ247" s="793">
        <f t="shared" si="193"/>
        <v>24776</v>
      </c>
      <c r="AK247" s="793">
        <f t="shared" si="194"/>
        <v>39960</v>
      </c>
      <c r="AL247" s="793">
        <f t="shared" si="195"/>
        <v>365</v>
      </c>
      <c r="AM247" s="793">
        <f t="shared" si="196"/>
        <v>3796</v>
      </c>
      <c r="AN247" s="805">
        <f t="shared" si="197"/>
        <v>18980</v>
      </c>
      <c r="AO247" s="805">
        <f t="shared" si="198"/>
        <v>20980</v>
      </c>
      <c r="AP247" s="818">
        <f t="shared" si="199"/>
        <v>20980</v>
      </c>
      <c r="AQ247" s="818">
        <f t="shared" si="200"/>
        <v>39960</v>
      </c>
      <c r="AR247" s="818">
        <f t="shared" si="201"/>
        <v>366</v>
      </c>
      <c r="AS247" s="818">
        <f t="shared" si="202"/>
        <v>3807</v>
      </c>
      <c r="AT247" s="818">
        <f t="shared" si="203"/>
        <v>22787</v>
      </c>
      <c r="AU247" s="818">
        <f t="shared" si="204"/>
        <v>17173</v>
      </c>
      <c r="AV247" s="793">
        <f t="shared" si="205"/>
        <v>17173</v>
      </c>
      <c r="AW247" s="793">
        <f t="shared" si="206"/>
        <v>39960</v>
      </c>
      <c r="AX247" s="793">
        <f t="shared" si="207"/>
        <v>365</v>
      </c>
      <c r="AY247" s="793">
        <f t="shared" si="208"/>
        <v>3796</v>
      </c>
      <c r="AZ247" s="818">
        <f t="shared" si="209"/>
        <v>26583</v>
      </c>
      <c r="BA247" s="818">
        <f t="shared" si="210"/>
        <v>13377</v>
      </c>
    </row>
    <row r="248" spans="1:53" ht="15" customHeight="1" x14ac:dyDescent="0.25">
      <c r="A248" s="842" t="s">
        <v>133</v>
      </c>
      <c r="B248" s="843" t="s">
        <v>1267</v>
      </c>
      <c r="C248" s="778">
        <f t="shared" si="166"/>
        <v>9.5000000000000001E-2</v>
      </c>
      <c r="D248" s="844">
        <v>10</v>
      </c>
      <c r="E248" s="779" t="s">
        <v>1182</v>
      </c>
      <c r="F248" s="845">
        <v>43191</v>
      </c>
      <c r="G248" s="781">
        <f t="shared" si="167"/>
        <v>43191</v>
      </c>
      <c r="H248" s="781">
        <f t="shared" si="168"/>
        <v>46841</v>
      </c>
      <c r="I248" s="1359">
        <v>6756</v>
      </c>
      <c r="J248" s="805">
        <f t="shared" si="169"/>
        <v>337.8</v>
      </c>
      <c r="K248" s="1404"/>
      <c r="L248" s="1410">
        <v>0</v>
      </c>
      <c r="M248" s="793">
        <f t="shared" si="170"/>
        <v>6756</v>
      </c>
      <c r="N248" s="793">
        <f t="shared" si="171"/>
        <v>365</v>
      </c>
      <c r="O248" s="793">
        <f t="shared" si="172"/>
        <v>642</v>
      </c>
      <c r="P248" s="793">
        <f t="shared" si="173"/>
        <v>642</v>
      </c>
      <c r="Q248" s="1365">
        <f t="shared" si="174"/>
        <v>6114</v>
      </c>
      <c r="R248" s="1411">
        <f t="shared" si="175"/>
        <v>6114</v>
      </c>
      <c r="S248" s="793">
        <f t="shared" si="176"/>
        <v>6756</v>
      </c>
      <c r="T248" s="805">
        <f t="shared" si="177"/>
        <v>366</v>
      </c>
      <c r="U248" s="805">
        <f t="shared" si="178"/>
        <v>642</v>
      </c>
      <c r="V248" s="793">
        <f t="shared" si="179"/>
        <v>1284</v>
      </c>
      <c r="W248" s="1365">
        <f t="shared" si="180"/>
        <v>5472</v>
      </c>
      <c r="X248" s="1410">
        <f t="shared" si="181"/>
        <v>5472</v>
      </c>
      <c r="Y248" s="805">
        <f t="shared" si="182"/>
        <v>6756</v>
      </c>
      <c r="Z248" s="805">
        <f t="shared" si="183"/>
        <v>365</v>
      </c>
      <c r="AA248" s="805">
        <f t="shared" si="184"/>
        <v>642</v>
      </c>
      <c r="AB248" s="805">
        <f t="shared" si="185"/>
        <v>1926</v>
      </c>
      <c r="AC248" s="1360">
        <f t="shared" si="186"/>
        <v>4830</v>
      </c>
      <c r="AD248" s="1412">
        <f t="shared" si="187"/>
        <v>4830</v>
      </c>
      <c r="AE248" s="793">
        <f t="shared" si="188"/>
        <v>6756</v>
      </c>
      <c r="AF248" s="793">
        <f t="shared" si="189"/>
        <v>365</v>
      </c>
      <c r="AG248" s="793">
        <f t="shared" si="190"/>
        <v>642</v>
      </c>
      <c r="AH248" s="805">
        <f t="shared" si="191"/>
        <v>2568</v>
      </c>
      <c r="AI248" s="805">
        <f t="shared" si="192"/>
        <v>4188</v>
      </c>
      <c r="AJ248" s="793">
        <f t="shared" si="193"/>
        <v>4188</v>
      </c>
      <c r="AK248" s="793">
        <f t="shared" si="194"/>
        <v>6756</v>
      </c>
      <c r="AL248" s="793">
        <f t="shared" si="195"/>
        <v>365</v>
      </c>
      <c r="AM248" s="793">
        <f t="shared" si="196"/>
        <v>642</v>
      </c>
      <c r="AN248" s="805">
        <f t="shared" si="197"/>
        <v>3210</v>
      </c>
      <c r="AO248" s="805">
        <f t="shared" si="198"/>
        <v>3546</v>
      </c>
      <c r="AP248" s="818">
        <f t="shared" si="199"/>
        <v>3546</v>
      </c>
      <c r="AQ248" s="818">
        <f t="shared" si="200"/>
        <v>6756</v>
      </c>
      <c r="AR248" s="818">
        <f t="shared" si="201"/>
        <v>366</v>
      </c>
      <c r="AS248" s="818">
        <f t="shared" si="202"/>
        <v>644</v>
      </c>
      <c r="AT248" s="818">
        <f t="shared" si="203"/>
        <v>3854</v>
      </c>
      <c r="AU248" s="818">
        <f t="shared" si="204"/>
        <v>2902</v>
      </c>
      <c r="AV248" s="793">
        <f t="shared" si="205"/>
        <v>2902</v>
      </c>
      <c r="AW248" s="793">
        <f t="shared" si="206"/>
        <v>6756</v>
      </c>
      <c r="AX248" s="793">
        <f t="shared" si="207"/>
        <v>365</v>
      </c>
      <c r="AY248" s="793">
        <f t="shared" si="208"/>
        <v>642</v>
      </c>
      <c r="AZ248" s="818">
        <f t="shared" si="209"/>
        <v>4496</v>
      </c>
      <c r="BA248" s="818">
        <f t="shared" si="210"/>
        <v>2260</v>
      </c>
    </row>
    <row r="249" spans="1:53" ht="15" customHeight="1" x14ac:dyDescent="0.25">
      <c r="A249" s="842" t="s">
        <v>133</v>
      </c>
      <c r="B249" s="843" t="s">
        <v>1267</v>
      </c>
      <c r="C249" s="778">
        <f t="shared" si="166"/>
        <v>9.5000000000000001E-2</v>
      </c>
      <c r="D249" s="844">
        <v>10</v>
      </c>
      <c r="E249" s="779" t="s">
        <v>1182</v>
      </c>
      <c r="F249" s="845">
        <v>43191</v>
      </c>
      <c r="G249" s="781">
        <f t="shared" si="167"/>
        <v>43191</v>
      </c>
      <c r="H249" s="781">
        <f t="shared" si="168"/>
        <v>46841</v>
      </c>
      <c r="I249" s="1359">
        <v>16905</v>
      </c>
      <c r="J249" s="805">
        <f t="shared" si="169"/>
        <v>845.25</v>
      </c>
      <c r="K249" s="1404"/>
      <c r="L249" s="1410">
        <v>0</v>
      </c>
      <c r="M249" s="793">
        <f t="shared" si="170"/>
        <v>16905</v>
      </c>
      <c r="N249" s="793">
        <f t="shared" si="171"/>
        <v>365</v>
      </c>
      <c r="O249" s="793">
        <f t="shared" si="172"/>
        <v>1606</v>
      </c>
      <c r="P249" s="793">
        <f t="shared" si="173"/>
        <v>1606</v>
      </c>
      <c r="Q249" s="1365">
        <f t="shared" si="174"/>
        <v>15299</v>
      </c>
      <c r="R249" s="1411">
        <f t="shared" si="175"/>
        <v>15299</v>
      </c>
      <c r="S249" s="793">
        <f t="shared" si="176"/>
        <v>16905</v>
      </c>
      <c r="T249" s="805">
        <f t="shared" si="177"/>
        <v>366</v>
      </c>
      <c r="U249" s="805">
        <f t="shared" si="178"/>
        <v>1606</v>
      </c>
      <c r="V249" s="793">
        <f t="shared" si="179"/>
        <v>3212</v>
      </c>
      <c r="W249" s="1365">
        <f t="shared" si="180"/>
        <v>13693</v>
      </c>
      <c r="X249" s="1410">
        <f t="shared" si="181"/>
        <v>13693</v>
      </c>
      <c r="Y249" s="805">
        <f t="shared" si="182"/>
        <v>16905</v>
      </c>
      <c r="Z249" s="805">
        <f t="shared" si="183"/>
        <v>365</v>
      </c>
      <c r="AA249" s="805">
        <f t="shared" si="184"/>
        <v>1606</v>
      </c>
      <c r="AB249" s="805">
        <f t="shared" si="185"/>
        <v>4818</v>
      </c>
      <c r="AC249" s="1360">
        <f t="shared" si="186"/>
        <v>12087</v>
      </c>
      <c r="AD249" s="1412">
        <f t="shared" si="187"/>
        <v>12087</v>
      </c>
      <c r="AE249" s="793">
        <f t="shared" si="188"/>
        <v>16905</v>
      </c>
      <c r="AF249" s="793">
        <f t="shared" si="189"/>
        <v>365</v>
      </c>
      <c r="AG249" s="793">
        <f t="shared" si="190"/>
        <v>1606</v>
      </c>
      <c r="AH249" s="805">
        <f t="shared" si="191"/>
        <v>6424</v>
      </c>
      <c r="AI249" s="805">
        <f t="shared" si="192"/>
        <v>10481</v>
      </c>
      <c r="AJ249" s="793">
        <f t="shared" si="193"/>
        <v>10481</v>
      </c>
      <c r="AK249" s="793">
        <f t="shared" si="194"/>
        <v>16905</v>
      </c>
      <c r="AL249" s="793">
        <f t="shared" si="195"/>
        <v>365</v>
      </c>
      <c r="AM249" s="793">
        <f t="shared" si="196"/>
        <v>1606</v>
      </c>
      <c r="AN249" s="805">
        <f t="shared" si="197"/>
        <v>8030</v>
      </c>
      <c r="AO249" s="805">
        <f t="shared" si="198"/>
        <v>8875</v>
      </c>
      <c r="AP249" s="818">
        <f t="shared" si="199"/>
        <v>8875</v>
      </c>
      <c r="AQ249" s="818">
        <f t="shared" si="200"/>
        <v>16905</v>
      </c>
      <c r="AR249" s="818">
        <f t="shared" si="201"/>
        <v>366</v>
      </c>
      <c r="AS249" s="818">
        <f t="shared" si="202"/>
        <v>1610</v>
      </c>
      <c r="AT249" s="818">
        <f t="shared" si="203"/>
        <v>9640</v>
      </c>
      <c r="AU249" s="818">
        <f t="shared" si="204"/>
        <v>7265</v>
      </c>
      <c r="AV249" s="793">
        <f t="shared" si="205"/>
        <v>7265</v>
      </c>
      <c r="AW249" s="793">
        <f t="shared" si="206"/>
        <v>16905</v>
      </c>
      <c r="AX249" s="793">
        <f t="shared" si="207"/>
        <v>365</v>
      </c>
      <c r="AY249" s="793">
        <f t="shared" si="208"/>
        <v>1606</v>
      </c>
      <c r="AZ249" s="818">
        <f t="shared" si="209"/>
        <v>11246</v>
      </c>
      <c r="BA249" s="818">
        <f t="shared" si="210"/>
        <v>5659</v>
      </c>
    </row>
    <row r="250" spans="1:53" ht="15" customHeight="1" x14ac:dyDescent="0.25">
      <c r="A250" s="842" t="s">
        <v>133</v>
      </c>
      <c r="B250" s="843" t="s">
        <v>1267</v>
      </c>
      <c r="C250" s="778">
        <f t="shared" si="166"/>
        <v>9.5000000000000001E-2</v>
      </c>
      <c r="D250" s="844">
        <v>10</v>
      </c>
      <c r="E250" s="779" t="s">
        <v>1182</v>
      </c>
      <c r="F250" s="845">
        <v>43191</v>
      </c>
      <c r="G250" s="781">
        <f t="shared" si="167"/>
        <v>43191</v>
      </c>
      <c r="H250" s="781">
        <f t="shared" si="168"/>
        <v>46841</v>
      </c>
      <c r="I250" s="1359">
        <v>34500</v>
      </c>
      <c r="J250" s="805">
        <f t="shared" si="169"/>
        <v>1725</v>
      </c>
      <c r="K250" s="1404"/>
      <c r="L250" s="1410">
        <v>0</v>
      </c>
      <c r="M250" s="793">
        <f t="shared" si="170"/>
        <v>34500</v>
      </c>
      <c r="N250" s="793">
        <f t="shared" si="171"/>
        <v>365</v>
      </c>
      <c r="O250" s="793">
        <f t="shared" si="172"/>
        <v>3278</v>
      </c>
      <c r="P250" s="793">
        <f t="shared" si="173"/>
        <v>3278</v>
      </c>
      <c r="Q250" s="1365">
        <f t="shared" si="174"/>
        <v>31222</v>
      </c>
      <c r="R250" s="1411">
        <f t="shared" si="175"/>
        <v>31222</v>
      </c>
      <c r="S250" s="793">
        <f t="shared" si="176"/>
        <v>34500</v>
      </c>
      <c r="T250" s="805">
        <f t="shared" si="177"/>
        <v>366</v>
      </c>
      <c r="U250" s="805">
        <f t="shared" si="178"/>
        <v>3278</v>
      </c>
      <c r="V250" s="793">
        <f t="shared" si="179"/>
        <v>6556</v>
      </c>
      <c r="W250" s="1365">
        <f t="shared" si="180"/>
        <v>27944</v>
      </c>
      <c r="X250" s="1410">
        <f t="shared" si="181"/>
        <v>27944</v>
      </c>
      <c r="Y250" s="805">
        <f t="shared" si="182"/>
        <v>34500</v>
      </c>
      <c r="Z250" s="805">
        <f t="shared" si="183"/>
        <v>365</v>
      </c>
      <c r="AA250" s="805">
        <f t="shared" si="184"/>
        <v>3278</v>
      </c>
      <c r="AB250" s="805">
        <f t="shared" si="185"/>
        <v>9834</v>
      </c>
      <c r="AC250" s="1360">
        <f t="shared" si="186"/>
        <v>24666</v>
      </c>
      <c r="AD250" s="1412">
        <f t="shared" si="187"/>
        <v>24666</v>
      </c>
      <c r="AE250" s="793">
        <f t="shared" si="188"/>
        <v>34500</v>
      </c>
      <c r="AF250" s="793">
        <f t="shared" si="189"/>
        <v>365</v>
      </c>
      <c r="AG250" s="793">
        <f t="shared" si="190"/>
        <v>3278</v>
      </c>
      <c r="AH250" s="805">
        <f t="shared" si="191"/>
        <v>13112</v>
      </c>
      <c r="AI250" s="805">
        <f t="shared" si="192"/>
        <v>21388</v>
      </c>
      <c r="AJ250" s="793">
        <f t="shared" si="193"/>
        <v>21388</v>
      </c>
      <c r="AK250" s="793">
        <f t="shared" si="194"/>
        <v>34500</v>
      </c>
      <c r="AL250" s="793">
        <f t="shared" si="195"/>
        <v>365</v>
      </c>
      <c r="AM250" s="793">
        <f t="shared" si="196"/>
        <v>3278</v>
      </c>
      <c r="AN250" s="805">
        <f t="shared" si="197"/>
        <v>16390</v>
      </c>
      <c r="AO250" s="805">
        <f t="shared" si="198"/>
        <v>18110</v>
      </c>
      <c r="AP250" s="818">
        <f t="shared" si="199"/>
        <v>18110</v>
      </c>
      <c r="AQ250" s="818">
        <f t="shared" si="200"/>
        <v>34500</v>
      </c>
      <c r="AR250" s="818">
        <f t="shared" si="201"/>
        <v>366</v>
      </c>
      <c r="AS250" s="818">
        <f t="shared" si="202"/>
        <v>3286</v>
      </c>
      <c r="AT250" s="818">
        <f t="shared" si="203"/>
        <v>19676</v>
      </c>
      <c r="AU250" s="818">
        <f t="shared" si="204"/>
        <v>14824</v>
      </c>
      <c r="AV250" s="793">
        <f t="shared" si="205"/>
        <v>14824</v>
      </c>
      <c r="AW250" s="793">
        <f t="shared" si="206"/>
        <v>34500</v>
      </c>
      <c r="AX250" s="793">
        <f t="shared" si="207"/>
        <v>365</v>
      </c>
      <c r="AY250" s="793">
        <f t="shared" si="208"/>
        <v>3278</v>
      </c>
      <c r="AZ250" s="818">
        <f t="shared" si="209"/>
        <v>22954</v>
      </c>
      <c r="BA250" s="818">
        <f t="shared" si="210"/>
        <v>11546</v>
      </c>
    </row>
    <row r="251" spans="1:53" ht="15" customHeight="1" x14ac:dyDescent="0.25">
      <c r="A251" s="842" t="s">
        <v>133</v>
      </c>
      <c r="B251" s="843" t="s">
        <v>1267</v>
      </c>
      <c r="C251" s="778">
        <f t="shared" si="166"/>
        <v>9.5000000000000001E-2</v>
      </c>
      <c r="D251" s="844">
        <v>10</v>
      </c>
      <c r="E251" s="779" t="s">
        <v>1182</v>
      </c>
      <c r="F251" s="845">
        <v>43191</v>
      </c>
      <c r="G251" s="781">
        <f t="shared" si="167"/>
        <v>43191</v>
      </c>
      <c r="H251" s="781">
        <f t="shared" si="168"/>
        <v>46841</v>
      </c>
      <c r="I251" s="1359">
        <v>36860.199999999997</v>
      </c>
      <c r="J251" s="805">
        <f t="shared" si="169"/>
        <v>1843.01</v>
      </c>
      <c r="K251" s="1404"/>
      <c r="L251" s="1410">
        <v>0</v>
      </c>
      <c r="M251" s="793">
        <f t="shared" si="170"/>
        <v>36860.199999999997</v>
      </c>
      <c r="N251" s="793">
        <f t="shared" si="171"/>
        <v>365</v>
      </c>
      <c r="O251" s="793">
        <f t="shared" si="172"/>
        <v>3502</v>
      </c>
      <c r="P251" s="793">
        <f t="shared" si="173"/>
        <v>3502</v>
      </c>
      <c r="Q251" s="1365">
        <f t="shared" si="174"/>
        <v>33358.199999999997</v>
      </c>
      <c r="R251" s="1411">
        <f t="shared" si="175"/>
        <v>33358.199999999997</v>
      </c>
      <c r="S251" s="793">
        <f t="shared" si="176"/>
        <v>36860.199999999997</v>
      </c>
      <c r="T251" s="805">
        <f t="shared" si="177"/>
        <v>366</v>
      </c>
      <c r="U251" s="805">
        <f t="shared" si="178"/>
        <v>3502</v>
      </c>
      <c r="V251" s="793">
        <f t="shared" si="179"/>
        <v>7004</v>
      </c>
      <c r="W251" s="1365">
        <f t="shared" si="180"/>
        <v>29856.199999999997</v>
      </c>
      <c r="X251" s="1410">
        <f t="shared" si="181"/>
        <v>29856.199999999997</v>
      </c>
      <c r="Y251" s="805">
        <f t="shared" si="182"/>
        <v>36860.199999999997</v>
      </c>
      <c r="Z251" s="805">
        <f t="shared" si="183"/>
        <v>365</v>
      </c>
      <c r="AA251" s="805">
        <f t="shared" si="184"/>
        <v>3502</v>
      </c>
      <c r="AB251" s="805">
        <f t="shared" si="185"/>
        <v>10506</v>
      </c>
      <c r="AC251" s="1360">
        <f t="shared" si="186"/>
        <v>26354.199999999997</v>
      </c>
      <c r="AD251" s="1412">
        <f t="shared" si="187"/>
        <v>26354.199999999997</v>
      </c>
      <c r="AE251" s="793">
        <f t="shared" si="188"/>
        <v>36860.199999999997</v>
      </c>
      <c r="AF251" s="793">
        <f t="shared" si="189"/>
        <v>365</v>
      </c>
      <c r="AG251" s="793">
        <f t="shared" si="190"/>
        <v>3502</v>
      </c>
      <c r="AH251" s="805">
        <f t="shared" si="191"/>
        <v>14008</v>
      </c>
      <c r="AI251" s="805">
        <f t="shared" si="192"/>
        <v>22852.199999999997</v>
      </c>
      <c r="AJ251" s="793">
        <f t="shared" si="193"/>
        <v>22852.199999999997</v>
      </c>
      <c r="AK251" s="793">
        <f t="shared" si="194"/>
        <v>36860.199999999997</v>
      </c>
      <c r="AL251" s="793">
        <f t="shared" si="195"/>
        <v>365</v>
      </c>
      <c r="AM251" s="793">
        <f t="shared" si="196"/>
        <v>3502</v>
      </c>
      <c r="AN251" s="805">
        <f t="shared" si="197"/>
        <v>17510</v>
      </c>
      <c r="AO251" s="805">
        <f t="shared" si="198"/>
        <v>19350.199999999997</v>
      </c>
      <c r="AP251" s="818">
        <f t="shared" si="199"/>
        <v>19350.199999999997</v>
      </c>
      <c r="AQ251" s="818">
        <f t="shared" si="200"/>
        <v>36860.199999999997</v>
      </c>
      <c r="AR251" s="818">
        <f t="shared" si="201"/>
        <v>366</v>
      </c>
      <c r="AS251" s="818">
        <f t="shared" si="202"/>
        <v>3511</v>
      </c>
      <c r="AT251" s="818">
        <f t="shared" si="203"/>
        <v>21021</v>
      </c>
      <c r="AU251" s="818">
        <f t="shared" si="204"/>
        <v>15839.199999999997</v>
      </c>
      <c r="AV251" s="793">
        <f t="shared" si="205"/>
        <v>15839.199999999997</v>
      </c>
      <c r="AW251" s="793">
        <f t="shared" si="206"/>
        <v>36860.199999999997</v>
      </c>
      <c r="AX251" s="793">
        <f t="shared" si="207"/>
        <v>365</v>
      </c>
      <c r="AY251" s="793">
        <f t="shared" si="208"/>
        <v>3502</v>
      </c>
      <c r="AZ251" s="818">
        <f t="shared" si="209"/>
        <v>24523</v>
      </c>
      <c r="BA251" s="818">
        <f t="shared" si="210"/>
        <v>12337.199999999997</v>
      </c>
    </row>
    <row r="252" spans="1:53" ht="15" customHeight="1" x14ac:dyDescent="0.25">
      <c r="A252" s="842" t="s">
        <v>133</v>
      </c>
      <c r="B252" s="843" t="s">
        <v>1267</v>
      </c>
      <c r="C252" s="778">
        <f t="shared" si="166"/>
        <v>9.5000000000000001E-2</v>
      </c>
      <c r="D252" s="844">
        <v>10</v>
      </c>
      <c r="E252" s="779" t="s">
        <v>1182</v>
      </c>
      <c r="F252" s="845">
        <v>43191</v>
      </c>
      <c r="G252" s="781">
        <f t="shared" si="167"/>
        <v>43191</v>
      </c>
      <c r="H252" s="781">
        <f t="shared" si="168"/>
        <v>46841</v>
      </c>
      <c r="I252" s="1359">
        <v>32290</v>
      </c>
      <c r="J252" s="805">
        <f t="shared" si="169"/>
        <v>1614.5</v>
      </c>
      <c r="K252" s="1404"/>
      <c r="L252" s="1410">
        <v>0</v>
      </c>
      <c r="M252" s="793">
        <f t="shared" si="170"/>
        <v>32290</v>
      </c>
      <c r="N252" s="793">
        <f t="shared" si="171"/>
        <v>365</v>
      </c>
      <c r="O252" s="793">
        <f t="shared" si="172"/>
        <v>3068</v>
      </c>
      <c r="P252" s="793">
        <f t="shared" si="173"/>
        <v>3068</v>
      </c>
      <c r="Q252" s="1365">
        <f t="shared" si="174"/>
        <v>29222</v>
      </c>
      <c r="R252" s="1411">
        <f t="shared" si="175"/>
        <v>29222</v>
      </c>
      <c r="S252" s="793">
        <f t="shared" si="176"/>
        <v>32290</v>
      </c>
      <c r="T252" s="805">
        <f t="shared" si="177"/>
        <v>366</v>
      </c>
      <c r="U252" s="805">
        <f t="shared" si="178"/>
        <v>3068</v>
      </c>
      <c r="V252" s="793">
        <f t="shared" si="179"/>
        <v>6136</v>
      </c>
      <c r="W252" s="1365">
        <f t="shared" si="180"/>
        <v>26154</v>
      </c>
      <c r="X252" s="1410">
        <f t="shared" si="181"/>
        <v>26154</v>
      </c>
      <c r="Y252" s="805">
        <f t="shared" si="182"/>
        <v>32290</v>
      </c>
      <c r="Z252" s="805">
        <f t="shared" si="183"/>
        <v>365</v>
      </c>
      <c r="AA252" s="805">
        <f t="shared" si="184"/>
        <v>3068</v>
      </c>
      <c r="AB252" s="805">
        <f t="shared" si="185"/>
        <v>9204</v>
      </c>
      <c r="AC252" s="1360">
        <f t="shared" si="186"/>
        <v>23086</v>
      </c>
      <c r="AD252" s="1412">
        <f t="shared" si="187"/>
        <v>23086</v>
      </c>
      <c r="AE252" s="793">
        <f t="shared" si="188"/>
        <v>32290</v>
      </c>
      <c r="AF252" s="793">
        <f t="shared" si="189"/>
        <v>365</v>
      </c>
      <c r="AG252" s="793">
        <f t="shared" si="190"/>
        <v>3068</v>
      </c>
      <c r="AH252" s="805">
        <f t="shared" si="191"/>
        <v>12272</v>
      </c>
      <c r="AI252" s="805">
        <f t="shared" si="192"/>
        <v>20018</v>
      </c>
      <c r="AJ252" s="793">
        <f t="shared" si="193"/>
        <v>20018</v>
      </c>
      <c r="AK252" s="793">
        <f t="shared" si="194"/>
        <v>32290</v>
      </c>
      <c r="AL252" s="793">
        <f t="shared" si="195"/>
        <v>365</v>
      </c>
      <c r="AM252" s="793">
        <f t="shared" si="196"/>
        <v>3068</v>
      </c>
      <c r="AN252" s="805">
        <f t="shared" si="197"/>
        <v>15340</v>
      </c>
      <c r="AO252" s="805">
        <f t="shared" si="198"/>
        <v>16950</v>
      </c>
      <c r="AP252" s="818">
        <f t="shared" si="199"/>
        <v>16950</v>
      </c>
      <c r="AQ252" s="818">
        <f t="shared" si="200"/>
        <v>32290</v>
      </c>
      <c r="AR252" s="818">
        <f t="shared" si="201"/>
        <v>366</v>
      </c>
      <c r="AS252" s="818">
        <f t="shared" si="202"/>
        <v>3076</v>
      </c>
      <c r="AT252" s="818">
        <f t="shared" si="203"/>
        <v>18416</v>
      </c>
      <c r="AU252" s="818">
        <f t="shared" si="204"/>
        <v>13874</v>
      </c>
      <c r="AV252" s="793">
        <f t="shared" si="205"/>
        <v>13874</v>
      </c>
      <c r="AW252" s="793">
        <f t="shared" si="206"/>
        <v>32290</v>
      </c>
      <c r="AX252" s="793">
        <f t="shared" si="207"/>
        <v>365</v>
      </c>
      <c r="AY252" s="793">
        <f t="shared" si="208"/>
        <v>3068</v>
      </c>
      <c r="AZ252" s="818">
        <f t="shared" si="209"/>
        <v>21484</v>
      </c>
      <c r="BA252" s="818">
        <f t="shared" si="210"/>
        <v>10806</v>
      </c>
    </row>
    <row r="253" spans="1:53" ht="15" customHeight="1" x14ac:dyDescent="0.25">
      <c r="A253" s="842" t="s">
        <v>133</v>
      </c>
      <c r="B253" s="843" t="s">
        <v>1267</v>
      </c>
      <c r="C253" s="778">
        <f t="shared" si="166"/>
        <v>9.5000000000000001E-2</v>
      </c>
      <c r="D253" s="844">
        <v>10</v>
      </c>
      <c r="E253" s="779" t="s">
        <v>1182</v>
      </c>
      <c r="F253" s="845">
        <v>43191</v>
      </c>
      <c r="G253" s="781">
        <f t="shared" si="167"/>
        <v>43191</v>
      </c>
      <c r="H253" s="781">
        <f t="shared" si="168"/>
        <v>46841</v>
      </c>
      <c r="I253" s="1359">
        <v>34520</v>
      </c>
      <c r="J253" s="805">
        <f t="shared" si="169"/>
        <v>1726</v>
      </c>
      <c r="K253" s="1404"/>
      <c r="L253" s="1410">
        <v>0</v>
      </c>
      <c r="M253" s="793">
        <f t="shared" si="170"/>
        <v>34520</v>
      </c>
      <c r="N253" s="793">
        <f t="shared" si="171"/>
        <v>365</v>
      </c>
      <c r="O253" s="793">
        <f t="shared" si="172"/>
        <v>3279</v>
      </c>
      <c r="P253" s="793">
        <f t="shared" si="173"/>
        <v>3279</v>
      </c>
      <c r="Q253" s="1365">
        <f t="shared" si="174"/>
        <v>31241</v>
      </c>
      <c r="R253" s="1411">
        <f t="shared" si="175"/>
        <v>31241</v>
      </c>
      <c r="S253" s="793">
        <f t="shared" si="176"/>
        <v>34520</v>
      </c>
      <c r="T253" s="805">
        <f t="shared" si="177"/>
        <v>366</v>
      </c>
      <c r="U253" s="805">
        <f t="shared" si="178"/>
        <v>3279</v>
      </c>
      <c r="V253" s="793">
        <f t="shared" si="179"/>
        <v>6558</v>
      </c>
      <c r="W253" s="1365">
        <f t="shared" si="180"/>
        <v>27962</v>
      </c>
      <c r="X253" s="1410">
        <f t="shared" si="181"/>
        <v>27962</v>
      </c>
      <c r="Y253" s="805">
        <f t="shared" si="182"/>
        <v>34520</v>
      </c>
      <c r="Z253" s="805">
        <f t="shared" si="183"/>
        <v>365</v>
      </c>
      <c r="AA253" s="805">
        <f t="shared" si="184"/>
        <v>3279</v>
      </c>
      <c r="AB253" s="805">
        <f t="shared" si="185"/>
        <v>9837</v>
      </c>
      <c r="AC253" s="1360">
        <f t="shared" si="186"/>
        <v>24683</v>
      </c>
      <c r="AD253" s="1412">
        <f t="shared" si="187"/>
        <v>24683</v>
      </c>
      <c r="AE253" s="793">
        <f t="shared" si="188"/>
        <v>34520</v>
      </c>
      <c r="AF253" s="793">
        <f t="shared" si="189"/>
        <v>365</v>
      </c>
      <c r="AG253" s="793">
        <f t="shared" si="190"/>
        <v>3279</v>
      </c>
      <c r="AH253" s="805">
        <f t="shared" si="191"/>
        <v>13116</v>
      </c>
      <c r="AI253" s="805">
        <f t="shared" si="192"/>
        <v>21404</v>
      </c>
      <c r="AJ253" s="793">
        <f t="shared" si="193"/>
        <v>21404</v>
      </c>
      <c r="AK253" s="793">
        <f t="shared" si="194"/>
        <v>34520</v>
      </c>
      <c r="AL253" s="793">
        <f t="shared" si="195"/>
        <v>365</v>
      </c>
      <c r="AM253" s="793">
        <f t="shared" si="196"/>
        <v>3279</v>
      </c>
      <c r="AN253" s="805">
        <f t="shared" si="197"/>
        <v>16395</v>
      </c>
      <c r="AO253" s="805">
        <f t="shared" si="198"/>
        <v>18125</v>
      </c>
      <c r="AP253" s="818">
        <f t="shared" si="199"/>
        <v>18125</v>
      </c>
      <c r="AQ253" s="818">
        <f t="shared" si="200"/>
        <v>34520</v>
      </c>
      <c r="AR253" s="818">
        <f t="shared" si="201"/>
        <v>366</v>
      </c>
      <c r="AS253" s="818">
        <f t="shared" si="202"/>
        <v>3288</v>
      </c>
      <c r="AT253" s="818">
        <f t="shared" si="203"/>
        <v>19683</v>
      </c>
      <c r="AU253" s="818">
        <f t="shared" si="204"/>
        <v>14837</v>
      </c>
      <c r="AV253" s="793">
        <f t="shared" si="205"/>
        <v>14837</v>
      </c>
      <c r="AW253" s="793">
        <f t="shared" si="206"/>
        <v>34520</v>
      </c>
      <c r="AX253" s="793">
        <f t="shared" si="207"/>
        <v>365</v>
      </c>
      <c r="AY253" s="793">
        <f t="shared" si="208"/>
        <v>3279</v>
      </c>
      <c r="AZ253" s="818">
        <f t="shared" si="209"/>
        <v>22962</v>
      </c>
      <c r="BA253" s="818">
        <f t="shared" si="210"/>
        <v>11558</v>
      </c>
    </row>
    <row r="254" spans="1:53" ht="15" customHeight="1" x14ac:dyDescent="0.25">
      <c r="A254" s="842" t="s">
        <v>133</v>
      </c>
      <c r="B254" s="843" t="s">
        <v>1267</v>
      </c>
      <c r="C254" s="778">
        <f t="shared" si="166"/>
        <v>9.5000000000000001E-2</v>
      </c>
      <c r="D254" s="844">
        <v>10</v>
      </c>
      <c r="E254" s="779" t="s">
        <v>1182</v>
      </c>
      <c r="F254" s="845">
        <v>43191</v>
      </c>
      <c r="G254" s="781">
        <f t="shared" si="167"/>
        <v>43191</v>
      </c>
      <c r="H254" s="781">
        <f t="shared" si="168"/>
        <v>46841</v>
      </c>
      <c r="I254" s="1359">
        <v>37520</v>
      </c>
      <c r="J254" s="805">
        <f t="shared" si="169"/>
        <v>1876</v>
      </c>
      <c r="K254" s="1404"/>
      <c r="L254" s="1410">
        <v>0</v>
      </c>
      <c r="M254" s="793">
        <f t="shared" si="170"/>
        <v>37520</v>
      </c>
      <c r="N254" s="793">
        <f t="shared" si="171"/>
        <v>365</v>
      </c>
      <c r="O254" s="793">
        <f t="shared" si="172"/>
        <v>3564</v>
      </c>
      <c r="P254" s="793">
        <f t="shared" si="173"/>
        <v>3564</v>
      </c>
      <c r="Q254" s="1365">
        <f t="shared" si="174"/>
        <v>33956</v>
      </c>
      <c r="R254" s="1411">
        <f t="shared" si="175"/>
        <v>33956</v>
      </c>
      <c r="S254" s="793">
        <f t="shared" si="176"/>
        <v>37520</v>
      </c>
      <c r="T254" s="805">
        <f t="shared" si="177"/>
        <v>366</v>
      </c>
      <c r="U254" s="805">
        <f t="shared" si="178"/>
        <v>3564</v>
      </c>
      <c r="V254" s="793">
        <f t="shared" si="179"/>
        <v>7128</v>
      </c>
      <c r="W254" s="1365">
        <f t="shared" si="180"/>
        <v>30392</v>
      </c>
      <c r="X254" s="1410">
        <f t="shared" si="181"/>
        <v>30392</v>
      </c>
      <c r="Y254" s="805">
        <f t="shared" si="182"/>
        <v>37520</v>
      </c>
      <c r="Z254" s="805">
        <f t="shared" si="183"/>
        <v>365</v>
      </c>
      <c r="AA254" s="805">
        <f t="shared" si="184"/>
        <v>3564</v>
      </c>
      <c r="AB254" s="805">
        <f t="shared" si="185"/>
        <v>10692</v>
      </c>
      <c r="AC254" s="1360">
        <f t="shared" si="186"/>
        <v>26828</v>
      </c>
      <c r="AD254" s="1412">
        <f t="shared" si="187"/>
        <v>26828</v>
      </c>
      <c r="AE254" s="793">
        <f t="shared" si="188"/>
        <v>37520</v>
      </c>
      <c r="AF254" s="793">
        <f t="shared" si="189"/>
        <v>365</v>
      </c>
      <c r="AG254" s="793">
        <f t="shared" si="190"/>
        <v>3564</v>
      </c>
      <c r="AH254" s="805">
        <f t="shared" si="191"/>
        <v>14256</v>
      </c>
      <c r="AI254" s="805">
        <f t="shared" si="192"/>
        <v>23264</v>
      </c>
      <c r="AJ254" s="793">
        <f t="shared" si="193"/>
        <v>23264</v>
      </c>
      <c r="AK254" s="793">
        <f t="shared" si="194"/>
        <v>37520</v>
      </c>
      <c r="AL254" s="793">
        <f t="shared" si="195"/>
        <v>365</v>
      </c>
      <c r="AM254" s="793">
        <f t="shared" si="196"/>
        <v>3564</v>
      </c>
      <c r="AN254" s="805">
        <f t="shared" si="197"/>
        <v>17820</v>
      </c>
      <c r="AO254" s="805">
        <f t="shared" si="198"/>
        <v>19700</v>
      </c>
      <c r="AP254" s="818">
        <f t="shared" si="199"/>
        <v>19700</v>
      </c>
      <c r="AQ254" s="818">
        <f t="shared" si="200"/>
        <v>37520</v>
      </c>
      <c r="AR254" s="818">
        <f t="shared" si="201"/>
        <v>366</v>
      </c>
      <c r="AS254" s="818">
        <f t="shared" si="202"/>
        <v>3574</v>
      </c>
      <c r="AT254" s="818">
        <f t="shared" si="203"/>
        <v>21394</v>
      </c>
      <c r="AU254" s="818">
        <f t="shared" si="204"/>
        <v>16126</v>
      </c>
      <c r="AV254" s="793">
        <f t="shared" si="205"/>
        <v>16126</v>
      </c>
      <c r="AW254" s="793">
        <f t="shared" si="206"/>
        <v>37520</v>
      </c>
      <c r="AX254" s="793">
        <f t="shared" si="207"/>
        <v>365</v>
      </c>
      <c r="AY254" s="793">
        <f t="shared" si="208"/>
        <v>3564</v>
      </c>
      <c r="AZ254" s="818">
        <f t="shared" si="209"/>
        <v>24958</v>
      </c>
      <c r="BA254" s="818">
        <f t="shared" si="210"/>
        <v>12562</v>
      </c>
    </row>
    <row r="255" spans="1:53" ht="15" customHeight="1" x14ac:dyDescent="0.25">
      <c r="A255" s="842" t="s">
        <v>133</v>
      </c>
      <c r="B255" s="843" t="s">
        <v>1267</v>
      </c>
      <c r="C255" s="778">
        <f t="shared" si="166"/>
        <v>9.5000000000000001E-2</v>
      </c>
      <c r="D255" s="844">
        <v>10</v>
      </c>
      <c r="E255" s="779" t="s">
        <v>1182</v>
      </c>
      <c r="F255" s="845">
        <v>43191</v>
      </c>
      <c r="G255" s="781">
        <f t="shared" si="167"/>
        <v>43191</v>
      </c>
      <c r="H255" s="781">
        <f t="shared" si="168"/>
        <v>46841</v>
      </c>
      <c r="I255" s="1359">
        <v>36175.300000000003</v>
      </c>
      <c r="J255" s="805">
        <f t="shared" si="169"/>
        <v>1808.7650000000003</v>
      </c>
      <c r="K255" s="1404"/>
      <c r="L255" s="1410">
        <v>0</v>
      </c>
      <c r="M255" s="793">
        <f t="shared" si="170"/>
        <v>36175.300000000003</v>
      </c>
      <c r="N255" s="793">
        <f t="shared" si="171"/>
        <v>365</v>
      </c>
      <c r="O255" s="793">
        <f t="shared" si="172"/>
        <v>3437</v>
      </c>
      <c r="P255" s="793">
        <f t="shared" si="173"/>
        <v>3437</v>
      </c>
      <c r="Q255" s="1365">
        <f t="shared" si="174"/>
        <v>32738.300000000003</v>
      </c>
      <c r="R255" s="1411">
        <f t="shared" si="175"/>
        <v>32738.300000000003</v>
      </c>
      <c r="S255" s="793">
        <f t="shared" si="176"/>
        <v>36175.300000000003</v>
      </c>
      <c r="T255" s="805">
        <f t="shared" si="177"/>
        <v>366</v>
      </c>
      <c r="U255" s="805">
        <f t="shared" si="178"/>
        <v>3437</v>
      </c>
      <c r="V255" s="793">
        <f t="shared" si="179"/>
        <v>6874</v>
      </c>
      <c r="W255" s="1365">
        <f t="shared" si="180"/>
        <v>29301.300000000003</v>
      </c>
      <c r="X255" s="1410">
        <f t="shared" si="181"/>
        <v>29301.300000000003</v>
      </c>
      <c r="Y255" s="805">
        <f t="shared" si="182"/>
        <v>36175.300000000003</v>
      </c>
      <c r="Z255" s="805">
        <f t="shared" si="183"/>
        <v>365</v>
      </c>
      <c r="AA255" s="805">
        <f t="shared" si="184"/>
        <v>3437</v>
      </c>
      <c r="AB255" s="805">
        <f t="shared" si="185"/>
        <v>10311</v>
      </c>
      <c r="AC255" s="1360">
        <f t="shared" si="186"/>
        <v>25864.300000000003</v>
      </c>
      <c r="AD255" s="1412">
        <f t="shared" si="187"/>
        <v>25864.300000000003</v>
      </c>
      <c r="AE255" s="793">
        <f t="shared" si="188"/>
        <v>36175.300000000003</v>
      </c>
      <c r="AF255" s="793">
        <f t="shared" si="189"/>
        <v>365</v>
      </c>
      <c r="AG255" s="793">
        <f t="shared" si="190"/>
        <v>3437</v>
      </c>
      <c r="AH255" s="805">
        <f t="shared" si="191"/>
        <v>13748</v>
      </c>
      <c r="AI255" s="805">
        <f t="shared" si="192"/>
        <v>22427.300000000003</v>
      </c>
      <c r="AJ255" s="793">
        <f t="shared" si="193"/>
        <v>22427.300000000003</v>
      </c>
      <c r="AK255" s="793">
        <f t="shared" si="194"/>
        <v>36175.300000000003</v>
      </c>
      <c r="AL255" s="793">
        <f t="shared" si="195"/>
        <v>365</v>
      </c>
      <c r="AM255" s="793">
        <f t="shared" si="196"/>
        <v>3437</v>
      </c>
      <c r="AN255" s="805">
        <f t="shared" si="197"/>
        <v>17185</v>
      </c>
      <c r="AO255" s="805">
        <f t="shared" si="198"/>
        <v>18990.300000000003</v>
      </c>
      <c r="AP255" s="818">
        <f t="shared" si="199"/>
        <v>18990.300000000003</v>
      </c>
      <c r="AQ255" s="818">
        <f t="shared" si="200"/>
        <v>36175.300000000003</v>
      </c>
      <c r="AR255" s="818">
        <f t="shared" si="201"/>
        <v>366</v>
      </c>
      <c r="AS255" s="818">
        <f t="shared" si="202"/>
        <v>3446</v>
      </c>
      <c r="AT255" s="818">
        <f t="shared" si="203"/>
        <v>20631</v>
      </c>
      <c r="AU255" s="818">
        <f t="shared" si="204"/>
        <v>15544.300000000003</v>
      </c>
      <c r="AV255" s="793">
        <f t="shared" si="205"/>
        <v>15544.300000000003</v>
      </c>
      <c r="AW255" s="793">
        <f t="shared" si="206"/>
        <v>36175.300000000003</v>
      </c>
      <c r="AX255" s="793">
        <f t="shared" si="207"/>
        <v>365</v>
      </c>
      <c r="AY255" s="793">
        <f t="shared" si="208"/>
        <v>3437</v>
      </c>
      <c r="AZ255" s="818">
        <f t="shared" si="209"/>
        <v>24068</v>
      </c>
      <c r="BA255" s="818">
        <f t="shared" si="210"/>
        <v>12107.300000000003</v>
      </c>
    </row>
    <row r="256" spans="1:53" ht="15" customHeight="1" x14ac:dyDescent="0.25">
      <c r="A256" s="842" t="s">
        <v>133</v>
      </c>
      <c r="B256" s="843" t="s">
        <v>1267</v>
      </c>
      <c r="C256" s="778">
        <f t="shared" si="166"/>
        <v>9.5000000000000001E-2</v>
      </c>
      <c r="D256" s="844">
        <v>10</v>
      </c>
      <c r="E256" s="779" t="s">
        <v>1182</v>
      </c>
      <c r="F256" s="845">
        <v>43191</v>
      </c>
      <c r="G256" s="781">
        <f t="shared" si="167"/>
        <v>43191</v>
      </c>
      <c r="H256" s="781">
        <f t="shared" si="168"/>
        <v>46841</v>
      </c>
      <c r="I256" s="1359">
        <v>480635</v>
      </c>
      <c r="J256" s="805">
        <f t="shared" si="169"/>
        <v>24031.75</v>
      </c>
      <c r="K256" s="1404"/>
      <c r="L256" s="1410">
        <v>0</v>
      </c>
      <c r="M256" s="793">
        <f t="shared" si="170"/>
        <v>480635</v>
      </c>
      <c r="N256" s="793">
        <f t="shared" si="171"/>
        <v>365</v>
      </c>
      <c r="O256" s="793">
        <f t="shared" si="172"/>
        <v>45660</v>
      </c>
      <c r="P256" s="793">
        <f t="shared" si="173"/>
        <v>45660</v>
      </c>
      <c r="Q256" s="1365">
        <f t="shared" si="174"/>
        <v>434975</v>
      </c>
      <c r="R256" s="1411">
        <f t="shared" si="175"/>
        <v>434975</v>
      </c>
      <c r="S256" s="793">
        <f t="shared" si="176"/>
        <v>480635</v>
      </c>
      <c r="T256" s="805">
        <f t="shared" si="177"/>
        <v>366</v>
      </c>
      <c r="U256" s="805">
        <f t="shared" si="178"/>
        <v>45660</v>
      </c>
      <c r="V256" s="793">
        <f t="shared" si="179"/>
        <v>91320</v>
      </c>
      <c r="W256" s="1365">
        <f t="shared" si="180"/>
        <v>389315</v>
      </c>
      <c r="X256" s="1410">
        <f t="shared" si="181"/>
        <v>389315</v>
      </c>
      <c r="Y256" s="805">
        <f t="shared" si="182"/>
        <v>480635</v>
      </c>
      <c r="Z256" s="805">
        <f t="shared" si="183"/>
        <v>365</v>
      </c>
      <c r="AA256" s="805">
        <f t="shared" si="184"/>
        <v>45660</v>
      </c>
      <c r="AB256" s="805">
        <f t="shared" si="185"/>
        <v>136980</v>
      </c>
      <c r="AC256" s="1360">
        <f t="shared" si="186"/>
        <v>343655</v>
      </c>
      <c r="AD256" s="1412">
        <f t="shared" si="187"/>
        <v>343655</v>
      </c>
      <c r="AE256" s="793">
        <f t="shared" si="188"/>
        <v>480635</v>
      </c>
      <c r="AF256" s="793">
        <f t="shared" si="189"/>
        <v>365</v>
      </c>
      <c r="AG256" s="793">
        <f t="shared" si="190"/>
        <v>45660</v>
      </c>
      <c r="AH256" s="805">
        <f t="shared" si="191"/>
        <v>182640</v>
      </c>
      <c r="AI256" s="805">
        <f t="shared" si="192"/>
        <v>297995</v>
      </c>
      <c r="AJ256" s="793">
        <f t="shared" si="193"/>
        <v>297995</v>
      </c>
      <c r="AK256" s="793">
        <f t="shared" si="194"/>
        <v>480635</v>
      </c>
      <c r="AL256" s="793">
        <f t="shared" si="195"/>
        <v>365</v>
      </c>
      <c r="AM256" s="793">
        <f t="shared" si="196"/>
        <v>45660</v>
      </c>
      <c r="AN256" s="805">
        <f t="shared" si="197"/>
        <v>228300</v>
      </c>
      <c r="AO256" s="805">
        <f t="shared" si="198"/>
        <v>252335</v>
      </c>
      <c r="AP256" s="818">
        <f t="shared" si="199"/>
        <v>252335</v>
      </c>
      <c r="AQ256" s="818">
        <f t="shared" si="200"/>
        <v>480635</v>
      </c>
      <c r="AR256" s="818">
        <f t="shared" si="201"/>
        <v>366</v>
      </c>
      <c r="AS256" s="818">
        <f t="shared" si="202"/>
        <v>45785</v>
      </c>
      <c r="AT256" s="818">
        <f t="shared" si="203"/>
        <v>274085</v>
      </c>
      <c r="AU256" s="818">
        <f t="shared" si="204"/>
        <v>206550</v>
      </c>
      <c r="AV256" s="793">
        <f t="shared" si="205"/>
        <v>206550</v>
      </c>
      <c r="AW256" s="793">
        <f t="shared" si="206"/>
        <v>480635</v>
      </c>
      <c r="AX256" s="793">
        <f t="shared" si="207"/>
        <v>365</v>
      </c>
      <c r="AY256" s="793">
        <f t="shared" si="208"/>
        <v>45660</v>
      </c>
      <c r="AZ256" s="818">
        <f t="shared" si="209"/>
        <v>319745</v>
      </c>
      <c r="BA256" s="818">
        <f t="shared" si="210"/>
        <v>160890</v>
      </c>
    </row>
    <row r="257" spans="1:53" ht="15" customHeight="1" x14ac:dyDescent="0.25">
      <c r="A257" s="842" t="s">
        <v>133</v>
      </c>
      <c r="B257" s="843" t="s">
        <v>1270</v>
      </c>
      <c r="C257" s="778">
        <f t="shared" si="166"/>
        <v>9.5000000000000001E-2</v>
      </c>
      <c r="D257" s="844">
        <v>10</v>
      </c>
      <c r="E257" s="779" t="s">
        <v>1182</v>
      </c>
      <c r="F257" s="845">
        <v>43191</v>
      </c>
      <c r="G257" s="781">
        <f t="shared" si="167"/>
        <v>43191</v>
      </c>
      <c r="H257" s="781">
        <f t="shared" si="168"/>
        <v>46841</v>
      </c>
      <c r="I257" s="1359">
        <v>277500</v>
      </c>
      <c r="J257" s="805">
        <f t="shared" si="169"/>
        <v>13875</v>
      </c>
      <c r="K257" s="1404"/>
      <c r="L257" s="1410">
        <v>0</v>
      </c>
      <c r="M257" s="793">
        <f t="shared" si="170"/>
        <v>277500</v>
      </c>
      <c r="N257" s="793">
        <f t="shared" si="171"/>
        <v>365</v>
      </c>
      <c r="O257" s="793">
        <f t="shared" si="172"/>
        <v>26363</v>
      </c>
      <c r="P257" s="793">
        <f t="shared" si="173"/>
        <v>26363</v>
      </c>
      <c r="Q257" s="1365">
        <f t="shared" si="174"/>
        <v>251137</v>
      </c>
      <c r="R257" s="1411">
        <f t="shared" si="175"/>
        <v>251137</v>
      </c>
      <c r="S257" s="793">
        <f t="shared" si="176"/>
        <v>277500</v>
      </c>
      <c r="T257" s="805">
        <f t="shared" si="177"/>
        <v>366</v>
      </c>
      <c r="U257" s="805">
        <f t="shared" si="178"/>
        <v>26363</v>
      </c>
      <c r="V257" s="793">
        <f t="shared" si="179"/>
        <v>52726</v>
      </c>
      <c r="W257" s="1365">
        <f t="shared" si="180"/>
        <v>224774</v>
      </c>
      <c r="X257" s="1410">
        <f t="shared" si="181"/>
        <v>224774</v>
      </c>
      <c r="Y257" s="805">
        <f t="shared" si="182"/>
        <v>277500</v>
      </c>
      <c r="Z257" s="805">
        <f t="shared" si="183"/>
        <v>365</v>
      </c>
      <c r="AA257" s="805">
        <f t="shared" si="184"/>
        <v>26363</v>
      </c>
      <c r="AB257" s="805">
        <f t="shared" si="185"/>
        <v>79089</v>
      </c>
      <c r="AC257" s="1360">
        <f t="shared" si="186"/>
        <v>198411</v>
      </c>
      <c r="AD257" s="1412">
        <f t="shared" si="187"/>
        <v>198411</v>
      </c>
      <c r="AE257" s="793">
        <f t="shared" si="188"/>
        <v>277500</v>
      </c>
      <c r="AF257" s="793">
        <f t="shared" si="189"/>
        <v>365</v>
      </c>
      <c r="AG257" s="793">
        <f t="shared" si="190"/>
        <v>26363</v>
      </c>
      <c r="AH257" s="805">
        <f t="shared" si="191"/>
        <v>105452</v>
      </c>
      <c r="AI257" s="805">
        <f t="shared" si="192"/>
        <v>172048</v>
      </c>
      <c r="AJ257" s="793">
        <f t="shared" si="193"/>
        <v>172048</v>
      </c>
      <c r="AK257" s="793">
        <f t="shared" si="194"/>
        <v>277500</v>
      </c>
      <c r="AL257" s="793">
        <f t="shared" si="195"/>
        <v>365</v>
      </c>
      <c r="AM257" s="793">
        <f t="shared" si="196"/>
        <v>26363</v>
      </c>
      <c r="AN257" s="805">
        <f t="shared" si="197"/>
        <v>131815</v>
      </c>
      <c r="AO257" s="805">
        <f t="shared" si="198"/>
        <v>145685</v>
      </c>
      <c r="AP257" s="818">
        <f t="shared" si="199"/>
        <v>145685</v>
      </c>
      <c r="AQ257" s="818">
        <f t="shared" si="200"/>
        <v>277500</v>
      </c>
      <c r="AR257" s="818">
        <f t="shared" si="201"/>
        <v>366</v>
      </c>
      <c r="AS257" s="818">
        <f t="shared" si="202"/>
        <v>26435</v>
      </c>
      <c r="AT257" s="818">
        <f t="shared" si="203"/>
        <v>158250</v>
      </c>
      <c r="AU257" s="818">
        <f t="shared" si="204"/>
        <v>119250</v>
      </c>
      <c r="AV257" s="793">
        <f t="shared" si="205"/>
        <v>119250</v>
      </c>
      <c r="AW257" s="793">
        <f t="shared" si="206"/>
        <v>277500</v>
      </c>
      <c r="AX257" s="793">
        <f t="shared" si="207"/>
        <v>365</v>
      </c>
      <c r="AY257" s="793">
        <f t="shared" si="208"/>
        <v>26363</v>
      </c>
      <c r="AZ257" s="818">
        <f t="shared" si="209"/>
        <v>184613</v>
      </c>
      <c r="BA257" s="818">
        <f t="shared" si="210"/>
        <v>92887</v>
      </c>
    </row>
    <row r="258" spans="1:53" ht="15" customHeight="1" x14ac:dyDescent="0.25">
      <c r="A258" s="842" t="s">
        <v>133</v>
      </c>
      <c r="B258" s="843" t="s">
        <v>1270</v>
      </c>
      <c r="C258" s="778">
        <f t="shared" si="166"/>
        <v>9.5000000000000001E-2</v>
      </c>
      <c r="D258" s="844">
        <v>10</v>
      </c>
      <c r="E258" s="779" t="s">
        <v>1182</v>
      </c>
      <c r="F258" s="845">
        <v>43191</v>
      </c>
      <c r="G258" s="781">
        <f t="shared" si="167"/>
        <v>43191</v>
      </c>
      <c r="H258" s="781">
        <f t="shared" si="168"/>
        <v>46841</v>
      </c>
      <c r="I258" s="1359">
        <v>241000</v>
      </c>
      <c r="J258" s="805">
        <f t="shared" si="169"/>
        <v>12050</v>
      </c>
      <c r="K258" s="1404"/>
      <c r="L258" s="1410">
        <v>0</v>
      </c>
      <c r="M258" s="793">
        <f t="shared" si="170"/>
        <v>241000</v>
      </c>
      <c r="N258" s="793">
        <f t="shared" si="171"/>
        <v>365</v>
      </c>
      <c r="O258" s="793">
        <f t="shared" si="172"/>
        <v>22895</v>
      </c>
      <c r="P258" s="793">
        <f t="shared" si="173"/>
        <v>22895</v>
      </c>
      <c r="Q258" s="1365">
        <f t="shared" si="174"/>
        <v>218105</v>
      </c>
      <c r="R258" s="1411">
        <f t="shared" si="175"/>
        <v>218105</v>
      </c>
      <c r="S258" s="793">
        <f t="shared" si="176"/>
        <v>241000</v>
      </c>
      <c r="T258" s="805">
        <f t="shared" si="177"/>
        <v>366</v>
      </c>
      <c r="U258" s="805">
        <f t="shared" si="178"/>
        <v>22895</v>
      </c>
      <c r="V258" s="793">
        <f t="shared" si="179"/>
        <v>45790</v>
      </c>
      <c r="W258" s="1365">
        <f t="shared" si="180"/>
        <v>195210</v>
      </c>
      <c r="X258" s="1410">
        <f t="shared" si="181"/>
        <v>195210</v>
      </c>
      <c r="Y258" s="805">
        <f t="shared" si="182"/>
        <v>241000</v>
      </c>
      <c r="Z258" s="805">
        <f t="shared" si="183"/>
        <v>365</v>
      </c>
      <c r="AA258" s="805">
        <f t="shared" si="184"/>
        <v>22895</v>
      </c>
      <c r="AB258" s="805">
        <f t="shared" si="185"/>
        <v>68685</v>
      </c>
      <c r="AC258" s="1360">
        <f t="shared" si="186"/>
        <v>172315</v>
      </c>
      <c r="AD258" s="1412">
        <f t="shared" si="187"/>
        <v>172315</v>
      </c>
      <c r="AE258" s="793">
        <f t="shared" si="188"/>
        <v>241000</v>
      </c>
      <c r="AF258" s="793">
        <f t="shared" si="189"/>
        <v>365</v>
      </c>
      <c r="AG258" s="793">
        <f t="shared" si="190"/>
        <v>22895</v>
      </c>
      <c r="AH258" s="805">
        <f t="shared" si="191"/>
        <v>91580</v>
      </c>
      <c r="AI258" s="805">
        <f t="shared" si="192"/>
        <v>149420</v>
      </c>
      <c r="AJ258" s="793">
        <f t="shared" si="193"/>
        <v>149420</v>
      </c>
      <c r="AK258" s="793">
        <f t="shared" si="194"/>
        <v>241000</v>
      </c>
      <c r="AL258" s="793">
        <f t="shared" si="195"/>
        <v>365</v>
      </c>
      <c r="AM258" s="793">
        <f t="shared" si="196"/>
        <v>22895</v>
      </c>
      <c r="AN258" s="805">
        <f t="shared" si="197"/>
        <v>114475</v>
      </c>
      <c r="AO258" s="805">
        <f t="shared" si="198"/>
        <v>126525</v>
      </c>
      <c r="AP258" s="818">
        <f t="shared" si="199"/>
        <v>126525</v>
      </c>
      <c r="AQ258" s="818">
        <f t="shared" si="200"/>
        <v>241000</v>
      </c>
      <c r="AR258" s="818">
        <f t="shared" si="201"/>
        <v>366</v>
      </c>
      <c r="AS258" s="818">
        <f t="shared" si="202"/>
        <v>22958</v>
      </c>
      <c r="AT258" s="818">
        <f t="shared" si="203"/>
        <v>137433</v>
      </c>
      <c r="AU258" s="818">
        <f t="shared" si="204"/>
        <v>103567</v>
      </c>
      <c r="AV258" s="793">
        <f t="shared" si="205"/>
        <v>103567</v>
      </c>
      <c r="AW258" s="793">
        <f t="shared" si="206"/>
        <v>241000</v>
      </c>
      <c r="AX258" s="793">
        <f t="shared" si="207"/>
        <v>365</v>
      </c>
      <c r="AY258" s="793">
        <f t="shared" si="208"/>
        <v>22895</v>
      </c>
      <c r="AZ258" s="818">
        <f t="shared" si="209"/>
        <v>160328</v>
      </c>
      <c r="BA258" s="818">
        <f t="shared" si="210"/>
        <v>80672</v>
      </c>
    </row>
    <row r="259" spans="1:53" ht="15" customHeight="1" x14ac:dyDescent="0.25">
      <c r="A259" s="842" t="s">
        <v>133</v>
      </c>
      <c r="B259" s="843" t="s">
        <v>1270</v>
      </c>
      <c r="C259" s="778">
        <f t="shared" si="166"/>
        <v>9.5000000000000001E-2</v>
      </c>
      <c r="D259" s="844">
        <v>10</v>
      </c>
      <c r="E259" s="779" t="s">
        <v>1182</v>
      </c>
      <c r="F259" s="845">
        <v>43191</v>
      </c>
      <c r="G259" s="781">
        <f t="shared" si="167"/>
        <v>43191</v>
      </c>
      <c r="H259" s="781">
        <f t="shared" si="168"/>
        <v>46841</v>
      </c>
      <c r="I259" s="1359">
        <v>511500</v>
      </c>
      <c r="J259" s="805">
        <f t="shared" si="169"/>
        <v>25575</v>
      </c>
      <c r="K259" s="1404"/>
      <c r="L259" s="1410">
        <v>0</v>
      </c>
      <c r="M259" s="793">
        <f t="shared" si="170"/>
        <v>511500</v>
      </c>
      <c r="N259" s="793">
        <f t="shared" si="171"/>
        <v>365</v>
      </c>
      <c r="O259" s="793">
        <f t="shared" si="172"/>
        <v>48593</v>
      </c>
      <c r="P259" s="793">
        <f t="shared" si="173"/>
        <v>48593</v>
      </c>
      <c r="Q259" s="1365">
        <f t="shared" si="174"/>
        <v>462907</v>
      </c>
      <c r="R259" s="1411">
        <f t="shared" si="175"/>
        <v>462907</v>
      </c>
      <c r="S259" s="793">
        <f t="shared" si="176"/>
        <v>511500</v>
      </c>
      <c r="T259" s="805">
        <f t="shared" si="177"/>
        <v>366</v>
      </c>
      <c r="U259" s="805">
        <f t="shared" si="178"/>
        <v>48593</v>
      </c>
      <c r="V259" s="793">
        <f t="shared" si="179"/>
        <v>97186</v>
      </c>
      <c r="W259" s="1365">
        <f t="shared" si="180"/>
        <v>414314</v>
      </c>
      <c r="X259" s="1410">
        <f t="shared" si="181"/>
        <v>414314</v>
      </c>
      <c r="Y259" s="805">
        <f t="shared" si="182"/>
        <v>511500</v>
      </c>
      <c r="Z259" s="805">
        <f t="shared" si="183"/>
        <v>365</v>
      </c>
      <c r="AA259" s="805">
        <f t="shared" si="184"/>
        <v>48593</v>
      </c>
      <c r="AB259" s="805">
        <f t="shared" si="185"/>
        <v>145779</v>
      </c>
      <c r="AC259" s="1360">
        <f t="shared" si="186"/>
        <v>365721</v>
      </c>
      <c r="AD259" s="1412">
        <f t="shared" si="187"/>
        <v>365721</v>
      </c>
      <c r="AE259" s="793">
        <f t="shared" si="188"/>
        <v>511500</v>
      </c>
      <c r="AF259" s="793">
        <f t="shared" si="189"/>
        <v>365</v>
      </c>
      <c r="AG259" s="793">
        <f t="shared" si="190"/>
        <v>48593</v>
      </c>
      <c r="AH259" s="805">
        <f t="shared" si="191"/>
        <v>194372</v>
      </c>
      <c r="AI259" s="805">
        <f t="shared" si="192"/>
        <v>317128</v>
      </c>
      <c r="AJ259" s="793">
        <f t="shared" si="193"/>
        <v>317128</v>
      </c>
      <c r="AK259" s="793">
        <f t="shared" si="194"/>
        <v>511500</v>
      </c>
      <c r="AL259" s="793">
        <f t="shared" si="195"/>
        <v>365</v>
      </c>
      <c r="AM259" s="793">
        <f t="shared" si="196"/>
        <v>48593</v>
      </c>
      <c r="AN259" s="805">
        <f t="shared" si="197"/>
        <v>242965</v>
      </c>
      <c r="AO259" s="805">
        <f t="shared" si="198"/>
        <v>268535</v>
      </c>
      <c r="AP259" s="818">
        <f t="shared" si="199"/>
        <v>268535</v>
      </c>
      <c r="AQ259" s="818">
        <f t="shared" si="200"/>
        <v>511500</v>
      </c>
      <c r="AR259" s="818">
        <f t="shared" si="201"/>
        <v>366</v>
      </c>
      <c r="AS259" s="818">
        <f t="shared" si="202"/>
        <v>48726</v>
      </c>
      <c r="AT259" s="818">
        <f t="shared" si="203"/>
        <v>291691</v>
      </c>
      <c r="AU259" s="818">
        <f t="shared" si="204"/>
        <v>219809</v>
      </c>
      <c r="AV259" s="793">
        <f t="shared" si="205"/>
        <v>219809</v>
      </c>
      <c r="AW259" s="793">
        <f t="shared" si="206"/>
        <v>511500</v>
      </c>
      <c r="AX259" s="793">
        <f t="shared" si="207"/>
        <v>365</v>
      </c>
      <c r="AY259" s="793">
        <f t="shared" si="208"/>
        <v>48593</v>
      </c>
      <c r="AZ259" s="818">
        <f t="shared" si="209"/>
        <v>340284</v>
      </c>
      <c r="BA259" s="818">
        <f t="shared" si="210"/>
        <v>171216</v>
      </c>
    </row>
    <row r="260" spans="1:53" ht="15" customHeight="1" x14ac:dyDescent="0.25">
      <c r="A260" s="842" t="s">
        <v>133</v>
      </c>
      <c r="B260" s="843" t="s">
        <v>1270</v>
      </c>
      <c r="C260" s="778">
        <f t="shared" si="166"/>
        <v>9.5000000000000001E-2</v>
      </c>
      <c r="D260" s="844">
        <v>10</v>
      </c>
      <c r="E260" s="779" t="s">
        <v>1182</v>
      </c>
      <c r="F260" s="845">
        <v>43191</v>
      </c>
      <c r="G260" s="781">
        <f t="shared" si="167"/>
        <v>43191</v>
      </c>
      <c r="H260" s="781">
        <f t="shared" si="168"/>
        <v>46841</v>
      </c>
      <c r="I260" s="1359">
        <v>182500</v>
      </c>
      <c r="J260" s="805">
        <f t="shared" si="169"/>
        <v>9125</v>
      </c>
      <c r="K260" s="1404"/>
      <c r="L260" s="1410">
        <v>0</v>
      </c>
      <c r="M260" s="793">
        <f t="shared" si="170"/>
        <v>182500</v>
      </c>
      <c r="N260" s="793">
        <f t="shared" si="171"/>
        <v>365</v>
      </c>
      <c r="O260" s="793">
        <f t="shared" si="172"/>
        <v>17338</v>
      </c>
      <c r="P260" s="793">
        <f t="shared" si="173"/>
        <v>17338</v>
      </c>
      <c r="Q260" s="1365">
        <f t="shared" si="174"/>
        <v>165162</v>
      </c>
      <c r="R260" s="1411">
        <f t="shared" si="175"/>
        <v>165162</v>
      </c>
      <c r="S260" s="793">
        <f t="shared" si="176"/>
        <v>182500</v>
      </c>
      <c r="T260" s="805">
        <f t="shared" si="177"/>
        <v>366</v>
      </c>
      <c r="U260" s="805">
        <f t="shared" si="178"/>
        <v>17338</v>
      </c>
      <c r="V260" s="793">
        <f t="shared" si="179"/>
        <v>34676</v>
      </c>
      <c r="W260" s="1365">
        <f t="shared" si="180"/>
        <v>147824</v>
      </c>
      <c r="X260" s="1410">
        <f t="shared" si="181"/>
        <v>147824</v>
      </c>
      <c r="Y260" s="805">
        <f t="shared" si="182"/>
        <v>182500</v>
      </c>
      <c r="Z260" s="805">
        <f t="shared" si="183"/>
        <v>365</v>
      </c>
      <c r="AA260" s="805">
        <f t="shared" si="184"/>
        <v>17338</v>
      </c>
      <c r="AB260" s="805">
        <f t="shared" si="185"/>
        <v>52014</v>
      </c>
      <c r="AC260" s="1360">
        <f t="shared" si="186"/>
        <v>130486</v>
      </c>
      <c r="AD260" s="1412">
        <f t="shared" si="187"/>
        <v>130486</v>
      </c>
      <c r="AE260" s="793">
        <f t="shared" si="188"/>
        <v>182500</v>
      </c>
      <c r="AF260" s="793">
        <f t="shared" si="189"/>
        <v>365</v>
      </c>
      <c r="AG260" s="793">
        <f t="shared" si="190"/>
        <v>17338</v>
      </c>
      <c r="AH260" s="805">
        <f t="shared" si="191"/>
        <v>69352</v>
      </c>
      <c r="AI260" s="805">
        <f t="shared" si="192"/>
        <v>113148</v>
      </c>
      <c r="AJ260" s="793">
        <f t="shared" si="193"/>
        <v>113148</v>
      </c>
      <c r="AK260" s="793">
        <f t="shared" si="194"/>
        <v>182500</v>
      </c>
      <c r="AL260" s="793">
        <f t="shared" si="195"/>
        <v>365</v>
      </c>
      <c r="AM260" s="793">
        <f t="shared" si="196"/>
        <v>17338</v>
      </c>
      <c r="AN260" s="805">
        <f t="shared" si="197"/>
        <v>86690</v>
      </c>
      <c r="AO260" s="805">
        <f t="shared" si="198"/>
        <v>95810</v>
      </c>
      <c r="AP260" s="818">
        <f t="shared" si="199"/>
        <v>95810</v>
      </c>
      <c r="AQ260" s="818">
        <f t="shared" si="200"/>
        <v>182500</v>
      </c>
      <c r="AR260" s="818">
        <f t="shared" si="201"/>
        <v>366</v>
      </c>
      <c r="AS260" s="818">
        <f t="shared" si="202"/>
        <v>17385</v>
      </c>
      <c r="AT260" s="818">
        <f t="shared" si="203"/>
        <v>104075</v>
      </c>
      <c r="AU260" s="818">
        <f t="shared" si="204"/>
        <v>78425</v>
      </c>
      <c r="AV260" s="793">
        <f t="shared" si="205"/>
        <v>78425</v>
      </c>
      <c r="AW260" s="793">
        <f t="shared" si="206"/>
        <v>182500</v>
      </c>
      <c r="AX260" s="793">
        <f t="shared" si="207"/>
        <v>365</v>
      </c>
      <c r="AY260" s="793">
        <f t="shared" si="208"/>
        <v>17338</v>
      </c>
      <c r="AZ260" s="818">
        <f t="shared" si="209"/>
        <v>121413</v>
      </c>
      <c r="BA260" s="818">
        <f t="shared" si="210"/>
        <v>61087</v>
      </c>
    </row>
    <row r="261" spans="1:53" ht="15" customHeight="1" x14ac:dyDescent="0.25">
      <c r="A261" s="842" t="s">
        <v>133</v>
      </c>
      <c r="B261" s="843" t="s">
        <v>1270</v>
      </c>
      <c r="C261" s="778">
        <f t="shared" si="166"/>
        <v>9.5000000000000001E-2</v>
      </c>
      <c r="D261" s="844">
        <v>10</v>
      </c>
      <c r="E261" s="779" t="s">
        <v>1182</v>
      </c>
      <c r="F261" s="845">
        <v>43191</v>
      </c>
      <c r="G261" s="781">
        <f t="shared" si="167"/>
        <v>43191</v>
      </c>
      <c r="H261" s="781">
        <f t="shared" si="168"/>
        <v>46841</v>
      </c>
      <c r="I261" s="1359">
        <v>37500</v>
      </c>
      <c r="J261" s="805">
        <f t="shared" si="169"/>
        <v>1875</v>
      </c>
      <c r="K261" s="1404"/>
      <c r="L261" s="1410">
        <v>0</v>
      </c>
      <c r="M261" s="793">
        <f t="shared" si="170"/>
        <v>37500</v>
      </c>
      <c r="N261" s="793">
        <f t="shared" si="171"/>
        <v>365</v>
      </c>
      <c r="O261" s="793">
        <f t="shared" si="172"/>
        <v>3563</v>
      </c>
      <c r="P261" s="793">
        <f t="shared" si="173"/>
        <v>3563</v>
      </c>
      <c r="Q261" s="1365">
        <f t="shared" si="174"/>
        <v>33937</v>
      </c>
      <c r="R261" s="1411">
        <f t="shared" si="175"/>
        <v>33937</v>
      </c>
      <c r="S261" s="793">
        <f t="shared" si="176"/>
        <v>37500</v>
      </c>
      <c r="T261" s="805">
        <f t="shared" si="177"/>
        <v>366</v>
      </c>
      <c r="U261" s="805">
        <f t="shared" si="178"/>
        <v>3563</v>
      </c>
      <c r="V261" s="793">
        <f t="shared" si="179"/>
        <v>7126</v>
      </c>
      <c r="W261" s="1365">
        <f t="shared" si="180"/>
        <v>30374</v>
      </c>
      <c r="X261" s="1410">
        <f t="shared" si="181"/>
        <v>30374</v>
      </c>
      <c r="Y261" s="805">
        <f t="shared" si="182"/>
        <v>37500</v>
      </c>
      <c r="Z261" s="805">
        <f t="shared" si="183"/>
        <v>365</v>
      </c>
      <c r="AA261" s="805">
        <f t="shared" si="184"/>
        <v>3563</v>
      </c>
      <c r="AB261" s="805">
        <f t="shared" si="185"/>
        <v>10689</v>
      </c>
      <c r="AC261" s="1360">
        <f t="shared" si="186"/>
        <v>26811</v>
      </c>
      <c r="AD261" s="1412">
        <f t="shared" si="187"/>
        <v>26811</v>
      </c>
      <c r="AE261" s="793">
        <f t="shared" si="188"/>
        <v>37500</v>
      </c>
      <c r="AF261" s="793">
        <f t="shared" si="189"/>
        <v>365</v>
      </c>
      <c r="AG261" s="793">
        <f t="shared" si="190"/>
        <v>3563</v>
      </c>
      <c r="AH261" s="805">
        <f t="shared" si="191"/>
        <v>14252</v>
      </c>
      <c r="AI261" s="805">
        <f t="shared" si="192"/>
        <v>23248</v>
      </c>
      <c r="AJ261" s="793">
        <f t="shared" si="193"/>
        <v>23248</v>
      </c>
      <c r="AK261" s="793">
        <f t="shared" si="194"/>
        <v>37500</v>
      </c>
      <c r="AL261" s="793">
        <f t="shared" si="195"/>
        <v>365</v>
      </c>
      <c r="AM261" s="793">
        <f t="shared" si="196"/>
        <v>3563</v>
      </c>
      <c r="AN261" s="805">
        <f t="shared" si="197"/>
        <v>17815</v>
      </c>
      <c r="AO261" s="805">
        <f t="shared" si="198"/>
        <v>19685</v>
      </c>
      <c r="AP261" s="818">
        <f t="shared" si="199"/>
        <v>19685</v>
      </c>
      <c r="AQ261" s="818">
        <f t="shared" si="200"/>
        <v>37500</v>
      </c>
      <c r="AR261" s="818">
        <f t="shared" si="201"/>
        <v>366</v>
      </c>
      <c r="AS261" s="818">
        <f t="shared" si="202"/>
        <v>3572</v>
      </c>
      <c r="AT261" s="818">
        <f t="shared" si="203"/>
        <v>21387</v>
      </c>
      <c r="AU261" s="818">
        <f t="shared" si="204"/>
        <v>16113</v>
      </c>
      <c r="AV261" s="793">
        <f t="shared" si="205"/>
        <v>16113</v>
      </c>
      <c r="AW261" s="793">
        <f t="shared" si="206"/>
        <v>37500</v>
      </c>
      <c r="AX261" s="793">
        <f t="shared" si="207"/>
        <v>365</v>
      </c>
      <c r="AY261" s="793">
        <f t="shared" si="208"/>
        <v>3563</v>
      </c>
      <c r="AZ261" s="818">
        <f t="shared" si="209"/>
        <v>24950</v>
      </c>
      <c r="BA261" s="818">
        <f t="shared" si="210"/>
        <v>12550</v>
      </c>
    </row>
    <row r="262" spans="1:53" ht="15" customHeight="1" x14ac:dyDescent="0.25">
      <c r="A262" s="842" t="s">
        <v>133</v>
      </c>
      <c r="B262" s="843" t="s">
        <v>1271</v>
      </c>
      <c r="C262" s="778">
        <f t="shared" si="166"/>
        <v>9.5000000000000001E-2</v>
      </c>
      <c r="D262" s="844">
        <v>10</v>
      </c>
      <c r="E262" s="779" t="s">
        <v>1182</v>
      </c>
      <c r="F262" s="845">
        <v>43191</v>
      </c>
      <c r="G262" s="781">
        <f t="shared" si="167"/>
        <v>43191</v>
      </c>
      <c r="H262" s="781">
        <f t="shared" si="168"/>
        <v>46841</v>
      </c>
      <c r="I262" s="1359">
        <v>40000</v>
      </c>
      <c r="J262" s="805">
        <f t="shared" si="169"/>
        <v>2000</v>
      </c>
      <c r="K262" s="1404"/>
      <c r="L262" s="1410">
        <v>0</v>
      </c>
      <c r="M262" s="793">
        <f t="shared" si="170"/>
        <v>40000</v>
      </c>
      <c r="N262" s="793">
        <f t="shared" si="171"/>
        <v>365</v>
      </c>
      <c r="O262" s="793">
        <f t="shared" si="172"/>
        <v>3800</v>
      </c>
      <c r="P262" s="793">
        <f t="shared" si="173"/>
        <v>3800</v>
      </c>
      <c r="Q262" s="1365">
        <f t="shared" si="174"/>
        <v>36200</v>
      </c>
      <c r="R262" s="1411">
        <f t="shared" si="175"/>
        <v>36200</v>
      </c>
      <c r="S262" s="793">
        <f t="shared" si="176"/>
        <v>40000</v>
      </c>
      <c r="T262" s="805">
        <f t="shared" si="177"/>
        <v>366</v>
      </c>
      <c r="U262" s="805">
        <f t="shared" si="178"/>
        <v>3800</v>
      </c>
      <c r="V262" s="793">
        <f t="shared" si="179"/>
        <v>7600</v>
      </c>
      <c r="W262" s="1365">
        <f t="shared" si="180"/>
        <v>32400</v>
      </c>
      <c r="X262" s="1410">
        <f t="shared" si="181"/>
        <v>32400</v>
      </c>
      <c r="Y262" s="805">
        <f t="shared" si="182"/>
        <v>40000</v>
      </c>
      <c r="Z262" s="805">
        <f t="shared" si="183"/>
        <v>365</v>
      </c>
      <c r="AA262" s="805">
        <f t="shared" si="184"/>
        <v>3800</v>
      </c>
      <c r="AB262" s="805">
        <f t="shared" si="185"/>
        <v>11400</v>
      </c>
      <c r="AC262" s="1360">
        <f t="shared" si="186"/>
        <v>28600</v>
      </c>
      <c r="AD262" s="1412">
        <f t="shared" si="187"/>
        <v>28600</v>
      </c>
      <c r="AE262" s="793">
        <f t="shared" si="188"/>
        <v>40000</v>
      </c>
      <c r="AF262" s="793">
        <f t="shared" si="189"/>
        <v>365</v>
      </c>
      <c r="AG262" s="793">
        <f t="shared" si="190"/>
        <v>3800</v>
      </c>
      <c r="AH262" s="805">
        <f t="shared" si="191"/>
        <v>15200</v>
      </c>
      <c r="AI262" s="805">
        <f t="shared" si="192"/>
        <v>24800</v>
      </c>
      <c r="AJ262" s="793">
        <f t="shared" si="193"/>
        <v>24800</v>
      </c>
      <c r="AK262" s="793">
        <f t="shared" si="194"/>
        <v>40000</v>
      </c>
      <c r="AL262" s="793">
        <f t="shared" si="195"/>
        <v>365</v>
      </c>
      <c r="AM262" s="793">
        <f t="shared" si="196"/>
        <v>3800</v>
      </c>
      <c r="AN262" s="805">
        <f t="shared" si="197"/>
        <v>19000</v>
      </c>
      <c r="AO262" s="805">
        <f t="shared" si="198"/>
        <v>21000</v>
      </c>
      <c r="AP262" s="818">
        <f t="shared" si="199"/>
        <v>21000</v>
      </c>
      <c r="AQ262" s="818">
        <f t="shared" si="200"/>
        <v>40000</v>
      </c>
      <c r="AR262" s="818">
        <f t="shared" si="201"/>
        <v>366</v>
      </c>
      <c r="AS262" s="818">
        <f t="shared" si="202"/>
        <v>3810</v>
      </c>
      <c r="AT262" s="818">
        <f t="shared" si="203"/>
        <v>22810</v>
      </c>
      <c r="AU262" s="818">
        <f t="shared" si="204"/>
        <v>17190</v>
      </c>
      <c r="AV262" s="793">
        <f t="shared" si="205"/>
        <v>17190</v>
      </c>
      <c r="AW262" s="793">
        <f t="shared" si="206"/>
        <v>40000</v>
      </c>
      <c r="AX262" s="793">
        <f t="shared" si="207"/>
        <v>365</v>
      </c>
      <c r="AY262" s="793">
        <f t="shared" si="208"/>
        <v>3800</v>
      </c>
      <c r="AZ262" s="818">
        <f t="shared" si="209"/>
        <v>26610</v>
      </c>
      <c r="BA262" s="818">
        <f t="shared" si="210"/>
        <v>13390</v>
      </c>
    </row>
    <row r="263" spans="1:53" ht="15" customHeight="1" x14ac:dyDescent="0.25">
      <c r="A263" s="842" t="s">
        <v>133</v>
      </c>
      <c r="B263" s="843" t="s">
        <v>1272</v>
      </c>
      <c r="C263" s="778">
        <f t="shared" si="166"/>
        <v>9.5000000000000001E-2</v>
      </c>
      <c r="D263" s="844">
        <v>10</v>
      </c>
      <c r="E263" s="779" t="s">
        <v>1182</v>
      </c>
      <c r="F263" s="845">
        <v>43191</v>
      </c>
      <c r="G263" s="781">
        <f t="shared" si="167"/>
        <v>43191</v>
      </c>
      <c r="H263" s="781">
        <f t="shared" si="168"/>
        <v>46841</v>
      </c>
      <c r="I263" s="1359">
        <v>90000</v>
      </c>
      <c r="J263" s="805">
        <f t="shared" si="169"/>
        <v>4500</v>
      </c>
      <c r="K263" s="1404"/>
      <c r="L263" s="1410">
        <v>0</v>
      </c>
      <c r="M263" s="793">
        <f t="shared" si="170"/>
        <v>90000</v>
      </c>
      <c r="N263" s="793">
        <f t="shared" si="171"/>
        <v>365</v>
      </c>
      <c r="O263" s="793">
        <f t="shared" si="172"/>
        <v>8550</v>
      </c>
      <c r="P263" s="793">
        <f t="shared" si="173"/>
        <v>8550</v>
      </c>
      <c r="Q263" s="1365">
        <f t="shared" si="174"/>
        <v>81450</v>
      </c>
      <c r="R263" s="1411">
        <f t="shared" si="175"/>
        <v>81450</v>
      </c>
      <c r="S263" s="793">
        <f t="shared" si="176"/>
        <v>90000</v>
      </c>
      <c r="T263" s="805">
        <f t="shared" si="177"/>
        <v>366</v>
      </c>
      <c r="U263" s="805">
        <f t="shared" si="178"/>
        <v>8550</v>
      </c>
      <c r="V263" s="793">
        <f t="shared" si="179"/>
        <v>17100</v>
      </c>
      <c r="W263" s="1365">
        <f t="shared" si="180"/>
        <v>72900</v>
      </c>
      <c r="X263" s="1410">
        <f t="shared" si="181"/>
        <v>72900</v>
      </c>
      <c r="Y263" s="805">
        <f t="shared" si="182"/>
        <v>90000</v>
      </c>
      <c r="Z263" s="805">
        <f t="shared" si="183"/>
        <v>365</v>
      </c>
      <c r="AA263" s="805">
        <f t="shared" si="184"/>
        <v>8550</v>
      </c>
      <c r="AB263" s="805">
        <f t="shared" si="185"/>
        <v>25650</v>
      </c>
      <c r="AC263" s="1360">
        <f t="shared" si="186"/>
        <v>64350</v>
      </c>
      <c r="AD263" s="1412">
        <f t="shared" si="187"/>
        <v>64350</v>
      </c>
      <c r="AE263" s="793">
        <f t="shared" si="188"/>
        <v>90000</v>
      </c>
      <c r="AF263" s="793">
        <f t="shared" si="189"/>
        <v>365</v>
      </c>
      <c r="AG263" s="793">
        <f t="shared" si="190"/>
        <v>8550</v>
      </c>
      <c r="AH263" s="805">
        <f t="shared" si="191"/>
        <v>34200</v>
      </c>
      <c r="AI263" s="805">
        <f t="shared" si="192"/>
        <v>55800</v>
      </c>
      <c r="AJ263" s="793">
        <f t="shared" si="193"/>
        <v>55800</v>
      </c>
      <c r="AK263" s="793">
        <f t="shared" si="194"/>
        <v>90000</v>
      </c>
      <c r="AL263" s="793">
        <f t="shared" si="195"/>
        <v>365</v>
      </c>
      <c r="AM263" s="793">
        <f t="shared" si="196"/>
        <v>8550</v>
      </c>
      <c r="AN263" s="805">
        <f t="shared" si="197"/>
        <v>42750</v>
      </c>
      <c r="AO263" s="805">
        <f t="shared" si="198"/>
        <v>47250</v>
      </c>
      <c r="AP263" s="818">
        <f t="shared" si="199"/>
        <v>47250</v>
      </c>
      <c r="AQ263" s="818">
        <f t="shared" si="200"/>
        <v>90000</v>
      </c>
      <c r="AR263" s="818">
        <f t="shared" si="201"/>
        <v>366</v>
      </c>
      <c r="AS263" s="818">
        <f t="shared" si="202"/>
        <v>8573</v>
      </c>
      <c r="AT263" s="818">
        <f t="shared" si="203"/>
        <v>51323</v>
      </c>
      <c r="AU263" s="818">
        <f t="shared" si="204"/>
        <v>38677</v>
      </c>
      <c r="AV263" s="793">
        <f t="shared" si="205"/>
        <v>38677</v>
      </c>
      <c r="AW263" s="793">
        <f t="shared" si="206"/>
        <v>90000</v>
      </c>
      <c r="AX263" s="793">
        <f t="shared" si="207"/>
        <v>365</v>
      </c>
      <c r="AY263" s="793">
        <f t="shared" si="208"/>
        <v>8550</v>
      </c>
      <c r="AZ263" s="818">
        <f t="shared" si="209"/>
        <v>59873</v>
      </c>
      <c r="BA263" s="818">
        <f t="shared" si="210"/>
        <v>30127</v>
      </c>
    </row>
    <row r="264" spans="1:53" ht="15" customHeight="1" x14ac:dyDescent="0.25">
      <c r="A264" s="842" t="s">
        <v>133</v>
      </c>
      <c r="B264" s="843" t="s">
        <v>1273</v>
      </c>
      <c r="C264" s="778">
        <f t="shared" ref="C264:C327" si="211">(95/D264)/100</f>
        <v>9.5000000000000001E-2</v>
      </c>
      <c r="D264" s="844">
        <v>10</v>
      </c>
      <c r="E264" s="779" t="s">
        <v>1182</v>
      </c>
      <c r="F264" s="845">
        <v>43191</v>
      </c>
      <c r="G264" s="781">
        <f t="shared" ref="G264:G316" si="212">F264</f>
        <v>43191</v>
      </c>
      <c r="H264" s="781">
        <f t="shared" ref="H264:H327" si="213">G264+(365*D264)</f>
        <v>46841</v>
      </c>
      <c r="I264" s="1359">
        <v>143000</v>
      </c>
      <c r="J264" s="805">
        <f t="shared" ref="J264:J327" si="214">I264*5%</f>
        <v>7150</v>
      </c>
      <c r="K264" s="1404"/>
      <c r="L264" s="1410">
        <v>0</v>
      </c>
      <c r="M264" s="793">
        <f t="shared" ref="M264:M293" si="215">I264</f>
        <v>143000</v>
      </c>
      <c r="N264" s="793">
        <f t="shared" ref="N264:N293" si="216">IF(AND(F264&gt;$K$3,F264&lt;$L$3),$L$3-F264+1,IF(H264&lt;=$K$3,0,IF(H264&gt;$L$3,$L$3-$K$3,H264-$K$3)))</f>
        <v>365</v>
      </c>
      <c r="O264" s="793">
        <f t="shared" ref="O264:O293" si="217">ROUND(M264*C264*N264/365,0)</f>
        <v>13585</v>
      </c>
      <c r="P264" s="793">
        <f t="shared" ref="P264:P293" si="218">O264</f>
        <v>13585</v>
      </c>
      <c r="Q264" s="1365">
        <f t="shared" ref="Q264:Q293" si="219">+M264-P264</f>
        <v>129415</v>
      </c>
      <c r="R264" s="1411">
        <f t="shared" ref="R264:R296" si="220">+Q264</f>
        <v>129415</v>
      </c>
      <c r="S264" s="793">
        <f t="shared" ref="S264:S302" si="221">I264</f>
        <v>143000</v>
      </c>
      <c r="T264" s="805">
        <f t="shared" ref="T264:T302" si="222">IF(AND(F264&gt;$L$3,F264&lt;$R$3),$R$3-F264+1,IF(H264&lt;=$L$3,0,IF(H264&gt;$R$3,$R$3-$L$3,H264-$L$3)))</f>
        <v>366</v>
      </c>
      <c r="U264" s="805">
        <f t="shared" ref="U264:U302" si="223">ROUND(S264*C264*T264/366,0)</f>
        <v>13585</v>
      </c>
      <c r="V264" s="793">
        <f t="shared" ref="V264:V302" si="224">+P264+U264</f>
        <v>27170</v>
      </c>
      <c r="W264" s="1365">
        <f t="shared" ref="W264:W302" si="225">+S264-V264</f>
        <v>115830</v>
      </c>
      <c r="X264" s="1410">
        <f t="shared" ref="X264:X302" si="226">W264</f>
        <v>115830</v>
      </c>
      <c r="Y264" s="805">
        <f t="shared" ref="Y264:Y308" si="227">I264</f>
        <v>143000</v>
      </c>
      <c r="Z264" s="805">
        <f t="shared" ref="Z264:Z308" si="228">IF(AND(F264&gt;$R$3,F264&lt;$X$3),$X$3-F264+1,IF(H264&lt;=$R$3,0,IF(H264&gt;$X$3,$X$3-$R$3,H264-$R$3)))</f>
        <v>365</v>
      </c>
      <c r="AA264" s="805">
        <f t="shared" ref="AA264:AA308" si="229">ROUND(Y264*C264*Z264/365,0)</f>
        <v>13585</v>
      </c>
      <c r="AB264" s="805">
        <f t="shared" ref="AB264:AB308" si="230">+V264+AA264</f>
        <v>40755</v>
      </c>
      <c r="AC264" s="1360">
        <f t="shared" ref="AC264:AC308" si="231">Y264-AB264</f>
        <v>102245</v>
      </c>
      <c r="AD264" s="1412">
        <f t="shared" ref="AD264:AD318" si="232">AC264</f>
        <v>102245</v>
      </c>
      <c r="AE264" s="793">
        <f t="shared" ref="AE264:AE317" si="233">I264</f>
        <v>143000</v>
      </c>
      <c r="AF264" s="793">
        <f t="shared" ref="AF264:AF317" si="234">IF(AND(F264&gt;$X$3,F264&lt;$AD$3),$AD$3-F264+1,IF(H264&lt;=$X$3,0,IF(H264&gt;$AD$3,$AD$3-$X$3,H264-$X$3)))</f>
        <v>365</v>
      </c>
      <c r="AG264" s="793">
        <f t="shared" ref="AG264:AG317" si="235">ROUND(AE264*C264*AF264/365,0)</f>
        <v>13585</v>
      </c>
      <c r="AH264" s="805">
        <f t="shared" ref="AH264:AH317" si="236">+AB264+AG264</f>
        <v>54340</v>
      </c>
      <c r="AI264" s="805">
        <f t="shared" ref="AI264:AI317" si="237">AE264-AH264</f>
        <v>88660</v>
      </c>
      <c r="AJ264" s="793">
        <f t="shared" ref="AJ264:AJ327" si="238">AI264</f>
        <v>88660</v>
      </c>
      <c r="AK264" s="793">
        <f t="shared" ref="AK264:AK327" si="239">I264</f>
        <v>143000</v>
      </c>
      <c r="AL264" s="793">
        <f t="shared" ref="AL264:AL327" si="240">IF(AND(F264&gt;$AD$3,F264&lt;$AJ$3),$AJ$3-F264+1,IF(H264&lt;=$AD$3,0,IF(H264&gt;$AJ$3,$AJ$3-$AD$3,H264-$AD$3)))</f>
        <v>365</v>
      </c>
      <c r="AM264" s="793">
        <f t="shared" ref="AM264:AM327" si="241">ROUND(AK264*C264*AL264/365,0)</f>
        <v>13585</v>
      </c>
      <c r="AN264" s="805">
        <f t="shared" ref="AN264:AN327" si="242">+AH264+AM264</f>
        <v>67925</v>
      </c>
      <c r="AO264" s="805">
        <f t="shared" ref="AO264:AO327" si="243">AK264-AN264</f>
        <v>75075</v>
      </c>
      <c r="AP264" s="818">
        <f t="shared" ref="AP264:AP327" si="244">+AO264</f>
        <v>75075</v>
      </c>
      <c r="AQ264" s="818">
        <f t="shared" ref="AQ264:AQ327" si="245">I264</f>
        <v>143000</v>
      </c>
      <c r="AR264" s="818">
        <f t="shared" ref="AR264:AR327" si="246">IF(AND(F264&gt;$AJ$3,F264&lt;$AP$3),$AP$3-F264+1,IF(H264&lt;=$AJ$3,0,IF(H264&gt;$AP$3,$AP$3-$AJ$3,H264-$AJ$3)))</f>
        <v>366</v>
      </c>
      <c r="AS264" s="818">
        <f t="shared" ref="AS264:AS327" si="247">ROUND(AQ264*C264*AR264/365,0)</f>
        <v>13622</v>
      </c>
      <c r="AT264" s="818">
        <f t="shared" ref="AT264:AT327" si="248">+AN264+AS264</f>
        <v>81547</v>
      </c>
      <c r="AU264" s="818">
        <f t="shared" ref="AU264:AU327" si="249">+AQ264-AT264</f>
        <v>61453</v>
      </c>
      <c r="AV264" s="793">
        <f t="shared" ref="AV264:AV327" si="250">+AU264</f>
        <v>61453</v>
      </c>
      <c r="AW264" s="793">
        <f t="shared" ref="AW264:AW327" si="251">+I264</f>
        <v>143000</v>
      </c>
      <c r="AX264" s="793">
        <f t="shared" ref="AX264:AX327" si="252">IF(AND(F264&gt;$AP$3,F264&lt;$AV$3),$AV$3-F264+1,IF(H264&lt;=$AP$3,0,IF(H264&gt;$AV$3,$AV$3-$AP$3,H264-$AP$3)))</f>
        <v>365</v>
      </c>
      <c r="AY264" s="793">
        <f t="shared" ref="AY264:AY327" si="253">ROUND(AW264*C264*AX264/365,0)</f>
        <v>13585</v>
      </c>
      <c r="AZ264" s="818">
        <f t="shared" ref="AZ264:AZ327" si="254">+AT264+AY264</f>
        <v>95132</v>
      </c>
      <c r="BA264" s="818">
        <f t="shared" ref="BA264:BA327" si="255">+AW264-AZ264</f>
        <v>47868</v>
      </c>
    </row>
    <row r="265" spans="1:53" ht="15" customHeight="1" x14ac:dyDescent="0.25">
      <c r="A265" s="842" t="s">
        <v>133</v>
      </c>
      <c r="B265" s="843" t="s">
        <v>1274</v>
      </c>
      <c r="C265" s="778">
        <f t="shared" si="211"/>
        <v>9.5000000000000001E-2</v>
      </c>
      <c r="D265" s="844">
        <v>10</v>
      </c>
      <c r="E265" s="779" t="s">
        <v>1182</v>
      </c>
      <c r="F265" s="845">
        <v>43218</v>
      </c>
      <c r="G265" s="781">
        <f t="shared" si="212"/>
        <v>43218</v>
      </c>
      <c r="H265" s="781">
        <f t="shared" si="213"/>
        <v>46868</v>
      </c>
      <c r="I265" s="1359">
        <v>156000</v>
      </c>
      <c r="J265" s="805">
        <f t="shared" si="214"/>
        <v>7800</v>
      </c>
      <c r="K265" s="1404"/>
      <c r="L265" s="1410">
        <v>0</v>
      </c>
      <c r="M265" s="793">
        <f t="shared" si="215"/>
        <v>156000</v>
      </c>
      <c r="N265" s="793">
        <f t="shared" si="216"/>
        <v>338</v>
      </c>
      <c r="O265" s="793">
        <f t="shared" si="217"/>
        <v>13724</v>
      </c>
      <c r="P265" s="793">
        <f t="shared" si="218"/>
        <v>13724</v>
      </c>
      <c r="Q265" s="1365">
        <f t="shared" si="219"/>
        <v>142276</v>
      </c>
      <c r="R265" s="1411">
        <f t="shared" si="220"/>
        <v>142276</v>
      </c>
      <c r="S265" s="793">
        <f t="shared" si="221"/>
        <v>156000</v>
      </c>
      <c r="T265" s="805">
        <f t="shared" si="222"/>
        <v>366</v>
      </c>
      <c r="U265" s="805">
        <f t="shared" si="223"/>
        <v>14820</v>
      </c>
      <c r="V265" s="793">
        <f t="shared" si="224"/>
        <v>28544</v>
      </c>
      <c r="W265" s="1365">
        <f t="shared" si="225"/>
        <v>127456</v>
      </c>
      <c r="X265" s="1410">
        <f t="shared" si="226"/>
        <v>127456</v>
      </c>
      <c r="Y265" s="805">
        <f t="shared" si="227"/>
        <v>156000</v>
      </c>
      <c r="Z265" s="805">
        <f t="shared" si="228"/>
        <v>365</v>
      </c>
      <c r="AA265" s="805">
        <f t="shared" si="229"/>
        <v>14820</v>
      </c>
      <c r="AB265" s="805">
        <f t="shared" si="230"/>
        <v>43364</v>
      </c>
      <c r="AC265" s="1360">
        <f t="shared" si="231"/>
        <v>112636</v>
      </c>
      <c r="AD265" s="1412">
        <f t="shared" si="232"/>
        <v>112636</v>
      </c>
      <c r="AE265" s="793">
        <f t="shared" si="233"/>
        <v>156000</v>
      </c>
      <c r="AF265" s="793">
        <f t="shared" si="234"/>
        <v>365</v>
      </c>
      <c r="AG265" s="793">
        <f t="shared" si="235"/>
        <v>14820</v>
      </c>
      <c r="AH265" s="805">
        <f t="shared" si="236"/>
        <v>58184</v>
      </c>
      <c r="AI265" s="805">
        <f t="shared" si="237"/>
        <v>97816</v>
      </c>
      <c r="AJ265" s="793">
        <f t="shared" si="238"/>
        <v>97816</v>
      </c>
      <c r="AK265" s="793">
        <f t="shared" si="239"/>
        <v>156000</v>
      </c>
      <c r="AL265" s="793">
        <f t="shared" si="240"/>
        <v>365</v>
      </c>
      <c r="AM265" s="793">
        <f t="shared" si="241"/>
        <v>14820</v>
      </c>
      <c r="AN265" s="805">
        <f t="shared" si="242"/>
        <v>73004</v>
      </c>
      <c r="AO265" s="805">
        <f t="shared" si="243"/>
        <v>82996</v>
      </c>
      <c r="AP265" s="818">
        <f t="shared" si="244"/>
        <v>82996</v>
      </c>
      <c r="AQ265" s="818">
        <f t="shared" si="245"/>
        <v>156000</v>
      </c>
      <c r="AR265" s="818">
        <f t="shared" si="246"/>
        <v>366</v>
      </c>
      <c r="AS265" s="818">
        <f t="shared" si="247"/>
        <v>14861</v>
      </c>
      <c r="AT265" s="818">
        <f t="shared" si="248"/>
        <v>87865</v>
      </c>
      <c r="AU265" s="818">
        <f t="shared" si="249"/>
        <v>68135</v>
      </c>
      <c r="AV265" s="793">
        <f t="shared" si="250"/>
        <v>68135</v>
      </c>
      <c r="AW265" s="793">
        <f t="shared" si="251"/>
        <v>156000</v>
      </c>
      <c r="AX265" s="793">
        <f t="shared" si="252"/>
        <v>365</v>
      </c>
      <c r="AY265" s="793">
        <f t="shared" si="253"/>
        <v>14820</v>
      </c>
      <c r="AZ265" s="818">
        <f t="shared" si="254"/>
        <v>102685</v>
      </c>
      <c r="BA265" s="818">
        <f t="shared" si="255"/>
        <v>53315</v>
      </c>
    </row>
    <row r="266" spans="1:53" ht="15" customHeight="1" x14ac:dyDescent="0.25">
      <c r="A266" s="842" t="s">
        <v>133</v>
      </c>
      <c r="B266" s="843" t="s">
        <v>1275</v>
      </c>
      <c r="C266" s="778">
        <f t="shared" si="211"/>
        <v>9.5000000000000001E-2</v>
      </c>
      <c r="D266" s="844">
        <v>10</v>
      </c>
      <c r="E266" s="779" t="s">
        <v>1182</v>
      </c>
      <c r="F266" s="845">
        <v>43253</v>
      </c>
      <c r="G266" s="781">
        <f t="shared" si="212"/>
        <v>43253</v>
      </c>
      <c r="H266" s="781">
        <f t="shared" si="213"/>
        <v>46903</v>
      </c>
      <c r="I266" s="1359">
        <v>73400</v>
      </c>
      <c r="J266" s="805">
        <f t="shared" si="214"/>
        <v>3670</v>
      </c>
      <c r="K266" s="1404"/>
      <c r="L266" s="1410">
        <v>0</v>
      </c>
      <c r="M266" s="793">
        <f t="shared" si="215"/>
        <v>73400</v>
      </c>
      <c r="N266" s="793">
        <f t="shared" si="216"/>
        <v>303</v>
      </c>
      <c r="O266" s="793">
        <f t="shared" si="217"/>
        <v>5789</v>
      </c>
      <c r="P266" s="793">
        <f t="shared" si="218"/>
        <v>5789</v>
      </c>
      <c r="Q266" s="1365">
        <f t="shared" si="219"/>
        <v>67611</v>
      </c>
      <c r="R266" s="1411">
        <f t="shared" si="220"/>
        <v>67611</v>
      </c>
      <c r="S266" s="793">
        <f t="shared" si="221"/>
        <v>73400</v>
      </c>
      <c r="T266" s="805">
        <f t="shared" si="222"/>
        <v>366</v>
      </c>
      <c r="U266" s="805">
        <f t="shared" si="223"/>
        <v>6973</v>
      </c>
      <c r="V266" s="793">
        <f t="shared" si="224"/>
        <v>12762</v>
      </c>
      <c r="W266" s="1365">
        <f t="shared" si="225"/>
        <v>60638</v>
      </c>
      <c r="X266" s="1410">
        <f t="shared" si="226"/>
        <v>60638</v>
      </c>
      <c r="Y266" s="805">
        <f t="shared" si="227"/>
        <v>73400</v>
      </c>
      <c r="Z266" s="805">
        <f t="shared" si="228"/>
        <v>365</v>
      </c>
      <c r="AA266" s="805">
        <f t="shared" si="229"/>
        <v>6973</v>
      </c>
      <c r="AB266" s="805">
        <f t="shared" si="230"/>
        <v>19735</v>
      </c>
      <c r="AC266" s="1360">
        <f t="shared" si="231"/>
        <v>53665</v>
      </c>
      <c r="AD266" s="1412">
        <f t="shared" si="232"/>
        <v>53665</v>
      </c>
      <c r="AE266" s="793">
        <f t="shared" si="233"/>
        <v>73400</v>
      </c>
      <c r="AF266" s="793">
        <f t="shared" si="234"/>
        <v>365</v>
      </c>
      <c r="AG266" s="793">
        <f t="shared" si="235"/>
        <v>6973</v>
      </c>
      <c r="AH266" s="805">
        <f t="shared" si="236"/>
        <v>26708</v>
      </c>
      <c r="AI266" s="805">
        <f t="shared" si="237"/>
        <v>46692</v>
      </c>
      <c r="AJ266" s="793">
        <f t="shared" si="238"/>
        <v>46692</v>
      </c>
      <c r="AK266" s="793">
        <f t="shared" si="239"/>
        <v>73400</v>
      </c>
      <c r="AL266" s="793">
        <f t="shared" si="240"/>
        <v>365</v>
      </c>
      <c r="AM266" s="793">
        <f t="shared" si="241"/>
        <v>6973</v>
      </c>
      <c r="AN266" s="805">
        <f t="shared" si="242"/>
        <v>33681</v>
      </c>
      <c r="AO266" s="805">
        <f t="shared" si="243"/>
        <v>39719</v>
      </c>
      <c r="AP266" s="818">
        <f t="shared" si="244"/>
        <v>39719</v>
      </c>
      <c r="AQ266" s="818">
        <f t="shared" si="245"/>
        <v>73400</v>
      </c>
      <c r="AR266" s="818">
        <f t="shared" si="246"/>
        <v>366</v>
      </c>
      <c r="AS266" s="818">
        <f t="shared" si="247"/>
        <v>6992</v>
      </c>
      <c r="AT266" s="818">
        <f t="shared" si="248"/>
        <v>40673</v>
      </c>
      <c r="AU266" s="818">
        <f t="shared" si="249"/>
        <v>32727</v>
      </c>
      <c r="AV266" s="793">
        <f t="shared" si="250"/>
        <v>32727</v>
      </c>
      <c r="AW266" s="793">
        <f t="shared" si="251"/>
        <v>73400</v>
      </c>
      <c r="AX266" s="793">
        <f t="shared" si="252"/>
        <v>365</v>
      </c>
      <c r="AY266" s="793">
        <f t="shared" si="253"/>
        <v>6973</v>
      </c>
      <c r="AZ266" s="818">
        <f t="shared" si="254"/>
        <v>47646</v>
      </c>
      <c r="BA266" s="818">
        <f t="shared" si="255"/>
        <v>25754</v>
      </c>
    </row>
    <row r="267" spans="1:53" ht="15" customHeight="1" x14ac:dyDescent="0.25">
      <c r="A267" s="842" t="s">
        <v>133</v>
      </c>
      <c r="B267" s="843" t="s">
        <v>1276</v>
      </c>
      <c r="C267" s="778">
        <f t="shared" si="211"/>
        <v>9.5000000000000001E-2</v>
      </c>
      <c r="D267" s="844">
        <v>10</v>
      </c>
      <c r="E267" s="779" t="s">
        <v>1182</v>
      </c>
      <c r="F267" s="845">
        <v>43293</v>
      </c>
      <c r="G267" s="781">
        <f t="shared" si="212"/>
        <v>43293</v>
      </c>
      <c r="H267" s="781">
        <f t="shared" si="213"/>
        <v>46943</v>
      </c>
      <c r="I267" s="1359">
        <v>4568.6400000000003</v>
      </c>
      <c r="J267" s="805">
        <f t="shared" si="214"/>
        <v>228.43200000000002</v>
      </c>
      <c r="K267" s="1404"/>
      <c r="L267" s="1410">
        <v>0</v>
      </c>
      <c r="M267" s="793">
        <f t="shared" si="215"/>
        <v>4568.6400000000003</v>
      </c>
      <c r="N267" s="793">
        <f t="shared" si="216"/>
        <v>263</v>
      </c>
      <c r="O267" s="793">
        <f t="shared" si="217"/>
        <v>313</v>
      </c>
      <c r="P267" s="793">
        <f t="shared" si="218"/>
        <v>313</v>
      </c>
      <c r="Q267" s="1365">
        <f t="shared" si="219"/>
        <v>4255.6400000000003</v>
      </c>
      <c r="R267" s="1411">
        <f t="shared" si="220"/>
        <v>4255.6400000000003</v>
      </c>
      <c r="S267" s="793">
        <f t="shared" si="221"/>
        <v>4568.6400000000003</v>
      </c>
      <c r="T267" s="805">
        <f t="shared" si="222"/>
        <v>366</v>
      </c>
      <c r="U267" s="805">
        <f t="shared" si="223"/>
        <v>434</v>
      </c>
      <c r="V267" s="793">
        <f t="shared" si="224"/>
        <v>747</v>
      </c>
      <c r="W267" s="1365">
        <f t="shared" si="225"/>
        <v>3821.6400000000003</v>
      </c>
      <c r="X267" s="1410">
        <f t="shared" si="226"/>
        <v>3821.6400000000003</v>
      </c>
      <c r="Y267" s="805">
        <f t="shared" si="227"/>
        <v>4568.6400000000003</v>
      </c>
      <c r="Z267" s="805">
        <f t="shared" si="228"/>
        <v>365</v>
      </c>
      <c r="AA267" s="805">
        <f t="shared" si="229"/>
        <v>434</v>
      </c>
      <c r="AB267" s="805">
        <f t="shared" si="230"/>
        <v>1181</v>
      </c>
      <c r="AC267" s="1360">
        <f t="shared" si="231"/>
        <v>3387.6400000000003</v>
      </c>
      <c r="AD267" s="1412">
        <f t="shared" si="232"/>
        <v>3387.6400000000003</v>
      </c>
      <c r="AE267" s="793">
        <f t="shared" si="233"/>
        <v>4568.6400000000003</v>
      </c>
      <c r="AF267" s="793">
        <f t="shared" si="234"/>
        <v>365</v>
      </c>
      <c r="AG267" s="793">
        <f t="shared" si="235"/>
        <v>434</v>
      </c>
      <c r="AH267" s="805">
        <f t="shared" si="236"/>
        <v>1615</v>
      </c>
      <c r="AI267" s="805">
        <f t="shared" si="237"/>
        <v>2953.6400000000003</v>
      </c>
      <c r="AJ267" s="793">
        <f t="shared" si="238"/>
        <v>2953.6400000000003</v>
      </c>
      <c r="AK267" s="793">
        <f t="shared" si="239"/>
        <v>4568.6400000000003</v>
      </c>
      <c r="AL267" s="793">
        <f t="shared" si="240"/>
        <v>365</v>
      </c>
      <c r="AM267" s="793">
        <f t="shared" si="241"/>
        <v>434</v>
      </c>
      <c r="AN267" s="805">
        <f t="shared" si="242"/>
        <v>2049</v>
      </c>
      <c r="AO267" s="805">
        <f t="shared" si="243"/>
        <v>2519.6400000000003</v>
      </c>
      <c r="AP267" s="818">
        <f t="shared" si="244"/>
        <v>2519.6400000000003</v>
      </c>
      <c r="AQ267" s="818">
        <f t="shared" si="245"/>
        <v>4568.6400000000003</v>
      </c>
      <c r="AR267" s="818">
        <f t="shared" si="246"/>
        <v>366</v>
      </c>
      <c r="AS267" s="818">
        <f t="shared" si="247"/>
        <v>435</v>
      </c>
      <c r="AT267" s="818">
        <f t="shared" si="248"/>
        <v>2484</v>
      </c>
      <c r="AU267" s="818">
        <f t="shared" si="249"/>
        <v>2084.6400000000003</v>
      </c>
      <c r="AV267" s="793">
        <f t="shared" si="250"/>
        <v>2084.6400000000003</v>
      </c>
      <c r="AW267" s="793">
        <f t="shared" si="251"/>
        <v>4568.6400000000003</v>
      </c>
      <c r="AX267" s="793">
        <f t="shared" si="252"/>
        <v>365</v>
      </c>
      <c r="AY267" s="793">
        <f t="shared" si="253"/>
        <v>434</v>
      </c>
      <c r="AZ267" s="818">
        <f t="shared" si="254"/>
        <v>2918</v>
      </c>
      <c r="BA267" s="818">
        <f t="shared" si="255"/>
        <v>1650.6400000000003</v>
      </c>
    </row>
    <row r="268" spans="1:53" ht="15" customHeight="1" x14ac:dyDescent="0.25">
      <c r="A268" s="842" t="s">
        <v>133</v>
      </c>
      <c r="B268" s="843" t="s">
        <v>1277</v>
      </c>
      <c r="C268" s="778">
        <f t="shared" si="211"/>
        <v>9.5000000000000001E-2</v>
      </c>
      <c r="D268" s="844">
        <v>10</v>
      </c>
      <c r="E268" s="779" t="s">
        <v>1182</v>
      </c>
      <c r="F268" s="845">
        <v>43360</v>
      </c>
      <c r="G268" s="781">
        <f t="shared" si="212"/>
        <v>43360</v>
      </c>
      <c r="H268" s="781">
        <f t="shared" si="213"/>
        <v>47010</v>
      </c>
      <c r="I268" s="1359">
        <v>5300</v>
      </c>
      <c r="J268" s="805">
        <f t="shared" si="214"/>
        <v>265</v>
      </c>
      <c r="K268" s="1404"/>
      <c r="L268" s="1410">
        <v>0</v>
      </c>
      <c r="M268" s="793">
        <f t="shared" si="215"/>
        <v>5300</v>
      </c>
      <c r="N268" s="793">
        <f t="shared" si="216"/>
        <v>196</v>
      </c>
      <c r="O268" s="793">
        <f t="shared" si="217"/>
        <v>270</v>
      </c>
      <c r="P268" s="793">
        <f t="shared" si="218"/>
        <v>270</v>
      </c>
      <c r="Q268" s="1365">
        <f t="shared" si="219"/>
        <v>5030</v>
      </c>
      <c r="R268" s="1411">
        <f t="shared" si="220"/>
        <v>5030</v>
      </c>
      <c r="S268" s="793">
        <f t="shared" si="221"/>
        <v>5300</v>
      </c>
      <c r="T268" s="805">
        <f t="shared" si="222"/>
        <v>366</v>
      </c>
      <c r="U268" s="805">
        <f t="shared" si="223"/>
        <v>504</v>
      </c>
      <c r="V268" s="793">
        <f t="shared" si="224"/>
        <v>774</v>
      </c>
      <c r="W268" s="1365">
        <f t="shared" si="225"/>
        <v>4526</v>
      </c>
      <c r="X268" s="1410">
        <f t="shared" si="226"/>
        <v>4526</v>
      </c>
      <c r="Y268" s="805">
        <f t="shared" si="227"/>
        <v>5300</v>
      </c>
      <c r="Z268" s="805">
        <f t="shared" si="228"/>
        <v>365</v>
      </c>
      <c r="AA268" s="805">
        <f t="shared" si="229"/>
        <v>504</v>
      </c>
      <c r="AB268" s="805">
        <f t="shared" si="230"/>
        <v>1278</v>
      </c>
      <c r="AC268" s="1360">
        <f t="shared" si="231"/>
        <v>4022</v>
      </c>
      <c r="AD268" s="1412">
        <f t="shared" si="232"/>
        <v>4022</v>
      </c>
      <c r="AE268" s="793">
        <f t="shared" si="233"/>
        <v>5300</v>
      </c>
      <c r="AF268" s="793">
        <f t="shared" si="234"/>
        <v>365</v>
      </c>
      <c r="AG268" s="793">
        <f t="shared" si="235"/>
        <v>504</v>
      </c>
      <c r="AH268" s="805">
        <f t="shared" si="236"/>
        <v>1782</v>
      </c>
      <c r="AI268" s="805">
        <f t="shared" si="237"/>
        <v>3518</v>
      </c>
      <c r="AJ268" s="793">
        <f t="shared" si="238"/>
        <v>3518</v>
      </c>
      <c r="AK268" s="793">
        <f t="shared" si="239"/>
        <v>5300</v>
      </c>
      <c r="AL268" s="793">
        <f t="shared" si="240"/>
        <v>365</v>
      </c>
      <c r="AM268" s="793">
        <f t="shared" si="241"/>
        <v>504</v>
      </c>
      <c r="AN268" s="805">
        <f t="shared" si="242"/>
        <v>2286</v>
      </c>
      <c r="AO268" s="805">
        <f t="shared" si="243"/>
        <v>3014</v>
      </c>
      <c r="AP268" s="818">
        <f t="shared" si="244"/>
        <v>3014</v>
      </c>
      <c r="AQ268" s="818">
        <f t="shared" si="245"/>
        <v>5300</v>
      </c>
      <c r="AR268" s="818">
        <f t="shared" si="246"/>
        <v>366</v>
      </c>
      <c r="AS268" s="818">
        <f t="shared" si="247"/>
        <v>505</v>
      </c>
      <c r="AT268" s="818">
        <f t="shared" si="248"/>
        <v>2791</v>
      </c>
      <c r="AU268" s="818">
        <f t="shared" si="249"/>
        <v>2509</v>
      </c>
      <c r="AV268" s="793">
        <f t="shared" si="250"/>
        <v>2509</v>
      </c>
      <c r="AW268" s="793">
        <f t="shared" si="251"/>
        <v>5300</v>
      </c>
      <c r="AX268" s="793">
        <f t="shared" si="252"/>
        <v>365</v>
      </c>
      <c r="AY268" s="793">
        <f t="shared" si="253"/>
        <v>504</v>
      </c>
      <c r="AZ268" s="818">
        <f t="shared" si="254"/>
        <v>3295</v>
      </c>
      <c r="BA268" s="818">
        <f t="shared" si="255"/>
        <v>2005</v>
      </c>
    </row>
    <row r="269" spans="1:53" ht="15" customHeight="1" x14ac:dyDescent="0.25">
      <c r="A269" s="842" t="s">
        <v>133</v>
      </c>
      <c r="B269" s="843" t="s">
        <v>1278</v>
      </c>
      <c r="C269" s="778">
        <f t="shared" si="211"/>
        <v>9.5000000000000001E-2</v>
      </c>
      <c r="D269" s="844">
        <v>10</v>
      </c>
      <c r="E269" s="779" t="s">
        <v>1182</v>
      </c>
      <c r="F269" s="845">
        <v>43302</v>
      </c>
      <c r="G269" s="781">
        <f t="shared" si="212"/>
        <v>43302</v>
      </c>
      <c r="H269" s="781">
        <f t="shared" si="213"/>
        <v>46952</v>
      </c>
      <c r="I269" s="1359">
        <v>5436</v>
      </c>
      <c r="J269" s="805">
        <f t="shared" si="214"/>
        <v>271.8</v>
      </c>
      <c r="K269" s="1404"/>
      <c r="L269" s="1410">
        <v>0</v>
      </c>
      <c r="M269" s="793">
        <f t="shared" si="215"/>
        <v>5436</v>
      </c>
      <c r="N269" s="793">
        <f t="shared" si="216"/>
        <v>254</v>
      </c>
      <c r="O269" s="793">
        <f t="shared" si="217"/>
        <v>359</v>
      </c>
      <c r="P269" s="793">
        <f t="shared" si="218"/>
        <v>359</v>
      </c>
      <c r="Q269" s="1365">
        <f t="shared" si="219"/>
        <v>5077</v>
      </c>
      <c r="R269" s="1411">
        <f t="shared" si="220"/>
        <v>5077</v>
      </c>
      <c r="S269" s="793">
        <f t="shared" si="221"/>
        <v>5436</v>
      </c>
      <c r="T269" s="805">
        <f t="shared" si="222"/>
        <v>366</v>
      </c>
      <c r="U269" s="805">
        <f t="shared" si="223"/>
        <v>516</v>
      </c>
      <c r="V269" s="793">
        <f t="shared" si="224"/>
        <v>875</v>
      </c>
      <c r="W269" s="1365">
        <f t="shared" si="225"/>
        <v>4561</v>
      </c>
      <c r="X269" s="1410">
        <f t="shared" si="226"/>
        <v>4561</v>
      </c>
      <c r="Y269" s="805">
        <f t="shared" si="227"/>
        <v>5436</v>
      </c>
      <c r="Z269" s="805">
        <f t="shared" si="228"/>
        <v>365</v>
      </c>
      <c r="AA269" s="805">
        <f t="shared" si="229"/>
        <v>516</v>
      </c>
      <c r="AB269" s="805">
        <f t="shared" si="230"/>
        <v>1391</v>
      </c>
      <c r="AC269" s="1360">
        <f t="shared" si="231"/>
        <v>4045</v>
      </c>
      <c r="AD269" s="1412">
        <f t="shared" si="232"/>
        <v>4045</v>
      </c>
      <c r="AE269" s="793">
        <f t="shared" si="233"/>
        <v>5436</v>
      </c>
      <c r="AF269" s="793">
        <f t="shared" si="234"/>
        <v>365</v>
      </c>
      <c r="AG269" s="793">
        <f t="shared" si="235"/>
        <v>516</v>
      </c>
      <c r="AH269" s="805">
        <f t="shared" si="236"/>
        <v>1907</v>
      </c>
      <c r="AI269" s="805">
        <f t="shared" si="237"/>
        <v>3529</v>
      </c>
      <c r="AJ269" s="793">
        <f t="shared" si="238"/>
        <v>3529</v>
      </c>
      <c r="AK269" s="793">
        <f t="shared" si="239"/>
        <v>5436</v>
      </c>
      <c r="AL269" s="793">
        <f t="shared" si="240"/>
        <v>365</v>
      </c>
      <c r="AM269" s="793">
        <f t="shared" si="241"/>
        <v>516</v>
      </c>
      <c r="AN269" s="805">
        <f t="shared" si="242"/>
        <v>2423</v>
      </c>
      <c r="AO269" s="805">
        <f t="shared" si="243"/>
        <v>3013</v>
      </c>
      <c r="AP269" s="818">
        <f t="shared" si="244"/>
        <v>3013</v>
      </c>
      <c r="AQ269" s="818">
        <f t="shared" si="245"/>
        <v>5436</v>
      </c>
      <c r="AR269" s="818">
        <f t="shared" si="246"/>
        <v>366</v>
      </c>
      <c r="AS269" s="818">
        <f t="shared" si="247"/>
        <v>518</v>
      </c>
      <c r="AT269" s="818">
        <f t="shared" si="248"/>
        <v>2941</v>
      </c>
      <c r="AU269" s="818">
        <f t="shared" si="249"/>
        <v>2495</v>
      </c>
      <c r="AV269" s="793">
        <f t="shared" si="250"/>
        <v>2495</v>
      </c>
      <c r="AW269" s="793">
        <f t="shared" si="251"/>
        <v>5436</v>
      </c>
      <c r="AX269" s="793">
        <f t="shared" si="252"/>
        <v>365</v>
      </c>
      <c r="AY269" s="793">
        <f t="shared" si="253"/>
        <v>516</v>
      </c>
      <c r="AZ269" s="818">
        <f t="shared" si="254"/>
        <v>3457</v>
      </c>
      <c r="BA269" s="818">
        <f t="shared" si="255"/>
        <v>1979</v>
      </c>
    </row>
    <row r="270" spans="1:53" ht="15" customHeight="1" x14ac:dyDescent="0.25">
      <c r="A270" s="842" t="s">
        <v>133</v>
      </c>
      <c r="B270" s="843" t="s">
        <v>1279</v>
      </c>
      <c r="C270" s="778">
        <f t="shared" si="211"/>
        <v>9.5000000000000001E-2</v>
      </c>
      <c r="D270" s="844">
        <v>10</v>
      </c>
      <c r="E270" s="779" t="s">
        <v>1182</v>
      </c>
      <c r="F270" s="845">
        <v>43202</v>
      </c>
      <c r="G270" s="781">
        <f t="shared" si="212"/>
        <v>43202</v>
      </c>
      <c r="H270" s="781">
        <f t="shared" si="213"/>
        <v>46852</v>
      </c>
      <c r="I270" s="1359">
        <v>14005.08</v>
      </c>
      <c r="J270" s="805">
        <f t="shared" si="214"/>
        <v>700.25400000000002</v>
      </c>
      <c r="K270" s="1404"/>
      <c r="L270" s="1410">
        <v>0</v>
      </c>
      <c r="M270" s="793">
        <f t="shared" si="215"/>
        <v>14005.08</v>
      </c>
      <c r="N270" s="793">
        <f t="shared" si="216"/>
        <v>354</v>
      </c>
      <c r="O270" s="793">
        <f t="shared" si="217"/>
        <v>1290</v>
      </c>
      <c r="P270" s="793">
        <f t="shared" si="218"/>
        <v>1290</v>
      </c>
      <c r="Q270" s="1365">
        <f t="shared" si="219"/>
        <v>12715.08</v>
      </c>
      <c r="R270" s="1411">
        <f t="shared" si="220"/>
        <v>12715.08</v>
      </c>
      <c r="S270" s="793">
        <f t="shared" si="221"/>
        <v>14005.08</v>
      </c>
      <c r="T270" s="805">
        <f t="shared" si="222"/>
        <v>366</v>
      </c>
      <c r="U270" s="805">
        <f t="shared" si="223"/>
        <v>1330</v>
      </c>
      <c r="V270" s="793">
        <f t="shared" si="224"/>
        <v>2620</v>
      </c>
      <c r="W270" s="1365">
        <f t="shared" si="225"/>
        <v>11385.08</v>
      </c>
      <c r="X270" s="1410">
        <f t="shared" si="226"/>
        <v>11385.08</v>
      </c>
      <c r="Y270" s="805">
        <f t="shared" si="227"/>
        <v>14005.08</v>
      </c>
      <c r="Z270" s="805">
        <f t="shared" si="228"/>
        <v>365</v>
      </c>
      <c r="AA270" s="805">
        <f t="shared" si="229"/>
        <v>1330</v>
      </c>
      <c r="AB270" s="805">
        <f t="shared" si="230"/>
        <v>3950</v>
      </c>
      <c r="AC270" s="1360">
        <f t="shared" si="231"/>
        <v>10055.08</v>
      </c>
      <c r="AD270" s="1412">
        <f t="shared" si="232"/>
        <v>10055.08</v>
      </c>
      <c r="AE270" s="793">
        <f t="shared" si="233"/>
        <v>14005.08</v>
      </c>
      <c r="AF270" s="793">
        <f t="shared" si="234"/>
        <v>365</v>
      </c>
      <c r="AG270" s="793">
        <f t="shared" si="235"/>
        <v>1330</v>
      </c>
      <c r="AH270" s="805">
        <f t="shared" si="236"/>
        <v>5280</v>
      </c>
      <c r="AI270" s="805">
        <f t="shared" si="237"/>
        <v>8725.08</v>
      </c>
      <c r="AJ270" s="793">
        <f t="shared" si="238"/>
        <v>8725.08</v>
      </c>
      <c r="AK270" s="793">
        <f t="shared" si="239"/>
        <v>14005.08</v>
      </c>
      <c r="AL270" s="793">
        <f t="shared" si="240"/>
        <v>365</v>
      </c>
      <c r="AM270" s="793">
        <f t="shared" si="241"/>
        <v>1330</v>
      </c>
      <c r="AN270" s="805">
        <f t="shared" si="242"/>
        <v>6610</v>
      </c>
      <c r="AO270" s="805">
        <f t="shared" si="243"/>
        <v>7395.08</v>
      </c>
      <c r="AP270" s="818">
        <f t="shared" si="244"/>
        <v>7395.08</v>
      </c>
      <c r="AQ270" s="818">
        <f t="shared" si="245"/>
        <v>14005.08</v>
      </c>
      <c r="AR270" s="818">
        <f t="shared" si="246"/>
        <v>366</v>
      </c>
      <c r="AS270" s="818">
        <f t="shared" si="247"/>
        <v>1334</v>
      </c>
      <c r="AT270" s="818">
        <f t="shared" si="248"/>
        <v>7944</v>
      </c>
      <c r="AU270" s="818">
        <f t="shared" si="249"/>
        <v>6061.08</v>
      </c>
      <c r="AV270" s="793">
        <f t="shared" si="250"/>
        <v>6061.08</v>
      </c>
      <c r="AW270" s="793">
        <f t="shared" si="251"/>
        <v>14005.08</v>
      </c>
      <c r="AX270" s="793">
        <f t="shared" si="252"/>
        <v>365</v>
      </c>
      <c r="AY270" s="793">
        <f t="shared" si="253"/>
        <v>1330</v>
      </c>
      <c r="AZ270" s="818">
        <f t="shared" si="254"/>
        <v>9274</v>
      </c>
      <c r="BA270" s="818">
        <f t="shared" si="255"/>
        <v>4731.08</v>
      </c>
    </row>
    <row r="271" spans="1:53" ht="15" customHeight="1" x14ac:dyDescent="0.25">
      <c r="A271" s="842" t="s">
        <v>133</v>
      </c>
      <c r="B271" s="843" t="s">
        <v>1279</v>
      </c>
      <c r="C271" s="778">
        <f t="shared" si="211"/>
        <v>9.5000000000000001E-2</v>
      </c>
      <c r="D271" s="844">
        <v>10</v>
      </c>
      <c r="E271" s="779" t="s">
        <v>1182</v>
      </c>
      <c r="F271" s="845">
        <v>43202</v>
      </c>
      <c r="G271" s="781">
        <f t="shared" si="212"/>
        <v>43202</v>
      </c>
      <c r="H271" s="781">
        <f t="shared" si="213"/>
        <v>46852</v>
      </c>
      <c r="I271" s="1359">
        <v>4140.68</v>
      </c>
      <c r="J271" s="805">
        <f t="shared" si="214"/>
        <v>207.03400000000002</v>
      </c>
      <c r="K271" s="1404"/>
      <c r="L271" s="1410">
        <v>0</v>
      </c>
      <c r="M271" s="793">
        <f t="shared" si="215"/>
        <v>4140.68</v>
      </c>
      <c r="N271" s="793">
        <f t="shared" si="216"/>
        <v>354</v>
      </c>
      <c r="O271" s="793">
        <f t="shared" si="217"/>
        <v>382</v>
      </c>
      <c r="P271" s="793">
        <f t="shared" si="218"/>
        <v>382</v>
      </c>
      <c r="Q271" s="1365">
        <f t="shared" si="219"/>
        <v>3758.6800000000003</v>
      </c>
      <c r="R271" s="1411">
        <f t="shared" si="220"/>
        <v>3758.6800000000003</v>
      </c>
      <c r="S271" s="793">
        <f t="shared" si="221"/>
        <v>4140.68</v>
      </c>
      <c r="T271" s="805">
        <f t="shared" si="222"/>
        <v>366</v>
      </c>
      <c r="U271" s="805">
        <f t="shared" si="223"/>
        <v>393</v>
      </c>
      <c r="V271" s="793">
        <f t="shared" si="224"/>
        <v>775</v>
      </c>
      <c r="W271" s="1365">
        <f t="shared" si="225"/>
        <v>3365.6800000000003</v>
      </c>
      <c r="X271" s="1410">
        <f t="shared" si="226"/>
        <v>3365.6800000000003</v>
      </c>
      <c r="Y271" s="805">
        <f t="shared" si="227"/>
        <v>4140.68</v>
      </c>
      <c r="Z271" s="805">
        <f t="shared" si="228"/>
        <v>365</v>
      </c>
      <c r="AA271" s="805">
        <f t="shared" si="229"/>
        <v>393</v>
      </c>
      <c r="AB271" s="805">
        <f t="shared" si="230"/>
        <v>1168</v>
      </c>
      <c r="AC271" s="1360">
        <f t="shared" si="231"/>
        <v>2972.6800000000003</v>
      </c>
      <c r="AD271" s="1412">
        <f t="shared" si="232"/>
        <v>2972.6800000000003</v>
      </c>
      <c r="AE271" s="793">
        <f t="shared" si="233"/>
        <v>4140.68</v>
      </c>
      <c r="AF271" s="793">
        <f t="shared" si="234"/>
        <v>365</v>
      </c>
      <c r="AG271" s="793">
        <f t="shared" si="235"/>
        <v>393</v>
      </c>
      <c r="AH271" s="805">
        <f t="shared" si="236"/>
        <v>1561</v>
      </c>
      <c r="AI271" s="805">
        <f t="shared" si="237"/>
        <v>2579.6800000000003</v>
      </c>
      <c r="AJ271" s="793">
        <f t="shared" si="238"/>
        <v>2579.6800000000003</v>
      </c>
      <c r="AK271" s="793">
        <f t="shared" si="239"/>
        <v>4140.68</v>
      </c>
      <c r="AL271" s="793">
        <f t="shared" si="240"/>
        <v>365</v>
      </c>
      <c r="AM271" s="793">
        <f t="shared" si="241"/>
        <v>393</v>
      </c>
      <c r="AN271" s="805">
        <f t="shared" si="242"/>
        <v>1954</v>
      </c>
      <c r="AO271" s="805">
        <f t="shared" si="243"/>
        <v>2186.6800000000003</v>
      </c>
      <c r="AP271" s="818">
        <f t="shared" si="244"/>
        <v>2186.6800000000003</v>
      </c>
      <c r="AQ271" s="818">
        <f t="shared" si="245"/>
        <v>4140.68</v>
      </c>
      <c r="AR271" s="818">
        <f t="shared" si="246"/>
        <v>366</v>
      </c>
      <c r="AS271" s="818">
        <f t="shared" si="247"/>
        <v>394</v>
      </c>
      <c r="AT271" s="818">
        <f t="shared" si="248"/>
        <v>2348</v>
      </c>
      <c r="AU271" s="818">
        <f t="shared" si="249"/>
        <v>1792.6800000000003</v>
      </c>
      <c r="AV271" s="793">
        <f t="shared" si="250"/>
        <v>1792.6800000000003</v>
      </c>
      <c r="AW271" s="793">
        <f t="shared" si="251"/>
        <v>4140.68</v>
      </c>
      <c r="AX271" s="793">
        <f t="shared" si="252"/>
        <v>365</v>
      </c>
      <c r="AY271" s="793">
        <f t="shared" si="253"/>
        <v>393</v>
      </c>
      <c r="AZ271" s="818">
        <f t="shared" si="254"/>
        <v>2741</v>
      </c>
      <c r="BA271" s="818">
        <f t="shared" si="255"/>
        <v>1399.6800000000003</v>
      </c>
    </row>
    <row r="272" spans="1:53" ht="15" customHeight="1" x14ac:dyDescent="0.25">
      <c r="A272" s="842" t="s">
        <v>133</v>
      </c>
      <c r="B272" s="843" t="s">
        <v>1279</v>
      </c>
      <c r="C272" s="778">
        <f t="shared" si="211"/>
        <v>9.5000000000000001E-2</v>
      </c>
      <c r="D272" s="844">
        <v>10</v>
      </c>
      <c r="E272" s="779" t="s">
        <v>1182</v>
      </c>
      <c r="F272" s="845">
        <v>43204</v>
      </c>
      <c r="G272" s="781">
        <f t="shared" si="212"/>
        <v>43204</v>
      </c>
      <c r="H272" s="781">
        <f t="shared" si="213"/>
        <v>46854</v>
      </c>
      <c r="I272" s="1359">
        <v>8726.2800000000007</v>
      </c>
      <c r="J272" s="805">
        <f t="shared" si="214"/>
        <v>436.31400000000008</v>
      </c>
      <c r="K272" s="1404"/>
      <c r="L272" s="1410">
        <v>0</v>
      </c>
      <c r="M272" s="793">
        <f t="shared" si="215"/>
        <v>8726.2800000000007</v>
      </c>
      <c r="N272" s="793">
        <f t="shared" si="216"/>
        <v>352</v>
      </c>
      <c r="O272" s="793">
        <f t="shared" si="217"/>
        <v>799</v>
      </c>
      <c r="P272" s="793">
        <f t="shared" si="218"/>
        <v>799</v>
      </c>
      <c r="Q272" s="1365">
        <f t="shared" si="219"/>
        <v>7927.2800000000007</v>
      </c>
      <c r="R272" s="1411">
        <f t="shared" si="220"/>
        <v>7927.2800000000007</v>
      </c>
      <c r="S272" s="793">
        <f t="shared" si="221"/>
        <v>8726.2800000000007</v>
      </c>
      <c r="T272" s="805">
        <f t="shared" si="222"/>
        <v>366</v>
      </c>
      <c r="U272" s="805">
        <f t="shared" si="223"/>
        <v>829</v>
      </c>
      <c r="V272" s="793">
        <f t="shared" si="224"/>
        <v>1628</v>
      </c>
      <c r="W272" s="1365">
        <f t="shared" si="225"/>
        <v>7098.2800000000007</v>
      </c>
      <c r="X272" s="1410">
        <f t="shared" si="226"/>
        <v>7098.2800000000007</v>
      </c>
      <c r="Y272" s="805">
        <f t="shared" si="227"/>
        <v>8726.2800000000007</v>
      </c>
      <c r="Z272" s="805">
        <f t="shared" si="228"/>
        <v>365</v>
      </c>
      <c r="AA272" s="805">
        <f t="shared" si="229"/>
        <v>829</v>
      </c>
      <c r="AB272" s="805">
        <f t="shared" si="230"/>
        <v>2457</v>
      </c>
      <c r="AC272" s="1360">
        <f t="shared" si="231"/>
        <v>6269.2800000000007</v>
      </c>
      <c r="AD272" s="1412">
        <f t="shared" si="232"/>
        <v>6269.2800000000007</v>
      </c>
      <c r="AE272" s="793">
        <f t="shared" si="233"/>
        <v>8726.2800000000007</v>
      </c>
      <c r="AF272" s="793">
        <f t="shared" si="234"/>
        <v>365</v>
      </c>
      <c r="AG272" s="793">
        <f t="shared" si="235"/>
        <v>829</v>
      </c>
      <c r="AH272" s="805">
        <f t="shared" si="236"/>
        <v>3286</v>
      </c>
      <c r="AI272" s="805">
        <f t="shared" si="237"/>
        <v>5440.2800000000007</v>
      </c>
      <c r="AJ272" s="793">
        <f t="shared" si="238"/>
        <v>5440.2800000000007</v>
      </c>
      <c r="AK272" s="793">
        <f t="shared" si="239"/>
        <v>8726.2800000000007</v>
      </c>
      <c r="AL272" s="793">
        <f t="shared" si="240"/>
        <v>365</v>
      </c>
      <c r="AM272" s="793">
        <f t="shared" si="241"/>
        <v>829</v>
      </c>
      <c r="AN272" s="805">
        <f t="shared" si="242"/>
        <v>4115</v>
      </c>
      <c r="AO272" s="805">
        <f t="shared" si="243"/>
        <v>4611.2800000000007</v>
      </c>
      <c r="AP272" s="818">
        <f t="shared" si="244"/>
        <v>4611.2800000000007</v>
      </c>
      <c r="AQ272" s="818">
        <f t="shared" si="245"/>
        <v>8726.2800000000007</v>
      </c>
      <c r="AR272" s="818">
        <f t="shared" si="246"/>
        <v>366</v>
      </c>
      <c r="AS272" s="818">
        <f t="shared" si="247"/>
        <v>831</v>
      </c>
      <c r="AT272" s="818">
        <f t="shared" si="248"/>
        <v>4946</v>
      </c>
      <c r="AU272" s="818">
        <f t="shared" si="249"/>
        <v>3780.2800000000007</v>
      </c>
      <c r="AV272" s="793">
        <f t="shared" si="250"/>
        <v>3780.2800000000007</v>
      </c>
      <c r="AW272" s="793">
        <f t="shared" si="251"/>
        <v>8726.2800000000007</v>
      </c>
      <c r="AX272" s="793">
        <f t="shared" si="252"/>
        <v>365</v>
      </c>
      <c r="AY272" s="793">
        <f t="shared" si="253"/>
        <v>829</v>
      </c>
      <c r="AZ272" s="818">
        <f t="shared" si="254"/>
        <v>5775</v>
      </c>
      <c r="BA272" s="818">
        <f t="shared" si="255"/>
        <v>2951.2800000000007</v>
      </c>
    </row>
    <row r="273" spans="1:53" ht="15" customHeight="1" x14ac:dyDescent="0.25">
      <c r="A273" s="842" t="s">
        <v>133</v>
      </c>
      <c r="B273" s="843" t="s">
        <v>1279</v>
      </c>
      <c r="C273" s="778">
        <f t="shared" si="211"/>
        <v>9.5000000000000001E-2</v>
      </c>
      <c r="D273" s="844">
        <v>10</v>
      </c>
      <c r="E273" s="779" t="s">
        <v>1182</v>
      </c>
      <c r="F273" s="845">
        <v>43204</v>
      </c>
      <c r="G273" s="781">
        <f t="shared" si="212"/>
        <v>43204</v>
      </c>
      <c r="H273" s="781">
        <f t="shared" si="213"/>
        <v>46854</v>
      </c>
      <c r="I273" s="1359">
        <v>35450</v>
      </c>
      <c r="J273" s="805">
        <f t="shared" si="214"/>
        <v>1772.5</v>
      </c>
      <c r="K273" s="1404"/>
      <c r="L273" s="1410">
        <v>0</v>
      </c>
      <c r="M273" s="793">
        <f t="shared" si="215"/>
        <v>35450</v>
      </c>
      <c r="N273" s="793">
        <f t="shared" si="216"/>
        <v>352</v>
      </c>
      <c r="O273" s="793">
        <f t="shared" si="217"/>
        <v>3248</v>
      </c>
      <c r="P273" s="793">
        <f t="shared" si="218"/>
        <v>3248</v>
      </c>
      <c r="Q273" s="1365">
        <f t="shared" si="219"/>
        <v>32202</v>
      </c>
      <c r="R273" s="1411">
        <f t="shared" si="220"/>
        <v>32202</v>
      </c>
      <c r="S273" s="793">
        <f t="shared" si="221"/>
        <v>35450</v>
      </c>
      <c r="T273" s="805">
        <f t="shared" si="222"/>
        <v>366</v>
      </c>
      <c r="U273" s="805">
        <f t="shared" si="223"/>
        <v>3368</v>
      </c>
      <c r="V273" s="793">
        <f t="shared" si="224"/>
        <v>6616</v>
      </c>
      <c r="W273" s="1365">
        <f t="shared" si="225"/>
        <v>28834</v>
      </c>
      <c r="X273" s="1410">
        <f t="shared" si="226"/>
        <v>28834</v>
      </c>
      <c r="Y273" s="805">
        <f t="shared" si="227"/>
        <v>35450</v>
      </c>
      <c r="Z273" s="805">
        <f t="shared" si="228"/>
        <v>365</v>
      </c>
      <c r="AA273" s="805">
        <f t="shared" si="229"/>
        <v>3368</v>
      </c>
      <c r="AB273" s="805">
        <f t="shared" si="230"/>
        <v>9984</v>
      </c>
      <c r="AC273" s="1360">
        <f t="shared" si="231"/>
        <v>25466</v>
      </c>
      <c r="AD273" s="1412">
        <f t="shared" si="232"/>
        <v>25466</v>
      </c>
      <c r="AE273" s="793">
        <f t="shared" si="233"/>
        <v>35450</v>
      </c>
      <c r="AF273" s="793">
        <f t="shared" si="234"/>
        <v>365</v>
      </c>
      <c r="AG273" s="793">
        <f t="shared" si="235"/>
        <v>3368</v>
      </c>
      <c r="AH273" s="805">
        <f t="shared" si="236"/>
        <v>13352</v>
      </c>
      <c r="AI273" s="805">
        <f t="shared" si="237"/>
        <v>22098</v>
      </c>
      <c r="AJ273" s="793">
        <f t="shared" si="238"/>
        <v>22098</v>
      </c>
      <c r="AK273" s="793">
        <f t="shared" si="239"/>
        <v>35450</v>
      </c>
      <c r="AL273" s="793">
        <f t="shared" si="240"/>
        <v>365</v>
      </c>
      <c r="AM273" s="793">
        <f t="shared" si="241"/>
        <v>3368</v>
      </c>
      <c r="AN273" s="805">
        <f t="shared" si="242"/>
        <v>16720</v>
      </c>
      <c r="AO273" s="805">
        <f t="shared" si="243"/>
        <v>18730</v>
      </c>
      <c r="AP273" s="818">
        <f t="shared" si="244"/>
        <v>18730</v>
      </c>
      <c r="AQ273" s="818">
        <f t="shared" si="245"/>
        <v>35450</v>
      </c>
      <c r="AR273" s="818">
        <f t="shared" si="246"/>
        <v>366</v>
      </c>
      <c r="AS273" s="818">
        <f t="shared" si="247"/>
        <v>3377</v>
      </c>
      <c r="AT273" s="818">
        <f t="shared" si="248"/>
        <v>20097</v>
      </c>
      <c r="AU273" s="818">
        <f t="shared" si="249"/>
        <v>15353</v>
      </c>
      <c r="AV273" s="793">
        <f t="shared" si="250"/>
        <v>15353</v>
      </c>
      <c r="AW273" s="793">
        <f t="shared" si="251"/>
        <v>35450</v>
      </c>
      <c r="AX273" s="793">
        <f t="shared" si="252"/>
        <v>365</v>
      </c>
      <c r="AY273" s="793">
        <f t="shared" si="253"/>
        <v>3368</v>
      </c>
      <c r="AZ273" s="818">
        <f t="shared" si="254"/>
        <v>23465</v>
      </c>
      <c r="BA273" s="818">
        <f t="shared" si="255"/>
        <v>11985</v>
      </c>
    </row>
    <row r="274" spans="1:53" ht="15" customHeight="1" x14ac:dyDescent="0.25">
      <c r="A274" s="842" t="s">
        <v>133</v>
      </c>
      <c r="B274" s="843" t="s">
        <v>1279</v>
      </c>
      <c r="C274" s="778">
        <f t="shared" si="211"/>
        <v>9.5000000000000001E-2</v>
      </c>
      <c r="D274" s="844">
        <v>10</v>
      </c>
      <c r="E274" s="779" t="s">
        <v>1182</v>
      </c>
      <c r="F274" s="845">
        <v>43204</v>
      </c>
      <c r="G274" s="781">
        <f t="shared" si="212"/>
        <v>43204</v>
      </c>
      <c r="H274" s="781">
        <f t="shared" si="213"/>
        <v>46854</v>
      </c>
      <c r="I274" s="1359">
        <v>32539.8</v>
      </c>
      <c r="J274" s="805">
        <f t="shared" si="214"/>
        <v>1626.99</v>
      </c>
      <c r="K274" s="1404"/>
      <c r="L274" s="1410">
        <v>0</v>
      </c>
      <c r="M274" s="793">
        <f t="shared" si="215"/>
        <v>32539.8</v>
      </c>
      <c r="N274" s="793">
        <f t="shared" si="216"/>
        <v>352</v>
      </c>
      <c r="O274" s="793">
        <f t="shared" si="217"/>
        <v>2981</v>
      </c>
      <c r="P274" s="793">
        <f t="shared" si="218"/>
        <v>2981</v>
      </c>
      <c r="Q274" s="1365">
        <f t="shared" si="219"/>
        <v>29558.799999999999</v>
      </c>
      <c r="R274" s="1411">
        <f t="shared" si="220"/>
        <v>29558.799999999999</v>
      </c>
      <c r="S274" s="793">
        <f t="shared" si="221"/>
        <v>32539.8</v>
      </c>
      <c r="T274" s="805">
        <f t="shared" si="222"/>
        <v>366</v>
      </c>
      <c r="U274" s="805">
        <f t="shared" si="223"/>
        <v>3091</v>
      </c>
      <c r="V274" s="793">
        <f t="shared" si="224"/>
        <v>6072</v>
      </c>
      <c r="W274" s="1365">
        <f t="shared" si="225"/>
        <v>26467.8</v>
      </c>
      <c r="X274" s="1410">
        <f t="shared" si="226"/>
        <v>26467.8</v>
      </c>
      <c r="Y274" s="805">
        <f t="shared" si="227"/>
        <v>32539.8</v>
      </c>
      <c r="Z274" s="805">
        <f t="shared" si="228"/>
        <v>365</v>
      </c>
      <c r="AA274" s="805">
        <f t="shared" si="229"/>
        <v>3091</v>
      </c>
      <c r="AB274" s="805">
        <f t="shared" si="230"/>
        <v>9163</v>
      </c>
      <c r="AC274" s="1360">
        <f t="shared" si="231"/>
        <v>23376.799999999999</v>
      </c>
      <c r="AD274" s="1412">
        <f t="shared" si="232"/>
        <v>23376.799999999999</v>
      </c>
      <c r="AE274" s="793">
        <f t="shared" si="233"/>
        <v>32539.8</v>
      </c>
      <c r="AF274" s="793">
        <f t="shared" si="234"/>
        <v>365</v>
      </c>
      <c r="AG274" s="793">
        <f t="shared" si="235"/>
        <v>3091</v>
      </c>
      <c r="AH274" s="805">
        <f t="shared" si="236"/>
        <v>12254</v>
      </c>
      <c r="AI274" s="805">
        <f t="shared" si="237"/>
        <v>20285.8</v>
      </c>
      <c r="AJ274" s="793">
        <f t="shared" si="238"/>
        <v>20285.8</v>
      </c>
      <c r="AK274" s="793">
        <f t="shared" si="239"/>
        <v>32539.8</v>
      </c>
      <c r="AL274" s="793">
        <f t="shared" si="240"/>
        <v>365</v>
      </c>
      <c r="AM274" s="793">
        <f t="shared" si="241"/>
        <v>3091</v>
      </c>
      <c r="AN274" s="805">
        <f t="shared" si="242"/>
        <v>15345</v>
      </c>
      <c r="AO274" s="805">
        <f t="shared" si="243"/>
        <v>17194.8</v>
      </c>
      <c r="AP274" s="818">
        <f t="shared" si="244"/>
        <v>17194.8</v>
      </c>
      <c r="AQ274" s="818">
        <f t="shared" si="245"/>
        <v>32539.8</v>
      </c>
      <c r="AR274" s="818">
        <f t="shared" si="246"/>
        <v>366</v>
      </c>
      <c r="AS274" s="818">
        <f t="shared" si="247"/>
        <v>3100</v>
      </c>
      <c r="AT274" s="818">
        <f t="shared" si="248"/>
        <v>18445</v>
      </c>
      <c r="AU274" s="818">
        <f t="shared" si="249"/>
        <v>14094.8</v>
      </c>
      <c r="AV274" s="793">
        <f t="shared" si="250"/>
        <v>14094.8</v>
      </c>
      <c r="AW274" s="793">
        <f t="shared" si="251"/>
        <v>32539.8</v>
      </c>
      <c r="AX274" s="793">
        <f t="shared" si="252"/>
        <v>365</v>
      </c>
      <c r="AY274" s="793">
        <f t="shared" si="253"/>
        <v>3091</v>
      </c>
      <c r="AZ274" s="818">
        <f t="shared" si="254"/>
        <v>21536</v>
      </c>
      <c r="BA274" s="818">
        <f t="shared" si="255"/>
        <v>11003.8</v>
      </c>
    </row>
    <row r="275" spans="1:53" ht="15" customHeight="1" x14ac:dyDescent="0.25">
      <c r="A275" s="842" t="s">
        <v>133</v>
      </c>
      <c r="B275" s="843" t="s">
        <v>1279</v>
      </c>
      <c r="C275" s="778">
        <f t="shared" si="211"/>
        <v>9.5000000000000001E-2</v>
      </c>
      <c r="D275" s="844">
        <v>10</v>
      </c>
      <c r="E275" s="779" t="s">
        <v>1182</v>
      </c>
      <c r="F275" s="845">
        <v>43206</v>
      </c>
      <c r="G275" s="781">
        <f t="shared" si="212"/>
        <v>43206</v>
      </c>
      <c r="H275" s="781">
        <f t="shared" si="213"/>
        <v>46856</v>
      </c>
      <c r="I275" s="1359">
        <v>33281.300000000003</v>
      </c>
      <c r="J275" s="805">
        <f t="shared" si="214"/>
        <v>1664.0650000000003</v>
      </c>
      <c r="K275" s="1404"/>
      <c r="L275" s="1410">
        <v>0</v>
      </c>
      <c r="M275" s="793">
        <f t="shared" si="215"/>
        <v>33281.300000000003</v>
      </c>
      <c r="N275" s="793">
        <f t="shared" si="216"/>
        <v>350</v>
      </c>
      <c r="O275" s="793">
        <f t="shared" si="217"/>
        <v>3032</v>
      </c>
      <c r="P275" s="793">
        <f t="shared" si="218"/>
        <v>3032</v>
      </c>
      <c r="Q275" s="1365">
        <f t="shared" si="219"/>
        <v>30249.300000000003</v>
      </c>
      <c r="R275" s="1411">
        <f t="shared" si="220"/>
        <v>30249.300000000003</v>
      </c>
      <c r="S275" s="793">
        <f t="shared" si="221"/>
        <v>33281.300000000003</v>
      </c>
      <c r="T275" s="805">
        <f t="shared" si="222"/>
        <v>366</v>
      </c>
      <c r="U275" s="805">
        <f t="shared" si="223"/>
        <v>3162</v>
      </c>
      <c r="V275" s="793">
        <f t="shared" si="224"/>
        <v>6194</v>
      </c>
      <c r="W275" s="1365">
        <f t="shared" si="225"/>
        <v>27087.300000000003</v>
      </c>
      <c r="X275" s="1410">
        <f t="shared" si="226"/>
        <v>27087.300000000003</v>
      </c>
      <c r="Y275" s="805">
        <f t="shared" si="227"/>
        <v>33281.300000000003</v>
      </c>
      <c r="Z275" s="805">
        <f t="shared" si="228"/>
        <v>365</v>
      </c>
      <c r="AA275" s="805">
        <f t="shared" si="229"/>
        <v>3162</v>
      </c>
      <c r="AB275" s="805">
        <f t="shared" si="230"/>
        <v>9356</v>
      </c>
      <c r="AC275" s="1360">
        <f t="shared" si="231"/>
        <v>23925.300000000003</v>
      </c>
      <c r="AD275" s="1412">
        <f t="shared" si="232"/>
        <v>23925.300000000003</v>
      </c>
      <c r="AE275" s="793">
        <f t="shared" si="233"/>
        <v>33281.300000000003</v>
      </c>
      <c r="AF275" s="793">
        <f t="shared" si="234"/>
        <v>365</v>
      </c>
      <c r="AG275" s="793">
        <f t="shared" si="235"/>
        <v>3162</v>
      </c>
      <c r="AH275" s="805">
        <f t="shared" si="236"/>
        <v>12518</v>
      </c>
      <c r="AI275" s="805">
        <f t="shared" si="237"/>
        <v>20763.300000000003</v>
      </c>
      <c r="AJ275" s="793">
        <f t="shared" si="238"/>
        <v>20763.300000000003</v>
      </c>
      <c r="AK275" s="793">
        <f t="shared" si="239"/>
        <v>33281.300000000003</v>
      </c>
      <c r="AL275" s="793">
        <f t="shared" si="240"/>
        <v>365</v>
      </c>
      <c r="AM275" s="793">
        <f t="shared" si="241"/>
        <v>3162</v>
      </c>
      <c r="AN275" s="805">
        <f t="shared" si="242"/>
        <v>15680</v>
      </c>
      <c r="AO275" s="805">
        <f t="shared" si="243"/>
        <v>17601.300000000003</v>
      </c>
      <c r="AP275" s="818">
        <f t="shared" si="244"/>
        <v>17601.300000000003</v>
      </c>
      <c r="AQ275" s="818">
        <f t="shared" si="245"/>
        <v>33281.300000000003</v>
      </c>
      <c r="AR275" s="818">
        <f t="shared" si="246"/>
        <v>366</v>
      </c>
      <c r="AS275" s="818">
        <f t="shared" si="247"/>
        <v>3170</v>
      </c>
      <c r="AT275" s="818">
        <f t="shared" si="248"/>
        <v>18850</v>
      </c>
      <c r="AU275" s="818">
        <f t="shared" si="249"/>
        <v>14431.300000000003</v>
      </c>
      <c r="AV275" s="793">
        <f t="shared" si="250"/>
        <v>14431.300000000003</v>
      </c>
      <c r="AW275" s="793">
        <f t="shared" si="251"/>
        <v>33281.300000000003</v>
      </c>
      <c r="AX275" s="793">
        <f t="shared" si="252"/>
        <v>365</v>
      </c>
      <c r="AY275" s="793">
        <f t="shared" si="253"/>
        <v>3162</v>
      </c>
      <c r="AZ275" s="818">
        <f t="shared" si="254"/>
        <v>22012</v>
      </c>
      <c r="BA275" s="818">
        <f t="shared" si="255"/>
        <v>11269.300000000003</v>
      </c>
    </row>
    <row r="276" spans="1:53" ht="15" customHeight="1" x14ac:dyDescent="0.25">
      <c r="A276" s="842" t="s">
        <v>133</v>
      </c>
      <c r="B276" s="843" t="s">
        <v>1279</v>
      </c>
      <c r="C276" s="778">
        <f t="shared" si="211"/>
        <v>9.5000000000000001E-2</v>
      </c>
      <c r="D276" s="844">
        <v>10</v>
      </c>
      <c r="E276" s="779" t="s">
        <v>1182</v>
      </c>
      <c r="F276" s="845">
        <v>43211</v>
      </c>
      <c r="G276" s="781">
        <f t="shared" si="212"/>
        <v>43211</v>
      </c>
      <c r="H276" s="781">
        <f t="shared" si="213"/>
        <v>46861</v>
      </c>
      <c r="I276" s="1359">
        <v>38135.599999999999</v>
      </c>
      <c r="J276" s="805">
        <f t="shared" si="214"/>
        <v>1906.78</v>
      </c>
      <c r="K276" s="1404"/>
      <c r="L276" s="1410">
        <v>0</v>
      </c>
      <c r="M276" s="793">
        <f t="shared" si="215"/>
        <v>38135.599999999999</v>
      </c>
      <c r="N276" s="793">
        <f t="shared" si="216"/>
        <v>345</v>
      </c>
      <c r="O276" s="793">
        <f t="shared" si="217"/>
        <v>3424</v>
      </c>
      <c r="P276" s="793">
        <f t="shared" si="218"/>
        <v>3424</v>
      </c>
      <c r="Q276" s="1365">
        <f t="shared" si="219"/>
        <v>34711.599999999999</v>
      </c>
      <c r="R276" s="1411">
        <f t="shared" si="220"/>
        <v>34711.599999999999</v>
      </c>
      <c r="S276" s="793">
        <f t="shared" si="221"/>
        <v>38135.599999999999</v>
      </c>
      <c r="T276" s="805">
        <f t="shared" si="222"/>
        <v>366</v>
      </c>
      <c r="U276" s="805">
        <f t="shared" si="223"/>
        <v>3623</v>
      </c>
      <c r="V276" s="793">
        <f t="shared" si="224"/>
        <v>7047</v>
      </c>
      <c r="W276" s="1365">
        <f t="shared" si="225"/>
        <v>31088.6</v>
      </c>
      <c r="X276" s="1410">
        <f t="shared" si="226"/>
        <v>31088.6</v>
      </c>
      <c r="Y276" s="805">
        <f t="shared" si="227"/>
        <v>38135.599999999999</v>
      </c>
      <c r="Z276" s="805">
        <f t="shared" si="228"/>
        <v>365</v>
      </c>
      <c r="AA276" s="805">
        <f t="shared" si="229"/>
        <v>3623</v>
      </c>
      <c r="AB276" s="805">
        <f t="shared" si="230"/>
        <v>10670</v>
      </c>
      <c r="AC276" s="1360">
        <f t="shared" si="231"/>
        <v>27465.599999999999</v>
      </c>
      <c r="AD276" s="1412">
        <f t="shared" si="232"/>
        <v>27465.599999999999</v>
      </c>
      <c r="AE276" s="793">
        <f t="shared" si="233"/>
        <v>38135.599999999999</v>
      </c>
      <c r="AF276" s="793">
        <f t="shared" si="234"/>
        <v>365</v>
      </c>
      <c r="AG276" s="793">
        <f t="shared" si="235"/>
        <v>3623</v>
      </c>
      <c r="AH276" s="805">
        <f t="shared" si="236"/>
        <v>14293</v>
      </c>
      <c r="AI276" s="805">
        <f t="shared" si="237"/>
        <v>23842.6</v>
      </c>
      <c r="AJ276" s="793">
        <f t="shared" si="238"/>
        <v>23842.6</v>
      </c>
      <c r="AK276" s="793">
        <f t="shared" si="239"/>
        <v>38135.599999999999</v>
      </c>
      <c r="AL276" s="793">
        <f t="shared" si="240"/>
        <v>365</v>
      </c>
      <c r="AM276" s="793">
        <f t="shared" si="241"/>
        <v>3623</v>
      </c>
      <c r="AN276" s="805">
        <f t="shared" si="242"/>
        <v>17916</v>
      </c>
      <c r="AO276" s="805">
        <f t="shared" si="243"/>
        <v>20219.599999999999</v>
      </c>
      <c r="AP276" s="818">
        <f t="shared" si="244"/>
        <v>20219.599999999999</v>
      </c>
      <c r="AQ276" s="818">
        <f t="shared" si="245"/>
        <v>38135.599999999999</v>
      </c>
      <c r="AR276" s="818">
        <f t="shared" si="246"/>
        <v>366</v>
      </c>
      <c r="AS276" s="818">
        <f t="shared" si="247"/>
        <v>3633</v>
      </c>
      <c r="AT276" s="818">
        <f t="shared" si="248"/>
        <v>21549</v>
      </c>
      <c r="AU276" s="818">
        <f t="shared" si="249"/>
        <v>16586.599999999999</v>
      </c>
      <c r="AV276" s="793">
        <f t="shared" si="250"/>
        <v>16586.599999999999</v>
      </c>
      <c r="AW276" s="793">
        <f t="shared" si="251"/>
        <v>38135.599999999999</v>
      </c>
      <c r="AX276" s="793">
        <f t="shared" si="252"/>
        <v>365</v>
      </c>
      <c r="AY276" s="793">
        <f t="shared" si="253"/>
        <v>3623</v>
      </c>
      <c r="AZ276" s="818">
        <f t="shared" si="254"/>
        <v>25172</v>
      </c>
      <c r="BA276" s="818">
        <f t="shared" si="255"/>
        <v>12963.599999999999</v>
      </c>
    </row>
    <row r="277" spans="1:53" ht="15" customHeight="1" x14ac:dyDescent="0.25">
      <c r="A277" s="842" t="s">
        <v>133</v>
      </c>
      <c r="B277" s="843" t="s">
        <v>1279</v>
      </c>
      <c r="C277" s="778">
        <f t="shared" si="211"/>
        <v>9.5000000000000001E-2</v>
      </c>
      <c r="D277" s="844">
        <v>10</v>
      </c>
      <c r="E277" s="779" t="s">
        <v>1182</v>
      </c>
      <c r="F277" s="845">
        <v>43239</v>
      </c>
      <c r="G277" s="781">
        <f t="shared" si="212"/>
        <v>43239</v>
      </c>
      <c r="H277" s="781">
        <f t="shared" si="213"/>
        <v>46889</v>
      </c>
      <c r="I277" s="1359">
        <v>43520.36</v>
      </c>
      <c r="J277" s="805">
        <f t="shared" si="214"/>
        <v>2176.018</v>
      </c>
      <c r="K277" s="1404"/>
      <c r="L277" s="1410">
        <v>0</v>
      </c>
      <c r="M277" s="793">
        <f t="shared" si="215"/>
        <v>43520.36</v>
      </c>
      <c r="N277" s="793">
        <f t="shared" si="216"/>
        <v>317</v>
      </c>
      <c r="O277" s="793">
        <f t="shared" si="217"/>
        <v>3591</v>
      </c>
      <c r="P277" s="793">
        <f t="shared" si="218"/>
        <v>3591</v>
      </c>
      <c r="Q277" s="1365">
        <f t="shared" si="219"/>
        <v>39929.360000000001</v>
      </c>
      <c r="R277" s="1411">
        <f t="shared" si="220"/>
        <v>39929.360000000001</v>
      </c>
      <c r="S277" s="793">
        <f t="shared" si="221"/>
        <v>43520.36</v>
      </c>
      <c r="T277" s="805">
        <f t="shared" si="222"/>
        <v>366</v>
      </c>
      <c r="U277" s="805">
        <f t="shared" si="223"/>
        <v>4134</v>
      </c>
      <c r="V277" s="793">
        <f t="shared" si="224"/>
        <v>7725</v>
      </c>
      <c r="W277" s="1365">
        <f t="shared" si="225"/>
        <v>35795.360000000001</v>
      </c>
      <c r="X277" s="1410">
        <f t="shared" si="226"/>
        <v>35795.360000000001</v>
      </c>
      <c r="Y277" s="805">
        <f t="shared" si="227"/>
        <v>43520.36</v>
      </c>
      <c r="Z277" s="805">
        <f t="shared" si="228"/>
        <v>365</v>
      </c>
      <c r="AA277" s="805">
        <f t="shared" si="229"/>
        <v>4134</v>
      </c>
      <c r="AB277" s="805">
        <f t="shared" si="230"/>
        <v>11859</v>
      </c>
      <c r="AC277" s="1360">
        <f t="shared" si="231"/>
        <v>31661.360000000001</v>
      </c>
      <c r="AD277" s="1412">
        <f t="shared" si="232"/>
        <v>31661.360000000001</v>
      </c>
      <c r="AE277" s="793">
        <f t="shared" si="233"/>
        <v>43520.36</v>
      </c>
      <c r="AF277" s="793">
        <f t="shared" si="234"/>
        <v>365</v>
      </c>
      <c r="AG277" s="793">
        <f t="shared" si="235"/>
        <v>4134</v>
      </c>
      <c r="AH277" s="805">
        <f t="shared" si="236"/>
        <v>15993</v>
      </c>
      <c r="AI277" s="805">
        <f t="shared" si="237"/>
        <v>27527.360000000001</v>
      </c>
      <c r="AJ277" s="793">
        <f t="shared" si="238"/>
        <v>27527.360000000001</v>
      </c>
      <c r="AK277" s="793">
        <f t="shared" si="239"/>
        <v>43520.36</v>
      </c>
      <c r="AL277" s="793">
        <f t="shared" si="240"/>
        <v>365</v>
      </c>
      <c r="AM277" s="793">
        <f t="shared" si="241"/>
        <v>4134</v>
      </c>
      <c r="AN277" s="805">
        <f t="shared" si="242"/>
        <v>20127</v>
      </c>
      <c r="AO277" s="805">
        <f t="shared" si="243"/>
        <v>23393.360000000001</v>
      </c>
      <c r="AP277" s="818">
        <f t="shared" si="244"/>
        <v>23393.360000000001</v>
      </c>
      <c r="AQ277" s="818">
        <f t="shared" si="245"/>
        <v>43520.36</v>
      </c>
      <c r="AR277" s="818">
        <f t="shared" si="246"/>
        <v>366</v>
      </c>
      <c r="AS277" s="818">
        <f t="shared" si="247"/>
        <v>4146</v>
      </c>
      <c r="AT277" s="818">
        <f t="shared" si="248"/>
        <v>24273</v>
      </c>
      <c r="AU277" s="818">
        <f t="shared" si="249"/>
        <v>19247.36</v>
      </c>
      <c r="AV277" s="793">
        <f t="shared" si="250"/>
        <v>19247.36</v>
      </c>
      <c r="AW277" s="793">
        <f t="shared" si="251"/>
        <v>43520.36</v>
      </c>
      <c r="AX277" s="793">
        <f t="shared" si="252"/>
        <v>365</v>
      </c>
      <c r="AY277" s="793">
        <f t="shared" si="253"/>
        <v>4134</v>
      </c>
      <c r="AZ277" s="818">
        <f t="shared" si="254"/>
        <v>28407</v>
      </c>
      <c r="BA277" s="818">
        <f t="shared" si="255"/>
        <v>15113.36</v>
      </c>
    </row>
    <row r="278" spans="1:53" ht="15" customHeight="1" x14ac:dyDescent="0.25">
      <c r="A278" s="842" t="s">
        <v>133</v>
      </c>
      <c r="B278" s="843" t="s">
        <v>1279</v>
      </c>
      <c r="C278" s="778">
        <f t="shared" si="211"/>
        <v>9.5000000000000001E-2</v>
      </c>
      <c r="D278" s="844">
        <v>10</v>
      </c>
      <c r="E278" s="779" t="s">
        <v>1182</v>
      </c>
      <c r="F278" s="845">
        <v>43239</v>
      </c>
      <c r="G278" s="781">
        <f t="shared" si="212"/>
        <v>43239</v>
      </c>
      <c r="H278" s="781">
        <f t="shared" si="213"/>
        <v>46889</v>
      </c>
      <c r="I278" s="1359">
        <v>3910.14</v>
      </c>
      <c r="J278" s="805">
        <f t="shared" si="214"/>
        <v>195.50700000000001</v>
      </c>
      <c r="K278" s="1404"/>
      <c r="L278" s="1410">
        <v>0</v>
      </c>
      <c r="M278" s="793">
        <f t="shared" si="215"/>
        <v>3910.14</v>
      </c>
      <c r="N278" s="793">
        <f t="shared" si="216"/>
        <v>317</v>
      </c>
      <c r="O278" s="793">
        <f t="shared" si="217"/>
        <v>323</v>
      </c>
      <c r="P278" s="793">
        <f t="shared" si="218"/>
        <v>323</v>
      </c>
      <c r="Q278" s="1365">
        <f t="shared" si="219"/>
        <v>3587.14</v>
      </c>
      <c r="R278" s="1411">
        <f t="shared" si="220"/>
        <v>3587.14</v>
      </c>
      <c r="S278" s="793">
        <f t="shared" si="221"/>
        <v>3910.14</v>
      </c>
      <c r="T278" s="805">
        <f t="shared" si="222"/>
        <v>366</v>
      </c>
      <c r="U278" s="805">
        <f t="shared" si="223"/>
        <v>371</v>
      </c>
      <c r="V278" s="793">
        <f t="shared" si="224"/>
        <v>694</v>
      </c>
      <c r="W278" s="1365">
        <f t="shared" si="225"/>
        <v>3216.14</v>
      </c>
      <c r="X278" s="1410">
        <f t="shared" si="226"/>
        <v>3216.14</v>
      </c>
      <c r="Y278" s="805">
        <f t="shared" si="227"/>
        <v>3910.14</v>
      </c>
      <c r="Z278" s="805">
        <f t="shared" si="228"/>
        <v>365</v>
      </c>
      <c r="AA278" s="805">
        <f t="shared" si="229"/>
        <v>371</v>
      </c>
      <c r="AB278" s="805">
        <f t="shared" si="230"/>
        <v>1065</v>
      </c>
      <c r="AC278" s="1360">
        <f t="shared" si="231"/>
        <v>2845.14</v>
      </c>
      <c r="AD278" s="1412">
        <f t="shared" si="232"/>
        <v>2845.14</v>
      </c>
      <c r="AE278" s="793">
        <f t="shared" si="233"/>
        <v>3910.14</v>
      </c>
      <c r="AF278" s="793">
        <f t="shared" si="234"/>
        <v>365</v>
      </c>
      <c r="AG278" s="793">
        <f t="shared" si="235"/>
        <v>371</v>
      </c>
      <c r="AH278" s="805">
        <f t="shared" si="236"/>
        <v>1436</v>
      </c>
      <c r="AI278" s="805">
        <f t="shared" si="237"/>
        <v>2474.14</v>
      </c>
      <c r="AJ278" s="793">
        <f t="shared" si="238"/>
        <v>2474.14</v>
      </c>
      <c r="AK278" s="793">
        <f t="shared" si="239"/>
        <v>3910.14</v>
      </c>
      <c r="AL278" s="793">
        <f t="shared" si="240"/>
        <v>365</v>
      </c>
      <c r="AM278" s="793">
        <f t="shared" si="241"/>
        <v>371</v>
      </c>
      <c r="AN278" s="805">
        <f t="shared" si="242"/>
        <v>1807</v>
      </c>
      <c r="AO278" s="805">
        <f t="shared" si="243"/>
        <v>2103.14</v>
      </c>
      <c r="AP278" s="818">
        <f t="shared" si="244"/>
        <v>2103.14</v>
      </c>
      <c r="AQ278" s="818">
        <f t="shared" si="245"/>
        <v>3910.14</v>
      </c>
      <c r="AR278" s="818">
        <f t="shared" si="246"/>
        <v>366</v>
      </c>
      <c r="AS278" s="818">
        <f t="shared" si="247"/>
        <v>372</v>
      </c>
      <c r="AT278" s="818">
        <f t="shared" si="248"/>
        <v>2179</v>
      </c>
      <c r="AU278" s="818">
        <f t="shared" si="249"/>
        <v>1731.1399999999999</v>
      </c>
      <c r="AV278" s="793">
        <f t="shared" si="250"/>
        <v>1731.1399999999999</v>
      </c>
      <c r="AW278" s="793">
        <f t="shared" si="251"/>
        <v>3910.14</v>
      </c>
      <c r="AX278" s="793">
        <f t="shared" si="252"/>
        <v>365</v>
      </c>
      <c r="AY278" s="793">
        <f t="shared" si="253"/>
        <v>371</v>
      </c>
      <c r="AZ278" s="818">
        <f t="shared" si="254"/>
        <v>2550</v>
      </c>
      <c r="BA278" s="818">
        <f t="shared" si="255"/>
        <v>1360.1399999999999</v>
      </c>
    </row>
    <row r="279" spans="1:53" ht="15" customHeight="1" x14ac:dyDescent="0.25">
      <c r="A279" s="842" t="s">
        <v>133</v>
      </c>
      <c r="B279" s="843" t="s">
        <v>1279</v>
      </c>
      <c r="C279" s="778">
        <f t="shared" si="211"/>
        <v>9.5000000000000001E-2</v>
      </c>
      <c r="D279" s="844">
        <v>10</v>
      </c>
      <c r="E279" s="779" t="s">
        <v>1182</v>
      </c>
      <c r="F279" s="845">
        <v>43265</v>
      </c>
      <c r="G279" s="781">
        <f t="shared" si="212"/>
        <v>43265</v>
      </c>
      <c r="H279" s="781">
        <f t="shared" si="213"/>
        <v>46915</v>
      </c>
      <c r="I279" s="1359">
        <v>38791.58</v>
      </c>
      <c r="J279" s="805">
        <f t="shared" si="214"/>
        <v>1939.5790000000002</v>
      </c>
      <c r="K279" s="1404"/>
      <c r="L279" s="1410">
        <v>0</v>
      </c>
      <c r="M279" s="793">
        <f t="shared" si="215"/>
        <v>38791.58</v>
      </c>
      <c r="N279" s="793">
        <f t="shared" si="216"/>
        <v>291</v>
      </c>
      <c r="O279" s="793">
        <f t="shared" si="217"/>
        <v>2938</v>
      </c>
      <c r="P279" s="793">
        <f t="shared" si="218"/>
        <v>2938</v>
      </c>
      <c r="Q279" s="1365">
        <f t="shared" si="219"/>
        <v>35853.58</v>
      </c>
      <c r="R279" s="1411">
        <f t="shared" si="220"/>
        <v>35853.58</v>
      </c>
      <c r="S279" s="793">
        <f t="shared" si="221"/>
        <v>38791.58</v>
      </c>
      <c r="T279" s="805">
        <f t="shared" si="222"/>
        <v>366</v>
      </c>
      <c r="U279" s="805">
        <f t="shared" si="223"/>
        <v>3685</v>
      </c>
      <c r="V279" s="793">
        <f t="shared" si="224"/>
        <v>6623</v>
      </c>
      <c r="W279" s="1365">
        <f t="shared" si="225"/>
        <v>32168.58</v>
      </c>
      <c r="X279" s="1410">
        <f t="shared" si="226"/>
        <v>32168.58</v>
      </c>
      <c r="Y279" s="805">
        <f t="shared" si="227"/>
        <v>38791.58</v>
      </c>
      <c r="Z279" s="805">
        <f t="shared" si="228"/>
        <v>365</v>
      </c>
      <c r="AA279" s="805">
        <f t="shared" si="229"/>
        <v>3685</v>
      </c>
      <c r="AB279" s="805">
        <f t="shared" si="230"/>
        <v>10308</v>
      </c>
      <c r="AC279" s="1360">
        <f t="shared" si="231"/>
        <v>28483.58</v>
      </c>
      <c r="AD279" s="1412">
        <f t="shared" si="232"/>
        <v>28483.58</v>
      </c>
      <c r="AE279" s="793">
        <f t="shared" si="233"/>
        <v>38791.58</v>
      </c>
      <c r="AF279" s="793">
        <f t="shared" si="234"/>
        <v>365</v>
      </c>
      <c r="AG279" s="793">
        <f t="shared" si="235"/>
        <v>3685</v>
      </c>
      <c r="AH279" s="805">
        <f t="shared" si="236"/>
        <v>13993</v>
      </c>
      <c r="AI279" s="805">
        <f t="shared" si="237"/>
        <v>24798.58</v>
      </c>
      <c r="AJ279" s="793">
        <f t="shared" si="238"/>
        <v>24798.58</v>
      </c>
      <c r="AK279" s="793">
        <f t="shared" si="239"/>
        <v>38791.58</v>
      </c>
      <c r="AL279" s="793">
        <f t="shared" si="240"/>
        <v>365</v>
      </c>
      <c r="AM279" s="793">
        <f t="shared" si="241"/>
        <v>3685</v>
      </c>
      <c r="AN279" s="805">
        <f t="shared" si="242"/>
        <v>17678</v>
      </c>
      <c r="AO279" s="805">
        <f t="shared" si="243"/>
        <v>21113.58</v>
      </c>
      <c r="AP279" s="818">
        <f t="shared" si="244"/>
        <v>21113.58</v>
      </c>
      <c r="AQ279" s="818">
        <f t="shared" si="245"/>
        <v>38791.58</v>
      </c>
      <c r="AR279" s="818">
        <f t="shared" si="246"/>
        <v>366</v>
      </c>
      <c r="AS279" s="818">
        <f t="shared" si="247"/>
        <v>3695</v>
      </c>
      <c r="AT279" s="818">
        <f t="shared" si="248"/>
        <v>21373</v>
      </c>
      <c r="AU279" s="818">
        <f t="shared" si="249"/>
        <v>17418.580000000002</v>
      </c>
      <c r="AV279" s="793">
        <f t="shared" si="250"/>
        <v>17418.580000000002</v>
      </c>
      <c r="AW279" s="793">
        <f t="shared" si="251"/>
        <v>38791.58</v>
      </c>
      <c r="AX279" s="793">
        <f t="shared" si="252"/>
        <v>365</v>
      </c>
      <c r="AY279" s="793">
        <f t="shared" si="253"/>
        <v>3685</v>
      </c>
      <c r="AZ279" s="818">
        <f t="shared" si="254"/>
        <v>25058</v>
      </c>
      <c r="BA279" s="818">
        <f t="shared" si="255"/>
        <v>13733.580000000002</v>
      </c>
    </row>
    <row r="280" spans="1:53" ht="15" customHeight="1" x14ac:dyDescent="0.25">
      <c r="A280" s="842" t="s">
        <v>133</v>
      </c>
      <c r="B280" s="843" t="s">
        <v>1279</v>
      </c>
      <c r="C280" s="778">
        <f t="shared" si="211"/>
        <v>9.5000000000000001E-2</v>
      </c>
      <c r="D280" s="844">
        <v>10</v>
      </c>
      <c r="E280" s="779" t="s">
        <v>1182</v>
      </c>
      <c r="F280" s="845">
        <v>43268</v>
      </c>
      <c r="G280" s="781">
        <f t="shared" si="212"/>
        <v>43268</v>
      </c>
      <c r="H280" s="781">
        <f t="shared" si="213"/>
        <v>46918</v>
      </c>
      <c r="I280" s="1359">
        <v>34175.599999999999</v>
      </c>
      <c r="J280" s="805">
        <f t="shared" si="214"/>
        <v>1708.78</v>
      </c>
      <c r="K280" s="1404"/>
      <c r="L280" s="1410">
        <v>0</v>
      </c>
      <c r="M280" s="793">
        <f t="shared" si="215"/>
        <v>34175.599999999999</v>
      </c>
      <c r="N280" s="793">
        <f t="shared" si="216"/>
        <v>288</v>
      </c>
      <c r="O280" s="793">
        <f t="shared" si="217"/>
        <v>2562</v>
      </c>
      <c r="P280" s="793">
        <f t="shared" si="218"/>
        <v>2562</v>
      </c>
      <c r="Q280" s="1365">
        <f t="shared" si="219"/>
        <v>31613.599999999999</v>
      </c>
      <c r="R280" s="1411">
        <f t="shared" si="220"/>
        <v>31613.599999999999</v>
      </c>
      <c r="S280" s="793">
        <f t="shared" si="221"/>
        <v>34175.599999999999</v>
      </c>
      <c r="T280" s="805">
        <f t="shared" si="222"/>
        <v>366</v>
      </c>
      <c r="U280" s="805">
        <f t="shared" si="223"/>
        <v>3247</v>
      </c>
      <c r="V280" s="793">
        <f t="shared" si="224"/>
        <v>5809</v>
      </c>
      <c r="W280" s="1365">
        <f t="shared" si="225"/>
        <v>28366.6</v>
      </c>
      <c r="X280" s="1410">
        <f t="shared" si="226"/>
        <v>28366.6</v>
      </c>
      <c r="Y280" s="805">
        <f t="shared" si="227"/>
        <v>34175.599999999999</v>
      </c>
      <c r="Z280" s="805">
        <f t="shared" si="228"/>
        <v>365</v>
      </c>
      <c r="AA280" s="805">
        <f t="shared" si="229"/>
        <v>3247</v>
      </c>
      <c r="AB280" s="805">
        <f t="shared" si="230"/>
        <v>9056</v>
      </c>
      <c r="AC280" s="1360">
        <f t="shared" si="231"/>
        <v>25119.599999999999</v>
      </c>
      <c r="AD280" s="1412">
        <f t="shared" si="232"/>
        <v>25119.599999999999</v>
      </c>
      <c r="AE280" s="793">
        <f t="shared" si="233"/>
        <v>34175.599999999999</v>
      </c>
      <c r="AF280" s="793">
        <f t="shared" si="234"/>
        <v>365</v>
      </c>
      <c r="AG280" s="793">
        <f t="shared" si="235"/>
        <v>3247</v>
      </c>
      <c r="AH280" s="805">
        <f t="shared" si="236"/>
        <v>12303</v>
      </c>
      <c r="AI280" s="805">
        <f t="shared" si="237"/>
        <v>21872.6</v>
      </c>
      <c r="AJ280" s="793">
        <f t="shared" si="238"/>
        <v>21872.6</v>
      </c>
      <c r="AK280" s="793">
        <f t="shared" si="239"/>
        <v>34175.599999999999</v>
      </c>
      <c r="AL280" s="793">
        <f t="shared" si="240"/>
        <v>365</v>
      </c>
      <c r="AM280" s="793">
        <f t="shared" si="241"/>
        <v>3247</v>
      </c>
      <c r="AN280" s="805">
        <f t="shared" si="242"/>
        <v>15550</v>
      </c>
      <c r="AO280" s="805">
        <f t="shared" si="243"/>
        <v>18625.599999999999</v>
      </c>
      <c r="AP280" s="818">
        <f t="shared" si="244"/>
        <v>18625.599999999999</v>
      </c>
      <c r="AQ280" s="818">
        <f t="shared" si="245"/>
        <v>34175.599999999999</v>
      </c>
      <c r="AR280" s="818">
        <f t="shared" si="246"/>
        <v>366</v>
      </c>
      <c r="AS280" s="818">
        <f t="shared" si="247"/>
        <v>3256</v>
      </c>
      <c r="AT280" s="818">
        <f t="shared" si="248"/>
        <v>18806</v>
      </c>
      <c r="AU280" s="818">
        <f t="shared" si="249"/>
        <v>15369.599999999999</v>
      </c>
      <c r="AV280" s="793">
        <f t="shared" si="250"/>
        <v>15369.599999999999</v>
      </c>
      <c r="AW280" s="793">
        <f t="shared" si="251"/>
        <v>34175.599999999999</v>
      </c>
      <c r="AX280" s="793">
        <f t="shared" si="252"/>
        <v>365</v>
      </c>
      <c r="AY280" s="793">
        <f t="shared" si="253"/>
        <v>3247</v>
      </c>
      <c r="AZ280" s="818">
        <f t="shared" si="254"/>
        <v>22053</v>
      </c>
      <c r="BA280" s="818">
        <f t="shared" si="255"/>
        <v>12122.599999999999</v>
      </c>
    </row>
    <row r="281" spans="1:53" ht="15" customHeight="1" x14ac:dyDescent="0.25">
      <c r="A281" s="842" t="s">
        <v>133</v>
      </c>
      <c r="B281" s="843" t="s">
        <v>1279</v>
      </c>
      <c r="C281" s="778">
        <f t="shared" si="211"/>
        <v>9.5000000000000001E-2</v>
      </c>
      <c r="D281" s="844">
        <v>10</v>
      </c>
      <c r="E281" s="779" t="s">
        <v>1182</v>
      </c>
      <c r="F281" s="845">
        <v>43294</v>
      </c>
      <c r="G281" s="781">
        <f t="shared" si="212"/>
        <v>43294</v>
      </c>
      <c r="H281" s="781">
        <f t="shared" si="213"/>
        <v>46944</v>
      </c>
      <c r="I281" s="1359">
        <v>3480</v>
      </c>
      <c r="J281" s="805">
        <f t="shared" si="214"/>
        <v>174</v>
      </c>
      <c r="K281" s="1404"/>
      <c r="L281" s="1410">
        <v>0</v>
      </c>
      <c r="M281" s="793">
        <f t="shared" si="215"/>
        <v>3480</v>
      </c>
      <c r="N281" s="793">
        <f t="shared" si="216"/>
        <v>262</v>
      </c>
      <c r="O281" s="793">
        <f t="shared" si="217"/>
        <v>237</v>
      </c>
      <c r="P281" s="793">
        <f t="shared" si="218"/>
        <v>237</v>
      </c>
      <c r="Q281" s="1365">
        <f t="shared" si="219"/>
        <v>3243</v>
      </c>
      <c r="R281" s="1411">
        <f t="shared" si="220"/>
        <v>3243</v>
      </c>
      <c r="S281" s="793">
        <f t="shared" si="221"/>
        <v>3480</v>
      </c>
      <c r="T281" s="805">
        <f t="shared" si="222"/>
        <v>366</v>
      </c>
      <c r="U281" s="805">
        <f t="shared" si="223"/>
        <v>331</v>
      </c>
      <c r="V281" s="793">
        <f t="shared" si="224"/>
        <v>568</v>
      </c>
      <c r="W281" s="1365">
        <f t="shared" si="225"/>
        <v>2912</v>
      </c>
      <c r="X281" s="1410">
        <f t="shared" si="226"/>
        <v>2912</v>
      </c>
      <c r="Y281" s="805">
        <f t="shared" si="227"/>
        <v>3480</v>
      </c>
      <c r="Z281" s="805">
        <f t="shared" si="228"/>
        <v>365</v>
      </c>
      <c r="AA281" s="805">
        <f t="shared" si="229"/>
        <v>331</v>
      </c>
      <c r="AB281" s="805">
        <f t="shared" si="230"/>
        <v>899</v>
      </c>
      <c r="AC281" s="1360">
        <f t="shared" si="231"/>
        <v>2581</v>
      </c>
      <c r="AD281" s="1412">
        <f t="shared" si="232"/>
        <v>2581</v>
      </c>
      <c r="AE281" s="793">
        <f t="shared" si="233"/>
        <v>3480</v>
      </c>
      <c r="AF281" s="793">
        <f t="shared" si="234"/>
        <v>365</v>
      </c>
      <c r="AG281" s="793">
        <f t="shared" si="235"/>
        <v>331</v>
      </c>
      <c r="AH281" s="805">
        <f t="shared" si="236"/>
        <v>1230</v>
      </c>
      <c r="AI281" s="805">
        <f t="shared" si="237"/>
        <v>2250</v>
      </c>
      <c r="AJ281" s="793">
        <f t="shared" si="238"/>
        <v>2250</v>
      </c>
      <c r="AK281" s="793">
        <f t="shared" si="239"/>
        <v>3480</v>
      </c>
      <c r="AL281" s="793">
        <f t="shared" si="240"/>
        <v>365</v>
      </c>
      <c r="AM281" s="793">
        <f t="shared" si="241"/>
        <v>331</v>
      </c>
      <c r="AN281" s="805">
        <f t="shared" si="242"/>
        <v>1561</v>
      </c>
      <c r="AO281" s="805">
        <f t="shared" si="243"/>
        <v>1919</v>
      </c>
      <c r="AP281" s="818">
        <f t="shared" si="244"/>
        <v>1919</v>
      </c>
      <c r="AQ281" s="818">
        <f t="shared" si="245"/>
        <v>3480</v>
      </c>
      <c r="AR281" s="818">
        <f t="shared" si="246"/>
        <v>366</v>
      </c>
      <c r="AS281" s="818">
        <f t="shared" si="247"/>
        <v>332</v>
      </c>
      <c r="AT281" s="818">
        <f t="shared" si="248"/>
        <v>1893</v>
      </c>
      <c r="AU281" s="818">
        <f t="shared" si="249"/>
        <v>1587</v>
      </c>
      <c r="AV281" s="793">
        <f t="shared" si="250"/>
        <v>1587</v>
      </c>
      <c r="AW281" s="793">
        <f t="shared" si="251"/>
        <v>3480</v>
      </c>
      <c r="AX281" s="793">
        <f t="shared" si="252"/>
        <v>365</v>
      </c>
      <c r="AY281" s="793">
        <f t="shared" si="253"/>
        <v>331</v>
      </c>
      <c r="AZ281" s="818">
        <f t="shared" si="254"/>
        <v>2224</v>
      </c>
      <c r="BA281" s="818">
        <f t="shared" si="255"/>
        <v>1256</v>
      </c>
    </row>
    <row r="282" spans="1:53" ht="15" customHeight="1" x14ac:dyDescent="0.25">
      <c r="A282" s="842" t="s">
        <v>133</v>
      </c>
      <c r="B282" s="843" t="s">
        <v>1279</v>
      </c>
      <c r="C282" s="778">
        <f t="shared" si="211"/>
        <v>9.5000000000000001E-2</v>
      </c>
      <c r="D282" s="844">
        <v>10</v>
      </c>
      <c r="E282" s="779" t="s">
        <v>1182</v>
      </c>
      <c r="F282" s="845">
        <v>43295</v>
      </c>
      <c r="G282" s="781">
        <f t="shared" si="212"/>
        <v>43295</v>
      </c>
      <c r="H282" s="781">
        <f t="shared" si="213"/>
        <v>46945</v>
      </c>
      <c r="I282" s="1359">
        <v>9322</v>
      </c>
      <c r="J282" s="805">
        <f t="shared" si="214"/>
        <v>466.1</v>
      </c>
      <c r="K282" s="1404"/>
      <c r="L282" s="1410">
        <v>0</v>
      </c>
      <c r="M282" s="793">
        <f t="shared" si="215"/>
        <v>9322</v>
      </c>
      <c r="N282" s="793">
        <f t="shared" si="216"/>
        <v>261</v>
      </c>
      <c r="O282" s="793">
        <f t="shared" si="217"/>
        <v>633</v>
      </c>
      <c r="P282" s="793">
        <f t="shared" si="218"/>
        <v>633</v>
      </c>
      <c r="Q282" s="1365">
        <f t="shared" si="219"/>
        <v>8689</v>
      </c>
      <c r="R282" s="1411">
        <f t="shared" si="220"/>
        <v>8689</v>
      </c>
      <c r="S282" s="793">
        <f t="shared" si="221"/>
        <v>9322</v>
      </c>
      <c r="T282" s="805">
        <f t="shared" si="222"/>
        <v>366</v>
      </c>
      <c r="U282" s="805">
        <f t="shared" si="223"/>
        <v>886</v>
      </c>
      <c r="V282" s="793">
        <f t="shared" si="224"/>
        <v>1519</v>
      </c>
      <c r="W282" s="1365">
        <f t="shared" si="225"/>
        <v>7803</v>
      </c>
      <c r="X282" s="1410">
        <f t="shared" si="226"/>
        <v>7803</v>
      </c>
      <c r="Y282" s="805">
        <f t="shared" si="227"/>
        <v>9322</v>
      </c>
      <c r="Z282" s="805">
        <f t="shared" si="228"/>
        <v>365</v>
      </c>
      <c r="AA282" s="805">
        <f t="shared" si="229"/>
        <v>886</v>
      </c>
      <c r="AB282" s="805">
        <f t="shared" si="230"/>
        <v>2405</v>
      </c>
      <c r="AC282" s="1360">
        <f t="shared" si="231"/>
        <v>6917</v>
      </c>
      <c r="AD282" s="1412">
        <f t="shared" si="232"/>
        <v>6917</v>
      </c>
      <c r="AE282" s="793">
        <f t="shared" si="233"/>
        <v>9322</v>
      </c>
      <c r="AF282" s="793">
        <f t="shared" si="234"/>
        <v>365</v>
      </c>
      <c r="AG282" s="793">
        <f t="shared" si="235"/>
        <v>886</v>
      </c>
      <c r="AH282" s="805">
        <f t="shared" si="236"/>
        <v>3291</v>
      </c>
      <c r="AI282" s="805">
        <f t="shared" si="237"/>
        <v>6031</v>
      </c>
      <c r="AJ282" s="793">
        <f t="shared" si="238"/>
        <v>6031</v>
      </c>
      <c r="AK282" s="793">
        <f t="shared" si="239"/>
        <v>9322</v>
      </c>
      <c r="AL282" s="793">
        <f t="shared" si="240"/>
        <v>365</v>
      </c>
      <c r="AM282" s="793">
        <f t="shared" si="241"/>
        <v>886</v>
      </c>
      <c r="AN282" s="805">
        <f t="shared" si="242"/>
        <v>4177</v>
      </c>
      <c r="AO282" s="805">
        <f t="shared" si="243"/>
        <v>5145</v>
      </c>
      <c r="AP282" s="818">
        <f t="shared" si="244"/>
        <v>5145</v>
      </c>
      <c r="AQ282" s="818">
        <f t="shared" si="245"/>
        <v>9322</v>
      </c>
      <c r="AR282" s="818">
        <f t="shared" si="246"/>
        <v>366</v>
      </c>
      <c r="AS282" s="818">
        <f t="shared" si="247"/>
        <v>888</v>
      </c>
      <c r="AT282" s="818">
        <f t="shared" si="248"/>
        <v>5065</v>
      </c>
      <c r="AU282" s="818">
        <f t="shared" si="249"/>
        <v>4257</v>
      </c>
      <c r="AV282" s="793">
        <f t="shared" si="250"/>
        <v>4257</v>
      </c>
      <c r="AW282" s="793">
        <f t="shared" si="251"/>
        <v>9322</v>
      </c>
      <c r="AX282" s="793">
        <f t="shared" si="252"/>
        <v>365</v>
      </c>
      <c r="AY282" s="793">
        <f t="shared" si="253"/>
        <v>886</v>
      </c>
      <c r="AZ282" s="818">
        <f t="shared" si="254"/>
        <v>5951</v>
      </c>
      <c r="BA282" s="818">
        <f t="shared" si="255"/>
        <v>3371</v>
      </c>
    </row>
    <row r="283" spans="1:53" ht="15" customHeight="1" x14ac:dyDescent="0.25">
      <c r="A283" s="842" t="s">
        <v>133</v>
      </c>
      <c r="B283" s="843" t="s">
        <v>1279</v>
      </c>
      <c r="C283" s="778">
        <f t="shared" si="211"/>
        <v>9.5000000000000001E-2</v>
      </c>
      <c r="D283" s="844">
        <v>10</v>
      </c>
      <c r="E283" s="779" t="s">
        <v>1182</v>
      </c>
      <c r="F283" s="845">
        <v>43295</v>
      </c>
      <c r="G283" s="781">
        <f t="shared" si="212"/>
        <v>43295</v>
      </c>
      <c r="H283" s="781">
        <f t="shared" si="213"/>
        <v>46945</v>
      </c>
      <c r="I283" s="1359">
        <v>3978.5</v>
      </c>
      <c r="J283" s="805">
        <f t="shared" si="214"/>
        <v>198.92500000000001</v>
      </c>
      <c r="K283" s="1404"/>
      <c r="L283" s="1410">
        <v>0</v>
      </c>
      <c r="M283" s="793">
        <f t="shared" si="215"/>
        <v>3978.5</v>
      </c>
      <c r="N283" s="793">
        <f t="shared" si="216"/>
        <v>261</v>
      </c>
      <c r="O283" s="793">
        <f t="shared" si="217"/>
        <v>270</v>
      </c>
      <c r="P283" s="793">
        <f t="shared" si="218"/>
        <v>270</v>
      </c>
      <c r="Q283" s="1365">
        <f t="shared" si="219"/>
        <v>3708.5</v>
      </c>
      <c r="R283" s="1411">
        <f t="shared" si="220"/>
        <v>3708.5</v>
      </c>
      <c r="S283" s="793">
        <f t="shared" si="221"/>
        <v>3978.5</v>
      </c>
      <c r="T283" s="805">
        <f t="shared" si="222"/>
        <v>366</v>
      </c>
      <c r="U283" s="805">
        <f t="shared" si="223"/>
        <v>378</v>
      </c>
      <c r="V283" s="793">
        <f t="shared" si="224"/>
        <v>648</v>
      </c>
      <c r="W283" s="1365">
        <f t="shared" si="225"/>
        <v>3330.5</v>
      </c>
      <c r="X283" s="1410">
        <f t="shared" si="226"/>
        <v>3330.5</v>
      </c>
      <c r="Y283" s="805">
        <f t="shared" si="227"/>
        <v>3978.5</v>
      </c>
      <c r="Z283" s="805">
        <f t="shared" si="228"/>
        <v>365</v>
      </c>
      <c r="AA283" s="805">
        <f t="shared" si="229"/>
        <v>378</v>
      </c>
      <c r="AB283" s="805">
        <f t="shared" si="230"/>
        <v>1026</v>
      </c>
      <c r="AC283" s="1360">
        <f t="shared" si="231"/>
        <v>2952.5</v>
      </c>
      <c r="AD283" s="1412">
        <f t="shared" si="232"/>
        <v>2952.5</v>
      </c>
      <c r="AE283" s="793">
        <f t="shared" si="233"/>
        <v>3978.5</v>
      </c>
      <c r="AF283" s="793">
        <f t="shared" si="234"/>
        <v>365</v>
      </c>
      <c r="AG283" s="793">
        <f t="shared" si="235"/>
        <v>378</v>
      </c>
      <c r="AH283" s="805">
        <f t="shared" si="236"/>
        <v>1404</v>
      </c>
      <c r="AI283" s="805">
        <f t="shared" si="237"/>
        <v>2574.5</v>
      </c>
      <c r="AJ283" s="793">
        <f t="shared" si="238"/>
        <v>2574.5</v>
      </c>
      <c r="AK283" s="793">
        <f t="shared" si="239"/>
        <v>3978.5</v>
      </c>
      <c r="AL283" s="793">
        <f t="shared" si="240"/>
        <v>365</v>
      </c>
      <c r="AM283" s="793">
        <f t="shared" si="241"/>
        <v>378</v>
      </c>
      <c r="AN283" s="805">
        <f t="shared" si="242"/>
        <v>1782</v>
      </c>
      <c r="AO283" s="805">
        <f t="shared" si="243"/>
        <v>2196.5</v>
      </c>
      <c r="AP283" s="818">
        <f t="shared" si="244"/>
        <v>2196.5</v>
      </c>
      <c r="AQ283" s="818">
        <f t="shared" si="245"/>
        <v>3978.5</v>
      </c>
      <c r="AR283" s="818">
        <f t="shared" si="246"/>
        <v>366</v>
      </c>
      <c r="AS283" s="818">
        <f t="shared" si="247"/>
        <v>379</v>
      </c>
      <c r="AT283" s="818">
        <f t="shared" si="248"/>
        <v>2161</v>
      </c>
      <c r="AU283" s="818">
        <f t="shared" si="249"/>
        <v>1817.5</v>
      </c>
      <c r="AV283" s="793">
        <f t="shared" si="250"/>
        <v>1817.5</v>
      </c>
      <c r="AW283" s="793">
        <f t="shared" si="251"/>
        <v>3978.5</v>
      </c>
      <c r="AX283" s="793">
        <f t="shared" si="252"/>
        <v>365</v>
      </c>
      <c r="AY283" s="793">
        <f t="shared" si="253"/>
        <v>378</v>
      </c>
      <c r="AZ283" s="818">
        <f t="shared" si="254"/>
        <v>2539</v>
      </c>
      <c r="BA283" s="818">
        <f t="shared" si="255"/>
        <v>1439.5</v>
      </c>
    </row>
    <row r="284" spans="1:53" ht="15" customHeight="1" x14ac:dyDescent="0.25">
      <c r="A284" s="842" t="s">
        <v>133</v>
      </c>
      <c r="B284" s="843" t="s">
        <v>1279</v>
      </c>
      <c r="C284" s="778">
        <f t="shared" si="211"/>
        <v>9.5000000000000001E-2</v>
      </c>
      <c r="D284" s="844">
        <v>10</v>
      </c>
      <c r="E284" s="779" t="s">
        <v>1182</v>
      </c>
      <c r="F284" s="845">
        <v>43302</v>
      </c>
      <c r="G284" s="781">
        <f t="shared" si="212"/>
        <v>43302</v>
      </c>
      <c r="H284" s="781">
        <f t="shared" si="213"/>
        <v>46952</v>
      </c>
      <c r="I284" s="1359">
        <v>6678</v>
      </c>
      <c r="J284" s="805">
        <f t="shared" si="214"/>
        <v>333.90000000000003</v>
      </c>
      <c r="K284" s="1404"/>
      <c r="L284" s="1410">
        <v>0</v>
      </c>
      <c r="M284" s="793">
        <f t="shared" si="215"/>
        <v>6678</v>
      </c>
      <c r="N284" s="793">
        <f t="shared" si="216"/>
        <v>254</v>
      </c>
      <c r="O284" s="793">
        <f t="shared" si="217"/>
        <v>441</v>
      </c>
      <c r="P284" s="793">
        <f t="shared" si="218"/>
        <v>441</v>
      </c>
      <c r="Q284" s="1365">
        <f t="shared" si="219"/>
        <v>6237</v>
      </c>
      <c r="R284" s="1411">
        <f t="shared" si="220"/>
        <v>6237</v>
      </c>
      <c r="S284" s="793">
        <f t="shared" si="221"/>
        <v>6678</v>
      </c>
      <c r="T284" s="805">
        <f t="shared" si="222"/>
        <v>366</v>
      </c>
      <c r="U284" s="805">
        <f t="shared" si="223"/>
        <v>634</v>
      </c>
      <c r="V284" s="793">
        <f t="shared" si="224"/>
        <v>1075</v>
      </c>
      <c r="W284" s="1365">
        <f t="shared" si="225"/>
        <v>5603</v>
      </c>
      <c r="X284" s="1410">
        <f t="shared" si="226"/>
        <v>5603</v>
      </c>
      <c r="Y284" s="805">
        <f t="shared" si="227"/>
        <v>6678</v>
      </c>
      <c r="Z284" s="805">
        <f t="shared" si="228"/>
        <v>365</v>
      </c>
      <c r="AA284" s="805">
        <f t="shared" si="229"/>
        <v>634</v>
      </c>
      <c r="AB284" s="805">
        <f t="shared" si="230"/>
        <v>1709</v>
      </c>
      <c r="AC284" s="1360">
        <f t="shared" si="231"/>
        <v>4969</v>
      </c>
      <c r="AD284" s="1412">
        <f t="shared" si="232"/>
        <v>4969</v>
      </c>
      <c r="AE284" s="793">
        <f t="shared" si="233"/>
        <v>6678</v>
      </c>
      <c r="AF284" s="793">
        <f t="shared" si="234"/>
        <v>365</v>
      </c>
      <c r="AG284" s="793">
        <f t="shared" si="235"/>
        <v>634</v>
      </c>
      <c r="AH284" s="805">
        <f t="shared" si="236"/>
        <v>2343</v>
      </c>
      <c r="AI284" s="805">
        <f t="shared" si="237"/>
        <v>4335</v>
      </c>
      <c r="AJ284" s="793">
        <f t="shared" si="238"/>
        <v>4335</v>
      </c>
      <c r="AK284" s="793">
        <f t="shared" si="239"/>
        <v>6678</v>
      </c>
      <c r="AL284" s="793">
        <f t="shared" si="240"/>
        <v>365</v>
      </c>
      <c r="AM284" s="793">
        <f t="shared" si="241"/>
        <v>634</v>
      </c>
      <c r="AN284" s="805">
        <f t="shared" si="242"/>
        <v>2977</v>
      </c>
      <c r="AO284" s="805">
        <f t="shared" si="243"/>
        <v>3701</v>
      </c>
      <c r="AP284" s="818">
        <f t="shared" si="244"/>
        <v>3701</v>
      </c>
      <c r="AQ284" s="818">
        <f t="shared" si="245"/>
        <v>6678</v>
      </c>
      <c r="AR284" s="818">
        <f t="shared" si="246"/>
        <v>366</v>
      </c>
      <c r="AS284" s="818">
        <f t="shared" si="247"/>
        <v>636</v>
      </c>
      <c r="AT284" s="818">
        <f t="shared" si="248"/>
        <v>3613</v>
      </c>
      <c r="AU284" s="818">
        <f t="shared" si="249"/>
        <v>3065</v>
      </c>
      <c r="AV284" s="793">
        <f t="shared" si="250"/>
        <v>3065</v>
      </c>
      <c r="AW284" s="793">
        <f t="shared" si="251"/>
        <v>6678</v>
      </c>
      <c r="AX284" s="793">
        <f t="shared" si="252"/>
        <v>365</v>
      </c>
      <c r="AY284" s="793">
        <f t="shared" si="253"/>
        <v>634</v>
      </c>
      <c r="AZ284" s="818">
        <f t="shared" si="254"/>
        <v>4247</v>
      </c>
      <c r="BA284" s="818">
        <f t="shared" si="255"/>
        <v>2431</v>
      </c>
    </row>
    <row r="285" spans="1:53" ht="15" customHeight="1" x14ac:dyDescent="0.25">
      <c r="A285" s="842" t="s">
        <v>133</v>
      </c>
      <c r="B285" s="843" t="s">
        <v>1279</v>
      </c>
      <c r="C285" s="778">
        <f t="shared" si="211"/>
        <v>9.5000000000000001E-2</v>
      </c>
      <c r="D285" s="844">
        <v>10</v>
      </c>
      <c r="E285" s="779" t="s">
        <v>1182</v>
      </c>
      <c r="F285" s="845">
        <v>43306</v>
      </c>
      <c r="G285" s="781">
        <f t="shared" si="212"/>
        <v>43306</v>
      </c>
      <c r="H285" s="781">
        <f t="shared" si="213"/>
        <v>46956</v>
      </c>
      <c r="I285" s="1359">
        <v>46080</v>
      </c>
      <c r="J285" s="805">
        <f t="shared" si="214"/>
        <v>2304</v>
      </c>
      <c r="K285" s="1404"/>
      <c r="L285" s="1410">
        <v>0</v>
      </c>
      <c r="M285" s="793">
        <f t="shared" si="215"/>
        <v>46080</v>
      </c>
      <c r="N285" s="793">
        <f t="shared" si="216"/>
        <v>250</v>
      </c>
      <c r="O285" s="793">
        <f t="shared" si="217"/>
        <v>2998</v>
      </c>
      <c r="P285" s="793">
        <f t="shared" si="218"/>
        <v>2998</v>
      </c>
      <c r="Q285" s="1365">
        <f t="shared" si="219"/>
        <v>43082</v>
      </c>
      <c r="R285" s="1411">
        <f t="shared" si="220"/>
        <v>43082</v>
      </c>
      <c r="S285" s="793">
        <f t="shared" si="221"/>
        <v>46080</v>
      </c>
      <c r="T285" s="805">
        <f t="shared" si="222"/>
        <v>366</v>
      </c>
      <c r="U285" s="805">
        <f t="shared" si="223"/>
        <v>4378</v>
      </c>
      <c r="V285" s="793">
        <f t="shared" si="224"/>
        <v>7376</v>
      </c>
      <c r="W285" s="1365">
        <f t="shared" si="225"/>
        <v>38704</v>
      </c>
      <c r="X285" s="1410">
        <f t="shared" si="226"/>
        <v>38704</v>
      </c>
      <c r="Y285" s="805">
        <f t="shared" si="227"/>
        <v>46080</v>
      </c>
      <c r="Z285" s="805">
        <f t="shared" si="228"/>
        <v>365</v>
      </c>
      <c r="AA285" s="805">
        <f t="shared" si="229"/>
        <v>4378</v>
      </c>
      <c r="AB285" s="805">
        <f t="shared" si="230"/>
        <v>11754</v>
      </c>
      <c r="AC285" s="1360">
        <f t="shared" si="231"/>
        <v>34326</v>
      </c>
      <c r="AD285" s="1412">
        <f t="shared" si="232"/>
        <v>34326</v>
      </c>
      <c r="AE285" s="793">
        <f t="shared" si="233"/>
        <v>46080</v>
      </c>
      <c r="AF285" s="793">
        <f t="shared" si="234"/>
        <v>365</v>
      </c>
      <c r="AG285" s="793">
        <f t="shared" si="235"/>
        <v>4378</v>
      </c>
      <c r="AH285" s="805">
        <f t="shared" si="236"/>
        <v>16132</v>
      </c>
      <c r="AI285" s="805">
        <f t="shared" si="237"/>
        <v>29948</v>
      </c>
      <c r="AJ285" s="793">
        <f t="shared" si="238"/>
        <v>29948</v>
      </c>
      <c r="AK285" s="793">
        <f t="shared" si="239"/>
        <v>46080</v>
      </c>
      <c r="AL285" s="793">
        <f t="shared" si="240"/>
        <v>365</v>
      </c>
      <c r="AM285" s="793">
        <f t="shared" si="241"/>
        <v>4378</v>
      </c>
      <c r="AN285" s="805">
        <f t="shared" si="242"/>
        <v>20510</v>
      </c>
      <c r="AO285" s="805">
        <f t="shared" si="243"/>
        <v>25570</v>
      </c>
      <c r="AP285" s="818">
        <f t="shared" si="244"/>
        <v>25570</v>
      </c>
      <c r="AQ285" s="818">
        <f t="shared" si="245"/>
        <v>46080</v>
      </c>
      <c r="AR285" s="818">
        <f t="shared" si="246"/>
        <v>366</v>
      </c>
      <c r="AS285" s="818">
        <f t="shared" si="247"/>
        <v>4390</v>
      </c>
      <c r="AT285" s="818">
        <f t="shared" si="248"/>
        <v>24900</v>
      </c>
      <c r="AU285" s="818">
        <f t="shared" si="249"/>
        <v>21180</v>
      </c>
      <c r="AV285" s="793">
        <f t="shared" si="250"/>
        <v>21180</v>
      </c>
      <c r="AW285" s="793">
        <f t="shared" si="251"/>
        <v>46080</v>
      </c>
      <c r="AX285" s="793">
        <f t="shared" si="252"/>
        <v>365</v>
      </c>
      <c r="AY285" s="793">
        <f t="shared" si="253"/>
        <v>4378</v>
      </c>
      <c r="AZ285" s="818">
        <f t="shared" si="254"/>
        <v>29278</v>
      </c>
      <c r="BA285" s="818">
        <f t="shared" si="255"/>
        <v>16802</v>
      </c>
    </row>
    <row r="286" spans="1:53" ht="15" customHeight="1" x14ac:dyDescent="0.25">
      <c r="A286" s="842" t="s">
        <v>133</v>
      </c>
      <c r="B286" s="843" t="s">
        <v>1279</v>
      </c>
      <c r="C286" s="778">
        <f t="shared" si="211"/>
        <v>9.5000000000000001E-2</v>
      </c>
      <c r="D286" s="844">
        <v>10</v>
      </c>
      <c r="E286" s="779" t="s">
        <v>1182</v>
      </c>
      <c r="F286" s="845">
        <v>43332</v>
      </c>
      <c r="G286" s="781">
        <f t="shared" si="212"/>
        <v>43332</v>
      </c>
      <c r="H286" s="781">
        <f t="shared" si="213"/>
        <v>46982</v>
      </c>
      <c r="I286" s="1359">
        <v>182450</v>
      </c>
      <c r="J286" s="805">
        <f t="shared" si="214"/>
        <v>9122.5</v>
      </c>
      <c r="K286" s="1404"/>
      <c r="L286" s="1410">
        <v>0</v>
      </c>
      <c r="M286" s="793">
        <f t="shared" si="215"/>
        <v>182450</v>
      </c>
      <c r="N286" s="793">
        <f t="shared" si="216"/>
        <v>224</v>
      </c>
      <c r="O286" s="793">
        <f t="shared" si="217"/>
        <v>10637</v>
      </c>
      <c r="P286" s="793">
        <f t="shared" si="218"/>
        <v>10637</v>
      </c>
      <c r="Q286" s="1365">
        <f t="shared" si="219"/>
        <v>171813</v>
      </c>
      <c r="R286" s="1411">
        <f t="shared" si="220"/>
        <v>171813</v>
      </c>
      <c r="S286" s="793">
        <f t="shared" si="221"/>
        <v>182450</v>
      </c>
      <c r="T286" s="805">
        <f t="shared" si="222"/>
        <v>366</v>
      </c>
      <c r="U286" s="805">
        <f t="shared" si="223"/>
        <v>17333</v>
      </c>
      <c r="V286" s="793">
        <f t="shared" si="224"/>
        <v>27970</v>
      </c>
      <c r="W286" s="1365">
        <f t="shared" si="225"/>
        <v>154480</v>
      </c>
      <c r="X286" s="1410">
        <f t="shared" si="226"/>
        <v>154480</v>
      </c>
      <c r="Y286" s="805">
        <f t="shared" si="227"/>
        <v>182450</v>
      </c>
      <c r="Z286" s="805">
        <f t="shared" si="228"/>
        <v>365</v>
      </c>
      <c r="AA286" s="805">
        <f t="shared" si="229"/>
        <v>17333</v>
      </c>
      <c r="AB286" s="805">
        <f t="shared" si="230"/>
        <v>45303</v>
      </c>
      <c r="AC286" s="1360">
        <f t="shared" si="231"/>
        <v>137147</v>
      </c>
      <c r="AD286" s="1412">
        <f t="shared" si="232"/>
        <v>137147</v>
      </c>
      <c r="AE286" s="793">
        <f t="shared" si="233"/>
        <v>182450</v>
      </c>
      <c r="AF286" s="793">
        <f t="shared" si="234"/>
        <v>365</v>
      </c>
      <c r="AG286" s="793">
        <f t="shared" si="235"/>
        <v>17333</v>
      </c>
      <c r="AH286" s="805">
        <f t="shared" si="236"/>
        <v>62636</v>
      </c>
      <c r="AI286" s="805">
        <f t="shared" si="237"/>
        <v>119814</v>
      </c>
      <c r="AJ286" s="793">
        <f t="shared" si="238"/>
        <v>119814</v>
      </c>
      <c r="AK286" s="793">
        <f t="shared" si="239"/>
        <v>182450</v>
      </c>
      <c r="AL286" s="793">
        <f t="shared" si="240"/>
        <v>365</v>
      </c>
      <c r="AM286" s="793">
        <f t="shared" si="241"/>
        <v>17333</v>
      </c>
      <c r="AN286" s="805">
        <f t="shared" si="242"/>
        <v>79969</v>
      </c>
      <c r="AO286" s="805">
        <f t="shared" si="243"/>
        <v>102481</v>
      </c>
      <c r="AP286" s="818">
        <f t="shared" si="244"/>
        <v>102481</v>
      </c>
      <c r="AQ286" s="818">
        <f t="shared" si="245"/>
        <v>182450</v>
      </c>
      <c r="AR286" s="818">
        <f t="shared" si="246"/>
        <v>366</v>
      </c>
      <c r="AS286" s="818">
        <f t="shared" si="247"/>
        <v>17380</v>
      </c>
      <c r="AT286" s="818">
        <f t="shared" si="248"/>
        <v>97349</v>
      </c>
      <c r="AU286" s="818">
        <f t="shared" si="249"/>
        <v>85101</v>
      </c>
      <c r="AV286" s="793">
        <f t="shared" si="250"/>
        <v>85101</v>
      </c>
      <c r="AW286" s="793">
        <f t="shared" si="251"/>
        <v>182450</v>
      </c>
      <c r="AX286" s="793">
        <f t="shared" si="252"/>
        <v>365</v>
      </c>
      <c r="AY286" s="793">
        <f t="shared" si="253"/>
        <v>17333</v>
      </c>
      <c r="AZ286" s="818">
        <f t="shared" si="254"/>
        <v>114682</v>
      </c>
      <c r="BA286" s="818">
        <f t="shared" si="255"/>
        <v>67768</v>
      </c>
    </row>
    <row r="287" spans="1:53" ht="15" customHeight="1" x14ac:dyDescent="0.25">
      <c r="A287" s="842" t="s">
        <v>133</v>
      </c>
      <c r="B287" s="843" t="s">
        <v>1279</v>
      </c>
      <c r="C287" s="778">
        <f t="shared" si="211"/>
        <v>9.5000000000000001E-2</v>
      </c>
      <c r="D287" s="844">
        <v>10</v>
      </c>
      <c r="E287" s="779" t="s">
        <v>1182</v>
      </c>
      <c r="F287" s="845">
        <v>43378</v>
      </c>
      <c r="G287" s="781">
        <f t="shared" si="212"/>
        <v>43378</v>
      </c>
      <c r="H287" s="781">
        <f t="shared" si="213"/>
        <v>47028</v>
      </c>
      <c r="I287" s="1359">
        <v>9938</v>
      </c>
      <c r="J287" s="805">
        <f t="shared" si="214"/>
        <v>496.90000000000003</v>
      </c>
      <c r="K287" s="1404"/>
      <c r="L287" s="1410">
        <v>0</v>
      </c>
      <c r="M287" s="793">
        <f t="shared" si="215"/>
        <v>9938</v>
      </c>
      <c r="N287" s="793">
        <f t="shared" si="216"/>
        <v>178</v>
      </c>
      <c r="O287" s="793">
        <f t="shared" si="217"/>
        <v>460</v>
      </c>
      <c r="P287" s="793">
        <f t="shared" si="218"/>
        <v>460</v>
      </c>
      <c r="Q287" s="1365">
        <f t="shared" si="219"/>
        <v>9478</v>
      </c>
      <c r="R287" s="1411">
        <f t="shared" si="220"/>
        <v>9478</v>
      </c>
      <c r="S287" s="793">
        <f t="shared" si="221"/>
        <v>9938</v>
      </c>
      <c r="T287" s="805">
        <f t="shared" si="222"/>
        <v>366</v>
      </c>
      <c r="U287" s="805">
        <f t="shared" si="223"/>
        <v>944</v>
      </c>
      <c r="V287" s="793">
        <f t="shared" si="224"/>
        <v>1404</v>
      </c>
      <c r="W287" s="1365">
        <f t="shared" si="225"/>
        <v>8534</v>
      </c>
      <c r="X287" s="1410">
        <f t="shared" si="226"/>
        <v>8534</v>
      </c>
      <c r="Y287" s="805">
        <f t="shared" si="227"/>
        <v>9938</v>
      </c>
      <c r="Z287" s="805">
        <f t="shared" si="228"/>
        <v>365</v>
      </c>
      <c r="AA287" s="805">
        <f t="shared" si="229"/>
        <v>944</v>
      </c>
      <c r="AB287" s="805">
        <f t="shared" si="230"/>
        <v>2348</v>
      </c>
      <c r="AC287" s="1360">
        <f t="shared" si="231"/>
        <v>7590</v>
      </c>
      <c r="AD287" s="1412">
        <f t="shared" si="232"/>
        <v>7590</v>
      </c>
      <c r="AE287" s="793">
        <f t="shared" si="233"/>
        <v>9938</v>
      </c>
      <c r="AF287" s="793">
        <f t="shared" si="234"/>
        <v>365</v>
      </c>
      <c r="AG287" s="793">
        <f t="shared" si="235"/>
        <v>944</v>
      </c>
      <c r="AH287" s="805">
        <f t="shared" si="236"/>
        <v>3292</v>
      </c>
      <c r="AI287" s="805">
        <f t="shared" si="237"/>
        <v>6646</v>
      </c>
      <c r="AJ287" s="793">
        <f t="shared" si="238"/>
        <v>6646</v>
      </c>
      <c r="AK287" s="793">
        <f t="shared" si="239"/>
        <v>9938</v>
      </c>
      <c r="AL287" s="793">
        <f t="shared" si="240"/>
        <v>365</v>
      </c>
      <c r="AM287" s="793">
        <f t="shared" si="241"/>
        <v>944</v>
      </c>
      <c r="AN287" s="805">
        <f t="shared" si="242"/>
        <v>4236</v>
      </c>
      <c r="AO287" s="805">
        <f t="shared" si="243"/>
        <v>5702</v>
      </c>
      <c r="AP287" s="818">
        <f t="shared" si="244"/>
        <v>5702</v>
      </c>
      <c r="AQ287" s="818">
        <f t="shared" si="245"/>
        <v>9938</v>
      </c>
      <c r="AR287" s="818">
        <f t="shared" si="246"/>
        <v>366</v>
      </c>
      <c r="AS287" s="818">
        <f t="shared" si="247"/>
        <v>947</v>
      </c>
      <c r="AT287" s="818">
        <f t="shared" si="248"/>
        <v>5183</v>
      </c>
      <c r="AU287" s="818">
        <f t="shared" si="249"/>
        <v>4755</v>
      </c>
      <c r="AV287" s="793">
        <f t="shared" si="250"/>
        <v>4755</v>
      </c>
      <c r="AW287" s="793">
        <f t="shared" si="251"/>
        <v>9938</v>
      </c>
      <c r="AX287" s="793">
        <f t="shared" si="252"/>
        <v>365</v>
      </c>
      <c r="AY287" s="793">
        <f t="shared" si="253"/>
        <v>944</v>
      </c>
      <c r="AZ287" s="818">
        <f t="shared" si="254"/>
        <v>6127</v>
      </c>
      <c r="BA287" s="818">
        <f t="shared" si="255"/>
        <v>3811</v>
      </c>
    </row>
    <row r="288" spans="1:53" ht="15" customHeight="1" x14ac:dyDescent="0.25">
      <c r="A288" s="842" t="s">
        <v>133</v>
      </c>
      <c r="B288" s="843" t="s">
        <v>1279</v>
      </c>
      <c r="C288" s="778">
        <f t="shared" si="211"/>
        <v>9.5000000000000001E-2</v>
      </c>
      <c r="D288" s="844">
        <v>10</v>
      </c>
      <c r="E288" s="779" t="s">
        <v>1182</v>
      </c>
      <c r="F288" s="845">
        <v>43378</v>
      </c>
      <c r="G288" s="781">
        <f t="shared" si="212"/>
        <v>43378</v>
      </c>
      <c r="H288" s="781">
        <f t="shared" si="213"/>
        <v>47028</v>
      </c>
      <c r="I288" s="1359">
        <v>17410</v>
      </c>
      <c r="J288" s="805">
        <f t="shared" si="214"/>
        <v>870.5</v>
      </c>
      <c r="K288" s="1404"/>
      <c r="L288" s="1410">
        <v>0</v>
      </c>
      <c r="M288" s="793">
        <f t="shared" si="215"/>
        <v>17410</v>
      </c>
      <c r="N288" s="793">
        <f t="shared" si="216"/>
        <v>178</v>
      </c>
      <c r="O288" s="793">
        <f t="shared" si="217"/>
        <v>807</v>
      </c>
      <c r="P288" s="793">
        <f t="shared" si="218"/>
        <v>807</v>
      </c>
      <c r="Q288" s="1365">
        <f t="shared" si="219"/>
        <v>16603</v>
      </c>
      <c r="R288" s="1411">
        <f t="shared" si="220"/>
        <v>16603</v>
      </c>
      <c r="S288" s="793">
        <f t="shared" si="221"/>
        <v>17410</v>
      </c>
      <c r="T288" s="805">
        <f t="shared" si="222"/>
        <v>366</v>
      </c>
      <c r="U288" s="805">
        <f t="shared" si="223"/>
        <v>1654</v>
      </c>
      <c r="V288" s="793">
        <f t="shared" si="224"/>
        <v>2461</v>
      </c>
      <c r="W288" s="1365">
        <f t="shared" si="225"/>
        <v>14949</v>
      </c>
      <c r="X288" s="1410">
        <f t="shared" si="226"/>
        <v>14949</v>
      </c>
      <c r="Y288" s="805">
        <f t="shared" si="227"/>
        <v>17410</v>
      </c>
      <c r="Z288" s="805">
        <f t="shared" si="228"/>
        <v>365</v>
      </c>
      <c r="AA288" s="805">
        <f t="shared" si="229"/>
        <v>1654</v>
      </c>
      <c r="AB288" s="805">
        <f t="shared" si="230"/>
        <v>4115</v>
      </c>
      <c r="AC288" s="1360">
        <f t="shared" si="231"/>
        <v>13295</v>
      </c>
      <c r="AD288" s="1412">
        <f t="shared" si="232"/>
        <v>13295</v>
      </c>
      <c r="AE288" s="793">
        <f t="shared" si="233"/>
        <v>17410</v>
      </c>
      <c r="AF288" s="793">
        <f t="shared" si="234"/>
        <v>365</v>
      </c>
      <c r="AG288" s="793">
        <f t="shared" si="235"/>
        <v>1654</v>
      </c>
      <c r="AH288" s="805">
        <f t="shared" si="236"/>
        <v>5769</v>
      </c>
      <c r="AI288" s="805">
        <f t="shared" si="237"/>
        <v>11641</v>
      </c>
      <c r="AJ288" s="793">
        <f t="shared" si="238"/>
        <v>11641</v>
      </c>
      <c r="AK288" s="793">
        <f t="shared" si="239"/>
        <v>17410</v>
      </c>
      <c r="AL288" s="793">
        <f t="shared" si="240"/>
        <v>365</v>
      </c>
      <c r="AM288" s="793">
        <f t="shared" si="241"/>
        <v>1654</v>
      </c>
      <c r="AN288" s="805">
        <f t="shared" si="242"/>
        <v>7423</v>
      </c>
      <c r="AO288" s="805">
        <f t="shared" si="243"/>
        <v>9987</v>
      </c>
      <c r="AP288" s="818">
        <f t="shared" si="244"/>
        <v>9987</v>
      </c>
      <c r="AQ288" s="818">
        <f t="shared" si="245"/>
        <v>17410</v>
      </c>
      <c r="AR288" s="818">
        <f t="shared" si="246"/>
        <v>366</v>
      </c>
      <c r="AS288" s="818">
        <f t="shared" si="247"/>
        <v>1658</v>
      </c>
      <c r="AT288" s="818">
        <f t="shared" si="248"/>
        <v>9081</v>
      </c>
      <c r="AU288" s="818">
        <f t="shared" si="249"/>
        <v>8329</v>
      </c>
      <c r="AV288" s="793">
        <f t="shared" si="250"/>
        <v>8329</v>
      </c>
      <c r="AW288" s="793">
        <f t="shared" si="251"/>
        <v>17410</v>
      </c>
      <c r="AX288" s="793">
        <f t="shared" si="252"/>
        <v>365</v>
      </c>
      <c r="AY288" s="793">
        <f t="shared" si="253"/>
        <v>1654</v>
      </c>
      <c r="AZ288" s="818">
        <f t="shared" si="254"/>
        <v>10735</v>
      </c>
      <c r="BA288" s="818">
        <f t="shared" si="255"/>
        <v>6675</v>
      </c>
    </row>
    <row r="289" spans="1:53" ht="15" customHeight="1" x14ac:dyDescent="0.25">
      <c r="A289" s="842" t="s">
        <v>133</v>
      </c>
      <c r="B289" s="843" t="s">
        <v>1279</v>
      </c>
      <c r="C289" s="778">
        <f t="shared" si="211"/>
        <v>9.5000000000000001E-2</v>
      </c>
      <c r="D289" s="844">
        <v>10</v>
      </c>
      <c r="E289" s="779" t="s">
        <v>1182</v>
      </c>
      <c r="F289" s="845">
        <v>43378</v>
      </c>
      <c r="G289" s="781">
        <f t="shared" si="212"/>
        <v>43378</v>
      </c>
      <c r="H289" s="781">
        <f t="shared" si="213"/>
        <v>47028</v>
      </c>
      <c r="I289" s="1359">
        <v>8793</v>
      </c>
      <c r="J289" s="805">
        <f t="shared" si="214"/>
        <v>439.65000000000003</v>
      </c>
      <c r="K289" s="1404"/>
      <c r="L289" s="1410">
        <v>0</v>
      </c>
      <c r="M289" s="793">
        <f t="shared" si="215"/>
        <v>8793</v>
      </c>
      <c r="N289" s="793">
        <f t="shared" si="216"/>
        <v>178</v>
      </c>
      <c r="O289" s="793">
        <f t="shared" si="217"/>
        <v>407</v>
      </c>
      <c r="P289" s="793">
        <f t="shared" si="218"/>
        <v>407</v>
      </c>
      <c r="Q289" s="1365">
        <f t="shared" si="219"/>
        <v>8386</v>
      </c>
      <c r="R289" s="1411">
        <f t="shared" si="220"/>
        <v>8386</v>
      </c>
      <c r="S289" s="793">
        <f t="shared" si="221"/>
        <v>8793</v>
      </c>
      <c r="T289" s="805">
        <f t="shared" si="222"/>
        <v>366</v>
      </c>
      <c r="U289" s="805">
        <f t="shared" si="223"/>
        <v>835</v>
      </c>
      <c r="V289" s="793">
        <f t="shared" si="224"/>
        <v>1242</v>
      </c>
      <c r="W289" s="1365">
        <f t="shared" si="225"/>
        <v>7551</v>
      </c>
      <c r="X289" s="1410">
        <f t="shared" si="226"/>
        <v>7551</v>
      </c>
      <c r="Y289" s="805">
        <f t="shared" si="227"/>
        <v>8793</v>
      </c>
      <c r="Z289" s="805">
        <f t="shared" si="228"/>
        <v>365</v>
      </c>
      <c r="AA289" s="805">
        <f t="shared" si="229"/>
        <v>835</v>
      </c>
      <c r="AB289" s="805">
        <f t="shared" si="230"/>
        <v>2077</v>
      </c>
      <c r="AC289" s="1360">
        <f t="shared" si="231"/>
        <v>6716</v>
      </c>
      <c r="AD289" s="1412">
        <f t="shared" si="232"/>
        <v>6716</v>
      </c>
      <c r="AE289" s="793">
        <f t="shared" si="233"/>
        <v>8793</v>
      </c>
      <c r="AF289" s="793">
        <f t="shared" si="234"/>
        <v>365</v>
      </c>
      <c r="AG289" s="793">
        <f t="shared" si="235"/>
        <v>835</v>
      </c>
      <c r="AH289" s="805">
        <f t="shared" si="236"/>
        <v>2912</v>
      </c>
      <c r="AI289" s="805">
        <f t="shared" si="237"/>
        <v>5881</v>
      </c>
      <c r="AJ289" s="793">
        <f t="shared" si="238"/>
        <v>5881</v>
      </c>
      <c r="AK289" s="793">
        <f t="shared" si="239"/>
        <v>8793</v>
      </c>
      <c r="AL289" s="793">
        <f t="shared" si="240"/>
        <v>365</v>
      </c>
      <c r="AM289" s="793">
        <f t="shared" si="241"/>
        <v>835</v>
      </c>
      <c r="AN289" s="805">
        <f t="shared" si="242"/>
        <v>3747</v>
      </c>
      <c r="AO289" s="805">
        <f t="shared" si="243"/>
        <v>5046</v>
      </c>
      <c r="AP289" s="818">
        <f t="shared" si="244"/>
        <v>5046</v>
      </c>
      <c r="AQ289" s="818">
        <f t="shared" si="245"/>
        <v>8793</v>
      </c>
      <c r="AR289" s="818">
        <f t="shared" si="246"/>
        <v>366</v>
      </c>
      <c r="AS289" s="818">
        <f t="shared" si="247"/>
        <v>838</v>
      </c>
      <c r="AT289" s="818">
        <f t="shared" si="248"/>
        <v>4585</v>
      </c>
      <c r="AU289" s="818">
        <f t="shared" si="249"/>
        <v>4208</v>
      </c>
      <c r="AV289" s="793">
        <f t="shared" si="250"/>
        <v>4208</v>
      </c>
      <c r="AW289" s="793">
        <f t="shared" si="251"/>
        <v>8793</v>
      </c>
      <c r="AX289" s="793">
        <f t="shared" si="252"/>
        <v>365</v>
      </c>
      <c r="AY289" s="793">
        <f t="shared" si="253"/>
        <v>835</v>
      </c>
      <c r="AZ289" s="818">
        <f t="shared" si="254"/>
        <v>5420</v>
      </c>
      <c r="BA289" s="818">
        <f t="shared" si="255"/>
        <v>3373</v>
      </c>
    </row>
    <row r="290" spans="1:53" ht="15" customHeight="1" x14ac:dyDescent="0.25">
      <c r="A290" s="842" t="s">
        <v>133</v>
      </c>
      <c r="B290" s="843" t="s">
        <v>1279</v>
      </c>
      <c r="C290" s="778">
        <f t="shared" si="211"/>
        <v>9.5000000000000001E-2</v>
      </c>
      <c r="D290" s="844">
        <v>10</v>
      </c>
      <c r="E290" s="779" t="s">
        <v>1182</v>
      </c>
      <c r="F290" s="845">
        <v>43378</v>
      </c>
      <c r="G290" s="781">
        <f t="shared" si="212"/>
        <v>43378</v>
      </c>
      <c r="H290" s="781">
        <f t="shared" si="213"/>
        <v>47028</v>
      </c>
      <c r="I290" s="1359">
        <v>10332</v>
      </c>
      <c r="J290" s="805">
        <f t="shared" si="214"/>
        <v>516.6</v>
      </c>
      <c r="K290" s="1404"/>
      <c r="L290" s="1410">
        <v>0</v>
      </c>
      <c r="M290" s="793">
        <f t="shared" si="215"/>
        <v>10332</v>
      </c>
      <c r="N290" s="793">
        <f t="shared" si="216"/>
        <v>178</v>
      </c>
      <c r="O290" s="793">
        <f t="shared" si="217"/>
        <v>479</v>
      </c>
      <c r="P290" s="793">
        <f t="shared" si="218"/>
        <v>479</v>
      </c>
      <c r="Q290" s="1365">
        <f t="shared" si="219"/>
        <v>9853</v>
      </c>
      <c r="R290" s="1411">
        <f t="shared" si="220"/>
        <v>9853</v>
      </c>
      <c r="S290" s="793">
        <f t="shared" si="221"/>
        <v>10332</v>
      </c>
      <c r="T290" s="805">
        <f t="shared" si="222"/>
        <v>366</v>
      </c>
      <c r="U290" s="805">
        <f t="shared" si="223"/>
        <v>982</v>
      </c>
      <c r="V290" s="793">
        <f t="shared" si="224"/>
        <v>1461</v>
      </c>
      <c r="W290" s="1365">
        <f t="shared" si="225"/>
        <v>8871</v>
      </c>
      <c r="X290" s="1410">
        <f t="shared" si="226"/>
        <v>8871</v>
      </c>
      <c r="Y290" s="805">
        <f t="shared" si="227"/>
        <v>10332</v>
      </c>
      <c r="Z290" s="805">
        <f t="shared" si="228"/>
        <v>365</v>
      </c>
      <c r="AA290" s="805">
        <f t="shared" si="229"/>
        <v>982</v>
      </c>
      <c r="AB290" s="805">
        <f t="shared" si="230"/>
        <v>2443</v>
      </c>
      <c r="AC290" s="1360">
        <f t="shared" si="231"/>
        <v>7889</v>
      </c>
      <c r="AD290" s="1412">
        <f t="shared" si="232"/>
        <v>7889</v>
      </c>
      <c r="AE290" s="793">
        <f t="shared" si="233"/>
        <v>10332</v>
      </c>
      <c r="AF290" s="793">
        <f t="shared" si="234"/>
        <v>365</v>
      </c>
      <c r="AG290" s="793">
        <f t="shared" si="235"/>
        <v>982</v>
      </c>
      <c r="AH290" s="805">
        <f t="shared" si="236"/>
        <v>3425</v>
      </c>
      <c r="AI290" s="805">
        <f t="shared" si="237"/>
        <v>6907</v>
      </c>
      <c r="AJ290" s="793">
        <f t="shared" si="238"/>
        <v>6907</v>
      </c>
      <c r="AK290" s="793">
        <f t="shared" si="239"/>
        <v>10332</v>
      </c>
      <c r="AL290" s="793">
        <f t="shared" si="240"/>
        <v>365</v>
      </c>
      <c r="AM290" s="793">
        <f t="shared" si="241"/>
        <v>982</v>
      </c>
      <c r="AN290" s="805">
        <f t="shared" si="242"/>
        <v>4407</v>
      </c>
      <c r="AO290" s="805">
        <f t="shared" si="243"/>
        <v>5925</v>
      </c>
      <c r="AP290" s="818">
        <f t="shared" si="244"/>
        <v>5925</v>
      </c>
      <c r="AQ290" s="818">
        <f t="shared" si="245"/>
        <v>10332</v>
      </c>
      <c r="AR290" s="818">
        <f t="shared" si="246"/>
        <v>366</v>
      </c>
      <c r="AS290" s="818">
        <f t="shared" si="247"/>
        <v>984</v>
      </c>
      <c r="AT290" s="818">
        <f t="shared" si="248"/>
        <v>5391</v>
      </c>
      <c r="AU290" s="818">
        <f t="shared" si="249"/>
        <v>4941</v>
      </c>
      <c r="AV290" s="793">
        <f t="shared" si="250"/>
        <v>4941</v>
      </c>
      <c r="AW290" s="793">
        <f t="shared" si="251"/>
        <v>10332</v>
      </c>
      <c r="AX290" s="793">
        <f t="shared" si="252"/>
        <v>365</v>
      </c>
      <c r="AY290" s="793">
        <f t="shared" si="253"/>
        <v>982</v>
      </c>
      <c r="AZ290" s="818">
        <f t="shared" si="254"/>
        <v>6373</v>
      </c>
      <c r="BA290" s="818">
        <f t="shared" si="255"/>
        <v>3959</v>
      </c>
    </row>
    <row r="291" spans="1:53" ht="15" customHeight="1" x14ac:dyDescent="0.25">
      <c r="A291" s="842" t="s">
        <v>133</v>
      </c>
      <c r="B291" s="843" t="s">
        <v>1280</v>
      </c>
      <c r="C291" s="778">
        <f t="shared" si="211"/>
        <v>9.5000000000000001E-2</v>
      </c>
      <c r="D291" s="844">
        <v>10</v>
      </c>
      <c r="E291" s="779" t="s">
        <v>1182</v>
      </c>
      <c r="F291" s="845">
        <v>43389</v>
      </c>
      <c r="G291" s="781">
        <f t="shared" si="212"/>
        <v>43389</v>
      </c>
      <c r="H291" s="781">
        <f t="shared" si="213"/>
        <v>47039</v>
      </c>
      <c r="I291" s="1359">
        <v>475000</v>
      </c>
      <c r="J291" s="805">
        <f t="shared" si="214"/>
        <v>23750</v>
      </c>
      <c r="K291" s="1404"/>
      <c r="L291" s="1410">
        <v>0</v>
      </c>
      <c r="M291" s="793">
        <f t="shared" si="215"/>
        <v>475000</v>
      </c>
      <c r="N291" s="793">
        <f t="shared" si="216"/>
        <v>167</v>
      </c>
      <c r="O291" s="793">
        <f t="shared" si="217"/>
        <v>20646</v>
      </c>
      <c r="P291" s="793">
        <f t="shared" si="218"/>
        <v>20646</v>
      </c>
      <c r="Q291" s="1365">
        <f t="shared" si="219"/>
        <v>454354</v>
      </c>
      <c r="R291" s="1411">
        <f t="shared" si="220"/>
        <v>454354</v>
      </c>
      <c r="S291" s="793">
        <f t="shared" si="221"/>
        <v>475000</v>
      </c>
      <c r="T291" s="805">
        <f t="shared" si="222"/>
        <v>366</v>
      </c>
      <c r="U291" s="805">
        <f t="shared" si="223"/>
        <v>45125</v>
      </c>
      <c r="V291" s="793">
        <f t="shared" si="224"/>
        <v>65771</v>
      </c>
      <c r="W291" s="1365">
        <f t="shared" si="225"/>
        <v>409229</v>
      </c>
      <c r="X291" s="1410">
        <f t="shared" si="226"/>
        <v>409229</v>
      </c>
      <c r="Y291" s="805">
        <f t="shared" si="227"/>
        <v>475000</v>
      </c>
      <c r="Z291" s="805">
        <f t="shared" si="228"/>
        <v>365</v>
      </c>
      <c r="AA291" s="805">
        <f t="shared" si="229"/>
        <v>45125</v>
      </c>
      <c r="AB291" s="805">
        <f t="shared" si="230"/>
        <v>110896</v>
      </c>
      <c r="AC291" s="1360">
        <f t="shared" si="231"/>
        <v>364104</v>
      </c>
      <c r="AD291" s="1412">
        <f t="shared" si="232"/>
        <v>364104</v>
      </c>
      <c r="AE291" s="793">
        <f t="shared" si="233"/>
        <v>475000</v>
      </c>
      <c r="AF291" s="793">
        <f t="shared" si="234"/>
        <v>365</v>
      </c>
      <c r="AG291" s="793">
        <f t="shared" si="235"/>
        <v>45125</v>
      </c>
      <c r="AH291" s="805">
        <f t="shared" si="236"/>
        <v>156021</v>
      </c>
      <c r="AI291" s="805">
        <f t="shared" si="237"/>
        <v>318979</v>
      </c>
      <c r="AJ291" s="793">
        <f t="shared" si="238"/>
        <v>318979</v>
      </c>
      <c r="AK291" s="793">
        <f t="shared" si="239"/>
        <v>475000</v>
      </c>
      <c r="AL291" s="793">
        <f t="shared" si="240"/>
        <v>365</v>
      </c>
      <c r="AM291" s="793">
        <f t="shared" si="241"/>
        <v>45125</v>
      </c>
      <c r="AN291" s="805">
        <f t="shared" si="242"/>
        <v>201146</v>
      </c>
      <c r="AO291" s="805">
        <f t="shared" si="243"/>
        <v>273854</v>
      </c>
      <c r="AP291" s="818">
        <f t="shared" si="244"/>
        <v>273854</v>
      </c>
      <c r="AQ291" s="818">
        <f t="shared" si="245"/>
        <v>475000</v>
      </c>
      <c r="AR291" s="818">
        <f t="shared" si="246"/>
        <v>366</v>
      </c>
      <c r="AS291" s="818">
        <f t="shared" si="247"/>
        <v>45249</v>
      </c>
      <c r="AT291" s="818">
        <f t="shared" si="248"/>
        <v>246395</v>
      </c>
      <c r="AU291" s="818">
        <f t="shared" si="249"/>
        <v>228605</v>
      </c>
      <c r="AV291" s="793">
        <f t="shared" si="250"/>
        <v>228605</v>
      </c>
      <c r="AW291" s="793">
        <f t="shared" si="251"/>
        <v>475000</v>
      </c>
      <c r="AX291" s="793">
        <f t="shared" si="252"/>
        <v>365</v>
      </c>
      <c r="AY291" s="793">
        <f t="shared" si="253"/>
        <v>45125</v>
      </c>
      <c r="AZ291" s="818">
        <f t="shared" si="254"/>
        <v>291520</v>
      </c>
      <c r="BA291" s="818">
        <f t="shared" si="255"/>
        <v>183480</v>
      </c>
    </row>
    <row r="292" spans="1:53" ht="15" customHeight="1" x14ac:dyDescent="0.25">
      <c r="A292" s="842" t="s">
        <v>133</v>
      </c>
      <c r="B292" s="843" t="s">
        <v>1281</v>
      </c>
      <c r="C292" s="778">
        <f t="shared" si="211"/>
        <v>9.5000000000000001E-2</v>
      </c>
      <c r="D292" s="844">
        <v>10</v>
      </c>
      <c r="E292" s="779" t="s">
        <v>1182</v>
      </c>
      <c r="F292" s="845">
        <v>43431</v>
      </c>
      <c r="G292" s="781">
        <f t="shared" si="212"/>
        <v>43431</v>
      </c>
      <c r="H292" s="781">
        <f t="shared" si="213"/>
        <v>47081</v>
      </c>
      <c r="I292" s="1359">
        <v>70000</v>
      </c>
      <c r="J292" s="805">
        <f t="shared" si="214"/>
        <v>3500</v>
      </c>
      <c r="K292" s="1404"/>
      <c r="L292" s="1410">
        <v>0</v>
      </c>
      <c r="M292" s="793">
        <f t="shared" si="215"/>
        <v>70000</v>
      </c>
      <c r="N292" s="793">
        <f t="shared" si="216"/>
        <v>125</v>
      </c>
      <c r="O292" s="793">
        <f t="shared" si="217"/>
        <v>2277</v>
      </c>
      <c r="P292" s="793">
        <f t="shared" si="218"/>
        <v>2277</v>
      </c>
      <c r="Q292" s="1365">
        <f t="shared" si="219"/>
        <v>67723</v>
      </c>
      <c r="R292" s="1411">
        <f t="shared" si="220"/>
        <v>67723</v>
      </c>
      <c r="S292" s="793">
        <f t="shared" si="221"/>
        <v>70000</v>
      </c>
      <c r="T292" s="805">
        <f t="shared" si="222"/>
        <v>366</v>
      </c>
      <c r="U292" s="805">
        <f t="shared" si="223"/>
        <v>6650</v>
      </c>
      <c r="V292" s="793">
        <f t="shared" si="224"/>
        <v>8927</v>
      </c>
      <c r="W292" s="1365">
        <f t="shared" si="225"/>
        <v>61073</v>
      </c>
      <c r="X292" s="1410">
        <f t="shared" si="226"/>
        <v>61073</v>
      </c>
      <c r="Y292" s="805">
        <f t="shared" si="227"/>
        <v>70000</v>
      </c>
      <c r="Z292" s="805">
        <f t="shared" si="228"/>
        <v>365</v>
      </c>
      <c r="AA292" s="805">
        <f t="shared" si="229"/>
        <v>6650</v>
      </c>
      <c r="AB292" s="805">
        <f t="shared" si="230"/>
        <v>15577</v>
      </c>
      <c r="AC292" s="1360">
        <f t="shared" si="231"/>
        <v>54423</v>
      </c>
      <c r="AD292" s="1412">
        <f t="shared" si="232"/>
        <v>54423</v>
      </c>
      <c r="AE292" s="793">
        <f t="shared" si="233"/>
        <v>70000</v>
      </c>
      <c r="AF292" s="793">
        <f t="shared" si="234"/>
        <v>365</v>
      </c>
      <c r="AG292" s="793">
        <f t="shared" si="235"/>
        <v>6650</v>
      </c>
      <c r="AH292" s="805">
        <f t="shared" si="236"/>
        <v>22227</v>
      </c>
      <c r="AI292" s="805">
        <f t="shared" si="237"/>
        <v>47773</v>
      </c>
      <c r="AJ292" s="793">
        <f t="shared" si="238"/>
        <v>47773</v>
      </c>
      <c r="AK292" s="793">
        <f t="shared" si="239"/>
        <v>70000</v>
      </c>
      <c r="AL292" s="793">
        <f t="shared" si="240"/>
        <v>365</v>
      </c>
      <c r="AM292" s="793">
        <f t="shared" si="241"/>
        <v>6650</v>
      </c>
      <c r="AN292" s="805">
        <f t="shared" si="242"/>
        <v>28877</v>
      </c>
      <c r="AO292" s="805">
        <f t="shared" si="243"/>
        <v>41123</v>
      </c>
      <c r="AP292" s="818">
        <f t="shared" si="244"/>
        <v>41123</v>
      </c>
      <c r="AQ292" s="818">
        <f t="shared" si="245"/>
        <v>70000</v>
      </c>
      <c r="AR292" s="818">
        <f t="shared" si="246"/>
        <v>366</v>
      </c>
      <c r="AS292" s="818">
        <f t="shared" si="247"/>
        <v>6668</v>
      </c>
      <c r="AT292" s="818">
        <f t="shared" si="248"/>
        <v>35545</v>
      </c>
      <c r="AU292" s="818">
        <f t="shared" si="249"/>
        <v>34455</v>
      </c>
      <c r="AV292" s="793">
        <f t="shared" si="250"/>
        <v>34455</v>
      </c>
      <c r="AW292" s="793">
        <f t="shared" si="251"/>
        <v>70000</v>
      </c>
      <c r="AX292" s="793">
        <f t="shared" si="252"/>
        <v>365</v>
      </c>
      <c r="AY292" s="793">
        <f t="shared" si="253"/>
        <v>6650</v>
      </c>
      <c r="AZ292" s="818">
        <f t="shared" si="254"/>
        <v>42195</v>
      </c>
      <c r="BA292" s="818">
        <f t="shared" si="255"/>
        <v>27805</v>
      </c>
    </row>
    <row r="293" spans="1:53" ht="15" customHeight="1" x14ac:dyDescent="0.25">
      <c r="A293" s="842" t="s">
        <v>133</v>
      </c>
      <c r="B293" s="843" t="s">
        <v>1282</v>
      </c>
      <c r="C293" s="778">
        <f t="shared" si="211"/>
        <v>9.5000000000000001E-2</v>
      </c>
      <c r="D293" s="844">
        <v>10</v>
      </c>
      <c r="E293" s="779" t="s">
        <v>1182</v>
      </c>
      <c r="F293" s="845">
        <v>43325</v>
      </c>
      <c r="G293" s="781">
        <f t="shared" si="212"/>
        <v>43325</v>
      </c>
      <c r="H293" s="781">
        <f t="shared" si="213"/>
        <v>46975</v>
      </c>
      <c r="I293" s="1359">
        <v>65000</v>
      </c>
      <c r="J293" s="805">
        <f t="shared" si="214"/>
        <v>3250</v>
      </c>
      <c r="K293" s="1404"/>
      <c r="L293" s="1413">
        <v>0</v>
      </c>
      <c r="M293" s="818">
        <f t="shared" si="215"/>
        <v>65000</v>
      </c>
      <c r="N293" s="818">
        <f t="shared" si="216"/>
        <v>231</v>
      </c>
      <c r="O293" s="818">
        <f t="shared" si="217"/>
        <v>3908</v>
      </c>
      <c r="P293" s="818">
        <f t="shared" si="218"/>
        <v>3908</v>
      </c>
      <c r="Q293" s="1414">
        <f t="shared" si="219"/>
        <v>61092</v>
      </c>
      <c r="R293" s="1415">
        <f t="shared" si="220"/>
        <v>61092</v>
      </c>
      <c r="S293" s="818">
        <f t="shared" si="221"/>
        <v>65000</v>
      </c>
      <c r="T293" s="821">
        <f t="shared" si="222"/>
        <v>366</v>
      </c>
      <c r="U293" s="821">
        <f t="shared" si="223"/>
        <v>6175</v>
      </c>
      <c r="V293" s="818">
        <f t="shared" si="224"/>
        <v>10083</v>
      </c>
      <c r="W293" s="1414">
        <f t="shared" si="225"/>
        <v>54917</v>
      </c>
      <c r="X293" s="1413">
        <f t="shared" si="226"/>
        <v>54917</v>
      </c>
      <c r="Y293" s="821">
        <f t="shared" si="227"/>
        <v>65000</v>
      </c>
      <c r="Z293" s="821">
        <f t="shared" si="228"/>
        <v>365</v>
      </c>
      <c r="AA293" s="821">
        <f t="shared" si="229"/>
        <v>6175</v>
      </c>
      <c r="AB293" s="821">
        <f t="shared" si="230"/>
        <v>16258</v>
      </c>
      <c r="AC293" s="1416">
        <f t="shared" si="231"/>
        <v>48742</v>
      </c>
      <c r="AD293" s="817">
        <f t="shared" si="232"/>
        <v>48742</v>
      </c>
      <c r="AE293" s="818">
        <f t="shared" si="233"/>
        <v>65000</v>
      </c>
      <c r="AF293" s="818">
        <f t="shared" si="234"/>
        <v>365</v>
      </c>
      <c r="AG293" s="818">
        <f t="shared" si="235"/>
        <v>6175</v>
      </c>
      <c r="AH293" s="821">
        <f t="shared" si="236"/>
        <v>22433</v>
      </c>
      <c r="AI293" s="821">
        <f t="shared" si="237"/>
        <v>42567</v>
      </c>
      <c r="AJ293" s="818">
        <f t="shared" si="238"/>
        <v>42567</v>
      </c>
      <c r="AK293" s="818">
        <f t="shared" si="239"/>
        <v>65000</v>
      </c>
      <c r="AL293" s="818">
        <f t="shared" si="240"/>
        <v>365</v>
      </c>
      <c r="AM293" s="818">
        <f t="shared" si="241"/>
        <v>6175</v>
      </c>
      <c r="AN293" s="821">
        <f t="shared" si="242"/>
        <v>28608</v>
      </c>
      <c r="AO293" s="821">
        <f t="shared" si="243"/>
        <v>36392</v>
      </c>
      <c r="AP293" s="818">
        <f t="shared" si="244"/>
        <v>36392</v>
      </c>
      <c r="AQ293" s="818">
        <f t="shared" si="245"/>
        <v>65000</v>
      </c>
      <c r="AR293" s="818">
        <f t="shared" si="246"/>
        <v>366</v>
      </c>
      <c r="AS293" s="818">
        <f t="shared" si="247"/>
        <v>6192</v>
      </c>
      <c r="AT293" s="818">
        <f t="shared" si="248"/>
        <v>34800</v>
      </c>
      <c r="AU293" s="818">
        <f t="shared" si="249"/>
        <v>30200</v>
      </c>
      <c r="AV293" s="793">
        <f t="shared" si="250"/>
        <v>30200</v>
      </c>
      <c r="AW293" s="793">
        <f t="shared" si="251"/>
        <v>65000</v>
      </c>
      <c r="AX293" s="793">
        <f t="shared" si="252"/>
        <v>365</v>
      </c>
      <c r="AY293" s="793">
        <f t="shared" si="253"/>
        <v>6175</v>
      </c>
      <c r="AZ293" s="818">
        <f t="shared" si="254"/>
        <v>40975</v>
      </c>
      <c r="BA293" s="818">
        <f t="shared" si="255"/>
        <v>24025</v>
      </c>
    </row>
    <row r="294" spans="1:53" ht="15" customHeight="1" x14ac:dyDescent="0.25">
      <c r="A294" s="842" t="s">
        <v>133</v>
      </c>
      <c r="B294" s="843" t="s">
        <v>1267</v>
      </c>
      <c r="C294" s="778">
        <f t="shared" si="211"/>
        <v>9.5000000000000001E-2</v>
      </c>
      <c r="D294" s="844">
        <v>10</v>
      </c>
      <c r="E294" s="844" t="s">
        <v>1205</v>
      </c>
      <c r="F294" s="845">
        <v>43570</v>
      </c>
      <c r="G294" s="781">
        <f t="shared" si="212"/>
        <v>43570</v>
      </c>
      <c r="H294" s="781">
        <f t="shared" si="213"/>
        <v>47220</v>
      </c>
      <c r="I294" s="1359">
        <f>73150</f>
        <v>73150</v>
      </c>
      <c r="J294" s="805">
        <f t="shared" si="214"/>
        <v>3657.5</v>
      </c>
      <c r="K294" s="1404"/>
      <c r="L294" s="793">
        <v>0</v>
      </c>
      <c r="M294" s="793">
        <v>0</v>
      </c>
      <c r="N294" s="793">
        <v>0</v>
      </c>
      <c r="O294" s="793">
        <v>0</v>
      </c>
      <c r="P294" s="793">
        <v>0</v>
      </c>
      <c r="Q294" s="793">
        <v>0</v>
      </c>
      <c r="R294" s="793">
        <f t="shared" si="220"/>
        <v>0</v>
      </c>
      <c r="S294" s="793">
        <f t="shared" si="221"/>
        <v>73150</v>
      </c>
      <c r="T294" s="805">
        <f t="shared" si="222"/>
        <v>352</v>
      </c>
      <c r="U294" s="805">
        <f t="shared" si="223"/>
        <v>6683</v>
      </c>
      <c r="V294" s="793">
        <f t="shared" si="224"/>
        <v>6683</v>
      </c>
      <c r="W294" s="793">
        <f t="shared" si="225"/>
        <v>66467</v>
      </c>
      <c r="X294" s="793">
        <f t="shared" si="226"/>
        <v>66467</v>
      </c>
      <c r="Y294" s="805">
        <f t="shared" si="227"/>
        <v>73150</v>
      </c>
      <c r="Z294" s="805">
        <f t="shared" si="228"/>
        <v>365</v>
      </c>
      <c r="AA294" s="805">
        <f t="shared" si="229"/>
        <v>6949</v>
      </c>
      <c r="AB294" s="805">
        <f t="shared" si="230"/>
        <v>13632</v>
      </c>
      <c r="AC294" s="805">
        <f t="shared" si="231"/>
        <v>59518</v>
      </c>
      <c r="AD294" s="793">
        <f t="shared" si="232"/>
        <v>59518</v>
      </c>
      <c r="AE294" s="793">
        <f t="shared" si="233"/>
        <v>73150</v>
      </c>
      <c r="AF294" s="793">
        <f t="shared" si="234"/>
        <v>365</v>
      </c>
      <c r="AG294" s="793">
        <f t="shared" si="235"/>
        <v>6949</v>
      </c>
      <c r="AH294" s="805">
        <f t="shared" si="236"/>
        <v>20581</v>
      </c>
      <c r="AI294" s="805">
        <f t="shared" si="237"/>
        <v>52569</v>
      </c>
      <c r="AJ294" s="793">
        <f t="shared" si="238"/>
        <v>52569</v>
      </c>
      <c r="AK294" s="793">
        <f t="shared" si="239"/>
        <v>73150</v>
      </c>
      <c r="AL294" s="793">
        <f t="shared" si="240"/>
        <v>365</v>
      </c>
      <c r="AM294" s="793">
        <f t="shared" si="241"/>
        <v>6949</v>
      </c>
      <c r="AN294" s="805">
        <f t="shared" si="242"/>
        <v>27530</v>
      </c>
      <c r="AO294" s="805">
        <f t="shared" si="243"/>
        <v>45620</v>
      </c>
      <c r="AP294" s="818">
        <f t="shared" si="244"/>
        <v>45620</v>
      </c>
      <c r="AQ294" s="818">
        <f t="shared" si="245"/>
        <v>73150</v>
      </c>
      <c r="AR294" s="818">
        <f t="shared" si="246"/>
        <v>366</v>
      </c>
      <c r="AS294" s="818">
        <f t="shared" si="247"/>
        <v>6968</v>
      </c>
      <c r="AT294" s="818">
        <f t="shared" si="248"/>
        <v>34498</v>
      </c>
      <c r="AU294" s="818">
        <f t="shared" si="249"/>
        <v>38652</v>
      </c>
      <c r="AV294" s="793">
        <f t="shared" si="250"/>
        <v>38652</v>
      </c>
      <c r="AW294" s="793">
        <f t="shared" si="251"/>
        <v>73150</v>
      </c>
      <c r="AX294" s="793">
        <f t="shared" si="252"/>
        <v>365</v>
      </c>
      <c r="AY294" s="793">
        <f t="shared" si="253"/>
        <v>6949</v>
      </c>
      <c r="AZ294" s="818">
        <f t="shared" si="254"/>
        <v>41447</v>
      </c>
      <c r="BA294" s="818">
        <f t="shared" si="255"/>
        <v>31703</v>
      </c>
    </row>
    <row r="295" spans="1:53" ht="15" customHeight="1" x14ac:dyDescent="0.25">
      <c r="A295" s="842" t="s">
        <v>133</v>
      </c>
      <c r="B295" s="843" t="s">
        <v>1267</v>
      </c>
      <c r="C295" s="778">
        <f t="shared" si="211"/>
        <v>9.5000000000000001E-2</v>
      </c>
      <c r="D295" s="844">
        <v>10</v>
      </c>
      <c r="E295" s="844" t="s">
        <v>1205</v>
      </c>
      <c r="F295" s="845">
        <v>43672</v>
      </c>
      <c r="G295" s="781">
        <f t="shared" si="212"/>
        <v>43672</v>
      </c>
      <c r="H295" s="781">
        <f t="shared" si="213"/>
        <v>47322</v>
      </c>
      <c r="I295" s="1359">
        <v>35000</v>
      </c>
      <c r="J295" s="805">
        <f t="shared" si="214"/>
        <v>1750</v>
      </c>
      <c r="K295" s="1404"/>
      <c r="L295" s="793">
        <v>0</v>
      </c>
      <c r="M295" s="793">
        <v>0</v>
      </c>
      <c r="N295" s="793">
        <v>0</v>
      </c>
      <c r="O295" s="793">
        <v>0</v>
      </c>
      <c r="P295" s="793">
        <v>0</v>
      </c>
      <c r="Q295" s="793">
        <v>0</v>
      </c>
      <c r="R295" s="793">
        <f t="shared" si="220"/>
        <v>0</v>
      </c>
      <c r="S295" s="793">
        <f t="shared" si="221"/>
        <v>35000</v>
      </c>
      <c r="T295" s="805">
        <f t="shared" si="222"/>
        <v>250</v>
      </c>
      <c r="U295" s="805">
        <f t="shared" si="223"/>
        <v>2271</v>
      </c>
      <c r="V295" s="793">
        <f t="shared" si="224"/>
        <v>2271</v>
      </c>
      <c r="W295" s="793">
        <f t="shared" si="225"/>
        <v>32729</v>
      </c>
      <c r="X295" s="793">
        <f t="shared" si="226"/>
        <v>32729</v>
      </c>
      <c r="Y295" s="805">
        <f t="shared" si="227"/>
        <v>35000</v>
      </c>
      <c r="Z295" s="805">
        <f t="shared" si="228"/>
        <v>365</v>
      </c>
      <c r="AA295" s="805">
        <f t="shared" si="229"/>
        <v>3325</v>
      </c>
      <c r="AB295" s="805">
        <f t="shared" si="230"/>
        <v>5596</v>
      </c>
      <c r="AC295" s="805">
        <f t="shared" si="231"/>
        <v>29404</v>
      </c>
      <c r="AD295" s="793">
        <f t="shared" si="232"/>
        <v>29404</v>
      </c>
      <c r="AE295" s="793">
        <f t="shared" si="233"/>
        <v>35000</v>
      </c>
      <c r="AF295" s="793">
        <f t="shared" si="234"/>
        <v>365</v>
      </c>
      <c r="AG295" s="793">
        <f t="shared" si="235"/>
        <v>3325</v>
      </c>
      <c r="AH295" s="805">
        <f t="shared" si="236"/>
        <v>8921</v>
      </c>
      <c r="AI295" s="805">
        <f t="shared" si="237"/>
        <v>26079</v>
      </c>
      <c r="AJ295" s="793">
        <f t="shared" si="238"/>
        <v>26079</v>
      </c>
      <c r="AK295" s="793">
        <f t="shared" si="239"/>
        <v>35000</v>
      </c>
      <c r="AL295" s="793">
        <f t="shared" si="240"/>
        <v>365</v>
      </c>
      <c r="AM295" s="793">
        <f t="shared" si="241"/>
        <v>3325</v>
      </c>
      <c r="AN295" s="805">
        <f t="shared" si="242"/>
        <v>12246</v>
      </c>
      <c r="AO295" s="805">
        <f t="shared" si="243"/>
        <v>22754</v>
      </c>
      <c r="AP295" s="818">
        <f t="shared" si="244"/>
        <v>22754</v>
      </c>
      <c r="AQ295" s="818">
        <f t="shared" si="245"/>
        <v>35000</v>
      </c>
      <c r="AR295" s="818">
        <f t="shared" si="246"/>
        <v>366</v>
      </c>
      <c r="AS295" s="818">
        <f t="shared" si="247"/>
        <v>3334</v>
      </c>
      <c r="AT295" s="818">
        <f t="shared" si="248"/>
        <v>15580</v>
      </c>
      <c r="AU295" s="818">
        <f t="shared" si="249"/>
        <v>19420</v>
      </c>
      <c r="AV295" s="793">
        <f t="shared" si="250"/>
        <v>19420</v>
      </c>
      <c r="AW295" s="793">
        <f t="shared" si="251"/>
        <v>35000</v>
      </c>
      <c r="AX295" s="793">
        <f t="shared" si="252"/>
        <v>365</v>
      </c>
      <c r="AY295" s="793">
        <f t="shared" si="253"/>
        <v>3325</v>
      </c>
      <c r="AZ295" s="818">
        <f t="shared" si="254"/>
        <v>18905</v>
      </c>
      <c r="BA295" s="818">
        <f t="shared" si="255"/>
        <v>16095</v>
      </c>
    </row>
    <row r="296" spans="1:53" ht="15" customHeight="1" x14ac:dyDescent="0.25">
      <c r="A296" s="842" t="s">
        <v>133</v>
      </c>
      <c r="B296" s="843" t="s">
        <v>399</v>
      </c>
      <c r="C296" s="778">
        <f t="shared" si="211"/>
        <v>9.5000000000000001E-2</v>
      </c>
      <c r="D296" s="844">
        <v>10</v>
      </c>
      <c r="E296" s="844" t="s">
        <v>1205</v>
      </c>
      <c r="F296" s="845">
        <v>43727</v>
      </c>
      <c r="G296" s="781">
        <f t="shared" si="212"/>
        <v>43727</v>
      </c>
      <c r="H296" s="781">
        <f t="shared" si="213"/>
        <v>47377</v>
      </c>
      <c r="I296" s="1359">
        <v>935</v>
      </c>
      <c r="J296" s="805">
        <f t="shared" si="214"/>
        <v>46.75</v>
      </c>
      <c r="K296" s="1404"/>
      <c r="L296" s="793">
        <v>0</v>
      </c>
      <c r="M296" s="793">
        <v>0</v>
      </c>
      <c r="N296" s="793">
        <v>0</v>
      </c>
      <c r="O296" s="793">
        <v>0</v>
      </c>
      <c r="P296" s="793">
        <v>0</v>
      </c>
      <c r="Q296" s="793">
        <v>0</v>
      </c>
      <c r="R296" s="793">
        <f t="shared" si="220"/>
        <v>0</v>
      </c>
      <c r="S296" s="793">
        <f t="shared" si="221"/>
        <v>935</v>
      </c>
      <c r="T296" s="805">
        <f t="shared" si="222"/>
        <v>195</v>
      </c>
      <c r="U296" s="805">
        <f t="shared" si="223"/>
        <v>47</v>
      </c>
      <c r="V296" s="793">
        <f t="shared" si="224"/>
        <v>47</v>
      </c>
      <c r="W296" s="793">
        <f t="shared" si="225"/>
        <v>888</v>
      </c>
      <c r="X296" s="793">
        <f t="shared" si="226"/>
        <v>888</v>
      </c>
      <c r="Y296" s="805">
        <f t="shared" si="227"/>
        <v>935</v>
      </c>
      <c r="Z296" s="805">
        <f t="shared" si="228"/>
        <v>365</v>
      </c>
      <c r="AA296" s="805">
        <f t="shared" si="229"/>
        <v>89</v>
      </c>
      <c r="AB296" s="805">
        <f t="shared" si="230"/>
        <v>136</v>
      </c>
      <c r="AC296" s="805">
        <f t="shared" si="231"/>
        <v>799</v>
      </c>
      <c r="AD296" s="793">
        <f t="shared" si="232"/>
        <v>799</v>
      </c>
      <c r="AE296" s="793">
        <f t="shared" si="233"/>
        <v>935</v>
      </c>
      <c r="AF296" s="793">
        <f t="shared" si="234"/>
        <v>365</v>
      </c>
      <c r="AG296" s="793">
        <f t="shared" si="235"/>
        <v>89</v>
      </c>
      <c r="AH296" s="805">
        <f t="shared" si="236"/>
        <v>225</v>
      </c>
      <c r="AI296" s="805">
        <f t="shared" si="237"/>
        <v>710</v>
      </c>
      <c r="AJ296" s="793">
        <f t="shared" si="238"/>
        <v>710</v>
      </c>
      <c r="AK296" s="793">
        <f t="shared" si="239"/>
        <v>935</v>
      </c>
      <c r="AL296" s="793">
        <f t="shared" si="240"/>
        <v>365</v>
      </c>
      <c r="AM296" s="793">
        <f t="shared" si="241"/>
        <v>89</v>
      </c>
      <c r="AN296" s="805">
        <f t="shared" si="242"/>
        <v>314</v>
      </c>
      <c r="AO296" s="805">
        <f t="shared" si="243"/>
        <v>621</v>
      </c>
      <c r="AP296" s="818">
        <f t="shared" si="244"/>
        <v>621</v>
      </c>
      <c r="AQ296" s="818">
        <f t="shared" si="245"/>
        <v>935</v>
      </c>
      <c r="AR296" s="818">
        <f t="shared" si="246"/>
        <v>366</v>
      </c>
      <c r="AS296" s="818">
        <f t="shared" si="247"/>
        <v>89</v>
      </c>
      <c r="AT296" s="818">
        <f t="shared" si="248"/>
        <v>403</v>
      </c>
      <c r="AU296" s="818">
        <f t="shared" si="249"/>
        <v>532</v>
      </c>
      <c r="AV296" s="793">
        <f t="shared" si="250"/>
        <v>532</v>
      </c>
      <c r="AW296" s="793">
        <f t="shared" si="251"/>
        <v>935</v>
      </c>
      <c r="AX296" s="793">
        <f t="shared" si="252"/>
        <v>365</v>
      </c>
      <c r="AY296" s="793">
        <f t="shared" si="253"/>
        <v>89</v>
      </c>
      <c r="AZ296" s="818">
        <f t="shared" si="254"/>
        <v>492</v>
      </c>
      <c r="BA296" s="818">
        <f t="shared" si="255"/>
        <v>443</v>
      </c>
    </row>
    <row r="297" spans="1:53" ht="15" customHeight="1" x14ac:dyDescent="0.25">
      <c r="A297" s="842" t="s">
        <v>133</v>
      </c>
      <c r="B297" s="843" t="s">
        <v>1267</v>
      </c>
      <c r="C297" s="778">
        <f t="shared" si="211"/>
        <v>9.5000000000000001E-2</v>
      </c>
      <c r="D297" s="844">
        <v>10</v>
      </c>
      <c r="E297" s="844" t="s">
        <v>1205</v>
      </c>
      <c r="F297" s="845">
        <v>43873</v>
      </c>
      <c r="G297" s="781">
        <f t="shared" si="212"/>
        <v>43873</v>
      </c>
      <c r="H297" s="781">
        <f t="shared" si="213"/>
        <v>47523</v>
      </c>
      <c r="I297" s="1359">
        <v>6441</v>
      </c>
      <c r="J297" s="805">
        <f t="shared" si="214"/>
        <v>322.05</v>
      </c>
      <c r="K297" s="1404"/>
      <c r="L297" s="793">
        <v>0</v>
      </c>
      <c r="M297" s="793">
        <v>0</v>
      </c>
      <c r="N297" s="793">
        <v>0</v>
      </c>
      <c r="O297" s="793">
        <v>0</v>
      </c>
      <c r="P297" s="793">
        <v>0</v>
      </c>
      <c r="Q297" s="793">
        <v>0</v>
      </c>
      <c r="R297" s="793">
        <v>0</v>
      </c>
      <c r="S297" s="793">
        <f t="shared" si="221"/>
        <v>6441</v>
      </c>
      <c r="T297" s="805">
        <f t="shared" si="222"/>
        <v>49</v>
      </c>
      <c r="U297" s="805">
        <f t="shared" si="223"/>
        <v>82</v>
      </c>
      <c r="V297" s="793">
        <f t="shared" si="224"/>
        <v>82</v>
      </c>
      <c r="W297" s="793">
        <f t="shared" si="225"/>
        <v>6359</v>
      </c>
      <c r="X297" s="793">
        <f t="shared" si="226"/>
        <v>6359</v>
      </c>
      <c r="Y297" s="805">
        <f t="shared" si="227"/>
        <v>6441</v>
      </c>
      <c r="Z297" s="805">
        <f t="shared" si="228"/>
        <v>365</v>
      </c>
      <c r="AA297" s="805">
        <f t="shared" si="229"/>
        <v>612</v>
      </c>
      <c r="AB297" s="805">
        <f t="shared" si="230"/>
        <v>694</v>
      </c>
      <c r="AC297" s="805">
        <f t="shared" si="231"/>
        <v>5747</v>
      </c>
      <c r="AD297" s="793">
        <f t="shared" si="232"/>
        <v>5747</v>
      </c>
      <c r="AE297" s="793">
        <f t="shared" si="233"/>
        <v>6441</v>
      </c>
      <c r="AF297" s="793">
        <f t="shared" si="234"/>
        <v>365</v>
      </c>
      <c r="AG297" s="793">
        <f t="shared" si="235"/>
        <v>612</v>
      </c>
      <c r="AH297" s="805">
        <f t="shared" si="236"/>
        <v>1306</v>
      </c>
      <c r="AI297" s="805">
        <f t="shared" si="237"/>
        <v>5135</v>
      </c>
      <c r="AJ297" s="793">
        <f t="shared" si="238"/>
        <v>5135</v>
      </c>
      <c r="AK297" s="793">
        <f t="shared" si="239"/>
        <v>6441</v>
      </c>
      <c r="AL297" s="793">
        <f t="shared" si="240"/>
        <v>365</v>
      </c>
      <c r="AM297" s="793">
        <f t="shared" si="241"/>
        <v>612</v>
      </c>
      <c r="AN297" s="805">
        <f t="shared" si="242"/>
        <v>1918</v>
      </c>
      <c r="AO297" s="805">
        <f t="shared" si="243"/>
        <v>4523</v>
      </c>
      <c r="AP297" s="818">
        <f t="shared" si="244"/>
        <v>4523</v>
      </c>
      <c r="AQ297" s="818">
        <f t="shared" si="245"/>
        <v>6441</v>
      </c>
      <c r="AR297" s="818">
        <f t="shared" si="246"/>
        <v>366</v>
      </c>
      <c r="AS297" s="818">
        <f t="shared" si="247"/>
        <v>614</v>
      </c>
      <c r="AT297" s="818">
        <f t="shared" si="248"/>
        <v>2532</v>
      </c>
      <c r="AU297" s="818">
        <f t="shared" si="249"/>
        <v>3909</v>
      </c>
      <c r="AV297" s="793">
        <f t="shared" si="250"/>
        <v>3909</v>
      </c>
      <c r="AW297" s="793">
        <f t="shared" si="251"/>
        <v>6441</v>
      </c>
      <c r="AX297" s="793">
        <f t="shared" si="252"/>
        <v>365</v>
      </c>
      <c r="AY297" s="793">
        <f t="shared" si="253"/>
        <v>612</v>
      </c>
      <c r="AZ297" s="818">
        <f t="shared" si="254"/>
        <v>3144</v>
      </c>
      <c r="BA297" s="818">
        <f t="shared" si="255"/>
        <v>3297</v>
      </c>
    </row>
    <row r="298" spans="1:53" ht="15" customHeight="1" x14ac:dyDescent="0.25">
      <c r="A298" s="842" t="s">
        <v>133</v>
      </c>
      <c r="B298" s="843" t="s">
        <v>1267</v>
      </c>
      <c r="C298" s="778">
        <f t="shared" si="211"/>
        <v>9.5000000000000001E-2</v>
      </c>
      <c r="D298" s="844">
        <v>10</v>
      </c>
      <c r="E298" s="844" t="s">
        <v>1205</v>
      </c>
      <c r="F298" s="845">
        <v>43886</v>
      </c>
      <c r="G298" s="781">
        <f t="shared" si="212"/>
        <v>43886</v>
      </c>
      <c r="H298" s="781">
        <f t="shared" si="213"/>
        <v>47536</v>
      </c>
      <c r="I298" s="1359">
        <v>37000</v>
      </c>
      <c r="J298" s="805">
        <f t="shared" si="214"/>
        <v>1850</v>
      </c>
      <c r="K298" s="1404"/>
      <c r="L298" s="793">
        <v>0</v>
      </c>
      <c r="M298" s="793">
        <v>0</v>
      </c>
      <c r="N298" s="793">
        <v>0</v>
      </c>
      <c r="O298" s="793">
        <v>0</v>
      </c>
      <c r="P298" s="793">
        <v>0</v>
      </c>
      <c r="Q298" s="793">
        <v>0</v>
      </c>
      <c r="R298" s="793">
        <v>0</v>
      </c>
      <c r="S298" s="793">
        <f t="shared" si="221"/>
        <v>37000</v>
      </c>
      <c r="T298" s="805">
        <f t="shared" si="222"/>
        <v>36</v>
      </c>
      <c r="U298" s="805">
        <f t="shared" si="223"/>
        <v>346</v>
      </c>
      <c r="V298" s="793">
        <f t="shared" si="224"/>
        <v>346</v>
      </c>
      <c r="W298" s="793">
        <f t="shared" si="225"/>
        <v>36654</v>
      </c>
      <c r="X298" s="793">
        <f t="shared" si="226"/>
        <v>36654</v>
      </c>
      <c r="Y298" s="805">
        <f t="shared" si="227"/>
        <v>37000</v>
      </c>
      <c r="Z298" s="805">
        <f t="shared" si="228"/>
        <v>365</v>
      </c>
      <c r="AA298" s="805">
        <f t="shared" si="229"/>
        <v>3515</v>
      </c>
      <c r="AB298" s="805">
        <f t="shared" si="230"/>
        <v>3861</v>
      </c>
      <c r="AC298" s="805">
        <f t="shared" si="231"/>
        <v>33139</v>
      </c>
      <c r="AD298" s="793">
        <f t="shared" si="232"/>
        <v>33139</v>
      </c>
      <c r="AE298" s="793">
        <f t="shared" si="233"/>
        <v>37000</v>
      </c>
      <c r="AF298" s="793">
        <f t="shared" si="234"/>
        <v>365</v>
      </c>
      <c r="AG298" s="793">
        <f t="shared" si="235"/>
        <v>3515</v>
      </c>
      <c r="AH298" s="805">
        <f t="shared" si="236"/>
        <v>7376</v>
      </c>
      <c r="AI298" s="805">
        <f t="shared" si="237"/>
        <v>29624</v>
      </c>
      <c r="AJ298" s="793">
        <f t="shared" si="238"/>
        <v>29624</v>
      </c>
      <c r="AK298" s="793">
        <f t="shared" si="239"/>
        <v>37000</v>
      </c>
      <c r="AL298" s="793">
        <f t="shared" si="240"/>
        <v>365</v>
      </c>
      <c r="AM298" s="793">
        <f t="shared" si="241"/>
        <v>3515</v>
      </c>
      <c r="AN298" s="805">
        <f t="shared" si="242"/>
        <v>10891</v>
      </c>
      <c r="AO298" s="805">
        <f t="shared" si="243"/>
        <v>26109</v>
      </c>
      <c r="AP298" s="818">
        <f t="shared" si="244"/>
        <v>26109</v>
      </c>
      <c r="AQ298" s="818">
        <f t="shared" si="245"/>
        <v>37000</v>
      </c>
      <c r="AR298" s="818">
        <f t="shared" si="246"/>
        <v>366</v>
      </c>
      <c r="AS298" s="818">
        <f t="shared" si="247"/>
        <v>3525</v>
      </c>
      <c r="AT298" s="818">
        <f t="shared" si="248"/>
        <v>14416</v>
      </c>
      <c r="AU298" s="818">
        <f t="shared" si="249"/>
        <v>22584</v>
      </c>
      <c r="AV298" s="793">
        <f t="shared" si="250"/>
        <v>22584</v>
      </c>
      <c r="AW298" s="793">
        <f t="shared" si="251"/>
        <v>37000</v>
      </c>
      <c r="AX298" s="793">
        <f t="shared" si="252"/>
        <v>365</v>
      </c>
      <c r="AY298" s="793">
        <f t="shared" si="253"/>
        <v>3515</v>
      </c>
      <c r="AZ298" s="818">
        <f t="shared" si="254"/>
        <v>17931</v>
      </c>
      <c r="BA298" s="818">
        <f t="shared" si="255"/>
        <v>19069</v>
      </c>
    </row>
    <row r="299" spans="1:53" ht="15" customHeight="1" x14ac:dyDescent="0.25">
      <c r="A299" s="842" t="s">
        <v>133</v>
      </c>
      <c r="B299" s="843" t="s">
        <v>1283</v>
      </c>
      <c r="C299" s="778">
        <f t="shared" si="211"/>
        <v>9.5000000000000001E-2</v>
      </c>
      <c r="D299" s="844">
        <v>10</v>
      </c>
      <c r="E299" s="844" t="s">
        <v>1205</v>
      </c>
      <c r="F299" s="845">
        <v>43885</v>
      </c>
      <c r="G299" s="781">
        <f t="shared" si="212"/>
        <v>43885</v>
      </c>
      <c r="H299" s="781">
        <f t="shared" si="213"/>
        <v>47535</v>
      </c>
      <c r="I299" s="1359">
        <v>20644</v>
      </c>
      <c r="J299" s="805">
        <f t="shared" si="214"/>
        <v>1032.2</v>
      </c>
      <c r="K299" s="1404"/>
      <c r="L299" s="793">
        <v>0</v>
      </c>
      <c r="M299" s="793">
        <v>0</v>
      </c>
      <c r="N299" s="793">
        <v>0</v>
      </c>
      <c r="O299" s="793">
        <v>0</v>
      </c>
      <c r="P299" s="793">
        <v>0</v>
      </c>
      <c r="Q299" s="793">
        <v>0</v>
      </c>
      <c r="R299" s="793">
        <v>0</v>
      </c>
      <c r="S299" s="793">
        <f t="shared" si="221"/>
        <v>20644</v>
      </c>
      <c r="T299" s="805">
        <f t="shared" si="222"/>
        <v>37</v>
      </c>
      <c r="U299" s="805">
        <f t="shared" si="223"/>
        <v>198</v>
      </c>
      <c r="V299" s="793">
        <f t="shared" si="224"/>
        <v>198</v>
      </c>
      <c r="W299" s="793">
        <f t="shared" si="225"/>
        <v>20446</v>
      </c>
      <c r="X299" s="793">
        <f t="shared" si="226"/>
        <v>20446</v>
      </c>
      <c r="Y299" s="805">
        <f t="shared" si="227"/>
        <v>20644</v>
      </c>
      <c r="Z299" s="805">
        <f t="shared" si="228"/>
        <v>365</v>
      </c>
      <c r="AA299" s="805">
        <f t="shared" si="229"/>
        <v>1961</v>
      </c>
      <c r="AB299" s="805">
        <f t="shared" si="230"/>
        <v>2159</v>
      </c>
      <c r="AC299" s="805">
        <f t="shared" si="231"/>
        <v>18485</v>
      </c>
      <c r="AD299" s="793">
        <f t="shared" si="232"/>
        <v>18485</v>
      </c>
      <c r="AE299" s="793">
        <f t="shared" si="233"/>
        <v>20644</v>
      </c>
      <c r="AF299" s="793">
        <f t="shared" si="234"/>
        <v>365</v>
      </c>
      <c r="AG299" s="793">
        <f t="shared" si="235"/>
        <v>1961</v>
      </c>
      <c r="AH299" s="805">
        <f t="shared" si="236"/>
        <v>4120</v>
      </c>
      <c r="AI299" s="805">
        <f t="shared" si="237"/>
        <v>16524</v>
      </c>
      <c r="AJ299" s="793">
        <f t="shared" si="238"/>
        <v>16524</v>
      </c>
      <c r="AK299" s="793">
        <f t="shared" si="239"/>
        <v>20644</v>
      </c>
      <c r="AL299" s="793">
        <f t="shared" si="240"/>
        <v>365</v>
      </c>
      <c r="AM299" s="793">
        <f t="shared" si="241"/>
        <v>1961</v>
      </c>
      <c r="AN299" s="805">
        <f t="shared" si="242"/>
        <v>6081</v>
      </c>
      <c r="AO299" s="805">
        <f t="shared" si="243"/>
        <v>14563</v>
      </c>
      <c r="AP299" s="818">
        <f t="shared" si="244"/>
        <v>14563</v>
      </c>
      <c r="AQ299" s="818">
        <f t="shared" si="245"/>
        <v>20644</v>
      </c>
      <c r="AR299" s="818">
        <f t="shared" si="246"/>
        <v>366</v>
      </c>
      <c r="AS299" s="818">
        <f t="shared" si="247"/>
        <v>1967</v>
      </c>
      <c r="AT299" s="818">
        <f t="shared" si="248"/>
        <v>8048</v>
      </c>
      <c r="AU299" s="818">
        <f t="shared" si="249"/>
        <v>12596</v>
      </c>
      <c r="AV299" s="793">
        <f t="shared" si="250"/>
        <v>12596</v>
      </c>
      <c r="AW299" s="793">
        <f t="shared" si="251"/>
        <v>20644</v>
      </c>
      <c r="AX299" s="793">
        <f t="shared" si="252"/>
        <v>365</v>
      </c>
      <c r="AY299" s="793">
        <f t="shared" si="253"/>
        <v>1961</v>
      </c>
      <c r="AZ299" s="818">
        <f t="shared" si="254"/>
        <v>10009</v>
      </c>
      <c r="BA299" s="818">
        <f t="shared" si="255"/>
        <v>10635</v>
      </c>
    </row>
    <row r="300" spans="1:53" ht="15" customHeight="1" x14ac:dyDescent="0.25">
      <c r="A300" s="842" t="s">
        <v>133</v>
      </c>
      <c r="B300" s="843" t="s">
        <v>1284</v>
      </c>
      <c r="C300" s="778">
        <f t="shared" si="211"/>
        <v>9.5000000000000001E-2</v>
      </c>
      <c r="D300" s="844">
        <v>10</v>
      </c>
      <c r="E300" s="844" t="s">
        <v>1205</v>
      </c>
      <c r="F300" s="845">
        <v>43899</v>
      </c>
      <c r="G300" s="781">
        <f t="shared" si="212"/>
        <v>43899</v>
      </c>
      <c r="H300" s="781">
        <f t="shared" si="213"/>
        <v>47549</v>
      </c>
      <c r="I300" s="1359">
        <v>20000</v>
      </c>
      <c r="J300" s="805">
        <f t="shared" si="214"/>
        <v>1000</v>
      </c>
      <c r="K300" s="1404"/>
      <c r="L300" s="793">
        <v>0</v>
      </c>
      <c r="M300" s="793">
        <v>0</v>
      </c>
      <c r="N300" s="793">
        <v>0</v>
      </c>
      <c r="O300" s="793">
        <v>0</v>
      </c>
      <c r="P300" s="793">
        <v>0</v>
      </c>
      <c r="Q300" s="793">
        <v>0</v>
      </c>
      <c r="R300" s="793">
        <v>0</v>
      </c>
      <c r="S300" s="793">
        <f t="shared" si="221"/>
        <v>20000</v>
      </c>
      <c r="T300" s="805">
        <f t="shared" si="222"/>
        <v>23</v>
      </c>
      <c r="U300" s="805">
        <f t="shared" si="223"/>
        <v>119</v>
      </c>
      <c r="V300" s="793">
        <f t="shared" si="224"/>
        <v>119</v>
      </c>
      <c r="W300" s="793">
        <f t="shared" si="225"/>
        <v>19881</v>
      </c>
      <c r="X300" s="793">
        <f t="shared" si="226"/>
        <v>19881</v>
      </c>
      <c r="Y300" s="805">
        <f t="shared" si="227"/>
        <v>20000</v>
      </c>
      <c r="Z300" s="805">
        <f t="shared" si="228"/>
        <v>365</v>
      </c>
      <c r="AA300" s="805">
        <f t="shared" si="229"/>
        <v>1900</v>
      </c>
      <c r="AB300" s="805">
        <f t="shared" si="230"/>
        <v>2019</v>
      </c>
      <c r="AC300" s="805">
        <f t="shared" si="231"/>
        <v>17981</v>
      </c>
      <c r="AD300" s="793">
        <f t="shared" si="232"/>
        <v>17981</v>
      </c>
      <c r="AE300" s="793">
        <f t="shared" si="233"/>
        <v>20000</v>
      </c>
      <c r="AF300" s="793">
        <f t="shared" si="234"/>
        <v>365</v>
      </c>
      <c r="AG300" s="793">
        <f t="shared" si="235"/>
        <v>1900</v>
      </c>
      <c r="AH300" s="805">
        <f t="shared" si="236"/>
        <v>3919</v>
      </c>
      <c r="AI300" s="805">
        <f t="shared" si="237"/>
        <v>16081</v>
      </c>
      <c r="AJ300" s="793">
        <f t="shared" si="238"/>
        <v>16081</v>
      </c>
      <c r="AK300" s="793">
        <f t="shared" si="239"/>
        <v>20000</v>
      </c>
      <c r="AL300" s="793">
        <f t="shared" si="240"/>
        <v>365</v>
      </c>
      <c r="AM300" s="793">
        <f t="shared" si="241"/>
        <v>1900</v>
      </c>
      <c r="AN300" s="805">
        <f t="shared" si="242"/>
        <v>5819</v>
      </c>
      <c r="AO300" s="805">
        <f t="shared" si="243"/>
        <v>14181</v>
      </c>
      <c r="AP300" s="818">
        <f t="shared" si="244"/>
        <v>14181</v>
      </c>
      <c r="AQ300" s="818">
        <f t="shared" si="245"/>
        <v>20000</v>
      </c>
      <c r="AR300" s="818">
        <f t="shared" si="246"/>
        <v>366</v>
      </c>
      <c r="AS300" s="818">
        <f t="shared" si="247"/>
        <v>1905</v>
      </c>
      <c r="AT300" s="818">
        <f t="shared" si="248"/>
        <v>7724</v>
      </c>
      <c r="AU300" s="818">
        <f t="shared" si="249"/>
        <v>12276</v>
      </c>
      <c r="AV300" s="793">
        <f t="shared" si="250"/>
        <v>12276</v>
      </c>
      <c r="AW300" s="793">
        <f t="shared" si="251"/>
        <v>20000</v>
      </c>
      <c r="AX300" s="793">
        <f t="shared" si="252"/>
        <v>365</v>
      </c>
      <c r="AY300" s="793">
        <f t="shared" si="253"/>
        <v>1900</v>
      </c>
      <c r="AZ300" s="818">
        <f t="shared" si="254"/>
        <v>9624</v>
      </c>
      <c r="BA300" s="818">
        <f t="shared" si="255"/>
        <v>10376</v>
      </c>
    </row>
    <row r="301" spans="1:53" ht="15" customHeight="1" x14ac:dyDescent="0.25">
      <c r="A301" s="842" t="s">
        <v>133</v>
      </c>
      <c r="B301" s="843" t="s">
        <v>1283</v>
      </c>
      <c r="C301" s="778">
        <f t="shared" si="211"/>
        <v>9.5000000000000001E-2</v>
      </c>
      <c r="D301" s="844">
        <v>10</v>
      </c>
      <c r="E301" s="844" t="s">
        <v>1205</v>
      </c>
      <c r="F301" s="845">
        <v>43893</v>
      </c>
      <c r="G301" s="781">
        <f t="shared" si="212"/>
        <v>43893</v>
      </c>
      <c r="H301" s="781">
        <f t="shared" si="213"/>
        <v>47543</v>
      </c>
      <c r="I301" s="1359">
        <v>6918</v>
      </c>
      <c r="J301" s="805">
        <f t="shared" si="214"/>
        <v>345.90000000000003</v>
      </c>
      <c r="K301" s="1404"/>
      <c r="L301" s="793">
        <v>0</v>
      </c>
      <c r="M301" s="793">
        <v>0</v>
      </c>
      <c r="N301" s="793">
        <v>0</v>
      </c>
      <c r="O301" s="793">
        <v>0</v>
      </c>
      <c r="P301" s="793">
        <v>0</v>
      </c>
      <c r="Q301" s="793">
        <v>0</v>
      </c>
      <c r="R301" s="793">
        <v>0</v>
      </c>
      <c r="S301" s="793">
        <f t="shared" si="221"/>
        <v>6918</v>
      </c>
      <c r="T301" s="805">
        <f t="shared" si="222"/>
        <v>29</v>
      </c>
      <c r="U301" s="805">
        <f t="shared" si="223"/>
        <v>52</v>
      </c>
      <c r="V301" s="793">
        <f t="shared" si="224"/>
        <v>52</v>
      </c>
      <c r="W301" s="793">
        <f t="shared" si="225"/>
        <v>6866</v>
      </c>
      <c r="X301" s="793">
        <f t="shared" si="226"/>
        <v>6866</v>
      </c>
      <c r="Y301" s="805">
        <f t="shared" si="227"/>
        <v>6918</v>
      </c>
      <c r="Z301" s="805">
        <f t="shared" si="228"/>
        <v>365</v>
      </c>
      <c r="AA301" s="805">
        <f t="shared" si="229"/>
        <v>657</v>
      </c>
      <c r="AB301" s="805">
        <f t="shared" si="230"/>
        <v>709</v>
      </c>
      <c r="AC301" s="805">
        <f t="shared" si="231"/>
        <v>6209</v>
      </c>
      <c r="AD301" s="793">
        <f t="shared" si="232"/>
        <v>6209</v>
      </c>
      <c r="AE301" s="793">
        <f t="shared" si="233"/>
        <v>6918</v>
      </c>
      <c r="AF301" s="793">
        <f t="shared" si="234"/>
        <v>365</v>
      </c>
      <c r="AG301" s="793">
        <f t="shared" si="235"/>
        <v>657</v>
      </c>
      <c r="AH301" s="805">
        <f t="shared" si="236"/>
        <v>1366</v>
      </c>
      <c r="AI301" s="805">
        <f t="shared" si="237"/>
        <v>5552</v>
      </c>
      <c r="AJ301" s="793">
        <f t="shared" si="238"/>
        <v>5552</v>
      </c>
      <c r="AK301" s="793">
        <f t="shared" si="239"/>
        <v>6918</v>
      </c>
      <c r="AL301" s="793">
        <f t="shared" si="240"/>
        <v>365</v>
      </c>
      <c r="AM301" s="793">
        <f t="shared" si="241"/>
        <v>657</v>
      </c>
      <c r="AN301" s="805">
        <f t="shared" si="242"/>
        <v>2023</v>
      </c>
      <c r="AO301" s="805">
        <f t="shared" si="243"/>
        <v>4895</v>
      </c>
      <c r="AP301" s="818">
        <f t="shared" si="244"/>
        <v>4895</v>
      </c>
      <c r="AQ301" s="818">
        <f t="shared" si="245"/>
        <v>6918</v>
      </c>
      <c r="AR301" s="818">
        <f t="shared" si="246"/>
        <v>366</v>
      </c>
      <c r="AS301" s="818">
        <f t="shared" si="247"/>
        <v>659</v>
      </c>
      <c r="AT301" s="818">
        <f t="shared" si="248"/>
        <v>2682</v>
      </c>
      <c r="AU301" s="818">
        <f t="shared" si="249"/>
        <v>4236</v>
      </c>
      <c r="AV301" s="793">
        <f t="shared" si="250"/>
        <v>4236</v>
      </c>
      <c r="AW301" s="793">
        <f t="shared" si="251"/>
        <v>6918</v>
      </c>
      <c r="AX301" s="793">
        <f t="shared" si="252"/>
        <v>365</v>
      </c>
      <c r="AY301" s="793">
        <f t="shared" si="253"/>
        <v>657</v>
      </c>
      <c r="AZ301" s="818">
        <f t="shared" si="254"/>
        <v>3339</v>
      </c>
      <c r="BA301" s="818">
        <f t="shared" si="255"/>
        <v>3579</v>
      </c>
    </row>
    <row r="302" spans="1:53" ht="15" customHeight="1" x14ac:dyDescent="0.25">
      <c r="A302" s="842" t="s">
        <v>133</v>
      </c>
      <c r="B302" s="843" t="s">
        <v>1285</v>
      </c>
      <c r="C302" s="778">
        <f t="shared" si="211"/>
        <v>9.5000000000000001E-2</v>
      </c>
      <c r="D302" s="844">
        <v>10</v>
      </c>
      <c r="E302" s="844" t="s">
        <v>1205</v>
      </c>
      <c r="F302" s="845">
        <v>43894</v>
      </c>
      <c r="G302" s="781">
        <f t="shared" si="212"/>
        <v>43894</v>
      </c>
      <c r="H302" s="781">
        <f t="shared" si="213"/>
        <v>47544</v>
      </c>
      <c r="I302" s="1359">
        <v>13000</v>
      </c>
      <c r="J302" s="805">
        <f t="shared" si="214"/>
        <v>650</v>
      </c>
      <c r="K302" s="1404"/>
      <c r="L302" s="793">
        <v>0</v>
      </c>
      <c r="M302" s="793">
        <v>0</v>
      </c>
      <c r="N302" s="793">
        <v>0</v>
      </c>
      <c r="O302" s="793">
        <v>0</v>
      </c>
      <c r="P302" s="793">
        <v>0</v>
      </c>
      <c r="Q302" s="793">
        <v>0</v>
      </c>
      <c r="R302" s="793">
        <v>0</v>
      </c>
      <c r="S302" s="793">
        <f t="shared" si="221"/>
        <v>13000</v>
      </c>
      <c r="T302" s="805">
        <f t="shared" si="222"/>
        <v>28</v>
      </c>
      <c r="U302" s="805">
        <f t="shared" si="223"/>
        <v>94</v>
      </c>
      <c r="V302" s="793">
        <f t="shared" si="224"/>
        <v>94</v>
      </c>
      <c r="W302" s="793">
        <f t="shared" si="225"/>
        <v>12906</v>
      </c>
      <c r="X302" s="793">
        <f t="shared" si="226"/>
        <v>12906</v>
      </c>
      <c r="Y302" s="805">
        <f t="shared" si="227"/>
        <v>13000</v>
      </c>
      <c r="Z302" s="805">
        <f t="shared" si="228"/>
        <v>365</v>
      </c>
      <c r="AA302" s="805">
        <f t="shared" si="229"/>
        <v>1235</v>
      </c>
      <c r="AB302" s="805">
        <f t="shared" si="230"/>
        <v>1329</v>
      </c>
      <c r="AC302" s="805">
        <f t="shared" si="231"/>
        <v>11671</v>
      </c>
      <c r="AD302" s="793">
        <f t="shared" si="232"/>
        <v>11671</v>
      </c>
      <c r="AE302" s="793">
        <f t="shared" si="233"/>
        <v>13000</v>
      </c>
      <c r="AF302" s="793">
        <f t="shared" si="234"/>
        <v>365</v>
      </c>
      <c r="AG302" s="793">
        <f t="shared" si="235"/>
        <v>1235</v>
      </c>
      <c r="AH302" s="805">
        <f t="shared" si="236"/>
        <v>2564</v>
      </c>
      <c r="AI302" s="805">
        <f t="shared" si="237"/>
        <v>10436</v>
      </c>
      <c r="AJ302" s="793">
        <f t="shared" si="238"/>
        <v>10436</v>
      </c>
      <c r="AK302" s="793">
        <f t="shared" si="239"/>
        <v>13000</v>
      </c>
      <c r="AL302" s="793">
        <f t="shared" si="240"/>
        <v>365</v>
      </c>
      <c r="AM302" s="793">
        <f t="shared" si="241"/>
        <v>1235</v>
      </c>
      <c r="AN302" s="805">
        <f t="shared" si="242"/>
        <v>3799</v>
      </c>
      <c r="AO302" s="805">
        <f t="shared" si="243"/>
        <v>9201</v>
      </c>
      <c r="AP302" s="818">
        <f t="shared" si="244"/>
        <v>9201</v>
      </c>
      <c r="AQ302" s="818">
        <f t="shared" si="245"/>
        <v>13000</v>
      </c>
      <c r="AR302" s="818">
        <f t="shared" si="246"/>
        <v>366</v>
      </c>
      <c r="AS302" s="818">
        <f t="shared" si="247"/>
        <v>1238</v>
      </c>
      <c r="AT302" s="818">
        <f t="shared" si="248"/>
        <v>5037</v>
      </c>
      <c r="AU302" s="818">
        <f t="shared" si="249"/>
        <v>7963</v>
      </c>
      <c r="AV302" s="793">
        <f t="shared" si="250"/>
        <v>7963</v>
      </c>
      <c r="AW302" s="793">
        <f t="shared" si="251"/>
        <v>13000</v>
      </c>
      <c r="AX302" s="793">
        <f t="shared" si="252"/>
        <v>365</v>
      </c>
      <c r="AY302" s="793">
        <f t="shared" si="253"/>
        <v>1235</v>
      </c>
      <c r="AZ302" s="818">
        <f t="shared" si="254"/>
        <v>6272</v>
      </c>
      <c r="BA302" s="818">
        <f t="shared" si="255"/>
        <v>6728</v>
      </c>
    </row>
    <row r="303" spans="1:53" ht="15" customHeight="1" x14ac:dyDescent="0.25">
      <c r="A303" s="842" t="s">
        <v>133</v>
      </c>
      <c r="B303" s="843" t="s">
        <v>1286</v>
      </c>
      <c r="C303" s="778">
        <f t="shared" si="211"/>
        <v>9.5000000000000001E-2</v>
      </c>
      <c r="D303" s="844">
        <v>10</v>
      </c>
      <c r="E303" s="844" t="s">
        <v>1207</v>
      </c>
      <c r="F303" s="845">
        <v>44028</v>
      </c>
      <c r="G303" s="781">
        <f t="shared" si="212"/>
        <v>44028</v>
      </c>
      <c r="H303" s="781">
        <f t="shared" si="213"/>
        <v>47678</v>
      </c>
      <c r="I303" s="1359">
        <v>16254.2</v>
      </c>
      <c r="J303" s="805">
        <f t="shared" si="214"/>
        <v>812.71</v>
      </c>
      <c r="K303" s="1404"/>
      <c r="L303" s="1410">
        <v>0</v>
      </c>
      <c r="M303" s="1410">
        <v>0</v>
      </c>
      <c r="N303" s="1410">
        <v>0</v>
      </c>
      <c r="O303" s="1410">
        <v>0</v>
      </c>
      <c r="P303" s="1410">
        <v>0</v>
      </c>
      <c r="Q303" s="1410">
        <v>0</v>
      </c>
      <c r="R303" s="1410">
        <v>0</v>
      </c>
      <c r="S303" s="1410">
        <v>0</v>
      </c>
      <c r="T303" s="1410">
        <v>0</v>
      </c>
      <c r="U303" s="1410">
        <v>0</v>
      </c>
      <c r="V303" s="1410">
        <v>0</v>
      </c>
      <c r="W303" s="1410">
        <v>0</v>
      </c>
      <c r="X303" s="1410">
        <v>0</v>
      </c>
      <c r="Y303" s="805">
        <f t="shared" si="227"/>
        <v>16254.2</v>
      </c>
      <c r="Z303" s="805">
        <f t="shared" si="228"/>
        <v>259</v>
      </c>
      <c r="AA303" s="805">
        <f t="shared" si="229"/>
        <v>1096</v>
      </c>
      <c r="AB303" s="805">
        <f t="shared" si="230"/>
        <v>1096</v>
      </c>
      <c r="AC303" s="1360">
        <f t="shared" si="231"/>
        <v>15158.2</v>
      </c>
      <c r="AD303" s="1412">
        <f t="shared" si="232"/>
        <v>15158.2</v>
      </c>
      <c r="AE303" s="793">
        <f t="shared" si="233"/>
        <v>16254.2</v>
      </c>
      <c r="AF303" s="793">
        <f t="shared" si="234"/>
        <v>365</v>
      </c>
      <c r="AG303" s="793">
        <f t="shared" si="235"/>
        <v>1544</v>
      </c>
      <c r="AH303" s="805">
        <f t="shared" si="236"/>
        <v>2640</v>
      </c>
      <c r="AI303" s="805">
        <f t="shared" si="237"/>
        <v>13614.2</v>
      </c>
      <c r="AJ303" s="793">
        <f t="shared" si="238"/>
        <v>13614.2</v>
      </c>
      <c r="AK303" s="793">
        <f t="shared" si="239"/>
        <v>16254.2</v>
      </c>
      <c r="AL303" s="793">
        <f t="shared" si="240"/>
        <v>365</v>
      </c>
      <c r="AM303" s="793">
        <f t="shared" si="241"/>
        <v>1544</v>
      </c>
      <c r="AN303" s="805">
        <f t="shared" si="242"/>
        <v>4184</v>
      </c>
      <c r="AO303" s="805">
        <f t="shared" si="243"/>
        <v>12070.2</v>
      </c>
      <c r="AP303" s="818">
        <f t="shared" si="244"/>
        <v>12070.2</v>
      </c>
      <c r="AQ303" s="818">
        <f t="shared" si="245"/>
        <v>16254.2</v>
      </c>
      <c r="AR303" s="818">
        <f t="shared" si="246"/>
        <v>366</v>
      </c>
      <c r="AS303" s="818">
        <f t="shared" si="247"/>
        <v>1548</v>
      </c>
      <c r="AT303" s="818">
        <f t="shared" si="248"/>
        <v>5732</v>
      </c>
      <c r="AU303" s="818">
        <f t="shared" si="249"/>
        <v>10522.2</v>
      </c>
      <c r="AV303" s="793">
        <f t="shared" si="250"/>
        <v>10522.2</v>
      </c>
      <c r="AW303" s="793">
        <f t="shared" si="251"/>
        <v>16254.2</v>
      </c>
      <c r="AX303" s="793">
        <f t="shared" si="252"/>
        <v>365</v>
      </c>
      <c r="AY303" s="793">
        <f t="shared" si="253"/>
        <v>1544</v>
      </c>
      <c r="AZ303" s="818">
        <f t="shared" si="254"/>
        <v>7276</v>
      </c>
      <c r="BA303" s="818">
        <f t="shared" si="255"/>
        <v>8978.2000000000007</v>
      </c>
    </row>
    <row r="304" spans="1:53" ht="15" customHeight="1" x14ac:dyDescent="0.25">
      <c r="A304" s="842" t="s">
        <v>133</v>
      </c>
      <c r="B304" s="843" t="s">
        <v>1287</v>
      </c>
      <c r="C304" s="778">
        <f t="shared" si="211"/>
        <v>9.5000000000000001E-2</v>
      </c>
      <c r="D304" s="844">
        <v>10</v>
      </c>
      <c r="E304" s="844" t="s">
        <v>1207</v>
      </c>
      <c r="F304" s="845">
        <v>44184</v>
      </c>
      <c r="G304" s="781">
        <f t="shared" si="212"/>
        <v>44184</v>
      </c>
      <c r="H304" s="781">
        <f t="shared" si="213"/>
        <v>47834</v>
      </c>
      <c r="I304" s="1359">
        <v>48156</v>
      </c>
      <c r="J304" s="805">
        <f t="shared" si="214"/>
        <v>2407.8000000000002</v>
      </c>
      <c r="K304" s="1404"/>
      <c r="L304" s="1410">
        <v>0</v>
      </c>
      <c r="M304" s="1410">
        <v>0</v>
      </c>
      <c r="N304" s="1410">
        <v>0</v>
      </c>
      <c r="O304" s="1410">
        <v>0</v>
      </c>
      <c r="P304" s="1410">
        <v>0</v>
      </c>
      <c r="Q304" s="1410">
        <v>0</v>
      </c>
      <c r="R304" s="1410">
        <v>0</v>
      </c>
      <c r="S304" s="1410">
        <v>0</v>
      </c>
      <c r="T304" s="1410">
        <v>0</v>
      </c>
      <c r="U304" s="1410">
        <v>0</v>
      </c>
      <c r="V304" s="1410">
        <v>0</v>
      </c>
      <c r="W304" s="1410">
        <v>0</v>
      </c>
      <c r="X304" s="1410">
        <v>0</v>
      </c>
      <c r="Y304" s="805">
        <f t="shared" si="227"/>
        <v>48156</v>
      </c>
      <c r="Z304" s="805">
        <f t="shared" si="228"/>
        <v>103</v>
      </c>
      <c r="AA304" s="805">
        <f t="shared" si="229"/>
        <v>1291</v>
      </c>
      <c r="AB304" s="805">
        <f t="shared" si="230"/>
        <v>1291</v>
      </c>
      <c r="AC304" s="1360">
        <f t="shared" si="231"/>
        <v>46865</v>
      </c>
      <c r="AD304" s="1412">
        <f t="shared" si="232"/>
        <v>46865</v>
      </c>
      <c r="AE304" s="793">
        <f t="shared" si="233"/>
        <v>48156</v>
      </c>
      <c r="AF304" s="793">
        <f t="shared" si="234"/>
        <v>365</v>
      </c>
      <c r="AG304" s="793">
        <f t="shared" si="235"/>
        <v>4575</v>
      </c>
      <c r="AH304" s="805">
        <f t="shared" si="236"/>
        <v>5866</v>
      </c>
      <c r="AI304" s="805">
        <f t="shared" si="237"/>
        <v>42290</v>
      </c>
      <c r="AJ304" s="793">
        <f t="shared" si="238"/>
        <v>42290</v>
      </c>
      <c r="AK304" s="793">
        <f t="shared" si="239"/>
        <v>48156</v>
      </c>
      <c r="AL304" s="793">
        <f t="shared" si="240"/>
        <v>365</v>
      </c>
      <c r="AM304" s="793">
        <f t="shared" si="241"/>
        <v>4575</v>
      </c>
      <c r="AN304" s="805">
        <f t="shared" si="242"/>
        <v>10441</v>
      </c>
      <c r="AO304" s="805">
        <f t="shared" si="243"/>
        <v>37715</v>
      </c>
      <c r="AP304" s="818">
        <f t="shared" si="244"/>
        <v>37715</v>
      </c>
      <c r="AQ304" s="818">
        <f t="shared" si="245"/>
        <v>48156</v>
      </c>
      <c r="AR304" s="818">
        <f t="shared" si="246"/>
        <v>366</v>
      </c>
      <c r="AS304" s="818">
        <f t="shared" si="247"/>
        <v>4587</v>
      </c>
      <c r="AT304" s="818">
        <f t="shared" si="248"/>
        <v>15028</v>
      </c>
      <c r="AU304" s="818">
        <f t="shared" si="249"/>
        <v>33128</v>
      </c>
      <c r="AV304" s="793">
        <f t="shared" si="250"/>
        <v>33128</v>
      </c>
      <c r="AW304" s="793">
        <f t="shared" si="251"/>
        <v>48156</v>
      </c>
      <c r="AX304" s="793">
        <f t="shared" si="252"/>
        <v>365</v>
      </c>
      <c r="AY304" s="793">
        <f t="shared" si="253"/>
        <v>4575</v>
      </c>
      <c r="AZ304" s="818">
        <f t="shared" si="254"/>
        <v>19603</v>
      </c>
      <c r="BA304" s="818">
        <f t="shared" si="255"/>
        <v>28553</v>
      </c>
    </row>
    <row r="305" spans="1:53" ht="15" customHeight="1" x14ac:dyDescent="0.25">
      <c r="A305" s="842" t="s">
        <v>133</v>
      </c>
      <c r="B305" s="843" t="s">
        <v>1288</v>
      </c>
      <c r="C305" s="778">
        <f t="shared" si="211"/>
        <v>9.5000000000000001E-2</v>
      </c>
      <c r="D305" s="844">
        <v>10</v>
      </c>
      <c r="E305" s="844" t="s">
        <v>1207</v>
      </c>
      <c r="F305" s="845">
        <v>44204</v>
      </c>
      <c r="G305" s="781">
        <f t="shared" si="212"/>
        <v>44204</v>
      </c>
      <c r="H305" s="781">
        <f t="shared" si="213"/>
        <v>47854</v>
      </c>
      <c r="I305" s="1359">
        <v>61000</v>
      </c>
      <c r="J305" s="805">
        <f t="shared" si="214"/>
        <v>3050</v>
      </c>
      <c r="K305" s="1404"/>
      <c r="L305" s="1410">
        <v>0</v>
      </c>
      <c r="M305" s="1410">
        <v>0</v>
      </c>
      <c r="N305" s="1410">
        <v>0</v>
      </c>
      <c r="O305" s="1410">
        <v>0</v>
      </c>
      <c r="P305" s="1410">
        <v>0</v>
      </c>
      <c r="Q305" s="1410">
        <v>0</v>
      </c>
      <c r="R305" s="1410">
        <v>0</v>
      </c>
      <c r="S305" s="1410">
        <v>0</v>
      </c>
      <c r="T305" s="1410">
        <v>0</v>
      </c>
      <c r="U305" s="1410">
        <v>0</v>
      </c>
      <c r="V305" s="1410">
        <v>0</v>
      </c>
      <c r="W305" s="1410">
        <v>0</v>
      </c>
      <c r="X305" s="1410">
        <f>W305</f>
        <v>0</v>
      </c>
      <c r="Y305" s="805">
        <f t="shared" si="227"/>
        <v>61000</v>
      </c>
      <c r="Z305" s="805">
        <f t="shared" si="228"/>
        <v>83</v>
      </c>
      <c r="AA305" s="805">
        <f t="shared" si="229"/>
        <v>1318</v>
      </c>
      <c r="AB305" s="805">
        <f t="shared" si="230"/>
        <v>1318</v>
      </c>
      <c r="AC305" s="1360">
        <f t="shared" si="231"/>
        <v>59682</v>
      </c>
      <c r="AD305" s="1412">
        <f t="shared" si="232"/>
        <v>59682</v>
      </c>
      <c r="AE305" s="793">
        <f t="shared" si="233"/>
        <v>61000</v>
      </c>
      <c r="AF305" s="793">
        <f t="shared" si="234"/>
        <v>365</v>
      </c>
      <c r="AG305" s="793">
        <f t="shared" si="235"/>
        <v>5795</v>
      </c>
      <c r="AH305" s="805">
        <f t="shared" si="236"/>
        <v>7113</v>
      </c>
      <c r="AI305" s="805">
        <f t="shared" si="237"/>
        <v>53887</v>
      </c>
      <c r="AJ305" s="793">
        <f t="shared" si="238"/>
        <v>53887</v>
      </c>
      <c r="AK305" s="793">
        <f t="shared" si="239"/>
        <v>61000</v>
      </c>
      <c r="AL305" s="793">
        <f t="shared" si="240"/>
        <v>365</v>
      </c>
      <c r="AM305" s="793">
        <f t="shared" si="241"/>
        <v>5795</v>
      </c>
      <c r="AN305" s="805">
        <f t="shared" si="242"/>
        <v>12908</v>
      </c>
      <c r="AO305" s="805">
        <f t="shared" si="243"/>
        <v>48092</v>
      </c>
      <c r="AP305" s="818">
        <f t="shared" si="244"/>
        <v>48092</v>
      </c>
      <c r="AQ305" s="818">
        <f t="shared" si="245"/>
        <v>61000</v>
      </c>
      <c r="AR305" s="818">
        <f t="shared" si="246"/>
        <v>366</v>
      </c>
      <c r="AS305" s="818">
        <f t="shared" si="247"/>
        <v>5811</v>
      </c>
      <c r="AT305" s="818">
        <f t="shared" si="248"/>
        <v>18719</v>
      </c>
      <c r="AU305" s="818">
        <f t="shared" si="249"/>
        <v>42281</v>
      </c>
      <c r="AV305" s="793">
        <f t="shared" si="250"/>
        <v>42281</v>
      </c>
      <c r="AW305" s="793">
        <f t="shared" si="251"/>
        <v>61000</v>
      </c>
      <c r="AX305" s="793">
        <f t="shared" si="252"/>
        <v>365</v>
      </c>
      <c r="AY305" s="793">
        <f t="shared" si="253"/>
        <v>5795</v>
      </c>
      <c r="AZ305" s="818">
        <f t="shared" si="254"/>
        <v>24514</v>
      </c>
      <c r="BA305" s="818">
        <f t="shared" si="255"/>
        <v>36486</v>
      </c>
    </row>
    <row r="306" spans="1:53" ht="15" customHeight="1" x14ac:dyDescent="0.25">
      <c r="A306" s="842" t="s">
        <v>133</v>
      </c>
      <c r="B306" s="843" t="s">
        <v>1289</v>
      </c>
      <c r="C306" s="778">
        <f t="shared" si="211"/>
        <v>9.5000000000000001E-2</v>
      </c>
      <c r="D306" s="844">
        <v>10</v>
      </c>
      <c r="E306" s="844" t="s">
        <v>1207</v>
      </c>
      <c r="F306" s="845">
        <v>44249</v>
      </c>
      <c r="G306" s="781">
        <f t="shared" si="212"/>
        <v>44249</v>
      </c>
      <c r="H306" s="781">
        <f t="shared" si="213"/>
        <v>47899</v>
      </c>
      <c r="I306" s="1359">
        <v>22600</v>
      </c>
      <c r="J306" s="805">
        <f t="shared" si="214"/>
        <v>1130</v>
      </c>
      <c r="K306" s="1404"/>
      <c r="L306" s="1410">
        <v>0</v>
      </c>
      <c r="M306" s="1410">
        <v>0</v>
      </c>
      <c r="N306" s="1410">
        <v>0</v>
      </c>
      <c r="O306" s="1410">
        <v>0</v>
      </c>
      <c r="P306" s="1410">
        <v>0</v>
      </c>
      <c r="Q306" s="1410">
        <v>0</v>
      </c>
      <c r="R306" s="1410">
        <v>0</v>
      </c>
      <c r="S306" s="1410">
        <v>0</v>
      </c>
      <c r="T306" s="1410">
        <v>0</v>
      </c>
      <c r="U306" s="1410">
        <v>0</v>
      </c>
      <c r="V306" s="1410">
        <v>0</v>
      </c>
      <c r="W306" s="1410">
        <v>0</v>
      </c>
      <c r="X306" s="1410">
        <f>W306</f>
        <v>0</v>
      </c>
      <c r="Y306" s="805">
        <f t="shared" si="227"/>
        <v>22600</v>
      </c>
      <c r="Z306" s="805">
        <f t="shared" si="228"/>
        <v>38</v>
      </c>
      <c r="AA306" s="805">
        <f t="shared" si="229"/>
        <v>224</v>
      </c>
      <c r="AB306" s="805">
        <f t="shared" si="230"/>
        <v>224</v>
      </c>
      <c r="AC306" s="1360">
        <f t="shared" si="231"/>
        <v>22376</v>
      </c>
      <c r="AD306" s="1412">
        <f t="shared" si="232"/>
        <v>22376</v>
      </c>
      <c r="AE306" s="793">
        <f t="shared" si="233"/>
        <v>22600</v>
      </c>
      <c r="AF306" s="793">
        <f t="shared" si="234"/>
        <v>365</v>
      </c>
      <c r="AG306" s="793">
        <f t="shared" si="235"/>
        <v>2147</v>
      </c>
      <c r="AH306" s="805">
        <f t="shared" si="236"/>
        <v>2371</v>
      </c>
      <c r="AI306" s="805">
        <f t="shared" si="237"/>
        <v>20229</v>
      </c>
      <c r="AJ306" s="793">
        <f t="shared" si="238"/>
        <v>20229</v>
      </c>
      <c r="AK306" s="793">
        <f t="shared" si="239"/>
        <v>22600</v>
      </c>
      <c r="AL306" s="793">
        <f t="shared" si="240"/>
        <v>365</v>
      </c>
      <c r="AM306" s="793">
        <f t="shared" si="241"/>
        <v>2147</v>
      </c>
      <c r="AN306" s="805">
        <f t="shared" si="242"/>
        <v>4518</v>
      </c>
      <c r="AO306" s="805">
        <f t="shared" si="243"/>
        <v>18082</v>
      </c>
      <c r="AP306" s="818">
        <f t="shared" si="244"/>
        <v>18082</v>
      </c>
      <c r="AQ306" s="818">
        <f t="shared" si="245"/>
        <v>22600</v>
      </c>
      <c r="AR306" s="818">
        <f t="shared" si="246"/>
        <v>366</v>
      </c>
      <c r="AS306" s="818">
        <f t="shared" si="247"/>
        <v>2153</v>
      </c>
      <c r="AT306" s="818">
        <f t="shared" si="248"/>
        <v>6671</v>
      </c>
      <c r="AU306" s="818">
        <f t="shared" si="249"/>
        <v>15929</v>
      </c>
      <c r="AV306" s="793">
        <f t="shared" si="250"/>
        <v>15929</v>
      </c>
      <c r="AW306" s="793">
        <f t="shared" si="251"/>
        <v>22600</v>
      </c>
      <c r="AX306" s="793">
        <f t="shared" si="252"/>
        <v>365</v>
      </c>
      <c r="AY306" s="793">
        <f t="shared" si="253"/>
        <v>2147</v>
      </c>
      <c r="AZ306" s="818">
        <f t="shared" si="254"/>
        <v>8818</v>
      </c>
      <c r="BA306" s="818">
        <f t="shared" si="255"/>
        <v>13782</v>
      </c>
    </row>
    <row r="307" spans="1:53" ht="15" customHeight="1" x14ac:dyDescent="0.25">
      <c r="A307" s="842" t="s">
        <v>133</v>
      </c>
      <c r="B307" s="843" t="s">
        <v>1289</v>
      </c>
      <c r="C307" s="778">
        <f t="shared" si="211"/>
        <v>9.5000000000000001E-2</v>
      </c>
      <c r="D307" s="844">
        <v>10</v>
      </c>
      <c r="E307" s="844" t="s">
        <v>1207</v>
      </c>
      <c r="F307" s="845">
        <v>44258</v>
      </c>
      <c r="G307" s="781">
        <f t="shared" si="212"/>
        <v>44258</v>
      </c>
      <c r="H307" s="781">
        <f t="shared" si="213"/>
        <v>47908</v>
      </c>
      <c r="I307" s="1359">
        <v>16000</v>
      </c>
      <c r="J307" s="805">
        <f t="shared" si="214"/>
        <v>800</v>
      </c>
      <c r="K307" s="1404"/>
      <c r="L307" s="1410">
        <v>0</v>
      </c>
      <c r="M307" s="1410">
        <v>0</v>
      </c>
      <c r="N307" s="1410">
        <v>0</v>
      </c>
      <c r="O307" s="1410">
        <v>0</v>
      </c>
      <c r="P307" s="1410">
        <v>0</v>
      </c>
      <c r="Q307" s="1410">
        <v>0</v>
      </c>
      <c r="R307" s="1410">
        <v>0</v>
      </c>
      <c r="S307" s="1410">
        <v>0</v>
      </c>
      <c r="T307" s="1410">
        <v>0</v>
      </c>
      <c r="U307" s="1410">
        <v>0</v>
      </c>
      <c r="V307" s="1410">
        <v>0</v>
      </c>
      <c r="W307" s="1410">
        <v>0</v>
      </c>
      <c r="X307" s="1410">
        <f>W307</f>
        <v>0</v>
      </c>
      <c r="Y307" s="805">
        <f t="shared" si="227"/>
        <v>16000</v>
      </c>
      <c r="Z307" s="805">
        <f t="shared" si="228"/>
        <v>29</v>
      </c>
      <c r="AA307" s="805">
        <f t="shared" si="229"/>
        <v>121</v>
      </c>
      <c r="AB307" s="805">
        <f t="shared" si="230"/>
        <v>121</v>
      </c>
      <c r="AC307" s="1360">
        <f t="shared" si="231"/>
        <v>15879</v>
      </c>
      <c r="AD307" s="1412">
        <f t="shared" si="232"/>
        <v>15879</v>
      </c>
      <c r="AE307" s="793">
        <f t="shared" si="233"/>
        <v>16000</v>
      </c>
      <c r="AF307" s="793">
        <f t="shared" si="234"/>
        <v>365</v>
      </c>
      <c r="AG307" s="793">
        <f t="shared" si="235"/>
        <v>1520</v>
      </c>
      <c r="AH307" s="805">
        <f t="shared" si="236"/>
        <v>1641</v>
      </c>
      <c r="AI307" s="805">
        <f t="shared" si="237"/>
        <v>14359</v>
      </c>
      <c r="AJ307" s="793">
        <f t="shared" si="238"/>
        <v>14359</v>
      </c>
      <c r="AK307" s="793">
        <f t="shared" si="239"/>
        <v>16000</v>
      </c>
      <c r="AL307" s="793">
        <f t="shared" si="240"/>
        <v>365</v>
      </c>
      <c r="AM307" s="793">
        <f t="shared" si="241"/>
        <v>1520</v>
      </c>
      <c r="AN307" s="805">
        <f t="shared" si="242"/>
        <v>3161</v>
      </c>
      <c r="AO307" s="805">
        <f t="shared" si="243"/>
        <v>12839</v>
      </c>
      <c r="AP307" s="818">
        <f t="shared" si="244"/>
        <v>12839</v>
      </c>
      <c r="AQ307" s="818">
        <f t="shared" si="245"/>
        <v>16000</v>
      </c>
      <c r="AR307" s="818">
        <f t="shared" si="246"/>
        <v>366</v>
      </c>
      <c r="AS307" s="818">
        <f t="shared" si="247"/>
        <v>1524</v>
      </c>
      <c r="AT307" s="818">
        <f t="shared" si="248"/>
        <v>4685</v>
      </c>
      <c r="AU307" s="818">
        <f t="shared" si="249"/>
        <v>11315</v>
      </c>
      <c r="AV307" s="793">
        <f t="shared" si="250"/>
        <v>11315</v>
      </c>
      <c r="AW307" s="793">
        <f t="shared" si="251"/>
        <v>16000</v>
      </c>
      <c r="AX307" s="793">
        <f t="shared" si="252"/>
        <v>365</v>
      </c>
      <c r="AY307" s="793">
        <f t="shared" si="253"/>
        <v>1520</v>
      </c>
      <c r="AZ307" s="818">
        <f t="shared" si="254"/>
        <v>6205</v>
      </c>
      <c r="BA307" s="818">
        <f t="shared" si="255"/>
        <v>9795</v>
      </c>
    </row>
    <row r="308" spans="1:53" ht="15" customHeight="1" x14ac:dyDescent="0.25">
      <c r="A308" s="842" t="s">
        <v>133</v>
      </c>
      <c r="B308" s="843" t="s">
        <v>1289</v>
      </c>
      <c r="C308" s="778">
        <f t="shared" si="211"/>
        <v>9.5000000000000001E-2</v>
      </c>
      <c r="D308" s="844">
        <v>10</v>
      </c>
      <c r="E308" s="844" t="s">
        <v>1207</v>
      </c>
      <c r="F308" s="845">
        <v>44286</v>
      </c>
      <c r="G308" s="781">
        <f t="shared" si="212"/>
        <v>44286</v>
      </c>
      <c r="H308" s="781">
        <f t="shared" si="213"/>
        <v>47936</v>
      </c>
      <c r="I308" s="1359">
        <v>38500</v>
      </c>
      <c r="J308" s="805">
        <f t="shared" si="214"/>
        <v>1925</v>
      </c>
      <c r="K308" s="1404"/>
      <c r="L308" s="1410">
        <v>0</v>
      </c>
      <c r="M308" s="1410">
        <v>0</v>
      </c>
      <c r="N308" s="1410">
        <v>0</v>
      </c>
      <c r="O308" s="1410">
        <v>0</v>
      </c>
      <c r="P308" s="1410">
        <v>0</v>
      </c>
      <c r="Q308" s="1410">
        <v>0</v>
      </c>
      <c r="R308" s="1410">
        <v>0</v>
      </c>
      <c r="S308" s="1410">
        <v>0</v>
      </c>
      <c r="T308" s="1410">
        <v>0</v>
      </c>
      <c r="U308" s="1410">
        <v>0</v>
      </c>
      <c r="V308" s="1410">
        <v>0</v>
      </c>
      <c r="W308" s="1410">
        <v>0</v>
      </c>
      <c r="X308" s="1410">
        <f>W308</f>
        <v>0</v>
      </c>
      <c r="Y308" s="805">
        <f t="shared" si="227"/>
        <v>38500</v>
      </c>
      <c r="Z308" s="805">
        <f t="shared" si="228"/>
        <v>365</v>
      </c>
      <c r="AA308" s="805">
        <f t="shared" si="229"/>
        <v>3658</v>
      </c>
      <c r="AB308" s="805">
        <f t="shared" si="230"/>
        <v>3658</v>
      </c>
      <c r="AC308" s="1360">
        <f t="shared" si="231"/>
        <v>34842</v>
      </c>
      <c r="AD308" s="1412">
        <f t="shared" si="232"/>
        <v>34842</v>
      </c>
      <c r="AE308" s="793">
        <f t="shared" si="233"/>
        <v>38500</v>
      </c>
      <c r="AF308" s="793">
        <f t="shared" si="234"/>
        <v>365</v>
      </c>
      <c r="AG308" s="793">
        <f t="shared" si="235"/>
        <v>3658</v>
      </c>
      <c r="AH308" s="805">
        <f t="shared" si="236"/>
        <v>7316</v>
      </c>
      <c r="AI308" s="805">
        <f t="shared" si="237"/>
        <v>31184</v>
      </c>
      <c r="AJ308" s="793">
        <f t="shared" si="238"/>
        <v>31184</v>
      </c>
      <c r="AK308" s="793">
        <f t="shared" si="239"/>
        <v>38500</v>
      </c>
      <c r="AL308" s="793">
        <f t="shared" si="240"/>
        <v>365</v>
      </c>
      <c r="AM308" s="793">
        <f t="shared" si="241"/>
        <v>3658</v>
      </c>
      <c r="AN308" s="805">
        <f t="shared" si="242"/>
        <v>10974</v>
      </c>
      <c r="AO308" s="805">
        <f t="shared" si="243"/>
        <v>27526</v>
      </c>
      <c r="AP308" s="818">
        <f t="shared" si="244"/>
        <v>27526</v>
      </c>
      <c r="AQ308" s="818">
        <f t="shared" si="245"/>
        <v>38500</v>
      </c>
      <c r="AR308" s="818">
        <f t="shared" si="246"/>
        <v>366</v>
      </c>
      <c r="AS308" s="818">
        <f t="shared" si="247"/>
        <v>3668</v>
      </c>
      <c r="AT308" s="818">
        <f t="shared" si="248"/>
        <v>14642</v>
      </c>
      <c r="AU308" s="818">
        <f t="shared" si="249"/>
        <v>23858</v>
      </c>
      <c r="AV308" s="793">
        <f t="shared" si="250"/>
        <v>23858</v>
      </c>
      <c r="AW308" s="793">
        <f t="shared" si="251"/>
        <v>38500</v>
      </c>
      <c r="AX308" s="793">
        <f t="shared" si="252"/>
        <v>365</v>
      </c>
      <c r="AY308" s="793">
        <f t="shared" si="253"/>
        <v>3658</v>
      </c>
      <c r="AZ308" s="818">
        <f t="shared" si="254"/>
        <v>18300</v>
      </c>
      <c r="BA308" s="818">
        <f t="shared" si="255"/>
        <v>20200</v>
      </c>
    </row>
    <row r="309" spans="1:53" ht="15" customHeight="1" x14ac:dyDescent="0.25">
      <c r="A309" s="842" t="s">
        <v>133</v>
      </c>
      <c r="B309" s="843" t="s">
        <v>1290</v>
      </c>
      <c r="C309" s="778">
        <f t="shared" si="211"/>
        <v>9.5000000000000001E-2</v>
      </c>
      <c r="D309" s="844">
        <v>10</v>
      </c>
      <c r="E309" s="844" t="s">
        <v>723</v>
      </c>
      <c r="F309" s="845">
        <v>44435</v>
      </c>
      <c r="G309" s="781">
        <f t="shared" si="212"/>
        <v>44435</v>
      </c>
      <c r="H309" s="781">
        <f t="shared" si="213"/>
        <v>48085</v>
      </c>
      <c r="I309" s="1359">
        <f>106535</f>
        <v>106535</v>
      </c>
      <c r="J309" s="805">
        <f t="shared" si="214"/>
        <v>5326.75</v>
      </c>
      <c r="K309" s="1404"/>
      <c r="L309" s="1410">
        <v>0</v>
      </c>
      <c r="M309" s="1410">
        <v>0</v>
      </c>
      <c r="N309" s="1410">
        <v>0</v>
      </c>
      <c r="O309" s="1410">
        <v>0</v>
      </c>
      <c r="P309" s="1410">
        <v>0</v>
      </c>
      <c r="Q309" s="1410">
        <v>0</v>
      </c>
      <c r="R309" s="1410">
        <v>0</v>
      </c>
      <c r="S309" s="1410">
        <v>0</v>
      </c>
      <c r="T309" s="1410">
        <v>0</v>
      </c>
      <c r="U309" s="1410">
        <v>0</v>
      </c>
      <c r="V309" s="1410">
        <v>0</v>
      </c>
      <c r="W309" s="1410">
        <v>0</v>
      </c>
      <c r="X309" s="1410">
        <v>0</v>
      </c>
      <c r="Y309" s="1410">
        <v>0</v>
      </c>
      <c r="Z309" s="1410">
        <v>0</v>
      </c>
      <c r="AA309" s="1410">
        <v>0</v>
      </c>
      <c r="AB309" s="1410">
        <v>0</v>
      </c>
      <c r="AC309" s="1410">
        <v>0</v>
      </c>
      <c r="AD309" s="1412">
        <f t="shared" si="232"/>
        <v>0</v>
      </c>
      <c r="AE309" s="793">
        <f t="shared" si="233"/>
        <v>106535</v>
      </c>
      <c r="AF309" s="793">
        <f t="shared" si="234"/>
        <v>217</v>
      </c>
      <c r="AG309" s="793">
        <f t="shared" si="235"/>
        <v>6017</v>
      </c>
      <c r="AH309" s="805">
        <f t="shared" si="236"/>
        <v>6017</v>
      </c>
      <c r="AI309" s="805">
        <f t="shared" si="237"/>
        <v>100518</v>
      </c>
      <c r="AJ309" s="793">
        <f t="shared" si="238"/>
        <v>100518</v>
      </c>
      <c r="AK309" s="793">
        <f t="shared" si="239"/>
        <v>106535</v>
      </c>
      <c r="AL309" s="793">
        <f t="shared" si="240"/>
        <v>365</v>
      </c>
      <c r="AM309" s="793">
        <f t="shared" si="241"/>
        <v>10121</v>
      </c>
      <c r="AN309" s="805">
        <f t="shared" si="242"/>
        <v>16138</v>
      </c>
      <c r="AO309" s="805">
        <f t="shared" si="243"/>
        <v>90397</v>
      </c>
      <c r="AP309" s="818">
        <f t="shared" si="244"/>
        <v>90397</v>
      </c>
      <c r="AQ309" s="818">
        <f t="shared" si="245"/>
        <v>106535</v>
      </c>
      <c r="AR309" s="818">
        <f t="shared" si="246"/>
        <v>366</v>
      </c>
      <c r="AS309" s="818">
        <f t="shared" si="247"/>
        <v>10149</v>
      </c>
      <c r="AT309" s="818">
        <f t="shared" si="248"/>
        <v>26287</v>
      </c>
      <c r="AU309" s="818">
        <f t="shared" si="249"/>
        <v>80248</v>
      </c>
      <c r="AV309" s="793">
        <f t="shared" si="250"/>
        <v>80248</v>
      </c>
      <c r="AW309" s="793">
        <f t="shared" si="251"/>
        <v>106535</v>
      </c>
      <c r="AX309" s="793">
        <f t="shared" si="252"/>
        <v>365</v>
      </c>
      <c r="AY309" s="793">
        <f t="shared" si="253"/>
        <v>10121</v>
      </c>
      <c r="AZ309" s="818">
        <f t="shared" si="254"/>
        <v>36408</v>
      </c>
      <c r="BA309" s="818">
        <f t="shared" si="255"/>
        <v>70127</v>
      </c>
    </row>
    <row r="310" spans="1:53" ht="15" customHeight="1" x14ac:dyDescent="0.25">
      <c r="A310" s="842" t="s">
        <v>133</v>
      </c>
      <c r="B310" s="843" t="s">
        <v>1270</v>
      </c>
      <c r="C310" s="778">
        <f t="shared" si="211"/>
        <v>9.5000000000000001E-2</v>
      </c>
      <c r="D310" s="844">
        <v>10</v>
      </c>
      <c r="E310" s="844" t="s">
        <v>723</v>
      </c>
      <c r="F310" s="845">
        <v>44301</v>
      </c>
      <c r="G310" s="781">
        <f t="shared" si="212"/>
        <v>44301</v>
      </c>
      <c r="H310" s="781">
        <f t="shared" si="213"/>
        <v>47951</v>
      </c>
      <c r="I310" s="1359">
        <v>38000</v>
      </c>
      <c r="J310" s="805">
        <f t="shared" si="214"/>
        <v>1900</v>
      </c>
      <c r="K310" s="1404"/>
      <c r="L310" s="1410">
        <v>0</v>
      </c>
      <c r="M310" s="1410">
        <v>0</v>
      </c>
      <c r="N310" s="1410">
        <v>0</v>
      </c>
      <c r="O310" s="1410">
        <v>0</v>
      </c>
      <c r="P310" s="1410">
        <v>0</v>
      </c>
      <c r="Q310" s="1410">
        <v>0</v>
      </c>
      <c r="R310" s="1410">
        <v>0</v>
      </c>
      <c r="S310" s="1410">
        <v>0</v>
      </c>
      <c r="T310" s="1410">
        <v>0</v>
      </c>
      <c r="U310" s="1410">
        <v>0</v>
      </c>
      <c r="V310" s="1410">
        <v>0</v>
      </c>
      <c r="W310" s="1410">
        <v>0</v>
      </c>
      <c r="X310" s="1410">
        <v>0</v>
      </c>
      <c r="Y310" s="1410">
        <v>0</v>
      </c>
      <c r="Z310" s="1410">
        <v>0</v>
      </c>
      <c r="AA310" s="1410">
        <v>0</v>
      </c>
      <c r="AB310" s="1410">
        <v>0</v>
      </c>
      <c r="AC310" s="1410">
        <v>0</v>
      </c>
      <c r="AD310" s="1412">
        <f t="shared" si="232"/>
        <v>0</v>
      </c>
      <c r="AE310" s="793">
        <f t="shared" si="233"/>
        <v>38000</v>
      </c>
      <c r="AF310" s="793">
        <f t="shared" si="234"/>
        <v>351</v>
      </c>
      <c r="AG310" s="793">
        <f t="shared" si="235"/>
        <v>3472</v>
      </c>
      <c r="AH310" s="805">
        <f t="shared" si="236"/>
        <v>3472</v>
      </c>
      <c r="AI310" s="805">
        <f t="shared" si="237"/>
        <v>34528</v>
      </c>
      <c r="AJ310" s="793">
        <f t="shared" si="238"/>
        <v>34528</v>
      </c>
      <c r="AK310" s="793">
        <f t="shared" si="239"/>
        <v>38000</v>
      </c>
      <c r="AL310" s="793">
        <f t="shared" si="240"/>
        <v>365</v>
      </c>
      <c r="AM310" s="793">
        <f t="shared" si="241"/>
        <v>3610</v>
      </c>
      <c r="AN310" s="805">
        <f t="shared" si="242"/>
        <v>7082</v>
      </c>
      <c r="AO310" s="805">
        <f t="shared" si="243"/>
        <v>30918</v>
      </c>
      <c r="AP310" s="818">
        <f t="shared" si="244"/>
        <v>30918</v>
      </c>
      <c r="AQ310" s="818">
        <f t="shared" si="245"/>
        <v>38000</v>
      </c>
      <c r="AR310" s="818">
        <f t="shared" si="246"/>
        <v>366</v>
      </c>
      <c r="AS310" s="818">
        <f t="shared" si="247"/>
        <v>3620</v>
      </c>
      <c r="AT310" s="818">
        <f t="shared" si="248"/>
        <v>10702</v>
      </c>
      <c r="AU310" s="818">
        <f t="shared" si="249"/>
        <v>27298</v>
      </c>
      <c r="AV310" s="793">
        <f t="shared" si="250"/>
        <v>27298</v>
      </c>
      <c r="AW310" s="793">
        <f t="shared" si="251"/>
        <v>38000</v>
      </c>
      <c r="AX310" s="793">
        <f t="shared" si="252"/>
        <v>365</v>
      </c>
      <c r="AY310" s="793">
        <f t="shared" si="253"/>
        <v>3610</v>
      </c>
      <c r="AZ310" s="818">
        <f t="shared" si="254"/>
        <v>14312</v>
      </c>
      <c r="BA310" s="818">
        <f t="shared" si="255"/>
        <v>23688</v>
      </c>
    </row>
    <row r="311" spans="1:53" ht="15" customHeight="1" x14ac:dyDescent="0.25">
      <c r="A311" s="842" t="s">
        <v>133</v>
      </c>
      <c r="B311" s="843" t="s">
        <v>1290</v>
      </c>
      <c r="C311" s="778">
        <f t="shared" si="211"/>
        <v>9.5000000000000001E-2</v>
      </c>
      <c r="D311" s="844">
        <v>10</v>
      </c>
      <c r="E311" s="844" t="s">
        <v>723</v>
      </c>
      <c r="F311" s="845">
        <v>44463</v>
      </c>
      <c r="G311" s="781">
        <f t="shared" si="212"/>
        <v>44463</v>
      </c>
      <c r="H311" s="781">
        <f t="shared" si="213"/>
        <v>48113</v>
      </c>
      <c r="I311" s="1359">
        <v>77418</v>
      </c>
      <c r="J311" s="805">
        <f t="shared" si="214"/>
        <v>3870.9</v>
      </c>
      <c r="K311" s="1404"/>
      <c r="L311" s="1410">
        <v>0</v>
      </c>
      <c r="M311" s="1410">
        <v>0</v>
      </c>
      <c r="N311" s="1410">
        <v>0</v>
      </c>
      <c r="O311" s="1410">
        <v>0</v>
      </c>
      <c r="P311" s="1410">
        <v>0</v>
      </c>
      <c r="Q311" s="1410">
        <v>0</v>
      </c>
      <c r="R311" s="1410">
        <v>0</v>
      </c>
      <c r="S311" s="1410">
        <v>0</v>
      </c>
      <c r="T311" s="1410">
        <v>0</v>
      </c>
      <c r="U311" s="1410">
        <v>0</v>
      </c>
      <c r="V311" s="1410">
        <v>0</v>
      </c>
      <c r="W311" s="1410">
        <v>0</v>
      </c>
      <c r="X311" s="1410">
        <v>0</v>
      </c>
      <c r="Y311" s="1410">
        <v>0</v>
      </c>
      <c r="Z311" s="1410">
        <v>0</v>
      </c>
      <c r="AA311" s="1410">
        <v>0</v>
      </c>
      <c r="AB311" s="1410">
        <v>0</v>
      </c>
      <c r="AC311" s="1410">
        <v>0</v>
      </c>
      <c r="AD311" s="1412">
        <f t="shared" si="232"/>
        <v>0</v>
      </c>
      <c r="AE311" s="793">
        <f t="shared" si="233"/>
        <v>77418</v>
      </c>
      <c r="AF311" s="793">
        <f t="shared" si="234"/>
        <v>189</v>
      </c>
      <c r="AG311" s="793">
        <f t="shared" si="235"/>
        <v>3808</v>
      </c>
      <c r="AH311" s="805">
        <f t="shared" si="236"/>
        <v>3808</v>
      </c>
      <c r="AI311" s="805">
        <f t="shared" si="237"/>
        <v>73610</v>
      </c>
      <c r="AJ311" s="793">
        <f t="shared" si="238"/>
        <v>73610</v>
      </c>
      <c r="AK311" s="793">
        <f t="shared" si="239"/>
        <v>77418</v>
      </c>
      <c r="AL311" s="793">
        <f t="shared" si="240"/>
        <v>365</v>
      </c>
      <c r="AM311" s="793">
        <f t="shared" si="241"/>
        <v>7355</v>
      </c>
      <c r="AN311" s="805">
        <f t="shared" si="242"/>
        <v>11163</v>
      </c>
      <c r="AO311" s="805">
        <f t="shared" si="243"/>
        <v>66255</v>
      </c>
      <c r="AP311" s="818">
        <f t="shared" si="244"/>
        <v>66255</v>
      </c>
      <c r="AQ311" s="818">
        <f t="shared" si="245"/>
        <v>77418</v>
      </c>
      <c r="AR311" s="818">
        <f t="shared" si="246"/>
        <v>366</v>
      </c>
      <c r="AS311" s="818">
        <f t="shared" si="247"/>
        <v>7375</v>
      </c>
      <c r="AT311" s="818">
        <f t="shared" si="248"/>
        <v>18538</v>
      </c>
      <c r="AU311" s="818">
        <f t="shared" si="249"/>
        <v>58880</v>
      </c>
      <c r="AV311" s="793">
        <f t="shared" si="250"/>
        <v>58880</v>
      </c>
      <c r="AW311" s="793">
        <f t="shared" si="251"/>
        <v>77418</v>
      </c>
      <c r="AX311" s="793">
        <f t="shared" si="252"/>
        <v>365</v>
      </c>
      <c r="AY311" s="793">
        <f t="shared" si="253"/>
        <v>7355</v>
      </c>
      <c r="AZ311" s="818">
        <f t="shared" si="254"/>
        <v>25893</v>
      </c>
      <c r="BA311" s="818">
        <f t="shared" si="255"/>
        <v>51525</v>
      </c>
    </row>
    <row r="312" spans="1:53" ht="15" customHeight="1" x14ac:dyDescent="0.25">
      <c r="A312" s="842" t="s">
        <v>133</v>
      </c>
      <c r="B312" s="843" t="s">
        <v>1277</v>
      </c>
      <c r="C312" s="778">
        <f t="shared" si="211"/>
        <v>9.5000000000000001E-2</v>
      </c>
      <c r="D312" s="844">
        <v>10</v>
      </c>
      <c r="E312" s="844" t="s">
        <v>723</v>
      </c>
      <c r="F312" s="845">
        <v>44417</v>
      </c>
      <c r="G312" s="781">
        <f t="shared" si="212"/>
        <v>44417</v>
      </c>
      <c r="H312" s="781">
        <f t="shared" si="213"/>
        <v>48067</v>
      </c>
      <c r="I312" s="1359">
        <f>3600+58200</f>
        <v>61800</v>
      </c>
      <c r="J312" s="805">
        <f t="shared" si="214"/>
        <v>3090</v>
      </c>
      <c r="K312" s="1404"/>
      <c r="L312" s="1410">
        <v>0</v>
      </c>
      <c r="M312" s="1410">
        <v>0</v>
      </c>
      <c r="N312" s="1410">
        <v>0</v>
      </c>
      <c r="O312" s="1410">
        <v>0</v>
      </c>
      <c r="P312" s="1410">
        <v>0</v>
      </c>
      <c r="Q312" s="1410">
        <v>0</v>
      </c>
      <c r="R312" s="1410">
        <v>0</v>
      </c>
      <c r="S312" s="1410">
        <v>0</v>
      </c>
      <c r="T312" s="1410">
        <v>0</v>
      </c>
      <c r="U312" s="1410">
        <v>0</v>
      </c>
      <c r="V312" s="1410">
        <v>0</v>
      </c>
      <c r="W312" s="1410">
        <v>0</v>
      </c>
      <c r="X312" s="1410">
        <v>0</v>
      </c>
      <c r="Y312" s="1410">
        <v>0</v>
      </c>
      <c r="Z312" s="1410">
        <v>0</v>
      </c>
      <c r="AA312" s="1410">
        <v>0</v>
      </c>
      <c r="AB312" s="1410">
        <v>0</v>
      </c>
      <c r="AC312" s="1410">
        <v>0</v>
      </c>
      <c r="AD312" s="1412">
        <f t="shared" si="232"/>
        <v>0</v>
      </c>
      <c r="AE312" s="793">
        <f t="shared" si="233"/>
        <v>61800</v>
      </c>
      <c r="AF312" s="793">
        <f t="shared" si="234"/>
        <v>235</v>
      </c>
      <c r="AG312" s="793">
        <f t="shared" si="235"/>
        <v>3780</v>
      </c>
      <c r="AH312" s="805">
        <f t="shared" si="236"/>
        <v>3780</v>
      </c>
      <c r="AI312" s="805">
        <f t="shared" si="237"/>
        <v>58020</v>
      </c>
      <c r="AJ312" s="793">
        <f t="shared" si="238"/>
        <v>58020</v>
      </c>
      <c r="AK312" s="793">
        <f t="shared" si="239"/>
        <v>61800</v>
      </c>
      <c r="AL312" s="793">
        <f t="shared" si="240"/>
        <v>365</v>
      </c>
      <c r="AM312" s="793">
        <f t="shared" si="241"/>
        <v>5871</v>
      </c>
      <c r="AN312" s="805">
        <f t="shared" si="242"/>
        <v>9651</v>
      </c>
      <c r="AO312" s="805">
        <f t="shared" si="243"/>
        <v>52149</v>
      </c>
      <c r="AP312" s="818">
        <f t="shared" si="244"/>
        <v>52149</v>
      </c>
      <c r="AQ312" s="818">
        <f t="shared" si="245"/>
        <v>61800</v>
      </c>
      <c r="AR312" s="818">
        <f t="shared" si="246"/>
        <v>366</v>
      </c>
      <c r="AS312" s="818">
        <f t="shared" si="247"/>
        <v>5887</v>
      </c>
      <c r="AT312" s="818">
        <f t="shared" si="248"/>
        <v>15538</v>
      </c>
      <c r="AU312" s="818">
        <f t="shared" si="249"/>
        <v>46262</v>
      </c>
      <c r="AV312" s="793">
        <f t="shared" si="250"/>
        <v>46262</v>
      </c>
      <c r="AW312" s="793">
        <f t="shared" si="251"/>
        <v>61800</v>
      </c>
      <c r="AX312" s="793">
        <f t="shared" si="252"/>
        <v>365</v>
      </c>
      <c r="AY312" s="793">
        <f t="shared" si="253"/>
        <v>5871</v>
      </c>
      <c r="AZ312" s="818">
        <f t="shared" si="254"/>
        <v>21409</v>
      </c>
      <c r="BA312" s="818">
        <f t="shared" si="255"/>
        <v>40391</v>
      </c>
    </row>
    <row r="313" spans="1:53" ht="15" customHeight="1" x14ac:dyDescent="0.25">
      <c r="A313" s="842" t="s">
        <v>133</v>
      </c>
      <c r="B313" s="843" t="s">
        <v>1289</v>
      </c>
      <c r="C313" s="778">
        <f t="shared" si="211"/>
        <v>9.5000000000000001E-2</v>
      </c>
      <c r="D313" s="844">
        <v>10</v>
      </c>
      <c r="E313" s="844" t="s">
        <v>723</v>
      </c>
      <c r="F313" s="845">
        <v>44505</v>
      </c>
      <c r="G313" s="781">
        <f t="shared" si="212"/>
        <v>44505</v>
      </c>
      <c r="H313" s="781">
        <f t="shared" si="213"/>
        <v>48155</v>
      </c>
      <c r="I313" s="1359">
        <f>75359.8+509796</f>
        <v>585155.80000000005</v>
      </c>
      <c r="J313" s="805">
        <f t="shared" si="214"/>
        <v>29257.790000000005</v>
      </c>
      <c r="K313" s="1404"/>
      <c r="L313" s="1410">
        <v>0</v>
      </c>
      <c r="M313" s="1410">
        <v>0</v>
      </c>
      <c r="N313" s="1410">
        <v>0</v>
      </c>
      <c r="O313" s="1410">
        <v>0</v>
      </c>
      <c r="P313" s="1410">
        <v>0</v>
      </c>
      <c r="Q313" s="1410">
        <v>0</v>
      </c>
      <c r="R313" s="1410">
        <v>0</v>
      </c>
      <c r="S313" s="1410">
        <v>0</v>
      </c>
      <c r="T313" s="1410">
        <v>0</v>
      </c>
      <c r="U313" s="1410">
        <v>0</v>
      </c>
      <c r="V313" s="1410">
        <v>0</v>
      </c>
      <c r="W313" s="1410">
        <v>0</v>
      </c>
      <c r="X313" s="1410">
        <v>0</v>
      </c>
      <c r="Y313" s="1410">
        <v>0</v>
      </c>
      <c r="Z313" s="1410">
        <v>0</v>
      </c>
      <c r="AA313" s="1410">
        <v>0</v>
      </c>
      <c r="AB313" s="1410">
        <v>0</v>
      </c>
      <c r="AC313" s="1410">
        <v>0</v>
      </c>
      <c r="AD313" s="1412">
        <f t="shared" si="232"/>
        <v>0</v>
      </c>
      <c r="AE313" s="793">
        <f t="shared" si="233"/>
        <v>585155.80000000005</v>
      </c>
      <c r="AF313" s="793">
        <f t="shared" si="234"/>
        <v>147</v>
      </c>
      <c r="AG313" s="793">
        <f t="shared" si="235"/>
        <v>22388</v>
      </c>
      <c r="AH313" s="805">
        <f t="shared" si="236"/>
        <v>22388</v>
      </c>
      <c r="AI313" s="805">
        <f t="shared" si="237"/>
        <v>562767.80000000005</v>
      </c>
      <c r="AJ313" s="793">
        <f t="shared" si="238"/>
        <v>562767.80000000005</v>
      </c>
      <c r="AK313" s="793">
        <f t="shared" si="239"/>
        <v>585155.80000000005</v>
      </c>
      <c r="AL313" s="793">
        <f t="shared" si="240"/>
        <v>365</v>
      </c>
      <c r="AM313" s="793">
        <f t="shared" si="241"/>
        <v>55590</v>
      </c>
      <c r="AN313" s="805">
        <f t="shared" si="242"/>
        <v>77978</v>
      </c>
      <c r="AO313" s="805">
        <f t="shared" si="243"/>
        <v>507177.80000000005</v>
      </c>
      <c r="AP313" s="818">
        <f t="shared" si="244"/>
        <v>507177.80000000005</v>
      </c>
      <c r="AQ313" s="818">
        <f t="shared" si="245"/>
        <v>585155.80000000005</v>
      </c>
      <c r="AR313" s="818">
        <f t="shared" si="246"/>
        <v>366</v>
      </c>
      <c r="AS313" s="818">
        <f t="shared" si="247"/>
        <v>55742</v>
      </c>
      <c r="AT313" s="818">
        <f t="shared" si="248"/>
        <v>133720</v>
      </c>
      <c r="AU313" s="818">
        <f t="shared" si="249"/>
        <v>451435.80000000005</v>
      </c>
      <c r="AV313" s="793">
        <f t="shared" si="250"/>
        <v>451435.80000000005</v>
      </c>
      <c r="AW313" s="793">
        <f t="shared" si="251"/>
        <v>585155.80000000005</v>
      </c>
      <c r="AX313" s="793">
        <f t="shared" si="252"/>
        <v>365</v>
      </c>
      <c r="AY313" s="793">
        <f t="shared" si="253"/>
        <v>55590</v>
      </c>
      <c r="AZ313" s="818">
        <f t="shared" si="254"/>
        <v>189310</v>
      </c>
      <c r="BA313" s="818">
        <f t="shared" si="255"/>
        <v>395845.80000000005</v>
      </c>
    </row>
    <row r="314" spans="1:53" ht="15" customHeight="1" x14ac:dyDescent="0.25">
      <c r="A314" s="842" t="s">
        <v>133</v>
      </c>
      <c r="B314" s="843" t="s">
        <v>1289</v>
      </c>
      <c r="C314" s="778">
        <f t="shared" si="211"/>
        <v>9.5000000000000001E-2</v>
      </c>
      <c r="D314" s="844">
        <v>10</v>
      </c>
      <c r="E314" s="844" t="s">
        <v>723</v>
      </c>
      <c r="F314" s="845">
        <v>44550</v>
      </c>
      <c r="G314" s="781">
        <f t="shared" si="212"/>
        <v>44550</v>
      </c>
      <c r="H314" s="781">
        <f t="shared" si="213"/>
        <v>48200</v>
      </c>
      <c r="I314" s="1359">
        <f>33262+295000</f>
        <v>328262</v>
      </c>
      <c r="J314" s="805">
        <f t="shared" si="214"/>
        <v>16413.100000000002</v>
      </c>
      <c r="K314" s="1404"/>
      <c r="L314" s="1410">
        <v>0</v>
      </c>
      <c r="M314" s="1410">
        <v>0</v>
      </c>
      <c r="N314" s="1410">
        <v>0</v>
      </c>
      <c r="O314" s="1410">
        <v>0</v>
      </c>
      <c r="P314" s="1410">
        <v>0</v>
      </c>
      <c r="Q314" s="1410">
        <v>0</v>
      </c>
      <c r="R314" s="1410">
        <v>0</v>
      </c>
      <c r="S314" s="1410">
        <v>0</v>
      </c>
      <c r="T314" s="1410">
        <v>0</v>
      </c>
      <c r="U314" s="1410">
        <v>0</v>
      </c>
      <c r="V314" s="1410">
        <v>0</v>
      </c>
      <c r="W314" s="1410">
        <v>0</v>
      </c>
      <c r="X314" s="1410">
        <v>0</v>
      </c>
      <c r="Y314" s="1410">
        <v>0</v>
      </c>
      <c r="Z314" s="1410">
        <v>0</v>
      </c>
      <c r="AA314" s="1410">
        <v>0</v>
      </c>
      <c r="AB314" s="1410">
        <v>0</v>
      </c>
      <c r="AC314" s="1410">
        <v>0</v>
      </c>
      <c r="AD314" s="1412">
        <f t="shared" si="232"/>
        <v>0</v>
      </c>
      <c r="AE314" s="793">
        <f t="shared" si="233"/>
        <v>328262</v>
      </c>
      <c r="AF314" s="793">
        <f t="shared" si="234"/>
        <v>102</v>
      </c>
      <c r="AG314" s="793">
        <f t="shared" si="235"/>
        <v>8715</v>
      </c>
      <c r="AH314" s="805">
        <f t="shared" si="236"/>
        <v>8715</v>
      </c>
      <c r="AI314" s="805">
        <f t="shared" si="237"/>
        <v>319547</v>
      </c>
      <c r="AJ314" s="793">
        <f t="shared" si="238"/>
        <v>319547</v>
      </c>
      <c r="AK314" s="793">
        <f t="shared" si="239"/>
        <v>328262</v>
      </c>
      <c r="AL314" s="793">
        <f t="shared" si="240"/>
        <v>365</v>
      </c>
      <c r="AM314" s="793">
        <f t="shared" si="241"/>
        <v>31185</v>
      </c>
      <c r="AN314" s="805">
        <f t="shared" si="242"/>
        <v>39900</v>
      </c>
      <c r="AO314" s="805">
        <f t="shared" si="243"/>
        <v>288362</v>
      </c>
      <c r="AP314" s="818">
        <f t="shared" si="244"/>
        <v>288362</v>
      </c>
      <c r="AQ314" s="818">
        <f t="shared" si="245"/>
        <v>328262</v>
      </c>
      <c r="AR314" s="818">
        <f t="shared" si="246"/>
        <v>366</v>
      </c>
      <c r="AS314" s="818">
        <f t="shared" si="247"/>
        <v>31270</v>
      </c>
      <c r="AT314" s="818">
        <f t="shared" si="248"/>
        <v>71170</v>
      </c>
      <c r="AU314" s="818">
        <f t="shared" si="249"/>
        <v>257092</v>
      </c>
      <c r="AV314" s="793">
        <f t="shared" si="250"/>
        <v>257092</v>
      </c>
      <c r="AW314" s="793">
        <f t="shared" si="251"/>
        <v>328262</v>
      </c>
      <c r="AX314" s="793">
        <f t="shared" si="252"/>
        <v>365</v>
      </c>
      <c r="AY314" s="793">
        <f t="shared" si="253"/>
        <v>31185</v>
      </c>
      <c r="AZ314" s="818">
        <f t="shared" si="254"/>
        <v>102355</v>
      </c>
      <c r="BA314" s="818">
        <f t="shared" si="255"/>
        <v>225907</v>
      </c>
    </row>
    <row r="315" spans="1:53" ht="15" customHeight="1" x14ac:dyDescent="0.25">
      <c r="A315" s="842" t="s">
        <v>133</v>
      </c>
      <c r="B315" s="843" t="s">
        <v>1291</v>
      </c>
      <c r="C315" s="778">
        <f t="shared" si="211"/>
        <v>9.5000000000000001E-2</v>
      </c>
      <c r="D315" s="844">
        <v>10</v>
      </c>
      <c r="E315" s="844" t="s">
        <v>723</v>
      </c>
      <c r="F315" s="845">
        <v>44475</v>
      </c>
      <c r="G315" s="781">
        <f t="shared" si="212"/>
        <v>44475</v>
      </c>
      <c r="H315" s="781">
        <f t="shared" si="213"/>
        <v>48125</v>
      </c>
      <c r="I315" s="1359">
        <f>215836+251385+75950</f>
        <v>543171</v>
      </c>
      <c r="J315" s="805">
        <f t="shared" si="214"/>
        <v>27158.550000000003</v>
      </c>
      <c r="K315" s="1404"/>
      <c r="L315" s="1410">
        <v>0</v>
      </c>
      <c r="M315" s="1410">
        <v>0</v>
      </c>
      <c r="N315" s="1410">
        <v>0</v>
      </c>
      <c r="O315" s="1410">
        <v>0</v>
      </c>
      <c r="P315" s="1410">
        <v>0</v>
      </c>
      <c r="Q315" s="1410">
        <v>0</v>
      </c>
      <c r="R315" s="1410">
        <v>0</v>
      </c>
      <c r="S315" s="1410">
        <v>0</v>
      </c>
      <c r="T315" s="1410">
        <v>0</v>
      </c>
      <c r="U315" s="1410">
        <v>0</v>
      </c>
      <c r="V315" s="1410">
        <v>0</v>
      </c>
      <c r="W315" s="1410">
        <v>0</v>
      </c>
      <c r="X315" s="1410">
        <v>0</v>
      </c>
      <c r="Y315" s="1410">
        <v>0</v>
      </c>
      <c r="Z315" s="1410">
        <v>0</v>
      </c>
      <c r="AA315" s="1410">
        <v>0</v>
      </c>
      <c r="AB315" s="1410">
        <v>0</v>
      </c>
      <c r="AC315" s="1410">
        <v>0</v>
      </c>
      <c r="AD315" s="1412">
        <f t="shared" si="232"/>
        <v>0</v>
      </c>
      <c r="AE315" s="793">
        <f t="shared" si="233"/>
        <v>543171</v>
      </c>
      <c r="AF315" s="793">
        <f t="shared" si="234"/>
        <v>177</v>
      </c>
      <c r="AG315" s="793">
        <f t="shared" si="235"/>
        <v>25023</v>
      </c>
      <c r="AH315" s="805">
        <f t="shared" si="236"/>
        <v>25023</v>
      </c>
      <c r="AI315" s="805">
        <f t="shared" si="237"/>
        <v>518148</v>
      </c>
      <c r="AJ315" s="793">
        <f t="shared" si="238"/>
        <v>518148</v>
      </c>
      <c r="AK315" s="793">
        <f t="shared" si="239"/>
        <v>543171</v>
      </c>
      <c r="AL315" s="793">
        <f t="shared" si="240"/>
        <v>365</v>
      </c>
      <c r="AM315" s="793">
        <f t="shared" si="241"/>
        <v>51601</v>
      </c>
      <c r="AN315" s="805">
        <f t="shared" si="242"/>
        <v>76624</v>
      </c>
      <c r="AO315" s="805">
        <f t="shared" si="243"/>
        <v>466547</v>
      </c>
      <c r="AP315" s="818">
        <f t="shared" si="244"/>
        <v>466547</v>
      </c>
      <c r="AQ315" s="818">
        <f t="shared" si="245"/>
        <v>543171</v>
      </c>
      <c r="AR315" s="818">
        <f t="shared" si="246"/>
        <v>366</v>
      </c>
      <c r="AS315" s="818">
        <f t="shared" si="247"/>
        <v>51743</v>
      </c>
      <c r="AT315" s="818">
        <f t="shared" si="248"/>
        <v>128367</v>
      </c>
      <c r="AU315" s="818">
        <f t="shared" si="249"/>
        <v>414804</v>
      </c>
      <c r="AV315" s="793">
        <f t="shared" si="250"/>
        <v>414804</v>
      </c>
      <c r="AW315" s="793">
        <f t="shared" si="251"/>
        <v>543171</v>
      </c>
      <c r="AX315" s="793">
        <f t="shared" si="252"/>
        <v>365</v>
      </c>
      <c r="AY315" s="793">
        <f t="shared" si="253"/>
        <v>51601</v>
      </c>
      <c r="AZ315" s="818">
        <f t="shared" si="254"/>
        <v>179968</v>
      </c>
      <c r="BA315" s="818">
        <f t="shared" si="255"/>
        <v>363203</v>
      </c>
    </row>
    <row r="316" spans="1:53" ht="15" customHeight="1" thickBot="1" x14ac:dyDescent="0.3">
      <c r="A316" s="842" t="s">
        <v>133</v>
      </c>
      <c r="B316" s="843" t="s">
        <v>306</v>
      </c>
      <c r="C316" s="778">
        <f t="shared" si="211"/>
        <v>9.5000000000000001E-2</v>
      </c>
      <c r="D316" s="844">
        <v>10</v>
      </c>
      <c r="E316" s="844" t="s">
        <v>723</v>
      </c>
      <c r="F316" s="845">
        <v>44523</v>
      </c>
      <c r="G316" s="781">
        <f t="shared" si="212"/>
        <v>44523</v>
      </c>
      <c r="H316" s="781">
        <f t="shared" si="213"/>
        <v>48173</v>
      </c>
      <c r="I316" s="1359">
        <v>26980</v>
      </c>
      <c r="J316" s="805">
        <f t="shared" si="214"/>
        <v>1349</v>
      </c>
      <c r="K316" s="1404"/>
      <c r="L316" s="1413">
        <v>0</v>
      </c>
      <c r="M316" s="1413">
        <v>0</v>
      </c>
      <c r="N316" s="1413">
        <v>0</v>
      </c>
      <c r="O316" s="1413">
        <v>0</v>
      </c>
      <c r="P316" s="1413">
        <v>0</v>
      </c>
      <c r="Q316" s="1413">
        <v>0</v>
      </c>
      <c r="R316" s="1410">
        <v>0</v>
      </c>
      <c r="S316" s="1410">
        <v>0</v>
      </c>
      <c r="T316" s="1410">
        <v>0</v>
      </c>
      <c r="U316" s="1410">
        <v>0</v>
      </c>
      <c r="V316" s="1410">
        <v>0</v>
      </c>
      <c r="W316" s="1410">
        <v>0</v>
      </c>
      <c r="X316" s="1410">
        <v>0</v>
      </c>
      <c r="Y316" s="1410">
        <v>0</v>
      </c>
      <c r="Z316" s="1410">
        <v>0</v>
      </c>
      <c r="AA316" s="1410">
        <v>0</v>
      </c>
      <c r="AB316" s="1410">
        <v>0</v>
      </c>
      <c r="AC316" s="1410">
        <v>0</v>
      </c>
      <c r="AD316" s="1412">
        <f t="shared" si="232"/>
        <v>0</v>
      </c>
      <c r="AE316" s="793">
        <f t="shared" si="233"/>
        <v>26980</v>
      </c>
      <c r="AF316" s="793">
        <f t="shared" si="234"/>
        <v>129</v>
      </c>
      <c r="AG316" s="793">
        <f t="shared" si="235"/>
        <v>906</v>
      </c>
      <c r="AH316" s="805">
        <f t="shared" si="236"/>
        <v>906</v>
      </c>
      <c r="AI316" s="805">
        <f t="shared" si="237"/>
        <v>26074</v>
      </c>
      <c r="AJ316" s="793">
        <f t="shared" si="238"/>
        <v>26074</v>
      </c>
      <c r="AK316" s="793">
        <f t="shared" si="239"/>
        <v>26980</v>
      </c>
      <c r="AL316" s="793">
        <f t="shared" si="240"/>
        <v>365</v>
      </c>
      <c r="AM316" s="793">
        <f t="shared" si="241"/>
        <v>2563</v>
      </c>
      <c r="AN316" s="805">
        <f t="shared" si="242"/>
        <v>3469</v>
      </c>
      <c r="AO316" s="805">
        <f t="shared" si="243"/>
        <v>23511</v>
      </c>
      <c r="AP316" s="818">
        <f t="shared" si="244"/>
        <v>23511</v>
      </c>
      <c r="AQ316" s="818">
        <f t="shared" si="245"/>
        <v>26980</v>
      </c>
      <c r="AR316" s="818">
        <f t="shared" si="246"/>
        <v>366</v>
      </c>
      <c r="AS316" s="818">
        <f t="shared" si="247"/>
        <v>2570</v>
      </c>
      <c r="AT316" s="818">
        <f t="shared" si="248"/>
        <v>6039</v>
      </c>
      <c r="AU316" s="818">
        <f t="shared" si="249"/>
        <v>20941</v>
      </c>
      <c r="AV316" s="793">
        <f t="shared" si="250"/>
        <v>20941</v>
      </c>
      <c r="AW316" s="793">
        <f t="shared" si="251"/>
        <v>26980</v>
      </c>
      <c r="AX316" s="793">
        <f t="shared" si="252"/>
        <v>365</v>
      </c>
      <c r="AY316" s="793">
        <f t="shared" si="253"/>
        <v>2563</v>
      </c>
      <c r="AZ316" s="818">
        <f t="shared" si="254"/>
        <v>8602</v>
      </c>
      <c r="BA316" s="818">
        <f t="shared" si="255"/>
        <v>18378</v>
      </c>
    </row>
    <row r="317" spans="1:53" ht="15" customHeight="1" x14ac:dyDescent="0.25">
      <c r="A317" s="842" t="s">
        <v>133</v>
      </c>
      <c r="B317" s="918" t="s">
        <v>1292</v>
      </c>
      <c r="C317" s="778">
        <f t="shared" si="211"/>
        <v>9.5000000000000001E-2</v>
      </c>
      <c r="D317" s="844">
        <v>10</v>
      </c>
      <c r="E317" s="779" t="s">
        <v>1182</v>
      </c>
      <c r="F317" s="919">
        <v>43191</v>
      </c>
      <c r="G317" s="919">
        <v>43374</v>
      </c>
      <c r="H317" s="781">
        <f t="shared" si="213"/>
        <v>47024</v>
      </c>
      <c r="I317" s="1417">
        <v>954414</v>
      </c>
      <c r="J317" s="805">
        <f t="shared" si="214"/>
        <v>47720.700000000004</v>
      </c>
      <c r="K317" s="1404"/>
      <c r="L317" s="1418">
        <v>0</v>
      </c>
      <c r="M317" s="1419">
        <f>I317</f>
        <v>954414</v>
      </c>
      <c r="N317" s="1419">
        <f>IF(AND(F317&gt;$K$3,F317&lt;$L$3),$L$3-F317+1,IF(H317&lt;=$K$3,0,IF(H317&gt;$L$3,$L$3-$K$3,H317-$K$3)))</f>
        <v>365</v>
      </c>
      <c r="O317" s="1419">
        <f>ROUND(M317*C317*N317/365,0)</f>
        <v>90669</v>
      </c>
      <c r="P317" s="1419">
        <f>O317</f>
        <v>90669</v>
      </c>
      <c r="Q317" s="1420">
        <f>+M317-P317</f>
        <v>863745</v>
      </c>
      <c r="R317" s="1415">
        <f>+Q317</f>
        <v>863745</v>
      </c>
      <c r="S317" s="818">
        <f>I317</f>
        <v>954414</v>
      </c>
      <c r="T317" s="821">
        <f>IF(AND(F317&gt;$L$3,F317&lt;$R$3),$R$3-F317+1,IF(H317&lt;=$L$3,0,IF(H317&gt;$R$3,$R$3-$L$3,H317-$L$3)))</f>
        <v>366</v>
      </c>
      <c r="U317" s="821">
        <f>ROUND(S317*C317*T317/366,0)</f>
        <v>90669</v>
      </c>
      <c r="V317" s="818">
        <f>+P317+U317</f>
        <v>181338</v>
      </c>
      <c r="W317" s="1414">
        <f>+S317-V317</f>
        <v>773076</v>
      </c>
      <c r="X317" s="1413">
        <f>W317</f>
        <v>773076</v>
      </c>
      <c r="Y317" s="821">
        <f>I317</f>
        <v>954414</v>
      </c>
      <c r="Z317" s="821">
        <f>IF(AND(F317&gt;$R$3,F317&lt;$X$3),$X$3-F317+1,IF(H317&lt;=$R$3,0,IF(H317&gt;$X$3,$X$3-$R$3,H317-$R$3)))</f>
        <v>365</v>
      </c>
      <c r="AA317" s="821">
        <f>ROUND(Y317*C317*Z317/365,0)</f>
        <v>90669</v>
      </c>
      <c r="AB317" s="821">
        <f>+V317+AA317</f>
        <v>272007</v>
      </c>
      <c r="AC317" s="1416">
        <f>Y317-AB317</f>
        <v>682407</v>
      </c>
      <c r="AD317" s="817">
        <f t="shared" si="232"/>
        <v>682407</v>
      </c>
      <c r="AE317" s="818">
        <f t="shared" si="233"/>
        <v>954414</v>
      </c>
      <c r="AF317" s="818">
        <f t="shared" si="234"/>
        <v>365</v>
      </c>
      <c r="AG317" s="818">
        <f t="shared" si="235"/>
        <v>90669</v>
      </c>
      <c r="AH317" s="821">
        <f t="shared" si="236"/>
        <v>362676</v>
      </c>
      <c r="AI317" s="821">
        <f t="shared" si="237"/>
        <v>591738</v>
      </c>
      <c r="AJ317" s="818">
        <f t="shared" si="238"/>
        <v>591738</v>
      </c>
      <c r="AK317" s="818">
        <f t="shared" si="239"/>
        <v>954414</v>
      </c>
      <c r="AL317" s="818">
        <f t="shared" si="240"/>
        <v>365</v>
      </c>
      <c r="AM317" s="818">
        <f t="shared" si="241"/>
        <v>90669</v>
      </c>
      <c r="AN317" s="821">
        <f t="shared" si="242"/>
        <v>453345</v>
      </c>
      <c r="AO317" s="821">
        <f t="shared" si="243"/>
        <v>501069</v>
      </c>
      <c r="AP317" s="818">
        <f t="shared" si="244"/>
        <v>501069</v>
      </c>
      <c r="AQ317" s="818">
        <f t="shared" si="245"/>
        <v>954414</v>
      </c>
      <c r="AR317" s="818">
        <f t="shared" si="246"/>
        <v>366</v>
      </c>
      <c r="AS317" s="818">
        <f t="shared" si="247"/>
        <v>90918</v>
      </c>
      <c r="AT317" s="818">
        <f t="shared" si="248"/>
        <v>544263</v>
      </c>
      <c r="AU317" s="818">
        <f t="shared" si="249"/>
        <v>410151</v>
      </c>
      <c r="AV317" s="793">
        <f t="shared" si="250"/>
        <v>410151</v>
      </c>
      <c r="AW317" s="793">
        <f t="shared" si="251"/>
        <v>954414</v>
      </c>
      <c r="AX317" s="793">
        <f t="shared" si="252"/>
        <v>365</v>
      </c>
      <c r="AY317" s="793">
        <f t="shared" si="253"/>
        <v>90669</v>
      </c>
      <c r="AZ317" s="818">
        <f t="shared" si="254"/>
        <v>634932</v>
      </c>
      <c r="BA317" s="818">
        <f t="shared" si="255"/>
        <v>319482</v>
      </c>
    </row>
    <row r="318" spans="1:53" ht="15" customHeight="1" x14ac:dyDescent="0.25">
      <c r="A318" s="842" t="s">
        <v>133</v>
      </c>
      <c r="B318" s="852" t="s">
        <v>1293</v>
      </c>
      <c r="C318" s="778">
        <f t="shared" si="211"/>
        <v>9.5000000000000001E-2</v>
      </c>
      <c r="D318" s="844">
        <v>10</v>
      </c>
      <c r="E318" s="844" t="s">
        <v>677</v>
      </c>
      <c r="F318" s="853">
        <v>44664</v>
      </c>
      <c r="G318" s="781">
        <f t="shared" ref="G318:G341" si="256">F318</f>
        <v>44664</v>
      </c>
      <c r="H318" s="781">
        <f t="shared" si="213"/>
        <v>48314</v>
      </c>
      <c r="I318" s="1421">
        <v>6780</v>
      </c>
      <c r="J318" s="805">
        <f t="shared" si="214"/>
        <v>339</v>
      </c>
      <c r="K318" s="1404"/>
      <c r="L318" s="793">
        <v>0</v>
      </c>
      <c r="M318" s="793">
        <v>0</v>
      </c>
      <c r="N318" s="793">
        <v>0</v>
      </c>
      <c r="O318" s="793">
        <v>0</v>
      </c>
      <c r="P318" s="793">
        <v>0</v>
      </c>
      <c r="Q318" s="793">
        <v>0</v>
      </c>
      <c r="R318" s="793">
        <v>0</v>
      </c>
      <c r="S318" s="793">
        <v>0</v>
      </c>
      <c r="T318" s="793">
        <v>0</v>
      </c>
      <c r="U318" s="793">
        <v>0</v>
      </c>
      <c r="V318" s="793">
        <v>0</v>
      </c>
      <c r="W318" s="793">
        <v>0</v>
      </c>
      <c r="X318" s="793">
        <v>0</v>
      </c>
      <c r="Y318" s="793">
        <v>0</v>
      </c>
      <c r="Z318" s="793">
        <v>0</v>
      </c>
      <c r="AA318" s="793">
        <v>0</v>
      </c>
      <c r="AB318" s="793">
        <v>0</v>
      </c>
      <c r="AC318" s="793">
        <v>0</v>
      </c>
      <c r="AD318" s="793">
        <f t="shared" si="232"/>
        <v>0</v>
      </c>
      <c r="AE318" s="793">
        <v>0</v>
      </c>
      <c r="AF318" s="793">
        <v>0</v>
      </c>
      <c r="AG318" s="793">
        <v>0</v>
      </c>
      <c r="AH318" s="805">
        <v>0</v>
      </c>
      <c r="AI318" s="805">
        <v>0</v>
      </c>
      <c r="AJ318" s="793">
        <f t="shared" si="238"/>
        <v>0</v>
      </c>
      <c r="AK318" s="793">
        <f t="shared" si="239"/>
        <v>6780</v>
      </c>
      <c r="AL318" s="793">
        <f t="shared" si="240"/>
        <v>353</v>
      </c>
      <c r="AM318" s="793">
        <f t="shared" si="241"/>
        <v>623</v>
      </c>
      <c r="AN318" s="805">
        <f t="shared" si="242"/>
        <v>623</v>
      </c>
      <c r="AO318" s="805">
        <f t="shared" si="243"/>
        <v>6157</v>
      </c>
      <c r="AP318" s="818">
        <f t="shared" si="244"/>
        <v>6157</v>
      </c>
      <c r="AQ318" s="818">
        <f t="shared" si="245"/>
        <v>6780</v>
      </c>
      <c r="AR318" s="818">
        <f t="shared" si="246"/>
        <v>366</v>
      </c>
      <c r="AS318" s="818">
        <f t="shared" si="247"/>
        <v>646</v>
      </c>
      <c r="AT318" s="818">
        <f t="shared" si="248"/>
        <v>1269</v>
      </c>
      <c r="AU318" s="818">
        <f t="shared" si="249"/>
        <v>5511</v>
      </c>
      <c r="AV318" s="793">
        <f t="shared" si="250"/>
        <v>5511</v>
      </c>
      <c r="AW318" s="793">
        <f t="shared" si="251"/>
        <v>6780</v>
      </c>
      <c r="AX318" s="793">
        <f t="shared" si="252"/>
        <v>365</v>
      </c>
      <c r="AY318" s="793">
        <f t="shared" si="253"/>
        <v>644</v>
      </c>
      <c r="AZ318" s="818">
        <f t="shared" si="254"/>
        <v>1913</v>
      </c>
      <c r="BA318" s="818">
        <f t="shared" si="255"/>
        <v>4867</v>
      </c>
    </row>
    <row r="319" spans="1:53" ht="15" customHeight="1" x14ac:dyDescent="0.25">
      <c r="A319" s="842" t="s">
        <v>133</v>
      </c>
      <c r="B319" s="852" t="s">
        <v>1293</v>
      </c>
      <c r="C319" s="778">
        <f t="shared" si="211"/>
        <v>9.5000000000000001E-2</v>
      </c>
      <c r="D319" s="844">
        <v>10</v>
      </c>
      <c r="E319" s="844" t="s">
        <v>677</v>
      </c>
      <c r="F319" s="853">
        <v>44671</v>
      </c>
      <c r="G319" s="781">
        <f t="shared" si="256"/>
        <v>44671</v>
      </c>
      <c r="H319" s="781">
        <f t="shared" si="213"/>
        <v>48321</v>
      </c>
      <c r="I319" s="1383">
        <v>8200</v>
      </c>
      <c r="J319" s="805">
        <f t="shared" si="214"/>
        <v>410</v>
      </c>
      <c r="K319" s="1404"/>
      <c r="L319" s="793">
        <v>0</v>
      </c>
      <c r="M319" s="793">
        <v>0</v>
      </c>
      <c r="N319" s="793">
        <v>0</v>
      </c>
      <c r="O319" s="793">
        <v>0</v>
      </c>
      <c r="P319" s="793">
        <v>0</v>
      </c>
      <c r="Q319" s="793">
        <v>0</v>
      </c>
      <c r="R319" s="793"/>
      <c r="S319" s="793"/>
      <c r="T319" s="805"/>
      <c r="U319" s="805"/>
      <c r="V319" s="793"/>
      <c r="W319" s="793"/>
      <c r="X319" s="793"/>
      <c r="Y319" s="805"/>
      <c r="Z319" s="805"/>
      <c r="AA319" s="805"/>
      <c r="AB319" s="805"/>
      <c r="AC319" s="805"/>
      <c r="AD319" s="793"/>
      <c r="AE319" s="793"/>
      <c r="AF319" s="793"/>
      <c r="AG319" s="793"/>
      <c r="AH319" s="805"/>
      <c r="AI319" s="805"/>
      <c r="AJ319" s="793">
        <f t="shared" si="238"/>
        <v>0</v>
      </c>
      <c r="AK319" s="793">
        <f t="shared" si="239"/>
        <v>8200</v>
      </c>
      <c r="AL319" s="793">
        <f t="shared" si="240"/>
        <v>346</v>
      </c>
      <c r="AM319" s="793">
        <f t="shared" si="241"/>
        <v>738</v>
      </c>
      <c r="AN319" s="805">
        <f t="shared" si="242"/>
        <v>738</v>
      </c>
      <c r="AO319" s="805">
        <f t="shared" si="243"/>
        <v>7462</v>
      </c>
      <c r="AP319" s="818">
        <f t="shared" si="244"/>
        <v>7462</v>
      </c>
      <c r="AQ319" s="818">
        <f t="shared" si="245"/>
        <v>8200</v>
      </c>
      <c r="AR319" s="818">
        <f t="shared" si="246"/>
        <v>366</v>
      </c>
      <c r="AS319" s="818">
        <f t="shared" si="247"/>
        <v>781</v>
      </c>
      <c r="AT319" s="818">
        <f t="shared" si="248"/>
        <v>1519</v>
      </c>
      <c r="AU319" s="818">
        <f t="shared" si="249"/>
        <v>6681</v>
      </c>
      <c r="AV319" s="793">
        <f t="shared" si="250"/>
        <v>6681</v>
      </c>
      <c r="AW319" s="793">
        <f t="shared" si="251"/>
        <v>8200</v>
      </c>
      <c r="AX319" s="793">
        <f t="shared" si="252"/>
        <v>365</v>
      </c>
      <c r="AY319" s="793">
        <f t="shared" si="253"/>
        <v>779</v>
      </c>
      <c r="AZ319" s="818">
        <f t="shared" si="254"/>
        <v>2298</v>
      </c>
      <c r="BA319" s="818">
        <f t="shared" si="255"/>
        <v>5902</v>
      </c>
    </row>
    <row r="320" spans="1:53" ht="15" customHeight="1" x14ac:dyDescent="0.25">
      <c r="A320" s="842" t="s">
        <v>133</v>
      </c>
      <c r="B320" s="852" t="s">
        <v>1293</v>
      </c>
      <c r="C320" s="778">
        <f t="shared" si="211"/>
        <v>9.5000000000000001E-2</v>
      </c>
      <c r="D320" s="844">
        <v>10</v>
      </c>
      <c r="E320" s="844" t="s">
        <v>677</v>
      </c>
      <c r="F320" s="853">
        <v>44683</v>
      </c>
      <c r="G320" s="781">
        <f t="shared" si="256"/>
        <v>44683</v>
      </c>
      <c r="H320" s="781">
        <f t="shared" si="213"/>
        <v>48333</v>
      </c>
      <c r="I320" s="1383">
        <v>18500</v>
      </c>
      <c r="J320" s="805">
        <f t="shared" si="214"/>
        <v>925</v>
      </c>
      <c r="K320" s="1404"/>
      <c r="L320" s="793">
        <v>0</v>
      </c>
      <c r="M320" s="793">
        <v>0</v>
      </c>
      <c r="N320" s="793">
        <v>0</v>
      </c>
      <c r="O320" s="793">
        <v>0</v>
      </c>
      <c r="P320" s="793">
        <v>0</v>
      </c>
      <c r="Q320" s="793">
        <v>0</v>
      </c>
      <c r="R320" s="793"/>
      <c r="S320" s="793"/>
      <c r="T320" s="805"/>
      <c r="U320" s="805"/>
      <c r="V320" s="793"/>
      <c r="W320" s="793"/>
      <c r="X320" s="793"/>
      <c r="Y320" s="805"/>
      <c r="Z320" s="805"/>
      <c r="AA320" s="805"/>
      <c r="AB320" s="805"/>
      <c r="AC320" s="805"/>
      <c r="AD320" s="793"/>
      <c r="AE320" s="793"/>
      <c r="AF320" s="793"/>
      <c r="AG320" s="793"/>
      <c r="AH320" s="805"/>
      <c r="AI320" s="805"/>
      <c r="AJ320" s="793">
        <f t="shared" si="238"/>
        <v>0</v>
      </c>
      <c r="AK320" s="793">
        <f t="shared" si="239"/>
        <v>18500</v>
      </c>
      <c r="AL320" s="793">
        <f t="shared" si="240"/>
        <v>334</v>
      </c>
      <c r="AM320" s="793">
        <f t="shared" si="241"/>
        <v>1608</v>
      </c>
      <c r="AN320" s="805">
        <f t="shared" si="242"/>
        <v>1608</v>
      </c>
      <c r="AO320" s="805">
        <f t="shared" si="243"/>
        <v>16892</v>
      </c>
      <c r="AP320" s="818">
        <f t="shared" si="244"/>
        <v>16892</v>
      </c>
      <c r="AQ320" s="818">
        <f t="shared" si="245"/>
        <v>18500</v>
      </c>
      <c r="AR320" s="818">
        <f t="shared" si="246"/>
        <v>366</v>
      </c>
      <c r="AS320" s="818">
        <f t="shared" si="247"/>
        <v>1762</v>
      </c>
      <c r="AT320" s="818">
        <f t="shared" si="248"/>
        <v>3370</v>
      </c>
      <c r="AU320" s="818">
        <f t="shared" si="249"/>
        <v>15130</v>
      </c>
      <c r="AV320" s="793">
        <f t="shared" si="250"/>
        <v>15130</v>
      </c>
      <c r="AW320" s="793">
        <f t="shared" si="251"/>
        <v>18500</v>
      </c>
      <c r="AX320" s="793">
        <f t="shared" si="252"/>
        <v>365</v>
      </c>
      <c r="AY320" s="793">
        <f t="shared" si="253"/>
        <v>1758</v>
      </c>
      <c r="AZ320" s="818">
        <f t="shared" si="254"/>
        <v>5128</v>
      </c>
      <c r="BA320" s="818">
        <f t="shared" si="255"/>
        <v>13372</v>
      </c>
    </row>
    <row r="321" spans="1:53" ht="15" customHeight="1" x14ac:dyDescent="0.25">
      <c r="A321" s="842" t="s">
        <v>133</v>
      </c>
      <c r="B321" s="852" t="s">
        <v>1293</v>
      </c>
      <c r="C321" s="778">
        <f t="shared" si="211"/>
        <v>9.5000000000000001E-2</v>
      </c>
      <c r="D321" s="844">
        <v>10</v>
      </c>
      <c r="E321" s="844" t="s">
        <v>677</v>
      </c>
      <c r="F321" s="853">
        <v>44729</v>
      </c>
      <c r="G321" s="781">
        <f t="shared" si="256"/>
        <v>44729</v>
      </c>
      <c r="H321" s="781">
        <f t="shared" si="213"/>
        <v>48379</v>
      </c>
      <c r="I321" s="1383">
        <v>122900</v>
      </c>
      <c r="J321" s="805">
        <f t="shared" si="214"/>
        <v>6145</v>
      </c>
      <c r="K321" s="1404"/>
      <c r="L321" s="793">
        <v>0</v>
      </c>
      <c r="M321" s="793">
        <v>0</v>
      </c>
      <c r="N321" s="793">
        <v>0</v>
      </c>
      <c r="O321" s="793">
        <v>0</v>
      </c>
      <c r="P321" s="793">
        <v>0</v>
      </c>
      <c r="Q321" s="793">
        <v>0</v>
      </c>
      <c r="R321" s="793"/>
      <c r="S321" s="793"/>
      <c r="T321" s="805"/>
      <c r="U321" s="805"/>
      <c r="V321" s="793"/>
      <c r="W321" s="793"/>
      <c r="X321" s="793"/>
      <c r="Y321" s="805"/>
      <c r="Z321" s="805"/>
      <c r="AA321" s="805"/>
      <c r="AB321" s="805"/>
      <c r="AC321" s="805"/>
      <c r="AD321" s="793"/>
      <c r="AE321" s="793"/>
      <c r="AF321" s="793"/>
      <c r="AG321" s="793"/>
      <c r="AH321" s="805"/>
      <c r="AI321" s="805"/>
      <c r="AJ321" s="793">
        <f t="shared" si="238"/>
        <v>0</v>
      </c>
      <c r="AK321" s="793">
        <f t="shared" si="239"/>
        <v>122900</v>
      </c>
      <c r="AL321" s="793">
        <f t="shared" si="240"/>
        <v>288</v>
      </c>
      <c r="AM321" s="793">
        <f t="shared" si="241"/>
        <v>9212</v>
      </c>
      <c r="AN321" s="805">
        <f t="shared" si="242"/>
        <v>9212</v>
      </c>
      <c r="AO321" s="805">
        <f t="shared" si="243"/>
        <v>113688</v>
      </c>
      <c r="AP321" s="818">
        <f t="shared" si="244"/>
        <v>113688</v>
      </c>
      <c r="AQ321" s="818">
        <f t="shared" si="245"/>
        <v>122900</v>
      </c>
      <c r="AR321" s="818">
        <f t="shared" si="246"/>
        <v>366</v>
      </c>
      <c r="AS321" s="818">
        <f t="shared" si="247"/>
        <v>11707</v>
      </c>
      <c r="AT321" s="818">
        <f t="shared" si="248"/>
        <v>20919</v>
      </c>
      <c r="AU321" s="818">
        <f t="shared" si="249"/>
        <v>101981</v>
      </c>
      <c r="AV321" s="793">
        <f t="shared" si="250"/>
        <v>101981</v>
      </c>
      <c r="AW321" s="793">
        <f t="shared" si="251"/>
        <v>122900</v>
      </c>
      <c r="AX321" s="793">
        <f t="shared" si="252"/>
        <v>365</v>
      </c>
      <c r="AY321" s="793">
        <f t="shared" si="253"/>
        <v>11676</v>
      </c>
      <c r="AZ321" s="818">
        <f t="shared" si="254"/>
        <v>32595</v>
      </c>
      <c r="BA321" s="818">
        <f t="shared" si="255"/>
        <v>90305</v>
      </c>
    </row>
    <row r="322" spans="1:53" ht="15" customHeight="1" x14ac:dyDescent="0.25">
      <c r="A322" s="842" t="s">
        <v>133</v>
      </c>
      <c r="B322" s="852" t="s">
        <v>1293</v>
      </c>
      <c r="C322" s="778">
        <f t="shared" si="211"/>
        <v>9.5000000000000001E-2</v>
      </c>
      <c r="D322" s="844">
        <v>10</v>
      </c>
      <c r="E322" s="844" t="s">
        <v>677</v>
      </c>
      <c r="F322" s="853">
        <v>44781</v>
      </c>
      <c r="G322" s="781">
        <f t="shared" si="256"/>
        <v>44781</v>
      </c>
      <c r="H322" s="781">
        <f t="shared" si="213"/>
        <v>48431</v>
      </c>
      <c r="I322" s="1383">
        <v>7499</v>
      </c>
      <c r="J322" s="805">
        <f t="shared" si="214"/>
        <v>374.95000000000005</v>
      </c>
      <c r="K322" s="1404"/>
      <c r="L322" s="793">
        <v>0</v>
      </c>
      <c r="M322" s="793">
        <v>0</v>
      </c>
      <c r="N322" s="793">
        <v>0</v>
      </c>
      <c r="O322" s="793">
        <v>0</v>
      </c>
      <c r="P322" s="793">
        <v>0</v>
      </c>
      <c r="Q322" s="793">
        <v>0</v>
      </c>
      <c r="R322" s="793"/>
      <c r="S322" s="793"/>
      <c r="T322" s="805"/>
      <c r="U322" s="805"/>
      <c r="V322" s="793"/>
      <c r="W322" s="793"/>
      <c r="X322" s="793"/>
      <c r="Y322" s="805"/>
      <c r="Z322" s="805"/>
      <c r="AA322" s="805"/>
      <c r="AB322" s="805"/>
      <c r="AC322" s="805"/>
      <c r="AD322" s="793"/>
      <c r="AE322" s="793"/>
      <c r="AF322" s="793"/>
      <c r="AG322" s="793"/>
      <c r="AH322" s="805"/>
      <c r="AI322" s="805"/>
      <c r="AJ322" s="793">
        <f t="shared" si="238"/>
        <v>0</v>
      </c>
      <c r="AK322" s="793">
        <f t="shared" si="239"/>
        <v>7499</v>
      </c>
      <c r="AL322" s="793">
        <f t="shared" si="240"/>
        <v>236</v>
      </c>
      <c r="AM322" s="793">
        <f t="shared" si="241"/>
        <v>461</v>
      </c>
      <c r="AN322" s="805">
        <f t="shared" si="242"/>
        <v>461</v>
      </c>
      <c r="AO322" s="805">
        <f t="shared" si="243"/>
        <v>7038</v>
      </c>
      <c r="AP322" s="818">
        <f t="shared" si="244"/>
        <v>7038</v>
      </c>
      <c r="AQ322" s="818">
        <f t="shared" si="245"/>
        <v>7499</v>
      </c>
      <c r="AR322" s="818">
        <f t="shared" si="246"/>
        <v>366</v>
      </c>
      <c r="AS322" s="818">
        <f t="shared" si="247"/>
        <v>714</v>
      </c>
      <c r="AT322" s="818">
        <f t="shared" si="248"/>
        <v>1175</v>
      </c>
      <c r="AU322" s="818">
        <f t="shared" si="249"/>
        <v>6324</v>
      </c>
      <c r="AV322" s="793">
        <f t="shared" si="250"/>
        <v>6324</v>
      </c>
      <c r="AW322" s="793">
        <f t="shared" si="251"/>
        <v>7499</v>
      </c>
      <c r="AX322" s="793">
        <f t="shared" si="252"/>
        <v>365</v>
      </c>
      <c r="AY322" s="793">
        <f t="shared" si="253"/>
        <v>712</v>
      </c>
      <c r="AZ322" s="818">
        <f t="shared" si="254"/>
        <v>1887</v>
      </c>
      <c r="BA322" s="818">
        <f t="shared" si="255"/>
        <v>5612</v>
      </c>
    </row>
    <row r="323" spans="1:53" ht="15" customHeight="1" x14ac:dyDescent="0.25">
      <c r="A323" s="842" t="s">
        <v>133</v>
      </c>
      <c r="B323" s="852" t="s">
        <v>1293</v>
      </c>
      <c r="C323" s="778">
        <f t="shared" si="211"/>
        <v>9.5000000000000001E-2</v>
      </c>
      <c r="D323" s="844">
        <v>10</v>
      </c>
      <c r="E323" s="844" t="s">
        <v>677</v>
      </c>
      <c r="F323" s="853">
        <v>44909</v>
      </c>
      <c r="G323" s="781">
        <f t="shared" si="256"/>
        <v>44909</v>
      </c>
      <c r="H323" s="781">
        <f t="shared" si="213"/>
        <v>48559</v>
      </c>
      <c r="I323" s="1383">
        <v>43000</v>
      </c>
      <c r="J323" s="805">
        <f t="shared" si="214"/>
        <v>2150</v>
      </c>
      <c r="K323" s="1404"/>
      <c r="L323" s="793">
        <v>0</v>
      </c>
      <c r="M323" s="793">
        <v>0</v>
      </c>
      <c r="N323" s="793">
        <v>0</v>
      </c>
      <c r="O323" s="793">
        <v>0</v>
      </c>
      <c r="P323" s="793">
        <v>0</v>
      </c>
      <c r="Q323" s="793">
        <v>0</v>
      </c>
      <c r="R323" s="793"/>
      <c r="S323" s="793"/>
      <c r="T323" s="805"/>
      <c r="U323" s="805"/>
      <c r="V323" s="793"/>
      <c r="W323" s="793"/>
      <c r="X323" s="793"/>
      <c r="Y323" s="805"/>
      <c r="Z323" s="805"/>
      <c r="AA323" s="805"/>
      <c r="AB323" s="805"/>
      <c r="AC323" s="805"/>
      <c r="AD323" s="793"/>
      <c r="AE323" s="793"/>
      <c r="AF323" s="793"/>
      <c r="AG323" s="793"/>
      <c r="AH323" s="805"/>
      <c r="AI323" s="805"/>
      <c r="AJ323" s="793">
        <f t="shared" si="238"/>
        <v>0</v>
      </c>
      <c r="AK323" s="793">
        <f t="shared" si="239"/>
        <v>43000</v>
      </c>
      <c r="AL323" s="793">
        <f t="shared" si="240"/>
        <v>108</v>
      </c>
      <c r="AM323" s="793">
        <f t="shared" si="241"/>
        <v>1209</v>
      </c>
      <c r="AN323" s="805">
        <f t="shared" si="242"/>
        <v>1209</v>
      </c>
      <c r="AO323" s="805">
        <f t="shared" si="243"/>
        <v>41791</v>
      </c>
      <c r="AP323" s="818">
        <f t="shared" si="244"/>
        <v>41791</v>
      </c>
      <c r="AQ323" s="818">
        <f t="shared" si="245"/>
        <v>43000</v>
      </c>
      <c r="AR323" s="818">
        <f t="shared" si="246"/>
        <v>366</v>
      </c>
      <c r="AS323" s="818">
        <f t="shared" si="247"/>
        <v>4096</v>
      </c>
      <c r="AT323" s="818">
        <f t="shared" si="248"/>
        <v>5305</v>
      </c>
      <c r="AU323" s="818">
        <f t="shared" si="249"/>
        <v>37695</v>
      </c>
      <c r="AV323" s="793">
        <f t="shared" si="250"/>
        <v>37695</v>
      </c>
      <c r="AW323" s="793">
        <f t="shared" si="251"/>
        <v>43000</v>
      </c>
      <c r="AX323" s="793">
        <f t="shared" si="252"/>
        <v>365</v>
      </c>
      <c r="AY323" s="793">
        <f t="shared" si="253"/>
        <v>4085</v>
      </c>
      <c r="AZ323" s="818">
        <f t="shared" si="254"/>
        <v>9390</v>
      </c>
      <c r="BA323" s="818">
        <f t="shared" si="255"/>
        <v>33610</v>
      </c>
    </row>
    <row r="324" spans="1:53" ht="15" customHeight="1" x14ac:dyDescent="0.25">
      <c r="A324" s="842" t="s">
        <v>133</v>
      </c>
      <c r="B324" s="852" t="s">
        <v>1293</v>
      </c>
      <c r="C324" s="778">
        <f t="shared" si="211"/>
        <v>9.5000000000000001E-2</v>
      </c>
      <c r="D324" s="844">
        <v>10</v>
      </c>
      <c r="E324" s="844" t="s">
        <v>677</v>
      </c>
      <c r="F324" s="853">
        <v>45000</v>
      </c>
      <c r="G324" s="781">
        <f t="shared" si="256"/>
        <v>45000</v>
      </c>
      <c r="H324" s="781">
        <f t="shared" si="213"/>
        <v>48650</v>
      </c>
      <c r="I324" s="1383">
        <v>22000</v>
      </c>
      <c r="J324" s="805">
        <f t="shared" si="214"/>
        <v>1100</v>
      </c>
      <c r="K324" s="1404"/>
      <c r="L324" s="793">
        <v>0</v>
      </c>
      <c r="M324" s="793">
        <v>0</v>
      </c>
      <c r="N324" s="793">
        <v>0</v>
      </c>
      <c r="O324" s="793">
        <v>0</v>
      </c>
      <c r="P324" s="793">
        <v>0</v>
      </c>
      <c r="Q324" s="793">
        <v>0</v>
      </c>
      <c r="R324" s="793"/>
      <c r="S324" s="793"/>
      <c r="T324" s="805"/>
      <c r="U324" s="805"/>
      <c r="V324" s="793"/>
      <c r="W324" s="793"/>
      <c r="X324" s="793"/>
      <c r="Y324" s="805"/>
      <c r="Z324" s="805"/>
      <c r="AA324" s="805"/>
      <c r="AB324" s="805"/>
      <c r="AC324" s="805"/>
      <c r="AD324" s="793"/>
      <c r="AE324" s="793"/>
      <c r="AF324" s="793"/>
      <c r="AG324" s="793"/>
      <c r="AH324" s="805"/>
      <c r="AI324" s="805"/>
      <c r="AJ324" s="793">
        <f t="shared" si="238"/>
        <v>0</v>
      </c>
      <c r="AK324" s="793">
        <f t="shared" si="239"/>
        <v>22000</v>
      </c>
      <c r="AL324" s="793">
        <f t="shared" si="240"/>
        <v>17</v>
      </c>
      <c r="AM324" s="793">
        <f t="shared" si="241"/>
        <v>97</v>
      </c>
      <c r="AN324" s="805">
        <f t="shared" si="242"/>
        <v>97</v>
      </c>
      <c r="AO324" s="805">
        <f t="shared" si="243"/>
        <v>21903</v>
      </c>
      <c r="AP324" s="818">
        <f t="shared" si="244"/>
        <v>21903</v>
      </c>
      <c r="AQ324" s="818">
        <f t="shared" si="245"/>
        <v>22000</v>
      </c>
      <c r="AR324" s="818">
        <f t="shared" si="246"/>
        <v>366</v>
      </c>
      <c r="AS324" s="818">
        <f t="shared" si="247"/>
        <v>2096</v>
      </c>
      <c r="AT324" s="818">
        <f t="shared" si="248"/>
        <v>2193</v>
      </c>
      <c r="AU324" s="818">
        <f t="shared" si="249"/>
        <v>19807</v>
      </c>
      <c r="AV324" s="793">
        <f t="shared" si="250"/>
        <v>19807</v>
      </c>
      <c r="AW324" s="793">
        <f t="shared" si="251"/>
        <v>22000</v>
      </c>
      <c r="AX324" s="793">
        <f t="shared" si="252"/>
        <v>365</v>
      </c>
      <c r="AY324" s="793">
        <f t="shared" si="253"/>
        <v>2090</v>
      </c>
      <c r="AZ324" s="818">
        <f t="shared" si="254"/>
        <v>4283</v>
      </c>
      <c r="BA324" s="818">
        <f t="shared" si="255"/>
        <v>17717</v>
      </c>
    </row>
    <row r="325" spans="1:53" ht="15" customHeight="1" x14ac:dyDescent="0.25">
      <c r="A325" s="842" t="s">
        <v>133</v>
      </c>
      <c r="B325" s="852" t="s">
        <v>360</v>
      </c>
      <c r="C325" s="778">
        <f t="shared" si="211"/>
        <v>9.5000000000000001E-2</v>
      </c>
      <c r="D325" s="844">
        <v>10</v>
      </c>
      <c r="E325" s="844" t="s">
        <v>677</v>
      </c>
      <c r="F325" s="853">
        <v>44869</v>
      </c>
      <c r="G325" s="781">
        <f t="shared" si="256"/>
        <v>44869</v>
      </c>
      <c r="H325" s="781">
        <f t="shared" si="213"/>
        <v>48519</v>
      </c>
      <c r="I325" s="1383">
        <v>18400</v>
      </c>
      <c r="J325" s="805">
        <f t="shared" si="214"/>
        <v>920</v>
      </c>
      <c r="K325" s="1404"/>
      <c r="L325" s="793">
        <v>0</v>
      </c>
      <c r="M325" s="793">
        <v>0</v>
      </c>
      <c r="N325" s="793">
        <v>0</v>
      </c>
      <c r="O325" s="793">
        <v>0</v>
      </c>
      <c r="P325" s="793">
        <v>0</v>
      </c>
      <c r="Q325" s="793">
        <v>0</v>
      </c>
      <c r="R325" s="793"/>
      <c r="S325" s="793"/>
      <c r="T325" s="805"/>
      <c r="U325" s="805"/>
      <c r="V325" s="793"/>
      <c r="W325" s="793"/>
      <c r="X325" s="793"/>
      <c r="Y325" s="805"/>
      <c r="Z325" s="805"/>
      <c r="AA325" s="805"/>
      <c r="AB325" s="805"/>
      <c r="AC325" s="805"/>
      <c r="AD325" s="793"/>
      <c r="AE325" s="793"/>
      <c r="AF325" s="793"/>
      <c r="AG325" s="793"/>
      <c r="AH325" s="805"/>
      <c r="AI325" s="805"/>
      <c r="AJ325" s="793">
        <f t="shared" si="238"/>
        <v>0</v>
      </c>
      <c r="AK325" s="793">
        <f t="shared" si="239"/>
        <v>18400</v>
      </c>
      <c r="AL325" s="793">
        <f t="shared" si="240"/>
        <v>148</v>
      </c>
      <c r="AM325" s="793">
        <f t="shared" si="241"/>
        <v>709</v>
      </c>
      <c r="AN325" s="805">
        <f t="shared" si="242"/>
        <v>709</v>
      </c>
      <c r="AO325" s="805">
        <f t="shared" si="243"/>
        <v>17691</v>
      </c>
      <c r="AP325" s="818">
        <f t="shared" si="244"/>
        <v>17691</v>
      </c>
      <c r="AQ325" s="818">
        <f t="shared" si="245"/>
        <v>18400</v>
      </c>
      <c r="AR325" s="818">
        <f t="shared" si="246"/>
        <v>366</v>
      </c>
      <c r="AS325" s="818">
        <f t="shared" si="247"/>
        <v>1753</v>
      </c>
      <c r="AT325" s="818">
        <f t="shared" si="248"/>
        <v>2462</v>
      </c>
      <c r="AU325" s="818">
        <f t="shared" si="249"/>
        <v>15938</v>
      </c>
      <c r="AV325" s="793">
        <f t="shared" si="250"/>
        <v>15938</v>
      </c>
      <c r="AW325" s="793">
        <f t="shared" si="251"/>
        <v>18400</v>
      </c>
      <c r="AX325" s="793">
        <f t="shared" si="252"/>
        <v>365</v>
      </c>
      <c r="AY325" s="793">
        <f t="shared" si="253"/>
        <v>1748</v>
      </c>
      <c r="AZ325" s="818">
        <f t="shared" si="254"/>
        <v>4210</v>
      </c>
      <c r="BA325" s="818">
        <f t="shared" si="255"/>
        <v>14190</v>
      </c>
    </row>
    <row r="326" spans="1:53" ht="15" customHeight="1" x14ac:dyDescent="0.25">
      <c r="A326" s="842" t="s">
        <v>133</v>
      </c>
      <c r="B326" s="852" t="s">
        <v>360</v>
      </c>
      <c r="C326" s="778">
        <f t="shared" si="211"/>
        <v>9.5000000000000001E-2</v>
      </c>
      <c r="D326" s="844">
        <v>10</v>
      </c>
      <c r="E326" s="844" t="s">
        <v>677</v>
      </c>
      <c r="F326" s="853">
        <v>44881</v>
      </c>
      <c r="G326" s="781">
        <f t="shared" si="256"/>
        <v>44881</v>
      </c>
      <c r="H326" s="781">
        <f t="shared" si="213"/>
        <v>48531</v>
      </c>
      <c r="I326" s="1383">
        <v>18400</v>
      </c>
      <c r="J326" s="805">
        <f t="shared" si="214"/>
        <v>920</v>
      </c>
      <c r="K326" s="1404"/>
      <c r="L326" s="793">
        <v>0</v>
      </c>
      <c r="M326" s="793">
        <v>0</v>
      </c>
      <c r="N326" s="793">
        <v>0</v>
      </c>
      <c r="O326" s="793">
        <v>0</v>
      </c>
      <c r="P326" s="793">
        <v>0</v>
      </c>
      <c r="Q326" s="793">
        <v>0</v>
      </c>
      <c r="R326" s="793"/>
      <c r="S326" s="793"/>
      <c r="T326" s="805"/>
      <c r="U326" s="805"/>
      <c r="V326" s="793"/>
      <c r="W326" s="793"/>
      <c r="X326" s="793"/>
      <c r="Y326" s="805"/>
      <c r="Z326" s="805"/>
      <c r="AA326" s="805"/>
      <c r="AB326" s="805"/>
      <c r="AC326" s="805"/>
      <c r="AD326" s="793"/>
      <c r="AE326" s="793"/>
      <c r="AF326" s="793"/>
      <c r="AG326" s="793"/>
      <c r="AH326" s="805"/>
      <c r="AI326" s="805"/>
      <c r="AJ326" s="793">
        <f t="shared" si="238"/>
        <v>0</v>
      </c>
      <c r="AK326" s="793">
        <f t="shared" si="239"/>
        <v>18400</v>
      </c>
      <c r="AL326" s="793">
        <f t="shared" si="240"/>
        <v>136</v>
      </c>
      <c r="AM326" s="793">
        <f t="shared" si="241"/>
        <v>651</v>
      </c>
      <c r="AN326" s="805">
        <f t="shared" si="242"/>
        <v>651</v>
      </c>
      <c r="AO326" s="805">
        <f t="shared" si="243"/>
        <v>17749</v>
      </c>
      <c r="AP326" s="818">
        <f t="shared" si="244"/>
        <v>17749</v>
      </c>
      <c r="AQ326" s="818">
        <f t="shared" si="245"/>
        <v>18400</v>
      </c>
      <c r="AR326" s="818">
        <f t="shared" si="246"/>
        <v>366</v>
      </c>
      <c r="AS326" s="818">
        <f t="shared" si="247"/>
        <v>1753</v>
      </c>
      <c r="AT326" s="818">
        <f t="shared" si="248"/>
        <v>2404</v>
      </c>
      <c r="AU326" s="818">
        <f t="shared" si="249"/>
        <v>15996</v>
      </c>
      <c r="AV326" s="793">
        <f t="shared" si="250"/>
        <v>15996</v>
      </c>
      <c r="AW326" s="793">
        <f t="shared" si="251"/>
        <v>18400</v>
      </c>
      <c r="AX326" s="793">
        <f t="shared" si="252"/>
        <v>365</v>
      </c>
      <c r="AY326" s="793">
        <f t="shared" si="253"/>
        <v>1748</v>
      </c>
      <c r="AZ326" s="818">
        <f t="shared" si="254"/>
        <v>4152</v>
      </c>
      <c r="BA326" s="818">
        <f t="shared" si="255"/>
        <v>14248</v>
      </c>
    </row>
    <row r="327" spans="1:53" ht="15" customHeight="1" x14ac:dyDescent="0.25">
      <c r="A327" s="842" t="s">
        <v>133</v>
      </c>
      <c r="B327" s="852" t="s">
        <v>360</v>
      </c>
      <c r="C327" s="778">
        <f t="shared" si="211"/>
        <v>9.5000000000000001E-2</v>
      </c>
      <c r="D327" s="844">
        <v>10</v>
      </c>
      <c r="E327" s="844" t="s">
        <v>677</v>
      </c>
      <c r="F327" s="853">
        <v>44994</v>
      </c>
      <c r="G327" s="781">
        <f t="shared" si="256"/>
        <v>44994</v>
      </c>
      <c r="H327" s="781">
        <f t="shared" si="213"/>
        <v>48644</v>
      </c>
      <c r="I327" s="1383">
        <v>18400</v>
      </c>
      <c r="J327" s="805">
        <f t="shared" si="214"/>
        <v>920</v>
      </c>
      <c r="K327" s="1404"/>
      <c r="L327" s="793">
        <v>0</v>
      </c>
      <c r="M327" s="793">
        <v>0</v>
      </c>
      <c r="N327" s="793">
        <v>0</v>
      </c>
      <c r="O327" s="793">
        <v>0</v>
      </c>
      <c r="P327" s="793">
        <v>0</v>
      </c>
      <c r="Q327" s="793">
        <v>0</v>
      </c>
      <c r="R327" s="793"/>
      <c r="S327" s="793"/>
      <c r="T327" s="805"/>
      <c r="U327" s="805"/>
      <c r="V327" s="793"/>
      <c r="W327" s="793"/>
      <c r="X327" s="793"/>
      <c r="Y327" s="805"/>
      <c r="Z327" s="805"/>
      <c r="AA327" s="805"/>
      <c r="AB327" s="805"/>
      <c r="AC327" s="805"/>
      <c r="AD327" s="793"/>
      <c r="AE327" s="793"/>
      <c r="AF327" s="793"/>
      <c r="AG327" s="793"/>
      <c r="AH327" s="805"/>
      <c r="AI327" s="805"/>
      <c r="AJ327" s="793">
        <f t="shared" si="238"/>
        <v>0</v>
      </c>
      <c r="AK327" s="793">
        <f t="shared" si="239"/>
        <v>18400</v>
      </c>
      <c r="AL327" s="793">
        <f t="shared" si="240"/>
        <v>23</v>
      </c>
      <c r="AM327" s="793">
        <f t="shared" si="241"/>
        <v>110</v>
      </c>
      <c r="AN327" s="805">
        <f t="shared" si="242"/>
        <v>110</v>
      </c>
      <c r="AO327" s="805">
        <f t="shared" si="243"/>
        <v>18290</v>
      </c>
      <c r="AP327" s="818">
        <f t="shared" si="244"/>
        <v>18290</v>
      </c>
      <c r="AQ327" s="818">
        <f t="shared" si="245"/>
        <v>18400</v>
      </c>
      <c r="AR327" s="818">
        <f t="shared" si="246"/>
        <v>366</v>
      </c>
      <c r="AS327" s="818">
        <f t="shared" si="247"/>
        <v>1753</v>
      </c>
      <c r="AT327" s="818">
        <f t="shared" si="248"/>
        <v>1863</v>
      </c>
      <c r="AU327" s="818">
        <f t="shared" si="249"/>
        <v>16537</v>
      </c>
      <c r="AV327" s="793">
        <f t="shared" si="250"/>
        <v>16537</v>
      </c>
      <c r="AW327" s="793">
        <f t="shared" si="251"/>
        <v>18400</v>
      </c>
      <c r="AX327" s="793">
        <f t="shared" si="252"/>
        <v>365</v>
      </c>
      <c r="AY327" s="793">
        <f t="shared" si="253"/>
        <v>1748</v>
      </c>
      <c r="AZ327" s="818">
        <f t="shared" si="254"/>
        <v>3611</v>
      </c>
      <c r="BA327" s="818">
        <f t="shared" si="255"/>
        <v>14789</v>
      </c>
    </row>
    <row r="328" spans="1:53" ht="15" customHeight="1" x14ac:dyDescent="0.25">
      <c r="A328" s="842" t="s">
        <v>133</v>
      </c>
      <c r="B328" s="852" t="s">
        <v>1294</v>
      </c>
      <c r="C328" s="778">
        <f t="shared" ref="C328:C341" si="257">(95/D328)/100</f>
        <v>9.5000000000000001E-2</v>
      </c>
      <c r="D328" s="844">
        <v>10</v>
      </c>
      <c r="E328" s="844" t="s">
        <v>677</v>
      </c>
      <c r="F328" s="853">
        <v>44988</v>
      </c>
      <c r="G328" s="781">
        <f t="shared" si="256"/>
        <v>44988</v>
      </c>
      <c r="H328" s="781">
        <f t="shared" ref="H328:H341" si="258">G328+(365*D328)</f>
        <v>48638</v>
      </c>
      <c r="I328" s="1383">
        <v>14124.54</v>
      </c>
      <c r="J328" s="805">
        <f t="shared" ref="J328:J341" si="259">I328*5%</f>
        <v>706.22700000000009</v>
      </c>
      <c r="K328" s="1404"/>
      <c r="L328" s="793">
        <v>0</v>
      </c>
      <c r="M328" s="793">
        <v>0</v>
      </c>
      <c r="N328" s="793">
        <v>0</v>
      </c>
      <c r="O328" s="793">
        <v>0</v>
      </c>
      <c r="P328" s="793">
        <v>0</v>
      </c>
      <c r="Q328" s="793">
        <v>0</v>
      </c>
      <c r="R328" s="793"/>
      <c r="S328" s="793"/>
      <c r="T328" s="805"/>
      <c r="U328" s="805"/>
      <c r="V328" s="793"/>
      <c r="W328" s="793"/>
      <c r="X328" s="793"/>
      <c r="Y328" s="805"/>
      <c r="Z328" s="805"/>
      <c r="AA328" s="805"/>
      <c r="AB328" s="805"/>
      <c r="AC328" s="805"/>
      <c r="AD328" s="793"/>
      <c r="AE328" s="793"/>
      <c r="AF328" s="793"/>
      <c r="AG328" s="793"/>
      <c r="AH328" s="805"/>
      <c r="AI328" s="805"/>
      <c r="AJ328" s="793">
        <f t="shared" ref="AJ328:AJ341" si="260">AI328</f>
        <v>0</v>
      </c>
      <c r="AK328" s="793">
        <f t="shared" ref="AK328:AK341" si="261">I328</f>
        <v>14124.54</v>
      </c>
      <c r="AL328" s="793">
        <f t="shared" ref="AL328:AL341" si="262">IF(AND(F328&gt;$AD$3,F328&lt;$AJ$3),$AJ$3-F328+1,IF(H328&lt;=$AD$3,0,IF(H328&gt;$AJ$3,$AJ$3-$AD$3,H328-$AD$3)))</f>
        <v>29</v>
      </c>
      <c r="AM328" s="793">
        <f t="shared" ref="AM328:AM341" si="263">ROUND(AK328*C328*AL328/365,0)</f>
        <v>107</v>
      </c>
      <c r="AN328" s="805">
        <f t="shared" ref="AN328:AN341" si="264">+AH328+AM328</f>
        <v>107</v>
      </c>
      <c r="AO328" s="805">
        <f t="shared" ref="AO328:AO342" si="265">AK328-AN328</f>
        <v>14017.54</v>
      </c>
      <c r="AP328" s="818">
        <f t="shared" ref="AP328:AP371" si="266">+AO328</f>
        <v>14017.54</v>
      </c>
      <c r="AQ328" s="818">
        <f t="shared" ref="AQ328:AQ341" si="267">I328</f>
        <v>14124.54</v>
      </c>
      <c r="AR328" s="818">
        <f t="shared" ref="AR328:AR341" si="268">IF(AND(F328&gt;$AJ$3,F328&lt;$AP$3),$AP$3-F328+1,IF(H328&lt;=$AJ$3,0,IF(H328&gt;$AP$3,$AP$3-$AJ$3,H328-$AJ$3)))</f>
        <v>366</v>
      </c>
      <c r="AS328" s="818">
        <f t="shared" ref="AS328:AS341" si="269">ROUND(AQ328*C328*AR328/365,0)</f>
        <v>1346</v>
      </c>
      <c r="AT328" s="818">
        <f t="shared" ref="AT328:AT371" si="270">+AN328+AS328</f>
        <v>1453</v>
      </c>
      <c r="AU328" s="818">
        <f t="shared" ref="AU328:AU371" si="271">+AQ328-AT328</f>
        <v>12671.54</v>
      </c>
      <c r="AV328" s="793">
        <f t="shared" ref="AV328:AV378" si="272">+AU328</f>
        <v>12671.54</v>
      </c>
      <c r="AW328" s="793">
        <f t="shared" ref="AW328:AW341" si="273">+I328</f>
        <v>14124.54</v>
      </c>
      <c r="AX328" s="793">
        <f t="shared" ref="AX328:AX341" si="274">IF(AND(F328&gt;$AP$3,F328&lt;$AV$3),$AV$3-F328+1,IF(H328&lt;=$AP$3,0,IF(H328&gt;$AV$3,$AV$3-$AP$3,H328-$AP$3)))</f>
        <v>365</v>
      </c>
      <c r="AY328" s="793">
        <f t="shared" ref="AY328:AY341" si="275">ROUND(AW328*C328*AX328/365,0)</f>
        <v>1342</v>
      </c>
      <c r="AZ328" s="818">
        <f t="shared" ref="AZ328:AZ382" si="276">+AT328+AY328</f>
        <v>2795</v>
      </c>
      <c r="BA328" s="818">
        <f t="shared" ref="BA328:BA382" si="277">+AW328-AZ328</f>
        <v>11329.54</v>
      </c>
    </row>
    <row r="329" spans="1:53" ht="15" customHeight="1" x14ac:dyDescent="0.25">
      <c r="A329" s="842" t="s">
        <v>133</v>
      </c>
      <c r="B329" s="852" t="s">
        <v>1295</v>
      </c>
      <c r="C329" s="778">
        <f t="shared" si="257"/>
        <v>9.5000000000000001E-2</v>
      </c>
      <c r="D329" s="844">
        <v>10</v>
      </c>
      <c r="E329" s="844" t="s">
        <v>677</v>
      </c>
      <c r="F329" s="853">
        <v>44870</v>
      </c>
      <c r="G329" s="781">
        <f t="shared" si="256"/>
        <v>44870</v>
      </c>
      <c r="H329" s="781">
        <f t="shared" si="258"/>
        <v>48520</v>
      </c>
      <c r="I329" s="1383">
        <v>175000</v>
      </c>
      <c r="J329" s="805">
        <f t="shared" si="259"/>
        <v>8750</v>
      </c>
      <c r="K329" s="1404"/>
      <c r="L329" s="793">
        <v>0</v>
      </c>
      <c r="M329" s="793">
        <v>0</v>
      </c>
      <c r="N329" s="793">
        <v>0</v>
      </c>
      <c r="O329" s="793">
        <v>0</v>
      </c>
      <c r="P329" s="793">
        <v>0</v>
      </c>
      <c r="Q329" s="793">
        <v>0</v>
      </c>
      <c r="R329" s="793"/>
      <c r="S329" s="793"/>
      <c r="T329" s="805"/>
      <c r="U329" s="805"/>
      <c r="V329" s="793"/>
      <c r="W329" s="793"/>
      <c r="X329" s="793"/>
      <c r="Y329" s="805"/>
      <c r="Z329" s="805"/>
      <c r="AA329" s="805"/>
      <c r="AB329" s="805"/>
      <c r="AC329" s="805"/>
      <c r="AD329" s="793"/>
      <c r="AE329" s="793"/>
      <c r="AF329" s="793"/>
      <c r="AG329" s="793"/>
      <c r="AH329" s="805"/>
      <c r="AI329" s="805"/>
      <c r="AJ329" s="793">
        <f t="shared" si="260"/>
        <v>0</v>
      </c>
      <c r="AK329" s="793">
        <f t="shared" si="261"/>
        <v>175000</v>
      </c>
      <c r="AL329" s="793">
        <f t="shared" si="262"/>
        <v>147</v>
      </c>
      <c r="AM329" s="793">
        <f t="shared" si="263"/>
        <v>6696</v>
      </c>
      <c r="AN329" s="805">
        <f t="shared" si="264"/>
        <v>6696</v>
      </c>
      <c r="AO329" s="805">
        <f t="shared" si="265"/>
        <v>168304</v>
      </c>
      <c r="AP329" s="818">
        <f t="shared" si="266"/>
        <v>168304</v>
      </c>
      <c r="AQ329" s="818">
        <f t="shared" si="267"/>
        <v>175000</v>
      </c>
      <c r="AR329" s="818">
        <f t="shared" si="268"/>
        <v>366</v>
      </c>
      <c r="AS329" s="818">
        <f t="shared" si="269"/>
        <v>16671</v>
      </c>
      <c r="AT329" s="818">
        <f t="shared" si="270"/>
        <v>23367</v>
      </c>
      <c r="AU329" s="818">
        <f t="shared" si="271"/>
        <v>151633</v>
      </c>
      <c r="AV329" s="793">
        <f t="shared" si="272"/>
        <v>151633</v>
      </c>
      <c r="AW329" s="793">
        <f t="shared" si="273"/>
        <v>175000</v>
      </c>
      <c r="AX329" s="793">
        <f t="shared" si="274"/>
        <v>365</v>
      </c>
      <c r="AY329" s="793">
        <f t="shared" si="275"/>
        <v>16625</v>
      </c>
      <c r="AZ329" s="818">
        <f t="shared" si="276"/>
        <v>39992</v>
      </c>
      <c r="BA329" s="818">
        <f t="shared" si="277"/>
        <v>135008</v>
      </c>
    </row>
    <row r="330" spans="1:53" ht="15" customHeight="1" x14ac:dyDescent="0.25">
      <c r="A330" s="842" t="s">
        <v>133</v>
      </c>
      <c r="B330" s="852" t="s">
        <v>1296</v>
      </c>
      <c r="C330" s="778">
        <f t="shared" si="257"/>
        <v>9.5000000000000001E-2</v>
      </c>
      <c r="D330" s="844">
        <v>10</v>
      </c>
      <c r="E330" s="844" t="s">
        <v>677</v>
      </c>
      <c r="F330" s="853">
        <v>44671</v>
      </c>
      <c r="G330" s="781">
        <f t="shared" si="256"/>
        <v>44671</v>
      </c>
      <c r="H330" s="781">
        <f t="shared" si="258"/>
        <v>48321</v>
      </c>
      <c r="I330" s="1383">
        <v>5000</v>
      </c>
      <c r="J330" s="805">
        <f t="shared" si="259"/>
        <v>250</v>
      </c>
      <c r="K330" s="1404"/>
      <c r="L330" s="793">
        <v>0</v>
      </c>
      <c r="M330" s="793">
        <v>0</v>
      </c>
      <c r="N330" s="793">
        <v>0</v>
      </c>
      <c r="O330" s="793">
        <v>0</v>
      </c>
      <c r="P330" s="793">
        <v>0</v>
      </c>
      <c r="Q330" s="793">
        <v>0</v>
      </c>
      <c r="R330" s="793"/>
      <c r="S330" s="793"/>
      <c r="T330" s="805"/>
      <c r="U330" s="805"/>
      <c r="V330" s="793"/>
      <c r="W330" s="793"/>
      <c r="X330" s="793"/>
      <c r="Y330" s="805"/>
      <c r="Z330" s="805"/>
      <c r="AA330" s="805"/>
      <c r="AB330" s="805"/>
      <c r="AC330" s="805"/>
      <c r="AD330" s="793"/>
      <c r="AE330" s="793"/>
      <c r="AF330" s="793"/>
      <c r="AG330" s="793"/>
      <c r="AH330" s="805"/>
      <c r="AI330" s="805"/>
      <c r="AJ330" s="793">
        <f t="shared" si="260"/>
        <v>0</v>
      </c>
      <c r="AK330" s="793">
        <f t="shared" si="261"/>
        <v>5000</v>
      </c>
      <c r="AL330" s="793">
        <f t="shared" si="262"/>
        <v>346</v>
      </c>
      <c r="AM330" s="793">
        <f t="shared" si="263"/>
        <v>450</v>
      </c>
      <c r="AN330" s="805">
        <f t="shared" si="264"/>
        <v>450</v>
      </c>
      <c r="AO330" s="805">
        <f t="shared" si="265"/>
        <v>4550</v>
      </c>
      <c r="AP330" s="818">
        <f t="shared" si="266"/>
        <v>4550</v>
      </c>
      <c r="AQ330" s="818">
        <f t="shared" si="267"/>
        <v>5000</v>
      </c>
      <c r="AR330" s="818">
        <f t="shared" si="268"/>
        <v>366</v>
      </c>
      <c r="AS330" s="818">
        <f t="shared" si="269"/>
        <v>476</v>
      </c>
      <c r="AT330" s="818">
        <f t="shared" si="270"/>
        <v>926</v>
      </c>
      <c r="AU330" s="818">
        <f t="shared" si="271"/>
        <v>4074</v>
      </c>
      <c r="AV330" s="793">
        <f t="shared" si="272"/>
        <v>4074</v>
      </c>
      <c r="AW330" s="793">
        <f t="shared" si="273"/>
        <v>5000</v>
      </c>
      <c r="AX330" s="793">
        <f t="shared" si="274"/>
        <v>365</v>
      </c>
      <c r="AY330" s="793">
        <f t="shared" si="275"/>
        <v>475</v>
      </c>
      <c r="AZ330" s="818">
        <f t="shared" si="276"/>
        <v>1401</v>
      </c>
      <c r="BA330" s="818">
        <f t="shared" si="277"/>
        <v>3599</v>
      </c>
    </row>
    <row r="331" spans="1:53" ht="15" customHeight="1" x14ac:dyDescent="0.25">
      <c r="A331" s="842" t="s">
        <v>133</v>
      </c>
      <c r="B331" s="852" t="s">
        <v>1296</v>
      </c>
      <c r="C331" s="778">
        <f t="shared" si="257"/>
        <v>9.5000000000000001E-2</v>
      </c>
      <c r="D331" s="844">
        <v>10</v>
      </c>
      <c r="E331" s="844" t="s">
        <v>677</v>
      </c>
      <c r="F331" s="853">
        <v>44683</v>
      </c>
      <c r="G331" s="781">
        <f t="shared" si="256"/>
        <v>44683</v>
      </c>
      <c r="H331" s="781">
        <f t="shared" si="258"/>
        <v>48333</v>
      </c>
      <c r="I331" s="1383">
        <v>7500</v>
      </c>
      <c r="J331" s="805">
        <f t="shared" si="259"/>
        <v>375</v>
      </c>
      <c r="K331" s="1404"/>
      <c r="L331" s="793">
        <v>0</v>
      </c>
      <c r="M331" s="793">
        <v>0</v>
      </c>
      <c r="N331" s="793">
        <v>0</v>
      </c>
      <c r="O331" s="793">
        <v>0</v>
      </c>
      <c r="P331" s="793">
        <v>0</v>
      </c>
      <c r="Q331" s="793">
        <v>0</v>
      </c>
      <c r="R331" s="793"/>
      <c r="S331" s="793"/>
      <c r="T331" s="805"/>
      <c r="U331" s="805"/>
      <c r="V331" s="793"/>
      <c r="W331" s="793"/>
      <c r="X331" s="793"/>
      <c r="Y331" s="805"/>
      <c r="Z331" s="805"/>
      <c r="AA331" s="805"/>
      <c r="AB331" s="805"/>
      <c r="AC331" s="805"/>
      <c r="AD331" s="793"/>
      <c r="AE331" s="793"/>
      <c r="AF331" s="793"/>
      <c r="AG331" s="793"/>
      <c r="AH331" s="805"/>
      <c r="AI331" s="805"/>
      <c r="AJ331" s="793">
        <f t="shared" si="260"/>
        <v>0</v>
      </c>
      <c r="AK331" s="793">
        <f t="shared" si="261"/>
        <v>7500</v>
      </c>
      <c r="AL331" s="793">
        <f t="shared" si="262"/>
        <v>334</v>
      </c>
      <c r="AM331" s="793">
        <f t="shared" si="263"/>
        <v>652</v>
      </c>
      <c r="AN331" s="805">
        <f t="shared" si="264"/>
        <v>652</v>
      </c>
      <c r="AO331" s="805">
        <f t="shared" si="265"/>
        <v>6848</v>
      </c>
      <c r="AP331" s="818">
        <f t="shared" si="266"/>
        <v>6848</v>
      </c>
      <c r="AQ331" s="818">
        <f t="shared" si="267"/>
        <v>7500</v>
      </c>
      <c r="AR331" s="818">
        <f t="shared" si="268"/>
        <v>366</v>
      </c>
      <c r="AS331" s="818">
        <f t="shared" si="269"/>
        <v>714</v>
      </c>
      <c r="AT331" s="818">
        <f t="shared" si="270"/>
        <v>1366</v>
      </c>
      <c r="AU331" s="818">
        <f t="shared" si="271"/>
        <v>6134</v>
      </c>
      <c r="AV331" s="793">
        <f t="shared" si="272"/>
        <v>6134</v>
      </c>
      <c r="AW331" s="793">
        <f t="shared" si="273"/>
        <v>7500</v>
      </c>
      <c r="AX331" s="793">
        <f t="shared" si="274"/>
        <v>365</v>
      </c>
      <c r="AY331" s="793">
        <f t="shared" si="275"/>
        <v>713</v>
      </c>
      <c r="AZ331" s="818">
        <f t="shared" si="276"/>
        <v>2079</v>
      </c>
      <c r="BA331" s="818">
        <f t="shared" si="277"/>
        <v>5421</v>
      </c>
    </row>
    <row r="332" spans="1:53" ht="15" customHeight="1" x14ac:dyDescent="0.25">
      <c r="A332" s="842" t="s">
        <v>133</v>
      </c>
      <c r="B332" s="852" t="s">
        <v>1296</v>
      </c>
      <c r="C332" s="778">
        <f t="shared" si="257"/>
        <v>9.5000000000000001E-2</v>
      </c>
      <c r="D332" s="844">
        <v>10</v>
      </c>
      <c r="E332" s="844" t="s">
        <v>677</v>
      </c>
      <c r="F332" s="853">
        <v>44737</v>
      </c>
      <c r="G332" s="781">
        <f t="shared" si="256"/>
        <v>44737</v>
      </c>
      <c r="H332" s="781">
        <f t="shared" si="258"/>
        <v>48387</v>
      </c>
      <c r="I332" s="1383">
        <v>9600</v>
      </c>
      <c r="J332" s="805">
        <f t="shared" si="259"/>
        <v>480</v>
      </c>
      <c r="K332" s="1404"/>
      <c r="L332" s="793">
        <v>0</v>
      </c>
      <c r="M332" s="793">
        <v>0</v>
      </c>
      <c r="N332" s="793">
        <v>0</v>
      </c>
      <c r="O332" s="793">
        <v>0</v>
      </c>
      <c r="P332" s="793">
        <v>0</v>
      </c>
      <c r="Q332" s="793">
        <v>0</v>
      </c>
      <c r="R332" s="793"/>
      <c r="S332" s="793"/>
      <c r="T332" s="805"/>
      <c r="U332" s="805"/>
      <c r="V332" s="793"/>
      <c r="W332" s="793"/>
      <c r="X332" s="793"/>
      <c r="Y332" s="805"/>
      <c r="Z332" s="805"/>
      <c r="AA332" s="805"/>
      <c r="AB332" s="805"/>
      <c r="AC332" s="805"/>
      <c r="AD332" s="793"/>
      <c r="AE332" s="793"/>
      <c r="AF332" s="793"/>
      <c r="AG332" s="793"/>
      <c r="AH332" s="805"/>
      <c r="AI332" s="805"/>
      <c r="AJ332" s="793">
        <f t="shared" si="260"/>
        <v>0</v>
      </c>
      <c r="AK332" s="793">
        <f t="shared" si="261"/>
        <v>9600</v>
      </c>
      <c r="AL332" s="793">
        <f t="shared" si="262"/>
        <v>280</v>
      </c>
      <c r="AM332" s="793">
        <f t="shared" si="263"/>
        <v>700</v>
      </c>
      <c r="AN332" s="805">
        <f t="shared" si="264"/>
        <v>700</v>
      </c>
      <c r="AO332" s="805">
        <f t="shared" si="265"/>
        <v>8900</v>
      </c>
      <c r="AP332" s="818">
        <f t="shared" si="266"/>
        <v>8900</v>
      </c>
      <c r="AQ332" s="818">
        <f t="shared" si="267"/>
        <v>9600</v>
      </c>
      <c r="AR332" s="818">
        <f t="shared" si="268"/>
        <v>366</v>
      </c>
      <c r="AS332" s="818">
        <f t="shared" si="269"/>
        <v>914</v>
      </c>
      <c r="AT332" s="818">
        <f t="shared" si="270"/>
        <v>1614</v>
      </c>
      <c r="AU332" s="818">
        <f t="shared" si="271"/>
        <v>7986</v>
      </c>
      <c r="AV332" s="793">
        <f t="shared" si="272"/>
        <v>7986</v>
      </c>
      <c r="AW332" s="793">
        <f t="shared" si="273"/>
        <v>9600</v>
      </c>
      <c r="AX332" s="793">
        <f t="shared" si="274"/>
        <v>365</v>
      </c>
      <c r="AY332" s="793">
        <f t="shared" si="275"/>
        <v>912</v>
      </c>
      <c r="AZ332" s="818">
        <f t="shared" si="276"/>
        <v>2526</v>
      </c>
      <c r="BA332" s="818">
        <f t="shared" si="277"/>
        <v>7074</v>
      </c>
    </row>
    <row r="333" spans="1:53" ht="15" customHeight="1" x14ac:dyDescent="0.25">
      <c r="A333" s="842" t="s">
        <v>133</v>
      </c>
      <c r="B333" s="852" t="s">
        <v>1296</v>
      </c>
      <c r="C333" s="778">
        <f t="shared" si="257"/>
        <v>9.5000000000000001E-2</v>
      </c>
      <c r="D333" s="844">
        <v>10</v>
      </c>
      <c r="E333" s="844" t="s">
        <v>677</v>
      </c>
      <c r="F333" s="853">
        <v>44783</v>
      </c>
      <c r="G333" s="781">
        <f t="shared" si="256"/>
        <v>44783</v>
      </c>
      <c r="H333" s="781">
        <f t="shared" si="258"/>
        <v>48433</v>
      </c>
      <c r="I333" s="1383">
        <v>27600</v>
      </c>
      <c r="J333" s="805">
        <f t="shared" si="259"/>
        <v>1380</v>
      </c>
      <c r="K333" s="1404"/>
      <c r="L333" s="793">
        <v>0</v>
      </c>
      <c r="M333" s="793">
        <v>0</v>
      </c>
      <c r="N333" s="793">
        <v>0</v>
      </c>
      <c r="O333" s="793">
        <v>0</v>
      </c>
      <c r="P333" s="793">
        <v>0</v>
      </c>
      <c r="Q333" s="793">
        <v>0</v>
      </c>
      <c r="R333" s="793"/>
      <c r="S333" s="793"/>
      <c r="T333" s="805"/>
      <c r="U333" s="805"/>
      <c r="V333" s="793"/>
      <c r="W333" s="793"/>
      <c r="X333" s="793"/>
      <c r="Y333" s="805"/>
      <c r="Z333" s="805"/>
      <c r="AA333" s="805"/>
      <c r="AB333" s="805"/>
      <c r="AC333" s="805"/>
      <c r="AD333" s="793"/>
      <c r="AE333" s="793"/>
      <c r="AF333" s="793"/>
      <c r="AG333" s="793"/>
      <c r="AH333" s="805"/>
      <c r="AI333" s="805"/>
      <c r="AJ333" s="793">
        <f t="shared" si="260"/>
        <v>0</v>
      </c>
      <c r="AK333" s="793">
        <f t="shared" si="261"/>
        <v>27600</v>
      </c>
      <c r="AL333" s="793">
        <f t="shared" si="262"/>
        <v>234</v>
      </c>
      <c r="AM333" s="793">
        <f t="shared" si="263"/>
        <v>1681</v>
      </c>
      <c r="AN333" s="805">
        <f t="shared" si="264"/>
        <v>1681</v>
      </c>
      <c r="AO333" s="805">
        <f t="shared" si="265"/>
        <v>25919</v>
      </c>
      <c r="AP333" s="818">
        <f t="shared" si="266"/>
        <v>25919</v>
      </c>
      <c r="AQ333" s="818">
        <f t="shared" si="267"/>
        <v>27600</v>
      </c>
      <c r="AR333" s="818">
        <f t="shared" si="268"/>
        <v>366</v>
      </c>
      <c r="AS333" s="818">
        <f t="shared" si="269"/>
        <v>2629</v>
      </c>
      <c r="AT333" s="818">
        <f t="shared" si="270"/>
        <v>4310</v>
      </c>
      <c r="AU333" s="818">
        <f t="shared" si="271"/>
        <v>23290</v>
      </c>
      <c r="AV333" s="793">
        <f t="shared" si="272"/>
        <v>23290</v>
      </c>
      <c r="AW333" s="793">
        <f t="shared" si="273"/>
        <v>27600</v>
      </c>
      <c r="AX333" s="793">
        <f t="shared" si="274"/>
        <v>365</v>
      </c>
      <c r="AY333" s="793">
        <f t="shared" si="275"/>
        <v>2622</v>
      </c>
      <c r="AZ333" s="818">
        <f t="shared" si="276"/>
        <v>6932</v>
      </c>
      <c r="BA333" s="818">
        <f t="shared" si="277"/>
        <v>20668</v>
      </c>
    </row>
    <row r="334" spans="1:53" ht="15" customHeight="1" x14ac:dyDescent="0.25">
      <c r="A334" s="842" t="s">
        <v>133</v>
      </c>
      <c r="B334" s="852" t="s">
        <v>1296</v>
      </c>
      <c r="C334" s="778">
        <f t="shared" si="257"/>
        <v>9.5000000000000001E-2</v>
      </c>
      <c r="D334" s="844">
        <v>10</v>
      </c>
      <c r="E334" s="844" t="s">
        <v>677</v>
      </c>
      <c r="F334" s="853">
        <v>44903</v>
      </c>
      <c r="G334" s="781">
        <f t="shared" si="256"/>
        <v>44903</v>
      </c>
      <c r="H334" s="781">
        <f t="shared" si="258"/>
        <v>48553</v>
      </c>
      <c r="I334" s="1383">
        <v>8314</v>
      </c>
      <c r="J334" s="805">
        <f t="shared" si="259"/>
        <v>415.70000000000005</v>
      </c>
      <c r="K334" s="1404"/>
      <c r="L334" s="793">
        <v>0</v>
      </c>
      <c r="M334" s="793">
        <v>0</v>
      </c>
      <c r="N334" s="793">
        <v>0</v>
      </c>
      <c r="O334" s="793">
        <v>0</v>
      </c>
      <c r="P334" s="793">
        <v>0</v>
      </c>
      <c r="Q334" s="793">
        <v>0</v>
      </c>
      <c r="R334" s="793"/>
      <c r="S334" s="793"/>
      <c r="T334" s="805"/>
      <c r="U334" s="805"/>
      <c r="V334" s="793"/>
      <c r="W334" s="793"/>
      <c r="X334" s="793"/>
      <c r="Y334" s="805"/>
      <c r="Z334" s="805"/>
      <c r="AA334" s="805"/>
      <c r="AB334" s="805"/>
      <c r="AC334" s="805"/>
      <c r="AD334" s="793"/>
      <c r="AE334" s="793"/>
      <c r="AF334" s="793"/>
      <c r="AG334" s="793"/>
      <c r="AH334" s="805"/>
      <c r="AI334" s="805"/>
      <c r="AJ334" s="793">
        <f t="shared" si="260"/>
        <v>0</v>
      </c>
      <c r="AK334" s="793">
        <f t="shared" si="261"/>
        <v>8314</v>
      </c>
      <c r="AL334" s="793">
        <f t="shared" si="262"/>
        <v>114</v>
      </c>
      <c r="AM334" s="793">
        <f t="shared" si="263"/>
        <v>247</v>
      </c>
      <c r="AN334" s="805">
        <f t="shared" si="264"/>
        <v>247</v>
      </c>
      <c r="AO334" s="805">
        <f t="shared" si="265"/>
        <v>8067</v>
      </c>
      <c r="AP334" s="818">
        <f t="shared" si="266"/>
        <v>8067</v>
      </c>
      <c r="AQ334" s="818">
        <f t="shared" si="267"/>
        <v>8314</v>
      </c>
      <c r="AR334" s="818">
        <f t="shared" si="268"/>
        <v>366</v>
      </c>
      <c r="AS334" s="818">
        <f t="shared" si="269"/>
        <v>792</v>
      </c>
      <c r="AT334" s="818">
        <f t="shared" si="270"/>
        <v>1039</v>
      </c>
      <c r="AU334" s="818">
        <f t="shared" si="271"/>
        <v>7275</v>
      </c>
      <c r="AV334" s="793">
        <f t="shared" si="272"/>
        <v>7275</v>
      </c>
      <c r="AW334" s="793">
        <f t="shared" si="273"/>
        <v>8314</v>
      </c>
      <c r="AX334" s="793">
        <f t="shared" si="274"/>
        <v>365</v>
      </c>
      <c r="AY334" s="793">
        <f t="shared" si="275"/>
        <v>790</v>
      </c>
      <c r="AZ334" s="818">
        <f t="shared" si="276"/>
        <v>1829</v>
      </c>
      <c r="BA334" s="818">
        <f t="shared" si="277"/>
        <v>6485</v>
      </c>
    </row>
    <row r="335" spans="1:53" ht="15" customHeight="1" x14ac:dyDescent="0.25">
      <c r="A335" s="842" t="s">
        <v>133</v>
      </c>
      <c r="B335" s="852" t="s">
        <v>1297</v>
      </c>
      <c r="C335" s="778">
        <f t="shared" si="257"/>
        <v>9.5000000000000001E-2</v>
      </c>
      <c r="D335" s="844">
        <v>10</v>
      </c>
      <c r="E335" s="844" t="s">
        <v>677</v>
      </c>
      <c r="F335" s="853">
        <v>44861</v>
      </c>
      <c r="G335" s="781">
        <f t="shared" si="256"/>
        <v>44861</v>
      </c>
      <c r="H335" s="781">
        <f t="shared" si="258"/>
        <v>48511</v>
      </c>
      <c r="I335" s="1383">
        <v>28500</v>
      </c>
      <c r="J335" s="805">
        <f t="shared" si="259"/>
        <v>1425</v>
      </c>
      <c r="K335" s="1404"/>
      <c r="L335" s="793">
        <v>0</v>
      </c>
      <c r="M335" s="793">
        <v>0</v>
      </c>
      <c r="N335" s="793">
        <v>0</v>
      </c>
      <c r="O335" s="793">
        <v>0</v>
      </c>
      <c r="P335" s="793">
        <v>0</v>
      </c>
      <c r="Q335" s="793">
        <v>0</v>
      </c>
      <c r="R335" s="793"/>
      <c r="S335" s="793"/>
      <c r="T335" s="805"/>
      <c r="U335" s="805"/>
      <c r="V335" s="793"/>
      <c r="W335" s="793"/>
      <c r="X335" s="793"/>
      <c r="Y335" s="805"/>
      <c r="Z335" s="805"/>
      <c r="AA335" s="805"/>
      <c r="AB335" s="805"/>
      <c r="AC335" s="805"/>
      <c r="AD335" s="793"/>
      <c r="AE335" s="793"/>
      <c r="AF335" s="793"/>
      <c r="AG335" s="793"/>
      <c r="AH335" s="805"/>
      <c r="AI335" s="805"/>
      <c r="AJ335" s="793">
        <f t="shared" si="260"/>
        <v>0</v>
      </c>
      <c r="AK335" s="793">
        <f t="shared" si="261"/>
        <v>28500</v>
      </c>
      <c r="AL335" s="793">
        <f t="shared" si="262"/>
        <v>156</v>
      </c>
      <c r="AM335" s="793">
        <f t="shared" si="263"/>
        <v>1157</v>
      </c>
      <c r="AN335" s="805">
        <f t="shared" si="264"/>
        <v>1157</v>
      </c>
      <c r="AO335" s="805">
        <f t="shared" si="265"/>
        <v>27343</v>
      </c>
      <c r="AP335" s="818">
        <f t="shared" si="266"/>
        <v>27343</v>
      </c>
      <c r="AQ335" s="818">
        <f t="shared" si="267"/>
        <v>28500</v>
      </c>
      <c r="AR335" s="818">
        <f t="shared" si="268"/>
        <v>366</v>
      </c>
      <c r="AS335" s="818">
        <f t="shared" si="269"/>
        <v>2715</v>
      </c>
      <c r="AT335" s="818">
        <f t="shared" si="270"/>
        <v>3872</v>
      </c>
      <c r="AU335" s="818">
        <f t="shared" si="271"/>
        <v>24628</v>
      </c>
      <c r="AV335" s="793">
        <f t="shared" si="272"/>
        <v>24628</v>
      </c>
      <c r="AW335" s="793">
        <f t="shared" si="273"/>
        <v>28500</v>
      </c>
      <c r="AX335" s="793">
        <f t="shared" si="274"/>
        <v>365</v>
      </c>
      <c r="AY335" s="793">
        <f t="shared" si="275"/>
        <v>2708</v>
      </c>
      <c r="AZ335" s="818">
        <f t="shared" si="276"/>
        <v>6580</v>
      </c>
      <c r="BA335" s="818">
        <f t="shared" si="277"/>
        <v>21920</v>
      </c>
    </row>
    <row r="336" spans="1:53" ht="15" customHeight="1" x14ac:dyDescent="0.25">
      <c r="A336" s="842" t="s">
        <v>133</v>
      </c>
      <c r="B336" s="852" t="s">
        <v>1297</v>
      </c>
      <c r="C336" s="778">
        <f t="shared" si="257"/>
        <v>9.5000000000000001E-2</v>
      </c>
      <c r="D336" s="844">
        <v>10</v>
      </c>
      <c r="E336" s="844" t="s">
        <v>677</v>
      </c>
      <c r="F336" s="853">
        <v>44985</v>
      </c>
      <c r="G336" s="781">
        <f t="shared" si="256"/>
        <v>44985</v>
      </c>
      <c r="H336" s="781">
        <f t="shared" si="258"/>
        <v>48635</v>
      </c>
      <c r="I336" s="1383">
        <v>31800</v>
      </c>
      <c r="J336" s="805">
        <f t="shared" si="259"/>
        <v>1590</v>
      </c>
      <c r="K336" s="1404"/>
      <c r="L336" s="793">
        <v>0</v>
      </c>
      <c r="M336" s="793">
        <v>0</v>
      </c>
      <c r="N336" s="793">
        <v>0</v>
      </c>
      <c r="O336" s="793">
        <v>0</v>
      </c>
      <c r="P336" s="793">
        <v>0</v>
      </c>
      <c r="Q336" s="793">
        <v>0</v>
      </c>
      <c r="R336" s="793"/>
      <c r="S336" s="793"/>
      <c r="T336" s="805"/>
      <c r="U336" s="805"/>
      <c r="V336" s="793"/>
      <c r="W336" s="793"/>
      <c r="X336" s="793"/>
      <c r="Y336" s="805"/>
      <c r="Z336" s="805"/>
      <c r="AA336" s="805"/>
      <c r="AB336" s="805"/>
      <c r="AC336" s="805"/>
      <c r="AD336" s="793"/>
      <c r="AE336" s="793"/>
      <c r="AF336" s="793"/>
      <c r="AG336" s="793"/>
      <c r="AH336" s="805"/>
      <c r="AI336" s="805"/>
      <c r="AJ336" s="793">
        <f t="shared" si="260"/>
        <v>0</v>
      </c>
      <c r="AK336" s="793">
        <f t="shared" si="261"/>
        <v>31800</v>
      </c>
      <c r="AL336" s="793">
        <f t="shared" si="262"/>
        <v>32</v>
      </c>
      <c r="AM336" s="793">
        <f t="shared" si="263"/>
        <v>265</v>
      </c>
      <c r="AN336" s="805">
        <f t="shared" si="264"/>
        <v>265</v>
      </c>
      <c r="AO336" s="805">
        <f t="shared" si="265"/>
        <v>31535</v>
      </c>
      <c r="AP336" s="818">
        <f t="shared" si="266"/>
        <v>31535</v>
      </c>
      <c r="AQ336" s="818">
        <f t="shared" si="267"/>
        <v>31800</v>
      </c>
      <c r="AR336" s="818">
        <f t="shared" si="268"/>
        <v>366</v>
      </c>
      <c r="AS336" s="818">
        <f t="shared" si="269"/>
        <v>3029</v>
      </c>
      <c r="AT336" s="818">
        <f t="shared" si="270"/>
        <v>3294</v>
      </c>
      <c r="AU336" s="818">
        <f t="shared" si="271"/>
        <v>28506</v>
      </c>
      <c r="AV336" s="793">
        <f t="shared" si="272"/>
        <v>28506</v>
      </c>
      <c r="AW336" s="793">
        <f t="shared" si="273"/>
        <v>31800</v>
      </c>
      <c r="AX336" s="793">
        <f t="shared" si="274"/>
        <v>365</v>
      </c>
      <c r="AY336" s="793">
        <f t="shared" si="275"/>
        <v>3021</v>
      </c>
      <c r="AZ336" s="818">
        <f t="shared" si="276"/>
        <v>6315</v>
      </c>
      <c r="BA336" s="818">
        <f t="shared" si="277"/>
        <v>25485</v>
      </c>
    </row>
    <row r="337" spans="1:53" ht="15" customHeight="1" x14ac:dyDescent="0.25">
      <c r="A337" s="842" t="s">
        <v>133</v>
      </c>
      <c r="B337" s="852" t="s">
        <v>1298</v>
      </c>
      <c r="C337" s="778">
        <f t="shared" si="257"/>
        <v>9.5000000000000001E-2</v>
      </c>
      <c r="D337" s="844">
        <v>10</v>
      </c>
      <c r="E337" s="844" t="s">
        <v>677</v>
      </c>
      <c r="F337" s="853">
        <v>44853</v>
      </c>
      <c r="G337" s="781">
        <f t="shared" si="256"/>
        <v>44853</v>
      </c>
      <c r="H337" s="781">
        <f t="shared" si="258"/>
        <v>48503</v>
      </c>
      <c r="I337" s="1383">
        <v>9000</v>
      </c>
      <c r="J337" s="805">
        <f t="shared" si="259"/>
        <v>450</v>
      </c>
      <c r="K337" s="1404"/>
      <c r="L337" s="793">
        <v>0</v>
      </c>
      <c r="M337" s="793">
        <v>0</v>
      </c>
      <c r="N337" s="793">
        <v>0</v>
      </c>
      <c r="O337" s="793">
        <v>0</v>
      </c>
      <c r="P337" s="793">
        <v>0</v>
      </c>
      <c r="Q337" s="793">
        <v>0</v>
      </c>
      <c r="R337" s="793"/>
      <c r="S337" s="793"/>
      <c r="T337" s="805"/>
      <c r="U337" s="805"/>
      <c r="V337" s="793"/>
      <c r="W337" s="793"/>
      <c r="X337" s="793"/>
      <c r="Y337" s="805"/>
      <c r="Z337" s="805"/>
      <c r="AA337" s="805"/>
      <c r="AB337" s="805"/>
      <c r="AC337" s="805"/>
      <c r="AD337" s="793"/>
      <c r="AE337" s="793"/>
      <c r="AF337" s="793"/>
      <c r="AG337" s="793"/>
      <c r="AH337" s="805"/>
      <c r="AI337" s="805"/>
      <c r="AJ337" s="793">
        <f t="shared" si="260"/>
        <v>0</v>
      </c>
      <c r="AK337" s="793">
        <f t="shared" si="261"/>
        <v>9000</v>
      </c>
      <c r="AL337" s="793">
        <f t="shared" si="262"/>
        <v>164</v>
      </c>
      <c r="AM337" s="793">
        <f t="shared" si="263"/>
        <v>384</v>
      </c>
      <c r="AN337" s="805">
        <f t="shared" si="264"/>
        <v>384</v>
      </c>
      <c r="AO337" s="805">
        <f t="shared" si="265"/>
        <v>8616</v>
      </c>
      <c r="AP337" s="818">
        <f t="shared" si="266"/>
        <v>8616</v>
      </c>
      <c r="AQ337" s="818">
        <f t="shared" si="267"/>
        <v>9000</v>
      </c>
      <c r="AR337" s="818">
        <f t="shared" si="268"/>
        <v>366</v>
      </c>
      <c r="AS337" s="818">
        <f t="shared" si="269"/>
        <v>857</v>
      </c>
      <c r="AT337" s="818">
        <f t="shared" si="270"/>
        <v>1241</v>
      </c>
      <c r="AU337" s="818">
        <f t="shared" si="271"/>
        <v>7759</v>
      </c>
      <c r="AV337" s="793">
        <f t="shared" si="272"/>
        <v>7759</v>
      </c>
      <c r="AW337" s="793">
        <f t="shared" si="273"/>
        <v>9000</v>
      </c>
      <c r="AX337" s="793">
        <f t="shared" si="274"/>
        <v>365</v>
      </c>
      <c r="AY337" s="793">
        <f t="shared" si="275"/>
        <v>855</v>
      </c>
      <c r="AZ337" s="818">
        <f t="shared" si="276"/>
        <v>2096</v>
      </c>
      <c r="BA337" s="818">
        <f t="shared" si="277"/>
        <v>6904</v>
      </c>
    </row>
    <row r="338" spans="1:53" ht="15" customHeight="1" x14ac:dyDescent="0.25">
      <c r="A338" s="842" t="s">
        <v>133</v>
      </c>
      <c r="B338" s="852" t="s">
        <v>1298</v>
      </c>
      <c r="C338" s="778">
        <f t="shared" si="257"/>
        <v>9.5000000000000001E-2</v>
      </c>
      <c r="D338" s="844">
        <v>10</v>
      </c>
      <c r="E338" s="844" t="s">
        <v>677</v>
      </c>
      <c r="F338" s="853">
        <v>44897</v>
      </c>
      <c r="G338" s="781">
        <f t="shared" si="256"/>
        <v>44897</v>
      </c>
      <c r="H338" s="781">
        <f t="shared" si="258"/>
        <v>48547</v>
      </c>
      <c r="I338" s="1383">
        <v>29250</v>
      </c>
      <c r="J338" s="805">
        <f t="shared" si="259"/>
        <v>1462.5</v>
      </c>
      <c r="K338" s="1404"/>
      <c r="L338" s="793">
        <v>0</v>
      </c>
      <c r="M338" s="793">
        <v>0</v>
      </c>
      <c r="N338" s="793">
        <v>0</v>
      </c>
      <c r="O338" s="793">
        <v>0</v>
      </c>
      <c r="P338" s="793">
        <v>0</v>
      </c>
      <c r="Q338" s="793">
        <v>0</v>
      </c>
      <c r="R338" s="793"/>
      <c r="S338" s="793"/>
      <c r="T338" s="805"/>
      <c r="U338" s="805"/>
      <c r="V338" s="793"/>
      <c r="W338" s="793"/>
      <c r="X338" s="793"/>
      <c r="Y338" s="805"/>
      <c r="Z338" s="805"/>
      <c r="AA338" s="805"/>
      <c r="AB338" s="805"/>
      <c r="AC338" s="805"/>
      <c r="AD338" s="793"/>
      <c r="AE338" s="793"/>
      <c r="AF338" s="793"/>
      <c r="AG338" s="793"/>
      <c r="AH338" s="805"/>
      <c r="AI338" s="805"/>
      <c r="AJ338" s="793">
        <f t="shared" si="260"/>
        <v>0</v>
      </c>
      <c r="AK338" s="793">
        <f t="shared" si="261"/>
        <v>29250</v>
      </c>
      <c r="AL338" s="793">
        <f t="shared" si="262"/>
        <v>120</v>
      </c>
      <c r="AM338" s="793">
        <f t="shared" si="263"/>
        <v>914</v>
      </c>
      <c r="AN338" s="805">
        <f t="shared" si="264"/>
        <v>914</v>
      </c>
      <c r="AO338" s="805">
        <f t="shared" si="265"/>
        <v>28336</v>
      </c>
      <c r="AP338" s="818">
        <f t="shared" si="266"/>
        <v>28336</v>
      </c>
      <c r="AQ338" s="818">
        <f t="shared" si="267"/>
        <v>29250</v>
      </c>
      <c r="AR338" s="818">
        <f t="shared" si="268"/>
        <v>366</v>
      </c>
      <c r="AS338" s="818">
        <f t="shared" si="269"/>
        <v>2786</v>
      </c>
      <c r="AT338" s="818">
        <f t="shared" si="270"/>
        <v>3700</v>
      </c>
      <c r="AU338" s="818">
        <f t="shared" si="271"/>
        <v>25550</v>
      </c>
      <c r="AV338" s="793">
        <f t="shared" si="272"/>
        <v>25550</v>
      </c>
      <c r="AW338" s="793">
        <f t="shared" si="273"/>
        <v>29250</v>
      </c>
      <c r="AX338" s="793">
        <f t="shared" si="274"/>
        <v>365</v>
      </c>
      <c r="AY338" s="793">
        <f t="shared" si="275"/>
        <v>2779</v>
      </c>
      <c r="AZ338" s="818">
        <f t="shared" si="276"/>
        <v>6479</v>
      </c>
      <c r="BA338" s="818">
        <f t="shared" si="277"/>
        <v>22771</v>
      </c>
    </row>
    <row r="339" spans="1:53" ht="15" customHeight="1" x14ac:dyDescent="0.25">
      <c r="A339" s="842" t="s">
        <v>133</v>
      </c>
      <c r="B339" s="852" t="s">
        <v>1298</v>
      </c>
      <c r="C339" s="778">
        <f t="shared" si="257"/>
        <v>9.5000000000000001E-2</v>
      </c>
      <c r="D339" s="844">
        <v>10</v>
      </c>
      <c r="E339" s="844" t="s">
        <v>677</v>
      </c>
      <c r="F339" s="853">
        <v>44898</v>
      </c>
      <c r="G339" s="781">
        <f t="shared" si="256"/>
        <v>44898</v>
      </c>
      <c r="H339" s="781">
        <f t="shared" si="258"/>
        <v>48548</v>
      </c>
      <c r="I339" s="1383">
        <v>8000</v>
      </c>
      <c r="J339" s="805">
        <f t="shared" si="259"/>
        <v>400</v>
      </c>
      <c r="K339" s="1404"/>
      <c r="L339" s="793">
        <v>0</v>
      </c>
      <c r="M339" s="793">
        <v>0</v>
      </c>
      <c r="N339" s="793">
        <v>0</v>
      </c>
      <c r="O339" s="793">
        <v>0</v>
      </c>
      <c r="P339" s="793">
        <v>0</v>
      </c>
      <c r="Q339" s="793">
        <v>0</v>
      </c>
      <c r="R339" s="793"/>
      <c r="S339" s="793"/>
      <c r="T339" s="805"/>
      <c r="U339" s="805"/>
      <c r="V339" s="793"/>
      <c r="W339" s="793"/>
      <c r="X339" s="793"/>
      <c r="Y339" s="805"/>
      <c r="Z339" s="805"/>
      <c r="AA339" s="805"/>
      <c r="AB339" s="805"/>
      <c r="AC339" s="805"/>
      <c r="AD339" s="793"/>
      <c r="AE339" s="793"/>
      <c r="AF339" s="793"/>
      <c r="AG339" s="793"/>
      <c r="AH339" s="805"/>
      <c r="AI339" s="805"/>
      <c r="AJ339" s="793">
        <f t="shared" si="260"/>
        <v>0</v>
      </c>
      <c r="AK339" s="793">
        <f t="shared" si="261"/>
        <v>8000</v>
      </c>
      <c r="AL339" s="793">
        <f t="shared" si="262"/>
        <v>119</v>
      </c>
      <c r="AM339" s="793">
        <f t="shared" si="263"/>
        <v>248</v>
      </c>
      <c r="AN339" s="805">
        <f t="shared" si="264"/>
        <v>248</v>
      </c>
      <c r="AO339" s="805">
        <f t="shared" si="265"/>
        <v>7752</v>
      </c>
      <c r="AP339" s="818">
        <f t="shared" si="266"/>
        <v>7752</v>
      </c>
      <c r="AQ339" s="818">
        <f t="shared" si="267"/>
        <v>8000</v>
      </c>
      <c r="AR339" s="818">
        <f t="shared" si="268"/>
        <v>366</v>
      </c>
      <c r="AS339" s="818">
        <f t="shared" si="269"/>
        <v>762</v>
      </c>
      <c r="AT339" s="818">
        <f t="shared" si="270"/>
        <v>1010</v>
      </c>
      <c r="AU339" s="818">
        <f t="shared" si="271"/>
        <v>6990</v>
      </c>
      <c r="AV339" s="793">
        <f t="shared" si="272"/>
        <v>6990</v>
      </c>
      <c r="AW339" s="793">
        <f t="shared" si="273"/>
        <v>8000</v>
      </c>
      <c r="AX339" s="793">
        <f t="shared" si="274"/>
        <v>365</v>
      </c>
      <c r="AY339" s="793">
        <f t="shared" si="275"/>
        <v>760</v>
      </c>
      <c r="AZ339" s="818">
        <f t="shared" si="276"/>
        <v>1770</v>
      </c>
      <c r="BA339" s="818">
        <f t="shared" si="277"/>
        <v>6230</v>
      </c>
    </row>
    <row r="340" spans="1:53" ht="15" customHeight="1" x14ac:dyDescent="0.25">
      <c r="A340" s="842" t="s">
        <v>133</v>
      </c>
      <c r="B340" s="852" t="s">
        <v>1299</v>
      </c>
      <c r="C340" s="778">
        <f t="shared" si="257"/>
        <v>9.5000000000000001E-2</v>
      </c>
      <c r="D340" s="844">
        <v>10</v>
      </c>
      <c r="E340" s="844" t="s">
        <v>677</v>
      </c>
      <c r="F340" s="853">
        <v>44784</v>
      </c>
      <c r="G340" s="781">
        <f t="shared" si="256"/>
        <v>44784</v>
      </c>
      <c r="H340" s="781">
        <f t="shared" si="258"/>
        <v>48434</v>
      </c>
      <c r="I340" s="1383">
        <v>307400</v>
      </c>
      <c r="J340" s="805">
        <f t="shared" si="259"/>
        <v>15370</v>
      </c>
      <c r="K340" s="1404"/>
      <c r="L340" s="793">
        <v>0</v>
      </c>
      <c r="M340" s="793">
        <v>0</v>
      </c>
      <c r="N340" s="793">
        <v>0</v>
      </c>
      <c r="O340" s="793">
        <v>0</v>
      </c>
      <c r="P340" s="793">
        <v>0</v>
      </c>
      <c r="Q340" s="793">
        <v>0</v>
      </c>
      <c r="R340" s="793"/>
      <c r="S340" s="793"/>
      <c r="T340" s="805"/>
      <c r="U340" s="805"/>
      <c r="V340" s="793"/>
      <c r="W340" s="793"/>
      <c r="X340" s="793"/>
      <c r="Y340" s="805"/>
      <c r="Z340" s="805"/>
      <c r="AA340" s="805"/>
      <c r="AB340" s="805"/>
      <c r="AC340" s="805"/>
      <c r="AD340" s="793"/>
      <c r="AE340" s="793"/>
      <c r="AF340" s="793"/>
      <c r="AG340" s="793"/>
      <c r="AH340" s="805"/>
      <c r="AI340" s="805"/>
      <c r="AJ340" s="793">
        <f t="shared" si="260"/>
        <v>0</v>
      </c>
      <c r="AK340" s="793">
        <f t="shared" si="261"/>
        <v>307400</v>
      </c>
      <c r="AL340" s="793">
        <f t="shared" si="262"/>
        <v>233</v>
      </c>
      <c r="AM340" s="793">
        <f t="shared" si="263"/>
        <v>18642</v>
      </c>
      <c r="AN340" s="805">
        <f t="shared" si="264"/>
        <v>18642</v>
      </c>
      <c r="AO340" s="805">
        <f t="shared" si="265"/>
        <v>288758</v>
      </c>
      <c r="AP340" s="818">
        <f t="shared" si="266"/>
        <v>288758</v>
      </c>
      <c r="AQ340" s="818">
        <f t="shared" si="267"/>
        <v>307400</v>
      </c>
      <c r="AR340" s="818">
        <f t="shared" si="268"/>
        <v>366</v>
      </c>
      <c r="AS340" s="818">
        <f t="shared" si="269"/>
        <v>29283</v>
      </c>
      <c r="AT340" s="818">
        <f t="shared" si="270"/>
        <v>47925</v>
      </c>
      <c r="AU340" s="818">
        <f t="shared" si="271"/>
        <v>259475</v>
      </c>
      <c r="AV340" s="793">
        <f t="shared" si="272"/>
        <v>259475</v>
      </c>
      <c r="AW340" s="793">
        <f t="shared" si="273"/>
        <v>307400</v>
      </c>
      <c r="AX340" s="793">
        <f t="shared" si="274"/>
        <v>365</v>
      </c>
      <c r="AY340" s="793">
        <f t="shared" si="275"/>
        <v>29203</v>
      </c>
      <c r="AZ340" s="818">
        <f t="shared" si="276"/>
        <v>77128</v>
      </c>
      <c r="BA340" s="818">
        <f t="shared" si="277"/>
        <v>230272</v>
      </c>
    </row>
    <row r="341" spans="1:53" ht="15" customHeight="1" x14ac:dyDescent="0.25">
      <c r="A341" s="856" t="s">
        <v>133</v>
      </c>
      <c r="B341" s="899" t="s">
        <v>1299</v>
      </c>
      <c r="C341" s="826">
        <f t="shared" si="257"/>
        <v>9.5000000000000001E-2</v>
      </c>
      <c r="D341" s="858">
        <v>10</v>
      </c>
      <c r="E341" s="858" t="s">
        <v>677</v>
      </c>
      <c r="F341" s="859">
        <v>44852</v>
      </c>
      <c r="G341" s="828">
        <f t="shared" si="256"/>
        <v>44852</v>
      </c>
      <c r="H341" s="828">
        <f t="shared" si="258"/>
        <v>48502</v>
      </c>
      <c r="I341" s="1422">
        <v>28600</v>
      </c>
      <c r="J341" s="821">
        <f t="shared" si="259"/>
        <v>1430</v>
      </c>
      <c r="K341" s="1404"/>
      <c r="L341" s="818">
        <v>0</v>
      </c>
      <c r="M341" s="818">
        <v>0</v>
      </c>
      <c r="N341" s="818">
        <v>0</v>
      </c>
      <c r="O341" s="818">
        <v>0</v>
      </c>
      <c r="P341" s="818">
        <v>0</v>
      </c>
      <c r="Q341" s="818">
        <v>0</v>
      </c>
      <c r="R341" s="818"/>
      <c r="S341" s="818"/>
      <c r="T341" s="821"/>
      <c r="U341" s="821"/>
      <c r="V341" s="818"/>
      <c r="W341" s="818"/>
      <c r="X341" s="818"/>
      <c r="Y341" s="821"/>
      <c r="Z341" s="821"/>
      <c r="AA341" s="821"/>
      <c r="AB341" s="821"/>
      <c r="AC341" s="821"/>
      <c r="AD341" s="818"/>
      <c r="AE341" s="818"/>
      <c r="AF341" s="818"/>
      <c r="AG341" s="818"/>
      <c r="AH341" s="821"/>
      <c r="AI341" s="821"/>
      <c r="AJ341" s="818">
        <f t="shared" si="260"/>
        <v>0</v>
      </c>
      <c r="AK341" s="818">
        <f t="shared" si="261"/>
        <v>28600</v>
      </c>
      <c r="AL341" s="818">
        <f t="shared" si="262"/>
        <v>165</v>
      </c>
      <c r="AM341" s="818">
        <f t="shared" si="263"/>
        <v>1228</v>
      </c>
      <c r="AN341" s="821">
        <f t="shared" si="264"/>
        <v>1228</v>
      </c>
      <c r="AO341" s="821">
        <f t="shared" si="265"/>
        <v>27372</v>
      </c>
      <c r="AP341" s="818">
        <f t="shared" si="266"/>
        <v>27372</v>
      </c>
      <c r="AQ341" s="818">
        <f t="shared" si="267"/>
        <v>28600</v>
      </c>
      <c r="AR341" s="818">
        <f t="shared" si="268"/>
        <v>366</v>
      </c>
      <c r="AS341" s="818">
        <f t="shared" si="269"/>
        <v>2724</v>
      </c>
      <c r="AT341" s="818">
        <f t="shared" si="270"/>
        <v>3952</v>
      </c>
      <c r="AU341" s="818">
        <f t="shared" si="271"/>
        <v>24648</v>
      </c>
      <c r="AV341" s="793">
        <f t="shared" si="272"/>
        <v>24648</v>
      </c>
      <c r="AW341" s="793">
        <f t="shared" si="273"/>
        <v>28600</v>
      </c>
      <c r="AX341" s="793">
        <f t="shared" si="274"/>
        <v>365</v>
      </c>
      <c r="AY341" s="793">
        <f t="shared" si="275"/>
        <v>2717</v>
      </c>
      <c r="AZ341" s="818">
        <f t="shared" si="276"/>
        <v>6669</v>
      </c>
      <c r="BA341" s="818">
        <f t="shared" si="277"/>
        <v>21931</v>
      </c>
    </row>
    <row r="342" spans="1:53" ht="15" customHeight="1" x14ac:dyDescent="0.25">
      <c r="A342" s="856" t="s">
        <v>1832</v>
      </c>
      <c r="B342" s="899"/>
      <c r="C342" s="826"/>
      <c r="D342" s="858"/>
      <c r="E342" s="858"/>
      <c r="F342" s="859"/>
      <c r="G342" s="828"/>
      <c r="H342" s="828"/>
      <c r="I342" s="1422"/>
      <c r="J342" s="821"/>
      <c r="K342" s="1328"/>
      <c r="L342" s="818"/>
      <c r="M342" s="818"/>
      <c r="N342" s="818"/>
      <c r="O342" s="818"/>
      <c r="P342" s="818"/>
      <c r="Q342" s="818"/>
      <c r="R342" s="818"/>
      <c r="S342" s="818"/>
      <c r="T342" s="821"/>
      <c r="U342" s="821"/>
      <c r="V342" s="818"/>
      <c r="W342" s="818"/>
      <c r="X342" s="818"/>
      <c r="Y342" s="820"/>
      <c r="Z342" s="821"/>
      <c r="AA342" s="821"/>
      <c r="AB342" s="821"/>
      <c r="AC342" s="821"/>
      <c r="AD342" s="818"/>
      <c r="AE342" s="818"/>
      <c r="AF342" s="818"/>
      <c r="AG342" s="818"/>
      <c r="AH342" s="821"/>
      <c r="AI342" s="821"/>
      <c r="AJ342" s="818"/>
      <c r="AK342" s="818"/>
      <c r="AL342" s="818"/>
      <c r="AM342" s="818">
        <v>120556</v>
      </c>
      <c r="AN342" s="821">
        <v>-605136</v>
      </c>
      <c r="AO342" s="821">
        <f t="shared" si="265"/>
        <v>605136</v>
      </c>
      <c r="AP342" s="818">
        <f t="shared" si="266"/>
        <v>605136</v>
      </c>
      <c r="AQ342" s="818"/>
      <c r="AR342" s="818"/>
      <c r="AS342" s="818"/>
      <c r="AT342" s="818">
        <f t="shared" si="270"/>
        <v>-605136</v>
      </c>
      <c r="AU342" s="818">
        <f t="shared" si="271"/>
        <v>605136</v>
      </c>
      <c r="AV342" s="793">
        <f t="shared" si="272"/>
        <v>605136</v>
      </c>
      <c r="AW342" s="793"/>
      <c r="AX342" s="793"/>
      <c r="AY342" s="793"/>
      <c r="AZ342" s="818">
        <f t="shared" si="276"/>
        <v>-605136</v>
      </c>
      <c r="BA342" s="818">
        <f t="shared" si="277"/>
        <v>605136</v>
      </c>
    </row>
    <row r="343" spans="1:53" ht="15" customHeight="1" x14ac:dyDescent="0.25">
      <c r="A343" s="856" t="s">
        <v>133</v>
      </c>
      <c r="B343" s="822" t="s">
        <v>314</v>
      </c>
      <c r="C343" s="778">
        <f t="shared" ref="C343:C378" si="278">(95/D343)/100</f>
        <v>9.5000000000000001E-2</v>
      </c>
      <c r="D343" s="844">
        <v>10</v>
      </c>
      <c r="E343" s="844" t="s">
        <v>884</v>
      </c>
      <c r="F343" s="862">
        <v>45036</v>
      </c>
      <c r="G343" s="862">
        <v>45036</v>
      </c>
      <c r="H343" s="781">
        <f t="shared" ref="H343:H383" si="279">G343+(365*D343)</f>
        <v>48686</v>
      </c>
      <c r="I343" s="815">
        <v>11356</v>
      </c>
      <c r="J343" s="805">
        <f t="shared" ref="J343:J383" si="280">I343*5%</f>
        <v>567.80000000000007</v>
      </c>
      <c r="K343" s="793"/>
      <c r="L343" s="793"/>
      <c r="M343" s="793"/>
      <c r="N343" s="793"/>
      <c r="O343" s="793"/>
      <c r="P343" s="793"/>
      <c r="Q343" s="793"/>
      <c r="R343" s="793"/>
      <c r="S343" s="793"/>
      <c r="T343" s="805"/>
      <c r="U343" s="805"/>
      <c r="V343" s="793"/>
      <c r="W343" s="793"/>
      <c r="X343" s="793"/>
      <c r="Y343" s="1423"/>
      <c r="Z343" s="805"/>
      <c r="AA343" s="805"/>
      <c r="AB343" s="805"/>
      <c r="AC343" s="805"/>
      <c r="AD343" s="793"/>
      <c r="AE343" s="793"/>
      <c r="AF343" s="793"/>
      <c r="AG343" s="793"/>
      <c r="AH343" s="805"/>
      <c r="AI343" s="805"/>
      <c r="AJ343" s="793"/>
      <c r="AK343" s="793"/>
      <c r="AL343" s="793"/>
      <c r="AM343" s="793"/>
      <c r="AN343" s="805"/>
      <c r="AO343" s="805"/>
      <c r="AP343" s="818">
        <f t="shared" si="266"/>
        <v>0</v>
      </c>
      <c r="AQ343" s="818">
        <f t="shared" ref="AQ343:AQ370" si="281">I343</f>
        <v>11356</v>
      </c>
      <c r="AR343" s="818">
        <f t="shared" ref="AR343:AR370" si="282">IF(AND(F343&gt;$AJ$3,F343&lt;$AP$3),$AP$3-F343+1,IF(H343&lt;=$AJ$3,0,IF(H343&gt;$AP$3,$AP$3-$AJ$3,H343-$AJ$3)))</f>
        <v>347</v>
      </c>
      <c r="AS343" s="818">
        <f t="shared" ref="AS343:AS371" si="283">ROUND(AQ343*C343*AR343/365,0)</f>
        <v>1026</v>
      </c>
      <c r="AT343" s="818">
        <f t="shared" si="270"/>
        <v>1026</v>
      </c>
      <c r="AU343" s="818">
        <f t="shared" si="271"/>
        <v>10330</v>
      </c>
      <c r="AV343" s="793">
        <f t="shared" si="272"/>
        <v>10330</v>
      </c>
      <c r="AW343" s="793">
        <f t="shared" ref="AW343:AW383" si="284">+I343</f>
        <v>11356</v>
      </c>
      <c r="AX343" s="793">
        <f t="shared" ref="AX343:AX382" si="285">IF(AND(F343&gt;$AP$3,F343&lt;$AV$3),$AV$3-F343+1,IF(H343&lt;=$AP$3,0,IF(H343&gt;$AV$3,$AV$3-$AP$3,H343-$AP$3)))</f>
        <v>365</v>
      </c>
      <c r="AY343" s="793">
        <f t="shared" ref="AY343:AY382" si="286">ROUND(AW343*C343*AX343/365,0)</f>
        <v>1079</v>
      </c>
      <c r="AZ343" s="818">
        <f t="shared" si="276"/>
        <v>2105</v>
      </c>
      <c r="BA343" s="818">
        <f t="shared" si="277"/>
        <v>9251</v>
      </c>
    </row>
    <row r="344" spans="1:53" ht="15" customHeight="1" x14ac:dyDescent="0.25">
      <c r="A344" s="856" t="s">
        <v>133</v>
      </c>
      <c r="B344" s="822" t="s">
        <v>314</v>
      </c>
      <c r="C344" s="778">
        <f t="shared" si="278"/>
        <v>9.5000000000000001E-2</v>
      </c>
      <c r="D344" s="844">
        <v>10</v>
      </c>
      <c r="E344" s="844" t="s">
        <v>884</v>
      </c>
      <c r="F344" s="862">
        <v>45110</v>
      </c>
      <c r="G344" s="862">
        <v>45110</v>
      </c>
      <c r="H344" s="781">
        <f t="shared" si="279"/>
        <v>48760</v>
      </c>
      <c r="I344" s="815">
        <v>9067</v>
      </c>
      <c r="J344" s="805">
        <f t="shared" si="280"/>
        <v>453.35</v>
      </c>
      <c r="K344" s="793"/>
      <c r="L344" s="793"/>
      <c r="M344" s="793"/>
      <c r="N344" s="793"/>
      <c r="O344" s="793"/>
      <c r="P344" s="793"/>
      <c r="Q344" s="793"/>
      <c r="R344" s="793"/>
      <c r="S344" s="793"/>
      <c r="T344" s="805"/>
      <c r="U344" s="805"/>
      <c r="V344" s="793"/>
      <c r="W344" s="793"/>
      <c r="X344" s="793"/>
      <c r="Y344" s="1423"/>
      <c r="Z344" s="805"/>
      <c r="AA344" s="805"/>
      <c r="AB344" s="805"/>
      <c r="AC344" s="805"/>
      <c r="AD344" s="793"/>
      <c r="AE344" s="793"/>
      <c r="AF344" s="793"/>
      <c r="AG344" s="793"/>
      <c r="AH344" s="805"/>
      <c r="AI344" s="805"/>
      <c r="AJ344" s="793"/>
      <c r="AK344" s="793"/>
      <c r="AL344" s="793"/>
      <c r="AM344" s="793"/>
      <c r="AN344" s="805"/>
      <c r="AO344" s="805"/>
      <c r="AP344" s="818">
        <f t="shared" si="266"/>
        <v>0</v>
      </c>
      <c r="AQ344" s="818">
        <f t="shared" si="281"/>
        <v>9067</v>
      </c>
      <c r="AR344" s="818">
        <f t="shared" si="282"/>
        <v>273</v>
      </c>
      <c r="AS344" s="818">
        <f t="shared" si="283"/>
        <v>644</v>
      </c>
      <c r="AT344" s="818">
        <f t="shared" si="270"/>
        <v>644</v>
      </c>
      <c r="AU344" s="818">
        <f t="shared" si="271"/>
        <v>8423</v>
      </c>
      <c r="AV344" s="793">
        <f t="shared" si="272"/>
        <v>8423</v>
      </c>
      <c r="AW344" s="793">
        <f t="shared" si="284"/>
        <v>9067</v>
      </c>
      <c r="AX344" s="793">
        <f t="shared" si="285"/>
        <v>365</v>
      </c>
      <c r="AY344" s="793">
        <f t="shared" si="286"/>
        <v>861</v>
      </c>
      <c r="AZ344" s="818">
        <f t="shared" si="276"/>
        <v>1505</v>
      </c>
      <c r="BA344" s="818">
        <f t="shared" si="277"/>
        <v>7562</v>
      </c>
    </row>
    <row r="345" spans="1:53" ht="15" customHeight="1" x14ac:dyDescent="0.25">
      <c r="A345" s="856" t="s">
        <v>133</v>
      </c>
      <c r="B345" s="822" t="s">
        <v>360</v>
      </c>
      <c r="C345" s="778">
        <f t="shared" si="278"/>
        <v>9.5000000000000001E-2</v>
      </c>
      <c r="D345" s="844">
        <v>10</v>
      </c>
      <c r="E345" s="844" t="s">
        <v>884</v>
      </c>
      <c r="F345" s="862">
        <v>45122</v>
      </c>
      <c r="G345" s="862">
        <v>45122</v>
      </c>
      <c r="H345" s="781">
        <f t="shared" si="279"/>
        <v>48772</v>
      </c>
      <c r="I345" s="815">
        <v>36800</v>
      </c>
      <c r="J345" s="805">
        <f t="shared" si="280"/>
        <v>1840</v>
      </c>
      <c r="K345" s="793"/>
      <c r="L345" s="793"/>
      <c r="M345" s="793"/>
      <c r="N345" s="793"/>
      <c r="O345" s="793"/>
      <c r="P345" s="793"/>
      <c r="Q345" s="793"/>
      <c r="R345" s="793"/>
      <c r="S345" s="793"/>
      <c r="T345" s="805"/>
      <c r="U345" s="805"/>
      <c r="V345" s="793"/>
      <c r="W345" s="793"/>
      <c r="X345" s="793"/>
      <c r="Y345" s="1423"/>
      <c r="Z345" s="805"/>
      <c r="AA345" s="805"/>
      <c r="AB345" s="805"/>
      <c r="AC345" s="805"/>
      <c r="AD345" s="793"/>
      <c r="AE345" s="793"/>
      <c r="AF345" s="793"/>
      <c r="AG345" s="793"/>
      <c r="AH345" s="805"/>
      <c r="AI345" s="805"/>
      <c r="AJ345" s="793"/>
      <c r="AK345" s="793"/>
      <c r="AL345" s="793"/>
      <c r="AM345" s="793"/>
      <c r="AN345" s="805"/>
      <c r="AO345" s="805"/>
      <c r="AP345" s="818">
        <f t="shared" si="266"/>
        <v>0</v>
      </c>
      <c r="AQ345" s="818">
        <f t="shared" si="281"/>
        <v>36800</v>
      </c>
      <c r="AR345" s="818">
        <f t="shared" si="282"/>
        <v>261</v>
      </c>
      <c r="AS345" s="818">
        <f t="shared" si="283"/>
        <v>2500</v>
      </c>
      <c r="AT345" s="818">
        <f t="shared" si="270"/>
        <v>2500</v>
      </c>
      <c r="AU345" s="818">
        <f t="shared" si="271"/>
        <v>34300</v>
      </c>
      <c r="AV345" s="793">
        <f t="shared" si="272"/>
        <v>34300</v>
      </c>
      <c r="AW345" s="793">
        <f t="shared" si="284"/>
        <v>36800</v>
      </c>
      <c r="AX345" s="793">
        <f t="shared" si="285"/>
        <v>365</v>
      </c>
      <c r="AY345" s="793">
        <f t="shared" si="286"/>
        <v>3496</v>
      </c>
      <c r="AZ345" s="818">
        <f t="shared" si="276"/>
        <v>5996</v>
      </c>
      <c r="BA345" s="818">
        <f t="shared" si="277"/>
        <v>30804</v>
      </c>
    </row>
    <row r="346" spans="1:53" ht="15" customHeight="1" x14ac:dyDescent="0.25">
      <c r="A346" s="856" t="s">
        <v>133</v>
      </c>
      <c r="B346" s="822" t="s">
        <v>315</v>
      </c>
      <c r="C346" s="778">
        <f t="shared" si="278"/>
        <v>9.5000000000000001E-2</v>
      </c>
      <c r="D346" s="844">
        <v>10</v>
      </c>
      <c r="E346" s="844" t="s">
        <v>884</v>
      </c>
      <c r="F346" s="862">
        <v>45167</v>
      </c>
      <c r="G346" s="862">
        <v>45167</v>
      </c>
      <c r="H346" s="781">
        <f t="shared" si="279"/>
        <v>48817</v>
      </c>
      <c r="I346" s="815">
        <v>11760</v>
      </c>
      <c r="J346" s="805">
        <f t="shared" si="280"/>
        <v>588</v>
      </c>
      <c r="K346" s="793"/>
      <c r="L346" s="793"/>
      <c r="M346" s="793"/>
      <c r="N346" s="793"/>
      <c r="O346" s="793"/>
      <c r="P346" s="793"/>
      <c r="Q346" s="793"/>
      <c r="R346" s="793"/>
      <c r="S346" s="793"/>
      <c r="T346" s="805"/>
      <c r="U346" s="805"/>
      <c r="V346" s="793"/>
      <c r="W346" s="793"/>
      <c r="X346" s="793"/>
      <c r="Y346" s="1423"/>
      <c r="Z346" s="805"/>
      <c r="AA346" s="805"/>
      <c r="AB346" s="805"/>
      <c r="AC346" s="805"/>
      <c r="AD346" s="793"/>
      <c r="AE346" s="793"/>
      <c r="AF346" s="793"/>
      <c r="AG346" s="793"/>
      <c r="AH346" s="805"/>
      <c r="AI346" s="805"/>
      <c r="AJ346" s="793"/>
      <c r="AK346" s="793"/>
      <c r="AL346" s="793"/>
      <c r="AM346" s="793"/>
      <c r="AN346" s="805"/>
      <c r="AO346" s="805"/>
      <c r="AP346" s="818">
        <f t="shared" si="266"/>
        <v>0</v>
      </c>
      <c r="AQ346" s="818">
        <f t="shared" si="281"/>
        <v>11760</v>
      </c>
      <c r="AR346" s="818">
        <f t="shared" si="282"/>
        <v>216</v>
      </c>
      <c r="AS346" s="818">
        <f t="shared" si="283"/>
        <v>661</v>
      </c>
      <c r="AT346" s="818">
        <f t="shared" si="270"/>
        <v>661</v>
      </c>
      <c r="AU346" s="818">
        <f t="shared" si="271"/>
        <v>11099</v>
      </c>
      <c r="AV346" s="793">
        <f t="shared" si="272"/>
        <v>11099</v>
      </c>
      <c r="AW346" s="793">
        <f t="shared" si="284"/>
        <v>11760</v>
      </c>
      <c r="AX346" s="793">
        <f t="shared" si="285"/>
        <v>365</v>
      </c>
      <c r="AY346" s="793">
        <f t="shared" si="286"/>
        <v>1117</v>
      </c>
      <c r="AZ346" s="818">
        <f t="shared" si="276"/>
        <v>1778</v>
      </c>
      <c r="BA346" s="818">
        <f t="shared" si="277"/>
        <v>9982</v>
      </c>
    </row>
    <row r="347" spans="1:53" ht="15" customHeight="1" x14ac:dyDescent="0.25">
      <c r="A347" s="856" t="s">
        <v>133</v>
      </c>
      <c r="B347" s="822" t="s">
        <v>314</v>
      </c>
      <c r="C347" s="778">
        <f t="shared" si="278"/>
        <v>9.5000000000000001E-2</v>
      </c>
      <c r="D347" s="844">
        <v>10</v>
      </c>
      <c r="E347" s="844" t="s">
        <v>884</v>
      </c>
      <c r="F347" s="862">
        <v>45176</v>
      </c>
      <c r="G347" s="862">
        <v>45176</v>
      </c>
      <c r="H347" s="781">
        <f t="shared" si="279"/>
        <v>48826</v>
      </c>
      <c r="I347" s="815">
        <v>325000</v>
      </c>
      <c r="J347" s="805">
        <f t="shared" si="280"/>
        <v>16250</v>
      </c>
      <c r="K347" s="793"/>
      <c r="L347" s="793"/>
      <c r="M347" s="793"/>
      <c r="N347" s="793"/>
      <c r="O347" s="793"/>
      <c r="P347" s="793"/>
      <c r="Q347" s="793"/>
      <c r="R347" s="793"/>
      <c r="S347" s="793"/>
      <c r="T347" s="805"/>
      <c r="U347" s="805"/>
      <c r="V347" s="793"/>
      <c r="W347" s="793"/>
      <c r="X347" s="793"/>
      <c r="Y347" s="1423"/>
      <c r="Z347" s="805"/>
      <c r="AA347" s="805"/>
      <c r="AB347" s="805"/>
      <c r="AC347" s="805"/>
      <c r="AD347" s="793"/>
      <c r="AE347" s="793"/>
      <c r="AF347" s="793"/>
      <c r="AG347" s="793"/>
      <c r="AH347" s="805"/>
      <c r="AI347" s="805"/>
      <c r="AJ347" s="793"/>
      <c r="AK347" s="793"/>
      <c r="AL347" s="793"/>
      <c r="AM347" s="793"/>
      <c r="AN347" s="805"/>
      <c r="AO347" s="805"/>
      <c r="AP347" s="818">
        <f t="shared" si="266"/>
        <v>0</v>
      </c>
      <c r="AQ347" s="818">
        <f t="shared" si="281"/>
        <v>325000</v>
      </c>
      <c r="AR347" s="818">
        <f t="shared" si="282"/>
        <v>207</v>
      </c>
      <c r="AS347" s="818">
        <f t="shared" si="283"/>
        <v>17510</v>
      </c>
      <c r="AT347" s="818">
        <f t="shared" si="270"/>
        <v>17510</v>
      </c>
      <c r="AU347" s="818">
        <f t="shared" si="271"/>
        <v>307490</v>
      </c>
      <c r="AV347" s="793">
        <f t="shared" si="272"/>
        <v>307490</v>
      </c>
      <c r="AW347" s="793">
        <f t="shared" si="284"/>
        <v>325000</v>
      </c>
      <c r="AX347" s="793">
        <f t="shared" si="285"/>
        <v>365</v>
      </c>
      <c r="AY347" s="793">
        <f t="shared" si="286"/>
        <v>30875</v>
      </c>
      <c r="AZ347" s="818">
        <f t="shared" si="276"/>
        <v>48385</v>
      </c>
      <c r="BA347" s="818">
        <f t="shared" si="277"/>
        <v>276615</v>
      </c>
    </row>
    <row r="348" spans="1:53" ht="15" customHeight="1" x14ac:dyDescent="0.25">
      <c r="A348" s="856" t="s">
        <v>133</v>
      </c>
      <c r="B348" s="822" t="s">
        <v>517</v>
      </c>
      <c r="C348" s="778">
        <f t="shared" si="278"/>
        <v>9.5000000000000001E-2</v>
      </c>
      <c r="D348" s="844">
        <v>10</v>
      </c>
      <c r="E348" s="844" t="s">
        <v>884</v>
      </c>
      <c r="F348" s="862">
        <v>45283</v>
      </c>
      <c r="G348" s="862">
        <v>45283</v>
      </c>
      <c r="H348" s="781">
        <f t="shared" si="279"/>
        <v>48933</v>
      </c>
      <c r="I348" s="815">
        <v>323996</v>
      </c>
      <c r="J348" s="805">
        <f t="shared" si="280"/>
        <v>16199.800000000001</v>
      </c>
      <c r="K348" s="793"/>
      <c r="L348" s="793"/>
      <c r="M348" s="793"/>
      <c r="N348" s="793"/>
      <c r="O348" s="793"/>
      <c r="P348" s="793"/>
      <c r="Q348" s="793"/>
      <c r="R348" s="793"/>
      <c r="S348" s="793"/>
      <c r="T348" s="805"/>
      <c r="U348" s="805"/>
      <c r="V348" s="793"/>
      <c r="W348" s="793"/>
      <c r="X348" s="793"/>
      <c r="Y348" s="1423"/>
      <c r="Z348" s="805"/>
      <c r="AA348" s="805"/>
      <c r="AB348" s="805"/>
      <c r="AC348" s="805"/>
      <c r="AD348" s="793"/>
      <c r="AE348" s="793"/>
      <c r="AF348" s="793"/>
      <c r="AG348" s="793"/>
      <c r="AH348" s="805"/>
      <c r="AI348" s="805"/>
      <c r="AJ348" s="793"/>
      <c r="AK348" s="793"/>
      <c r="AL348" s="793"/>
      <c r="AM348" s="793"/>
      <c r="AN348" s="805"/>
      <c r="AO348" s="805"/>
      <c r="AP348" s="818">
        <f t="shared" si="266"/>
        <v>0</v>
      </c>
      <c r="AQ348" s="818">
        <f t="shared" si="281"/>
        <v>323996</v>
      </c>
      <c r="AR348" s="818">
        <f t="shared" si="282"/>
        <v>100</v>
      </c>
      <c r="AS348" s="818">
        <f t="shared" si="283"/>
        <v>8433</v>
      </c>
      <c r="AT348" s="818">
        <f t="shared" si="270"/>
        <v>8433</v>
      </c>
      <c r="AU348" s="818">
        <f t="shared" si="271"/>
        <v>315563</v>
      </c>
      <c r="AV348" s="793">
        <f t="shared" si="272"/>
        <v>315563</v>
      </c>
      <c r="AW348" s="793">
        <f t="shared" si="284"/>
        <v>323996</v>
      </c>
      <c r="AX348" s="793">
        <f t="shared" si="285"/>
        <v>365</v>
      </c>
      <c r="AY348" s="793">
        <f t="shared" si="286"/>
        <v>30780</v>
      </c>
      <c r="AZ348" s="818">
        <f t="shared" si="276"/>
        <v>39213</v>
      </c>
      <c r="BA348" s="818">
        <f t="shared" si="277"/>
        <v>284783</v>
      </c>
    </row>
    <row r="349" spans="1:53" ht="15" customHeight="1" x14ac:dyDescent="0.25">
      <c r="A349" s="856" t="s">
        <v>133</v>
      </c>
      <c r="B349" s="822" t="s">
        <v>517</v>
      </c>
      <c r="C349" s="778">
        <f t="shared" si="278"/>
        <v>9.5000000000000001E-2</v>
      </c>
      <c r="D349" s="844">
        <v>10</v>
      </c>
      <c r="E349" s="844" t="s">
        <v>884</v>
      </c>
      <c r="F349" s="862">
        <v>45283</v>
      </c>
      <c r="G349" s="862">
        <v>45283</v>
      </c>
      <c r="H349" s="781">
        <f t="shared" si="279"/>
        <v>48933</v>
      </c>
      <c r="I349" s="815">
        <v>69000</v>
      </c>
      <c r="J349" s="805">
        <f t="shared" si="280"/>
        <v>3450</v>
      </c>
      <c r="K349" s="793"/>
      <c r="L349" s="793"/>
      <c r="M349" s="793"/>
      <c r="N349" s="793"/>
      <c r="O349" s="793"/>
      <c r="P349" s="793"/>
      <c r="Q349" s="793"/>
      <c r="R349" s="793"/>
      <c r="S349" s="793"/>
      <c r="T349" s="805"/>
      <c r="U349" s="805"/>
      <c r="V349" s="793"/>
      <c r="W349" s="793"/>
      <c r="X349" s="793"/>
      <c r="Y349" s="1423"/>
      <c r="Z349" s="805"/>
      <c r="AA349" s="805"/>
      <c r="AB349" s="805"/>
      <c r="AC349" s="805"/>
      <c r="AD349" s="793"/>
      <c r="AE349" s="793"/>
      <c r="AF349" s="793"/>
      <c r="AG349" s="793"/>
      <c r="AH349" s="805"/>
      <c r="AI349" s="805"/>
      <c r="AJ349" s="793"/>
      <c r="AK349" s="793"/>
      <c r="AL349" s="793"/>
      <c r="AM349" s="793"/>
      <c r="AN349" s="805"/>
      <c r="AO349" s="805"/>
      <c r="AP349" s="818">
        <f t="shared" si="266"/>
        <v>0</v>
      </c>
      <c r="AQ349" s="818">
        <f t="shared" si="281"/>
        <v>69000</v>
      </c>
      <c r="AR349" s="818">
        <f t="shared" si="282"/>
        <v>100</v>
      </c>
      <c r="AS349" s="818">
        <f t="shared" si="283"/>
        <v>1796</v>
      </c>
      <c r="AT349" s="818">
        <f t="shared" si="270"/>
        <v>1796</v>
      </c>
      <c r="AU349" s="818">
        <f t="shared" si="271"/>
        <v>67204</v>
      </c>
      <c r="AV349" s="793">
        <f t="shared" si="272"/>
        <v>67204</v>
      </c>
      <c r="AW349" s="793">
        <f t="shared" si="284"/>
        <v>69000</v>
      </c>
      <c r="AX349" s="793">
        <f t="shared" si="285"/>
        <v>365</v>
      </c>
      <c r="AY349" s="793">
        <f t="shared" si="286"/>
        <v>6555</v>
      </c>
      <c r="AZ349" s="818">
        <f t="shared" si="276"/>
        <v>8351</v>
      </c>
      <c r="BA349" s="818">
        <f t="shared" si="277"/>
        <v>60649</v>
      </c>
    </row>
    <row r="350" spans="1:53" ht="15" customHeight="1" x14ac:dyDescent="0.25">
      <c r="A350" s="856" t="s">
        <v>133</v>
      </c>
      <c r="B350" s="822" t="s">
        <v>314</v>
      </c>
      <c r="C350" s="778">
        <f t="shared" si="278"/>
        <v>9.5000000000000001E-2</v>
      </c>
      <c r="D350" s="844">
        <v>10</v>
      </c>
      <c r="E350" s="844" t="s">
        <v>884</v>
      </c>
      <c r="F350" s="862">
        <v>45299</v>
      </c>
      <c r="G350" s="862">
        <v>45299</v>
      </c>
      <c r="H350" s="781">
        <f t="shared" si="279"/>
        <v>48949</v>
      </c>
      <c r="I350" s="815">
        <v>15500</v>
      </c>
      <c r="J350" s="805">
        <f t="shared" si="280"/>
        <v>775</v>
      </c>
      <c r="K350" s="793"/>
      <c r="L350" s="793"/>
      <c r="M350" s="793"/>
      <c r="N350" s="793"/>
      <c r="O350" s="793"/>
      <c r="P350" s="793"/>
      <c r="Q350" s="793"/>
      <c r="R350" s="793"/>
      <c r="S350" s="793"/>
      <c r="T350" s="805"/>
      <c r="U350" s="805"/>
      <c r="V350" s="793"/>
      <c r="W350" s="793"/>
      <c r="X350" s="793"/>
      <c r="Y350" s="1423"/>
      <c r="Z350" s="805"/>
      <c r="AA350" s="805"/>
      <c r="AB350" s="805"/>
      <c r="AC350" s="805"/>
      <c r="AD350" s="793"/>
      <c r="AE350" s="793"/>
      <c r="AF350" s="793"/>
      <c r="AG350" s="793"/>
      <c r="AH350" s="805"/>
      <c r="AI350" s="805"/>
      <c r="AJ350" s="793"/>
      <c r="AK350" s="793"/>
      <c r="AL350" s="793"/>
      <c r="AM350" s="793"/>
      <c r="AN350" s="805"/>
      <c r="AO350" s="805"/>
      <c r="AP350" s="818">
        <f t="shared" si="266"/>
        <v>0</v>
      </c>
      <c r="AQ350" s="818">
        <f t="shared" si="281"/>
        <v>15500</v>
      </c>
      <c r="AR350" s="818">
        <f t="shared" si="282"/>
        <v>84</v>
      </c>
      <c r="AS350" s="818">
        <f t="shared" si="283"/>
        <v>339</v>
      </c>
      <c r="AT350" s="818">
        <f t="shared" si="270"/>
        <v>339</v>
      </c>
      <c r="AU350" s="818">
        <f t="shared" si="271"/>
        <v>15161</v>
      </c>
      <c r="AV350" s="793">
        <f t="shared" si="272"/>
        <v>15161</v>
      </c>
      <c r="AW350" s="793">
        <f t="shared" si="284"/>
        <v>15500</v>
      </c>
      <c r="AX350" s="793">
        <f t="shared" si="285"/>
        <v>365</v>
      </c>
      <c r="AY350" s="793">
        <f t="shared" si="286"/>
        <v>1473</v>
      </c>
      <c r="AZ350" s="818">
        <f t="shared" si="276"/>
        <v>1812</v>
      </c>
      <c r="BA350" s="818">
        <f t="shared" si="277"/>
        <v>13688</v>
      </c>
    </row>
    <row r="351" spans="1:53" ht="15" customHeight="1" x14ac:dyDescent="0.25">
      <c r="A351" s="856" t="s">
        <v>133</v>
      </c>
      <c r="B351" s="822" t="s">
        <v>517</v>
      </c>
      <c r="C351" s="778">
        <f t="shared" si="278"/>
        <v>9.5000000000000001E-2</v>
      </c>
      <c r="D351" s="844">
        <v>10</v>
      </c>
      <c r="E351" s="844" t="s">
        <v>884</v>
      </c>
      <c r="F351" s="862">
        <v>45302</v>
      </c>
      <c r="G351" s="862">
        <v>45302</v>
      </c>
      <c r="H351" s="781">
        <f t="shared" si="279"/>
        <v>48952</v>
      </c>
      <c r="I351" s="815">
        <v>151000</v>
      </c>
      <c r="J351" s="805">
        <f t="shared" si="280"/>
        <v>7550</v>
      </c>
      <c r="K351" s="793"/>
      <c r="L351" s="793"/>
      <c r="M351" s="793"/>
      <c r="N351" s="793"/>
      <c r="O351" s="793"/>
      <c r="P351" s="793"/>
      <c r="Q351" s="793"/>
      <c r="R351" s="793"/>
      <c r="S351" s="793"/>
      <c r="T351" s="805"/>
      <c r="U351" s="805"/>
      <c r="V351" s="793"/>
      <c r="W351" s="793"/>
      <c r="X351" s="793"/>
      <c r="Y351" s="1423"/>
      <c r="Z351" s="805"/>
      <c r="AA351" s="805"/>
      <c r="AB351" s="805"/>
      <c r="AC351" s="805"/>
      <c r="AD351" s="793"/>
      <c r="AE351" s="793"/>
      <c r="AF351" s="793"/>
      <c r="AG351" s="793"/>
      <c r="AH351" s="805"/>
      <c r="AI351" s="805"/>
      <c r="AJ351" s="793"/>
      <c r="AK351" s="793"/>
      <c r="AL351" s="793"/>
      <c r="AM351" s="793"/>
      <c r="AN351" s="805"/>
      <c r="AO351" s="805"/>
      <c r="AP351" s="818">
        <f t="shared" si="266"/>
        <v>0</v>
      </c>
      <c r="AQ351" s="818">
        <f t="shared" si="281"/>
        <v>151000</v>
      </c>
      <c r="AR351" s="818">
        <f t="shared" si="282"/>
        <v>81</v>
      </c>
      <c r="AS351" s="818">
        <f t="shared" si="283"/>
        <v>3183</v>
      </c>
      <c r="AT351" s="818">
        <f t="shared" si="270"/>
        <v>3183</v>
      </c>
      <c r="AU351" s="818">
        <f t="shared" si="271"/>
        <v>147817</v>
      </c>
      <c r="AV351" s="793">
        <f t="shared" si="272"/>
        <v>147817</v>
      </c>
      <c r="AW351" s="793">
        <f t="shared" si="284"/>
        <v>151000</v>
      </c>
      <c r="AX351" s="793">
        <f t="shared" si="285"/>
        <v>365</v>
      </c>
      <c r="AY351" s="793">
        <f t="shared" si="286"/>
        <v>14345</v>
      </c>
      <c r="AZ351" s="818">
        <f t="shared" si="276"/>
        <v>17528</v>
      </c>
      <c r="BA351" s="818">
        <f t="shared" si="277"/>
        <v>133472</v>
      </c>
    </row>
    <row r="352" spans="1:53" ht="15" customHeight="1" x14ac:dyDescent="0.25">
      <c r="A352" s="856" t="s">
        <v>133</v>
      </c>
      <c r="B352" s="822" t="s">
        <v>497</v>
      </c>
      <c r="C352" s="778">
        <f t="shared" si="278"/>
        <v>9.5000000000000001E-2</v>
      </c>
      <c r="D352" s="844">
        <v>10</v>
      </c>
      <c r="E352" s="844" t="s">
        <v>884</v>
      </c>
      <c r="F352" s="862">
        <v>45303</v>
      </c>
      <c r="G352" s="862">
        <v>45303</v>
      </c>
      <c r="H352" s="781">
        <f t="shared" si="279"/>
        <v>48953</v>
      </c>
      <c r="I352" s="815">
        <v>350000</v>
      </c>
      <c r="J352" s="805">
        <f t="shared" si="280"/>
        <v>17500</v>
      </c>
      <c r="K352" s="793"/>
      <c r="L352" s="793"/>
      <c r="M352" s="793"/>
      <c r="N352" s="793"/>
      <c r="O352" s="793"/>
      <c r="P352" s="793"/>
      <c r="Q352" s="793"/>
      <c r="R352" s="793"/>
      <c r="S352" s="793"/>
      <c r="T352" s="805"/>
      <c r="U352" s="805"/>
      <c r="V352" s="793"/>
      <c r="W352" s="793"/>
      <c r="X352" s="793"/>
      <c r="Y352" s="1423"/>
      <c r="Z352" s="805"/>
      <c r="AA352" s="805"/>
      <c r="AB352" s="805"/>
      <c r="AC352" s="805"/>
      <c r="AD352" s="793"/>
      <c r="AE352" s="793"/>
      <c r="AF352" s="793"/>
      <c r="AG352" s="793"/>
      <c r="AH352" s="805"/>
      <c r="AI352" s="805"/>
      <c r="AJ352" s="793"/>
      <c r="AK352" s="793"/>
      <c r="AL352" s="793"/>
      <c r="AM352" s="793"/>
      <c r="AN352" s="805"/>
      <c r="AO352" s="805"/>
      <c r="AP352" s="818">
        <f t="shared" si="266"/>
        <v>0</v>
      </c>
      <c r="AQ352" s="818">
        <f t="shared" si="281"/>
        <v>350000</v>
      </c>
      <c r="AR352" s="818">
        <f t="shared" si="282"/>
        <v>80</v>
      </c>
      <c r="AS352" s="818">
        <f t="shared" si="283"/>
        <v>7288</v>
      </c>
      <c r="AT352" s="818">
        <f t="shared" si="270"/>
        <v>7288</v>
      </c>
      <c r="AU352" s="818">
        <f t="shared" si="271"/>
        <v>342712</v>
      </c>
      <c r="AV352" s="793">
        <f t="shared" si="272"/>
        <v>342712</v>
      </c>
      <c r="AW352" s="793">
        <f t="shared" si="284"/>
        <v>350000</v>
      </c>
      <c r="AX352" s="793">
        <f t="shared" si="285"/>
        <v>365</v>
      </c>
      <c r="AY352" s="793">
        <f t="shared" si="286"/>
        <v>33250</v>
      </c>
      <c r="AZ352" s="818">
        <f t="shared" si="276"/>
        <v>40538</v>
      </c>
      <c r="BA352" s="818">
        <f t="shared" si="277"/>
        <v>309462</v>
      </c>
    </row>
    <row r="353" spans="1:53" ht="15" customHeight="1" x14ac:dyDescent="0.25">
      <c r="A353" s="856" t="s">
        <v>133</v>
      </c>
      <c r="B353" s="822" t="s">
        <v>524</v>
      </c>
      <c r="C353" s="778">
        <f t="shared" si="278"/>
        <v>9.5000000000000001E-2</v>
      </c>
      <c r="D353" s="844">
        <v>10</v>
      </c>
      <c r="E353" s="844" t="s">
        <v>884</v>
      </c>
      <c r="F353" s="862">
        <v>45316</v>
      </c>
      <c r="G353" s="862">
        <v>45316</v>
      </c>
      <c r="H353" s="781">
        <f t="shared" si="279"/>
        <v>48966</v>
      </c>
      <c r="I353" s="815">
        <v>720000</v>
      </c>
      <c r="J353" s="805">
        <f t="shared" si="280"/>
        <v>36000</v>
      </c>
      <c r="K353" s="793"/>
      <c r="L353" s="793"/>
      <c r="M353" s="793"/>
      <c r="N353" s="793"/>
      <c r="O353" s="793"/>
      <c r="P353" s="793"/>
      <c r="Q353" s="793"/>
      <c r="R353" s="793"/>
      <c r="S353" s="793"/>
      <c r="T353" s="805"/>
      <c r="U353" s="805"/>
      <c r="V353" s="793"/>
      <c r="W353" s="793"/>
      <c r="X353" s="793"/>
      <c r="Y353" s="1423"/>
      <c r="Z353" s="805"/>
      <c r="AA353" s="805"/>
      <c r="AB353" s="805"/>
      <c r="AC353" s="805"/>
      <c r="AD353" s="793"/>
      <c r="AE353" s="793"/>
      <c r="AF353" s="793"/>
      <c r="AG353" s="793"/>
      <c r="AH353" s="805"/>
      <c r="AI353" s="805"/>
      <c r="AJ353" s="793"/>
      <c r="AK353" s="793"/>
      <c r="AL353" s="793"/>
      <c r="AM353" s="793"/>
      <c r="AN353" s="805"/>
      <c r="AO353" s="805"/>
      <c r="AP353" s="818">
        <f t="shared" si="266"/>
        <v>0</v>
      </c>
      <c r="AQ353" s="818">
        <f t="shared" si="281"/>
        <v>720000</v>
      </c>
      <c r="AR353" s="818">
        <f t="shared" si="282"/>
        <v>67</v>
      </c>
      <c r="AS353" s="818">
        <f t="shared" si="283"/>
        <v>12556</v>
      </c>
      <c r="AT353" s="818">
        <f t="shared" si="270"/>
        <v>12556</v>
      </c>
      <c r="AU353" s="818">
        <f t="shared" si="271"/>
        <v>707444</v>
      </c>
      <c r="AV353" s="793">
        <f t="shared" si="272"/>
        <v>707444</v>
      </c>
      <c r="AW353" s="793">
        <f t="shared" si="284"/>
        <v>720000</v>
      </c>
      <c r="AX353" s="793">
        <f t="shared" si="285"/>
        <v>365</v>
      </c>
      <c r="AY353" s="793">
        <f t="shared" si="286"/>
        <v>68400</v>
      </c>
      <c r="AZ353" s="818">
        <f t="shared" si="276"/>
        <v>80956</v>
      </c>
      <c r="BA353" s="818">
        <f t="shared" si="277"/>
        <v>639044</v>
      </c>
    </row>
    <row r="354" spans="1:53" ht="15" customHeight="1" x14ac:dyDescent="0.25">
      <c r="A354" s="856" t="s">
        <v>133</v>
      </c>
      <c r="B354" s="822" t="s">
        <v>524</v>
      </c>
      <c r="C354" s="778">
        <f t="shared" si="278"/>
        <v>9.5000000000000001E-2</v>
      </c>
      <c r="D354" s="844">
        <v>10</v>
      </c>
      <c r="E354" s="844" t="s">
        <v>884</v>
      </c>
      <c r="F354" s="862">
        <v>45321</v>
      </c>
      <c r="G354" s="862">
        <v>45321</v>
      </c>
      <c r="H354" s="781">
        <f t="shared" si="279"/>
        <v>48971</v>
      </c>
      <c r="I354" s="815">
        <v>140000</v>
      </c>
      <c r="J354" s="805">
        <f t="shared" si="280"/>
        <v>7000</v>
      </c>
      <c r="K354" s="793"/>
      <c r="L354" s="793"/>
      <c r="M354" s="793"/>
      <c r="N354" s="793"/>
      <c r="O354" s="793"/>
      <c r="P354" s="793"/>
      <c r="Q354" s="793"/>
      <c r="R354" s="793"/>
      <c r="S354" s="793"/>
      <c r="T354" s="805"/>
      <c r="U354" s="805"/>
      <c r="V354" s="793"/>
      <c r="W354" s="793"/>
      <c r="X354" s="793"/>
      <c r="Y354" s="1423"/>
      <c r="Z354" s="805"/>
      <c r="AA354" s="805"/>
      <c r="AB354" s="805"/>
      <c r="AC354" s="805"/>
      <c r="AD354" s="793"/>
      <c r="AE354" s="793"/>
      <c r="AF354" s="793"/>
      <c r="AG354" s="793"/>
      <c r="AH354" s="805"/>
      <c r="AI354" s="805"/>
      <c r="AJ354" s="793"/>
      <c r="AK354" s="793"/>
      <c r="AL354" s="793"/>
      <c r="AM354" s="793"/>
      <c r="AN354" s="805"/>
      <c r="AO354" s="805"/>
      <c r="AP354" s="818">
        <f t="shared" si="266"/>
        <v>0</v>
      </c>
      <c r="AQ354" s="818">
        <f t="shared" si="281"/>
        <v>140000</v>
      </c>
      <c r="AR354" s="818">
        <f t="shared" si="282"/>
        <v>62</v>
      </c>
      <c r="AS354" s="818">
        <f t="shared" si="283"/>
        <v>2259</v>
      </c>
      <c r="AT354" s="818">
        <f t="shared" si="270"/>
        <v>2259</v>
      </c>
      <c r="AU354" s="818">
        <f t="shared" si="271"/>
        <v>137741</v>
      </c>
      <c r="AV354" s="793">
        <f t="shared" si="272"/>
        <v>137741</v>
      </c>
      <c r="AW354" s="793">
        <f t="shared" si="284"/>
        <v>140000</v>
      </c>
      <c r="AX354" s="793">
        <f t="shared" si="285"/>
        <v>365</v>
      </c>
      <c r="AY354" s="793">
        <f t="shared" si="286"/>
        <v>13300</v>
      </c>
      <c r="AZ354" s="818">
        <f t="shared" si="276"/>
        <v>15559</v>
      </c>
      <c r="BA354" s="818">
        <f t="shared" si="277"/>
        <v>124441</v>
      </c>
    </row>
    <row r="355" spans="1:53" ht="15" customHeight="1" x14ac:dyDescent="0.25">
      <c r="A355" s="856" t="s">
        <v>133</v>
      </c>
      <c r="B355" s="822" t="s">
        <v>314</v>
      </c>
      <c r="C355" s="778">
        <f t="shared" si="278"/>
        <v>9.5000000000000001E-2</v>
      </c>
      <c r="D355" s="844">
        <v>10</v>
      </c>
      <c r="E355" s="844" t="s">
        <v>884</v>
      </c>
      <c r="F355" s="814">
        <v>45329</v>
      </c>
      <c r="G355" s="814">
        <v>45329</v>
      </c>
      <c r="H355" s="781">
        <f t="shared" si="279"/>
        <v>48979</v>
      </c>
      <c r="I355" s="815">
        <v>57000</v>
      </c>
      <c r="J355" s="805">
        <f t="shared" si="280"/>
        <v>2850</v>
      </c>
      <c r="K355" s="793"/>
      <c r="L355" s="793"/>
      <c r="M355" s="1412"/>
      <c r="N355" s="793"/>
      <c r="O355" s="793"/>
      <c r="P355" s="793"/>
      <c r="Q355" s="793"/>
      <c r="R355" s="793"/>
      <c r="S355" s="793"/>
      <c r="T355" s="805"/>
      <c r="U355" s="805"/>
      <c r="V355" s="793"/>
      <c r="W355" s="793"/>
      <c r="X355" s="793"/>
      <c r="Y355" s="805"/>
      <c r="Z355" s="805"/>
      <c r="AA355" s="805"/>
      <c r="AB355" s="805"/>
      <c r="AC355" s="805"/>
      <c r="AD355" s="793"/>
      <c r="AE355" s="793"/>
      <c r="AF355" s="793"/>
      <c r="AG355" s="793"/>
      <c r="AH355" s="805"/>
      <c r="AI355" s="805"/>
      <c r="AJ355" s="793"/>
      <c r="AK355" s="793"/>
      <c r="AL355" s="793"/>
      <c r="AM355" s="793"/>
      <c r="AN355" s="805"/>
      <c r="AO355" s="805"/>
      <c r="AP355" s="818">
        <f t="shared" si="266"/>
        <v>0</v>
      </c>
      <c r="AQ355" s="818">
        <f t="shared" si="281"/>
        <v>57000</v>
      </c>
      <c r="AR355" s="818">
        <f t="shared" si="282"/>
        <v>54</v>
      </c>
      <c r="AS355" s="818">
        <f t="shared" si="283"/>
        <v>801</v>
      </c>
      <c r="AT355" s="818">
        <f t="shared" si="270"/>
        <v>801</v>
      </c>
      <c r="AU355" s="818">
        <f t="shared" si="271"/>
        <v>56199</v>
      </c>
      <c r="AV355" s="793">
        <f t="shared" si="272"/>
        <v>56199</v>
      </c>
      <c r="AW355" s="793">
        <f t="shared" si="284"/>
        <v>57000</v>
      </c>
      <c r="AX355" s="793">
        <f t="shared" si="285"/>
        <v>365</v>
      </c>
      <c r="AY355" s="793">
        <f t="shared" si="286"/>
        <v>5415</v>
      </c>
      <c r="AZ355" s="818">
        <f t="shared" si="276"/>
        <v>6216</v>
      </c>
      <c r="BA355" s="818">
        <f t="shared" si="277"/>
        <v>50784</v>
      </c>
    </row>
    <row r="356" spans="1:53" ht="15" customHeight="1" x14ac:dyDescent="0.25">
      <c r="A356" s="856" t="s">
        <v>133</v>
      </c>
      <c r="B356" s="822" t="s">
        <v>1300</v>
      </c>
      <c r="C356" s="778">
        <f t="shared" si="278"/>
        <v>9.5000000000000001E-2</v>
      </c>
      <c r="D356" s="844">
        <v>10</v>
      </c>
      <c r="E356" s="844" t="s">
        <v>884</v>
      </c>
      <c r="F356" s="814">
        <v>45335</v>
      </c>
      <c r="G356" s="814">
        <v>45335</v>
      </c>
      <c r="H356" s="781">
        <f t="shared" si="279"/>
        <v>48985</v>
      </c>
      <c r="I356" s="815">
        <v>53540</v>
      </c>
      <c r="J356" s="805">
        <f t="shared" si="280"/>
        <v>2677</v>
      </c>
      <c r="K356" s="793"/>
      <c r="L356" s="793"/>
      <c r="M356" s="1412"/>
      <c r="N356" s="793"/>
      <c r="O356" s="793"/>
      <c r="P356" s="793"/>
      <c r="Q356" s="793"/>
      <c r="R356" s="793"/>
      <c r="S356" s="793"/>
      <c r="T356" s="805"/>
      <c r="U356" s="805"/>
      <c r="V356" s="793"/>
      <c r="W356" s="793"/>
      <c r="X356" s="793"/>
      <c r="Y356" s="805"/>
      <c r="Z356" s="805"/>
      <c r="AA356" s="805"/>
      <c r="AB356" s="805"/>
      <c r="AC356" s="805"/>
      <c r="AD356" s="793"/>
      <c r="AE356" s="793"/>
      <c r="AF356" s="793"/>
      <c r="AG356" s="793"/>
      <c r="AH356" s="805"/>
      <c r="AI356" s="805"/>
      <c r="AJ356" s="793"/>
      <c r="AK356" s="793"/>
      <c r="AL356" s="793"/>
      <c r="AM356" s="793"/>
      <c r="AN356" s="805"/>
      <c r="AO356" s="805"/>
      <c r="AP356" s="818">
        <f t="shared" si="266"/>
        <v>0</v>
      </c>
      <c r="AQ356" s="818">
        <f t="shared" si="281"/>
        <v>53540</v>
      </c>
      <c r="AR356" s="818">
        <f t="shared" si="282"/>
        <v>48</v>
      </c>
      <c r="AS356" s="818">
        <f t="shared" si="283"/>
        <v>669</v>
      </c>
      <c r="AT356" s="818">
        <f t="shared" si="270"/>
        <v>669</v>
      </c>
      <c r="AU356" s="818">
        <f t="shared" si="271"/>
        <v>52871</v>
      </c>
      <c r="AV356" s="793">
        <f t="shared" si="272"/>
        <v>52871</v>
      </c>
      <c r="AW356" s="793">
        <f t="shared" si="284"/>
        <v>53540</v>
      </c>
      <c r="AX356" s="793">
        <f t="shared" si="285"/>
        <v>365</v>
      </c>
      <c r="AY356" s="793">
        <f t="shared" si="286"/>
        <v>5086</v>
      </c>
      <c r="AZ356" s="818">
        <f t="shared" si="276"/>
        <v>5755</v>
      </c>
      <c r="BA356" s="818">
        <f t="shared" si="277"/>
        <v>47785</v>
      </c>
    </row>
    <row r="357" spans="1:53" ht="15" customHeight="1" x14ac:dyDescent="0.25">
      <c r="A357" s="856" t="s">
        <v>133</v>
      </c>
      <c r="B357" s="822" t="s">
        <v>497</v>
      </c>
      <c r="C357" s="778">
        <f t="shared" si="278"/>
        <v>9.5000000000000001E-2</v>
      </c>
      <c r="D357" s="844">
        <v>10</v>
      </c>
      <c r="E357" s="844" t="s">
        <v>884</v>
      </c>
      <c r="F357" s="814">
        <v>45339</v>
      </c>
      <c r="G357" s="814">
        <v>45339</v>
      </c>
      <c r="H357" s="781">
        <f t="shared" si="279"/>
        <v>48989</v>
      </c>
      <c r="I357" s="815">
        <v>35810</v>
      </c>
      <c r="J357" s="805">
        <f t="shared" si="280"/>
        <v>1790.5</v>
      </c>
      <c r="K357" s="793"/>
      <c r="L357" s="793"/>
      <c r="M357" s="1412"/>
      <c r="N357" s="793"/>
      <c r="O357" s="793"/>
      <c r="P357" s="793"/>
      <c r="Q357" s="793"/>
      <c r="R357" s="793"/>
      <c r="S357" s="793"/>
      <c r="T357" s="805"/>
      <c r="U357" s="805"/>
      <c r="V357" s="793"/>
      <c r="W357" s="793"/>
      <c r="X357" s="793"/>
      <c r="Y357" s="805"/>
      <c r="Z357" s="805"/>
      <c r="AA357" s="805"/>
      <c r="AB357" s="805"/>
      <c r="AC357" s="805"/>
      <c r="AD357" s="793"/>
      <c r="AE357" s="793"/>
      <c r="AF357" s="793"/>
      <c r="AG357" s="793"/>
      <c r="AH357" s="805"/>
      <c r="AI357" s="805"/>
      <c r="AJ357" s="793"/>
      <c r="AK357" s="793"/>
      <c r="AL357" s="793"/>
      <c r="AM357" s="793"/>
      <c r="AN357" s="805"/>
      <c r="AO357" s="805"/>
      <c r="AP357" s="818">
        <f t="shared" si="266"/>
        <v>0</v>
      </c>
      <c r="AQ357" s="818">
        <f t="shared" si="281"/>
        <v>35810</v>
      </c>
      <c r="AR357" s="818">
        <f t="shared" si="282"/>
        <v>44</v>
      </c>
      <c r="AS357" s="818">
        <f t="shared" si="283"/>
        <v>410</v>
      </c>
      <c r="AT357" s="818">
        <f t="shared" si="270"/>
        <v>410</v>
      </c>
      <c r="AU357" s="818">
        <f t="shared" si="271"/>
        <v>35400</v>
      </c>
      <c r="AV357" s="793">
        <f t="shared" si="272"/>
        <v>35400</v>
      </c>
      <c r="AW357" s="793">
        <f t="shared" si="284"/>
        <v>35810</v>
      </c>
      <c r="AX357" s="793">
        <f t="shared" si="285"/>
        <v>365</v>
      </c>
      <c r="AY357" s="793">
        <f t="shared" si="286"/>
        <v>3402</v>
      </c>
      <c r="AZ357" s="818">
        <f t="shared" si="276"/>
        <v>3812</v>
      </c>
      <c r="BA357" s="818">
        <f t="shared" si="277"/>
        <v>31998</v>
      </c>
    </row>
    <row r="358" spans="1:53" ht="15" customHeight="1" x14ac:dyDescent="0.25">
      <c r="A358" s="856" t="s">
        <v>133</v>
      </c>
      <c r="B358" s="822" t="s">
        <v>360</v>
      </c>
      <c r="C358" s="778">
        <f t="shared" si="278"/>
        <v>9.5000000000000001E-2</v>
      </c>
      <c r="D358" s="844">
        <v>10</v>
      </c>
      <c r="E358" s="844" t="s">
        <v>884</v>
      </c>
      <c r="F358" s="814">
        <v>45341</v>
      </c>
      <c r="G358" s="814">
        <v>45341</v>
      </c>
      <c r="H358" s="781">
        <f t="shared" si="279"/>
        <v>48991</v>
      </c>
      <c r="I358" s="815">
        <v>35200</v>
      </c>
      <c r="J358" s="805">
        <f t="shared" si="280"/>
        <v>1760</v>
      </c>
      <c r="K358" s="793"/>
      <c r="L358" s="793"/>
      <c r="M358" s="1412"/>
      <c r="N358" s="793"/>
      <c r="O358" s="793"/>
      <c r="P358" s="793"/>
      <c r="Q358" s="793"/>
      <c r="R358" s="793"/>
      <c r="S358" s="793"/>
      <c r="T358" s="805"/>
      <c r="U358" s="805"/>
      <c r="V358" s="793"/>
      <c r="W358" s="793"/>
      <c r="X358" s="793"/>
      <c r="Y358" s="805"/>
      <c r="Z358" s="805"/>
      <c r="AA358" s="805"/>
      <c r="AB358" s="805"/>
      <c r="AC358" s="805"/>
      <c r="AD358" s="793"/>
      <c r="AE358" s="793"/>
      <c r="AF358" s="793"/>
      <c r="AG358" s="793"/>
      <c r="AH358" s="805"/>
      <c r="AI358" s="805"/>
      <c r="AJ358" s="793"/>
      <c r="AK358" s="793"/>
      <c r="AL358" s="793"/>
      <c r="AM358" s="793"/>
      <c r="AN358" s="805"/>
      <c r="AO358" s="805"/>
      <c r="AP358" s="818">
        <f t="shared" si="266"/>
        <v>0</v>
      </c>
      <c r="AQ358" s="818">
        <f t="shared" si="281"/>
        <v>35200</v>
      </c>
      <c r="AR358" s="818">
        <f t="shared" si="282"/>
        <v>42</v>
      </c>
      <c r="AS358" s="818">
        <f t="shared" si="283"/>
        <v>385</v>
      </c>
      <c r="AT358" s="818">
        <f t="shared" si="270"/>
        <v>385</v>
      </c>
      <c r="AU358" s="818">
        <f t="shared" si="271"/>
        <v>34815</v>
      </c>
      <c r="AV358" s="793">
        <f t="shared" si="272"/>
        <v>34815</v>
      </c>
      <c r="AW358" s="793">
        <f t="shared" si="284"/>
        <v>35200</v>
      </c>
      <c r="AX358" s="793">
        <f t="shared" si="285"/>
        <v>365</v>
      </c>
      <c r="AY358" s="793">
        <f t="shared" si="286"/>
        <v>3344</v>
      </c>
      <c r="AZ358" s="818">
        <f t="shared" si="276"/>
        <v>3729</v>
      </c>
      <c r="BA358" s="818">
        <f t="shared" si="277"/>
        <v>31471</v>
      </c>
    </row>
    <row r="359" spans="1:53" ht="15" customHeight="1" x14ac:dyDescent="0.25">
      <c r="A359" s="856" t="s">
        <v>133</v>
      </c>
      <c r="B359" s="822" t="s">
        <v>314</v>
      </c>
      <c r="C359" s="778">
        <f t="shared" si="278"/>
        <v>9.5000000000000001E-2</v>
      </c>
      <c r="D359" s="844">
        <v>10</v>
      </c>
      <c r="E359" s="844" t="s">
        <v>884</v>
      </c>
      <c r="F359" s="814">
        <v>45342</v>
      </c>
      <c r="G359" s="814">
        <v>45342</v>
      </c>
      <c r="H359" s="781">
        <f t="shared" si="279"/>
        <v>48992</v>
      </c>
      <c r="I359" s="815">
        <v>3710</v>
      </c>
      <c r="J359" s="805">
        <f t="shared" si="280"/>
        <v>185.5</v>
      </c>
      <c r="K359" s="793"/>
      <c r="L359" s="793"/>
      <c r="M359" s="1412"/>
      <c r="N359" s="793"/>
      <c r="O359" s="793"/>
      <c r="P359" s="793"/>
      <c r="Q359" s="793"/>
      <c r="R359" s="793"/>
      <c r="S359" s="793"/>
      <c r="T359" s="805"/>
      <c r="U359" s="805"/>
      <c r="V359" s="793"/>
      <c r="W359" s="793"/>
      <c r="X359" s="793"/>
      <c r="Y359" s="805"/>
      <c r="Z359" s="805"/>
      <c r="AA359" s="805"/>
      <c r="AB359" s="805"/>
      <c r="AC359" s="805"/>
      <c r="AD359" s="793"/>
      <c r="AE359" s="793"/>
      <c r="AF359" s="793"/>
      <c r="AG359" s="793"/>
      <c r="AH359" s="805"/>
      <c r="AI359" s="805"/>
      <c r="AJ359" s="793"/>
      <c r="AK359" s="793"/>
      <c r="AL359" s="793"/>
      <c r="AM359" s="793"/>
      <c r="AN359" s="805"/>
      <c r="AO359" s="805"/>
      <c r="AP359" s="818">
        <f t="shared" si="266"/>
        <v>0</v>
      </c>
      <c r="AQ359" s="818">
        <f t="shared" si="281"/>
        <v>3710</v>
      </c>
      <c r="AR359" s="818">
        <f t="shared" si="282"/>
        <v>41</v>
      </c>
      <c r="AS359" s="818">
        <f t="shared" si="283"/>
        <v>40</v>
      </c>
      <c r="AT359" s="818">
        <f t="shared" si="270"/>
        <v>40</v>
      </c>
      <c r="AU359" s="818">
        <f t="shared" si="271"/>
        <v>3670</v>
      </c>
      <c r="AV359" s="793">
        <f t="shared" si="272"/>
        <v>3670</v>
      </c>
      <c r="AW359" s="793">
        <f t="shared" si="284"/>
        <v>3710</v>
      </c>
      <c r="AX359" s="793">
        <f t="shared" si="285"/>
        <v>365</v>
      </c>
      <c r="AY359" s="793">
        <f t="shared" si="286"/>
        <v>352</v>
      </c>
      <c r="AZ359" s="818">
        <f t="shared" si="276"/>
        <v>392</v>
      </c>
      <c r="BA359" s="818">
        <f t="shared" si="277"/>
        <v>3318</v>
      </c>
    </row>
    <row r="360" spans="1:53" ht="15" customHeight="1" x14ac:dyDescent="0.25">
      <c r="A360" s="856" t="s">
        <v>133</v>
      </c>
      <c r="B360" s="822" t="s">
        <v>314</v>
      </c>
      <c r="C360" s="778">
        <f t="shared" si="278"/>
        <v>9.5000000000000001E-2</v>
      </c>
      <c r="D360" s="844">
        <v>10</v>
      </c>
      <c r="E360" s="844" t="s">
        <v>884</v>
      </c>
      <c r="F360" s="814">
        <v>45342</v>
      </c>
      <c r="G360" s="814">
        <v>45342</v>
      </c>
      <c r="H360" s="781">
        <f t="shared" si="279"/>
        <v>48992</v>
      </c>
      <c r="I360" s="815">
        <v>3710</v>
      </c>
      <c r="J360" s="805">
        <f t="shared" si="280"/>
        <v>185.5</v>
      </c>
      <c r="K360" s="793"/>
      <c r="L360" s="793"/>
      <c r="M360" s="1412"/>
      <c r="N360" s="793"/>
      <c r="O360" s="793"/>
      <c r="P360" s="793"/>
      <c r="Q360" s="793"/>
      <c r="R360" s="793"/>
      <c r="S360" s="793"/>
      <c r="T360" s="805"/>
      <c r="U360" s="805"/>
      <c r="V360" s="793"/>
      <c r="W360" s="793"/>
      <c r="X360" s="793"/>
      <c r="Y360" s="805"/>
      <c r="Z360" s="805"/>
      <c r="AA360" s="805"/>
      <c r="AB360" s="805"/>
      <c r="AC360" s="805"/>
      <c r="AD360" s="793"/>
      <c r="AE360" s="793"/>
      <c r="AF360" s="793"/>
      <c r="AG360" s="793"/>
      <c r="AH360" s="805"/>
      <c r="AI360" s="805"/>
      <c r="AJ360" s="793"/>
      <c r="AK360" s="793"/>
      <c r="AL360" s="793"/>
      <c r="AM360" s="793"/>
      <c r="AN360" s="805"/>
      <c r="AO360" s="805"/>
      <c r="AP360" s="818">
        <f t="shared" si="266"/>
        <v>0</v>
      </c>
      <c r="AQ360" s="818">
        <f t="shared" si="281"/>
        <v>3710</v>
      </c>
      <c r="AR360" s="818">
        <f t="shared" si="282"/>
        <v>41</v>
      </c>
      <c r="AS360" s="818">
        <f t="shared" si="283"/>
        <v>40</v>
      </c>
      <c r="AT360" s="818">
        <f t="shared" si="270"/>
        <v>40</v>
      </c>
      <c r="AU360" s="818">
        <f t="shared" si="271"/>
        <v>3670</v>
      </c>
      <c r="AV360" s="793">
        <f t="shared" si="272"/>
        <v>3670</v>
      </c>
      <c r="AW360" s="793">
        <f t="shared" si="284"/>
        <v>3710</v>
      </c>
      <c r="AX360" s="793">
        <f t="shared" si="285"/>
        <v>365</v>
      </c>
      <c r="AY360" s="793">
        <f t="shared" si="286"/>
        <v>352</v>
      </c>
      <c r="AZ360" s="818">
        <f t="shared" si="276"/>
        <v>392</v>
      </c>
      <c r="BA360" s="818">
        <f t="shared" si="277"/>
        <v>3318</v>
      </c>
    </row>
    <row r="361" spans="1:53" ht="15" customHeight="1" x14ac:dyDescent="0.25">
      <c r="A361" s="856" t="s">
        <v>133</v>
      </c>
      <c r="B361" s="822" t="s">
        <v>314</v>
      </c>
      <c r="C361" s="778">
        <f t="shared" si="278"/>
        <v>9.5000000000000001E-2</v>
      </c>
      <c r="D361" s="844">
        <v>10</v>
      </c>
      <c r="E361" s="844" t="s">
        <v>884</v>
      </c>
      <c r="F361" s="814">
        <v>45346</v>
      </c>
      <c r="G361" s="814">
        <v>45346</v>
      </c>
      <c r="H361" s="781">
        <f t="shared" si="279"/>
        <v>48996</v>
      </c>
      <c r="I361" s="815">
        <v>5136</v>
      </c>
      <c r="J361" s="805">
        <f t="shared" si="280"/>
        <v>256.8</v>
      </c>
      <c r="K361" s="793"/>
      <c r="L361" s="793"/>
      <c r="M361" s="1412"/>
      <c r="N361" s="793"/>
      <c r="O361" s="793"/>
      <c r="P361" s="793"/>
      <c r="Q361" s="793"/>
      <c r="R361" s="793"/>
      <c r="S361" s="793"/>
      <c r="T361" s="805"/>
      <c r="U361" s="805"/>
      <c r="V361" s="793"/>
      <c r="W361" s="793"/>
      <c r="X361" s="793"/>
      <c r="Y361" s="805"/>
      <c r="Z361" s="805"/>
      <c r="AA361" s="805"/>
      <c r="AB361" s="805"/>
      <c r="AC361" s="805"/>
      <c r="AD361" s="793"/>
      <c r="AE361" s="793"/>
      <c r="AF361" s="793"/>
      <c r="AG361" s="793"/>
      <c r="AH361" s="805"/>
      <c r="AI361" s="805"/>
      <c r="AJ361" s="793"/>
      <c r="AK361" s="793"/>
      <c r="AL361" s="793"/>
      <c r="AM361" s="793"/>
      <c r="AN361" s="805"/>
      <c r="AO361" s="805"/>
      <c r="AP361" s="818">
        <f t="shared" si="266"/>
        <v>0</v>
      </c>
      <c r="AQ361" s="818">
        <f t="shared" si="281"/>
        <v>5136</v>
      </c>
      <c r="AR361" s="818">
        <f t="shared" si="282"/>
        <v>37</v>
      </c>
      <c r="AS361" s="818">
        <f t="shared" si="283"/>
        <v>49</v>
      </c>
      <c r="AT361" s="818">
        <f t="shared" si="270"/>
        <v>49</v>
      </c>
      <c r="AU361" s="818">
        <f t="shared" si="271"/>
        <v>5087</v>
      </c>
      <c r="AV361" s="793">
        <f t="shared" si="272"/>
        <v>5087</v>
      </c>
      <c r="AW361" s="793">
        <f t="shared" si="284"/>
        <v>5136</v>
      </c>
      <c r="AX361" s="793">
        <f t="shared" si="285"/>
        <v>365</v>
      </c>
      <c r="AY361" s="793">
        <f t="shared" si="286"/>
        <v>488</v>
      </c>
      <c r="AZ361" s="818">
        <f t="shared" si="276"/>
        <v>537</v>
      </c>
      <c r="BA361" s="818">
        <f t="shared" si="277"/>
        <v>4599</v>
      </c>
    </row>
    <row r="362" spans="1:53" ht="15" customHeight="1" x14ac:dyDescent="0.25">
      <c r="A362" s="856" t="s">
        <v>133</v>
      </c>
      <c r="B362" s="822" t="s">
        <v>314</v>
      </c>
      <c r="C362" s="778">
        <f t="shared" si="278"/>
        <v>9.5000000000000001E-2</v>
      </c>
      <c r="D362" s="844">
        <v>10</v>
      </c>
      <c r="E362" s="844" t="s">
        <v>884</v>
      </c>
      <c r="F362" s="814">
        <v>45348</v>
      </c>
      <c r="G362" s="814">
        <v>45348</v>
      </c>
      <c r="H362" s="781">
        <f t="shared" si="279"/>
        <v>48998</v>
      </c>
      <c r="I362" s="815">
        <v>8560</v>
      </c>
      <c r="J362" s="805">
        <f t="shared" si="280"/>
        <v>428</v>
      </c>
      <c r="K362" s="793"/>
      <c r="L362" s="793"/>
      <c r="M362" s="1412"/>
      <c r="N362" s="793"/>
      <c r="O362" s="793"/>
      <c r="P362" s="793"/>
      <c r="Q362" s="793"/>
      <c r="R362" s="793"/>
      <c r="S362" s="793"/>
      <c r="T362" s="805"/>
      <c r="U362" s="805"/>
      <c r="V362" s="793"/>
      <c r="W362" s="793"/>
      <c r="X362" s="793"/>
      <c r="Y362" s="805"/>
      <c r="Z362" s="805"/>
      <c r="AA362" s="805"/>
      <c r="AB362" s="805"/>
      <c r="AC362" s="805"/>
      <c r="AD362" s="793"/>
      <c r="AE362" s="793"/>
      <c r="AF362" s="793"/>
      <c r="AG362" s="793"/>
      <c r="AH362" s="805"/>
      <c r="AI362" s="805"/>
      <c r="AJ362" s="793"/>
      <c r="AK362" s="793"/>
      <c r="AL362" s="793"/>
      <c r="AM362" s="793"/>
      <c r="AN362" s="805"/>
      <c r="AO362" s="805"/>
      <c r="AP362" s="818">
        <f t="shared" si="266"/>
        <v>0</v>
      </c>
      <c r="AQ362" s="818">
        <f t="shared" si="281"/>
        <v>8560</v>
      </c>
      <c r="AR362" s="818">
        <f t="shared" si="282"/>
        <v>35</v>
      </c>
      <c r="AS362" s="818">
        <f t="shared" si="283"/>
        <v>78</v>
      </c>
      <c r="AT362" s="818">
        <f t="shared" si="270"/>
        <v>78</v>
      </c>
      <c r="AU362" s="818">
        <f t="shared" si="271"/>
        <v>8482</v>
      </c>
      <c r="AV362" s="793">
        <f t="shared" si="272"/>
        <v>8482</v>
      </c>
      <c r="AW362" s="793">
        <f t="shared" si="284"/>
        <v>8560</v>
      </c>
      <c r="AX362" s="793">
        <f t="shared" si="285"/>
        <v>365</v>
      </c>
      <c r="AY362" s="793">
        <f t="shared" si="286"/>
        <v>813</v>
      </c>
      <c r="AZ362" s="818">
        <f t="shared" si="276"/>
        <v>891</v>
      </c>
      <c r="BA362" s="818">
        <f t="shared" si="277"/>
        <v>7669</v>
      </c>
    </row>
    <row r="363" spans="1:53" ht="15" customHeight="1" x14ac:dyDescent="0.25">
      <c r="A363" s="856" t="s">
        <v>133</v>
      </c>
      <c r="B363" s="822" t="s">
        <v>497</v>
      </c>
      <c r="C363" s="778">
        <f t="shared" si="278"/>
        <v>9.5000000000000001E-2</v>
      </c>
      <c r="D363" s="844">
        <v>10</v>
      </c>
      <c r="E363" s="844" t="s">
        <v>884</v>
      </c>
      <c r="F363" s="814">
        <v>45351</v>
      </c>
      <c r="G363" s="814">
        <v>45351</v>
      </c>
      <c r="H363" s="781">
        <f t="shared" si="279"/>
        <v>49001</v>
      </c>
      <c r="I363" s="815">
        <v>179500</v>
      </c>
      <c r="J363" s="805">
        <f t="shared" si="280"/>
        <v>8975</v>
      </c>
      <c r="K363" s="793"/>
      <c r="L363" s="793"/>
      <c r="M363" s="1412"/>
      <c r="N363" s="793"/>
      <c r="O363" s="793"/>
      <c r="P363" s="793"/>
      <c r="Q363" s="793"/>
      <c r="R363" s="793"/>
      <c r="S363" s="793"/>
      <c r="T363" s="805"/>
      <c r="U363" s="805"/>
      <c r="V363" s="793"/>
      <c r="W363" s="793"/>
      <c r="X363" s="793"/>
      <c r="Y363" s="805"/>
      <c r="Z363" s="805"/>
      <c r="AA363" s="805"/>
      <c r="AB363" s="805"/>
      <c r="AC363" s="805"/>
      <c r="AD363" s="793"/>
      <c r="AE363" s="793"/>
      <c r="AF363" s="793"/>
      <c r="AG363" s="793"/>
      <c r="AH363" s="805"/>
      <c r="AI363" s="805"/>
      <c r="AJ363" s="793"/>
      <c r="AK363" s="793"/>
      <c r="AL363" s="793"/>
      <c r="AM363" s="793"/>
      <c r="AN363" s="805"/>
      <c r="AO363" s="805"/>
      <c r="AP363" s="818">
        <f t="shared" si="266"/>
        <v>0</v>
      </c>
      <c r="AQ363" s="818">
        <f t="shared" si="281"/>
        <v>179500</v>
      </c>
      <c r="AR363" s="818">
        <f t="shared" si="282"/>
        <v>32</v>
      </c>
      <c r="AS363" s="818">
        <f t="shared" si="283"/>
        <v>1495</v>
      </c>
      <c r="AT363" s="818">
        <f t="shared" si="270"/>
        <v>1495</v>
      </c>
      <c r="AU363" s="818">
        <f t="shared" si="271"/>
        <v>178005</v>
      </c>
      <c r="AV363" s="793">
        <f t="shared" si="272"/>
        <v>178005</v>
      </c>
      <c r="AW363" s="793">
        <f t="shared" si="284"/>
        <v>179500</v>
      </c>
      <c r="AX363" s="793">
        <f t="shared" si="285"/>
        <v>365</v>
      </c>
      <c r="AY363" s="793">
        <f t="shared" si="286"/>
        <v>17053</v>
      </c>
      <c r="AZ363" s="818">
        <f t="shared" si="276"/>
        <v>18548</v>
      </c>
      <c r="BA363" s="818">
        <f t="shared" si="277"/>
        <v>160952</v>
      </c>
    </row>
    <row r="364" spans="1:53" ht="15" customHeight="1" x14ac:dyDescent="0.25">
      <c r="A364" s="856" t="s">
        <v>133</v>
      </c>
      <c r="B364" s="822" t="s">
        <v>306</v>
      </c>
      <c r="C364" s="778">
        <f t="shared" si="278"/>
        <v>9.5000000000000001E-2</v>
      </c>
      <c r="D364" s="844">
        <v>10</v>
      </c>
      <c r="E364" s="844" t="s">
        <v>884</v>
      </c>
      <c r="F364" s="814">
        <v>45358</v>
      </c>
      <c r="G364" s="814">
        <v>45358</v>
      </c>
      <c r="H364" s="781">
        <f t="shared" si="279"/>
        <v>49008</v>
      </c>
      <c r="I364" s="815">
        <v>70980</v>
      </c>
      <c r="J364" s="805">
        <f t="shared" si="280"/>
        <v>3549</v>
      </c>
      <c r="K364" s="793"/>
      <c r="L364" s="793"/>
      <c r="M364" s="1412"/>
      <c r="N364" s="793"/>
      <c r="O364" s="793"/>
      <c r="P364" s="793"/>
      <c r="Q364" s="793"/>
      <c r="R364" s="793"/>
      <c r="S364" s="793"/>
      <c r="T364" s="805"/>
      <c r="U364" s="805"/>
      <c r="V364" s="793"/>
      <c r="W364" s="793"/>
      <c r="X364" s="793"/>
      <c r="Y364" s="805"/>
      <c r="Z364" s="805"/>
      <c r="AA364" s="805"/>
      <c r="AB364" s="805"/>
      <c r="AC364" s="805"/>
      <c r="AD364" s="793"/>
      <c r="AE364" s="793"/>
      <c r="AF364" s="793"/>
      <c r="AG364" s="793"/>
      <c r="AH364" s="805"/>
      <c r="AI364" s="805"/>
      <c r="AJ364" s="793"/>
      <c r="AK364" s="793"/>
      <c r="AL364" s="793"/>
      <c r="AM364" s="793"/>
      <c r="AN364" s="805"/>
      <c r="AO364" s="805"/>
      <c r="AP364" s="818">
        <f t="shared" si="266"/>
        <v>0</v>
      </c>
      <c r="AQ364" s="818">
        <f t="shared" si="281"/>
        <v>70980</v>
      </c>
      <c r="AR364" s="818">
        <f t="shared" si="282"/>
        <v>25</v>
      </c>
      <c r="AS364" s="818">
        <f t="shared" si="283"/>
        <v>462</v>
      </c>
      <c r="AT364" s="818">
        <f t="shared" si="270"/>
        <v>462</v>
      </c>
      <c r="AU364" s="818">
        <f t="shared" si="271"/>
        <v>70518</v>
      </c>
      <c r="AV364" s="793">
        <f t="shared" si="272"/>
        <v>70518</v>
      </c>
      <c r="AW364" s="793">
        <f t="shared" si="284"/>
        <v>70980</v>
      </c>
      <c r="AX364" s="793">
        <f t="shared" si="285"/>
        <v>365</v>
      </c>
      <c r="AY364" s="793">
        <f t="shared" si="286"/>
        <v>6743</v>
      </c>
      <c r="AZ364" s="818">
        <f t="shared" si="276"/>
        <v>7205</v>
      </c>
      <c r="BA364" s="818">
        <f t="shared" si="277"/>
        <v>63775</v>
      </c>
    </row>
    <row r="365" spans="1:53" ht="15" customHeight="1" x14ac:dyDescent="0.25">
      <c r="A365" s="856" t="s">
        <v>133</v>
      </c>
      <c r="B365" s="822" t="s">
        <v>314</v>
      </c>
      <c r="C365" s="778">
        <f t="shared" si="278"/>
        <v>9.5000000000000001E-2</v>
      </c>
      <c r="D365" s="844">
        <v>10</v>
      </c>
      <c r="E365" s="844" t="s">
        <v>884</v>
      </c>
      <c r="F365" s="814">
        <v>45366</v>
      </c>
      <c r="G365" s="814">
        <v>45366</v>
      </c>
      <c r="H365" s="781">
        <f t="shared" si="279"/>
        <v>49016</v>
      </c>
      <c r="I365" s="815">
        <v>10594</v>
      </c>
      <c r="J365" s="805">
        <f t="shared" si="280"/>
        <v>529.70000000000005</v>
      </c>
      <c r="K365" s="793"/>
      <c r="L365" s="793"/>
      <c r="M365" s="793"/>
      <c r="N365" s="793"/>
      <c r="O365" s="793"/>
      <c r="P365" s="793"/>
      <c r="Q365" s="793"/>
      <c r="R365" s="793"/>
      <c r="S365" s="793"/>
      <c r="T365" s="805"/>
      <c r="U365" s="805"/>
      <c r="V365" s="793"/>
      <c r="W365" s="793"/>
      <c r="X365" s="793"/>
      <c r="Y365" s="805"/>
      <c r="Z365" s="805"/>
      <c r="AA365" s="805"/>
      <c r="AB365" s="805"/>
      <c r="AC365" s="805"/>
      <c r="AD365" s="793"/>
      <c r="AE365" s="793"/>
      <c r="AF365" s="793"/>
      <c r="AG365" s="793"/>
      <c r="AH365" s="805"/>
      <c r="AI365" s="805"/>
      <c r="AJ365" s="793"/>
      <c r="AK365" s="793"/>
      <c r="AL365" s="793"/>
      <c r="AM365" s="793"/>
      <c r="AN365" s="805"/>
      <c r="AO365" s="805"/>
      <c r="AP365" s="818">
        <f t="shared" si="266"/>
        <v>0</v>
      </c>
      <c r="AQ365" s="818">
        <f t="shared" si="281"/>
        <v>10594</v>
      </c>
      <c r="AR365" s="818">
        <f t="shared" si="282"/>
        <v>17</v>
      </c>
      <c r="AS365" s="818">
        <f t="shared" si="283"/>
        <v>47</v>
      </c>
      <c r="AT365" s="818">
        <f t="shared" si="270"/>
        <v>47</v>
      </c>
      <c r="AU365" s="818">
        <f t="shared" si="271"/>
        <v>10547</v>
      </c>
      <c r="AV365" s="793">
        <f t="shared" si="272"/>
        <v>10547</v>
      </c>
      <c r="AW365" s="793">
        <f t="shared" si="284"/>
        <v>10594</v>
      </c>
      <c r="AX365" s="793">
        <f t="shared" si="285"/>
        <v>365</v>
      </c>
      <c r="AY365" s="793">
        <f t="shared" si="286"/>
        <v>1006</v>
      </c>
      <c r="AZ365" s="818">
        <f t="shared" si="276"/>
        <v>1053</v>
      </c>
      <c r="BA365" s="818">
        <f t="shared" si="277"/>
        <v>9541</v>
      </c>
    </row>
    <row r="366" spans="1:53" ht="15" customHeight="1" x14ac:dyDescent="0.25">
      <c r="A366" s="856" t="s">
        <v>133</v>
      </c>
      <c r="B366" s="822" t="s">
        <v>314</v>
      </c>
      <c r="C366" s="778">
        <f t="shared" si="278"/>
        <v>9.5000000000000001E-2</v>
      </c>
      <c r="D366" s="844">
        <v>10</v>
      </c>
      <c r="E366" s="844" t="s">
        <v>884</v>
      </c>
      <c r="F366" s="814">
        <v>45367</v>
      </c>
      <c r="G366" s="814">
        <v>45367</v>
      </c>
      <c r="H366" s="781">
        <f t="shared" si="279"/>
        <v>49017</v>
      </c>
      <c r="I366" s="815">
        <v>5932.2</v>
      </c>
      <c r="J366" s="805">
        <f t="shared" si="280"/>
        <v>296.61</v>
      </c>
      <c r="K366" s="793"/>
      <c r="L366" s="793"/>
      <c r="M366" s="793"/>
      <c r="N366" s="793"/>
      <c r="O366" s="793"/>
      <c r="P366" s="793"/>
      <c r="Q366" s="793"/>
      <c r="R366" s="793"/>
      <c r="S366" s="793"/>
      <c r="T366" s="805"/>
      <c r="U366" s="805"/>
      <c r="V366" s="793"/>
      <c r="W366" s="793"/>
      <c r="X366" s="793"/>
      <c r="Y366" s="805"/>
      <c r="Z366" s="805"/>
      <c r="AA366" s="805"/>
      <c r="AB366" s="805"/>
      <c r="AC366" s="805"/>
      <c r="AD366" s="793"/>
      <c r="AE366" s="793"/>
      <c r="AF366" s="793"/>
      <c r="AG366" s="793"/>
      <c r="AH366" s="805"/>
      <c r="AI366" s="805"/>
      <c r="AJ366" s="793"/>
      <c r="AK366" s="793"/>
      <c r="AL366" s="793"/>
      <c r="AM366" s="793"/>
      <c r="AN366" s="805"/>
      <c r="AO366" s="805"/>
      <c r="AP366" s="818">
        <f t="shared" si="266"/>
        <v>0</v>
      </c>
      <c r="AQ366" s="818">
        <f t="shared" si="281"/>
        <v>5932.2</v>
      </c>
      <c r="AR366" s="818">
        <f t="shared" si="282"/>
        <v>16</v>
      </c>
      <c r="AS366" s="818">
        <f t="shared" si="283"/>
        <v>25</v>
      </c>
      <c r="AT366" s="818">
        <f t="shared" si="270"/>
        <v>25</v>
      </c>
      <c r="AU366" s="818">
        <f t="shared" si="271"/>
        <v>5907.2</v>
      </c>
      <c r="AV366" s="793">
        <f t="shared" si="272"/>
        <v>5907.2</v>
      </c>
      <c r="AW366" s="793">
        <f t="shared" si="284"/>
        <v>5932.2</v>
      </c>
      <c r="AX366" s="793">
        <f t="shared" si="285"/>
        <v>365</v>
      </c>
      <c r="AY366" s="793">
        <f t="shared" si="286"/>
        <v>564</v>
      </c>
      <c r="AZ366" s="818">
        <f t="shared" si="276"/>
        <v>589</v>
      </c>
      <c r="BA366" s="818">
        <f t="shared" si="277"/>
        <v>5343.2</v>
      </c>
    </row>
    <row r="367" spans="1:53" ht="15" customHeight="1" x14ac:dyDescent="0.25">
      <c r="A367" s="856" t="s">
        <v>133</v>
      </c>
      <c r="B367" s="822" t="s">
        <v>314</v>
      </c>
      <c r="C367" s="778">
        <f t="shared" si="278"/>
        <v>9.5000000000000001E-2</v>
      </c>
      <c r="D367" s="844">
        <v>10</v>
      </c>
      <c r="E367" s="844" t="s">
        <v>884</v>
      </c>
      <c r="F367" s="814">
        <v>45376</v>
      </c>
      <c r="G367" s="814">
        <v>45376</v>
      </c>
      <c r="H367" s="781">
        <f t="shared" si="279"/>
        <v>49026</v>
      </c>
      <c r="I367" s="815">
        <v>7627.12</v>
      </c>
      <c r="J367" s="805">
        <f t="shared" si="280"/>
        <v>381.35599999999999</v>
      </c>
      <c r="K367" s="793"/>
      <c r="L367" s="793"/>
      <c r="M367" s="793"/>
      <c r="N367" s="793"/>
      <c r="O367" s="793"/>
      <c r="P367" s="793"/>
      <c r="Q367" s="793"/>
      <c r="R367" s="793"/>
      <c r="S367" s="793"/>
      <c r="T367" s="805"/>
      <c r="U367" s="805"/>
      <c r="V367" s="793"/>
      <c r="W367" s="793"/>
      <c r="X367" s="793"/>
      <c r="Y367" s="805"/>
      <c r="Z367" s="805"/>
      <c r="AA367" s="805"/>
      <c r="AB367" s="805"/>
      <c r="AC367" s="805"/>
      <c r="AD367" s="793"/>
      <c r="AE367" s="793"/>
      <c r="AF367" s="793"/>
      <c r="AG367" s="793"/>
      <c r="AH367" s="805"/>
      <c r="AI367" s="805"/>
      <c r="AJ367" s="793"/>
      <c r="AK367" s="793"/>
      <c r="AL367" s="793"/>
      <c r="AM367" s="793"/>
      <c r="AN367" s="805"/>
      <c r="AO367" s="805"/>
      <c r="AP367" s="818">
        <f t="shared" si="266"/>
        <v>0</v>
      </c>
      <c r="AQ367" s="818">
        <f t="shared" si="281"/>
        <v>7627.12</v>
      </c>
      <c r="AR367" s="818">
        <f t="shared" si="282"/>
        <v>7</v>
      </c>
      <c r="AS367" s="818">
        <f t="shared" si="283"/>
        <v>14</v>
      </c>
      <c r="AT367" s="818">
        <f t="shared" si="270"/>
        <v>14</v>
      </c>
      <c r="AU367" s="818">
        <f t="shared" si="271"/>
        <v>7613.12</v>
      </c>
      <c r="AV367" s="793">
        <f t="shared" si="272"/>
        <v>7613.12</v>
      </c>
      <c r="AW367" s="793">
        <f t="shared" si="284"/>
        <v>7627.12</v>
      </c>
      <c r="AX367" s="793">
        <f t="shared" si="285"/>
        <v>365</v>
      </c>
      <c r="AY367" s="793">
        <f t="shared" si="286"/>
        <v>725</v>
      </c>
      <c r="AZ367" s="818">
        <f t="shared" si="276"/>
        <v>739</v>
      </c>
      <c r="BA367" s="818">
        <f t="shared" si="277"/>
        <v>6888.12</v>
      </c>
    </row>
    <row r="368" spans="1:53" ht="15" customHeight="1" x14ac:dyDescent="0.25">
      <c r="A368" s="856" t="s">
        <v>133</v>
      </c>
      <c r="B368" s="822" t="s">
        <v>314</v>
      </c>
      <c r="C368" s="778">
        <f t="shared" si="278"/>
        <v>9.5000000000000001E-2</v>
      </c>
      <c r="D368" s="844">
        <v>10</v>
      </c>
      <c r="E368" s="844" t="s">
        <v>884</v>
      </c>
      <c r="F368" s="814">
        <v>45376</v>
      </c>
      <c r="G368" s="814">
        <v>45376</v>
      </c>
      <c r="H368" s="781">
        <f t="shared" si="279"/>
        <v>49026</v>
      </c>
      <c r="I368" s="815">
        <v>6778.8</v>
      </c>
      <c r="J368" s="805">
        <f t="shared" si="280"/>
        <v>338.94000000000005</v>
      </c>
      <c r="K368" s="793"/>
      <c r="L368" s="793"/>
      <c r="M368" s="793"/>
      <c r="N368" s="793"/>
      <c r="O368" s="793"/>
      <c r="P368" s="793"/>
      <c r="Q368" s="793"/>
      <c r="R368" s="793"/>
      <c r="S368" s="793"/>
      <c r="T368" s="805"/>
      <c r="U368" s="805"/>
      <c r="V368" s="793"/>
      <c r="W368" s="793"/>
      <c r="X368" s="793"/>
      <c r="Y368" s="805"/>
      <c r="Z368" s="805"/>
      <c r="AA368" s="805"/>
      <c r="AB368" s="805"/>
      <c r="AC368" s="805"/>
      <c r="AD368" s="793"/>
      <c r="AE368" s="793"/>
      <c r="AF368" s="793"/>
      <c r="AG368" s="793"/>
      <c r="AH368" s="805"/>
      <c r="AI368" s="805"/>
      <c r="AJ368" s="793"/>
      <c r="AK368" s="793"/>
      <c r="AL368" s="793"/>
      <c r="AM368" s="793"/>
      <c r="AN368" s="805"/>
      <c r="AO368" s="805"/>
      <c r="AP368" s="818">
        <f t="shared" si="266"/>
        <v>0</v>
      </c>
      <c r="AQ368" s="818">
        <f t="shared" si="281"/>
        <v>6778.8</v>
      </c>
      <c r="AR368" s="818">
        <f t="shared" si="282"/>
        <v>7</v>
      </c>
      <c r="AS368" s="818">
        <f t="shared" si="283"/>
        <v>12</v>
      </c>
      <c r="AT368" s="818">
        <f t="shared" si="270"/>
        <v>12</v>
      </c>
      <c r="AU368" s="818">
        <f t="shared" si="271"/>
        <v>6766.8</v>
      </c>
      <c r="AV368" s="793">
        <f t="shared" si="272"/>
        <v>6766.8</v>
      </c>
      <c r="AW368" s="793">
        <f t="shared" si="284"/>
        <v>6778.8</v>
      </c>
      <c r="AX368" s="793">
        <f t="shared" si="285"/>
        <v>365</v>
      </c>
      <c r="AY368" s="793">
        <f t="shared" si="286"/>
        <v>644</v>
      </c>
      <c r="AZ368" s="818">
        <f t="shared" si="276"/>
        <v>656</v>
      </c>
      <c r="BA368" s="818">
        <f t="shared" si="277"/>
        <v>6122.8</v>
      </c>
    </row>
    <row r="369" spans="1:59" ht="15" customHeight="1" x14ac:dyDescent="0.25">
      <c r="A369" s="856" t="s">
        <v>133</v>
      </c>
      <c r="B369" s="822" t="s">
        <v>524</v>
      </c>
      <c r="C369" s="778">
        <f t="shared" si="278"/>
        <v>9.5000000000000001E-2</v>
      </c>
      <c r="D369" s="844">
        <v>10</v>
      </c>
      <c r="E369" s="844" t="s">
        <v>884</v>
      </c>
      <c r="F369" s="814">
        <v>45366</v>
      </c>
      <c r="G369" s="814">
        <v>45366</v>
      </c>
      <c r="H369" s="781">
        <f t="shared" si="279"/>
        <v>49016</v>
      </c>
      <c r="I369" s="815">
        <v>203000</v>
      </c>
      <c r="J369" s="805">
        <f t="shared" si="280"/>
        <v>10150</v>
      </c>
      <c r="K369" s="793"/>
      <c r="L369" s="793"/>
      <c r="M369" s="793"/>
      <c r="N369" s="793"/>
      <c r="O369" s="793"/>
      <c r="P369" s="793"/>
      <c r="Q369" s="793"/>
      <c r="R369" s="793"/>
      <c r="S369" s="793"/>
      <c r="T369" s="805"/>
      <c r="U369" s="805"/>
      <c r="V369" s="793"/>
      <c r="W369" s="793"/>
      <c r="X369" s="793"/>
      <c r="Y369" s="805"/>
      <c r="Z369" s="805"/>
      <c r="AA369" s="805"/>
      <c r="AB369" s="805"/>
      <c r="AC369" s="805"/>
      <c r="AD369" s="793"/>
      <c r="AE369" s="793"/>
      <c r="AF369" s="793"/>
      <c r="AG369" s="793"/>
      <c r="AH369" s="805"/>
      <c r="AI369" s="805"/>
      <c r="AJ369" s="793"/>
      <c r="AK369" s="793"/>
      <c r="AL369" s="793"/>
      <c r="AM369" s="793"/>
      <c r="AN369" s="805"/>
      <c r="AO369" s="805"/>
      <c r="AP369" s="818">
        <f t="shared" si="266"/>
        <v>0</v>
      </c>
      <c r="AQ369" s="818">
        <f t="shared" si="281"/>
        <v>203000</v>
      </c>
      <c r="AR369" s="818">
        <f t="shared" si="282"/>
        <v>17</v>
      </c>
      <c r="AS369" s="818">
        <f t="shared" si="283"/>
        <v>898</v>
      </c>
      <c r="AT369" s="818">
        <f t="shared" si="270"/>
        <v>898</v>
      </c>
      <c r="AU369" s="818">
        <f t="shared" si="271"/>
        <v>202102</v>
      </c>
      <c r="AV369" s="793">
        <f t="shared" si="272"/>
        <v>202102</v>
      </c>
      <c r="AW369" s="793">
        <f t="shared" si="284"/>
        <v>203000</v>
      </c>
      <c r="AX369" s="793">
        <f t="shared" si="285"/>
        <v>365</v>
      </c>
      <c r="AY369" s="793">
        <f t="shared" si="286"/>
        <v>19285</v>
      </c>
      <c r="AZ369" s="818">
        <f t="shared" si="276"/>
        <v>20183</v>
      </c>
      <c r="BA369" s="818">
        <f t="shared" si="277"/>
        <v>182817</v>
      </c>
    </row>
    <row r="370" spans="1:59" ht="15" customHeight="1" x14ac:dyDescent="0.25">
      <c r="A370" s="842" t="s">
        <v>133</v>
      </c>
      <c r="B370" s="863" t="s">
        <v>1301</v>
      </c>
      <c r="C370" s="778">
        <f t="shared" si="278"/>
        <v>9.5000000000000001E-2</v>
      </c>
      <c r="D370" s="844">
        <v>10</v>
      </c>
      <c r="E370" s="844" t="s">
        <v>884</v>
      </c>
      <c r="F370" s="814">
        <v>45369</v>
      </c>
      <c r="G370" s="814">
        <v>45369</v>
      </c>
      <c r="H370" s="781">
        <f t="shared" si="279"/>
        <v>49019</v>
      </c>
      <c r="I370" s="823">
        <v>180000</v>
      </c>
      <c r="J370" s="805">
        <f t="shared" si="280"/>
        <v>9000</v>
      </c>
      <c r="K370" s="793"/>
      <c r="L370" s="793"/>
      <c r="M370" s="793"/>
      <c r="N370" s="793"/>
      <c r="O370" s="793"/>
      <c r="P370" s="793"/>
      <c r="Q370" s="793"/>
      <c r="R370" s="793"/>
      <c r="S370" s="793"/>
      <c r="T370" s="805"/>
      <c r="U370" s="805"/>
      <c r="V370" s="793"/>
      <c r="W370" s="793"/>
      <c r="X370" s="793"/>
      <c r="Y370" s="805"/>
      <c r="Z370" s="805"/>
      <c r="AA370" s="805"/>
      <c r="AB370" s="805"/>
      <c r="AC370" s="805"/>
      <c r="AD370" s="793"/>
      <c r="AE370" s="793"/>
      <c r="AF370" s="793"/>
      <c r="AG370" s="793"/>
      <c r="AH370" s="805"/>
      <c r="AI370" s="805"/>
      <c r="AJ370" s="793"/>
      <c r="AK370" s="793"/>
      <c r="AL370" s="793"/>
      <c r="AM370" s="793"/>
      <c r="AN370" s="805"/>
      <c r="AO370" s="805"/>
      <c r="AP370" s="793">
        <f t="shared" si="266"/>
        <v>0</v>
      </c>
      <c r="AQ370" s="793">
        <f t="shared" si="281"/>
        <v>180000</v>
      </c>
      <c r="AR370" s="793">
        <f t="shared" si="282"/>
        <v>14</v>
      </c>
      <c r="AS370" s="793">
        <f t="shared" si="283"/>
        <v>656</v>
      </c>
      <c r="AT370" s="793">
        <f t="shared" si="270"/>
        <v>656</v>
      </c>
      <c r="AU370" s="793">
        <f t="shared" si="271"/>
        <v>179344</v>
      </c>
      <c r="AV370" s="793">
        <f t="shared" si="272"/>
        <v>179344</v>
      </c>
      <c r="AW370" s="793">
        <f t="shared" si="284"/>
        <v>180000</v>
      </c>
      <c r="AX370" s="793">
        <f t="shared" si="285"/>
        <v>365</v>
      </c>
      <c r="AY370" s="793">
        <f t="shared" si="286"/>
        <v>17100</v>
      </c>
      <c r="AZ370" s="793">
        <f t="shared" si="276"/>
        <v>17756</v>
      </c>
      <c r="BA370" s="793">
        <f t="shared" si="277"/>
        <v>162244</v>
      </c>
    </row>
    <row r="371" spans="1:59" ht="15" customHeight="1" x14ac:dyDescent="0.25">
      <c r="A371" s="842" t="s">
        <v>133</v>
      </c>
      <c r="B371" s="863" t="s">
        <v>1836</v>
      </c>
      <c r="C371" s="778">
        <f t="shared" si="278"/>
        <v>9.5000000000000001E-2</v>
      </c>
      <c r="D371" s="844">
        <v>10</v>
      </c>
      <c r="E371" s="844" t="s">
        <v>1567</v>
      </c>
      <c r="F371" s="814">
        <v>45416</v>
      </c>
      <c r="G371" s="814">
        <f t="shared" ref="G371:G383" si="287">+F371</f>
        <v>45416</v>
      </c>
      <c r="H371" s="781">
        <f t="shared" si="279"/>
        <v>49066</v>
      </c>
      <c r="I371" s="823">
        <v>37500</v>
      </c>
      <c r="J371" s="805">
        <f t="shared" si="280"/>
        <v>1875</v>
      </c>
      <c r="K371" s="793"/>
      <c r="L371" s="793"/>
      <c r="M371" s="793"/>
      <c r="N371" s="793"/>
      <c r="O371" s="793"/>
      <c r="P371" s="793"/>
      <c r="Q371" s="793"/>
      <c r="R371" s="793"/>
      <c r="S371" s="793"/>
      <c r="T371" s="805"/>
      <c r="U371" s="805"/>
      <c r="V371" s="793"/>
      <c r="W371" s="793"/>
      <c r="X371" s="793"/>
      <c r="Y371" s="805"/>
      <c r="Z371" s="805"/>
      <c r="AA371" s="805"/>
      <c r="AB371" s="805"/>
      <c r="AC371" s="805"/>
      <c r="AD371" s="793"/>
      <c r="AE371" s="793"/>
      <c r="AF371" s="793"/>
      <c r="AG371" s="793"/>
      <c r="AH371" s="805"/>
      <c r="AI371" s="805"/>
      <c r="AJ371" s="793"/>
      <c r="AK371" s="793"/>
      <c r="AL371" s="793"/>
      <c r="AM371" s="793"/>
      <c r="AN371" s="805"/>
      <c r="AO371" s="805"/>
      <c r="AP371" s="793">
        <f t="shared" si="266"/>
        <v>0</v>
      </c>
      <c r="AQ371" s="793">
        <v>0</v>
      </c>
      <c r="AR371" s="793">
        <v>0</v>
      </c>
      <c r="AS371" s="793">
        <f t="shared" si="283"/>
        <v>0</v>
      </c>
      <c r="AT371" s="793">
        <f t="shared" si="270"/>
        <v>0</v>
      </c>
      <c r="AU371" s="793">
        <f t="shared" si="271"/>
        <v>0</v>
      </c>
      <c r="AV371" s="793">
        <f t="shared" si="272"/>
        <v>0</v>
      </c>
      <c r="AW371" s="793">
        <f t="shared" si="284"/>
        <v>37500</v>
      </c>
      <c r="AX371" s="793">
        <f t="shared" si="285"/>
        <v>332</v>
      </c>
      <c r="AY371" s="793">
        <f t="shared" si="286"/>
        <v>3240</v>
      </c>
      <c r="AZ371" s="793">
        <f t="shared" si="276"/>
        <v>3240</v>
      </c>
      <c r="BA371" s="793">
        <f t="shared" si="277"/>
        <v>34260</v>
      </c>
    </row>
    <row r="372" spans="1:59" ht="15" customHeight="1" x14ac:dyDescent="0.25">
      <c r="A372" s="842" t="s">
        <v>133</v>
      </c>
      <c r="B372" s="863" t="s">
        <v>1837</v>
      </c>
      <c r="C372" s="778">
        <f t="shared" si="278"/>
        <v>9.5000000000000001E-2</v>
      </c>
      <c r="D372" s="844">
        <v>10</v>
      </c>
      <c r="E372" s="844" t="s">
        <v>1567</v>
      </c>
      <c r="F372" s="814">
        <v>45713</v>
      </c>
      <c r="G372" s="814">
        <f t="shared" si="287"/>
        <v>45713</v>
      </c>
      <c r="H372" s="781">
        <f t="shared" si="279"/>
        <v>49363</v>
      </c>
      <c r="I372" s="823">
        <v>403600</v>
      </c>
      <c r="J372" s="805">
        <f t="shared" si="280"/>
        <v>20180</v>
      </c>
      <c r="K372" s="793"/>
      <c r="L372" s="793"/>
      <c r="M372" s="793"/>
      <c r="N372" s="793"/>
      <c r="O372" s="793"/>
      <c r="P372" s="793"/>
      <c r="Q372" s="793"/>
      <c r="R372" s="793"/>
      <c r="S372" s="793"/>
      <c r="T372" s="805"/>
      <c r="U372" s="805"/>
      <c r="V372" s="793"/>
      <c r="W372" s="793"/>
      <c r="X372" s="793"/>
      <c r="Y372" s="805"/>
      <c r="Z372" s="805"/>
      <c r="AA372" s="805"/>
      <c r="AB372" s="805"/>
      <c r="AC372" s="805"/>
      <c r="AD372" s="793"/>
      <c r="AE372" s="793"/>
      <c r="AF372" s="793"/>
      <c r="AG372" s="793"/>
      <c r="AH372" s="805"/>
      <c r="AI372" s="805"/>
      <c r="AJ372" s="793"/>
      <c r="AK372" s="793"/>
      <c r="AL372" s="793"/>
      <c r="AM372" s="793"/>
      <c r="AN372" s="805"/>
      <c r="AO372" s="805"/>
      <c r="AP372" s="793"/>
      <c r="AQ372" s="793"/>
      <c r="AR372" s="793"/>
      <c r="AS372" s="793"/>
      <c r="AT372" s="793"/>
      <c r="AU372" s="793"/>
      <c r="AV372" s="793">
        <f t="shared" si="272"/>
        <v>0</v>
      </c>
      <c r="AW372" s="793">
        <f t="shared" si="284"/>
        <v>403600</v>
      </c>
      <c r="AX372" s="793">
        <f t="shared" si="285"/>
        <v>35</v>
      </c>
      <c r="AY372" s="793">
        <f t="shared" si="286"/>
        <v>3677</v>
      </c>
      <c r="AZ372" s="793">
        <f t="shared" si="276"/>
        <v>3677</v>
      </c>
      <c r="BA372" s="793">
        <f t="shared" si="277"/>
        <v>399923</v>
      </c>
      <c r="BB372" s="1382"/>
      <c r="BE372" s="1424"/>
    </row>
    <row r="373" spans="1:59" ht="15" customHeight="1" x14ac:dyDescent="0.25">
      <c r="A373" s="856" t="s">
        <v>133</v>
      </c>
      <c r="B373" s="822" t="s">
        <v>314</v>
      </c>
      <c r="C373" s="826">
        <f t="shared" si="278"/>
        <v>9.5000000000000001E-2</v>
      </c>
      <c r="D373" s="858">
        <v>10</v>
      </c>
      <c r="E373" s="858" t="s">
        <v>1567</v>
      </c>
      <c r="F373" s="827">
        <v>45461</v>
      </c>
      <c r="G373" s="827">
        <f t="shared" si="287"/>
        <v>45461</v>
      </c>
      <c r="H373" s="828">
        <f t="shared" si="279"/>
        <v>49111</v>
      </c>
      <c r="I373" s="1425">
        <v>250250</v>
      </c>
      <c r="J373" s="821">
        <f t="shared" si="280"/>
        <v>12512.5</v>
      </c>
      <c r="K373" s="818"/>
      <c r="L373" s="818"/>
      <c r="M373" s="818"/>
      <c r="N373" s="818"/>
      <c r="O373" s="818"/>
      <c r="P373" s="818"/>
      <c r="Q373" s="818"/>
      <c r="R373" s="818"/>
      <c r="S373" s="818"/>
      <c r="T373" s="821"/>
      <c r="U373" s="821"/>
      <c r="V373" s="818"/>
      <c r="W373" s="818"/>
      <c r="X373" s="818"/>
      <c r="Y373" s="821"/>
      <c r="Z373" s="821"/>
      <c r="AA373" s="821"/>
      <c r="AB373" s="821"/>
      <c r="AC373" s="821"/>
      <c r="AD373" s="818"/>
      <c r="AE373" s="818"/>
      <c r="AF373" s="818"/>
      <c r="AG373" s="818"/>
      <c r="AH373" s="821"/>
      <c r="AI373" s="821"/>
      <c r="AJ373" s="818"/>
      <c r="AK373" s="818"/>
      <c r="AL373" s="818"/>
      <c r="AM373" s="818"/>
      <c r="AN373" s="821"/>
      <c r="AO373" s="821"/>
      <c r="AP373" s="818"/>
      <c r="AQ373" s="818"/>
      <c r="AR373" s="818"/>
      <c r="AS373" s="818"/>
      <c r="AT373" s="818"/>
      <c r="AU373" s="818"/>
      <c r="AV373" s="818">
        <f t="shared" si="272"/>
        <v>0</v>
      </c>
      <c r="AW373" s="818">
        <f t="shared" si="284"/>
        <v>250250</v>
      </c>
      <c r="AX373" s="818">
        <f t="shared" si="285"/>
        <v>287</v>
      </c>
      <c r="AY373" s="818">
        <f t="shared" si="286"/>
        <v>18693</v>
      </c>
      <c r="AZ373" s="818">
        <f t="shared" si="276"/>
        <v>18693</v>
      </c>
      <c r="BA373" s="793">
        <f t="shared" si="277"/>
        <v>231557</v>
      </c>
      <c r="BB373" s="1382"/>
      <c r="BE373" s="1424"/>
    </row>
    <row r="374" spans="1:59" ht="15" customHeight="1" x14ac:dyDescent="0.25">
      <c r="A374" s="856" t="s">
        <v>133</v>
      </c>
      <c r="B374" s="822" t="s">
        <v>314</v>
      </c>
      <c r="C374" s="826">
        <f t="shared" si="278"/>
        <v>9.5000000000000001E-2</v>
      </c>
      <c r="D374" s="858">
        <v>10</v>
      </c>
      <c r="E374" s="858" t="s">
        <v>1567</v>
      </c>
      <c r="F374" s="827">
        <v>45462</v>
      </c>
      <c r="G374" s="827">
        <f t="shared" si="287"/>
        <v>45462</v>
      </c>
      <c r="H374" s="828">
        <f t="shared" si="279"/>
        <v>49112</v>
      </c>
      <c r="I374" s="823">
        <v>227955</v>
      </c>
      <c r="J374" s="805">
        <f t="shared" si="280"/>
        <v>11397.75</v>
      </c>
      <c r="K374" s="793"/>
      <c r="L374" s="793"/>
      <c r="M374" s="793"/>
      <c r="N374" s="793"/>
      <c r="O374" s="793"/>
      <c r="P374" s="793"/>
      <c r="Q374" s="793"/>
      <c r="R374" s="793"/>
      <c r="S374" s="793"/>
      <c r="T374" s="805"/>
      <c r="U374" s="805"/>
      <c r="V374" s="793"/>
      <c r="W374" s="793"/>
      <c r="X374" s="793"/>
      <c r="Y374" s="805"/>
      <c r="Z374" s="805"/>
      <c r="AA374" s="805"/>
      <c r="AB374" s="805"/>
      <c r="AC374" s="805"/>
      <c r="AD374" s="793"/>
      <c r="AE374" s="793"/>
      <c r="AF374" s="793"/>
      <c r="AG374" s="793"/>
      <c r="AH374" s="805"/>
      <c r="AI374" s="805"/>
      <c r="AJ374" s="793"/>
      <c r="AK374" s="793"/>
      <c r="AL374" s="793"/>
      <c r="AM374" s="793"/>
      <c r="AN374" s="805"/>
      <c r="AO374" s="805"/>
      <c r="AP374" s="793"/>
      <c r="AQ374" s="793"/>
      <c r="AR374" s="793"/>
      <c r="AS374" s="793"/>
      <c r="AT374" s="793"/>
      <c r="AU374" s="793"/>
      <c r="AV374" s="818">
        <f t="shared" si="272"/>
        <v>0</v>
      </c>
      <c r="AW374" s="793">
        <f t="shared" si="284"/>
        <v>227955</v>
      </c>
      <c r="AX374" s="793">
        <f t="shared" si="285"/>
        <v>286</v>
      </c>
      <c r="AY374" s="793">
        <f t="shared" si="286"/>
        <v>16969</v>
      </c>
      <c r="AZ374" s="793">
        <f t="shared" si="276"/>
        <v>16969</v>
      </c>
      <c r="BA374" s="793">
        <f t="shared" si="277"/>
        <v>210986</v>
      </c>
      <c r="BB374" s="1382"/>
      <c r="BE374" s="1424"/>
    </row>
    <row r="375" spans="1:59" ht="15" customHeight="1" x14ac:dyDescent="0.25">
      <c r="A375" s="856" t="s">
        <v>133</v>
      </c>
      <c r="B375" s="822" t="s">
        <v>314</v>
      </c>
      <c r="C375" s="826">
        <f t="shared" si="278"/>
        <v>9.5000000000000001E-2</v>
      </c>
      <c r="D375" s="858">
        <v>10</v>
      </c>
      <c r="E375" s="858" t="s">
        <v>1567</v>
      </c>
      <c r="F375" s="827">
        <v>45482</v>
      </c>
      <c r="G375" s="827">
        <f t="shared" si="287"/>
        <v>45482</v>
      </c>
      <c r="H375" s="828">
        <f t="shared" si="279"/>
        <v>49132</v>
      </c>
      <c r="I375" s="823">
        <v>51029</v>
      </c>
      <c r="J375" s="805">
        <f t="shared" si="280"/>
        <v>2551.4500000000003</v>
      </c>
      <c r="K375" s="793"/>
      <c r="L375" s="793"/>
      <c r="M375" s="793"/>
      <c r="N375" s="793"/>
      <c r="O375" s="793"/>
      <c r="P375" s="793"/>
      <c r="Q375" s="793"/>
      <c r="R375" s="793"/>
      <c r="S375" s="793"/>
      <c r="T375" s="805"/>
      <c r="U375" s="805"/>
      <c r="V375" s="793"/>
      <c r="W375" s="793"/>
      <c r="X375" s="793"/>
      <c r="Y375" s="805"/>
      <c r="Z375" s="805"/>
      <c r="AA375" s="805"/>
      <c r="AB375" s="805"/>
      <c r="AC375" s="805"/>
      <c r="AD375" s="793"/>
      <c r="AE375" s="793"/>
      <c r="AF375" s="793"/>
      <c r="AG375" s="793"/>
      <c r="AH375" s="805"/>
      <c r="AI375" s="805"/>
      <c r="AJ375" s="793"/>
      <c r="AK375" s="793"/>
      <c r="AL375" s="793"/>
      <c r="AM375" s="793"/>
      <c r="AN375" s="805"/>
      <c r="AO375" s="805"/>
      <c r="AP375" s="793"/>
      <c r="AQ375" s="793"/>
      <c r="AR375" s="793"/>
      <c r="AS375" s="793"/>
      <c r="AT375" s="793"/>
      <c r="AU375" s="793"/>
      <c r="AV375" s="818">
        <f t="shared" si="272"/>
        <v>0</v>
      </c>
      <c r="AW375" s="793">
        <f t="shared" si="284"/>
        <v>51029</v>
      </c>
      <c r="AX375" s="793">
        <f t="shared" si="285"/>
        <v>266</v>
      </c>
      <c r="AY375" s="793">
        <f t="shared" si="286"/>
        <v>3533</v>
      </c>
      <c r="AZ375" s="793">
        <f t="shared" si="276"/>
        <v>3533</v>
      </c>
      <c r="BA375" s="793">
        <f t="shared" si="277"/>
        <v>47496</v>
      </c>
      <c r="BB375" s="1382"/>
      <c r="BE375" s="1424"/>
    </row>
    <row r="376" spans="1:59" ht="15" customHeight="1" x14ac:dyDescent="0.25">
      <c r="A376" s="856" t="s">
        <v>133</v>
      </c>
      <c r="B376" s="822" t="s">
        <v>314</v>
      </c>
      <c r="C376" s="826">
        <f t="shared" si="278"/>
        <v>9.5000000000000001E-2</v>
      </c>
      <c r="D376" s="858">
        <v>10</v>
      </c>
      <c r="E376" s="858" t="s">
        <v>1567</v>
      </c>
      <c r="F376" s="827">
        <v>45489</v>
      </c>
      <c r="G376" s="827">
        <f t="shared" si="287"/>
        <v>45489</v>
      </c>
      <c r="H376" s="828">
        <f t="shared" si="279"/>
        <v>49139</v>
      </c>
      <c r="I376" s="823">
        <v>51029</v>
      </c>
      <c r="J376" s="805">
        <f t="shared" si="280"/>
        <v>2551.4500000000003</v>
      </c>
      <c r="K376" s="793"/>
      <c r="L376" s="793"/>
      <c r="M376" s="793"/>
      <c r="N376" s="793"/>
      <c r="O376" s="793"/>
      <c r="P376" s="793"/>
      <c r="Q376" s="793"/>
      <c r="R376" s="793"/>
      <c r="S376" s="793"/>
      <c r="T376" s="805"/>
      <c r="U376" s="805"/>
      <c r="V376" s="793"/>
      <c r="W376" s="793"/>
      <c r="X376" s="793"/>
      <c r="Y376" s="805"/>
      <c r="Z376" s="805"/>
      <c r="AA376" s="805"/>
      <c r="AB376" s="805"/>
      <c r="AC376" s="805"/>
      <c r="AD376" s="793"/>
      <c r="AE376" s="793"/>
      <c r="AF376" s="793"/>
      <c r="AG376" s="793"/>
      <c r="AH376" s="805"/>
      <c r="AI376" s="805"/>
      <c r="AJ376" s="793"/>
      <c r="AK376" s="793"/>
      <c r="AL376" s="793"/>
      <c r="AM376" s="793"/>
      <c r="AN376" s="805"/>
      <c r="AO376" s="805"/>
      <c r="AP376" s="793"/>
      <c r="AQ376" s="793"/>
      <c r="AR376" s="793"/>
      <c r="AS376" s="793"/>
      <c r="AT376" s="793"/>
      <c r="AU376" s="793"/>
      <c r="AV376" s="818">
        <f t="shared" si="272"/>
        <v>0</v>
      </c>
      <c r="AW376" s="793">
        <f t="shared" si="284"/>
        <v>51029</v>
      </c>
      <c r="AX376" s="793">
        <f t="shared" si="285"/>
        <v>259</v>
      </c>
      <c r="AY376" s="793">
        <f t="shared" si="286"/>
        <v>3440</v>
      </c>
      <c r="AZ376" s="793">
        <f t="shared" si="276"/>
        <v>3440</v>
      </c>
      <c r="BA376" s="793">
        <f t="shared" si="277"/>
        <v>47589</v>
      </c>
      <c r="BB376" s="1382"/>
      <c r="BE376" s="1424"/>
    </row>
    <row r="377" spans="1:59" ht="15" customHeight="1" x14ac:dyDescent="0.25">
      <c r="A377" s="856" t="s">
        <v>133</v>
      </c>
      <c r="B377" s="822" t="s">
        <v>314</v>
      </c>
      <c r="C377" s="826">
        <f t="shared" si="278"/>
        <v>9.5000000000000001E-2</v>
      </c>
      <c r="D377" s="858">
        <v>10</v>
      </c>
      <c r="E377" s="858" t="s">
        <v>1567</v>
      </c>
      <c r="F377" s="827">
        <v>45517</v>
      </c>
      <c r="G377" s="827">
        <f t="shared" si="287"/>
        <v>45517</v>
      </c>
      <c r="H377" s="828">
        <f t="shared" si="279"/>
        <v>49167</v>
      </c>
      <c r="I377" s="823">
        <v>44100</v>
      </c>
      <c r="J377" s="805">
        <f t="shared" si="280"/>
        <v>2205</v>
      </c>
      <c r="K377" s="793"/>
      <c r="L377" s="793"/>
      <c r="M377" s="793"/>
      <c r="N377" s="793"/>
      <c r="O377" s="793"/>
      <c r="P377" s="793"/>
      <c r="Q377" s="793"/>
      <c r="R377" s="793"/>
      <c r="S377" s="793"/>
      <c r="T377" s="805"/>
      <c r="U377" s="805"/>
      <c r="V377" s="793"/>
      <c r="W377" s="793"/>
      <c r="X377" s="793"/>
      <c r="Y377" s="805"/>
      <c r="Z377" s="805"/>
      <c r="AA377" s="805"/>
      <c r="AB377" s="805"/>
      <c r="AC377" s="805"/>
      <c r="AD377" s="793"/>
      <c r="AE377" s="793"/>
      <c r="AF377" s="793"/>
      <c r="AG377" s="793"/>
      <c r="AH377" s="805"/>
      <c r="AI377" s="805"/>
      <c r="AJ377" s="793"/>
      <c r="AK377" s="793"/>
      <c r="AL377" s="793"/>
      <c r="AM377" s="793"/>
      <c r="AN377" s="805"/>
      <c r="AO377" s="805"/>
      <c r="AP377" s="793"/>
      <c r="AQ377" s="793"/>
      <c r="AR377" s="793"/>
      <c r="AS377" s="793"/>
      <c r="AT377" s="793"/>
      <c r="AU377" s="793"/>
      <c r="AV377" s="818">
        <f t="shared" si="272"/>
        <v>0</v>
      </c>
      <c r="AW377" s="793">
        <f t="shared" si="284"/>
        <v>44100</v>
      </c>
      <c r="AX377" s="793">
        <f t="shared" si="285"/>
        <v>231</v>
      </c>
      <c r="AY377" s="793">
        <f t="shared" si="286"/>
        <v>2651</v>
      </c>
      <c r="AZ377" s="793">
        <f t="shared" si="276"/>
        <v>2651</v>
      </c>
      <c r="BA377" s="793">
        <f t="shared" si="277"/>
        <v>41449</v>
      </c>
      <c r="BB377" s="1382"/>
      <c r="BE377" s="1424"/>
    </row>
    <row r="378" spans="1:59" ht="15" customHeight="1" x14ac:dyDescent="0.25">
      <c r="A378" s="842" t="s">
        <v>133</v>
      </c>
      <c r="B378" s="822" t="s">
        <v>1838</v>
      </c>
      <c r="C378" s="778">
        <f t="shared" si="278"/>
        <v>9.5000000000000001E-2</v>
      </c>
      <c r="D378" s="844">
        <v>10</v>
      </c>
      <c r="E378" s="844" t="s">
        <v>1567</v>
      </c>
      <c r="F378" s="814">
        <v>45429</v>
      </c>
      <c r="G378" s="814">
        <f t="shared" si="287"/>
        <v>45429</v>
      </c>
      <c r="H378" s="781">
        <f t="shared" si="279"/>
        <v>49079</v>
      </c>
      <c r="I378" s="823">
        <v>14300</v>
      </c>
      <c r="J378" s="805">
        <f t="shared" si="280"/>
        <v>715</v>
      </c>
      <c r="K378" s="793"/>
      <c r="L378" s="793"/>
      <c r="M378" s="793"/>
      <c r="N378" s="793"/>
      <c r="O378" s="793"/>
      <c r="P378" s="793"/>
      <c r="Q378" s="793"/>
      <c r="R378" s="793"/>
      <c r="S378" s="793"/>
      <c r="T378" s="805"/>
      <c r="U378" s="805"/>
      <c r="V378" s="793"/>
      <c r="W378" s="793"/>
      <c r="X378" s="793"/>
      <c r="Y378" s="805"/>
      <c r="Z378" s="805"/>
      <c r="AA378" s="805"/>
      <c r="AB378" s="805"/>
      <c r="AC378" s="805"/>
      <c r="AD378" s="793"/>
      <c r="AE378" s="793"/>
      <c r="AF378" s="793"/>
      <c r="AG378" s="793"/>
      <c r="AH378" s="805"/>
      <c r="AI378" s="805"/>
      <c r="AJ378" s="793"/>
      <c r="AK378" s="793"/>
      <c r="AL378" s="793"/>
      <c r="AM378" s="793"/>
      <c r="AN378" s="805"/>
      <c r="AO378" s="805"/>
      <c r="AP378" s="793"/>
      <c r="AQ378" s="793"/>
      <c r="AR378" s="793"/>
      <c r="AS378" s="793"/>
      <c r="AT378" s="793"/>
      <c r="AU378" s="793"/>
      <c r="AV378" s="818">
        <f t="shared" si="272"/>
        <v>0</v>
      </c>
      <c r="AW378" s="793">
        <f t="shared" si="284"/>
        <v>14300</v>
      </c>
      <c r="AX378" s="793">
        <f t="shared" si="285"/>
        <v>319</v>
      </c>
      <c r="AY378" s="793">
        <f t="shared" si="286"/>
        <v>1187</v>
      </c>
      <c r="AZ378" s="793">
        <f t="shared" si="276"/>
        <v>1187</v>
      </c>
      <c r="BA378" s="793">
        <f t="shared" si="277"/>
        <v>13113</v>
      </c>
      <c r="BB378" s="1382"/>
      <c r="BE378" s="1424"/>
    </row>
    <row r="379" spans="1:59" ht="15" customHeight="1" x14ac:dyDescent="0.25">
      <c r="A379" s="856" t="str">
        <f>+A378</f>
        <v>Furniture &amp; Fixtures</v>
      </c>
      <c r="B379" s="822" t="s">
        <v>314</v>
      </c>
      <c r="C379" s="826">
        <f t="shared" ref="C379:E382" si="288">+C378</f>
        <v>9.5000000000000001E-2</v>
      </c>
      <c r="D379" s="858">
        <f t="shared" si="288"/>
        <v>10</v>
      </c>
      <c r="E379" s="858" t="str">
        <f t="shared" si="288"/>
        <v>FY 2024-25</v>
      </c>
      <c r="F379" s="827">
        <v>45530</v>
      </c>
      <c r="G379" s="827">
        <f t="shared" si="287"/>
        <v>45530</v>
      </c>
      <c r="H379" s="781">
        <f t="shared" si="279"/>
        <v>49180</v>
      </c>
      <c r="I379" s="1425">
        <v>17100</v>
      </c>
      <c r="J379" s="821">
        <f t="shared" si="280"/>
        <v>855</v>
      </c>
      <c r="K379" s="818"/>
      <c r="L379" s="818"/>
      <c r="M379" s="818"/>
      <c r="N379" s="818"/>
      <c r="O379" s="818"/>
      <c r="P379" s="818"/>
      <c r="Q379" s="818"/>
      <c r="R379" s="818"/>
      <c r="S379" s="818"/>
      <c r="T379" s="821"/>
      <c r="U379" s="821"/>
      <c r="V379" s="818"/>
      <c r="W379" s="818"/>
      <c r="X379" s="818"/>
      <c r="Y379" s="821"/>
      <c r="Z379" s="821"/>
      <c r="AA379" s="821"/>
      <c r="AB379" s="821"/>
      <c r="AC379" s="821"/>
      <c r="AD379" s="818"/>
      <c r="AE379" s="818"/>
      <c r="AF379" s="818"/>
      <c r="AG379" s="818"/>
      <c r="AH379" s="821"/>
      <c r="AI379" s="821"/>
      <c r="AJ379" s="818"/>
      <c r="AK379" s="818"/>
      <c r="AL379" s="818"/>
      <c r="AM379" s="818"/>
      <c r="AN379" s="821"/>
      <c r="AO379" s="821"/>
      <c r="AP379" s="818"/>
      <c r="AQ379" s="818"/>
      <c r="AR379" s="818"/>
      <c r="AS379" s="818"/>
      <c r="AT379" s="818"/>
      <c r="AU379" s="818"/>
      <c r="AV379" s="818"/>
      <c r="AW379" s="793">
        <f t="shared" si="284"/>
        <v>17100</v>
      </c>
      <c r="AX379" s="793">
        <f t="shared" si="285"/>
        <v>218</v>
      </c>
      <c r="AY379" s="793">
        <f t="shared" si="286"/>
        <v>970</v>
      </c>
      <c r="AZ379" s="793">
        <f t="shared" si="276"/>
        <v>970</v>
      </c>
      <c r="BA379" s="793">
        <f t="shared" si="277"/>
        <v>16130</v>
      </c>
      <c r="BB379" s="1382"/>
      <c r="BE379" s="1424"/>
    </row>
    <row r="380" spans="1:59" ht="15" customHeight="1" x14ac:dyDescent="0.25">
      <c r="A380" s="856" t="str">
        <f>+A379</f>
        <v>Furniture &amp; Fixtures</v>
      </c>
      <c r="B380" s="822" t="s">
        <v>306</v>
      </c>
      <c r="C380" s="826">
        <f t="shared" si="288"/>
        <v>9.5000000000000001E-2</v>
      </c>
      <c r="D380" s="858">
        <f t="shared" si="288"/>
        <v>10</v>
      </c>
      <c r="E380" s="858" t="str">
        <f t="shared" si="288"/>
        <v>FY 2024-25</v>
      </c>
      <c r="F380" s="827">
        <v>45805</v>
      </c>
      <c r="G380" s="827">
        <f t="shared" si="287"/>
        <v>45805</v>
      </c>
      <c r="H380" s="781">
        <f t="shared" si="279"/>
        <v>49455</v>
      </c>
      <c r="I380" s="1425">
        <v>7200</v>
      </c>
      <c r="J380" s="821">
        <f t="shared" si="280"/>
        <v>360</v>
      </c>
      <c r="K380" s="818"/>
      <c r="L380" s="818"/>
      <c r="M380" s="818"/>
      <c r="N380" s="818"/>
      <c r="O380" s="818"/>
      <c r="P380" s="818"/>
      <c r="Q380" s="818"/>
      <c r="R380" s="818"/>
      <c r="S380" s="818"/>
      <c r="T380" s="821"/>
      <c r="U380" s="821"/>
      <c r="V380" s="818"/>
      <c r="W380" s="818"/>
      <c r="X380" s="818"/>
      <c r="Y380" s="821"/>
      <c r="Z380" s="821"/>
      <c r="AA380" s="821"/>
      <c r="AB380" s="821"/>
      <c r="AC380" s="821"/>
      <c r="AD380" s="818"/>
      <c r="AE380" s="818"/>
      <c r="AF380" s="818"/>
      <c r="AG380" s="818"/>
      <c r="AH380" s="821"/>
      <c r="AI380" s="821"/>
      <c r="AJ380" s="818"/>
      <c r="AK380" s="818"/>
      <c r="AL380" s="818"/>
      <c r="AM380" s="818"/>
      <c r="AN380" s="821"/>
      <c r="AO380" s="821"/>
      <c r="AP380" s="818"/>
      <c r="AQ380" s="818"/>
      <c r="AR380" s="818"/>
      <c r="AS380" s="818"/>
      <c r="AT380" s="818"/>
      <c r="AU380" s="818"/>
      <c r="AV380" s="818"/>
      <c r="AW380" s="793">
        <f t="shared" si="284"/>
        <v>7200</v>
      </c>
      <c r="AX380" s="793">
        <f t="shared" si="285"/>
        <v>365</v>
      </c>
      <c r="AY380" s="793">
        <f t="shared" si="286"/>
        <v>684</v>
      </c>
      <c r="AZ380" s="793">
        <f t="shared" si="276"/>
        <v>684</v>
      </c>
      <c r="BA380" s="793">
        <f t="shared" si="277"/>
        <v>6516</v>
      </c>
      <c r="BB380" s="1382"/>
      <c r="BE380" s="1424"/>
    </row>
    <row r="381" spans="1:59" ht="15" customHeight="1" x14ac:dyDescent="0.25">
      <c r="A381" s="856" t="str">
        <f>+A380</f>
        <v>Furniture &amp; Fixtures</v>
      </c>
      <c r="B381" s="822" t="s">
        <v>306</v>
      </c>
      <c r="C381" s="826">
        <f t="shared" si="288"/>
        <v>9.5000000000000001E-2</v>
      </c>
      <c r="D381" s="858">
        <f t="shared" si="288"/>
        <v>10</v>
      </c>
      <c r="E381" s="858" t="str">
        <f t="shared" si="288"/>
        <v>FY 2024-25</v>
      </c>
      <c r="F381" s="827">
        <v>45805</v>
      </c>
      <c r="G381" s="827">
        <f t="shared" si="287"/>
        <v>45805</v>
      </c>
      <c r="H381" s="781">
        <f t="shared" si="279"/>
        <v>49455</v>
      </c>
      <c r="I381" s="1425">
        <v>9200</v>
      </c>
      <c r="J381" s="821">
        <f t="shared" si="280"/>
        <v>460</v>
      </c>
      <c r="K381" s="818"/>
      <c r="L381" s="818"/>
      <c r="M381" s="818"/>
      <c r="N381" s="818"/>
      <c r="O381" s="818"/>
      <c r="P381" s="818"/>
      <c r="Q381" s="818"/>
      <c r="R381" s="818"/>
      <c r="S381" s="818"/>
      <c r="T381" s="821"/>
      <c r="U381" s="821"/>
      <c r="V381" s="818"/>
      <c r="W381" s="818"/>
      <c r="X381" s="818"/>
      <c r="Y381" s="821"/>
      <c r="Z381" s="821"/>
      <c r="AA381" s="821"/>
      <c r="AB381" s="821"/>
      <c r="AC381" s="821"/>
      <c r="AD381" s="818"/>
      <c r="AE381" s="818"/>
      <c r="AF381" s="818"/>
      <c r="AG381" s="818"/>
      <c r="AH381" s="821"/>
      <c r="AI381" s="821"/>
      <c r="AJ381" s="818"/>
      <c r="AK381" s="818"/>
      <c r="AL381" s="818"/>
      <c r="AM381" s="818"/>
      <c r="AN381" s="821"/>
      <c r="AO381" s="821"/>
      <c r="AP381" s="818"/>
      <c r="AQ381" s="818"/>
      <c r="AR381" s="818"/>
      <c r="AS381" s="818"/>
      <c r="AT381" s="818"/>
      <c r="AU381" s="818"/>
      <c r="AV381" s="818"/>
      <c r="AW381" s="793">
        <f t="shared" si="284"/>
        <v>9200</v>
      </c>
      <c r="AX381" s="793">
        <f t="shared" si="285"/>
        <v>365</v>
      </c>
      <c r="AY381" s="793">
        <f t="shared" si="286"/>
        <v>874</v>
      </c>
      <c r="AZ381" s="793">
        <f t="shared" si="276"/>
        <v>874</v>
      </c>
      <c r="BA381" s="793">
        <f t="shared" si="277"/>
        <v>8326</v>
      </c>
      <c r="BB381" s="1382"/>
      <c r="BE381" s="1424"/>
    </row>
    <row r="382" spans="1:59" ht="15" customHeight="1" x14ac:dyDescent="0.25">
      <c r="A382" s="856" t="str">
        <f>+A381</f>
        <v>Furniture &amp; Fixtures</v>
      </c>
      <c r="B382" s="822" t="s">
        <v>306</v>
      </c>
      <c r="C382" s="826">
        <f t="shared" si="288"/>
        <v>9.5000000000000001E-2</v>
      </c>
      <c r="D382" s="858">
        <f t="shared" si="288"/>
        <v>10</v>
      </c>
      <c r="E382" s="858" t="str">
        <f t="shared" si="288"/>
        <v>FY 2024-25</v>
      </c>
      <c r="F382" s="827">
        <v>45805</v>
      </c>
      <c r="G382" s="827">
        <f t="shared" si="287"/>
        <v>45805</v>
      </c>
      <c r="H382" s="781">
        <f t="shared" si="279"/>
        <v>49455</v>
      </c>
      <c r="I382" s="1425">
        <v>13715</v>
      </c>
      <c r="J382" s="821">
        <f t="shared" si="280"/>
        <v>685.75</v>
      </c>
      <c r="K382" s="818"/>
      <c r="L382" s="818"/>
      <c r="M382" s="818"/>
      <c r="N382" s="818"/>
      <c r="O382" s="818"/>
      <c r="P382" s="818"/>
      <c r="Q382" s="818"/>
      <c r="R382" s="818"/>
      <c r="S382" s="818"/>
      <c r="T382" s="821"/>
      <c r="U382" s="821"/>
      <c r="V382" s="818"/>
      <c r="W382" s="818"/>
      <c r="X382" s="818"/>
      <c r="Y382" s="821"/>
      <c r="Z382" s="821"/>
      <c r="AA382" s="821"/>
      <c r="AB382" s="821"/>
      <c r="AC382" s="821"/>
      <c r="AD382" s="818"/>
      <c r="AE382" s="818"/>
      <c r="AF382" s="818"/>
      <c r="AG382" s="818"/>
      <c r="AH382" s="821"/>
      <c r="AI382" s="821"/>
      <c r="AJ382" s="818"/>
      <c r="AK382" s="818"/>
      <c r="AL382" s="818"/>
      <c r="AM382" s="818"/>
      <c r="AN382" s="821"/>
      <c r="AO382" s="821"/>
      <c r="AP382" s="818"/>
      <c r="AQ382" s="818"/>
      <c r="AR382" s="818"/>
      <c r="AS382" s="818"/>
      <c r="AT382" s="818"/>
      <c r="AU382" s="818"/>
      <c r="AV382" s="818"/>
      <c r="AW382" s="793">
        <f t="shared" si="284"/>
        <v>13715</v>
      </c>
      <c r="AX382" s="793">
        <f t="shared" si="285"/>
        <v>365</v>
      </c>
      <c r="AY382" s="793">
        <f t="shared" si="286"/>
        <v>1303</v>
      </c>
      <c r="AZ382" s="793">
        <f t="shared" si="276"/>
        <v>1303</v>
      </c>
      <c r="BA382" s="793">
        <f t="shared" si="277"/>
        <v>12412</v>
      </c>
      <c r="BB382" s="1382"/>
      <c r="BE382" s="1424"/>
    </row>
    <row r="383" spans="1:59" ht="15" customHeight="1" thickBot="1" x14ac:dyDescent="0.3">
      <c r="A383" s="842" t="s">
        <v>133</v>
      </c>
      <c r="B383" s="822" t="s">
        <v>497</v>
      </c>
      <c r="C383" s="778">
        <f>(95/D383)/100</f>
        <v>9.5000000000000001E-2</v>
      </c>
      <c r="D383" s="844">
        <v>10</v>
      </c>
      <c r="E383" s="844" t="s">
        <v>1567</v>
      </c>
      <c r="F383" s="814">
        <v>45443</v>
      </c>
      <c r="G383" s="814">
        <f t="shared" si="287"/>
        <v>45443</v>
      </c>
      <c r="H383" s="781">
        <f t="shared" si="279"/>
        <v>49093</v>
      </c>
      <c r="I383" s="823">
        <v>107000</v>
      </c>
      <c r="J383" s="805">
        <f t="shared" si="280"/>
        <v>5350</v>
      </c>
      <c r="K383" s="793"/>
      <c r="L383" s="793"/>
      <c r="M383" s="793"/>
      <c r="N383" s="793"/>
      <c r="O383" s="793"/>
      <c r="P383" s="793"/>
      <c r="Q383" s="793"/>
      <c r="R383" s="793"/>
      <c r="S383" s="793"/>
      <c r="T383" s="805"/>
      <c r="U383" s="805"/>
      <c r="V383" s="793"/>
      <c r="W383" s="793"/>
      <c r="X383" s="793"/>
      <c r="Y383" s="805"/>
      <c r="Z383" s="805"/>
      <c r="AA383" s="805"/>
      <c r="AB383" s="805"/>
      <c r="AC383" s="805"/>
      <c r="AD383" s="793"/>
      <c r="AE383" s="793"/>
      <c r="AF383" s="793"/>
      <c r="AG383" s="793"/>
      <c r="AH383" s="805"/>
      <c r="AI383" s="805"/>
      <c r="AJ383" s="793"/>
      <c r="AK383" s="793"/>
      <c r="AL383" s="793"/>
      <c r="AM383" s="793"/>
      <c r="AN383" s="805"/>
      <c r="AO383" s="805"/>
      <c r="AP383" s="793"/>
      <c r="AQ383" s="793"/>
      <c r="AR383" s="793"/>
      <c r="AS383" s="793"/>
      <c r="AT383" s="793"/>
      <c r="AU383" s="793"/>
      <c r="AV383" s="793">
        <f>+AU383</f>
        <v>0</v>
      </c>
      <c r="AW383" s="793">
        <f t="shared" si="284"/>
        <v>107000</v>
      </c>
      <c r="AX383" s="793">
        <f>IF(AND(F383&gt;$AP$3,F383&lt;$AV$3),$AV$3-F383+1,IF(H383&lt;=$AP$3,0,IF(H383&gt;$AV$3,$AV$3-$AP$3,H383-$AP$3)))</f>
        <v>305</v>
      </c>
      <c r="AY383" s="793">
        <f>ROUND(AW383*C383*AX383/365,0)</f>
        <v>8494</v>
      </c>
      <c r="AZ383" s="793">
        <f>+AT383+AY383</f>
        <v>8494</v>
      </c>
      <c r="BA383" s="793">
        <f>+AW383-AZ383</f>
        <v>98506</v>
      </c>
      <c r="BB383" s="1382"/>
      <c r="BE383" s="1424"/>
    </row>
    <row r="384" spans="1:59" s="1429" customFormat="1" ht="15" customHeight="1" thickBot="1" x14ac:dyDescent="0.3">
      <c r="A384" s="929" t="s">
        <v>1302</v>
      </c>
      <c r="B384" s="930"/>
      <c r="C384" s="931"/>
      <c r="D384" s="931"/>
      <c r="E384" s="931"/>
      <c r="F384" s="932"/>
      <c r="G384" s="933"/>
      <c r="H384" s="933"/>
      <c r="I384" s="1426">
        <f>SUM(I200:I383)</f>
        <v>23517415.139999997</v>
      </c>
      <c r="J384" s="1426">
        <f>SUM(J200:J383)</f>
        <v>1175870.7570000002</v>
      </c>
      <c r="K384" s="1426">
        <f>SUM(K200:K370)</f>
        <v>0</v>
      </c>
      <c r="L384" s="1426">
        <f t="shared" ref="L384:BA384" si="289">SUM(L200:L383)</f>
        <v>0</v>
      </c>
      <c r="M384" s="1426">
        <f t="shared" si="289"/>
        <v>16096192.479999999</v>
      </c>
      <c r="N384" s="1426">
        <f t="shared" si="289"/>
        <v>31863</v>
      </c>
      <c r="O384" s="1426">
        <f t="shared" si="289"/>
        <v>1481585</v>
      </c>
      <c r="P384" s="1426">
        <f t="shared" si="289"/>
        <v>1481585</v>
      </c>
      <c r="Q384" s="1426">
        <f t="shared" si="289"/>
        <v>14614607.479999999</v>
      </c>
      <c r="R384" s="1426">
        <f t="shared" si="289"/>
        <v>14614607.479999999</v>
      </c>
      <c r="S384" s="1426">
        <f t="shared" si="289"/>
        <v>16309280.479999999</v>
      </c>
      <c r="T384" s="1426">
        <f t="shared" si="289"/>
        <v>35769</v>
      </c>
      <c r="U384" s="1426">
        <f t="shared" si="289"/>
        <v>1539037</v>
      </c>
      <c r="V384" s="1426">
        <f t="shared" si="289"/>
        <v>3020622</v>
      </c>
      <c r="W384" s="1426">
        <f t="shared" si="289"/>
        <v>13288658.479999999</v>
      </c>
      <c r="X384" s="1426">
        <f t="shared" si="289"/>
        <v>13288658.479999999</v>
      </c>
      <c r="Y384" s="1426">
        <f t="shared" si="289"/>
        <v>16511790.679999998</v>
      </c>
      <c r="Z384" s="1426">
        <f t="shared" si="289"/>
        <v>38837</v>
      </c>
      <c r="AA384" s="1426">
        <f t="shared" si="289"/>
        <v>1557096</v>
      </c>
      <c r="AB384" s="1426">
        <f t="shared" si="289"/>
        <v>4577718</v>
      </c>
      <c r="AC384" s="1426">
        <f t="shared" si="289"/>
        <v>11934072.68</v>
      </c>
      <c r="AD384" s="1426">
        <f t="shared" si="289"/>
        <v>11934072.68</v>
      </c>
      <c r="AE384" s="1426">
        <f t="shared" si="289"/>
        <v>18279112.479999997</v>
      </c>
      <c r="AF384" s="1426">
        <f t="shared" si="289"/>
        <v>41697</v>
      </c>
      <c r="AG384" s="1426">
        <f t="shared" si="289"/>
        <v>1642736</v>
      </c>
      <c r="AH384" s="1426">
        <f t="shared" si="289"/>
        <v>6220454</v>
      </c>
      <c r="AI384" s="1426">
        <f t="shared" si="289"/>
        <v>12058658.48</v>
      </c>
      <c r="AJ384" s="1426">
        <f t="shared" si="289"/>
        <v>12058658.48</v>
      </c>
      <c r="AK384" s="1426">
        <f t="shared" si="289"/>
        <v>19252880.019999996</v>
      </c>
      <c r="AL384" s="1426">
        <f t="shared" si="289"/>
        <v>47532</v>
      </c>
      <c r="AM384" s="1426">
        <f t="shared" si="289"/>
        <v>1905868</v>
      </c>
      <c r="AN384" s="1426">
        <f t="shared" si="289"/>
        <v>7400630</v>
      </c>
      <c r="AO384" s="1426">
        <f t="shared" si="289"/>
        <v>11852250.02</v>
      </c>
      <c r="AP384" s="1426">
        <f t="shared" si="289"/>
        <v>11852250.02</v>
      </c>
      <c r="AQ384" s="1426">
        <f t="shared" si="289"/>
        <v>22283437.139999997</v>
      </c>
      <c r="AR384" s="1426">
        <f t="shared" si="289"/>
        <v>54327</v>
      </c>
      <c r="AS384" s="1426">
        <f t="shared" si="289"/>
        <v>1898309</v>
      </c>
      <c r="AT384" s="1426">
        <f t="shared" si="289"/>
        <v>9298939</v>
      </c>
      <c r="AU384" s="1426">
        <f t="shared" si="289"/>
        <v>12984498.139999997</v>
      </c>
      <c r="AV384" s="1426">
        <f t="shared" si="289"/>
        <v>12984498.139999997</v>
      </c>
      <c r="AW384" s="1426">
        <f t="shared" si="289"/>
        <v>23517415.139999997</v>
      </c>
      <c r="AX384" s="1426">
        <f t="shared" si="289"/>
        <v>65683</v>
      </c>
      <c r="AY384" s="1426">
        <f t="shared" si="289"/>
        <v>2182651</v>
      </c>
      <c r="AZ384" s="1427">
        <f t="shared" si="289"/>
        <v>11481590</v>
      </c>
      <c r="BA384" s="1428">
        <f t="shared" si="289"/>
        <v>12035825.139999999</v>
      </c>
      <c r="BB384" s="1401">
        <f>+SUM(AW371:AW383)</f>
        <v>1233978</v>
      </c>
      <c r="BC384" s="841">
        <f>+AV384</f>
        <v>12984498.139999997</v>
      </c>
      <c r="BD384" s="841">
        <f>+AW384</f>
        <v>23517415.139999997</v>
      </c>
      <c r="BE384" s="1424">
        <f>+AY384</f>
        <v>2182651</v>
      </c>
      <c r="BF384" s="841">
        <f>+AZ384</f>
        <v>11481590</v>
      </c>
      <c r="BG384" s="841">
        <f>+BA384</f>
        <v>12035825.139999999</v>
      </c>
    </row>
    <row r="385" spans="1:53" ht="15" customHeight="1" x14ac:dyDescent="0.25">
      <c r="A385" s="906"/>
      <c r="B385" s="936"/>
      <c r="C385" s="937"/>
      <c r="D385" s="938"/>
      <c r="E385" s="938"/>
      <c r="F385" s="939"/>
      <c r="G385" s="940"/>
      <c r="H385" s="940"/>
      <c r="I385" s="1417"/>
      <c r="J385" s="1081"/>
      <c r="K385" s="1328"/>
      <c r="L385" s="1328"/>
      <c r="M385" s="1328"/>
      <c r="N385" s="1328"/>
      <c r="O385" s="1328"/>
      <c r="P385" s="1328"/>
      <c r="Q385" s="1328"/>
      <c r="R385" s="1328"/>
      <c r="S385" s="1328"/>
      <c r="T385" s="1081"/>
      <c r="U385" s="1081"/>
      <c r="V385" s="1328"/>
      <c r="W385" s="1328"/>
      <c r="X385" s="1328"/>
      <c r="Y385" s="1081"/>
      <c r="Z385" s="1081"/>
      <c r="AA385" s="1081"/>
      <c r="AB385" s="1081"/>
      <c r="AC385" s="1081"/>
      <c r="AD385" s="1328"/>
      <c r="AE385" s="1328"/>
      <c r="AF385" s="1328"/>
      <c r="AG385" s="1328"/>
      <c r="AH385" s="1081"/>
      <c r="AI385" s="1081"/>
      <c r="AJ385" s="1328"/>
      <c r="AQ385" s="1328"/>
      <c r="AR385" s="1328"/>
      <c r="AS385" s="1328"/>
      <c r="AT385" s="1328"/>
      <c r="AU385" s="1328"/>
      <c r="AV385" s="1328"/>
      <c r="AW385" s="1328"/>
      <c r="AX385" s="1328"/>
      <c r="AY385" s="1328"/>
      <c r="AZ385" s="1328"/>
      <c r="BA385" s="1328"/>
    </row>
    <row r="386" spans="1:53" ht="15" customHeight="1" x14ac:dyDescent="0.25">
      <c r="A386" s="842" t="s">
        <v>667</v>
      </c>
      <c r="B386" s="943" t="s">
        <v>1303</v>
      </c>
      <c r="C386" s="778">
        <f t="shared" ref="C386:C434" si="290">(95/D386)/100</f>
        <v>0.19</v>
      </c>
      <c r="D386" s="844">
        <v>5</v>
      </c>
      <c r="E386" s="779" t="s">
        <v>1182</v>
      </c>
      <c r="F386" s="845">
        <v>43191</v>
      </c>
      <c r="G386" s="781">
        <f t="shared" ref="G386:G434" si="291">F386</f>
        <v>43191</v>
      </c>
      <c r="H386" s="781">
        <f t="shared" ref="H386:H434" si="292">G386+(365*D386)</f>
        <v>45016</v>
      </c>
      <c r="I386" s="1359">
        <v>112650</v>
      </c>
      <c r="J386" s="805">
        <f t="shared" ref="J386:J434" si="293">I386*5%</f>
        <v>5632.5</v>
      </c>
      <c r="K386" s="793"/>
      <c r="L386" s="793">
        <v>0</v>
      </c>
      <c r="M386" s="793">
        <f t="shared" ref="M386:M408" si="294">I386</f>
        <v>112650</v>
      </c>
      <c r="N386" s="793">
        <f t="shared" ref="N386:N408" si="295">IF(AND(F386&gt;$K$3,F386&lt;$L$3),$L$3-F386+1,IF(H386&lt;=$K$3,0,IF(H386&gt;$L$3,$L$3-$K$3,H386-$K$3)))</f>
        <v>365</v>
      </c>
      <c r="O386" s="793">
        <f t="shared" ref="O386:O408" si="296">ROUND(M386*C386*N386/365,0)</f>
        <v>21404</v>
      </c>
      <c r="P386" s="793">
        <f t="shared" ref="P386:P408" si="297">O386</f>
        <v>21404</v>
      </c>
      <c r="Q386" s="793">
        <f t="shared" ref="Q386:Q408" si="298">+M386-P386</f>
        <v>91246</v>
      </c>
      <c r="R386" s="793">
        <f t="shared" ref="R386:R412" si="299">+Q386</f>
        <v>91246</v>
      </c>
      <c r="S386" s="793">
        <f t="shared" ref="S386:S412" si="300">I386</f>
        <v>112650</v>
      </c>
      <c r="T386" s="805">
        <f t="shared" ref="T386:T412" si="301">IF(AND(F386&gt;$L$3,F386&lt;$R$3),$R$3-F386+1,IF(H386&lt;=$L$3,0,IF(H386&gt;$R$3,$R$3-$L$3,H386-$L$3)))</f>
        <v>366</v>
      </c>
      <c r="U386" s="805">
        <f t="shared" ref="U386:U412" si="302">ROUND(S386*C386*T386/366,0)</f>
        <v>21404</v>
      </c>
      <c r="V386" s="793">
        <f t="shared" ref="V386:V412" si="303">+P386+U386</f>
        <v>42808</v>
      </c>
      <c r="W386" s="793">
        <f t="shared" ref="W386:W412" si="304">+S386-V386</f>
        <v>69842</v>
      </c>
      <c r="X386" s="793">
        <f t="shared" ref="X386:X412" si="305">W386</f>
        <v>69842</v>
      </c>
      <c r="Y386" s="805">
        <f t="shared" ref="Y386:Y414" si="306">I386</f>
        <v>112650</v>
      </c>
      <c r="Z386" s="805">
        <f t="shared" ref="Z386:Z414" si="307">IF(AND(F386&gt;$R$3,F386&lt;$X$3),$X$3-F386+1,IF(H386&lt;=$R$3,0,IF(H386&gt;$X$3,$X$3-$R$3,H386-$R$3)))</f>
        <v>365</v>
      </c>
      <c r="AA386" s="805">
        <f t="shared" ref="AA386:AA414" si="308">ROUND(Y386*C386*Z386/365,0)</f>
        <v>21404</v>
      </c>
      <c r="AB386" s="805">
        <f t="shared" ref="AB386:AB414" si="309">+V386+AA386</f>
        <v>64212</v>
      </c>
      <c r="AC386" s="805">
        <f t="shared" ref="AC386:AC414" si="310">Y386-AB386</f>
        <v>48438</v>
      </c>
      <c r="AD386" s="793">
        <f t="shared" ref="AD386:AD426" si="311">AC386</f>
        <v>48438</v>
      </c>
      <c r="AE386" s="793">
        <f t="shared" ref="AE386:AE422" si="312">I386</f>
        <v>112650</v>
      </c>
      <c r="AF386" s="793">
        <f t="shared" ref="AF386:AF422" si="313">IF(AND(F386&gt;$X$3,F386&lt;$AD$3),$AD$3-F386+1,IF(H386&lt;=$X$3,0,IF(H386&gt;$AD$3,$AD$3-$X$3,H386-$X$3)))</f>
        <v>365</v>
      </c>
      <c r="AG386" s="793">
        <f t="shared" ref="AG386:AG422" si="314">ROUND(AE386*C386*AF386/365,0)</f>
        <v>21404</v>
      </c>
      <c r="AH386" s="805">
        <f t="shared" ref="AH386:AH422" si="315">+AB386+AG386</f>
        <v>85616</v>
      </c>
      <c r="AI386" s="805">
        <f t="shared" ref="AI386:AI422" si="316">AE386-AH386</f>
        <v>27034</v>
      </c>
      <c r="AJ386" s="793">
        <f t="shared" ref="AJ386:AJ426" si="317">AI386</f>
        <v>27034</v>
      </c>
      <c r="AK386" s="793">
        <f t="shared" ref="AK386:AK434" si="318">I386</f>
        <v>112650</v>
      </c>
      <c r="AL386" s="793">
        <f t="shared" ref="AL386:AL434" si="319">IF(AND(F386&gt;$AD$3,F386&lt;$AJ$3),$AJ$3-F386+1,IF(H386&lt;=$AD$3,0,IF(H386&gt;$AJ$3,$AJ$3-$AD$3,H386-$AD$3)))</f>
        <v>365</v>
      </c>
      <c r="AM386" s="793">
        <f t="shared" ref="AM386:AM434" si="320">ROUND(AK386*C386*AL386/365,0)</f>
        <v>21404</v>
      </c>
      <c r="AN386" s="805">
        <f t="shared" ref="AN386:AN434" si="321">+AH386+AM386</f>
        <v>107020</v>
      </c>
      <c r="AO386" s="805">
        <f t="shared" ref="AO386:AO435" si="322">AK386-AN386</f>
        <v>5630</v>
      </c>
      <c r="AP386" s="793">
        <f t="shared" ref="AP386:AP440" si="323">+AO386</f>
        <v>5630</v>
      </c>
      <c r="AQ386" s="793">
        <f t="shared" ref="AQ386:AQ434" si="324">I386</f>
        <v>112650</v>
      </c>
      <c r="AR386" s="793">
        <f t="shared" ref="AR386:AR434" si="325">IF(AND(F386&gt;$AJ$3,F386&lt;$AP$3),$AP$3-F386+1,IF(H386&lt;=$AJ$3,0,IF(H386&gt;$AP$3,$AP$3-$AJ$3,H386-$AJ$3)))</f>
        <v>0</v>
      </c>
      <c r="AS386" s="793">
        <f t="shared" ref="AS386:AS434" si="326">ROUND(AQ386*C386*AR386/365,0)</f>
        <v>0</v>
      </c>
      <c r="AT386" s="793">
        <f t="shared" ref="AT386:AT440" si="327">+AN386+AS386</f>
        <v>107020</v>
      </c>
      <c r="AU386" s="793">
        <f t="shared" ref="AU386:AU440" si="328">+AQ386-AT386</f>
        <v>5630</v>
      </c>
      <c r="AV386" s="793">
        <f t="shared" ref="AV386:AV449" si="329">+AU386</f>
        <v>5630</v>
      </c>
      <c r="AW386" s="793">
        <f t="shared" ref="AW386:AW434" si="330">+I386</f>
        <v>112650</v>
      </c>
      <c r="AX386" s="793">
        <f t="shared" ref="AX386:AX434" si="331">IF(AND(F386&gt;$AP$3,F386&lt;$AV$3),$AV$3-F386+1,IF(H386&lt;=$AP$3,0,IF(H386&gt;$AV$3,$AV$3-$AP$3,H386-$AP$3)))</f>
        <v>0</v>
      </c>
      <c r="AY386" s="793">
        <f t="shared" ref="AY386:AY434" si="332">ROUND(AW386*C386*AX386/365,0)</f>
        <v>0</v>
      </c>
      <c r="AZ386" s="793">
        <f t="shared" ref="AZ386:AZ449" si="333">+AT386+AY386</f>
        <v>107020</v>
      </c>
      <c r="BA386" s="793">
        <f t="shared" ref="BA386:BA449" si="334">+AW386-AZ386</f>
        <v>5630</v>
      </c>
    </row>
    <row r="387" spans="1:53" ht="15" customHeight="1" x14ac:dyDescent="0.25">
      <c r="A387" s="842" t="s">
        <v>667</v>
      </c>
      <c r="B387" s="943" t="s">
        <v>1304</v>
      </c>
      <c r="C387" s="778">
        <f t="shared" si="290"/>
        <v>0.19</v>
      </c>
      <c r="D387" s="844">
        <v>5</v>
      </c>
      <c r="E387" s="779" t="s">
        <v>1182</v>
      </c>
      <c r="F387" s="845">
        <v>43191</v>
      </c>
      <c r="G387" s="781">
        <f t="shared" si="291"/>
        <v>43191</v>
      </c>
      <c r="H387" s="781">
        <f t="shared" si="292"/>
        <v>45016</v>
      </c>
      <c r="I387" s="1359">
        <v>110000</v>
      </c>
      <c r="J387" s="805">
        <f t="shared" si="293"/>
        <v>5500</v>
      </c>
      <c r="K387" s="793"/>
      <c r="L387" s="793">
        <v>0</v>
      </c>
      <c r="M387" s="793">
        <f t="shared" si="294"/>
        <v>110000</v>
      </c>
      <c r="N387" s="793">
        <f t="shared" si="295"/>
        <v>365</v>
      </c>
      <c r="O387" s="793">
        <f t="shared" si="296"/>
        <v>20900</v>
      </c>
      <c r="P387" s="793">
        <f t="shared" si="297"/>
        <v>20900</v>
      </c>
      <c r="Q387" s="793">
        <f t="shared" si="298"/>
        <v>89100</v>
      </c>
      <c r="R387" s="793">
        <f t="shared" si="299"/>
        <v>89100</v>
      </c>
      <c r="S387" s="793">
        <f t="shared" si="300"/>
        <v>110000</v>
      </c>
      <c r="T387" s="805">
        <f t="shared" si="301"/>
        <v>366</v>
      </c>
      <c r="U387" s="805">
        <f t="shared" si="302"/>
        <v>20900</v>
      </c>
      <c r="V387" s="793">
        <f t="shared" si="303"/>
        <v>41800</v>
      </c>
      <c r="W387" s="793">
        <f t="shared" si="304"/>
        <v>68200</v>
      </c>
      <c r="X387" s="793">
        <f t="shared" si="305"/>
        <v>68200</v>
      </c>
      <c r="Y387" s="805">
        <f t="shared" si="306"/>
        <v>110000</v>
      </c>
      <c r="Z387" s="805">
        <f t="shared" si="307"/>
        <v>365</v>
      </c>
      <c r="AA387" s="805">
        <f t="shared" si="308"/>
        <v>20900</v>
      </c>
      <c r="AB387" s="805">
        <f t="shared" si="309"/>
        <v>62700</v>
      </c>
      <c r="AC387" s="805">
        <f t="shared" si="310"/>
        <v>47300</v>
      </c>
      <c r="AD387" s="793">
        <f t="shared" si="311"/>
        <v>47300</v>
      </c>
      <c r="AE387" s="793">
        <f t="shared" si="312"/>
        <v>110000</v>
      </c>
      <c r="AF387" s="793">
        <f t="shared" si="313"/>
        <v>365</v>
      </c>
      <c r="AG387" s="793">
        <f t="shared" si="314"/>
        <v>20900</v>
      </c>
      <c r="AH387" s="805">
        <f t="shared" si="315"/>
        <v>83600</v>
      </c>
      <c r="AI387" s="805">
        <f t="shared" si="316"/>
        <v>26400</v>
      </c>
      <c r="AJ387" s="793">
        <f t="shared" si="317"/>
        <v>26400</v>
      </c>
      <c r="AK387" s="793">
        <f t="shared" si="318"/>
        <v>110000</v>
      </c>
      <c r="AL387" s="793">
        <f t="shared" si="319"/>
        <v>365</v>
      </c>
      <c r="AM387" s="793">
        <f t="shared" si="320"/>
        <v>20900</v>
      </c>
      <c r="AN387" s="805">
        <f t="shared" si="321"/>
        <v>104500</v>
      </c>
      <c r="AO387" s="805">
        <f t="shared" si="322"/>
        <v>5500</v>
      </c>
      <c r="AP387" s="793">
        <f t="shared" si="323"/>
        <v>5500</v>
      </c>
      <c r="AQ387" s="793">
        <f t="shared" si="324"/>
        <v>110000</v>
      </c>
      <c r="AR387" s="793">
        <f t="shared" si="325"/>
        <v>0</v>
      </c>
      <c r="AS387" s="793">
        <f t="shared" si="326"/>
        <v>0</v>
      </c>
      <c r="AT387" s="793">
        <f t="shared" si="327"/>
        <v>104500</v>
      </c>
      <c r="AU387" s="793">
        <f t="shared" si="328"/>
        <v>5500</v>
      </c>
      <c r="AV387" s="793">
        <f t="shared" si="329"/>
        <v>5500</v>
      </c>
      <c r="AW387" s="793">
        <f t="shared" si="330"/>
        <v>110000</v>
      </c>
      <c r="AX387" s="793">
        <f t="shared" si="331"/>
        <v>0</v>
      </c>
      <c r="AY387" s="793">
        <f t="shared" si="332"/>
        <v>0</v>
      </c>
      <c r="AZ387" s="793">
        <f t="shared" si="333"/>
        <v>104500</v>
      </c>
      <c r="BA387" s="793">
        <f t="shared" si="334"/>
        <v>5500</v>
      </c>
    </row>
    <row r="388" spans="1:53" ht="15" customHeight="1" x14ac:dyDescent="0.25">
      <c r="A388" s="842" t="s">
        <v>667</v>
      </c>
      <c r="B388" s="943" t="s">
        <v>1305</v>
      </c>
      <c r="C388" s="778">
        <f t="shared" si="290"/>
        <v>0.19</v>
      </c>
      <c r="D388" s="844">
        <v>5</v>
      </c>
      <c r="E388" s="779" t="s">
        <v>1182</v>
      </c>
      <c r="F388" s="845">
        <v>43191</v>
      </c>
      <c r="G388" s="781">
        <f t="shared" si="291"/>
        <v>43191</v>
      </c>
      <c r="H388" s="781">
        <f t="shared" si="292"/>
        <v>45016</v>
      </c>
      <c r="I388" s="1359">
        <v>20000</v>
      </c>
      <c r="J388" s="805">
        <f t="shared" si="293"/>
        <v>1000</v>
      </c>
      <c r="K388" s="793"/>
      <c r="L388" s="793">
        <v>0</v>
      </c>
      <c r="M388" s="793">
        <f t="shared" si="294"/>
        <v>20000</v>
      </c>
      <c r="N388" s="793">
        <f t="shared" si="295"/>
        <v>365</v>
      </c>
      <c r="O388" s="793">
        <f t="shared" si="296"/>
        <v>3800</v>
      </c>
      <c r="P388" s="793">
        <f t="shared" si="297"/>
        <v>3800</v>
      </c>
      <c r="Q388" s="793">
        <f t="shared" si="298"/>
        <v>16200</v>
      </c>
      <c r="R388" s="793">
        <f t="shared" si="299"/>
        <v>16200</v>
      </c>
      <c r="S388" s="793">
        <f t="shared" si="300"/>
        <v>20000</v>
      </c>
      <c r="T388" s="805">
        <f t="shared" si="301"/>
        <v>366</v>
      </c>
      <c r="U388" s="805">
        <f t="shared" si="302"/>
        <v>3800</v>
      </c>
      <c r="V388" s="793">
        <f t="shared" si="303"/>
        <v>7600</v>
      </c>
      <c r="W388" s="793">
        <f t="shared" si="304"/>
        <v>12400</v>
      </c>
      <c r="X388" s="793">
        <f t="shared" si="305"/>
        <v>12400</v>
      </c>
      <c r="Y388" s="805">
        <f t="shared" si="306"/>
        <v>20000</v>
      </c>
      <c r="Z388" s="805">
        <f t="shared" si="307"/>
        <v>365</v>
      </c>
      <c r="AA388" s="805">
        <f t="shared" si="308"/>
        <v>3800</v>
      </c>
      <c r="AB388" s="805">
        <f t="shared" si="309"/>
        <v>11400</v>
      </c>
      <c r="AC388" s="805">
        <f t="shared" si="310"/>
        <v>8600</v>
      </c>
      <c r="AD388" s="793">
        <f t="shared" si="311"/>
        <v>8600</v>
      </c>
      <c r="AE388" s="793">
        <f t="shared" si="312"/>
        <v>20000</v>
      </c>
      <c r="AF388" s="793">
        <f t="shared" si="313"/>
        <v>365</v>
      </c>
      <c r="AG388" s="793">
        <f t="shared" si="314"/>
        <v>3800</v>
      </c>
      <c r="AH388" s="805">
        <f t="shared" si="315"/>
        <v>15200</v>
      </c>
      <c r="AI388" s="805">
        <f t="shared" si="316"/>
        <v>4800</v>
      </c>
      <c r="AJ388" s="793">
        <f t="shared" si="317"/>
        <v>4800</v>
      </c>
      <c r="AK388" s="793">
        <f t="shared" si="318"/>
        <v>20000</v>
      </c>
      <c r="AL388" s="793">
        <f t="shared" si="319"/>
        <v>365</v>
      </c>
      <c r="AM388" s="793">
        <f t="shared" si="320"/>
        <v>3800</v>
      </c>
      <c r="AN388" s="805">
        <f t="shared" si="321"/>
        <v>19000</v>
      </c>
      <c r="AO388" s="805">
        <f t="shared" si="322"/>
        <v>1000</v>
      </c>
      <c r="AP388" s="793">
        <f t="shared" si="323"/>
        <v>1000</v>
      </c>
      <c r="AQ388" s="793">
        <f t="shared" si="324"/>
        <v>20000</v>
      </c>
      <c r="AR388" s="793">
        <f t="shared" si="325"/>
        <v>0</v>
      </c>
      <c r="AS388" s="793">
        <f t="shared" si="326"/>
        <v>0</v>
      </c>
      <c r="AT388" s="793">
        <f t="shared" si="327"/>
        <v>19000</v>
      </c>
      <c r="AU388" s="793">
        <f t="shared" si="328"/>
        <v>1000</v>
      </c>
      <c r="AV388" s="793">
        <f t="shared" si="329"/>
        <v>1000</v>
      </c>
      <c r="AW388" s="793">
        <f t="shared" si="330"/>
        <v>20000</v>
      </c>
      <c r="AX388" s="793">
        <f t="shared" si="331"/>
        <v>0</v>
      </c>
      <c r="AY388" s="793">
        <f t="shared" si="332"/>
        <v>0</v>
      </c>
      <c r="AZ388" s="793">
        <f t="shared" si="333"/>
        <v>19000</v>
      </c>
      <c r="BA388" s="793">
        <f t="shared" si="334"/>
        <v>1000</v>
      </c>
    </row>
    <row r="389" spans="1:53" ht="15" customHeight="1" x14ac:dyDescent="0.25">
      <c r="A389" s="842" t="s">
        <v>667</v>
      </c>
      <c r="B389" s="943" t="s">
        <v>1305</v>
      </c>
      <c r="C389" s="778">
        <f t="shared" si="290"/>
        <v>0.19</v>
      </c>
      <c r="D389" s="844">
        <v>5</v>
      </c>
      <c r="E389" s="779" t="s">
        <v>1182</v>
      </c>
      <c r="F389" s="845">
        <v>43191</v>
      </c>
      <c r="G389" s="781">
        <f t="shared" si="291"/>
        <v>43191</v>
      </c>
      <c r="H389" s="781">
        <f t="shared" si="292"/>
        <v>45016</v>
      </c>
      <c r="I389" s="1359">
        <v>10659</v>
      </c>
      <c r="J389" s="805">
        <f t="shared" si="293"/>
        <v>532.95000000000005</v>
      </c>
      <c r="K389" s="793"/>
      <c r="L389" s="793">
        <v>0</v>
      </c>
      <c r="M389" s="793">
        <f t="shared" si="294"/>
        <v>10659</v>
      </c>
      <c r="N389" s="793">
        <f t="shared" si="295"/>
        <v>365</v>
      </c>
      <c r="O389" s="793">
        <f t="shared" si="296"/>
        <v>2025</v>
      </c>
      <c r="P389" s="793">
        <f t="shared" si="297"/>
        <v>2025</v>
      </c>
      <c r="Q389" s="793">
        <f t="shared" si="298"/>
        <v>8634</v>
      </c>
      <c r="R389" s="793">
        <f t="shared" si="299"/>
        <v>8634</v>
      </c>
      <c r="S389" s="793">
        <f t="shared" si="300"/>
        <v>10659</v>
      </c>
      <c r="T389" s="805">
        <f t="shared" si="301"/>
        <v>366</v>
      </c>
      <c r="U389" s="805">
        <f t="shared" si="302"/>
        <v>2025</v>
      </c>
      <c r="V389" s="793">
        <f t="shared" si="303"/>
        <v>4050</v>
      </c>
      <c r="W389" s="793">
        <f t="shared" si="304"/>
        <v>6609</v>
      </c>
      <c r="X389" s="793">
        <f t="shared" si="305"/>
        <v>6609</v>
      </c>
      <c r="Y389" s="805">
        <f t="shared" si="306"/>
        <v>10659</v>
      </c>
      <c r="Z389" s="805">
        <f t="shared" si="307"/>
        <v>365</v>
      </c>
      <c r="AA389" s="805">
        <f t="shared" si="308"/>
        <v>2025</v>
      </c>
      <c r="AB389" s="805">
        <f t="shared" si="309"/>
        <v>6075</v>
      </c>
      <c r="AC389" s="805">
        <f t="shared" si="310"/>
        <v>4584</v>
      </c>
      <c r="AD389" s="793">
        <f t="shared" si="311"/>
        <v>4584</v>
      </c>
      <c r="AE389" s="793">
        <f t="shared" si="312"/>
        <v>10659</v>
      </c>
      <c r="AF389" s="793">
        <f t="shared" si="313"/>
        <v>365</v>
      </c>
      <c r="AG389" s="793">
        <f t="shared" si="314"/>
        <v>2025</v>
      </c>
      <c r="AH389" s="805">
        <f t="shared" si="315"/>
        <v>8100</v>
      </c>
      <c r="AI389" s="805">
        <f t="shared" si="316"/>
        <v>2559</v>
      </c>
      <c r="AJ389" s="793">
        <f t="shared" si="317"/>
        <v>2559</v>
      </c>
      <c r="AK389" s="793">
        <f t="shared" si="318"/>
        <v>10659</v>
      </c>
      <c r="AL389" s="793">
        <f t="shared" si="319"/>
        <v>365</v>
      </c>
      <c r="AM389" s="793">
        <f t="shared" si="320"/>
        <v>2025</v>
      </c>
      <c r="AN389" s="805">
        <f t="shared" si="321"/>
        <v>10125</v>
      </c>
      <c r="AO389" s="805">
        <f t="shared" si="322"/>
        <v>534</v>
      </c>
      <c r="AP389" s="793">
        <f t="shared" si="323"/>
        <v>534</v>
      </c>
      <c r="AQ389" s="793">
        <f t="shared" si="324"/>
        <v>10659</v>
      </c>
      <c r="AR389" s="793">
        <f t="shared" si="325"/>
        <v>0</v>
      </c>
      <c r="AS389" s="793">
        <f t="shared" si="326"/>
        <v>0</v>
      </c>
      <c r="AT389" s="793">
        <f t="shared" si="327"/>
        <v>10125</v>
      </c>
      <c r="AU389" s="793">
        <f t="shared" si="328"/>
        <v>534</v>
      </c>
      <c r="AV389" s="793">
        <f t="shared" si="329"/>
        <v>534</v>
      </c>
      <c r="AW389" s="793">
        <f t="shared" si="330"/>
        <v>10659</v>
      </c>
      <c r="AX389" s="793">
        <f t="shared" si="331"/>
        <v>0</v>
      </c>
      <c r="AY389" s="793">
        <f t="shared" si="332"/>
        <v>0</v>
      </c>
      <c r="AZ389" s="793">
        <f t="shared" si="333"/>
        <v>10125</v>
      </c>
      <c r="BA389" s="793">
        <f t="shared" si="334"/>
        <v>534</v>
      </c>
    </row>
    <row r="390" spans="1:53" ht="15" customHeight="1" x14ac:dyDescent="0.25">
      <c r="A390" s="842" t="s">
        <v>667</v>
      </c>
      <c r="B390" s="943" t="s">
        <v>1305</v>
      </c>
      <c r="C390" s="778">
        <f t="shared" si="290"/>
        <v>0.19</v>
      </c>
      <c r="D390" s="844">
        <v>5</v>
      </c>
      <c r="E390" s="779" t="s">
        <v>1182</v>
      </c>
      <c r="F390" s="845">
        <v>43191</v>
      </c>
      <c r="G390" s="781">
        <f t="shared" si="291"/>
        <v>43191</v>
      </c>
      <c r="H390" s="781">
        <f t="shared" si="292"/>
        <v>45016</v>
      </c>
      <c r="I390" s="1359">
        <v>5100</v>
      </c>
      <c r="J390" s="805">
        <f t="shared" si="293"/>
        <v>255</v>
      </c>
      <c r="K390" s="793"/>
      <c r="L390" s="793">
        <v>0</v>
      </c>
      <c r="M390" s="793">
        <f t="shared" si="294"/>
        <v>5100</v>
      </c>
      <c r="N390" s="793">
        <f t="shared" si="295"/>
        <v>365</v>
      </c>
      <c r="O390" s="793">
        <f t="shared" si="296"/>
        <v>969</v>
      </c>
      <c r="P390" s="793">
        <f t="shared" si="297"/>
        <v>969</v>
      </c>
      <c r="Q390" s="793">
        <f t="shared" si="298"/>
        <v>4131</v>
      </c>
      <c r="R390" s="793">
        <f t="shared" si="299"/>
        <v>4131</v>
      </c>
      <c r="S390" s="793">
        <f t="shared" si="300"/>
        <v>5100</v>
      </c>
      <c r="T390" s="805">
        <f t="shared" si="301"/>
        <v>366</v>
      </c>
      <c r="U390" s="805">
        <f t="shared" si="302"/>
        <v>969</v>
      </c>
      <c r="V390" s="793">
        <f t="shared" si="303"/>
        <v>1938</v>
      </c>
      <c r="W390" s="793">
        <f t="shared" si="304"/>
        <v>3162</v>
      </c>
      <c r="X390" s="793">
        <f t="shared" si="305"/>
        <v>3162</v>
      </c>
      <c r="Y390" s="805">
        <f t="shared" si="306"/>
        <v>5100</v>
      </c>
      <c r="Z390" s="805">
        <f t="shared" si="307"/>
        <v>365</v>
      </c>
      <c r="AA390" s="805">
        <f t="shared" si="308"/>
        <v>969</v>
      </c>
      <c r="AB390" s="805">
        <f t="shared" si="309"/>
        <v>2907</v>
      </c>
      <c r="AC390" s="805">
        <f t="shared" si="310"/>
        <v>2193</v>
      </c>
      <c r="AD390" s="793">
        <f t="shared" si="311"/>
        <v>2193</v>
      </c>
      <c r="AE390" s="793">
        <f t="shared" si="312"/>
        <v>5100</v>
      </c>
      <c r="AF390" s="793">
        <f t="shared" si="313"/>
        <v>365</v>
      </c>
      <c r="AG390" s="793">
        <f t="shared" si="314"/>
        <v>969</v>
      </c>
      <c r="AH390" s="805">
        <f t="shared" si="315"/>
        <v>3876</v>
      </c>
      <c r="AI390" s="805">
        <f t="shared" si="316"/>
        <v>1224</v>
      </c>
      <c r="AJ390" s="793">
        <f t="shared" si="317"/>
        <v>1224</v>
      </c>
      <c r="AK390" s="793">
        <f t="shared" si="318"/>
        <v>5100</v>
      </c>
      <c r="AL390" s="793">
        <f t="shared" si="319"/>
        <v>365</v>
      </c>
      <c r="AM390" s="793">
        <f t="shared" si="320"/>
        <v>969</v>
      </c>
      <c r="AN390" s="805">
        <f t="shared" si="321"/>
        <v>4845</v>
      </c>
      <c r="AO390" s="805">
        <f t="shared" si="322"/>
        <v>255</v>
      </c>
      <c r="AP390" s="793">
        <f t="shared" si="323"/>
        <v>255</v>
      </c>
      <c r="AQ390" s="793">
        <f t="shared" si="324"/>
        <v>5100</v>
      </c>
      <c r="AR390" s="793">
        <f t="shared" si="325"/>
        <v>0</v>
      </c>
      <c r="AS390" s="793">
        <f t="shared" si="326"/>
        <v>0</v>
      </c>
      <c r="AT390" s="793">
        <f t="shared" si="327"/>
        <v>4845</v>
      </c>
      <c r="AU390" s="793">
        <f t="shared" si="328"/>
        <v>255</v>
      </c>
      <c r="AV390" s="793">
        <f t="shared" si="329"/>
        <v>255</v>
      </c>
      <c r="AW390" s="793">
        <f t="shared" si="330"/>
        <v>5100</v>
      </c>
      <c r="AX390" s="793">
        <f t="shared" si="331"/>
        <v>0</v>
      </c>
      <c r="AY390" s="793">
        <f t="shared" si="332"/>
        <v>0</v>
      </c>
      <c r="AZ390" s="793">
        <f t="shared" si="333"/>
        <v>4845</v>
      </c>
      <c r="BA390" s="793">
        <f t="shared" si="334"/>
        <v>255</v>
      </c>
    </row>
    <row r="391" spans="1:53" ht="15" customHeight="1" x14ac:dyDescent="0.25">
      <c r="A391" s="842" t="s">
        <v>667</v>
      </c>
      <c r="B391" s="943" t="s">
        <v>1306</v>
      </c>
      <c r="C391" s="778">
        <f t="shared" si="290"/>
        <v>0.19</v>
      </c>
      <c r="D391" s="844">
        <v>5</v>
      </c>
      <c r="E391" s="779" t="s">
        <v>1182</v>
      </c>
      <c r="F391" s="845">
        <v>43191</v>
      </c>
      <c r="G391" s="781">
        <f t="shared" si="291"/>
        <v>43191</v>
      </c>
      <c r="H391" s="781">
        <f t="shared" si="292"/>
        <v>45016</v>
      </c>
      <c r="I391" s="1359">
        <v>60104</v>
      </c>
      <c r="J391" s="805">
        <f t="shared" si="293"/>
        <v>3005.2000000000003</v>
      </c>
      <c r="K391" s="793"/>
      <c r="L391" s="793">
        <v>0</v>
      </c>
      <c r="M391" s="793">
        <f t="shared" si="294"/>
        <v>60104</v>
      </c>
      <c r="N391" s="793">
        <f t="shared" si="295"/>
        <v>365</v>
      </c>
      <c r="O391" s="793">
        <f t="shared" si="296"/>
        <v>11420</v>
      </c>
      <c r="P391" s="793">
        <f t="shared" si="297"/>
        <v>11420</v>
      </c>
      <c r="Q391" s="793">
        <f t="shared" si="298"/>
        <v>48684</v>
      </c>
      <c r="R391" s="793">
        <f t="shared" si="299"/>
        <v>48684</v>
      </c>
      <c r="S391" s="793">
        <f t="shared" si="300"/>
        <v>60104</v>
      </c>
      <c r="T391" s="805">
        <f t="shared" si="301"/>
        <v>366</v>
      </c>
      <c r="U391" s="805">
        <f t="shared" si="302"/>
        <v>11420</v>
      </c>
      <c r="V391" s="793">
        <f t="shared" si="303"/>
        <v>22840</v>
      </c>
      <c r="W391" s="793">
        <f t="shared" si="304"/>
        <v>37264</v>
      </c>
      <c r="X391" s="793">
        <f t="shared" si="305"/>
        <v>37264</v>
      </c>
      <c r="Y391" s="805">
        <f t="shared" si="306"/>
        <v>60104</v>
      </c>
      <c r="Z391" s="805">
        <f t="shared" si="307"/>
        <v>365</v>
      </c>
      <c r="AA391" s="805">
        <f t="shared" si="308"/>
        <v>11420</v>
      </c>
      <c r="AB391" s="805">
        <f t="shared" si="309"/>
        <v>34260</v>
      </c>
      <c r="AC391" s="805">
        <f t="shared" si="310"/>
        <v>25844</v>
      </c>
      <c r="AD391" s="793">
        <f t="shared" si="311"/>
        <v>25844</v>
      </c>
      <c r="AE391" s="793">
        <f t="shared" si="312"/>
        <v>60104</v>
      </c>
      <c r="AF391" s="793">
        <f t="shared" si="313"/>
        <v>365</v>
      </c>
      <c r="AG391" s="793">
        <f t="shared" si="314"/>
        <v>11420</v>
      </c>
      <c r="AH391" s="805">
        <f t="shared" si="315"/>
        <v>45680</v>
      </c>
      <c r="AI391" s="805">
        <f t="shared" si="316"/>
        <v>14424</v>
      </c>
      <c r="AJ391" s="793">
        <f t="shared" si="317"/>
        <v>14424</v>
      </c>
      <c r="AK391" s="793">
        <f t="shared" si="318"/>
        <v>60104</v>
      </c>
      <c r="AL391" s="793">
        <f t="shared" si="319"/>
        <v>365</v>
      </c>
      <c r="AM391" s="793">
        <f t="shared" si="320"/>
        <v>11420</v>
      </c>
      <c r="AN391" s="805">
        <f t="shared" si="321"/>
        <v>57100</v>
      </c>
      <c r="AO391" s="805">
        <f t="shared" si="322"/>
        <v>3004</v>
      </c>
      <c r="AP391" s="793">
        <f t="shared" si="323"/>
        <v>3004</v>
      </c>
      <c r="AQ391" s="793">
        <f t="shared" si="324"/>
        <v>60104</v>
      </c>
      <c r="AR391" s="793">
        <f t="shared" si="325"/>
        <v>0</v>
      </c>
      <c r="AS391" s="793">
        <f t="shared" si="326"/>
        <v>0</v>
      </c>
      <c r="AT391" s="793">
        <f t="shared" si="327"/>
        <v>57100</v>
      </c>
      <c r="AU391" s="793">
        <f t="shared" si="328"/>
        <v>3004</v>
      </c>
      <c r="AV391" s="793">
        <f t="shared" si="329"/>
        <v>3004</v>
      </c>
      <c r="AW391" s="793">
        <f t="shared" si="330"/>
        <v>60104</v>
      </c>
      <c r="AX391" s="793">
        <f t="shared" si="331"/>
        <v>0</v>
      </c>
      <c r="AY391" s="793">
        <f t="shared" si="332"/>
        <v>0</v>
      </c>
      <c r="AZ391" s="793">
        <f t="shared" si="333"/>
        <v>57100</v>
      </c>
      <c r="BA391" s="793">
        <f t="shared" si="334"/>
        <v>3004</v>
      </c>
    </row>
    <row r="392" spans="1:53" ht="15" customHeight="1" x14ac:dyDescent="0.25">
      <c r="A392" s="842" t="s">
        <v>667</v>
      </c>
      <c r="B392" s="943" t="s">
        <v>1306</v>
      </c>
      <c r="C392" s="778">
        <f t="shared" si="290"/>
        <v>0.19</v>
      </c>
      <c r="D392" s="844">
        <v>5</v>
      </c>
      <c r="E392" s="779" t="s">
        <v>1182</v>
      </c>
      <c r="F392" s="845">
        <v>43191</v>
      </c>
      <c r="G392" s="781">
        <f t="shared" si="291"/>
        <v>43191</v>
      </c>
      <c r="H392" s="781">
        <f t="shared" si="292"/>
        <v>45016</v>
      </c>
      <c r="I392" s="1359">
        <v>397031.26</v>
      </c>
      <c r="J392" s="805">
        <f t="shared" si="293"/>
        <v>19851.563000000002</v>
      </c>
      <c r="K392" s="793"/>
      <c r="L392" s="793">
        <v>0</v>
      </c>
      <c r="M392" s="793">
        <f t="shared" si="294"/>
        <v>397031.26</v>
      </c>
      <c r="N392" s="793">
        <f t="shared" si="295"/>
        <v>365</v>
      </c>
      <c r="O392" s="793">
        <f t="shared" si="296"/>
        <v>75436</v>
      </c>
      <c r="P392" s="793">
        <f t="shared" si="297"/>
        <v>75436</v>
      </c>
      <c r="Q392" s="793">
        <f t="shared" si="298"/>
        <v>321595.26</v>
      </c>
      <c r="R392" s="793">
        <f t="shared" si="299"/>
        <v>321595.26</v>
      </c>
      <c r="S392" s="793">
        <f t="shared" si="300"/>
        <v>397031.26</v>
      </c>
      <c r="T392" s="805">
        <f t="shared" si="301"/>
        <v>366</v>
      </c>
      <c r="U392" s="805">
        <f t="shared" si="302"/>
        <v>75436</v>
      </c>
      <c r="V392" s="793">
        <f t="shared" si="303"/>
        <v>150872</v>
      </c>
      <c r="W392" s="793">
        <f t="shared" si="304"/>
        <v>246159.26</v>
      </c>
      <c r="X392" s="793">
        <f t="shared" si="305"/>
        <v>246159.26</v>
      </c>
      <c r="Y392" s="805">
        <f t="shared" si="306"/>
        <v>397031.26</v>
      </c>
      <c r="Z392" s="805">
        <f t="shared" si="307"/>
        <v>365</v>
      </c>
      <c r="AA392" s="805">
        <f t="shared" si="308"/>
        <v>75436</v>
      </c>
      <c r="AB392" s="805">
        <f t="shared" si="309"/>
        <v>226308</v>
      </c>
      <c r="AC392" s="805">
        <f t="shared" si="310"/>
        <v>170723.26</v>
      </c>
      <c r="AD392" s="793">
        <f t="shared" si="311"/>
        <v>170723.26</v>
      </c>
      <c r="AE392" s="793">
        <f t="shared" si="312"/>
        <v>397031.26</v>
      </c>
      <c r="AF392" s="793">
        <f t="shared" si="313"/>
        <v>365</v>
      </c>
      <c r="AG392" s="793">
        <f t="shared" si="314"/>
        <v>75436</v>
      </c>
      <c r="AH392" s="805">
        <f t="shared" si="315"/>
        <v>301744</v>
      </c>
      <c r="AI392" s="805">
        <f t="shared" si="316"/>
        <v>95287.260000000009</v>
      </c>
      <c r="AJ392" s="793">
        <f t="shared" si="317"/>
        <v>95287.260000000009</v>
      </c>
      <c r="AK392" s="793">
        <f t="shared" si="318"/>
        <v>397031.26</v>
      </c>
      <c r="AL392" s="793">
        <f t="shared" si="319"/>
        <v>365</v>
      </c>
      <c r="AM392" s="793">
        <f t="shared" si="320"/>
        <v>75436</v>
      </c>
      <c r="AN392" s="805">
        <f t="shared" si="321"/>
        <v>377180</v>
      </c>
      <c r="AO392" s="805">
        <f t="shared" si="322"/>
        <v>19851.260000000009</v>
      </c>
      <c r="AP392" s="793">
        <f t="shared" si="323"/>
        <v>19851.260000000009</v>
      </c>
      <c r="AQ392" s="793">
        <f t="shared" si="324"/>
        <v>397031.26</v>
      </c>
      <c r="AR392" s="793">
        <f t="shared" si="325"/>
        <v>0</v>
      </c>
      <c r="AS392" s="793">
        <f t="shared" si="326"/>
        <v>0</v>
      </c>
      <c r="AT392" s="793">
        <f t="shared" si="327"/>
        <v>377180</v>
      </c>
      <c r="AU392" s="793">
        <f t="shared" si="328"/>
        <v>19851.260000000009</v>
      </c>
      <c r="AV392" s="793">
        <f t="shared" si="329"/>
        <v>19851.260000000009</v>
      </c>
      <c r="AW392" s="793">
        <f t="shared" si="330"/>
        <v>397031.26</v>
      </c>
      <c r="AX392" s="793">
        <f t="shared" si="331"/>
        <v>0</v>
      </c>
      <c r="AY392" s="793">
        <f t="shared" si="332"/>
        <v>0</v>
      </c>
      <c r="AZ392" s="793">
        <f t="shared" si="333"/>
        <v>377180</v>
      </c>
      <c r="BA392" s="793">
        <f t="shared" si="334"/>
        <v>19851.260000000009</v>
      </c>
    </row>
    <row r="393" spans="1:53" ht="15" customHeight="1" x14ac:dyDescent="0.25">
      <c r="A393" s="842" t="s">
        <v>667</v>
      </c>
      <c r="B393" s="943" t="s">
        <v>1306</v>
      </c>
      <c r="C393" s="778">
        <f t="shared" si="290"/>
        <v>0.19</v>
      </c>
      <c r="D393" s="844">
        <v>5</v>
      </c>
      <c r="E393" s="779" t="s">
        <v>1182</v>
      </c>
      <c r="F393" s="845">
        <v>43191</v>
      </c>
      <c r="G393" s="781">
        <f t="shared" si="291"/>
        <v>43191</v>
      </c>
      <c r="H393" s="781">
        <f t="shared" si="292"/>
        <v>45016</v>
      </c>
      <c r="I393" s="1359">
        <v>416642.96</v>
      </c>
      <c r="J393" s="805">
        <f t="shared" si="293"/>
        <v>20832.148000000001</v>
      </c>
      <c r="K393" s="793"/>
      <c r="L393" s="793">
        <v>0</v>
      </c>
      <c r="M393" s="793">
        <f t="shared" si="294"/>
        <v>416642.96</v>
      </c>
      <c r="N393" s="793">
        <f t="shared" si="295"/>
        <v>365</v>
      </c>
      <c r="O393" s="793">
        <f t="shared" si="296"/>
        <v>79162</v>
      </c>
      <c r="P393" s="793">
        <f t="shared" si="297"/>
        <v>79162</v>
      </c>
      <c r="Q393" s="793">
        <f t="shared" si="298"/>
        <v>337480.96000000002</v>
      </c>
      <c r="R393" s="793">
        <f t="shared" si="299"/>
        <v>337480.96000000002</v>
      </c>
      <c r="S393" s="793">
        <f t="shared" si="300"/>
        <v>416642.96</v>
      </c>
      <c r="T393" s="805">
        <f t="shared" si="301"/>
        <v>366</v>
      </c>
      <c r="U393" s="805">
        <f t="shared" si="302"/>
        <v>79162</v>
      </c>
      <c r="V393" s="793">
        <f t="shared" si="303"/>
        <v>158324</v>
      </c>
      <c r="W393" s="793">
        <f t="shared" si="304"/>
        <v>258318.96000000002</v>
      </c>
      <c r="X393" s="793">
        <f t="shared" si="305"/>
        <v>258318.96000000002</v>
      </c>
      <c r="Y393" s="805">
        <f t="shared" si="306"/>
        <v>416642.96</v>
      </c>
      <c r="Z393" s="805">
        <f t="shared" si="307"/>
        <v>365</v>
      </c>
      <c r="AA393" s="805">
        <f t="shared" si="308"/>
        <v>79162</v>
      </c>
      <c r="AB393" s="805">
        <f t="shared" si="309"/>
        <v>237486</v>
      </c>
      <c r="AC393" s="805">
        <f t="shared" si="310"/>
        <v>179156.96000000002</v>
      </c>
      <c r="AD393" s="793">
        <f t="shared" si="311"/>
        <v>179156.96000000002</v>
      </c>
      <c r="AE393" s="793">
        <f t="shared" si="312"/>
        <v>416642.96</v>
      </c>
      <c r="AF393" s="793">
        <f t="shared" si="313"/>
        <v>365</v>
      </c>
      <c r="AG393" s="793">
        <f t="shared" si="314"/>
        <v>79162</v>
      </c>
      <c r="AH393" s="805">
        <f t="shared" si="315"/>
        <v>316648</v>
      </c>
      <c r="AI393" s="805">
        <f t="shared" si="316"/>
        <v>99994.960000000021</v>
      </c>
      <c r="AJ393" s="793">
        <f t="shared" si="317"/>
        <v>99994.960000000021</v>
      </c>
      <c r="AK393" s="793">
        <f t="shared" si="318"/>
        <v>416642.96</v>
      </c>
      <c r="AL393" s="793">
        <f t="shared" si="319"/>
        <v>365</v>
      </c>
      <c r="AM393" s="793">
        <f t="shared" si="320"/>
        <v>79162</v>
      </c>
      <c r="AN393" s="805">
        <f t="shared" si="321"/>
        <v>395810</v>
      </c>
      <c r="AO393" s="805">
        <f t="shared" si="322"/>
        <v>20832.960000000021</v>
      </c>
      <c r="AP393" s="793">
        <f t="shared" si="323"/>
        <v>20832.960000000021</v>
      </c>
      <c r="AQ393" s="793">
        <f t="shared" si="324"/>
        <v>416642.96</v>
      </c>
      <c r="AR393" s="793">
        <f t="shared" si="325"/>
        <v>0</v>
      </c>
      <c r="AS393" s="793">
        <f t="shared" si="326"/>
        <v>0</v>
      </c>
      <c r="AT393" s="793">
        <f t="shared" si="327"/>
        <v>395810</v>
      </c>
      <c r="AU393" s="793">
        <f t="shared" si="328"/>
        <v>20832.960000000021</v>
      </c>
      <c r="AV393" s="793">
        <f t="shared" si="329"/>
        <v>20832.960000000021</v>
      </c>
      <c r="AW393" s="793">
        <f t="shared" si="330"/>
        <v>416642.96</v>
      </c>
      <c r="AX393" s="793">
        <f t="shared" si="331"/>
        <v>0</v>
      </c>
      <c r="AY393" s="793">
        <f t="shared" si="332"/>
        <v>0</v>
      </c>
      <c r="AZ393" s="793">
        <f t="shared" si="333"/>
        <v>395810</v>
      </c>
      <c r="BA393" s="793">
        <f t="shared" si="334"/>
        <v>20832.960000000021</v>
      </c>
    </row>
    <row r="394" spans="1:53" ht="15" customHeight="1" x14ac:dyDescent="0.25">
      <c r="A394" s="842" t="s">
        <v>667</v>
      </c>
      <c r="B394" s="943" t="s">
        <v>1306</v>
      </c>
      <c r="C394" s="778">
        <f t="shared" si="290"/>
        <v>0.19</v>
      </c>
      <c r="D394" s="844">
        <v>5</v>
      </c>
      <c r="E394" s="779" t="s">
        <v>1182</v>
      </c>
      <c r="F394" s="845">
        <v>43191</v>
      </c>
      <c r="G394" s="781">
        <f t="shared" si="291"/>
        <v>43191</v>
      </c>
      <c r="H394" s="781">
        <f t="shared" si="292"/>
        <v>45016</v>
      </c>
      <c r="I394" s="1359">
        <v>411579.68</v>
      </c>
      <c r="J394" s="805">
        <f t="shared" si="293"/>
        <v>20578.984</v>
      </c>
      <c r="K394" s="793"/>
      <c r="L394" s="793">
        <v>0</v>
      </c>
      <c r="M394" s="793">
        <f t="shared" si="294"/>
        <v>411579.68</v>
      </c>
      <c r="N394" s="793">
        <f t="shared" si="295"/>
        <v>365</v>
      </c>
      <c r="O394" s="793">
        <f t="shared" si="296"/>
        <v>78200</v>
      </c>
      <c r="P394" s="793">
        <f t="shared" si="297"/>
        <v>78200</v>
      </c>
      <c r="Q394" s="793">
        <f t="shared" si="298"/>
        <v>333379.68</v>
      </c>
      <c r="R394" s="793">
        <f t="shared" si="299"/>
        <v>333379.68</v>
      </c>
      <c r="S394" s="793">
        <f t="shared" si="300"/>
        <v>411579.68</v>
      </c>
      <c r="T394" s="805">
        <f t="shared" si="301"/>
        <v>366</v>
      </c>
      <c r="U394" s="805">
        <f t="shared" si="302"/>
        <v>78200</v>
      </c>
      <c r="V394" s="793">
        <f t="shared" si="303"/>
        <v>156400</v>
      </c>
      <c r="W394" s="793">
        <f t="shared" si="304"/>
        <v>255179.68</v>
      </c>
      <c r="X394" s="793">
        <f t="shared" si="305"/>
        <v>255179.68</v>
      </c>
      <c r="Y394" s="805">
        <f t="shared" si="306"/>
        <v>411579.68</v>
      </c>
      <c r="Z394" s="805">
        <f t="shared" si="307"/>
        <v>365</v>
      </c>
      <c r="AA394" s="805">
        <f t="shared" si="308"/>
        <v>78200</v>
      </c>
      <c r="AB394" s="805">
        <f t="shared" si="309"/>
        <v>234600</v>
      </c>
      <c r="AC394" s="805">
        <f t="shared" si="310"/>
        <v>176979.68</v>
      </c>
      <c r="AD394" s="793">
        <f t="shared" si="311"/>
        <v>176979.68</v>
      </c>
      <c r="AE394" s="793">
        <f t="shared" si="312"/>
        <v>411579.68</v>
      </c>
      <c r="AF394" s="793">
        <f t="shared" si="313"/>
        <v>365</v>
      </c>
      <c r="AG394" s="793">
        <f t="shared" si="314"/>
        <v>78200</v>
      </c>
      <c r="AH394" s="805">
        <f t="shared" si="315"/>
        <v>312800</v>
      </c>
      <c r="AI394" s="805">
        <f t="shared" si="316"/>
        <v>98779.68</v>
      </c>
      <c r="AJ394" s="793">
        <f t="shared" si="317"/>
        <v>98779.68</v>
      </c>
      <c r="AK394" s="793">
        <f t="shared" si="318"/>
        <v>411579.68</v>
      </c>
      <c r="AL394" s="793">
        <f t="shared" si="319"/>
        <v>365</v>
      </c>
      <c r="AM394" s="793">
        <f t="shared" si="320"/>
        <v>78200</v>
      </c>
      <c r="AN394" s="805">
        <f t="shared" si="321"/>
        <v>391000</v>
      </c>
      <c r="AO394" s="805">
        <f t="shared" si="322"/>
        <v>20579.679999999993</v>
      </c>
      <c r="AP394" s="793">
        <f t="shared" si="323"/>
        <v>20579.679999999993</v>
      </c>
      <c r="AQ394" s="793">
        <f t="shared" si="324"/>
        <v>411579.68</v>
      </c>
      <c r="AR394" s="793">
        <f t="shared" si="325"/>
        <v>0</v>
      </c>
      <c r="AS394" s="793">
        <f t="shared" si="326"/>
        <v>0</v>
      </c>
      <c r="AT394" s="793">
        <f t="shared" si="327"/>
        <v>391000</v>
      </c>
      <c r="AU394" s="793">
        <f t="shared" si="328"/>
        <v>20579.679999999993</v>
      </c>
      <c r="AV394" s="793">
        <f t="shared" si="329"/>
        <v>20579.679999999993</v>
      </c>
      <c r="AW394" s="793">
        <f t="shared" si="330"/>
        <v>411579.68</v>
      </c>
      <c r="AX394" s="793">
        <f t="shared" si="331"/>
        <v>0</v>
      </c>
      <c r="AY394" s="793">
        <f t="shared" si="332"/>
        <v>0</v>
      </c>
      <c r="AZ394" s="793">
        <f t="shared" si="333"/>
        <v>391000</v>
      </c>
      <c r="BA394" s="793">
        <f t="shared" si="334"/>
        <v>20579.679999999993</v>
      </c>
    </row>
    <row r="395" spans="1:53" ht="15" customHeight="1" x14ac:dyDescent="0.25">
      <c r="A395" s="842" t="s">
        <v>667</v>
      </c>
      <c r="B395" s="943" t="s">
        <v>1306</v>
      </c>
      <c r="C395" s="778">
        <f t="shared" si="290"/>
        <v>0.19</v>
      </c>
      <c r="D395" s="844">
        <v>5</v>
      </c>
      <c r="E395" s="779" t="s">
        <v>1182</v>
      </c>
      <c r="F395" s="845">
        <v>43191</v>
      </c>
      <c r="G395" s="781">
        <f t="shared" si="291"/>
        <v>43191</v>
      </c>
      <c r="H395" s="781">
        <f t="shared" si="292"/>
        <v>45016</v>
      </c>
      <c r="I395" s="1359">
        <v>285981.24</v>
      </c>
      <c r="J395" s="805">
        <f t="shared" si="293"/>
        <v>14299.062</v>
      </c>
      <c r="K395" s="793"/>
      <c r="L395" s="793">
        <v>0</v>
      </c>
      <c r="M395" s="793">
        <f t="shared" si="294"/>
        <v>285981.24</v>
      </c>
      <c r="N395" s="793">
        <f t="shared" si="295"/>
        <v>365</v>
      </c>
      <c r="O395" s="793">
        <f t="shared" si="296"/>
        <v>54336</v>
      </c>
      <c r="P395" s="793">
        <f t="shared" si="297"/>
        <v>54336</v>
      </c>
      <c r="Q395" s="793">
        <f t="shared" si="298"/>
        <v>231645.24</v>
      </c>
      <c r="R395" s="793">
        <f t="shared" si="299"/>
        <v>231645.24</v>
      </c>
      <c r="S395" s="793">
        <f t="shared" si="300"/>
        <v>285981.24</v>
      </c>
      <c r="T395" s="805">
        <f t="shared" si="301"/>
        <v>366</v>
      </c>
      <c r="U395" s="805">
        <f t="shared" si="302"/>
        <v>54336</v>
      </c>
      <c r="V395" s="793">
        <f t="shared" si="303"/>
        <v>108672</v>
      </c>
      <c r="W395" s="793">
        <f t="shared" si="304"/>
        <v>177309.24</v>
      </c>
      <c r="X395" s="793">
        <f t="shared" si="305"/>
        <v>177309.24</v>
      </c>
      <c r="Y395" s="805">
        <f t="shared" si="306"/>
        <v>285981.24</v>
      </c>
      <c r="Z395" s="805">
        <f t="shared" si="307"/>
        <v>365</v>
      </c>
      <c r="AA395" s="805">
        <f t="shared" si="308"/>
        <v>54336</v>
      </c>
      <c r="AB395" s="805">
        <f t="shared" si="309"/>
        <v>163008</v>
      </c>
      <c r="AC395" s="805">
        <f t="shared" si="310"/>
        <v>122973.23999999999</v>
      </c>
      <c r="AD395" s="793">
        <f t="shared" si="311"/>
        <v>122973.23999999999</v>
      </c>
      <c r="AE395" s="793">
        <f t="shared" si="312"/>
        <v>285981.24</v>
      </c>
      <c r="AF395" s="793">
        <f t="shared" si="313"/>
        <v>365</v>
      </c>
      <c r="AG395" s="793">
        <f t="shared" si="314"/>
        <v>54336</v>
      </c>
      <c r="AH395" s="805">
        <f t="shared" si="315"/>
        <v>217344</v>
      </c>
      <c r="AI395" s="805">
        <f t="shared" si="316"/>
        <v>68637.239999999991</v>
      </c>
      <c r="AJ395" s="793">
        <f t="shared" si="317"/>
        <v>68637.239999999991</v>
      </c>
      <c r="AK395" s="793">
        <f t="shared" si="318"/>
        <v>285981.24</v>
      </c>
      <c r="AL395" s="793">
        <f t="shared" si="319"/>
        <v>365</v>
      </c>
      <c r="AM395" s="793">
        <f t="shared" si="320"/>
        <v>54336</v>
      </c>
      <c r="AN395" s="805">
        <f t="shared" si="321"/>
        <v>271680</v>
      </c>
      <c r="AO395" s="805">
        <f t="shared" si="322"/>
        <v>14301.239999999991</v>
      </c>
      <c r="AP395" s="793">
        <f t="shared" si="323"/>
        <v>14301.239999999991</v>
      </c>
      <c r="AQ395" s="793">
        <f t="shared" si="324"/>
        <v>285981.24</v>
      </c>
      <c r="AR395" s="793">
        <f t="shared" si="325"/>
        <v>0</v>
      </c>
      <c r="AS395" s="793">
        <f t="shared" si="326"/>
        <v>0</v>
      </c>
      <c r="AT395" s="793">
        <f t="shared" si="327"/>
        <v>271680</v>
      </c>
      <c r="AU395" s="793">
        <f t="shared" si="328"/>
        <v>14301.239999999991</v>
      </c>
      <c r="AV395" s="793">
        <f t="shared" si="329"/>
        <v>14301.239999999991</v>
      </c>
      <c r="AW395" s="793">
        <f t="shared" si="330"/>
        <v>285981.24</v>
      </c>
      <c r="AX395" s="793">
        <f t="shared" si="331"/>
        <v>0</v>
      </c>
      <c r="AY395" s="793">
        <f t="shared" si="332"/>
        <v>0</v>
      </c>
      <c r="AZ395" s="793">
        <f t="shared" si="333"/>
        <v>271680</v>
      </c>
      <c r="BA395" s="793">
        <f t="shared" si="334"/>
        <v>14301.239999999991</v>
      </c>
    </row>
    <row r="396" spans="1:53" ht="15" customHeight="1" x14ac:dyDescent="0.25">
      <c r="A396" s="842" t="s">
        <v>667</v>
      </c>
      <c r="B396" s="943" t="s">
        <v>1306</v>
      </c>
      <c r="C396" s="778">
        <f t="shared" si="290"/>
        <v>0.19</v>
      </c>
      <c r="D396" s="844">
        <v>5</v>
      </c>
      <c r="E396" s="779" t="s">
        <v>1182</v>
      </c>
      <c r="F396" s="845">
        <v>43191</v>
      </c>
      <c r="G396" s="781">
        <f t="shared" si="291"/>
        <v>43191</v>
      </c>
      <c r="H396" s="781">
        <f t="shared" si="292"/>
        <v>45016</v>
      </c>
      <c r="I396" s="1359">
        <v>116418.74</v>
      </c>
      <c r="J396" s="805">
        <f t="shared" si="293"/>
        <v>5820.9370000000008</v>
      </c>
      <c r="K396" s="793"/>
      <c r="L396" s="793">
        <v>0</v>
      </c>
      <c r="M396" s="793">
        <f t="shared" si="294"/>
        <v>116418.74</v>
      </c>
      <c r="N396" s="793">
        <f t="shared" si="295"/>
        <v>365</v>
      </c>
      <c r="O396" s="793">
        <f t="shared" si="296"/>
        <v>22120</v>
      </c>
      <c r="P396" s="793">
        <f t="shared" si="297"/>
        <v>22120</v>
      </c>
      <c r="Q396" s="793">
        <f t="shared" si="298"/>
        <v>94298.74</v>
      </c>
      <c r="R396" s="793">
        <f t="shared" si="299"/>
        <v>94298.74</v>
      </c>
      <c r="S396" s="793">
        <f t="shared" si="300"/>
        <v>116418.74</v>
      </c>
      <c r="T396" s="805">
        <f t="shared" si="301"/>
        <v>366</v>
      </c>
      <c r="U396" s="805">
        <f t="shared" si="302"/>
        <v>22120</v>
      </c>
      <c r="V396" s="793">
        <f t="shared" si="303"/>
        <v>44240</v>
      </c>
      <c r="W396" s="793">
        <f t="shared" si="304"/>
        <v>72178.740000000005</v>
      </c>
      <c r="X396" s="793">
        <f t="shared" si="305"/>
        <v>72178.740000000005</v>
      </c>
      <c r="Y396" s="805">
        <f t="shared" si="306"/>
        <v>116418.74</v>
      </c>
      <c r="Z396" s="805">
        <f t="shared" si="307"/>
        <v>365</v>
      </c>
      <c r="AA396" s="805">
        <f t="shared" si="308"/>
        <v>22120</v>
      </c>
      <c r="AB396" s="805">
        <f t="shared" si="309"/>
        <v>66360</v>
      </c>
      <c r="AC396" s="805">
        <f t="shared" si="310"/>
        <v>50058.740000000005</v>
      </c>
      <c r="AD396" s="793">
        <f t="shared" si="311"/>
        <v>50058.740000000005</v>
      </c>
      <c r="AE396" s="793">
        <f t="shared" si="312"/>
        <v>116418.74</v>
      </c>
      <c r="AF396" s="793">
        <f t="shared" si="313"/>
        <v>365</v>
      </c>
      <c r="AG396" s="793">
        <f t="shared" si="314"/>
        <v>22120</v>
      </c>
      <c r="AH396" s="805">
        <f t="shared" si="315"/>
        <v>88480</v>
      </c>
      <c r="AI396" s="805">
        <f t="shared" si="316"/>
        <v>27938.740000000005</v>
      </c>
      <c r="AJ396" s="793">
        <f t="shared" si="317"/>
        <v>27938.740000000005</v>
      </c>
      <c r="AK396" s="793">
        <f t="shared" si="318"/>
        <v>116418.74</v>
      </c>
      <c r="AL396" s="793">
        <f t="shared" si="319"/>
        <v>365</v>
      </c>
      <c r="AM396" s="793">
        <f t="shared" si="320"/>
        <v>22120</v>
      </c>
      <c r="AN396" s="805">
        <f t="shared" si="321"/>
        <v>110600</v>
      </c>
      <c r="AO396" s="805">
        <f t="shared" si="322"/>
        <v>5818.7400000000052</v>
      </c>
      <c r="AP396" s="793">
        <f t="shared" si="323"/>
        <v>5818.7400000000052</v>
      </c>
      <c r="AQ396" s="793">
        <f t="shared" si="324"/>
        <v>116418.74</v>
      </c>
      <c r="AR396" s="793">
        <f t="shared" si="325"/>
        <v>0</v>
      </c>
      <c r="AS396" s="793">
        <f t="shared" si="326"/>
        <v>0</v>
      </c>
      <c r="AT396" s="793">
        <f t="shared" si="327"/>
        <v>110600</v>
      </c>
      <c r="AU396" s="793">
        <f t="shared" si="328"/>
        <v>5818.7400000000052</v>
      </c>
      <c r="AV396" s="793">
        <f t="shared" si="329"/>
        <v>5818.7400000000052</v>
      </c>
      <c r="AW396" s="793">
        <f t="shared" si="330"/>
        <v>116418.74</v>
      </c>
      <c r="AX396" s="793">
        <f t="shared" si="331"/>
        <v>0</v>
      </c>
      <c r="AY396" s="793">
        <f t="shared" si="332"/>
        <v>0</v>
      </c>
      <c r="AZ396" s="793">
        <f t="shared" si="333"/>
        <v>110600</v>
      </c>
      <c r="BA396" s="793">
        <f t="shared" si="334"/>
        <v>5818.7400000000052</v>
      </c>
    </row>
    <row r="397" spans="1:53" ht="15" customHeight="1" x14ac:dyDescent="0.25">
      <c r="A397" s="842" t="s">
        <v>667</v>
      </c>
      <c r="B397" s="943" t="s">
        <v>1306</v>
      </c>
      <c r="C397" s="778">
        <f t="shared" si="290"/>
        <v>0.19</v>
      </c>
      <c r="D397" s="844">
        <v>5</v>
      </c>
      <c r="E397" s="779" t="s">
        <v>1182</v>
      </c>
      <c r="F397" s="845">
        <v>43191</v>
      </c>
      <c r="G397" s="781">
        <f t="shared" si="291"/>
        <v>43191</v>
      </c>
      <c r="H397" s="781">
        <f t="shared" si="292"/>
        <v>45016</v>
      </c>
      <c r="I397" s="1359">
        <v>623801</v>
      </c>
      <c r="J397" s="805">
        <f t="shared" si="293"/>
        <v>31190.050000000003</v>
      </c>
      <c r="K397" s="793"/>
      <c r="L397" s="793">
        <v>0</v>
      </c>
      <c r="M397" s="793">
        <f t="shared" si="294"/>
        <v>623801</v>
      </c>
      <c r="N397" s="793">
        <f t="shared" si="295"/>
        <v>365</v>
      </c>
      <c r="O397" s="793">
        <f t="shared" si="296"/>
        <v>118522</v>
      </c>
      <c r="P397" s="793">
        <f t="shared" si="297"/>
        <v>118522</v>
      </c>
      <c r="Q397" s="793">
        <f t="shared" si="298"/>
        <v>505279</v>
      </c>
      <c r="R397" s="793">
        <f t="shared" si="299"/>
        <v>505279</v>
      </c>
      <c r="S397" s="793">
        <f t="shared" si="300"/>
        <v>623801</v>
      </c>
      <c r="T397" s="805">
        <f t="shared" si="301"/>
        <v>366</v>
      </c>
      <c r="U397" s="805">
        <f t="shared" si="302"/>
        <v>118522</v>
      </c>
      <c r="V397" s="793">
        <f t="shared" si="303"/>
        <v>237044</v>
      </c>
      <c r="W397" s="793">
        <f t="shared" si="304"/>
        <v>386757</v>
      </c>
      <c r="X397" s="793">
        <f t="shared" si="305"/>
        <v>386757</v>
      </c>
      <c r="Y397" s="805">
        <f t="shared" si="306"/>
        <v>623801</v>
      </c>
      <c r="Z397" s="805">
        <f t="shared" si="307"/>
        <v>365</v>
      </c>
      <c r="AA397" s="805">
        <f t="shared" si="308"/>
        <v>118522</v>
      </c>
      <c r="AB397" s="805">
        <f t="shared" si="309"/>
        <v>355566</v>
      </c>
      <c r="AC397" s="805">
        <f t="shared" si="310"/>
        <v>268235</v>
      </c>
      <c r="AD397" s="793">
        <f t="shared" si="311"/>
        <v>268235</v>
      </c>
      <c r="AE397" s="793">
        <f t="shared" si="312"/>
        <v>623801</v>
      </c>
      <c r="AF397" s="793">
        <f t="shared" si="313"/>
        <v>365</v>
      </c>
      <c r="AG397" s="793">
        <f t="shared" si="314"/>
        <v>118522</v>
      </c>
      <c r="AH397" s="805">
        <f t="shared" si="315"/>
        <v>474088</v>
      </c>
      <c r="AI397" s="805">
        <f t="shared" si="316"/>
        <v>149713</v>
      </c>
      <c r="AJ397" s="793">
        <f t="shared" si="317"/>
        <v>149713</v>
      </c>
      <c r="AK397" s="793">
        <f t="shared" si="318"/>
        <v>623801</v>
      </c>
      <c r="AL397" s="793">
        <f t="shared" si="319"/>
        <v>365</v>
      </c>
      <c r="AM397" s="793">
        <f t="shared" si="320"/>
        <v>118522</v>
      </c>
      <c r="AN397" s="805">
        <f t="shared" si="321"/>
        <v>592610</v>
      </c>
      <c r="AO397" s="805">
        <f t="shared" si="322"/>
        <v>31191</v>
      </c>
      <c r="AP397" s="793">
        <f t="shared" si="323"/>
        <v>31191</v>
      </c>
      <c r="AQ397" s="793">
        <f t="shared" si="324"/>
        <v>623801</v>
      </c>
      <c r="AR397" s="793">
        <f t="shared" si="325"/>
        <v>0</v>
      </c>
      <c r="AS397" s="793">
        <f t="shared" si="326"/>
        <v>0</v>
      </c>
      <c r="AT397" s="793">
        <f t="shared" si="327"/>
        <v>592610</v>
      </c>
      <c r="AU397" s="793">
        <f t="shared" si="328"/>
        <v>31191</v>
      </c>
      <c r="AV397" s="793">
        <f t="shared" si="329"/>
        <v>31191</v>
      </c>
      <c r="AW397" s="793">
        <f t="shared" si="330"/>
        <v>623801</v>
      </c>
      <c r="AX397" s="793">
        <f t="shared" si="331"/>
        <v>0</v>
      </c>
      <c r="AY397" s="793">
        <f t="shared" si="332"/>
        <v>0</v>
      </c>
      <c r="AZ397" s="793">
        <f t="shared" si="333"/>
        <v>592610</v>
      </c>
      <c r="BA397" s="793">
        <f t="shared" si="334"/>
        <v>31191</v>
      </c>
    </row>
    <row r="398" spans="1:53" ht="15" customHeight="1" x14ac:dyDescent="0.25">
      <c r="A398" s="842" t="s">
        <v>667</v>
      </c>
      <c r="B398" s="944" t="s">
        <v>1307</v>
      </c>
      <c r="C398" s="778">
        <f t="shared" si="290"/>
        <v>0.19</v>
      </c>
      <c r="D398" s="844">
        <v>5</v>
      </c>
      <c r="E398" s="779" t="s">
        <v>1182</v>
      </c>
      <c r="F398" s="845">
        <v>43191</v>
      </c>
      <c r="G398" s="781">
        <f t="shared" si="291"/>
        <v>43191</v>
      </c>
      <c r="H398" s="781">
        <f t="shared" si="292"/>
        <v>45016</v>
      </c>
      <c r="I398" s="1359">
        <v>86899.64</v>
      </c>
      <c r="J398" s="805">
        <f t="shared" si="293"/>
        <v>4344.982</v>
      </c>
      <c r="K398" s="793"/>
      <c r="L398" s="793">
        <v>0</v>
      </c>
      <c r="M398" s="793">
        <f t="shared" si="294"/>
        <v>86899.64</v>
      </c>
      <c r="N398" s="793">
        <f t="shared" si="295"/>
        <v>365</v>
      </c>
      <c r="O398" s="793">
        <f t="shared" si="296"/>
        <v>16511</v>
      </c>
      <c r="P398" s="793">
        <f t="shared" si="297"/>
        <v>16511</v>
      </c>
      <c r="Q398" s="793">
        <f t="shared" si="298"/>
        <v>70388.639999999999</v>
      </c>
      <c r="R398" s="793">
        <f t="shared" si="299"/>
        <v>70388.639999999999</v>
      </c>
      <c r="S398" s="793">
        <f t="shared" si="300"/>
        <v>86899.64</v>
      </c>
      <c r="T398" s="805">
        <f t="shared" si="301"/>
        <v>366</v>
      </c>
      <c r="U398" s="805">
        <f t="shared" si="302"/>
        <v>16511</v>
      </c>
      <c r="V398" s="793">
        <f t="shared" si="303"/>
        <v>33022</v>
      </c>
      <c r="W398" s="793">
        <f t="shared" si="304"/>
        <v>53877.64</v>
      </c>
      <c r="X398" s="793">
        <f t="shared" si="305"/>
        <v>53877.64</v>
      </c>
      <c r="Y398" s="805">
        <f t="shared" si="306"/>
        <v>86899.64</v>
      </c>
      <c r="Z398" s="805">
        <f t="shared" si="307"/>
        <v>365</v>
      </c>
      <c r="AA398" s="805">
        <f t="shared" si="308"/>
        <v>16511</v>
      </c>
      <c r="AB398" s="805">
        <f t="shared" si="309"/>
        <v>49533</v>
      </c>
      <c r="AC398" s="805">
        <f t="shared" si="310"/>
        <v>37366.639999999999</v>
      </c>
      <c r="AD398" s="793">
        <f t="shared" si="311"/>
        <v>37366.639999999999</v>
      </c>
      <c r="AE398" s="793">
        <f t="shared" si="312"/>
        <v>86899.64</v>
      </c>
      <c r="AF398" s="793">
        <f t="shared" si="313"/>
        <v>365</v>
      </c>
      <c r="AG398" s="793">
        <f t="shared" si="314"/>
        <v>16511</v>
      </c>
      <c r="AH398" s="805">
        <f t="shared" si="315"/>
        <v>66044</v>
      </c>
      <c r="AI398" s="805">
        <f t="shared" si="316"/>
        <v>20855.64</v>
      </c>
      <c r="AJ398" s="793">
        <f t="shared" si="317"/>
        <v>20855.64</v>
      </c>
      <c r="AK398" s="793">
        <f t="shared" si="318"/>
        <v>86899.64</v>
      </c>
      <c r="AL398" s="793">
        <f t="shared" si="319"/>
        <v>365</v>
      </c>
      <c r="AM398" s="793">
        <f t="shared" si="320"/>
        <v>16511</v>
      </c>
      <c r="AN398" s="805">
        <f t="shared" si="321"/>
        <v>82555</v>
      </c>
      <c r="AO398" s="805">
        <f t="shared" si="322"/>
        <v>4344.6399999999994</v>
      </c>
      <c r="AP398" s="793">
        <f t="shared" si="323"/>
        <v>4344.6399999999994</v>
      </c>
      <c r="AQ398" s="793">
        <f t="shared" si="324"/>
        <v>86899.64</v>
      </c>
      <c r="AR398" s="793">
        <f t="shared" si="325"/>
        <v>0</v>
      </c>
      <c r="AS398" s="793">
        <f t="shared" si="326"/>
        <v>0</v>
      </c>
      <c r="AT398" s="793">
        <f t="shared" si="327"/>
        <v>82555</v>
      </c>
      <c r="AU398" s="793">
        <f t="shared" si="328"/>
        <v>4344.6399999999994</v>
      </c>
      <c r="AV398" s="793">
        <f t="shared" si="329"/>
        <v>4344.6399999999994</v>
      </c>
      <c r="AW398" s="793">
        <f t="shared" si="330"/>
        <v>86899.64</v>
      </c>
      <c r="AX398" s="793">
        <f t="shared" si="331"/>
        <v>0</v>
      </c>
      <c r="AY398" s="793">
        <f t="shared" si="332"/>
        <v>0</v>
      </c>
      <c r="AZ398" s="793">
        <f t="shared" si="333"/>
        <v>82555</v>
      </c>
      <c r="BA398" s="793">
        <f t="shared" si="334"/>
        <v>4344.6399999999994</v>
      </c>
    </row>
    <row r="399" spans="1:53" ht="15" customHeight="1" x14ac:dyDescent="0.25">
      <c r="A399" s="842" t="s">
        <v>667</v>
      </c>
      <c r="B399" s="943" t="s">
        <v>1308</v>
      </c>
      <c r="C399" s="778">
        <f t="shared" si="290"/>
        <v>0.19</v>
      </c>
      <c r="D399" s="844">
        <v>5</v>
      </c>
      <c r="E399" s="779" t="s">
        <v>1182</v>
      </c>
      <c r="F399" s="845">
        <v>43191</v>
      </c>
      <c r="G399" s="781">
        <f t="shared" si="291"/>
        <v>43191</v>
      </c>
      <c r="H399" s="781">
        <f t="shared" si="292"/>
        <v>45016</v>
      </c>
      <c r="I399" s="1359">
        <v>77812.5</v>
      </c>
      <c r="J399" s="805">
        <f t="shared" si="293"/>
        <v>3890.625</v>
      </c>
      <c r="K399" s="793"/>
      <c r="L399" s="793">
        <v>0</v>
      </c>
      <c r="M399" s="793">
        <f t="shared" si="294"/>
        <v>77812.5</v>
      </c>
      <c r="N399" s="793">
        <f t="shared" si="295"/>
        <v>365</v>
      </c>
      <c r="O399" s="793">
        <f t="shared" si="296"/>
        <v>14784</v>
      </c>
      <c r="P399" s="793">
        <f t="shared" si="297"/>
        <v>14784</v>
      </c>
      <c r="Q399" s="793">
        <f t="shared" si="298"/>
        <v>63028.5</v>
      </c>
      <c r="R399" s="793">
        <f t="shared" si="299"/>
        <v>63028.5</v>
      </c>
      <c r="S399" s="793">
        <f t="shared" si="300"/>
        <v>77812.5</v>
      </c>
      <c r="T399" s="805">
        <f t="shared" si="301"/>
        <v>366</v>
      </c>
      <c r="U399" s="805">
        <f t="shared" si="302"/>
        <v>14784</v>
      </c>
      <c r="V399" s="793">
        <f t="shared" si="303"/>
        <v>29568</v>
      </c>
      <c r="W399" s="793">
        <f t="shared" si="304"/>
        <v>48244.5</v>
      </c>
      <c r="X399" s="793">
        <f t="shared" si="305"/>
        <v>48244.5</v>
      </c>
      <c r="Y399" s="805">
        <f t="shared" si="306"/>
        <v>77812.5</v>
      </c>
      <c r="Z399" s="805">
        <f t="shared" si="307"/>
        <v>365</v>
      </c>
      <c r="AA399" s="805">
        <f t="shared" si="308"/>
        <v>14784</v>
      </c>
      <c r="AB399" s="805">
        <f t="shared" si="309"/>
        <v>44352</v>
      </c>
      <c r="AC399" s="805">
        <f t="shared" si="310"/>
        <v>33460.5</v>
      </c>
      <c r="AD399" s="793">
        <f t="shared" si="311"/>
        <v>33460.5</v>
      </c>
      <c r="AE399" s="793">
        <f t="shared" si="312"/>
        <v>77812.5</v>
      </c>
      <c r="AF399" s="793">
        <f t="shared" si="313"/>
        <v>365</v>
      </c>
      <c r="AG399" s="793">
        <f t="shared" si="314"/>
        <v>14784</v>
      </c>
      <c r="AH399" s="805">
        <f t="shared" si="315"/>
        <v>59136</v>
      </c>
      <c r="AI399" s="805">
        <f t="shared" si="316"/>
        <v>18676.5</v>
      </c>
      <c r="AJ399" s="793">
        <f t="shared" si="317"/>
        <v>18676.5</v>
      </c>
      <c r="AK399" s="793">
        <f t="shared" si="318"/>
        <v>77812.5</v>
      </c>
      <c r="AL399" s="793">
        <f t="shared" si="319"/>
        <v>365</v>
      </c>
      <c r="AM399" s="793">
        <f t="shared" si="320"/>
        <v>14784</v>
      </c>
      <c r="AN399" s="805">
        <f t="shared" si="321"/>
        <v>73920</v>
      </c>
      <c r="AO399" s="805">
        <f t="shared" si="322"/>
        <v>3892.5</v>
      </c>
      <c r="AP399" s="793">
        <f t="shared" si="323"/>
        <v>3892.5</v>
      </c>
      <c r="AQ399" s="793">
        <f t="shared" si="324"/>
        <v>77812.5</v>
      </c>
      <c r="AR399" s="793">
        <f t="shared" si="325"/>
        <v>0</v>
      </c>
      <c r="AS399" s="793">
        <f t="shared" si="326"/>
        <v>0</v>
      </c>
      <c r="AT399" s="793">
        <f t="shared" si="327"/>
        <v>73920</v>
      </c>
      <c r="AU399" s="793">
        <f t="shared" si="328"/>
        <v>3892.5</v>
      </c>
      <c r="AV399" s="793">
        <f t="shared" si="329"/>
        <v>3892.5</v>
      </c>
      <c r="AW399" s="793">
        <f t="shared" si="330"/>
        <v>77812.5</v>
      </c>
      <c r="AX399" s="793">
        <f t="shared" si="331"/>
        <v>0</v>
      </c>
      <c r="AY399" s="793">
        <f t="shared" si="332"/>
        <v>0</v>
      </c>
      <c r="AZ399" s="793">
        <f t="shared" si="333"/>
        <v>73920</v>
      </c>
      <c r="BA399" s="793">
        <f t="shared" si="334"/>
        <v>3892.5</v>
      </c>
    </row>
    <row r="400" spans="1:53" ht="15" customHeight="1" x14ac:dyDescent="0.25">
      <c r="A400" s="842" t="s">
        <v>667</v>
      </c>
      <c r="B400" s="943" t="s">
        <v>216</v>
      </c>
      <c r="C400" s="778">
        <f t="shared" si="290"/>
        <v>0.19</v>
      </c>
      <c r="D400" s="844">
        <v>5</v>
      </c>
      <c r="E400" s="779" t="s">
        <v>1182</v>
      </c>
      <c r="F400" s="845">
        <v>43431</v>
      </c>
      <c r="G400" s="781">
        <f t="shared" si="291"/>
        <v>43431</v>
      </c>
      <c r="H400" s="781">
        <f t="shared" si="292"/>
        <v>45256</v>
      </c>
      <c r="I400" s="1359">
        <v>76430</v>
      </c>
      <c r="J400" s="805">
        <f t="shared" si="293"/>
        <v>3821.5</v>
      </c>
      <c r="K400" s="793"/>
      <c r="L400" s="793">
        <v>0</v>
      </c>
      <c r="M400" s="793">
        <f t="shared" si="294"/>
        <v>76430</v>
      </c>
      <c r="N400" s="793">
        <f t="shared" si="295"/>
        <v>125</v>
      </c>
      <c r="O400" s="793">
        <f t="shared" si="296"/>
        <v>4973</v>
      </c>
      <c r="P400" s="793">
        <f t="shared" si="297"/>
        <v>4973</v>
      </c>
      <c r="Q400" s="793">
        <f t="shared" si="298"/>
        <v>71457</v>
      </c>
      <c r="R400" s="793">
        <f t="shared" si="299"/>
        <v>71457</v>
      </c>
      <c r="S400" s="793">
        <f t="shared" si="300"/>
        <v>76430</v>
      </c>
      <c r="T400" s="805">
        <f t="shared" si="301"/>
        <v>366</v>
      </c>
      <c r="U400" s="805">
        <f t="shared" si="302"/>
        <v>14522</v>
      </c>
      <c r="V400" s="793">
        <f t="shared" si="303"/>
        <v>19495</v>
      </c>
      <c r="W400" s="793">
        <f t="shared" si="304"/>
        <v>56935</v>
      </c>
      <c r="X400" s="793">
        <f t="shared" si="305"/>
        <v>56935</v>
      </c>
      <c r="Y400" s="805">
        <f t="shared" si="306"/>
        <v>76430</v>
      </c>
      <c r="Z400" s="805">
        <f t="shared" si="307"/>
        <v>365</v>
      </c>
      <c r="AA400" s="805">
        <f t="shared" si="308"/>
        <v>14522</v>
      </c>
      <c r="AB400" s="805">
        <f t="shared" si="309"/>
        <v>34017</v>
      </c>
      <c r="AC400" s="805">
        <f t="shared" si="310"/>
        <v>42413</v>
      </c>
      <c r="AD400" s="793">
        <f t="shared" si="311"/>
        <v>42413</v>
      </c>
      <c r="AE400" s="793">
        <f t="shared" si="312"/>
        <v>76430</v>
      </c>
      <c r="AF400" s="793">
        <f t="shared" si="313"/>
        <v>365</v>
      </c>
      <c r="AG400" s="793">
        <f t="shared" si="314"/>
        <v>14522</v>
      </c>
      <c r="AH400" s="805">
        <f t="shared" si="315"/>
        <v>48539</v>
      </c>
      <c r="AI400" s="805">
        <f t="shared" si="316"/>
        <v>27891</v>
      </c>
      <c r="AJ400" s="793">
        <f t="shared" si="317"/>
        <v>27891</v>
      </c>
      <c r="AK400" s="793">
        <f t="shared" si="318"/>
        <v>76430</v>
      </c>
      <c r="AL400" s="793">
        <f t="shared" si="319"/>
        <v>365</v>
      </c>
      <c r="AM400" s="793">
        <f t="shared" si="320"/>
        <v>14522</v>
      </c>
      <c r="AN400" s="805">
        <f t="shared" si="321"/>
        <v>63061</v>
      </c>
      <c r="AO400" s="805">
        <f t="shared" si="322"/>
        <v>13369</v>
      </c>
      <c r="AP400" s="793">
        <f t="shared" si="323"/>
        <v>13369</v>
      </c>
      <c r="AQ400" s="793">
        <f t="shared" si="324"/>
        <v>76430</v>
      </c>
      <c r="AR400" s="793">
        <f t="shared" si="325"/>
        <v>240</v>
      </c>
      <c r="AS400" s="793">
        <f t="shared" si="326"/>
        <v>9549</v>
      </c>
      <c r="AT400" s="793">
        <f t="shared" si="327"/>
        <v>72610</v>
      </c>
      <c r="AU400" s="793">
        <f t="shared" si="328"/>
        <v>3820</v>
      </c>
      <c r="AV400" s="793">
        <f t="shared" si="329"/>
        <v>3820</v>
      </c>
      <c r="AW400" s="793">
        <f t="shared" si="330"/>
        <v>76430</v>
      </c>
      <c r="AX400" s="793">
        <f t="shared" si="331"/>
        <v>0</v>
      </c>
      <c r="AY400" s="793">
        <f t="shared" si="332"/>
        <v>0</v>
      </c>
      <c r="AZ400" s="793">
        <f t="shared" si="333"/>
        <v>72610</v>
      </c>
      <c r="BA400" s="793">
        <f t="shared" si="334"/>
        <v>3820</v>
      </c>
    </row>
    <row r="401" spans="1:53" ht="15" customHeight="1" x14ac:dyDescent="0.25">
      <c r="A401" s="842" t="s">
        <v>667</v>
      </c>
      <c r="B401" s="943" t="s">
        <v>216</v>
      </c>
      <c r="C401" s="778">
        <f t="shared" si="290"/>
        <v>0.19</v>
      </c>
      <c r="D401" s="844">
        <v>5</v>
      </c>
      <c r="E401" s="779" t="s">
        <v>1182</v>
      </c>
      <c r="F401" s="845">
        <v>43431</v>
      </c>
      <c r="G401" s="781">
        <f t="shared" si="291"/>
        <v>43431</v>
      </c>
      <c r="H401" s="781">
        <f t="shared" si="292"/>
        <v>45256</v>
      </c>
      <c r="I401" s="1359">
        <v>144083</v>
      </c>
      <c r="J401" s="805">
        <f t="shared" si="293"/>
        <v>7204.1500000000005</v>
      </c>
      <c r="K401" s="793"/>
      <c r="L401" s="793">
        <v>0</v>
      </c>
      <c r="M401" s="793">
        <f t="shared" si="294"/>
        <v>144083</v>
      </c>
      <c r="N401" s="793">
        <f t="shared" si="295"/>
        <v>125</v>
      </c>
      <c r="O401" s="793">
        <f t="shared" si="296"/>
        <v>9375</v>
      </c>
      <c r="P401" s="793">
        <f t="shared" si="297"/>
        <v>9375</v>
      </c>
      <c r="Q401" s="793">
        <f t="shared" si="298"/>
        <v>134708</v>
      </c>
      <c r="R401" s="793">
        <f t="shared" si="299"/>
        <v>134708</v>
      </c>
      <c r="S401" s="793">
        <f t="shared" si="300"/>
        <v>144083</v>
      </c>
      <c r="T401" s="805">
        <f t="shared" si="301"/>
        <v>366</v>
      </c>
      <c r="U401" s="805">
        <f t="shared" si="302"/>
        <v>27376</v>
      </c>
      <c r="V401" s="793">
        <f t="shared" si="303"/>
        <v>36751</v>
      </c>
      <c r="W401" s="793">
        <f t="shared" si="304"/>
        <v>107332</v>
      </c>
      <c r="X401" s="793">
        <f t="shared" si="305"/>
        <v>107332</v>
      </c>
      <c r="Y401" s="805">
        <f t="shared" si="306"/>
        <v>144083</v>
      </c>
      <c r="Z401" s="805">
        <f t="shared" si="307"/>
        <v>365</v>
      </c>
      <c r="AA401" s="805">
        <f t="shared" si="308"/>
        <v>27376</v>
      </c>
      <c r="AB401" s="805">
        <f t="shared" si="309"/>
        <v>64127</v>
      </c>
      <c r="AC401" s="805">
        <f t="shared" si="310"/>
        <v>79956</v>
      </c>
      <c r="AD401" s="793">
        <f t="shared" si="311"/>
        <v>79956</v>
      </c>
      <c r="AE401" s="793">
        <f t="shared" si="312"/>
        <v>144083</v>
      </c>
      <c r="AF401" s="793">
        <f t="shared" si="313"/>
        <v>365</v>
      </c>
      <c r="AG401" s="793">
        <f t="shared" si="314"/>
        <v>27376</v>
      </c>
      <c r="AH401" s="805">
        <f t="shared" si="315"/>
        <v>91503</v>
      </c>
      <c r="AI401" s="805">
        <f t="shared" si="316"/>
        <v>52580</v>
      </c>
      <c r="AJ401" s="793">
        <f t="shared" si="317"/>
        <v>52580</v>
      </c>
      <c r="AK401" s="793">
        <f t="shared" si="318"/>
        <v>144083</v>
      </c>
      <c r="AL401" s="793">
        <f t="shared" si="319"/>
        <v>365</v>
      </c>
      <c r="AM401" s="793">
        <f t="shared" si="320"/>
        <v>27376</v>
      </c>
      <c r="AN401" s="805">
        <f t="shared" si="321"/>
        <v>118879</v>
      </c>
      <c r="AO401" s="805">
        <f t="shared" si="322"/>
        <v>25204</v>
      </c>
      <c r="AP401" s="793">
        <f t="shared" si="323"/>
        <v>25204</v>
      </c>
      <c r="AQ401" s="793">
        <f t="shared" si="324"/>
        <v>144083</v>
      </c>
      <c r="AR401" s="793">
        <f t="shared" si="325"/>
        <v>240</v>
      </c>
      <c r="AS401" s="793">
        <f t="shared" si="326"/>
        <v>18001</v>
      </c>
      <c r="AT401" s="793">
        <f t="shared" si="327"/>
        <v>136880</v>
      </c>
      <c r="AU401" s="793">
        <f t="shared" si="328"/>
        <v>7203</v>
      </c>
      <c r="AV401" s="793">
        <f t="shared" si="329"/>
        <v>7203</v>
      </c>
      <c r="AW401" s="793">
        <f t="shared" si="330"/>
        <v>144083</v>
      </c>
      <c r="AX401" s="793">
        <f t="shared" si="331"/>
        <v>0</v>
      </c>
      <c r="AY401" s="793">
        <f t="shared" si="332"/>
        <v>0</v>
      </c>
      <c r="AZ401" s="793">
        <f t="shared" si="333"/>
        <v>136880</v>
      </c>
      <c r="BA401" s="793">
        <f t="shared" si="334"/>
        <v>7203</v>
      </c>
    </row>
    <row r="402" spans="1:53" ht="15" customHeight="1" x14ac:dyDescent="0.25">
      <c r="A402" s="842" t="s">
        <v>667</v>
      </c>
      <c r="B402" s="943" t="s">
        <v>216</v>
      </c>
      <c r="C402" s="778">
        <f t="shared" si="290"/>
        <v>0.19</v>
      </c>
      <c r="D402" s="844">
        <v>5</v>
      </c>
      <c r="E402" s="779" t="s">
        <v>1182</v>
      </c>
      <c r="F402" s="845">
        <v>43431</v>
      </c>
      <c r="G402" s="781">
        <f t="shared" si="291"/>
        <v>43431</v>
      </c>
      <c r="H402" s="781">
        <f t="shared" si="292"/>
        <v>45256</v>
      </c>
      <c r="I402" s="1359">
        <v>154108</v>
      </c>
      <c r="J402" s="805">
        <f t="shared" si="293"/>
        <v>7705.4000000000005</v>
      </c>
      <c r="K402" s="793"/>
      <c r="L402" s="793">
        <v>0</v>
      </c>
      <c r="M402" s="793">
        <f t="shared" si="294"/>
        <v>154108</v>
      </c>
      <c r="N402" s="793">
        <f t="shared" si="295"/>
        <v>125</v>
      </c>
      <c r="O402" s="793">
        <f t="shared" si="296"/>
        <v>10028</v>
      </c>
      <c r="P402" s="793">
        <f t="shared" si="297"/>
        <v>10028</v>
      </c>
      <c r="Q402" s="793">
        <f t="shared" si="298"/>
        <v>144080</v>
      </c>
      <c r="R402" s="793">
        <f t="shared" si="299"/>
        <v>144080</v>
      </c>
      <c r="S402" s="793">
        <f t="shared" si="300"/>
        <v>154108</v>
      </c>
      <c r="T402" s="805">
        <f t="shared" si="301"/>
        <v>366</v>
      </c>
      <c r="U402" s="805">
        <f t="shared" si="302"/>
        <v>29281</v>
      </c>
      <c r="V402" s="793">
        <f t="shared" si="303"/>
        <v>39309</v>
      </c>
      <c r="W402" s="793">
        <f t="shared" si="304"/>
        <v>114799</v>
      </c>
      <c r="X402" s="793">
        <f t="shared" si="305"/>
        <v>114799</v>
      </c>
      <c r="Y402" s="805">
        <f t="shared" si="306"/>
        <v>154108</v>
      </c>
      <c r="Z402" s="805">
        <f t="shared" si="307"/>
        <v>365</v>
      </c>
      <c r="AA402" s="805">
        <f t="shared" si="308"/>
        <v>29281</v>
      </c>
      <c r="AB402" s="805">
        <f t="shared" si="309"/>
        <v>68590</v>
      </c>
      <c r="AC402" s="805">
        <f t="shared" si="310"/>
        <v>85518</v>
      </c>
      <c r="AD402" s="793">
        <f t="shared" si="311"/>
        <v>85518</v>
      </c>
      <c r="AE402" s="793">
        <f t="shared" si="312"/>
        <v>154108</v>
      </c>
      <c r="AF402" s="793">
        <f t="shared" si="313"/>
        <v>365</v>
      </c>
      <c r="AG402" s="793">
        <f t="shared" si="314"/>
        <v>29281</v>
      </c>
      <c r="AH402" s="805">
        <f t="shared" si="315"/>
        <v>97871</v>
      </c>
      <c r="AI402" s="805">
        <f t="shared" si="316"/>
        <v>56237</v>
      </c>
      <c r="AJ402" s="793">
        <f t="shared" si="317"/>
        <v>56237</v>
      </c>
      <c r="AK402" s="793">
        <f t="shared" si="318"/>
        <v>154108</v>
      </c>
      <c r="AL402" s="793">
        <f t="shared" si="319"/>
        <v>365</v>
      </c>
      <c r="AM402" s="793">
        <f t="shared" si="320"/>
        <v>29281</v>
      </c>
      <c r="AN402" s="805">
        <f t="shared" si="321"/>
        <v>127152</v>
      </c>
      <c r="AO402" s="805">
        <f t="shared" si="322"/>
        <v>26956</v>
      </c>
      <c r="AP402" s="793">
        <f t="shared" si="323"/>
        <v>26956</v>
      </c>
      <c r="AQ402" s="793">
        <f t="shared" si="324"/>
        <v>154108</v>
      </c>
      <c r="AR402" s="793">
        <f t="shared" si="325"/>
        <v>240</v>
      </c>
      <c r="AS402" s="793">
        <f t="shared" si="326"/>
        <v>19253</v>
      </c>
      <c r="AT402" s="793">
        <f t="shared" si="327"/>
        <v>146405</v>
      </c>
      <c r="AU402" s="793">
        <f t="shared" si="328"/>
        <v>7703</v>
      </c>
      <c r="AV402" s="793">
        <f t="shared" si="329"/>
        <v>7703</v>
      </c>
      <c r="AW402" s="793">
        <f t="shared" si="330"/>
        <v>154108</v>
      </c>
      <c r="AX402" s="793">
        <f t="shared" si="331"/>
        <v>0</v>
      </c>
      <c r="AY402" s="793">
        <f t="shared" si="332"/>
        <v>0</v>
      </c>
      <c r="AZ402" s="793">
        <f t="shared" si="333"/>
        <v>146405</v>
      </c>
      <c r="BA402" s="793">
        <f t="shared" si="334"/>
        <v>7703</v>
      </c>
    </row>
    <row r="403" spans="1:53" ht="15" customHeight="1" x14ac:dyDescent="0.25">
      <c r="A403" s="842" t="s">
        <v>667</v>
      </c>
      <c r="B403" s="943" t="s">
        <v>216</v>
      </c>
      <c r="C403" s="778">
        <f t="shared" si="290"/>
        <v>0.19</v>
      </c>
      <c r="D403" s="844">
        <v>5</v>
      </c>
      <c r="E403" s="779" t="s">
        <v>1182</v>
      </c>
      <c r="F403" s="845">
        <v>43431</v>
      </c>
      <c r="G403" s="781">
        <f t="shared" si="291"/>
        <v>43431</v>
      </c>
      <c r="H403" s="781">
        <f t="shared" si="292"/>
        <v>45256</v>
      </c>
      <c r="I403" s="1359">
        <v>154108</v>
      </c>
      <c r="J403" s="805">
        <f t="shared" si="293"/>
        <v>7705.4000000000005</v>
      </c>
      <c r="K403" s="793"/>
      <c r="L403" s="793">
        <v>0</v>
      </c>
      <c r="M403" s="793">
        <f t="shared" si="294"/>
        <v>154108</v>
      </c>
      <c r="N403" s="793">
        <f t="shared" si="295"/>
        <v>125</v>
      </c>
      <c r="O403" s="793">
        <f t="shared" si="296"/>
        <v>10028</v>
      </c>
      <c r="P403" s="793">
        <f t="shared" si="297"/>
        <v>10028</v>
      </c>
      <c r="Q403" s="793">
        <f t="shared" si="298"/>
        <v>144080</v>
      </c>
      <c r="R403" s="793">
        <f t="shared" si="299"/>
        <v>144080</v>
      </c>
      <c r="S403" s="793">
        <f t="shared" si="300"/>
        <v>154108</v>
      </c>
      <c r="T403" s="805">
        <f t="shared" si="301"/>
        <v>366</v>
      </c>
      <c r="U403" s="805">
        <f t="shared" si="302"/>
        <v>29281</v>
      </c>
      <c r="V403" s="793">
        <f t="shared" si="303"/>
        <v>39309</v>
      </c>
      <c r="W403" s="793">
        <f t="shared" si="304"/>
        <v>114799</v>
      </c>
      <c r="X403" s="793">
        <f t="shared" si="305"/>
        <v>114799</v>
      </c>
      <c r="Y403" s="805">
        <f t="shared" si="306"/>
        <v>154108</v>
      </c>
      <c r="Z403" s="805">
        <f t="shared" si="307"/>
        <v>365</v>
      </c>
      <c r="AA403" s="805">
        <f t="shared" si="308"/>
        <v>29281</v>
      </c>
      <c r="AB403" s="805">
        <f t="shared" si="309"/>
        <v>68590</v>
      </c>
      <c r="AC403" s="805">
        <f t="shared" si="310"/>
        <v>85518</v>
      </c>
      <c r="AD403" s="793">
        <f t="shared" si="311"/>
        <v>85518</v>
      </c>
      <c r="AE403" s="793">
        <f t="shared" si="312"/>
        <v>154108</v>
      </c>
      <c r="AF403" s="793">
        <f t="shared" si="313"/>
        <v>365</v>
      </c>
      <c r="AG403" s="793">
        <f t="shared" si="314"/>
        <v>29281</v>
      </c>
      <c r="AH403" s="805">
        <f t="shared" si="315"/>
        <v>97871</v>
      </c>
      <c r="AI403" s="805">
        <f t="shared" si="316"/>
        <v>56237</v>
      </c>
      <c r="AJ403" s="793">
        <f t="shared" si="317"/>
        <v>56237</v>
      </c>
      <c r="AK403" s="793">
        <f t="shared" si="318"/>
        <v>154108</v>
      </c>
      <c r="AL403" s="793">
        <f t="shared" si="319"/>
        <v>365</v>
      </c>
      <c r="AM403" s="793">
        <f t="shared" si="320"/>
        <v>29281</v>
      </c>
      <c r="AN403" s="805">
        <f t="shared" si="321"/>
        <v>127152</v>
      </c>
      <c r="AO403" s="805">
        <f t="shared" si="322"/>
        <v>26956</v>
      </c>
      <c r="AP403" s="793">
        <f t="shared" si="323"/>
        <v>26956</v>
      </c>
      <c r="AQ403" s="793">
        <f t="shared" si="324"/>
        <v>154108</v>
      </c>
      <c r="AR403" s="793">
        <f t="shared" si="325"/>
        <v>240</v>
      </c>
      <c r="AS403" s="793">
        <f t="shared" si="326"/>
        <v>19253</v>
      </c>
      <c r="AT403" s="793">
        <f t="shared" si="327"/>
        <v>146405</v>
      </c>
      <c r="AU403" s="793">
        <f t="shared" si="328"/>
        <v>7703</v>
      </c>
      <c r="AV403" s="793">
        <f t="shared" si="329"/>
        <v>7703</v>
      </c>
      <c r="AW403" s="793">
        <f t="shared" si="330"/>
        <v>154108</v>
      </c>
      <c r="AX403" s="793">
        <f t="shared" si="331"/>
        <v>0</v>
      </c>
      <c r="AY403" s="793">
        <f t="shared" si="332"/>
        <v>0</v>
      </c>
      <c r="AZ403" s="793">
        <f t="shared" si="333"/>
        <v>146405</v>
      </c>
      <c r="BA403" s="793">
        <f t="shared" si="334"/>
        <v>7703</v>
      </c>
    </row>
    <row r="404" spans="1:53" ht="15" customHeight="1" x14ac:dyDescent="0.25">
      <c r="A404" s="842" t="s">
        <v>667</v>
      </c>
      <c r="B404" s="943" t="s">
        <v>216</v>
      </c>
      <c r="C404" s="778">
        <f t="shared" si="290"/>
        <v>0.19</v>
      </c>
      <c r="D404" s="844">
        <v>5</v>
      </c>
      <c r="E404" s="779" t="s">
        <v>1182</v>
      </c>
      <c r="F404" s="845">
        <v>43431</v>
      </c>
      <c r="G404" s="781">
        <f t="shared" si="291"/>
        <v>43431</v>
      </c>
      <c r="H404" s="781">
        <f t="shared" si="292"/>
        <v>45256</v>
      </c>
      <c r="I404" s="1359">
        <v>114645</v>
      </c>
      <c r="J404" s="805">
        <f t="shared" si="293"/>
        <v>5732.25</v>
      </c>
      <c r="K404" s="793"/>
      <c r="L404" s="793">
        <v>0</v>
      </c>
      <c r="M404" s="793">
        <f t="shared" si="294"/>
        <v>114645</v>
      </c>
      <c r="N404" s="793">
        <f t="shared" si="295"/>
        <v>125</v>
      </c>
      <c r="O404" s="793">
        <f t="shared" si="296"/>
        <v>7460</v>
      </c>
      <c r="P404" s="793">
        <f t="shared" si="297"/>
        <v>7460</v>
      </c>
      <c r="Q404" s="793">
        <f t="shared" si="298"/>
        <v>107185</v>
      </c>
      <c r="R404" s="793">
        <f t="shared" si="299"/>
        <v>107185</v>
      </c>
      <c r="S404" s="793">
        <f t="shared" si="300"/>
        <v>114645</v>
      </c>
      <c r="T404" s="805">
        <f t="shared" si="301"/>
        <v>366</v>
      </c>
      <c r="U404" s="805">
        <f t="shared" si="302"/>
        <v>21783</v>
      </c>
      <c r="V404" s="793">
        <f t="shared" si="303"/>
        <v>29243</v>
      </c>
      <c r="W404" s="793">
        <f t="shared" si="304"/>
        <v>85402</v>
      </c>
      <c r="X404" s="793">
        <f t="shared" si="305"/>
        <v>85402</v>
      </c>
      <c r="Y404" s="805">
        <f t="shared" si="306"/>
        <v>114645</v>
      </c>
      <c r="Z404" s="805">
        <f t="shared" si="307"/>
        <v>365</v>
      </c>
      <c r="AA404" s="805">
        <f t="shared" si="308"/>
        <v>21783</v>
      </c>
      <c r="AB404" s="805">
        <f t="shared" si="309"/>
        <v>51026</v>
      </c>
      <c r="AC404" s="805">
        <f t="shared" si="310"/>
        <v>63619</v>
      </c>
      <c r="AD404" s="793">
        <f t="shared" si="311"/>
        <v>63619</v>
      </c>
      <c r="AE404" s="793">
        <f t="shared" si="312"/>
        <v>114645</v>
      </c>
      <c r="AF404" s="793">
        <f t="shared" si="313"/>
        <v>365</v>
      </c>
      <c r="AG404" s="793">
        <f t="shared" si="314"/>
        <v>21783</v>
      </c>
      <c r="AH404" s="805">
        <f t="shared" si="315"/>
        <v>72809</v>
      </c>
      <c r="AI404" s="805">
        <f t="shared" si="316"/>
        <v>41836</v>
      </c>
      <c r="AJ404" s="793">
        <f t="shared" si="317"/>
        <v>41836</v>
      </c>
      <c r="AK404" s="793">
        <f t="shared" si="318"/>
        <v>114645</v>
      </c>
      <c r="AL404" s="793">
        <f t="shared" si="319"/>
        <v>365</v>
      </c>
      <c r="AM404" s="793">
        <f t="shared" si="320"/>
        <v>21783</v>
      </c>
      <c r="AN404" s="805">
        <f t="shared" si="321"/>
        <v>94592</v>
      </c>
      <c r="AO404" s="805">
        <f t="shared" si="322"/>
        <v>20053</v>
      </c>
      <c r="AP404" s="793">
        <f t="shared" si="323"/>
        <v>20053</v>
      </c>
      <c r="AQ404" s="793">
        <f t="shared" si="324"/>
        <v>114645</v>
      </c>
      <c r="AR404" s="793">
        <f t="shared" si="325"/>
        <v>240</v>
      </c>
      <c r="AS404" s="793">
        <f t="shared" si="326"/>
        <v>14323</v>
      </c>
      <c r="AT404" s="793">
        <f t="shared" si="327"/>
        <v>108915</v>
      </c>
      <c r="AU404" s="793">
        <f t="shared" si="328"/>
        <v>5730</v>
      </c>
      <c r="AV404" s="793">
        <f t="shared" si="329"/>
        <v>5730</v>
      </c>
      <c r="AW404" s="793">
        <f t="shared" si="330"/>
        <v>114645</v>
      </c>
      <c r="AX404" s="793">
        <f t="shared" si="331"/>
        <v>0</v>
      </c>
      <c r="AY404" s="793">
        <f t="shared" si="332"/>
        <v>0</v>
      </c>
      <c r="AZ404" s="793">
        <f t="shared" si="333"/>
        <v>108915</v>
      </c>
      <c r="BA404" s="793">
        <f t="shared" si="334"/>
        <v>5730</v>
      </c>
    </row>
    <row r="405" spans="1:53" ht="15" customHeight="1" x14ac:dyDescent="0.25">
      <c r="A405" s="842" t="s">
        <v>667</v>
      </c>
      <c r="B405" s="943" t="s">
        <v>216</v>
      </c>
      <c r="C405" s="778">
        <f t="shared" si="290"/>
        <v>0.19</v>
      </c>
      <c r="D405" s="844">
        <v>5</v>
      </c>
      <c r="E405" s="779" t="s">
        <v>1182</v>
      </c>
      <c r="F405" s="845">
        <v>43431</v>
      </c>
      <c r="G405" s="781">
        <f t="shared" si="291"/>
        <v>43431</v>
      </c>
      <c r="H405" s="781">
        <f t="shared" si="292"/>
        <v>45256</v>
      </c>
      <c r="I405" s="1359">
        <v>93750</v>
      </c>
      <c r="J405" s="805">
        <f t="shared" si="293"/>
        <v>4687.5</v>
      </c>
      <c r="K405" s="793"/>
      <c r="L405" s="793">
        <v>0</v>
      </c>
      <c r="M405" s="793">
        <f t="shared" si="294"/>
        <v>93750</v>
      </c>
      <c r="N405" s="793">
        <f t="shared" si="295"/>
        <v>125</v>
      </c>
      <c r="O405" s="793">
        <f t="shared" si="296"/>
        <v>6100</v>
      </c>
      <c r="P405" s="793">
        <f t="shared" si="297"/>
        <v>6100</v>
      </c>
      <c r="Q405" s="793">
        <f t="shared" si="298"/>
        <v>87650</v>
      </c>
      <c r="R405" s="793">
        <f t="shared" si="299"/>
        <v>87650</v>
      </c>
      <c r="S405" s="793">
        <f t="shared" si="300"/>
        <v>93750</v>
      </c>
      <c r="T405" s="805">
        <f t="shared" si="301"/>
        <v>366</v>
      </c>
      <c r="U405" s="805">
        <f t="shared" si="302"/>
        <v>17813</v>
      </c>
      <c r="V405" s="793">
        <f t="shared" si="303"/>
        <v>23913</v>
      </c>
      <c r="W405" s="793">
        <f t="shared" si="304"/>
        <v>69837</v>
      </c>
      <c r="X405" s="793">
        <f t="shared" si="305"/>
        <v>69837</v>
      </c>
      <c r="Y405" s="805">
        <f t="shared" si="306"/>
        <v>93750</v>
      </c>
      <c r="Z405" s="805">
        <f t="shared" si="307"/>
        <v>365</v>
      </c>
      <c r="AA405" s="805">
        <f t="shared" si="308"/>
        <v>17813</v>
      </c>
      <c r="AB405" s="805">
        <f t="shared" si="309"/>
        <v>41726</v>
      </c>
      <c r="AC405" s="805">
        <f t="shared" si="310"/>
        <v>52024</v>
      </c>
      <c r="AD405" s="793">
        <f t="shared" si="311"/>
        <v>52024</v>
      </c>
      <c r="AE405" s="793">
        <f t="shared" si="312"/>
        <v>93750</v>
      </c>
      <c r="AF405" s="793">
        <f t="shared" si="313"/>
        <v>365</v>
      </c>
      <c r="AG405" s="793">
        <f t="shared" si="314"/>
        <v>17813</v>
      </c>
      <c r="AH405" s="805">
        <f t="shared" si="315"/>
        <v>59539</v>
      </c>
      <c r="AI405" s="805">
        <f t="shared" si="316"/>
        <v>34211</v>
      </c>
      <c r="AJ405" s="793">
        <f t="shared" si="317"/>
        <v>34211</v>
      </c>
      <c r="AK405" s="793">
        <f t="shared" si="318"/>
        <v>93750</v>
      </c>
      <c r="AL405" s="793">
        <f t="shared" si="319"/>
        <v>365</v>
      </c>
      <c r="AM405" s="793">
        <f t="shared" si="320"/>
        <v>17813</v>
      </c>
      <c r="AN405" s="805">
        <f t="shared" si="321"/>
        <v>77352</v>
      </c>
      <c r="AO405" s="805">
        <f t="shared" si="322"/>
        <v>16398</v>
      </c>
      <c r="AP405" s="793">
        <f t="shared" si="323"/>
        <v>16398</v>
      </c>
      <c r="AQ405" s="793">
        <f t="shared" si="324"/>
        <v>93750</v>
      </c>
      <c r="AR405" s="793">
        <f t="shared" si="325"/>
        <v>240</v>
      </c>
      <c r="AS405" s="793">
        <f t="shared" si="326"/>
        <v>11712</v>
      </c>
      <c r="AT405" s="793">
        <f t="shared" si="327"/>
        <v>89064</v>
      </c>
      <c r="AU405" s="793">
        <f t="shared" si="328"/>
        <v>4686</v>
      </c>
      <c r="AV405" s="793">
        <f t="shared" si="329"/>
        <v>4686</v>
      </c>
      <c r="AW405" s="793">
        <f t="shared" si="330"/>
        <v>93750</v>
      </c>
      <c r="AX405" s="793">
        <f t="shared" si="331"/>
        <v>0</v>
      </c>
      <c r="AY405" s="793">
        <f t="shared" si="332"/>
        <v>0</v>
      </c>
      <c r="AZ405" s="793">
        <f t="shared" si="333"/>
        <v>89064</v>
      </c>
      <c r="BA405" s="793">
        <f t="shared" si="334"/>
        <v>4686</v>
      </c>
    </row>
    <row r="406" spans="1:53" ht="15" customHeight="1" x14ac:dyDescent="0.25">
      <c r="A406" s="842" t="s">
        <v>667</v>
      </c>
      <c r="B406" s="943" t="s">
        <v>216</v>
      </c>
      <c r="C406" s="778">
        <f t="shared" si="290"/>
        <v>0.19</v>
      </c>
      <c r="D406" s="844">
        <v>5</v>
      </c>
      <c r="E406" s="779" t="s">
        <v>1182</v>
      </c>
      <c r="F406" s="845">
        <v>43431</v>
      </c>
      <c r="G406" s="781">
        <f t="shared" si="291"/>
        <v>43431</v>
      </c>
      <c r="H406" s="781">
        <f t="shared" si="292"/>
        <v>45256</v>
      </c>
      <c r="I406" s="1359">
        <v>5005</v>
      </c>
      <c r="J406" s="805">
        <f t="shared" si="293"/>
        <v>250.25</v>
      </c>
      <c r="K406" s="793"/>
      <c r="L406" s="793">
        <v>0</v>
      </c>
      <c r="M406" s="793">
        <f t="shared" si="294"/>
        <v>5005</v>
      </c>
      <c r="N406" s="793">
        <f t="shared" si="295"/>
        <v>125</v>
      </c>
      <c r="O406" s="793">
        <f t="shared" si="296"/>
        <v>326</v>
      </c>
      <c r="P406" s="793">
        <f t="shared" si="297"/>
        <v>326</v>
      </c>
      <c r="Q406" s="793">
        <f t="shared" si="298"/>
        <v>4679</v>
      </c>
      <c r="R406" s="793">
        <f t="shared" si="299"/>
        <v>4679</v>
      </c>
      <c r="S406" s="793">
        <f t="shared" si="300"/>
        <v>5005</v>
      </c>
      <c r="T406" s="805">
        <f t="shared" si="301"/>
        <v>366</v>
      </c>
      <c r="U406" s="805">
        <f t="shared" si="302"/>
        <v>951</v>
      </c>
      <c r="V406" s="793">
        <f t="shared" si="303"/>
        <v>1277</v>
      </c>
      <c r="W406" s="793">
        <f t="shared" si="304"/>
        <v>3728</v>
      </c>
      <c r="X406" s="793">
        <f t="shared" si="305"/>
        <v>3728</v>
      </c>
      <c r="Y406" s="805">
        <f t="shared" si="306"/>
        <v>5005</v>
      </c>
      <c r="Z406" s="805">
        <f t="shared" si="307"/>
        <v>365</v>
      </c>
      <c r="AA406" s="805">
        <f t="shared" si="308"/>
        <v>951</v>
      </c>
      <c r="AB406" s="805">
        <f t="shared" si="309"/>
        <v>2228</v>
      </c>
      <c r="AC406" s="805">
        <f t="shared" si="310"/>
        <v>2777</v>
      </c>
      <c r="AD406" s="793">
        <f t="shared" si="311"/>
        <v>2777</v>
      </c>
      <c r="AE406" s="793">
        <f t="shared" si="312"/>
        <v>5005</v>
      </c>
      <c r="AF406" s="793">
        <f t="shared" si="313"/>
        <v>365</v>
      </c>
      <c r="AG406" s="793">
        <f t="shared" si="314"/>
        <v>951</v>
      </c>
      <c r="AH406" s="805">
        <f t="shared" si="315"/>
        <v>3179</v>
      </c>
      <c r="AI406" s="805">
        <f t="shared" si="316"/>
        <v>1826</v>
      </c>
      <c r="AJ406" s="793">
        <f t="shared" si="317"/>
        <v>1826</v>
      </c>
      <c r="AK406" s="793">
        <f t="shared" si="318"/>
        <v>5005</v>
      </c>
      <c r="AL406" s="793">
        <f t="shared" si="319"/>
        <v>365</v>
      </c>
      <c r="AM406" s="793">
        <f t="shared" si="320"/>
        <v>951</v>
      </c>
      <c r="AN406" s="805">
        <f t="shared" si="321"/>
        <v>4130</v>
      </c>
      <c r="AO406" s="805">
        <f t="shared" si="322"/>
        <v>875</v>
      </c>
      <c r="AP406" s="793">
        <f t="shared" si="323"/>
        <v>875</v>
      </c>
      <c r="AQ406" s="793">
        <f t="shared" si="324"/>
        <v>5005</v>
      </c>
      <c r="AR406" s="793">
        <f t="shared" si="325"/>
        <v>240</v>
      </c>
      <c r="AS406" s="793">
        <f t="shared" si="326"/>
        <v>625</v>
      </c>
      <c r="AT406" s="793">
        <f t="shared" si="327"/>
        <v>4755</v>
      </c>
      <c r="AU406" s="793">
        <f t="shared" si="328"/>
        <v>250</v>
      </c>
      <c r="AV406" s="793">
        <f t="shared" si="329"/>
        <v>250</v>
      </c>
      <c r="AW406" s="793">
        <f t="shared" si="330"/>
        <v>5005</v>
      </c>
      <c r="AX406" s="793">
        <f t="shared" si="331"/>
        <v>0</v>
      </c>
      <c r="AY406" s="793">
        <f t="shared" si="332"/>
        <v>0</v>
      </c>
      <c r="AZ406" s="793">
        <f t="shared" si="333"/>
        <v>4755</v>
      </c>
      <c r="BA406" s="793">
        <f t="shared" si="334"/>
        <v>250</v>
      </c>
    </row>
    <row r="407" spans="1:53" ht="15" customHeight="1" x14ac:dyDescent="0.25">
      <c r="A407" s="842" t="s">
        <v>667</v>
      </c>
      <c r="B407" s="943" t="s">
        <v>1309</v>
      </c>
      <c r="C407" s="778">
        <f t="shared" si="290"/>
        <v>0.19</v>
      </c>
      <c r="D407" s="844">
        <v>5</v>
      </c>
      <c r="E407" s="779" t="s">
        <v>1182</v>
      </c>
      <c r="F407" s="845">
        <v>43194</v>
      </c>
      <c r="G407" s="781">
        <f t="shared" si="291"/>
        <v>43194</v>
      </c>
      <c r="H407" s="781">
        <f t="shared" si="292"/>
        <v>45019</v>
      </c>
      <c r="I407" s="1359">
        <v>7078</v>
      </c>
      <c r="J407" s="805">
        <f t="shared" si="293"/>
        <v>353.90000000000003</v>
      </c>
      <c r="K407" s="793"/>
      <c r="L407" s="793">
        <v>0</v>
      </c>
      <c r="M407" s="793">
        <f t="shared" si="294"/>
        <v>7078</v>
      </c>
      <c r="N407" s="793">
        <f t="shared" si="295"/>
        <v>362</v>
      </c>
      <c r="O407" s="793">
        <f t="shared" si="296"/>
        <v>1334</v>
      </c>
      <c r="P407" s="793">
        <f t="shared" si="297"/>
        <v>1334</v>
      </c>
      <c r="Q407" s="793">
        <f t="shared" si="298"/>
        <v>5744</v>
      </c>
      <c r="R407" s="793">
        <f t="shared" si="299"/>
        <v>5744</v>
      </c>
      <c r="S407" s="793">
        <f t="shared" si="300"/>
        <v>7078</v>
      </c>
      <c r="T407" s="805">
        <f t="shared" si="301"/>
        <v>366</v>
      </c>
      <c r="U407" s="805">
        <f t="shared" si="302"/>
        <v>1345</v>
      </c>
      <c r="V407" s="793">
        <f t="shared" si="303"/>
        <v>2679</v>
      </c>
      <c r="W407" s="793">
        <f t="shared" si="304"/>
        <v>4399</v>
      </c>
      <c r="X407" s="793">
        <f t="shared" si="305"/>
        <v>4399</v>
      </c>
      <c r="Y407" s="805">
        <f t="shared" si="306"/>
        <v>7078</v>
      </c>
      <c r="Z407" s="805">
        <f t="shared" si="307"/>
        <v>365</v>
      </c>
      <c r="AA407" s="805">
        <f t="shared" si="308"/>
        <v>1345</v>
      </c>
      <c r="AB407" s="805">
        <f t="shared" si="309"/>
        <v>4024</v>
      </c>
      <c r="AC407" s="805">
        <f t="shared" si="310"/>
        <v>3054</v>
      </c>
      <c r="AD407" s="793">
        <f t="shared" si="311"/>
        <v>3054</v>
      </c>
      <c r="AE407" s="793">
        <f t="shared" si="312"/>
        <v>7078</v>
      </c>
      <c r="AF407" s="793">
        <f t="shared" si="313"/>
        <v>365</v>
      </c>
      <c r="AG407" s="793">
        <f t="shared" si="314"/>
        <v>1345</v>
      </c>
      <c r="AH407" s="805">
        <f t="shared" si="315"/>
        <v>5369</v>
      </c>
      <c r="AI407" s="805">
        <f t="shared" si="316"/>
        <v>1709</v>
      </c>
      <c r="AJ407" s="793">
        <f t="shared" si="317"/>
        <v>1709</v>
      </c>
      <c r="AK407" s="793">
        <f t="shared" si="318"/>
        <v>7078</v>
      </c>
      <c r="AL407" s="793">
        <f t="shared" si="319"/>
        <v>365</v>
      </c>
      <c r="AM407" s="793">
        <f t="shared" si="320"/>
        <v>1345</v>
      </c>
      <c r="AN407" s="805">
        <f t="shared" si="321"/>
        <v>6714</v>
      </c>
      <c r="AO407" s="805">
        <f t="shared" si="322"/>
        <v>364</v>
      </c>
      <c r="AP407" s="793">
        <f t="shared" si="323"/>
        <v>364</v>
      </c>
      <c r="AQ407" s="793">
        <f t="shared" si="324"/>
        <v>7078</v>
      </c>
      <c r="AR407" s="793">
        <f t="shared" si="325"/>
        <v>3</v>
      </c>
      <c r="AS407" s="793">
        <f t="shared" si="326"/>
        <v>11</v>
      </c>
      <c r="AT407" s="793">
        <f t="shared" si="327"/>
        <v>6725</v>
      </c>
      <c r="AU407" s="793">
        <f t="shared" si="328"/>
        <v>353</v>
      </c>
      <c r="AV407" s="793">
        <f t="shared" si="329"/>
        <v>353</v>
      </c>
      <c r="AW407" s="793">
        <f t="shared" si="330"/>
        <v>7078</v>
      </c>
      <c r="AX407" s="793">
        <f t="shared" si="331"/>
        <v>0</v>
      </c>
      <c r="AY407" s="793">
        <f t="shared" si="332"/>
        <v>0</v>
      </c>
      <c r="AZ407" s="793">
        <f t="shared" si="333"/>
        <v>6725</v>
      </c>
      <c r="BA407" s="793">
        <f t="shared" si="334"/>
        <v>353</v>
      </c>
    </row>
    <row r="408" spans="1:53" ht="15" customHeight="1" x14ac:dyDescent="0.25">
      <c r="A408" s="842" t="s">
        <v>667</v>
      </c>
      <c r="B408" s="943" t="s">
        <v>1309</v>
      </c>
      <c r="C408" s="778">
        <f t="shared" si="290"/>
        <v>0.19</v>
      </c>
      <c r="D408" s="844">
        <v>5</v>
      </c>
      <c r="E408" s="779" t="s">
        <v>1182</v>
      </c>
      <c r="F408" s="845">
        <v>43371</v>
      </c>
      <c r="G408" s="781">
        <f t="shared" si="291"/>
        <v>43371</v>
      </c>
      <c r="H408" s="781">
        <f t="shared" si="292"/>
        <v>45196</v>
      </c>
      <c r="I408" s="1359">
        <v>1680</v>
      </c>
      <c r="J408" s="805">
        <f t="shared" si="293"/>
        <v>84</v>
      </c>
      <c r="K408" s="793"/>
      <c r="L408" s="793">
        <v>0</v>
      </c>
      <c r="M408" s="793">
        <f t="shared" si="294"/>
        <v>1680</v>
      </c>
      <c r="N408" s="793">
        <f t="shared" si="295"/>
        <v>185</v>
      </c>
      <c r="O408" s="793">
        <f t="shared" si="296"/>
        <v>162</v>
      </c>
      <c r="P408" s="793">
        <f t="shared" si="297"/>
        <v>162</v>
      </c>
      <c r="Q408" s="793">
        <f t="shared" si="298"/>
        <v>1518</v>
      </c>
      <c r="R408" s="793">
        <f t="shared" si="299"/>
        <v>1518</v>
      </c>
      <c r="S408" s="793">
        <f t="shared" si="300"/>
        <v>1680</v>
      </c>
      <c r="T408" s="805">
        <f t="shared" si="301"/>
        <v>366</v>
      </c>
      <c r="U408" s="805">
        <f t="shared" si="302"/>
        <v>319</v>
      </c>
      <c r="V408" s="793">
        <f t="shared" si="303"/>
        <v>481</v>
      </c>
      <c r="W408" s="793">
        <f t="shared" si="304"/>
        <v>1199</v>
      </c>
      <c r="X408" s="793">
        <f t="shared" si="305"/>
        <v>1199</v>
      </c>
      <c r="Y408" s="805">
        <f t="shared" si="306"/>
        <v>1680</v>
      </c>
      <c r="Z408" s="805">
        <f t="shared" si="307"/>
        <v>365</v>
      </c>
      <c r="AA408" s="805">
        <f t="shared" si="308"/>
        <v>319</v>
      </c>
      <c r="AB408" s="805">
        <f t="shared" si="309"/>
        <v>800</v>
      </c>
      <c r="AC408" s="805">
        <f t="shared" si="310"/>
        <v>880</v>
      </c>
      <c r="AD408" s="793">
        <f t="shared" si="311"/>
        <v>880</v>
      </c>
      <c r="AE408" s="793">
        <f t="shared" si="312"/>
        <v>1680</v>
      </c>
      <c r="AF408" s="793">
        <f t="shared" si="313"/>
        <v>365</v>
      </c>
      <c r="AG408" s="793">
        <f t="shared" si="314"/>
        <v>319</v>
      </c>
      <c r="AH408" s="805">
        <f t="shared" si="315"/>
        <v>1119</v>
      </c>
      <c r="AI408" s="805">
        <f t="shared" si="316"/>
        <v>561</v>
      </c>
      <c r="AJ408" s="793">
        <f t="shared" si="317"/>
        <v>561</v>
      </c>
      <c r="AK408" s="793">
        <f t="shared" si="318"/>
        <v>1680</v>
      </c>
      <c r="AL408" s="793">
        <f t="shared" si="319"/>
        <v>365</v>
      </c>
      <c r="AM408" s="793">
        <f t="shared" si="320"/>
        <v>319</v>
      </c>
      <c r="AN408" s="805">
        <f t="shared" si="321"/>
        <v>1438</v>
      </c>
      <c r="AO408" s="805">
        <f t="shared" si="322"/>
        <v>242</v>
      </c>
      <c r="AP408" s="793">
        <f t="shared" si="323"/>
        <v>242</v>
      </c>
      <c r="AQ408" s="793">
        <f t="shared" si="324"/>
        <v>1680</v>
      </c>
      <c r="AR408" s="793">
        <f t="shared" si="325"/>
        <v>180</v>
      </c>
      <c r="AS408" s="793">
        <f t="shared" si="326"/>
        <v>157</v>
      </c>
      <c r="AT408" s="793">
        <f t="shared" si="327"/>
        <v>1595</v>
      </c>
      <c r="AU408" s="793">
        <f t="shared" si="328"/>
        <v>85</v>
      </c>
      <c r="AV408" s="793">
        <f t="shared" si="329"/>
        <v>85</v>
      </c>
      <c r="AW408" s="793">
        <f t="shared" si="330"/>
        <v>1680</v>
      </c>
      <c r="AX408" s="793">
        <f t="shared" si="331"/>
        <v>0</v>
      </c>
      <c r="AY408" s="793">
        <f t="shared" si="332"/>
        <v>0</v>
      </c>
      <c r="AZ408" s="793">
        <f t="shared" si="333"/>
        <v>1595</v>
      </c>
      <c r="BA408" s="793">
        <f t="shared" si="334"/>
        <v>85</v>
      </c>
    </row>
    <row r="409" spans="1:53" ht="15" customHeight="1" x14ac:dyDescent="0.25">
      <c r="A409" s="842" t="s">
        <v>667</v>
      </c>
      <c r="B409" s="943" t="s">
        <v>216</v>
      </c>
      <c r="C409" s="778">
        <f t="shared" si="290"/>
        <v>0.19</v>
      </c>
      <c r="D409" s="844">
        <v>5</v>
      </c>
      <c r="E409" s="844" t="s">
        <v>1205</v>
      </c>
      <c r="F409" s="845">
        <v>43558</v>
      </c>
      <c r="G409" s="781">
        <f t="shared" si="291"/>
        <v>43558</v>
      </c>
      <c r="H409" s="781">
        <f t="shared" si="292"/>
        <v>45383</v>
      </c>
      <c r="I409" s="1359">
        <v>20250</v>
      </c>
      <c r="J409" s="805">
        <f t="shared" si="293"/>
        <v>1012.5</v>
      </c>
      <c r="K409" s="793"/>
      <c r="L409" s="793">
        <v>0</v>
      </c>
      <c r="M409" s="793">
        <v>0</v>
      </c>
      <c r="N409" s="793">
        <v>0</v>
      </c>
      <c r="O409" s="793">
        <v>0</v>
      </c>
      <c r="P409" s="793">
        <v>0</v>
      </c>
      <c r="Q409" s="793">
        <v>0</v>
      </c>
      <c r="R409" s="793">
        <f t="shared" si="299"/>
        <v>0</v>
      </c>
      <c r="S409" s="793">
        <f t="shared" si="300"/>
        <v>20250</v>
      </c>
      <c r="T409" s="805">
        <f t="shared" si="301"/>
        <v>364</v>
      </c>
      <c r="U409" s="805">
        <f t="shared" si="302"/>
        <v>3826</v>
      </c>
      <c r="V409" s="793">
        <f t="shared" si="303"/>
        <v>3826</v>
      </c>
      <c r="W409" s="793">
        <f t="shared" si="304"/>
        <v>16424</v>
      </c>
      <c r="X409" s="793">
        <f t="shared" si="305"/>
        <v>16424</v>
      </c>
      <c r="Y409" s="805">
        <f t="shared" si="306"/>
        <v>20250</v>
      </c>
      <c r="Z409" s="805">
        <f t="shared" si="307"/>
        <v>365</v>
      </c>
      <c r="AA409" s="805">
        <f t="shared" si="308"/>
        <v>3848</v>
      </c>
      <c r="AB409" s="805">
        <f t="shared" si="309"/>
        <v>7674</v>
      </c>
      <c r="AC409" s="805">
        <f t="shared" si="310"/>
        <v>12576</v>
      </c>
      <c r="AD409" s="793">
        <f t="shared" si="311"/>
        <v>12576</v>
      </c>
      <c r="AE409" s="793">
        <f t="shared" si="312"/>
        <v>20250</v>
      </c>
      <c r="AF409" s="793">
        <f t="shared" si="313"/>
        <v>365</v>
      </c>
      <c r="AG409" s="793">
        <f t="shared" si="314"/>
        <v>3848</v>
      </c>
      <c r="AH409" s="805">
        <f t="shared" si="315"/>
        <v>11522</v>
      </c>
      <c r="AI409" s="805">
        <f t="shared" si="316"/>
        <v>8728</v>
      </c>
      <c r="AJ409" s="793">
        <f t="shared" si="317"/>
        <v>8728</v>
      </c>
      <c r="AK409" s="793">
        <f t="shared" si="318"/>
        <v>20250</v>
      </c>
      <c r="AL409" s="793">
        <f t="shared" si="319"/>
        <v>365</v>
      </c>
      <c r="AM409" s="793">
        <f t="shared" si="320"/>
        <v>3848</v>
      </c>
      <c r="AN409" s="805">
        <f t="shared" si="321"/>
        <v>15370</v>
      </c>
      <c r="AO409" s="805">
        <f t="shared" si="322"/>
        <v>4880</v>
      </c>
      <c r="AP409" s="793">
        <f t="shared" si="323"/>
        <v>4880</v>
      </c>
      <c r="AQ409" s="793">
        <f t="shared" si="324"/>
        <v>20250</v>
      </c>
      <c r="AR409" s="793">
        <f t="shared" si="325"/>
        <v>366</v>
      </c>
      <c r="AS409" s="793">
        <f t="shared" si="326"/>
        <v>3858</v>
      </c>
      <c r="AT409" s="793">
        <f t="shared" si="327"/>
        <v>19228</v>
      </c>
      <c r="AU409" s="793">
        <f t="shared" si="328"/>
        <v>1022</v>
      </c>
      <c r="AV409" s="793">
        <f t="shared" si="329"/>
        <v>1022</v>
      </c>
      <c r="AW409" s="793">
        <f t="shared" si="330"/>
        <v>20250</v>
      </c>
      <c r="AX409" s="793">
        <f t="shared" si="331"/>
        <v>1</v>
      </c>
      <c r="AY409" s="793">
        <f t="shared" si="332"/>
        <v>11</v>
      </c>
      <c r="AZ409" s="793">
        <f t="shared" si="333"/>
        <v>19239</v>
      </c>
      <c r="BA409" s="793">
        <f t="shared" si="334"/>
        <v>1011</v>
      </c>
    </row>
    <row r="410" spans="1:53" ht="15" customHeight="1" x14ac:dyDescent="0.25">
      <c r="A410" s="842" t="s">
        <v>667</v>
      </c>
      <c r="B410" s="943" t="s">
        <v>1306</v>
      </c>
      <c r="C410" s="778">
        <f t="shared" si="290"/>
        <v>0.19</v>
      </c>
      <c r="D410" s="844">
        <v>5</v>
      </c>
      <c r="E410" s="844" t="s">
        <v>1205</v>
      </c>
      <c r="F410" s="845">
        <v>43558</v>
      </c>
      <c r="G410" s="781">
        <f t="shared" si="291"/>
        <v>43558</v>
      </c>
      <c r="H410" s="781">
        <f t="shared" si="292"/>
        <v>45383</v>
      </c>
      <c r="I410" s="1359">
        <f>192400</f>
        <v>192400</v>
      </c>
      <c r="J410" s="805">
        <f t="shared" si="293"/>
        <v>9620</v>
      </c>
      <c r="K410" s="793"/>
      <c r="L410" s="793">
        <v>0</v>
      </c>
      <c r="M410" s="793">
        <v>0</v>
      </c>
      <c r="N410" s="793">
        <v>0</v>
      </c>
      <c r="O410" s="793">
        <v>0</v>
      </c>
      <c r="P410" s="793">
        <v>0</v>
      </c>
      <c r="Q410" s="793">
        <v>0</v>
      </c>
      <c r="R410" s="793">
        <f t="shared" si="299"/>
        <v>0</v>
      </c>
      <c r="S410" s="793">
        <f t="shared" si="300"/>
        <v>192400</v>
      </c>
      <c r="T410" s="805">
        <f t="shared" si="301"/>
        <v>364</v>
      </c>
      <c r="U410" s="805">
        <f t="shared" si="302"/>
        <v>36356</v>
      </c>
      <c r="V410" s="793">
        <f t="shared" si="303"/>
        <v>36356</v>
      </c>
      <c r="W410" s="793">
        <f t="shared" si="304"/>
        <v>156044</v>
      </c>
      <c r="X410" s="793">
        <f t="shared" si="305"/>
        <v>156044</v>
      </c>
      <c r="Y410" s="805">
        <f t="shared" si="306"/>
        <v>192400</v>
      </c>
      <c r="Z410" s="805">
        <f t="shared" si="307"/>
        <v>365</v>
      </c>
      <c r="AA410" s="805">
        <f t="shared" si="308"/>
        <v>36556</v>
      </c>
      <c r="AB410" s="805">
        <f t="shared" si="309"/>
        <v>72912</v>
      </c>
      <c r="AC410" s="805">
        <f t="shared" si="310"/>
        <v>119488</v>
      </c>
      <c r="AD410" s="793">
        <f t="shared" si="311"/>
        <v>119488</v>
      </c>
      <c r="AE410" s="793">
        <f t="shared" si="312"/>
        <v>192400</v>
      </c>
      <c r="AF410" s="793">
        <f t="shared" si="313"/>
        <v>365</v>
      </c>
      <c r="AG410" s="793">
        <f t="shared" si="314"/>
        <v>36556</v>
      </c>
      <c r="AH410" s="805">
        <f t="shared" si="315"/>
        <v>109468</v>
      </c>
      <c r="AI410" s="805">
        <f t="shared" si="316"/>
        <v>82932</v>
      </c>
      <c r="AJ410" s="793">
        <f t="shared" si="317"/>
        <v>82932</v>
      </c>
      <c r="AK410" s="793">
        <f t="shared" si="318"/>
        <v>192400</v>
      </c>
      <c r="AL410" s="793">
        <f t="shared" si="319"/>
        <v>365</v>
      </c>
      <c r="AM410" s="793">
        <f t="shared" si="320"/>
        <v>36556</v>
      </c>
      <c r="AN410" s="805">
        <f t="shared" si="321"/>
        <v>146024</v>
      </c>
      <c r="AO410" s="805">
        <f t="shared" si="322"/>
        <v>46376</v>
      </c>
      <c r="AP410" s="793">
        <f t="shared" si="323"/>
        <v>46376</v>
      </c>
      <c r="AQ410" s="793">
        <f t="shared" si="324"/>
        <v>192400</v>
      </c>
      <c r="AR410" s="793">
        <f t="shared" si="325"/>
        <v>366</v>
      </c>
      <c r="AS410" s="793">
        <f t="shared" si="326"/>
        <v>36656</v>
      </c>
      <c r="AT410" s="793">
        <f t="shared" si="327"/>
        <v>182680</v>
      </c>
      <c r="AU410" s="793">
        <f t="shared" si="328"/>
        <v>9720</v>
      </c>
      <c r="AV410" s="793">
        <f t="shared" si="329"/>
        <v>9720</v>
      </c>
      <c r="AW410" s="793">
        <f t="shared" si="330"/>
        <v>192400</v>
      </c>
      <c r="AX410" s="793">
        <f t="shared" si="331"/>
        <v>1</v>
      </c>
      <c r="AY410" s="793">
        <f t="shared" si="332"/>
        <v>100</v>
      </c>
      <c r="AZ410" s="793">
        <f t="shared" si="333"/>
        <v>182780</v>
      </c>
      <c r="BA410" s="793">
        <f t="shared" si="334"/>
        <v>9620</v>
      </c>
    </row>
    <row r="411" spans="1:53" ht="15" customHeight="1" x14ac:dyDescent="0.25">
      <c r="A411" s="842" t="s">
        <v>667</v>
      </c>
      <c r="B411" s="943" t="s">
        <v>216</v>
      </c>
      <c r="C411" s="778">
        <f t="shared" si="290"/>
        <v>0.19</v>
      </c>
      <c r="D411" s="844">
        <v>5</v>
      </c>
      <c r="E411" s="844" t="s">
        <v>1205</v>
      </c>
      <c r="F411" s="845">
        <v>43612</v>
      </c>
      <c r="G411" s="781">
        <f t="shared" si="291"/>
        <v>43612</v>
      </c>
      <c r="H411" s="781">
        <f t="shared" si="292"/>
        <v>45437</v>
      </c>
      <c r="I411" s="1359">
        <v>28500</v>
      </c>
      <c r="J411" s="805">
        <f t="shared" si="293"/>
        <v>1425</v>
      </c>
      <c r="K411" s="793"/>
      <c r="L411" s="793">
        <v>0</v>
      </c>
      <c r="M411" s="793">
        <v>0</v>
      </c>
      <c r="N411" s="793">
        <v>0</v>
      </c>
      <c r="O411" s="793">
        <v>0</v>
      </c>
      <c r="P411" s="793">
        <v>0</v>
      </c>
      <c r="Q411" s="793">
        <v>0</v>
      </c>
      <c r="R411" s="793">
        <f t="shared" si="299"/>
        <v>0</v>
      </c>
      <c r="S411" s="793">
        <f t="shared" si="300"/>
        <v>28500</v>
      </c>
      <c r="T411" s="805">
        <f t="shared" si="301"/>
        <v>310</v>
      </c>
      <c r="U411" s="805">
        <f t="shared" si="302"/>
        <v>4586</v>
      </c>
      <c r="V411" s="793">
        <f t="shared" si="303"/>
        <v>4586</v>
      </c>
      <c r="W411" s="793">
        <f t="shared" si="304"/>
        <v>23914</v>
      </c>
      <c r="X411" s="793">
        <f t="shared" si="305"/>
        <v>23914</v>
      </c>
      <c r="Y411" s="805">
        <f t="shared" si="306"/>
        <v>28500</v>
      </c>
      <c r="Z411" s="805">
        <f t="shared" si="307"/>
        <v>365</v>
      </c>
      <c r="AA411" s="805">
        <f t="shared" si="308"/>
        <v>5415</v>
      </c>
      <c r="AB411" s="805">
        <f t="shared" si="309"/>
        <v>10001</v>
      </c>
      <c r="AC411" s="805">
        <f t="shared" si="310"/>
        <v>18499</v>
      </c>
      <c r="AD411" s="793">
        <f t="shared" si="311"/>
        <v>18499</v>
      </c>
      <c r="AE411" s="793">
        <f t="shared" si="312"/>
        <v>28500</v>
      </c>
      <c r="AF411" s="793">
        <f t="shared" si="313"/>
        <v>365</v>
      </c>
      <c r="AG411" s="793">
        <f t="shared" si="314"/>
        <v>5415</v>
      </c>
      <c r="AH411" s="805">
        <f t="shared" si="315"/>
        <v>15416</v>
      </c>
      <c r="AI411" s="805">
        <f t="shared" si="316"/>
        <v>13084</v>
      </c>
      <c r="AJ411" s="793">
        <f t="shared" si="317"/>
        <v>13084</v>
      </c>
      <c r="AK411" s="793">
        <f t="shared" si="318"/>
        <v>28500</v>
      </c>
      <c r="AL411" s="793">
        <f t="shared" si="319"/>
        <v>365</v>
      </c>
      <c r="AM411" s="793">
        <f t="shared" si="320"/>
        <v>5415</v>
      </c>
      <c r="AN411" s="805">
        <f t="shared" si="321"/>
        <v>20831</v>
      </c>
      <c r="AO411" s="805">
        <f t="shared" si="322"/>
        <v>7669</v>
      </c>
      <c r="AP411" s="793">
        <f t="shared" si="323"/>
        <v>7669</v>
      </c>
      <c r="AQ411" s="793">
        <f t="shared" si="324"/>
        <v>28500</v>
      </c>
      <c r="AR411" s="793">
        <f t="shared" si="325"/>
        <v>366</v>
      </c>
      <c r="AS411" s="793">
        <f t="shared" si="326"/>
        <v>5430</v>
      </c>
      <c r="AT411" s="793">
        <f t="shared" si="327"/>
        <v>26261</v>
      </c>
      <c r="AU411" s="793">
        <f t="shared" si="328"/>
        <v>2239</v>
      </c>
      <c r="AV411" s="793">
        <f t="shared" si="329"/>
        <v>2239</v>
      </c>
      <c r="AW411" s="793">
        <f t="shared" si="330"/>
        <v>28500</v>
      </c>
      <c r="AX411" s="793">
        <f t="shared" si="331"/>
        <v>55</v>
      </c>
      <c r="AY411" s="793">
        <f t="shared" si="332"/>
        <v>816</v>
      </c>
      <c r="AZ411" s="793">
        <f t="shared" si="333"/>
        <v>27077</v>
      </c>
      <c r="BA411" s="793">
        <f t="shared" si="334"/>
        <v>1423</v>
      </c>
    </row>
    <row r="412" spans="1:53" ht="15" customHeight="1" x14ac:dyDescent="0.25">
      <c r="A412" s="842" t="s">
        <v>667</v>
      </c>
      <c r="B412" s="943" t="s">
        <v>1306</v>
      </c>
      <c r="C412" s="778">
        <f t="shared" si="290"/>
        <v>0.19</v>
      </c>
      <c r="D412" s="844">
        <v>5</v>
      </c>
      <c r="E412" s="844" t="s">
        <v>1205</v>
      </c>
      <c r="F412" s="845">
        <v>43616</v>
      </c>
      <c r="G412" s="781">
        <f t="shared" si="291"/>
        <v>43616</v>
      </c>
      <c r="H412" s="781">
        <f t="shared" si="292"/>
        <v>45441</v>
      </c>
      <c r="I412" s="1359">
        <v>44500</v>
      </c>
      <c r="J412" s="805">
        <f t="shared" si="293"/>
        <v>2225</v>
      </c>
      <c r="K412" s="793"/>
      <c r="L412" s="793">
        <v>0</v>
      </c>
      <c r="M412" s="793">
        <v>0</v>
      </c>
      <c r="N412" s="793">
        <v>0</v>
      </c>
      <c r="O412" s="793">
        <v>0</v>
      </c>
      <c r="P412" s="793">
        <v>0</v>
      </c>
      <c r="Q412" s="793">
        <v>0</v>
      </c>
      <c r="R412" s="793">
        <f t="shared" si="299"/>
        <v>0</v>
      </c>
      <c r="S412" s="793">
        <f t="shared" si="300"/>
        <v>44500</v>
      </c>
      <c r="T412" s="805">
        <f t="shared" si="301"/>
        <v>306</v>
      </c>
      <c r="U412" s="805">
        <f t="shared" si="302"/>
        <v>7069</v>
      </c>
      <c r="V412" s="793">
        <f t="shared" si="303"/>
        <v>7069</v>
      </c>
      <c r="W412" s="793">
        <f t="shared" si="304"/>
        <v>37431</v>
      </c>
      <c r="X412" s="793">
        <f t="shared" si="305"/>
        <v>37431</v>
      </c>
      <c r="Y412" s="805">
        <f t="shared" si="306"/>
        <v>44500</v>
      </c>
      <c r="Z412" s="805">
        <f t="shared" si="307"/>
        <v>365</v>
      </c>
      <c r="AA412" s="805">
        <f t="shared" si="308"/>
        <v>8455</v>
      </c>
      <c r="AB412" s="805">
        <f t="shared" si="309"/>
        <v>15524</v>
      </c>
      <c r="AC412" s="805">
        <f t="shared" si="310"/>
        <v>28976</v>
      </c>
      <c r="AD412" s="793">
        <f t="shared" si="311"/>
        <v>28976</v>
      </c>
      <c r="AE412" s="793">
        <f t="shared" si="312"/>
        <v>44500</v>
      </c>
      <c r="AF412" s="793">
        <f t="shared" si="313"/>
        <v>365</v>
      </c>
      <c r="AG412" s="793">
        <f t="shared" si="314"/>
        <v>8455</v>
      </c>
      <c r="AH412" s="805">
        <f t="shared" si="315"/>
        <v>23979</v>
      </c>
      <c r="AI412" s="805">
        <f t="shared" si="316"/>
        <v>20521</v>
      </c>
      <c r="AJ412" s="793">
        <f t="shared" si="317"/>
        <v>20521</v>
      </c>
      <c r="AK412" s="793">
        <f t="shared" si="318"/>
        <v>44500</v>
      </c>
      <c r="AL412" s="793">
        <f t="shared" si="319"/>
        <v>365</v>
      </c>
      <c r="AM412" s="793">
        <f t="shared" si="320"/>
        <v>8455</v>
      </c>
      <c r="AN412" s="805">
        <f t="shared" si="321"/>
        <v>32434</v>
      </c>
      <c r="AO412" s="805">
        <f t="shared" si="322"/>
        <v>12066</v>
      </c>
      <c r="AP412" s="793">
        <f t="shared" si="323"/>
        <v>12066</v>
      </c>
      <c r="AQ412" s="793">
        <f t="shared" si="324"/>
        <v>44500</v>
      </c>
      <c r="AR412" s="793">
        <f t="shared" si="325"/>
        <v>366</v>
      </c>
      <c r="AS412" s="793">
        <f t="shared" si="326"/>
        <v>8478</v>
      </c>
      <c r="AT412" s="793">
        <f t="shared" si="327"/>
        <v>40912</v>
      </c>
      <c r="AU412" s="793">
        <f t="shared" si="328"/>
        <v>3588</v>
      </c>
      <c r="AV412" s="793">
        <f t="shared" si="329"/>
        <v>3588</v>
      </c>
      <c r="AW412" s="793">
        <f t="shared" si="330"/>
        <v>44500</v>
      </c>
      <c r="AX412" s="793">
        <f t="shared" si="331"/>
        <v>59</v>
      </c>
      <c r="AY412" s="793">
        <f t="shared" si="332"/>
        <v>1367</v>
      </c>
      <c r="AZ412" s="793">
        <f t="shared" si="333"/>
        <v>42279</v>
      </c>
      <c r="BA412" s="793">
        <f t="shared" si="334"/>
        <v>2221</v>
      </c>
    </row>
    <row r="413" spans="1:53" ht="15" customHeight="1" x14ac:dyDescent="0.25">
      <c r="A413" s="842" t="s">
        <v>667</v>
      </c>
      <c r="B413" s="943" t="s">
        <v>1310</v>
      </c>
      <c r="C413" s="778">
        <f t="shared" si="290"/>
        <v>0.19</v>
      </c>
      <c r="D413" s="844">
        <v>5</v>
      </c>
      <c r="E413" s="844" t="s">
        <v>1207</v>
      </c>
      <c r="F413" s="845">
        <v>44012</v>
      </c>
      <c r="G413" s="781">
        <f t="shared" si="291"/>
        <v>44012</v>
      </c>
      <c r="H413" s="781">
        <f t="shared" si="292"/>
        <v>45837</v>
      </c>
      <c r="I413" s="1359">
        <v>17000</v>
      </c>
      <c r="J413" s="805">
        <f t="shared" si="293"/>
        <v>850</v>
      </c>
      <c r="K413" s="793"/>
      <c r="L413" s="793">
        <v>0</v>
      </c>
      <c r="M413" s="793">
        <v>0</v>
      </c>
      <c r="N413" s="793">
        <v>0</v>
      </c>
      <c r="O413" s="793">
        <v>0</v>
      </c>
      <c r="P413" s="793">
        <v>0</v>
      </c>
      <c r="Q413" s="793">
        <v>0</v>
      </c>
      <c r="R413" s="793">
        <v>0</v>
      </c>
      <c r="S413" s="793">
        <v>0</v>
      </c>
      <c r="T413" s="793">
        <v>0</v>
      </c>
      <c r="U413" s="793">
        <v>0</v>
      </c>
      <c r="V413" s="793">
        <v>0</v>
      </c>
      <c r="W413" s="793">
        <v>0</v>
      </c>
      <c r="X413" s="793">
        <v>0</v>
      </c>
      <c r="Y413" s="805">
        <f t="shared" si="306"/>
        <v>17000</v>
      </c>
      <c r="Z413" s="805">
        <f t="shared" si="307"/>
        <v>275</v>
      </c>
      <c r="AA413" s="805">
        <f t="shared" si="308"/>
        <v>2434</v>
      </c>
      <c r="AB413" s="805">
        <f t="shared" si="309"/>
        <v>2434</v>
      </c>
      <c r="AC413" s="805">
        <f t="shared" si="310"/>
        <v>14566</v>
      </c>
      <c r="AD413" s="793">
        <f t="shared" si="311"/>
        <v>14566</v>
      </c>
      <c r="AE413" s="793">
        <f t="shared" si="312"/>
        <v>17000</v>
      </c>
      <c r="AF413" s="793">
        <f t="shared" si="313"/>
        <v>365</v>
      </c>
      <c r="AG413" s="793">
        <f t="shared" si="314"/>
        <v>3230</v>
      </c>
      <c r="AH413" s="805">
        <f t="shared" si="315"/>
        <v>5664</v>
      </c>
      <c r="AI413" s="805">
        <f t="shared" si="316"/>
        <v>11336</v>
      </c>
      <c r="AJ413" s="793">
        <f t="shared" si="317"/>
        <v>11336</v>
      </c>
      <c r="AK413" s="793">
        <f t="shared" si="318"/>
        <v>17000</v>
      </c>
      <c r="AL413" s="793">
        <f t="shared" si="319"/>
        <v>365</v>
      </c>
      <c r="AM413" s="793">
        <f t="shared" si="320"/>
        <v>3230</v>
      </c>
      <c r="AN413" s="805">
        <f t="shared" si="321"/>
        <v>8894</v>
      </c>
      <c r="AO413" s="805">
        <f t="shared" si="322"/>
        <v>8106</v>
      </c>
      <c r="AP413" s="793">
        <f t="shared" si="323"/>
        <v>8106</v>
      </c>
      <c r="AQ413" s="793">
        <f t="shared" si="324"/>
        <v>17000</v>
      </c>
      <c r="AR413" s="793">
        <f t="shared" si="325"/>
        <v>366</v>
      </c>
      <c r="AS413" s="793">
        <f t="shared" si="326"/>
        <v>3239</v>
      </c>
      <c r="AT413" s="793">
        <f t="shared" si="327"/>
        <v>12133</v>
      </c>
      <c r="AU413" s="793">
        <f t="shared" si="328"/>
        <v>4867</v>
      </c>
      <c r="AV413" s="793">
        <f t="shared" si="329"/>
        <v>4867</v>
      </c>
      <c r="AW413" s="793">
        <f t="shared" si="330"/>
        <v>17000</v>
      </c>
      <c r="AX413" s="793">
        <f t="shared" si="331"/>
        <v>365</v>
      </c>
      <c r="AY413" s="793">
        <f t="shared" si="332"/>
        <v>3230</v>
      </c>
      <c r="AZ413" s="793">
        <f t="shared" si="333"/>
        <v>15363</v>
      </c>
      <c r="BA413" s="793">
        <f t="shared" si="334"/>
        <v>1637</v>
      </c>
    </row>
    <row r="414" spans="1:53" ht="15" customHeight="1" x14ac:dyDescent="0.25">
      <c r="A414" s="842" t="s">
        <v>667</v>
      </c>
      <c r="B414" s="943" t="s">
        <v>1310</v>
      </c>
      <c r="C414" s="778">
        <f t="shared" si="290"/>
        <v>0.19</v>
      </c>
      <c r="D414" s="844">
        <v>5</v>
      </c>
      <c r="E414" s="844" t="s">
        <v>1207</v>
      </c>
      <c r="F414" s="845">
        <v>44054</v>
      </c>
      <c r="G414" s="781">
        <f t="shared" si="291"/>
        <v>44054</v>
      </c>
      <c r="H414" s="781">
        <f t="shared" si="292"/>
        <v>45879</v>
      </c>
      <c r="I414" s="1359">
        <v>8999</v>
      </c>
      <c r="J414" s="805">
        <f t="shared" si="293"/>
        <v>449.95000000000005</v>
      </c>
      <c r="K414" s="793"/>
      <c r="L414" s="793">
        <v>0</v>
      </c>
      <c r="M414" s="793">
        <v>0</v>
      </c>
      <c r="N414" s="793">
        <v>0</v>
      </c>
      <c r="O414" s="793">
        <v>0</v>
      </c>
      <c r="P414" s="793">
        <v>0</v>
      </c>
      <c r="Q414" s="793">
        <v>0</v>
      </c>
      <c r="R414" s="793">
        <v>0</v>
      </c>
      <c r="S414" s="793">
        <v>0</v>
      </c>
      <c r="T414" s="793">
        <v>0</v>
      </c>
      <c r="U414" s="793">
        <v>0</v>
      </c>
      <c r="V414" s="793">
        <v>0</v>
      </c>
      <c r="W414" s="793">
        <v>0</v>
      </c>
      <c r="X414" s="793">
        <v>0</v>
      </c>
      <c r="Y414" s="805">
        <f t="shared" si="306"/>
        <v>8999</v>
      </c>
      <c r="Z414" s="805">
        <f t="shared" si="307"/>
        <v>233</v>
      </c>
      <c r="AA414" s="805">
        <f t="shared" si="308"/>
        <v>1091</v>
      </c>
      <c r="AB414" s="805">
        <f t="shared" si="309"/>
        <v>1091</v>
      </c>
      <c r="AC414" s="805">
        <f t="shared" si="310"/>
        <v>7908</v>
      </c>
      <c r="AD414" s="793">
        <f t="shared" si="311"/>
        <v>7908</v>
      </c>
      <c r="AE414" s="793">
        <f t="shared" si="312"/>
        <v>8999</v>
      </c>
      <c r="AF414" s="793">
        <f t="shared" si="313"/>
        <v>365</v>
      </c>
      <c r="AG414" s="793">
        <f t="shared" si="314"/>
        <v>1710</v>
      </c>
      <c r="AH414" s="805">
        <f t="shared" si="315"/>
        <v>2801</v>
      </c>
      <c r="AI414" s="805">
        <f t="shared" si="316"/>
        <v>6198</v>
      </c>
      <c r="AJ414" s="793">
        <f t="shared" si="317"/>
        <v>6198</v>
      </c>
      <c r="AK414" s="793">
        <f t="shared" si="318"/>
        <v>8999</v>
      </c>
      <c r="AL414" s="793">
        <f t="shared" si="319"/>
        <v>365</v>
      </c>
      <c r="AM414" s="793">
        <f t="shared" si="320"/>
        <v>1710</v>
      </c>
      <c r="AN414" s="805">
        <f t="shared" si="321"/>
        <v>4511</v>
      </c>
      <c r="AO414" s="805">
        <f t="shared" si="322"/>
        <v>4488</v>
      </c>
      <c r="AP414" s="793">
        <f t="shared" si="323"/>
        <v>4488</v>
      </c>
      <c r="AQ414" s="793">
        <f t="shared" si="324"/>
        <v>8999</v>
      </c>
      <c r="AR414" s="793">
        <f t="shared" si="325"/>
        <v>366</v>
      </c>
      <c r="AS414" s="793">
        <f t="shared" si="326"/>
        <v>1714</v>
      </c>
      <c r="AT414" s="793">
        <f t="shared" si="327"/>
        <v>6225</v>
      </c>
      <c r="AU414" s="793">
        <f t="shared" si="328"/>
        <v>2774</v>
      </c>
      <c r="AV414" s="793">
        <f t="shared" si="329"/>
        <v>2774</v>
      </c>
      <c r="AW414" s="793">
        <f t="shared" si="330"/>
        <v>8999</v>
      </c>
      <c r="AX414" s="793">
        <f t="shared" si="331"/>
        <v>365</v>
      </c>
      <c r="AY414" s="793">
        <f t="shared" si="332"/>
        <v>1710</v>
      </c>
      <c r="AZ414" s="793">
        <f t="shared" si="333"/>
        <v>7935</v>
      </c>
      <c r="BA414" s="793">
        <f t="shared" si="334"/>
        <v>1064</v>
      </c>
    </row>
    <row r="415" spans="1:53" ht="15" customHeight="1" x14ac:dyDescent="0.25">
      <c r="A415" s="842" t="s">
        <v>667</v>
      </c>
      <c r="B415" s="943" t="s">
        <v>1311</v>
      </c>
      <c r="C415" s="778">
        <f t="shared" si="290"/>
        <v>0.19</v>
      </c>
      <c r="D415" s="844">
        <v>5</v>
      </c>
      <c r="E415" s="844" t="s">
        <v>723</v>
      </c>
      <c r="F415" s="845">
        <v>44363</v>
      </c>
      <c r="G415" s="781">
        <f t="shared" si="291"/>
        <v>44363</v>
      </c>
      <c r="H415" s="781">
        <f t="shared" si="292"/>
        <v>46188</v>
      </c>
      <c r="I415" s="1359">
        <f>7458</f>
        <v>7458</v>
      </c>
      <c r="J415" s="805">
        <f t="shared" si="293"/>
        <v>372.90000000000003</v>
      </c>
      <c r="K415" s="793"/>
      <c r="L415" s="793">
        <v>0</v>
      </c>
      <c r="M415" s="793">
        <v>0</v>
      </c>
      <c r="N415" s="793">
        <v>0</v>
      </c>
      <c r="O415" s="793">
        <v>0</v>
      </c>
      <c r="P415" s="793">
        <v>0</v>
      </c>
      <c r="Q415" s="793">
        <v>0</v>
      </c>
      <c r="R415" s="793">
        <v>0</v>
      </c>
      <c r="S415" s="793">
        <v>0</v>
      </c>
      <c r="T415" s="793">
        <v>0</v>
      </c>
      <c r="U415" s="793">
        <v>0</v>
      </c>
      <c r="V415" s="793">
        <v>0</v>
      </c>
      <c r="W415" s="793">
        <v>0</v>
      </c>
      <c r="X415" s="793">
        <v>0</v>
      </c>
      <c r="Y415" s="793">
        <v>0</v>
      </c>
      <c r="Z415" s="793">
        <v>0</v>
      </c>
      <c r="AA415" s="793">
        <v>0</v>
      </c>
      <c r="AB415" s="793">
        <v>0</v>
      </c>
      <c r="AC415" s="793">
        <v>0</v>
      </c>
      <c r="AD415" s="793">
        <f t="shared" si="311"/>
        <v>0</v>
      </c>
      <c r="AE415" s="793">
        <f t="shared" si="312"/>
        <v>7458</v>
      </c>
      <c r="AF415" s="793">
        <f t="shared" si="313"/>
        <v>289</v>
      </c>
      <c r="AG415" s="793">
        <f t="shared" si="314"/>
        <v>1122</v>
      </c>
      <c r="AH415" s="805">
        <f t="shared" si="315"/>
        <v>1122</v>
      </c>
      <c r="AI415" s="805">
        <f t="shared" si="316"/>
        <v>6336</v>
      </c>
      <c r="AJ415" s="793">
        <f t="shared" si="317"/>
        <v>6336</v>
      </c>
      <c r="AK415" s="793">
        <f t="shared" si="318"/>
        <v>7458</v>
      </c>
      <c r="AL415" s="793">
        <f t="shared" si="319"/>
        <v>365</v>
      </c>
      <c r="AM415" s="793">
        <f t="shared" si="320"/>
        <v>1417</v>
      </c>
      <c r="AN415" s="805">
        <f t="shared" si="321"/>
        <v>2539</v>
      </c>
      <c r="AO415" s="805">
        <f t="shared" si="322"/>
        <v>4919</v>
      </c>
      <c r="AP415" s="793">
        <f t="shared" si="323"/>
        <v>4919</v>
      </c>
      <c r="AQ415" s="793">
        <f t="shared" si="324"/>
        <v>7458</v>
      </c>
      <c r="AR415" s="793">
        <f t="shared" si="325"/>
        <v>366</v>
      </c>
      <c r="AS415" s="793">
        <f t="shared" si="326"/>
        <v>1421</v>
      </c>
      <c r="AT415" s="793">
        <f t="shared" si="327"/>
        <v>3960</v>
      </c>
      <c r="AU415" s="793">
        <f t="shared" si="328"/>
        <v>3498</v>
      </c>
      <c r="AV415" s="793">
        <f t="shared" si="329"/>
        <v>3498</v>
      </c>
      <c r="AW415" s="793">
        <f t="shared" si="330"/>
        <v>7458</v>
      </c>
      <c r="AX415" s="793">
        <f t="shared" si="331"/>
        <v>365</v>
      </c>
      <c r="AY415" s="793">
        <f t="shared" si="332"/>
        <v>1417</v>
      </c>
      <c r="AZ415" s="793">
        <f t="shared" si="333"/>
        <v>5377</v>
      </c>
      <c r="BA415" s="793">
        <f t="shared" si="334"/>
        <v>2081</v>
      </c>
    </row>
    <row r="416" spans="1:53" ht="15" customHeight="1" x14ac:dyDescent="0.25">
      <c r="A416" s="842" t="s">
        <v>667</v>
      </c>
      <c r="B416" s="943" t="s">
        <v>1306</v>
      </c>
      <c r="C416" s="778">
        <f t="shared" si="290"/>
        <v>0.19</v>
      </c>
      <c r="D416" s="844">
        <v>5</v>
      </c>
      <c r="E416" s="844" t="s">
        <v>723</v>
      </c>
      <c r="F416" s="845">
        <v>44406</v>
      </c>
      <c r="G416" s="781">
        <f t="shared" si="291"/>
        <v>44406</v>
      </c>
      <c r="H416" s="781">
        <f t="shared" si="292"/>
        <v>46231</v>
      </c>
      <c r="I416" s="1359">
        <f>60579.86</f>
        <v>60579.86</v>
      </c>
      <c r="J416" s="805">
        <f t="shared" si="293"/>
        <v>3028.9930000000004</v>
      </c>
      <c r="K416" s="793"/>
      <c r="L416" s="793">
        <v>0</v>
      </c>
      <c r="M416" s="793">
        <v>0</v>
      </c>
      <c r="N416" s="793">
        <v>0</v>
      </c>
      <c r="O416" s="793">
        <v>0</v>
      </c>
      <c r="P416" s="793">
        <v>0</v>
      </c>
      <c r="Q416" s="793">
        <v>0</v>
      </c>
      <c r="R416" s="793">
        <v>0</v>
      </c>
      <c r="S416" s="793">
        <v>0</v>
      </c>
      <c r="T416" s="793">
        <v>0</v>
      </c>
      <c r="U416" s="793">
        <v>0</v>
      </c>
      <c r="V416" s="793">
        <v>0</v>
      </c>
      <c r="W416" s="793">
        <v>0</v>
      </c>
      <c r="X416" s="793">
        <v>0</v>
      </c>
      <c r="Y416" s="793">
        <v>0</v>
      </c>
      <c r="Z416" s="793">
        <v>0</v>
      </c>
      <c r="AA416" s="793">
        <v>0</v>
      </c>
      <c r="AB416" s="793">
        <v>0</v>
      </c>
      <c r="AC416" s="793">
        <v>0</v>
      </c>
      <c r="AD416" s="793">
        <f t="shared" si="311"/>
        <v>0</v>
      </c>
      <c r="AE416" s="793">
        <f t="shared" si="312"/>
        <v>60579.86</v>
      </c>
      <c r="AF416" s="793">
        <f t="shared" si="313"/>
        <v>246</v>
      </c>
      <c r="AG416" s="793">
        <f t="shared" si="314"/>
        <v>7758</v>
      </c>
      <c r="AH416" s="805">
        <f t="shared" si="315"/>
        <v>7758</v>
      </c>
      <c r="AI416" s="805">
        <f t="shared" si="316"/>
        <v>52821.86</v>
      </c>
      <c r="AJ416" s="793">
        <f t="shared" si="317"/>
        <v>52821.86</v>
      </c>
      <c r="AK416" s="793">
        <f t="shared" si="318"/>
        <v>60579.86</v>
      </c>
      <c r="AL416" s="793">
        <f t="shared" si="319"/>
        <v>365</v>
      </c>
      <c r="AM416" s="793">
        <f t="shared" si="320"/>
        <v>11510</v>
      </c>
      <c r="AN416" s="805">
        <f t="shared" si="321"/>
        <v>19268</v>
      </c>
      <c r="AO416" s="805">
        <f t="shared" si="322"/>
        <v>41311.86</v>
      </c>
      <c r="AP416" s="793">
        <f t="shared" si="323"/>
        <v>41311.86</v>
      </c>
      <c r="AQ416" s="793">
        <f t="shared" si="324"/>
        <v>60579.86</v>
      </c>
      <c r="AR416" s="793">
        <f t="shared" si="325"/>
        <v>366</v>
      </c>
      <c r="AS416" s="793">
        <f t="shared" si="326"/>
        <v>11542</v>
      </c>
      <c r="AT416" s="793">
        <f t="shared" si="327"/>
        <v>30810</v>
      </c>
      <c r="AU416" s="793">
        <f t="shared" si="328"/>
        <v>29769.86</v>
      </c>
      <c r="AV416" s="793">
        <f t="shared" si="329"/>
        <v>29769.86</v>
      </c>
      <c r="AW416" s="793">
        <f t="shared" si="330"/>
        <v>60579.86</v>
      </c>
      <c r="AX416" s="793">
        <f t="shared" si="331"/>
        <v>365</v>
      </c>
      <c r="AY416" s="793">
        <f t="shared" si="332"/>
        <v>11510</v>
      </c>
      <c r="AZ416" s="793">
        <f t="shared" si="333"/>
        <v>42320</v>
      </c>
      <c r="BA416" s="793">
        <f t="shared" si="334"/>
        <v>18259.86</v>
      </c>
    </row>
    <row r="417" spans="1:53" ht="15" customHeight="1" x14ac:dyDescent="0.25">
      <c r="A417" s="842" t="s">
        <v>667</v>
      </c>
      <c r="B417" s="943" t="s">
        <v>1306</v>
      </c>
      <c r="C417" s="778">
        <f t="shared" si="290"/>
        <v>0.19</v>
      </c>
      <c r="D417" s="844">
        <v>5</v>
      </c>
      <c r="E417" s="844" t="s">
        <v>723</v>
      </c>
      <c r="F417" s="845">
        <v>44429</v>
      </c>
      <c r="G417" s="781">
        <f t="shared" si="291"/>
        <v>44429</v>
      </c>
      <c r="H417" s="781">
        <f t="shared" si="292"/>
        <v>46254</v>
      </c>
      <c r="I417" s="1359">
        <f>30112</f>
        <v>30112</v>
      </c>
      <c r="J417" s="805">
        <f t="shared" si="293"/>
        <v>1505.6000000000001</v>
      </c>
      <c r="K417" s="793"/>
      <c r="L417" s="793">
        <v>0</v>
      </c>
      <c r="M417" s="793">
        <v>0</v>
      </c>
      <c r="N417" s="793">
        <v>0</v>
      </c>
      <c r="O417" s="793">
        <v>0</v>
      </c>
      <c r="P417" s="793">
        <v>0</v>
      </c>
      <c r="Q417" s="793">
        <v>0</v>
      </c>
      <c r="R417" s="793">
        <v>0</v>
      </c>
      <c r="S417" s="793">
        <v>0</v>
      </c>
      <c r="T417" s="793">
        <v>0</v>
      </c>
      <c r="U417" s="793">
        <v>0</v>
      </c>
      <c r="V417" s="793">
        <v>0</v>
      </c>
      <c r="W417" s="793">
        <v>0</v>
      </c>
      <c r="X417" s="793">
        <v>0</v>
      </c>
      <c r="Y417" s="793">
        <v>0</v>
      </c>
      <c r="Z417" s="793">
        <v>0</v>
      </c>
      <c r="AA417" s="793">
        <v>0</v>
      </c>
      <c r="AB417" s="793">
        <v>0</v>
      </c>
      <c r="AC417" s="793">
        <v>0</v>
      </c>
      <c r="AD417" s="793">
        <f t="shared" si="311"/>
        <v>0</v>
      </c>
      <c r="AE417" s="793">
        <f t="shared" si="312"/>
        <v>30112</v>
      </c>
      <c r="AF417" s="793">
        <f t="shared" si="313"/>
        <v>223</v>
      </c>
      <c r="AG417" s="793">
        <f t="shared" si="314"/>
        <v>3495</v>
      </c>
      <c r="AH417" s="805">
        <f t="shared" si="315"/>
        <v>3495</v>
      </c>
      <c r="AI417" s="805">
        <f t="shared" si="316"/>
        <v>26617</v>
      </c>
      <c r="AJ417" s="793">
        <f t="shared" si="317"/>
        <v>26617</v>
      </c>
      <c r="AK417" s="793">
        <f t="shared" si="318"/>
        <v>30112</v>
      </c>
      <c r="AL417" s="793">
        <f t="shared" si="319"/>
        <v>365</v>
      </c>
      <c r="AM417" s="793">
        <f t="shared" si="320"/>
        <v>5721</v>
      </c>
      <c r="AN417" s="805">
        <f t="shared" si="321"/>
        <v>9216</v>
      </c>
      <c r="AO417" s="805">
        <f t="shared" si="322"/>
        <v>20896</v>
      </c>
      <c r="AP417" s="793">
        <f t="shared" si="323"/>
        <v>20896</v>
      </c>
      <c r="AQ417" s="793">
        <f t="shared" si="324"/>
        <v>30112</v>
      </c>
      <c r="AR417" s="793">
        <f t="shared" si="325"/>
        <v>366</v>
      </c>
      <c r="AS417" s="793">
        <f t="shared" si="326"/>
        <v>5737</v>
      </c>
      <c r="AT417" s="793">
        <f t="shared" si="327"/>
        <v>14953</v>
      </c>
      <c r="AU417" s="793">
        <f t="shared" si="328"/>
        <v>15159</v>
      </c>
      <c r="AV417" s="793">
        <f t="shared" si="329"/>
        <v>15159</v>
      </c>
      <c r="AW417" s="793">
        <f t="shared" si="330"/>
        <v>30112</v>
      </c>
      <c r="AX417" s="793">
        <f t="shared" si="331"/>
        <v>365</v>
      </c>
      <c r="AY417" s="793">
        <f t="shared" si="332"/>
        <v>5721</v>
      </c>
      <c r="AZ417" s="793">
        <f t="shared" si="333"/>
        <v>20674</v>
      </c>
      <c r="BA417" s="793">
        <f t="shared" si="334"/>
        <v>9438</v>
      </c>
    </row>
    <row r="418" spans="1:53" ht="15" customHeight="1" x14ac:dyDescent="0.25">
      <c r="A418" s="842" t="s">
        <v>667</v>
      </c>
      <c r="B418" s="943" t="s">
        <v>1312</v>
      </c>
      <c r="C418" s="778">
        <f t="shared" si="290"/>
        <v>0.19</v>
      </c>
      <c r="D418" s="844">
        <v>5</v>
      </c>
      <c r="E418" s="844" t="s">
        <v>723</v>
      </c>
      <c r="F418" s="845">
        <v>44558</v>
      </c>
      <c r="G418" s="781">
        <f t="shared" si="291"/>
        <v>44558</v>
      </c>
      <c r="H418" s="781">
        <f t="shared" si="292"/>
        <v>46383</v>
      </c>
      <c r="I418" s="1359">
        <f>14350+23600</f>
        <v>37950</v>
      </c>
      <c r="J418" s="805">
        <f t="shared" si="293"/>
        <v>1897.5</v>
      </c>
      <c r="K418" s="793"/>
      <c r="L418" s="793">
        <v>0</v>
      </c>
      <c r="M418" s="793">
        <v>0</v>
      </c>
      <c r="N418" s="793">
        <v>0</v>
      </c>
      <c r="O418" s="793">
        <v>0</v>
      </c>
      <c r="P418" s="793">
        <v>0</v>
      </c>
      <c r="Q418" s="793">
        <v>0</v>
      </c>
      <c r="R418" s="793">
        <v>0</v>
      </c>
      <c r="S418" s="793">
        <v>0</v>
      </c>
      <c r="T418" s="793">
        <v>0</v>
      </c>
      <c r="U418" s="793">
        <v>0</v>
      </c>
      <c r="V418" s="793">
        <v>0</v>
      </c>
      <c r="W418" s="793">
        <v>0</v>
      </c>
      <c r="X418" s="793">
        <v>0</v>
      </c>
      <c r="Y418" s="793">
        <v>0</v>
      </c>
      <c r="Z418" s="793">
        <v>0</v>
      </c>
      <c r="AA418" s="793">
        <v>0</v>
      </c>
      <c r="AB418" s="793">
        <v>0</v>
      </c>
      <c r="AC418" s="793">
        <v>0</v>
      </c>
      <c r="AD418" s="793">
        <f t="shared" si="311"/>
        <v>0</v>
      </c>
      <c r="AE418" s="793">
        <f t="shared" si="312"/>
        <v>37950</v>
      </c>
      <c r="AF418" s="793">
        <f t="shared" si="313"/>
        <v>94</v>
      </c>
      <c r="AG418" s="793">
        <f t="shared" si="314"/>
        <v>1857</v>
      </c>
      <c r="AH418" s="805">
        <f t="shared" si="315"/>
        <v>1857</v>
      </c>
      <c r="AI418" s="805">
        <f t="shared" si="316"/>
        <v>36093</v>
      </c>
      <c r="AJ418" s="793">
        <f t="shared" si="317"/>
        <v>36093</v>
      </c>
      <c r="AK418" s="793">
        <f t="shared" si="318"/>
        <v>37950</v>
      </c>
      <c r="AL418" s="793">
        <f t="shared" si="319"/>
        <v>365</v>
      </c>
      <c r="AM418" s="793">
        <f t="shared" si="320"/>
        <v>7211</v>
      </c>
      <c r="AN418" s="805">
        <f t="shared" si="321"/>
        <v>9068</v>
      </c>
      <c r="AO418" s="805">
        <f t="shared" si="322"/>
        <v>28882</v>
      </c>
      <c r="AP418" s="793">
        <f t="shared" si="323"/>
        <v>28882</v>
      </c>
      <c r="AQ418" s="793">
        <f t="shared" si="324"/>
        <v>37950</v>
      </c>
      <c r="AR418" s="793">
        <f t="shared" si="325"/>
        <v>366</v>
      </c>
      <c r="AS418" s="793">
        <f t="shared" si="326"/>
        <v>7230</v>
      </c>
      <c r="AT418" s="793">
        <f t="shared" si="327"/>
        <v>16298</v>
      </c>
      <c r="AU418" s="793">
        <f t="shared" si="328"/>
        <v>21652</v>
      </c>
      <c r="AV418" s="793">
        <f t="shared" si="329"/>
        <v>21652</v>
      </c>
      <c r="AW418" s="793">
        <f t="shared" si="330"/>
        <v>37950</v>
      </c>
      <c r="AX418" s="793">
        <f t="shared" si="331"/>
        <v>365</v>
      </c>
      <c r="AY418" s="793">
        <f t="shared" si="332"/>
        <v>7211</v>
      </c>
      <c r="AZ418" s="793">
        <f t="shared" si="333"/>
        <v>23509</v>
      </c>
      <c r="BA418" s="793">
        <f t="shared" si="334"/>
        <v>14441</v>
      </c>
    </row>
    <row r="419" spans="1:53" ht="15" customHeight="1" x14ac:dyDescent="0.25">
      <c r="A419" s="842" t="s">
        <v>667</v>
      </c>
      <c r="B419" s="943" t="s">
        <v>216</v>
      </c>
      <c r="C419" s="778">
        <f t="shared" si="290"/>
        <v>0.19</v>
      </c>
      <c r="D419" s="844">
        <v>5</v>
      </c>
      <c r="E419" s="844" t="s">
        <v>723</v>
      </c>
      <c r="F419" s="845">
        <v>44641</v>
      </c>
      <c r="G419" s="781">
        <f t="shared" si="291"/>
        <v>44641</v>
      </c>
      <c r="H419" s="781">
        <f t="shared" si="292"/>
        <v>46466</v>
      </c>
      <c r="I419" s="1359">
        <v>37300</v>
      </c>
      <c r="J419" s="805">
        <f t="shared" si="293"/>
        <v>1865</v>
      </c>
      <c r="K419" s="793"/>
      <c r="L419" s="793">
        <v>0</v>
      </c>
      <c r="M419" s="793">
        <v>0</v>
      </c>
      <c r="N419" s="793">
        <v>0</v>
      </c>
      <c r="O419" s="793">
        <v>0</v>
      </c>
      <c r="P419" s="793">
        <v>0</v>
      </c>
      <c r="Q419" s="793">
        <v>0</v>
      </c>
      <c r="R419" s="793">
        <v>0</v>
      </c>
      <c r="S419" s="793">
        <v>0</v>
      </c>
      <c r="T419" s="793">
        <v>0</v>
      </c>
      <c r="U419" s="793">
        <v>0</v>
      </c>
      <c r="V419" s="793">
        <v>0</v>
      </c>
      <c r="W419" s="793">
        <v>0</v>
      </c>
      <c r="X419" s="793">
        <v>0</v>
      </c>
      <c r="Y419" s="793">
        <v>0</v>
      </c>
      <c r="Z419" s="793">
        <v>0</v>
      </c>
      <c r="AA419" s="793">
        <v>0</v>
      </c>
      <c r="AB419" s="793">
        <v>0</v>
      </c>
      <c r="AC419" s="793">
        <v>0</v>
      </c>
      <c r="AD419" s="793">
        <f t="shared" si="311"/>
        <v>0</v>
      </c>
      <c r="AE419" s="793">
        <f t="shared" si="312"/>
        <v>37300</v>
      </c>
      <c r="AF419" s="793">
        <f t="shared" si="313"/>
        <v>11</v>
      </c>
      <c r="AG419" s="793">
        <f t="shared" si="314"/>
        <v>214</v>
      </c>
      <c r="AH419" s="805">
        <f t="shared" si="315"/>
        <v>214</v>
      </c>
      <c r="AI419" s="805">
        <f t="shared" si="316"/>
        <v>37086</v>
      </c>
      <c r="AJ419" s="793">
        <f t="shared" si="317"/>
        <v>37086</v>
      </c>
      <c r="AK419" s="793">
        <f t="shared" si="318"/>
        <v>37300</v>
      </c>
      <c r="AL419" s="793">
        <f t="shared" si="319"/>
        <v>365</v>
      </c>
      <c r="AM419" s="793">
        <f t="shared" si="320"/>
        <v>7087</v>
      </c>
      <c r="AN419" s="805">
        <f t="shared" si="321"/>
        <v>7301</v>
      </c>
      <c r="AO419" s="805">
        <f t="shared" si="322"/>
        <v>29999</v>
      </c>
      <c r="AP419" s="793">
        <f t="shared" si="323"/>
        <v>29999</v>
      </c>
      <c r="AQ419" s="793">
        <f t="shared" si="324"/>
        <v>37300</v>
      </c>
      <c r="AR419" s="793">
        <f t="shared" si="325"/>
        <v>366</v>
      </c>
      <c r="AS419" s="793">
        <f t="shared" si="326"/>
        <v>7106</v>
      </c>
      <c r="AT419" s="793">
        <f t="shared" si="327"/>
        <v>14407</v>
      </c>
      <c r="AU419" s="793">
        <f t="shared" si="328"/>
        <v>22893</v>
      </c>
      <c r="AV419" s="793">
        <f t="shared" si="329"/>
        <v>22893</v>
      </c>
      <c r="AW419" s="793">
        <f t="shared" si="330"/>
        <v>37300</v>
      </c>
      <c r="AX419" s="793">
        <f t="shared" si="331"/>
        <v>365</v>
      </c>
      <c r="AY419" s="793">
        <f t="shared" si="332"/>
        <v>7087</v>
      </c>
      <c r="AZ419" s="793">
        <f t="shared" si="333"/>
        <v>21494</v>
      </c>
      <c r="BA419" s="793">
        <f t="shared" si="334"/>
        <v>15806</v>
      </c>
    </row>
    <row r="420" spans="1:53" ht="15" customHeight="1" x14ac:dyDescent="0.25">
      <c r="A420" s="842" t="s">
        <v>667</v>
      </c>
      <c r="B420" s="943" t="s">
        <v>1306</v>
      </c>
      <c r="C420" s="778">
        <f t="shared" si="290"/>
        <v>0.19</v>
      </c>
      <c r="D420" s="844">
        <v>5</v>
      </c>
      <c r="E420" s="844" t="s">
        <v>723</v>
      </c>
      <c r="F420" s="845">
        <v>44490</v>
      </c>
      <c r="G420" s="781">
        <f t="shared" si="291"/>
        <v>44490</v>
      </c>
      <c r="H420" s="781">
        <f t="shared" si="292"/>
        <v>46315</v>
      </c>
      <c r="I420" s="1359">
        <f>594885.92-8828</f>
        <v>586057.92000000004</v>
      </c>
      <c r="J420" s="805">
        <f t="shared" si="293"/>
        <v>29302.896000000004</v>
      </c>
      <c r="K420" s="793"/>
      <c r="L420" s="793">
        <v>0</v>
      </c>
      <c r="M420" s="793">
        <v>0</v>
      </c>
      <c r="N420" s="793">
        <v>0</v>
      </c>
      <c r="O420" s="793">
        <v>0</v>
      </c>
      <c r="P420" s="793">
        <v>0</v>
      </c>
      <c r="Q420" s="793">
        <v>0</v>
      </c>
      <c r="R420" s="793">
        <v>0</v>
      </c>
      <c r="S420" s="793">
        <v>0</v>
      </c>
      <c r="T420" s="793">
        <v>0</v>
      </c>
      <c r="U420" s="793">
        <v>0</v>
      </c>
      <c r="V420" s="793">
        <v>0</v>
      </c>
      <c r="W420" s="793">
        <v>0</v>
      </c>
      <c r="X420" s="793">
        <v>0</v>
      </c>
      <c r="Y420" s="793">
        <v>0</v>
      </c>
      <c r="Z420" s="793">
        <v>0</v>
      </c>
      <c r="AA420" s="793">
        <v>0</v>
      </c>
      <c r="AB420" s="793">
        <v>0</v>
      </c>
      <c r="AC420" s="793">
        <v>0</v>
      </c>
      <c r="AD420" s="793">
        <f t="shared" si="311"/>
        <v>0</v>
      </c>
      <c r="AE420" s="793">
        <f t="shared" si="312"/>
        <v>586057.92000000004</v>
      </c>
      <c r="AF420" s="793">
        <f t="shared" si="313"/>
        <v>162</v>
      </c>
      <c r="AG420" s="793">
        <f t="shared" si="314"/>
        <v>49422</v>
      </c>
      <c r="AH420" s="805">
        <f t="shared" si="315"/>
        <v>49422</v>
      </c>
      <c r="AI420" s="805">
        <f t="shared" si="316"/>
        <v>536635.92000000004</v>
      </c>
      <c r="AJ420" s="793">
        <f t="shared" si="317"/>
        <v>536635.92000000004</v>
      </c>
      <c r="AK420" s="793">
        <f t="shared" si="318"/>
        <v>586057.92000000004</v>
      </c>
      <c r="AL420" s="793">
        <f t="shared" si="319"/>
        <v>365</v>
      </c>
      <c r="AM420" s="793">
        <f t="shared" si="320"/>
        <v>111351</v>
      </c>
      <c r="AN420" s="805">
        <f t="shared" si="321"/>
        <v>160773</v>
      </c>
      <c r="AO420" s="805">
        <f t="shared" si="322"/>
        <v>425284.92000000004</v>
      </c>
      <c r="AP420" s="793">
        <f t="shared" si="323"/>
        <v>425284.92000000004</v>
      </c>
      <c r="AQ420" s="793">
        <f t="shared" si="324"/>
        <v>586057.92000000004</v>
      </c>
      <c r="AR420" s="793">
        <f t="shared" si="325"/>
        <v>366</v>
      </c>
      <c r="AS420" s="793">
        <f t="shared" si="326"/>
        <v>111656</v>
      </c>
      <c r="AT420" s="793">
        <f t="shared" si="327"/>
        <v>272429</v>
      </c>
      <c r="AU420" s="793">
        <f t="shared" si="328"/>
        <v>313628.92000000004</v>
      </c>
      <c r="AV420" s="793">
        <f t="shared" si="329"/>
        <v>313628.92000000004</v>
      </c>
      <c r="AW420" s="793">
        <f t="shared" si="330"/>
        <v>586057.92000000004</v>
      </c>
      <c r="AX420" s="793">
        <f t="shared" si="331"/>
        <v>365</v>
      </c>
      <c r="AY420" s="793">
        <f t="shared" si="332"/>
        <v>111351</v>
      </c>
      <c r="AZ420" s="793">
        <f t="shared" si="333"/>
        <v>383780</v>
      </c>
      <c r="BA420" s="793">
        <f t="shared" si="334"/>
        <v>202277.92000000004</v>
      </c>
    </row>
    <row r="421" spans="1:53" ht="15" customHeight="1" x14ac:dyDescent="0.25">
      <c r="A421" s="842" t="s">
        <v>667</v>
      </c>
      <c r="B421" s="943" t="s">
        <v>1306</v>
      </c>
      <c r="C421" s="778">
        <f t="shared" si="290"/>
        <v>0.19</v>
      </c>
      <c r="D421" s="844">
        <v>5</v>
      </c>
      <c r="E421" s="844" t="s">
        <v>723</v>
      </c>
      <c r="F421" s="845">
        <v>44526</v>
      </c>
      <c r="G421" s="781">
        <f t="shared" si="291"/>
        <v>44526</v>
      </c>
      <c r="H421" s="781">
        <f t="shared" si="292"/>
        <v>46351</v>
      </c>
      <c r="I421" s="1359">
        <v>14700</v>
      </c>
      <c r="J421" s="805">
        <f t="shared" si="293"/>
        <v>735</v>
      </c>
      <c r="K421" s="793"/>
      <c r="L421" s="793">
        <v>0</v>
      </c>
      <c r="M421" s="793">
        <v>0</v>
      </c>
      <c r="N421" s="793">
        <v>0</v>
      </c>
      <c r="O421" s="793">
        <v>0</v>
      </c>
      <c r="P421" s="793">
        <v>0</v>
      </c>
      <c r="Q421" s="793">
        <v>0</v>
      </c>
      <c r="R421" s="793">
        <v>0</v>
      </c>
      <c r="S421" s="793">
        <v>0</v>
      </c>
      <c r="T421" s="793">
        <v>0</v>
      </c>
      <c r="U421" s="793">
        <v>0</v>
      </c>
      <c r="V421" s="793">
        <v>0</v>
      </c>
      <c r="W421" s="793">
        <v>0</v>
      </c>
      <c r="X421" s="793">
        <v>0</v>
      </c>
      <c r="Y421" s="793">
        <v>0</v>
      </c>
      <c r="Z421" s="793">
        <v>0</v>
      </c>
      <c r="AA421" s="793">
        <v>0</v>
      </c>
      <c r="AB421" s="793">
        <v>0</v>
      </c>
      <c r="AC421" s="793">
        <v>0</v>
      </c>
      <c r="AD421" s="793">
        <f t="shared" si="311"/>
        <v>0</v>
      </c>
      <c r="AE421" s="793">
        <f t="shared" si="312"/>
        <v>14700</v>
      </c>
      <c r="AF421" s="793">
        <f t="shared" si="313"/>
        <v>126</v>
      </c>
      <c r="AG421" s="793">
        <f t="shared" si="314"/>
        <v>964</v>
      </c>
      <c r="AH421" s="805">
        <f t="shared" si="315"/>
        <v>964</v>
      </c>
      <c r="AI421" s="805">
        <f t="shared" si="316"/>
        <v>13736</v>
      </c>
      <c r="AJ421" s="793">
        <f t="shared" si="317"/>
        <v>13736</v>
      </c>
      <c r="AK421" s="793">
        <f t="shared" si="318"/>
        <v>14700</v>
      </c>
      <c r="AL421" s="793">
        <f t="shared" si="319"/>
        <v>365</v>
      </c>
      <c r="AM421" s="793">
        <f t="shared" si="320"/>
        <v>2793</v>
      </c>
      <c r="AN421" s="805">
        <f t="shared" si="321"/>
        <v>3757</v>
      </c>
      <c r="AO421" s="805">
        <f t="shared" si="322"/>
        <v>10943</v>
      </c>
      <c r="AP421" s="793">
        <f t="shared" si="323"/>
        <v>10943</v>
      </c>
      <c r="AQ421" s="793">
        <f t="shared" si="324"/>
        <v>14700</v>
      </c>
      <c r="AR421" s="793">
        <f t="shared" si="325"/>
        <v>366</v>
      </c>
      <c r="AS421" s="793">
        <f t="shared" si="326"/>
        <v>2801</v>
      </c>
      <c r="AT421" s="793">
        <f t="shared" si="327"/>
        <v>6558</v>
      </c>
      <c r="AU421" s="793">
        <f t="shared" si="328"/>
        <v>8142</v>
      </c>
      <c r="AV421" s="793">
        <f t="shared" si="329"/>
        <v>8142</v>
      </c>
      <c r="AW421" s="793">
        <f t="shared" si="330"/>
        <v>14700</v>
      </c>
      <c r="AX421" s="793">
        <f t="shared" si="331"/>
        <v>365</v>
      </c>
      <c r="AY421" s="793">
        <f t="shared" si="332"/>
        <v>2793</v>
      </c>
      <c r="AZ421" s="793">
        <f t="shared" si="333"/>
        <v>9351</v>
      </c>
      <c r="BA421" s="793">
        <f t="shared" si="334"/>
        <v>5349</v>
      </c>
    </row>
    <row r="422" spans="1:53" ht="15" customHeight="1" x14ac:dyDescent="0.25">
      <c r="A422" s="842" t="s">
        <v>667</v>
      </c>
      <c r="B422" s="943" t="s">
        <v>1313</v>
      </c>
      <c r="C422" s="778">
        <f t="shared" si="290"/>
        <v>0.19</v>
      </c>
      <c r="D422" s="844">
        <v>5</v>
      </c>
      <c r="E422" s="844" t="s">
        <v>723</v>
      </c>
      <c r="F422" s="845">
        <v>44577</v>
      </c>
      <c r="G422" s="781">
        <f t="shared" si="291"/>
        <v>44577</v>
      </c>
      <c r="H422" s="781">
        <f t="shared" si="292"/>
        <v>46402</v>
      </c>
      <c r="I422" s="1359">
        <f>17761.26</f>
        <v>17761.259999999998</v>
      </c>
      <c r="J422" s="805">
        <f t="shared" si="293"/>
        <v>888.06299999999999</v>
      </c>
      <c r="K422" s="793"/>
      <c r="L422" s="793">
        <v>0</v>
      </c>
      <c r="M422" s="793">
        <v>0</v>
      </c>
      <c r="N422" s="793">
        <v>0</v>
      </c>
      <c r="O422" s="793">
        <v>0</v>
      </c>
      <c r="P422" s="793">
        <v>0</v>
      </c>
      <c r="Q422" s="793">
        <v>0</v>
      </c>
      <c r="R422" s="793">
        <v>0</v>
      </c>
      <c r="S422" s="793">
        <v>0</v>
      </c>
      <c r="T422" s="793">
        <v>0</v>
      </c>
      <c r="U422" s="793">
        <v>0</v>
      </c>
      <c r="V422" s="793">
        <v>0</v>
      </c>
      <c r="W422" s="793">
        <v>0</v>
      </c>
      <c r="X422" s="793">
        <v>0</v>
      </c>
      <c r="Y422" s="793">
        <v>0</v>
      </c>
      <c r="Z422" s="793">
        <v>0</v>
      </c>
      <c r="AA422" s="793">
        <v>0</v>
      </c>
      <c r="AB422" s="793">
        <v>0</v>
      </c>
      <c r="AC422" s="793">
        <v>0</v>
      </c>
      <c r="AD422" s="793">
        <f t="shared" si="311"/>
        <v>0</v>
      </c>
      <c r="AE422" s="793">
        <f t="shared" si="312"/>
        <v>17761.259999999998</v>
      </c>
      <c r="AF422" s="793">
        <f t="shared" si="313"/>
        <v>75</v>
      </c>
      <c r="AG422" s="793">
        <f t="shared" si="314"/>
        <v>693</v>
      </c>
      <c r="AH422" s="805">
        <f t="shared" si="315"/>
        <v>693</v>
      </c>
      <c r="AI422" s="805">
        <f t="shared" si="316"/>
        <v>17068.259999999998</v>
      </c>
      <c r="AJ422" s="793">
        <f t="shared" si="317"/>
        <v>17068.259999999998</v>
      </c>
      <c r="AK422" s="793">
        <f t="shared" si="318"/>
        <v>17761.259999999998</v>
      </c>
      <c r="AL422" s="793">
        <f t="shared" si="319"/>
        <v>365</v>
      </c>
      <c r="AM422" s="793">
        <f t="shared" si="320"/>
        <v>3375</v>
      </c>
      <c r="AN422" s="805">
        <f t="shared" si="321"/>
        <v>4068</v>
      </c>
      <c r="AO422" s="805">
        <f t="shared" si="322"/>
        <v>13693.259999999998</v>
      </c>
      <c r="AP422" s="793">
        <f t="shared" si="323"/>
        <v>13693.259999999998</v>
      </c>
      <c r="AQ422" s="793">
        <f t="shared" si="324"/>
        <v>17761.259999999998</v>
      </c>
      <c r="AR422" s="793">
        <f t="shared" si="325"/>
        <v>366</v>
      </c>
      <c r="AS422" s="793">
        <f t="shared" si="326"/>
        <v>3384</v>
      </c>
      <c r="AT422" s="793">
        <f t="shared" si="327"/>
        <v>7452</v>
      </c>
      <c r="AU422" s="793">
        <f t="shared" si="328"/>
        <v>10309.259999999998</v>
      </c>
      <c r="AV422" s="793">
        <f t="shared" si="329"/>
        <v>10309.259999999998</v>
      </c>
      <c r="AW422" s="793">
        <f t="shared" si="330"/>
        <v>17761.259999999998</v>
      </c>
      <c r="AX422" s="793">
        <f t="shared" si="331"/>
        <v>365</v>
      </c>
      <c r="AY422" s="793">
        <f t="shared" si="332"/>
        <v>3375</v>
      </c>
      <c r="AZ422" s="793">
        <f t="shared" si="333"/>
        <v>10827</v>
      </c>
      <c r="BA422" s="793">
        <f t="shared" si="334"/>
        <v>6934.2599999999984</v>
      </c>
    </row>
    <row r="423" spans="1:53" ht="15" customHeight="1" x14ac:dyDescent="0.25">
      <c r="A423" s="842" t="s">
        <v>667</v>
      </c>
      <c r="B423" s="852" t="s">
        <v>1314</v>
      </c>
      <c r="C423" s="778">
        <f t="shared" si="290"/>
        <v>0.19</v>
      </c>
      <c r="D423" s="844">
        <v>5</v>
      </c>
      <c r="E423" s="844" t="s">
        <v>677</v>
      </c>
      <c r="F423" s="853">
        <v>44662</v>
      </c>
      <c r="G423" s="781">
        <f t="shared" si="291"/>
        <v>44662</v>
      </c>
      <c r="H423" s="781">
        <f t="shared" si="292"/>
        <v>46487</v>
      </c>
      <c r="I423" s="1383">
        <v>32422</v>
      </c>
      <c r="J423" s="805">
        <f t="shared" si="293"/>
        <v>1621.1000000000001</v>
      </c>
      <c r="K423" s="793"/>
      <c r="L423" s="793">
        <v>0</v>
      </c>
      <c r="M423" s="793">
        <v>0</v>
      </c>
      <c r="N423" s="793">
        <v>0</v>
      </c>
      <c r="O423" s="793">
        <v>0</v>
      </c>
      <c r="P423" s="793">
        <v>0</v>
      </c>
      <c r="Q423" s="793">
        <v>0</v>
      </c>
      <c r="R423" s="793">
        <v>0</v>
      </c>
      <c r="S423" s="793">
        <v>0</v>
      </c>
      <c r="T423" s="793">
        <v>0</v>
      </c>
      <c r="U423" s="793">
        <v>0</v>
      </c>
      <c r="V423" s="793">
        <v>0</v>
      </c>
      <c r="W423" s="793">
        <v>0</v>
      </c>
      <c r="X423" s="793">
        <v>0</v>
      </c>
      <c r="Y423" s="793">
        <v>0</v>
      </c>
      <c r="Z423" s="793">
        <v>0</v>
      </c>
      <c r="AA423" s="793">
        <v>0</v>
      </c>
      <c r="AB423" s="793">
        <v>0</v>
      </c>
      <c r="AC423" s="793">
        <v>0</v>
      </c>
      <c r="AD423" s="793">
        <f t="shared" si="311"/>
        <v>0</v>
      </c>
      <c r="AE423" s="793"/>
      <c r="AF423" s="793"/>
      <c r="AG423" s="793"/>
      <c r="AH423" s="805"/>
      <c r="AI423" s="805"/>
      <c r="AJ423" s="793">
        <f t="shared" si="317"/>
        <v>0</v>
      </c>
      <c r="AK423" s="793">
        <f t="shared" si="318"/>
        <v>32422</v>
      </c>
      <c r="AL423" s="793">
        <f t="shared" si="319"/>
        <v>355</v>
      </c>
      <c r="AM423" s="793">
        <f t="shared" si="320"/>
        <v>5991</v>
      </c>
      <c r="AN423" s="805">
        <f t="shared" si="321"/>
        <v>5991</v>
      </c>
      <c r="AO423" s="805">
        <f t="shared" si="322"/>
        <v>26431</v>
      </c>
      <c r="AP423" s="793">
        <f t="shared" si="323"/>
        <v>26431</v>
      </c>
      <c r="AQ423" s="793">
        <f t="shared" si="324"/>
        <v>32422</v>
      </c>
      <c r="AR423" s="793">
        <f t="shared" si="325"/>
        <v>366</v>
      </c>
      <c r="AS423" s="793">
        <f t="shared" si="326"/>
        <v>6177</v>
      </c>
      <c r="AT423" s="793">
        <f t="shared" si="327"/>
        <v>12168</v>
      </c>
      <c r="AU423" s="793">
        <f t="shared" si="328"/>
        <v>20254</v>
      </c>
      <c r="AV423" s="793">
        <f t="shared" si="329"/>
        <v>20254</v>
      </c>
      <c r="AW423" s="793">
        <f t="shared" si="330"/>
        <v>32422</v>
      </c>
      <c r="AX423" s="793">
        <f t="shared" si="331"/>
        <v>365</v>
      </c>
      <c r="AY423" s="793">
        <f t="shared" si="332"/>
        <v>6160</v>
      </c>
      <c r="AZ423" s="793">
        <f t="shared" si="333"/>
        <v>18328</v>
      </c>
      <c r="BA423" s="793">
        <f t="shared" si="334"/>
        <v>14094</v>
      </c>
    </row>
    <row r="424" spans="1:53" ht="15" customHeight="1" x14ac:dyDescent="0.25">
      <c r="A424" s="842" t="s">
        <v>667</v>
      </c>
      <c r="B424" s="852" t="s">
        <v>1314</v>
      </c>
      <c r="C424" s="778">
        <f t="shared" si="290"/>
        <v>0.19</v>
      </c>
      <c r="D424" s="844">
        <v>5</v>
      </c>
      <c r="E424" s="844" t="s">
        <v>677</v>
      </c>
      <c r="F424" s="853">
        <v>44663</v>
      </c>
      <c r="G424" s="781">
        <f t="shared" si="291"/>
        <v>44663</v>
      </c>
      <c r="H424" s="781">
        <f t="shared" si="292"/>
        <v>46488</v>
      </c>
      <c r="I424" s="1383">
        <v>36719</v>
      </c>
      <c r="J424" s="805">
        <f t="shared" si="293"/>
        <v>1835.95</v>
      </c>
      <c r="K424" s="793"/>
      <c r="L424" s="793">
        <v>0</v>
      </c>
      <c r="M424" s="793">
        <v>0</v>
      </c>
      <c r="N424" s="793">
        <v>0</v>
      </c>
      <c r="O424" s="793">
        <v>0</v>
      </c>
      <c r="P424" s="793">
        <v>0</v>
      </c>
      <c r="Q424" s="793">
        <v>0</v>
      </c>
      <c r="R424" s="793">
        <v>0</v>
      </c>
      <c r="S424" s="793">
        <v>0</v>
      </c>
      <c r="T424" s="793">
        <v>0</v>
      </c>
      <c r="U424" s="793">
        <v>0</v>
      </c>
      <c r="V424" s="793">
        <v>0</v>
      </c>
      <c r="W424" s="793">
        <v>0</v>
      </c>
      <c r="X424" s="793">
        <v>0</v>
      </c>
      <c r="Y424" s="793">
        <v>0</v>
      </c>
      <c r="Z424" s="793">
        <v>0</v>
      </c>
      <c r="AA424" s="793">
        <v>0</v>
      </c>
      <c r="AB424" s="793">
        <v>0</v>
      </c>
      <c r="AC424" s="793">
        <v>0</v>
      </c>
      <c r="AD424" s="793">
        <f t="shared" si="311"/>
        <v>0</v>
      </c>
      <c r="AE424" s="793"/>
      <c r="AF424" s="793"/>
      <c r="AG424" s="793"/>
      <c r="AH424" s="805"/>
      <c r="AI424" s="805"/>
      <c r="AJ424" s="793">
        <f t="shared" si="317"/>
        <v>0</v>
      </c>
      <c r="AK424" s="793">
        <f t="shared" si="318"/>
        <v>36719</v>
      </c>
      <c r="AL424" s="793">
        <f t="shared" si="319"/>
        <v>354</v>
      </c>
      <c r="AM424" s="793">
        <f t="shared" si="320"/>
        <v>6766</v>
      </c>
      <c r="AN424" s="805">
        <f t="shared" si="321"/>
        <v>6766</v>
      </c>
      <c r="AO424" s="805">
        <f t="shared" si="322"/>
        <v>29953</v>
      </c>
      <c r="AP424" s="793">
        <f t="shared" si="323"/>
        <v>29953</v>
      </c>
      <c r="AQ424" s="793">
        <f t="shared" si="324"/>
        <v>36719</v>
      </c>
      <c r="AR424" s="793">
        <f t="shared" si="325"/>
        <v>366</v>
      </c>
      <c r="AS424" s="793">
        <f t="shared" si="326"/>
        <v>6996</v>
      </c>
      <c r="AT424" s="793">
        <f t="shared" si="327"/>
        <v>13762</v>
      </c>
      <c r="AU424" s="793">
        <f t="shared" si="328"/>
        <v>22957</v>
      </c>
      <c r="AV424" s="793">
        <f t="shared" si="329"/>
        <v>22957</v>
      </c>
      <c r="AW424" s="793">
        <f t="shared" si="330"/>
        <v>36719</v>
      </c>
      <c r="AX424" s="793">
        <f t="shared" si="331"/>
        <v>365</v>
      </c>
      <c r="AY424" s="793">
        <f t="shared" si="332"/>
        <v>6977</v>
      </c>
      <c r="AZ424" s="793">
        <f t="shared" si="333"/>
        <v>20739</v>
      </c>
      <c r="BA424" s="793">
        <f t="shared" si="334"/>
        <v>15980</v>
      </c>
    </row>
    <row r="425" spans="1:53" ht="15" customHeight="1" x14ac:dyDescent="0.25">
      <c r="A425" s="842" t="s">
        <v>667</v>
      </c>
      <c r="B425" s="852" t="s">
        <v>1315</v>
      </c>
      <c r="C425" s="778">
        <f t="shared" si="290"/>
        <v>0.19</v>
      </c>
      <c r="D425" s="844">
        <v>5</v>
      </c>
      <c r="E425" s="844" t="s">
        <v>677</v>
      </c>
      <c r="F425" s="853">
        <v>44760</v>
      </c>
      <c r="G425" s="781">
        <f t="shared" si="291"/>
        <v>44760</v>
      </c>
      <c r="H425" s="781">
        <f t="shared" si="292"/>
        <v>46585</v>
      </c>
      <c r="I425" s="1383">
        <v>8473.7199999999993</v>
      </c>
      <c r="J425" s="805">
        <f t="shared" si="293"/>
        <v>423.68599999999998</v>
      </c>
      <c r="K425" s="793"/>
      <c r="L425" s="793">
        <v>0</v>
      </c>
      <c r="M425" s="793">
        <v>0</v>
      </c>
      <c r="N425" s="793">
        <v>0</v>
      </c>
      <c r="O425" s="793">
        <v>0</v>
      </c>
      <c r="P425" s="793">
        <v>0</v>
      </c>
      <c r="Q425" s="793">
        <v>0</v>
      </c>
      <c r="R425" s="793">
        <v>0</v>
      </c>
      <c r="S425" s="793">
        <v>0</v>
      </c>
      <c r="T425" s="793">
        <v>0</v>
      </c>
      <c r="U425" s="793">
        <v>0</v>
      </c>
      <c r="V425" s="793">
        <v>0</v>
      </c>
      <c r="W425" s="793">
        <v>0</v>
      </c>
      <c r="X425" s="793">
        <v>0</v>
      </c>
      <c r="Y425" s="793">
        <v>0</v>
      </c>
      <c r="Z425" s="793">
        <v>0</v>
      </c>
      <c r="AA425" s="793">
        <v>0</v>
      </c>
      <c r="AB425" s="793">
        <v>0</v>
      </c>
      <c r="AC425" s="793">
        <v>0</v>
      </c>
      <c r="AD425" s="793">
        <f t="shared" si="311"/>
        <v>0</v>
      </c>
      <c r="AE425" s="793"/>
      <c r="AF425" s="793"/>
      <c r="AG425" s="793"/>
      <c r="AH425" s="805"/>
      <c r="AI425" s="805"/>
      <c r="AJ425" s="793">
        <f t="shared" si="317"/>
        <v>0</v>
      </c>
      <c r="AK425" s="793">
        <f t="shared" si="318"/>
        <v>8473.7199999999993</v>
      </c>
      <c r="AL425" s="793">
        <f t="shared" si="319"/>
        <v>257</v>
      </c>
      <c r="AM425" s="793">
        <f t="shared" si="320"/>
        <v>1134</v>
      </c>
      <c r="AN425" s="805">
        <f t="shared" si="321"/>
        <v>1134</v>
      </c>
      <c r="AO425" s="805">
        <f t="shared" si="322"/>
        <v>7339.7199999999993</v>
      </c>
      <c r="AP425" s="793">
        <f t="shared" si="323"/>
        <v>7339.7199999999993</v>
      </c>
      <c r="AQ425" s="793">
        <f t="shared" si="324"/>
        <v>8473.7199999999993</v>
      </c>
      <c r="AR425" s="793">
        <f t="shared" si="325"/>
        <v>366</v>
      </c>
      <c r="AS425" s="793">
        <f t="shared" si="326"/>
        <v>1614</v>
      </c>
      <c r="AT425" s="793">
        <f t="shared" si="327"/>
        <v>2748</v>
      </c>
      <c r="AU425" s="793">
        <f t="shared" si="328"/>
        <v>5725.7199999999993</v>
      </c>
      <c r="AV425" s="793">
        <f t="shared" si="329"/>
        <v>5725.7199999999993</v>
      </c>
      <c r="AW425" s="793">
        <f t="shared" si="330"/>
        <v>8473.7199999999993</v>
      </c>
      <c r="AX425" s="793">
        <f t="shared" si="331"/>
        <v>365</v>
      </c>
      <c r="AY425" s="793">
        <f t="shared" si="332"/>
        <v>1610</v>
      </c>
      <c r="AZ425" s="793">
        <f t="shared" si="333"/>
        <v>4358</v>
      </c>
      <c r="BA425" s="793">
        <f t="shared" si="334"/>
        <v>4115.7199999999993</v>
      </c>
    </row>
    <row r="426" spans="1:53" ht="15" customHeight="1" x14ac:dyDescent="0.25">
      <c r="A426" s="842" t="s">
        <v>667</v>
      </c>
      <c r="B426" s="852" t="s">
        <v>505</v>
      </c>
      <c r="C426" s="778">
        <f t="shared" si="290"/>
        <v>0.19</v>
      </c>
      <c r="D426" s="844">
        <v>5</v>
      </c>
      <c r="E426" s="844" t="s">
        <v>677</v>
      </c>
      <c r="F426" s="853">
        <v>44852</v>
      </c>
      <c r="G426" s="781">
        <f t="shared" si="291"/>
        <v>44852</v>
      </c>
      <c r="H426" s="781">
        <f t="shared" si="292"/>
        <v>46677</v>
      </c>
      <c r="I426" s="1383">
        <v>6990</v>
      </c>
      <c r="J426" s="805">
        <f t="shared" si="293"/>
        <v>349.5</v>
      </c>
      <c r="K426" s="793"/>
      <c r="L426" s="793">
        <v>0</v>
      </c>
      <c r="M426" s="793">
        <v>0</v>
      </c>
      <c r="N426" s="793">
        <v>0</v>
      </c>
      <c r="O426" s="793">
        <v>0</v>
      </c>
      <c r="P426" s="793">
        <v>0</v>
      </c>
      <c r="Q426" s="793">
        <v>0</v>
      </c>
      <c r="R426" s="793">
        <v>0</v>
      </c>
      <c r="S426" s="793">
        <v>0</v>
      </c>
      <c r="T426" s="793">
        <v>0</v>
      </c>
      <c r="U426" s="793">
        <v>0</v>
      </c>
      <c r="V426" s="793">
        <v>0</v>
      </c>
      <c r="W426" s="793">
        <v>0</v>
      </c>
      <c r="X426" s="793">
        <v>0</v>
      </c>
      <c r="Y426" s="793">
        <v>0</v>
      </c>
      <c r="Z426" s="793">
        <v>0</v>
      </c>
      <c r="AA426" s="793">
        <v>0</v>
      </c>
      <c r="AB426" s="793">
        <v>0</v>
      </c>
      <c r="AC426" s="793">
        <v>0</v>
      </c>
      <c r="AD426" s="793">
        <f t="shared" si="311"/>
        <v>0</v>
      </c>
      <c r="AE426" s="793"/>
      <c r="AF426" s="793"/>
      <c r="AG426" s="793"/>
      <c r="AH426" s="805"/>
      <c r="AI426" s="805"/>
      <c r="AJ426" s="793">
        <f t="shared" si="317"/>
        <v>0</v>
      </c>
      <c r="AK426" s="793">
        <f t="shared" si="318"/>
        <v>6990</v>
      </c>
      <c r="AL426" s="793">
        <f t="shared" si="319"/>
        <v>165</v>
      </c>
      <c r="AM426" s="793">
        <f t="shared" si="320"/>
        <v>600</v>
      </c>
      <c r="AN426" s="805">
        <f t="shared" si="321"/>
        <v>600</v>
      </c>
      <c r="AO426" s="805">
        <f t="shared" si="322"/>
        <v>6390</v>
      </c>
      <c r="AP426" s="793">
        <f t="shared" si="323"/>
        <v>6390</v>
      </c>
      <c r="AQ426" s="793">
        <f t="shared" si="324"/>
        <v>6990</v>
      </c>
      <c r="AR426" s="793">
        <f t="shared" si="325"/>
        <v>366</v>
      </c>
      <c r="AS426" s="793">
        <f t="shared" si="326"/>
        <v>1332</v>
      </c>
      <c r="AT426" s="793">
        <f t="shared" si="327"/>
        <v>1932</v>
      </c>
      <c r="AU426" s="793">
        <f t="shared" si="328"/>
        <v>5058</v>
      </c>
      <c r="AV426" s="793">
        <f t="shared" si="329"/>
        <v>5058</v>
      </c>
      <c r="AW426" s="793">
        <f t="shared" si="330"/>
        <v>6990</v>
      </c>
      <c r="AX426" s="793">
        <f t="shared" si="331"/>
        <v>365</v>
      </c>
      <c r="AY426" s="793">
        <f t="shared" si="332"/>
        <v>1328</v>
      </c>
      <c r="AZ426" s="793">
        <f t="shared" si="333"/>
        <v>3260</v>
      </c>
      <c r="BA426" s="793">
        <f t="shared" si="334"/>
        <v>3730</v>
      </c>
    </row>
    <row r="427" spans="1:53" ht="15" customHeight="1" x14ac:dyDescent="0.25">
      <c r="A427" s="842" t="s">
        <v>667</v>
      </c>
      <c r="B427" s="943" t="s">
        <v>216</v>
      </c>
      <c r="C427" s="778">
        <f t="shared" si="290"/>
        <v>0.19</v>
      </c>
      <c r="D427" s="844">
        <v>5</v>
      </c>
      <c r="E427" s="844" t="s">
        <v>677</v>
      </c>
      <c r="F427" s="853">
        <v>44702</v>
      </c>
      <c r="G427" s="781">
        <f t="shared" si="291"/>
        <v>44702</v>
      </c>
      <c r="H427" s="781">
        <f t="shared" si="292"/>
        <v>46527</v>
      </c>
      <c r="I427" s="1383">
        <v>12250</v>
      </c>
      <c r="J427" s="805">
        <f t="shared" si="293"/>
        <v>612.5</v>
      </c>
      <c r="K427" s="793"/>
      <c r="L427" s="793"/>
      <c r="M427" s="793"/>
      <c r="N427" s="793"/>
      <c r="O427" s="793"/>
      <c r="P427" s="793"/>
      <c r="Q427" s="793"/>
      <c r="R427" s="793"/>
      <c r="S427" s="793"/>
      <c r="T427" s="793"/>
      <c r="U427" s="793"/>
      <c r="V427" s="793"/>
      <c r="W427" s="793"/>
      <c r="X427" s="793"/>
      <c r="Y427" s="793"/>
      <c r="Z427" s="793"/>
      <c r="AA427" s="793"/>
      <c r="AB427" s="793"/>
      <c r="AC427" s="793"/>
      <c r="AD427" s="793"/>
      <c r="AE427" s="793"/>
      <c r="AF427" s="793"/>
      <c r="AG427" s="793"/>
      <c r="AH427" s="805"/>
      <c r="AI427" s="805"/>
      <c r="AJ427" s="793"/>
      <c r="AK427" s="793">
        <f t="shared" si="318"/>
        <v>12250</v>
      </c>
      <c r="AL427" s="793">
        <f t="shared" si="319"/>
        <v>315</v>
      </c>
      <c r="AM427" s="793">
        <f t="shared" si="320"/>
        <v>2009</v>
      </c>
      <c r="AN427" s="805">
        <f t="shared" si="321"/>
        <v>2009</v>
      </c>
      <c r="AO427" s="805">
        <f t="shared" si="322"/>
        <v>10241</v>
      </c>
      <c r="AP427" s="793">
        <f t="shared" si="323"/>
        <v>10241</v>
      </c>
      <c r="AQ427" s="793">
        <f t="shared" si="324"/>
        <v>12250</v>
      </c>
      <c r="AR427" s="793">
        <f t="shared" si="325"/>
        <v>366</v>
      </c>
      <c r="AS427" s="793">
        <f t="shared" si="326"/>
        <v>2334</v>
      </c>
      <c r="AT427" s="793">
        <f t="shared" si="327"/>
        <v>4343</v>
      </c>
      <c r="AU427" s="793">
        <f t="shared" si="328"/>
        <v>7907</v>
      </c>
      <c r="AV427" s="793">
        <f t="shared" si="329"/>
        <v>7907</v>
      </c>
      <c r="AW427" s="793">
        <f t="shared" si="330"/>
        <v>12250</v>
      </c>
      <c r="AX427" s="793">
        <f t="shared" si="331"/>
        <v>365</v>
      </c>
      <c r="AY427" s="793">
        <f t="shared" si="332"/>
        <v>2328</v>
      </c>
      <c r="AZ427" s="793">
        <f t="shared" si="333"/>
        <v>6671</v>
      </c>
      <c r="BA427" s="793">
        <f t="shared" si="334"/>
        <v>5579</v>
      </c>
    </row>
    <row r="428" spans="1:53" ht="15" customHeight="1" x14ac:dyDescent="0.25">
      <c r="A428" s="842" t="s">
        <v>667</v>
      </c>
      <c r="B428" s="943" t="s">
        <v>216</v>
      </c>
      <c r="C428" s="778">
        <f t="shared" si="290"/>
        <v>0.19</v>
      </c>
      <c r="D428" s="844">
        <v>5</v>
      </c>
      <c r="E428" s="844" t="s">
        <v>677</v>
      </c>
      <c r="F428" s="853">
        <v>44705</v>
      </c>
      <c r="G428" s="781">
        <f t="shared" si="291"/>
        <v>44705</v>
      </c>
      <c r="H428" s="781">
        <f t="shared" si="292"/>
        <v>46530</v>
      </c>
      <c r="I428" s="1383">
        <v>100</v>
      </c>
      <c r="J428" s="805">
        <f t="shared" si="293"/>
        <v>5</v>
      </c>
      <c r="K428" s="793"/>
      <c r="L428" s="793"/>
      <c r="M428" s="793"/>
      <c r="N428" s="793"/>
      <c r="O428" s="793"/>
      <c r="P428" s="793"/>
      <c r="Q428" s="793"/>
      <c r="R428" s="793"/>
      <c r="S428" s="793"/>
      <c r="T428" s="793"/>
      <c r="U428" s="793"/>
      <c r="V428" s="793"/>
      <c r="W428" s="793"/>
      <c r="X428" s="793"/>
      <c r="Y428" s="793"/>
      <c r="Z428" s="793"/>
      <c r="AA428" s="793"/>
      <c r="AB428" s="793"/>
      <c r="AC428" s="793"/>
      <c r="AD428" s="793"/>
      <c r="AE428" s="793"/>
      <c r="AF428" s="793"/>
      <c r="AG428" s="793"/>
      <c r="AH428" s="805"/>
      <c r="AI428" s="805"/>
      <c r="AJ428" s="793"/>
      <c r="AK428" s="793">
        <f t="shared" si="318"/>
        <v>100</v>
      </c>
      <c r="AL428" s="793">
        <f t="shared" si="319"/>
        <v>312</v>
      </c>
      <c r="AM428" s="793">
        <f t="shared" si="320"/>
        <v>16</v>
      </c>
      <c r="AN428" s="805">
        <f t="shared" si="321"/>
        <v>16</v>
      </c>
      <c r="AO428" s="805">
        <f t="shared" si="322"/>
        <v>84</v>
      </c>
      <c r="AP428" s="793">
        <f t="shared" si="323"/>
        <v>84</v>
      </c>
      <c r="AQ428" s="793">
        <f t="shared" si="324"/>
        <v>100</v>
      </c>
      <c r="AR428" s="793">
        <f t="shared" si="325"/>
        <v>366</v>
      </c>
      <c r="AS428" s="793">
        <f t="shared" si="326"/>
        <v>19</v>
      </c>
      <c r="AT428" s="793">
        <f t="shared" si="327"/>
        <v>35</v>
      </c>
      <c r="AU428" s="793">
        <f t="shared" si="328"/>
        <v>65</v>
      </c>
      <c r="AV428" s="793">
        <f t="shared" si="329"/>
        <v>65</v>
      </c>
      <c r="AW428" s="793">
        <f t="shared" si="330"/>
        <v>100</v>
      </c>
      <c r="AX428" s="793">
        <f t="shared" si="331"/>
        <v>365</v>
      </c>
      <c r="AY428" s="793">
        <f t="shared" si="332"/>
        <v>19</v>
      </c>
      <c r="AZ428" s="793">
        <f t="shared" si="333"/>
        <v>54</v>
      </c>
      <c r="BA428" s="793">
        <f t="shared" si="334"/>
        <v>46</v>
      </c>
    </row>
    <row r="429" spans="1:53" ht="15" customHeight="1" x14ac:dyDescent="0.25">
      <c r="A429" s="842" t="s">
        <v>667</v>
      </c>
      <c r="B429" s="943" t="s">
        <v>216</v>
      </c>
      <c r="C429" s="778">
        <f t="shared" si="290"/>
        <v>0.19</v>
      </c>
      <c r="D429" s="844">
        <v>5</v>
      </c>
      <c r="E429" s="844" t="s">
        <v>677</v>
      </c>
      <c r="F429" s="853">
        <v>44805</v>
      </c>
      <c r="G429" s="781">
        <f t="shared" si="291"/>
        <v>44805</v>
      </c>
      <c r="H429" s="781">
        <f t="shared" si="292"/>
        <v>46630</v>
      </c>
      <c r="I429" s="1383">
        <v>11950</v>
      </c>
      <c r="J429" s="805">
        <f t="shared" si="293"/>
        <v>597.5</v>
      </c>
      <c r="K429" s="793"/>
      <c r="L429" s="793"/>
      <c r="M429" s="793"/>
      <c r="N429" s="793"/>
      <c r="O429" s="793"/>
      <c r="P429" s="793"/>
      <c r="Q429" s="793"/>
      <c r="R429" s="793"/>
      <c r="S429" s="793"/>
      <c r="T429" s="793"/>
      <c r="U429" s="793"/>
      <c r="V429" s="793"/>
      <c r="W429" s="793"/>
      <c r="X429" s="793"/>
      <c r="Y429" s="793"/>
      <c r="Z429" s="793"/>
      <c r="AA429" s="793"/>
      <c r="AB429" s="793"/>
      <c r="AC429" s="793"/>
      <c r="AD429" s="793"/>
      <c r="AE429" s="793"/>
      <c r="AF429" s="793"/>
      <c r="AG429" s="793"/>
      <c r="AH429" s="805"/>
      <c r="AI429" s="805"/>
      <c r="AJ429" s="793"/>
      <c r="AK429" s="793">
        <f t="shared" si="318"/>
        <v>11950</v>
      </c>
      <c r="AL429" s="793">
        <f t="shared" si="319"/>
        <v>212</v>
      </c>
      <c r="AM429" s="793">
        <f t="shared" si="320"/>
        <v>1319</v>
      </c>
      <c r="AN429" s="805">
        <f t="shared" si="321"/>
        <v>1319</v>
      </c>
      <c r="AO429" s="805">
        <f t="shared" si="322"/>
        <v>10631</v>
      </c>
      <c r="AP429" s="793">
        <f t="shared" si="323"/>
        <v>10631</v>
      </c>
      <c r="AQ429" s="793">
        <f t="shared" si="324"/>
        <v>11950</v>
      </c>
      <c r="AR429" s="793">
        <f t="shared" si="325"/>
        <v>366</v>
      </c>
      <c r="AS429" s="793">
        <f t="shared" si="326"/>
        <v>2277</v>
      </c>
      <c r="AT429" s="793">
        <f t="shared" si="327"/>
        <v>3596</v>
      </c>
      <c r="AU429" s="793">
        <f t="shared" si="328"/>
        <v>8354</v>
      </c>
      <c r="AV429" s="793">
        <f t="shared" si="329"/>
        <v>8354</v>
      </c>
      <c r="AW429" s="793">
        <f t="shared" si="330"/>
        <v>11950</v>
      </c>
      <c r="AX429" s="793">
        <f t="shared" si="331"/>
        <v>365</v>
      </c>
      <c r="AY429" s="793">
        <f t="shared" si="332"/>
        <v>2271</v>
      </c>
      <c r="AZ429" s="793">
        <f t="shared" si="333"/>
        <v>5867</v>
      </c>
      <c r="BA429" s="793">
        <f t="shared" si="334"/>
        <v>6083</v>
      </c>
    </row>
    <row r="430" spans="1:53" ht="15" customHeight="1" x14ac:dyDescent="0.25">
      <c r="A430" s="842" t="s">
        <v>667</v>
      </c>
      <c r="B430" s="943" t="s">
        <v>216</v>
      </c>
      <c r="C430" s="778">
        <f t="shared" si="290"/>
        <v>0.19</v>
      </c>
      <c r="D430" s="844">
        <v>5</v>
      </c>
      <c r="E430" s="844" t="s">
        <v>677</v>
      </c>
      <c r="F430" s="853">
        <v>44898</v>
      </c>
      <c r="G430" s="781">
        <f t="shared" si="291"/>
        <v>44898</v>
      </c>
      <c r="H430" s="781">
        <f t="shared" si="292"/>
        <v>46723</v>
      </c>
      <c r="I430" s="1383">
        <v>3200</v>
      </c>
      <c r="J430" s="805">
        <f t="shared" si="293"/>
        <v>160</v>
      </c>
      <c r="K430" s="793"/>
      <c r="L430" s="793"/>
      <c r="M430" s="793"/>
      <c r="N430" s="793"/>
      <c r="O430" s="793"/>
      <c r="P430" s="793"/>
      <c r="Q430" s="793"/>
      <c r="R430" s="793"/>
      <c r="S430" s="793"/>
      <c r="T430" s="793"/>
      <c r="U430" s="793"/>
      <c r="V430" s="793"/>
      <c r="W430" s="793"/>
      <c r="X430" s="793"/>
      <c r="Y430" s="793"/>
      <c r="Z430" s="793"/>
      <c r="AA430" s="793"/>
      <c r="AB430" s="793"/>
      <c r="AC430" s="793"/>
      <c r="AD430" s="793"/>
      <c r="AE430" s="793"/>
      <c r="AF430" s="793"/>
      <c r="AG430" s="793"/>
      <c r="AH430" s="805"/>
      <c r="AI430" s="805"/>
      <c r="AJ430" s="793"/>
      <c r="AK430" s="793">
        <f t="shared" si="318"/>
        <v>3200</v>
      </c>
      <c r="AL430" s="793">
        <f t="shared" si="319"/>
        <v>119</v>
      </c>
      <c r="AM430" s="793">
        <f t="shared" si="320"/>
        <v>198</v>
      </c>
      <c r="AN430" s="805">
        <f t="shared" si="321"/>
        <v>198</v>
      </c>
      <c r="AO430" s="805">
        <f t="shared" si="322"/>
        <v>3002</v>
      </c>
      <c r="AP430" s="793">
        <f t="shared" si="323"/>
        <v>3002</v>
      </c>
      <c r="AQ430" s="793">
        <f t="shared" si="324"/>
        <v>3200</v>
      </c>
      <c r="AR430" s="793">
        <f t="shared" si="325"/>
        <v>366</v>
      </c>
      <c r="AS430" s="793">
        <f t="shared" si="326"/>
        <v>610</v>
      </c>
      <c r="AT430" s="793">
        <f t="shared" si="327"/>
        <v>808</v>
      </c>
      <c r="AU430" s="793">
        <f t="shared" si="328"/>
        <v>2392</v>
      </c>
      <c r="AV430" s="793">
        <f t="shared" si="329"/>
        <v>2392</v>
      </c>
      <c r="AW430" s="793">
        <f t="shared" si="330"/>
        <v>3200</v>
      </c>
      <c r="AX430" s="793">
        <f t="shared" si="331"/>
        <v>365</v>
      </c>
      <c r="AY430" s="793">
        <f t="shared" si="332"/>
        <v>608</v>
      </c>
      <c r="AZ430" s="793">
        <f t="shared" si="333"/>
        <v>1416</v>
      </c>
      <c r="BA430" s="793">
        <f t="shared" si="334"/>
        <v>1784</v>
      </c>
    </row>
    <row r="431" spans="1:53" ht="15" customHeight="1" x14ac:dyDescent="0.25">
      <c r="A431" s="842" t="s">
        <v>667</v>
      </c>
      <c r="B431" s="943" t="s">
        <v>216</v>
      </c>
      <c r="C431" s="778">
        <f t="shared" si="290"/>
        <v>0.19</v>
      </c>
      <c r="D431" s="844">
        <v>5</v>
      </c>
      <c r="E431" s="844" t="s">
        <v>677</v>
      </c>
      <c r="F431" s="853">
        <v>44902</v>
      </c>
      <c r="G431" s="781">
        <f t="shared" si="291"/>
        <v>44902</v>
      </c>
      <c r="H431" s="781">
        <f t="shared" si="292"/>
        <v>46727</v>
      </c>
      <c r="I431" s="1383">
        <v>13600</v>
      </c>
      <c r="J431" s="805">
        <f t="shared" si="293"/>
        <v>680</v>
      </c>
      <c r="K431" s="793"/>
      <c r="L431" s="793"/>
      <c r="M431" s="793"/>
      <c r="N431" s="793"/>
      <c r="O431" s="793"/>
      <c r="P431" s="793"/>
      <c r="Q431" s="793"/>
      <c r="R431" s="793"/>
      <c r="S431" s="793"/>
      <c r="T431" s="793"/>
      <c r="U431" s="793"/>
      <c r="V431" s="793"/>
      <c r="W431" s="793"/>
      <c r="X431" s="793"/>
      <c r="Y431" s="793"/>
      <c r="Z431" s="793"/>
      <c r="AA431" s="793"/>
      <c r="AB431" s="793"/>
      <c r="AC431" s="793"/>
      <c r="AD431" s="793"/>
      <c r="AE431" s="793"/>
      <c r="AF431" s="793"/>
      <c r="AG431" s="793"/>
      <c r="AH431" s="805"/>
      <c r="AI431" s="805"/>
      <c r="AJ431" s="793"/>
      <c r="AK431" s="793">
        <f t="shared" si="318"/>
        <v>13600</v>
      </c>
      <c r="AL431" s="793">
        <f t="shared" si="319"/>
        <v>115</v>
      </c>
      <c r="AM431" s="793">
        <f t="shared" si="320"/>
        <v>814</v>
      </c>
      <c r="AN431" s="805">
        <f t="shared" si="321"/>
        <v>814</v>
      </c>
      <c r="AO431" s="805">
        <f t="shared" si="322"/>
        <v>12786</v>
      </c>
      <c r="AP431" s="793">
        <f t="shared" si="323"/>
        <v>12786</v>
      </c>
      <c r="AQ431" s="793">
        <f t="shared" si="324"/>
        <v>13600</v>
      </c>
      <c r="AR431" s="793">
        <f t="shared" si="325"/>
        <v>366</v>
      </c>
      <c r="AS431" s="793">
        <f t="shared" si="326"/>
        <v>2591</v>
      </c>
      <c r="AT431" s="793">
        <f t="shared" si="327"/>
        <v>3405</v>
      </c>
      <c r="AU431" s="793">
        <f t="shared" si="328"/>
        <v>10195</v>
      </c>
      <c r="AV431" s="793">
        <f t="shared" si="329"/>
        <v>10195</v>
      </c>
      <c r="AW431" s="793">
        <f t="shared" si="330"/>
        <v>13600</v>
      </c>
      <c r="AX431" s="793">
        <f t="shared" si="331"/>
        <v>365</v>
      </c>
      <c r="AY431" s="793">
        <f t="shared" si="332"/>
        <v>2584</v>
      </c>
      <c r="AZ431" s="793">
        <f t="shared" si="333"/>
        <v>5989</v>
      </c>
      <c r="BA431" s="793">
        <f t="shared" si="334"/>
        <v>7611</v>
      </c>
    </row>
    <row r="432" spans="1:53" ht="15" customHeight="1" x14ac:dyDescent="0.25">
      <c r="A432" s="842" t="s">
        <v>667</v>
      </c>
      <c r="B432" s="943" t="s">
        <v>216</v>
      </c>
      <c r="C432" s="778">
        <f t="shared" si="290"/>
        <v>0.19</v>
      </c>
      <c r="D432" s="844">
        <v>5</v>
      </c>
      <c r="E432" s="844" t="s">
        <v>677</v>
      </c>
      <c r="F432" s="853">
        <v>44925</v>
      </c>
      <c r="G432" s="781">
        <f t="shared" si="291"/>
        <v>44925</v>
      </c>
      <c r="H432" s="781">
        <f t="shared" si="292"/>
        <v>46750</v>
      </c>
      <c r="I432" s="1383">
        <v>8000</v>
      </c>
      <c r="J432" s="805">
        <f t="shared" si="293"/>
        <v>400</v>
      </c>
      <c r="K432" s="793"/>
      <c r="L432" s="793"/>
      <c r="M432" s="793"/>
      <c r="N432" s="793"/>
      <c r="O432" s="793"/>
      <c r="P432" s="793"/>
      <c r="Q432" s="793"/>
      <c r="R432" s="793"/>
      <c r="S432" s="793"/>
      <c r="T432" s="793"/>
      <c r="U432" s="793"/>
      <c r="V432" s="793"/>
      <c r="W432" s="793"/>
      <c r="X432" s="793"/>
      <c r="Y432" s="793"/>
      <c r="Z432" s="793"/>
      <c r="AA432" s="793"/>
      <c r="AB432" s="793"/>
      <c r="AC432" s="793"/>
      <c r="AD432" s="793"/>
      <c r="AE432" s="793"/>
      <c r="AF432" s="793"/>
      <c r="AG432" s="793"/>
      <c r="AH432" s="805"/>
      <c r="AI432" s="805"/>
      <c r="AJ432" s="793"/>
      <c r="AK432" s="793">
        <f t="shared" si="318"/>
        <v>8000</v>
      </c>
      <c r="AL432" s="793">
        <f t="shared" si="319"/>
        <v>92</v>
      </c>
      <c r="AM432" s="793">
        <f t="shared" si="320"/>
        <v>383</v>
      </c>
      <c r="AN432" s="805">
        <f t="shared" si="321"/>
        <v>383</v>
      </c>
      <c r="AO432" s="805">
        <f t="shared" si="322"/>
        <v>7617</v>
      </c>
      <c r="AP432" s="793">
        <f t="shared" si="323"/>
        <v>7617</v>
      </c>
      <c r="AQ432" s="793">
        <f t="shared" si="324"/>
        <v>8000</v>
      </c>
      <c r="AR432" s="793">
        <f t="shared" si="325"/>
        <v>366</v>
      </c>
      <c r="AS432" s="793">
        <f t="shared" si="326"/>
        <v>1524</v>
      </c>
      <c r="AT432" s="793">
        <f t="shared" si="327"/>
        <v>1907</v>
      </c>
      <c r="AU432" s="793">
        <f t="shared" si="328"/>
        <v>6093</v>
      </c>
      <c r="AV432" s="793">
        <f t="shared" si="329"/>
        <v>6093</v>
      </c>
      <c r="AW432" s="793">
        <f t="shared" si="330"/>
        <v>8000</v>
      </c>
      <c r="AX432" s="793">
        <f t="shared" si="331"/>
        <v>365</v>
      </c>
      <c r="AY432" s="793">
        <f t="shared" si="332"/>
        <v>1520</v>
      </c>
      <c r="AZ432" s="793">
        <f t="shared" si="333"/>
        <v>3427</v>
      </c>
      <c r="BA432" s="793">
        <f t="shared" si="334"/>
        <v>4573</v>
      </c>
    </row>
    <row r="433" spans="1:57" ht="15" customHeight="1" x14ac:dyDescent="0.25">
      <c r="A433" s="842" t="s">
        <v>667</v>
      </c>
      <c r="B433" s="852" t="s">
        <v>1314</v>
      </c>
      <c r="C433" s="778">
        <f t="shared" si="290"/>
        <v>0.19</v>
      </c>
      <c r="D433" s="844">
        <v>5</v>
      </c>
      <c r="E433" s="844" t="s">
        <v>677</v>
      </c>
      <c r="F433" s="853">
        <v>44900</v>
      </c>
      <c r="G433" s="781">
        <f t="shared" si="291"/>
        <v>44900</v>
      </c>
      <c r="H433" s="781">
        <f t="shared" si="292"/>
        <v>46725</v>
      </c>
      <c r="I433" s="1383">
        <v>33626.839999999997</v>
      </c>
      <c r="J433" s="805">
        <f t="shared" si="293"/>
        <v>1681.3419999999999</v>
      </c>
      <c r="K433" s="793"/>
      <c r="L433" s="793"/>
      <c r="M433" s="793"/>
      <c r="N433" s="793"/>
      <c r="O433" s="793"/>
      <c r="P433" s="793"/>
      <c r="Q433" s="793"/>
      <c r="R433" s="793"/>
      <c r="S433" s="793"/>
      <c r="T433" s="793"/>
      <c r="U433" s="793"/>
      <c r="V433" s="793"/>
      <c r="W433" s="793"/>
      <c r="X433" s="793"/>
      <c r="Y433" s="793"/>
      <c r="Z433" s="793"/>
      <c r="AA433" s="793"/>
      <c r="AB433" s="793"/>
      <c r="AC433" s="793"/>
      <c r="AD433" s="793"/>
      <c r="AE433" s="793"/>
      <c r="AF433" s="793"/>
      <c r="AG433" s="793"/>
      <c r="AH433" s="805"/>
      <c r="AI433" s="805"/>
      <c r="AJ433" s="793"/>
      <c r="AK433" s="793">
        <f t="shared" si="318"/>
        <v>33626.839999999997</v>
      </c>
      <c r="AL433" s="793">
        <f t="shared" si="319"/>
        <v>117</v>
      </c>
      <c r="AM433" s="793">
        <f t="shared" si="320"/>
        <v>2048</v>
      </c>
      <c r="AN433" s="805">
        <f t="shared" si="321"/>
        <v>2048</v>
      </c>
      <c r="AO433" s="805">
        <f t="shared" si="322"/>
        <v>31578.839999999997</v>
      </c>
      <c r="AP433" s="793">
        <f t="shared" si="323"/>
        <v>31578.839999999997</v>
      </c>
      <c r="AQ433" s="793">
        <f t="shared" si="324"/>
        <v>33626.839999999997</v>
      </c>
      <c r="AR433" s="793">
        <f t="shared" si="325"/>
        <v>366</v>
      </c>
      <c r="AS433" s="793">
        <f t="shared" si="326"/>
        <v>6407</v>
      </c>
      <c r="AT433" s="793">
        <f t="shared" si="327"/>
        <v>8455</v>
      </c>
      <c r="AU433" s="793">
        <f t="shared" si="328"/>
        <v>25171.839999999997</v>
      </c>
      <c r="AV433" s="793">
        <f t="shared" si="329"/>
        <v>25171.839999999997</v>
      </c>
      <c r="AW433" s="793">
        <f t="shared" si="330"/>
        <v>33626.839999999997</v>
      </c>
      <c r="AX433" s="793">
        <f t="shared" si="331"/>
        <v>365</v>
      </c>
      <c r="AY433" s="793">
        <f t="shared" si="332"/>
        <v>6389</v>
      </c>
      <c r="AZ433" s="793">
        <f t="shared" si="333"/>
        <v>14844</v>
      </c>
      <c r="BA433" s="793">
        <f t="shared" si="334"/>
        <v>18782.839999999997</v>
      </c>
    </row>
    <row r="434" spans="1:57" ht="15" customHeight="1" x14ac:dyDescent="0.25">
      <c r="A434" s="842" t="s">
        <v>667</v>
      </c>
      <c r="B434" s="852" t="s">
        <v>1314</v>
      </c>
      <c r="C434" s="778">
        <f t="shared" si="290"/>
        <v>0.19</v>
      </c>
      <c r="D434" s="844">
        <v>5</v>
      </c>
      <c r="E434" s="844" t="s">
        <v>677</v>
      </c>
      <c r="F434" s="853">
        <v>44942</v>
      </c>
      <c r="G434" s="781">
        <f t="shared" si="291"/>
        <v>44942</v>
      </c>
      <c r="H434" s="781">
        <f t="shared" si="292"/>
        <v>46767</v>
      </c>
      <c r="I434" s="1383">
        <v>32500</v>
      </c>
      <c r="J434" s="805">
        <f t="shared" si="293"/>
        <v>1625</v>
      </c>
      <c r="K434" s="793"/>
      <c r="L434" s="793"/>
      <c r="M434" s="793"/>
      <c r="N434" s="793"/>
      <c r="O434" s="793"/>
      <c r="P434" s="793"/>
      <c r="Q434" s="793"/>
      <c r="R434" s="793"/>
      <c r="S434" s="793"/>
      <c r="T434" s="793"/>
      <c r="U434" s="793"/>
      <c r="V434" s="793"/>
      <c r="W434" s="793"/>
      <c r="X434" s="793"/>
      <c r="Y434" s="793"/>
      <c r="Z434" s="793"/>
      <c r="AA434" s="793"/>
      <c r="AB434" s="793"/>
      <c r="AC434" s="793"/>
      <c r="AD434" s="793"/>
      <c r="AE434" s="793"/>
      <c r="AF434" s="793"/>
      <c r="AG434" s="793"/>
      <c r="AH434" s="805"/>
      <c r="AI434" s="805"/>
      <c r="AJ434" s="793"/>
      <c r="AK434" s="793">
        <f t="shared" si="318"/>
        <v>32500</v>
      </c>
      <c r="AL434" s="793">
        <f t="shared" si="319"/>
        <v>75</v>
      </c>
      <c r="AM434" s="793">
        <f t="shared" si="320"/>
        <v>1269</v>
      </c>
      <c r="AN434" s="805">
        <f t="shared" si="321"/>
        <v>1269</v>
      </c>
      <c r="AO434" s="805">
        <f t="shared" si="322"/>
        <v>31231</v>
      </c>
      <c r="AP434" s="793">
        <f t="shared" si="323"/>
        <v>31231</v>
      </c>
      <c r="AQ434" s="793">
        <f t="shared" si="324"/>
        <v>32500</v>
      </c>
      <c r="AR434" s="793">
        <f t="shared" si="325"/>
        <v>366</v>
      </c>
      <c r="AS434" s="793">
        <f t="shared" si="326"/>
        <v>6192</v>
      </c>
      <c r="AT434" s="793">
        <f t="shared" si="327"/>
        <v>7461</v>
      </c>
      <c r="AU434" s="793">
        <f t="shared" si="328"/>
        <v>25039</v>
      </c>
      <c r="AV434" s="793">
        <f t="shared" si="329"/>
        <v>25039</v>
      </c>
      <c r="AW434" s="793">
        <f t="shared" si="330"/>
        <v>32500</v>
      </c>
      <c r="AX434" s="793">
        <f t="shared" si="331"/>
        <v>365</v>
      </c>
      <c r="AY434" s="793">
        <f t="shared" si="332"/>
        <v>6175</v>
      </c>
      <c r="AZ434" s="793">
        <f t="shared" si="333"/>
        <v>13636</v>
      </c>
      <c r="BA434" s="793">
        <f t="shared" si="334"/>
        <v>18864</v>
      </c>
    </row>
    <row r="435" spans="1:57" ht="15" customHeight="1" x14ac:dyDescent="0.25">
      <c r="A435" s="842" t="s">
        <v>1832</v>
      </c>
      <c r="B435" s="852"/>
      <c r="C435" s="778"/>
      <c r="D435" s="844"/>
      <c r="E435" s="844"/>
      <c r="F435" s="853"/>
      <c r="G435" s="781"/>
      <c r="H435" s="781"/>
      <c r="I435" s="1383"/>
      <c r="J435" s="805"/>
      <c r="K435" s="793"/>
      <c r="L435" s="793"/>
      <c r="M435" s="793"/>
      <c r="N435" s="793"/>
      <c r="O435" s="793"/>
      <c r="P435" s="793"/>
      <c r="Q435" s="793"/>
      <c r="R435" s="793"/>
      <c r="S435" s="793"/>
      <c r="T435" s="793"/>
      <c r="U435" s="793"/>
      <c r="V435" s="793"/>
      <c r="W435" s="793"/>
      <c r="X435" s="793"/>
      <c r="Y435" s="793"/>
      <c r="Z435" s="793"/>
      <c r="AA435" s="793"/>
      <c r="AB435" s="793"/>
      <c r="AC435" s="793"/>
      <c r="AD435" s="793"/>
      <c r="AE435" s="793"/>
      <c r="AF435" s="793"/>
      <c r="AG435" s="793"/>
      <c r="AH435" s="805"/>
      <c r="AI435" s="805"/>
      <c r="AJ435" s="793"/>
      <c r="AK435" s="793"/>
      <c r="AL435" s="793"/>
      <c r="AM435" s="805">
        <v>261181</v>
      </c>
      <c r="AN435" s="805">
        <v>143</v>
      </c>
      <c r="AO435" s="805">
        <f t="shared" si="322"/>
        <v>-143</v>
      </c>
      <c r="AP435" s="793">
        <f t="shared" si="323"/>
        <v>-143</v>
      </c>
      <c r="AQ435" s="793"/>
      <c r="AR435" s="793"/>
      <c r="AS435" s="793"/>
      <c r="AT435" s="793">
        <f t="shared" si="327"/>
        <v>143</v>
      </c>
      <c r="AU435" s="793">
        <f t="shared" si="328"/>
        <v>-143</v>
      </c>
      <c r="AV435" s="793">
        <f t="shared" si="329"/>
        <v>-143</v>
      </c>
      <c r="AW435" s="793"/>
      <c r="AX435" s="793"/>
      <c r="AY435" s="793"/>
      <c r="AZ435" s="793">
        <f t="shared" si="333"/>
        <v>143</v>
      </c>
      <c r="BA435" s="793">
        <f t="shared" si="334"/>
        <v>-143</v>
      </c>
    </row>
    <row r="436" spans="1:57" ht="15" customHeight="1" x14ac:dyDescent="0.25">
      <c r="A436" s="842" t="s">
        <v>667</v>
      </c>
      <c r="B436" s="822" t="s">
        <v>505</v>
      </c>
      <c r="C436" s="778">
        <f t="shared" ref="C436:C450" si="335">(95/D436)/100</f>
        <v>0.19</v>
      </c>
      <c r="D436" s="844">
        <v>5</v>
      </c>
      <c r="E436" s="844" t="s">
        <v>884</v>
      </c>
      <c r="F436" s="862">
        <v>45320</v>
      </c>
      <c r="G436" s="862">
        <v>45320</v>
      </c>
      <c r="H436" s="781">
        <f t="shared" ref="H436:H450" si="336">G436+(365*D436)</f>
        <v>47145</v>
      </c>
      <c r="I436" s="815">
        <v>102800</v>
      </c>
      <c r="J436" s="805">
        <f t="shared" ref="J436:J450" si="337">I436*5%</f>
        <v>5140</v>
      </c>
      <c r="K436" s="793"/>
      <c r="L436" s="793"/>
      <c r="M436" s="793"/>
      <c r="N436" s="793"/>
      <c r="O436" s="793"/>
      <c r="P436" s="793"/>
      <c r="Q436" s="793"/>
      <c r="R436" s="793"/>
      <c r="S436" s="793"/>
      <c r="T436" s="793"/>
      <c r="U436" s="793"/>
      <c r="V436" s="793"/>
      <c r="W436" s="793"/>
      <c r="X436" s="793"/>
      <c r="Y436" s="793"/>
      <c r="Z436" s="793"/>
      <c r="AA436" s="793"/>
      <c r="AB436" s="793"/>
      <c r="AC436" s="793"/>
      <c r="AD436" s="793"/>
      <c r="AE436" s="793"/>
      <c r="AF436" s="793"/>
      <c r="AG436" s="793"/>
      <c r="AH436" s="805"/>
      <c r="AI436" s="805"/>
      <c r="AJ436" s="793"/>
      <c r="AK436" s="793"/>
      <c r="AL436" s="793"/>
      <c r="AM436" s="793"/>
      <c r="AN436" s="805"/>
      <c r="AO436" s="805"/>
      <c r="AP436" s="793">
        <f t="shared" si="323"/>
        <v>0</v>
      </c>
      <c r="AQ436" s="793">
        <f>I436</f>
        <v>102800</v>
      </c>
      <c r="AR436" s="793">
        <f>IF(AND(F436&gt;$AJ$3,F436&lt;$AP$3),$AP$3-F436+1,IF(H436&lt;=$AJ$3,0,IF(H436&gt;$AP$3,$AP$3-$AJ$3,H436-$AJ$3)))</f>
        <v>63</v>
      </c>
      <c r="AS436" s="793">
        <f>ROUND(AQ436*C436*AR436/365,0)</f>
        <v>3371</v>
      </c>
      <c r="AT436" s="793">
        <f t="shared" si="327"/>
        <v>3371</v>
      </c>
      <c r="AU436" s="793">
        <f t="shared" si="328"/>
        <v>99429</v>
      </c>
      <c r="AV436" s="793">
        <f t="shared" si="329"/>
        <v>99429</v>
      </c>
      <c r="AW436" s="793">
        <f t="shared" ref="AW436:AW450" si="338">+I436</f>
        <v>102800</v>
      </c>
      <c r="AX436" s="793">
        <f t="shared" ref="AX436:AX450" si="339">IF(AND(F436&gt;$AP$3,F436&lt;$AV$3),$AV$3-F436+1,IF(H436&lt;=$AP$3,0,IF(H436&gt;$AV$3,$AV$3-$AP$3,H436-$AP$3)))</f>
        <v>365</v>
      </c>
      <c r="AY436" s="793">
        <f t="shared" ref="AY436:AY450" si="340">ROUND(AW436*C436*AX436/365,0)</f>
        <v>19532</v>
      </c>
      <c r="AZ436" s="793">
        <f t="shared" si="333"/>
        <v>22903</v>
      </c>
      <c r="BA436" s="793">
        <f t="shared" si="334"/>
        <v>79897</v>
      </c>
    </row>
    <row r="437" spans="1:57" ht="15" customHeight="1" x14ac:dyDescent="0.25">
      <c r="A437" s="842" t="s">
        <v>667</v>
      </c>
      <c r="B437" s="822" t="s">
        <v>222</v>
      </c>
      <c r="C437" s="778">
        <f t="shared" si="335"/>
        <v>0.19</v>
      </c>
      <c r="D437" s="844">
        <v>5</v>
      </c>
      <c r="E437" s="844" t="s">
        <v>884</v>
      </c>
      <c r="F437" s="814">
        <v>45338</v>
      </c>
      <c r="G437" s="814">
        <v>45338</v>
      </c>
      <c r="H437" s="781">
        <f t="shared" si="336"/>
        <v>47163</v>
      </c>
      <c r="I437" s="815">
        <v>257343</v>
      </c>
      <c r="J437" s="805">
        <f t="shared" si="337"/>
        <v>12867.150000000001</v>
      </c>
      <c r="K437" s="793"/>
      <c r="L437" s="793"/>
      <c r="M437" s="793"/>
      <c r="N437" s="793"/>
      <c r="O437" s="793"/>
      <c r="P437" s="793"/>
      <c r="Q437" s="793"/>
      <c r="R437" s="793"/>
      <c r="S437" s="793"/>
      <c r="T437" s="793"/>
      <c r="U437" s="793"/>
      <c r="V437" s="793"/>
      <c r="W437" s="793"/>
      <c r="X437" s="793"/>
      <c r="Y437" s="793"/>
      <c r="Z437" s="793"/>
      <c r="AA437" s="793"/>
      <c r="AB437" s="793"/>
      <c r="AC437" s="793"/>
      <c r="AD437" s="793"/>
      <c r="AE437" s="793"/>
      <c r="AF437" s="793"/>
      <c r="AG437" s="793"/>
      <c r="AH437" s="805"/>
      <c r="AI437" s="805"/>
      <c r="AJ437" s="793"/>
      <c r="AK437" s="793"/>
      <c r="AL437" s="793"/>
      <c r="AM437" s="793"/>
      <c r="AN437" s="805"/>
      <c r="AO437" s="805"/>
      <c r="AP437" s="793">
        <f t="shared" si="323"/>
        <v>0</v>
      </c>
      <c r="AQ437" s="793">
        <f>I437</f>
        <v>257343</v>
      </c>
      <c r="AR437" s="793">
        <f>IF(AND(F437&gt;$AJ$3,F437&lt;$AP$3),$AP$3-F437+1,IF(H437&lt;=$AJ$3,0,IF(H437&gt;$AP$3,$AP$3-$AJ$3,H437-$AJ$3)))</f>
        <v>45</v>
      </c>
      <c r="AS437" s="793">
        <f>ROUND(AQ437*C437*AR437/365,0)</f>
        <v>6028</v>
      </c>
      <c r="AT437" s="793">
        <f t="shared" si="327"/>
        <v>6028</v>
      </c>
      <c r="AU437" s="793">
        <f t="shared" si="328"/>
        <v>251315</v>
      </c>
      <c r="AV437" s="793">
        <f t="shared" si="329"/>
        <v>251315</v>
      </c>
      <c r="AW437" s="793">
        <f t="shared" si="338"/>
        <v>257343</v>
      </c>
      <c r="AX437" s="793">
        <f t="shared" si="339"/>
        <v>365</v>
      </c>
      <c r="AY437" s="793">
        <f t="shared" si="340"/>
        <v>48895</v>
      </c>
      <c r="AZ437" s="793">
        <f t="shared" si="333"/>
        <v>54923</v>
      </c>
      <c r="BA437" s="793">
        <f t="shared" si="334"/>
        <v>202420</v>
      </c>
    </row>
    <row r="438" spans="1:57" ht="15" customHeight="1" x14ac:dyDescent="0.25">
      <c r="A438" s="842" t="s">
        <v>667</v>
      </c>
      <c r="B438" s="822" t="s">
        <v>216</v>
      </c>
      <c r="C438" s="778">
        <f t="shared" si="335"/>
        <v>0.19</v>
      </c>
      <c r="D438" s="844">
        <v>5</v>
      </c>
      <c r="E438" s="844" t="s">
        <v>884</v>
      </c>
      <c r="F438" s="814">
        <v>45338</v>
      </c>
      <c r="G438" s="814">
        <v>45338</v>
      </c>
      <c r="H438" s="781">
        <f t="shared" si="336"/>
        <v>47163</v>
      </c>
      <c r="I438" s="815">
        <v>53250</v>
      </c>
      <c r="J438" s="805">
        <f t="shared" si="337"/>
        <v>2662.5</v>
      </c>
      <c r="K438" s="793"/>
      <c r="L438" s="793"/>
      <c r="M438" s="793"/>
      <c r="N438" s="793"/>
      <c r="O438" s="793"/>
      <c r="P438" s="793"/>
      <c r="Q438" s="793"/>
      <c r="R438" s="793"/>
      <c r="S438" s="793"/>
      <c r="T438" s="793"/>
      <c r="U438" s="793"/>
      <c r="V438" s="793"/>
      <c r="W438" s="793"/>
      <c r="X438" s="793"/>
      <c r="Y438" s="793"/>
      <c r="Z438" s="793"/>
      <c r="AA438" s="793"/>
      <c r="AB438" s="793"/>
      <c r="AC438" s="793"/>
      <c r="AD438" s="793"/>
      <c r="AE438" s="793"/>
      <c r="AF438" s="793"/>
      <c r="AG438" s="793"/>
      <c r="AH438" s="805"/>
      <c r="AI438" s="805"/>
      <c r="AJ438" s="793"/>
      <c r="AK438" s="793"/>
      <c r="AL438" s="793"/>
      <c r="AM438" s="793"/>
      <c r="AN438" s="805"/>
      <c r="AO438" s="805"/>
      <c r="AP438" s="793">
        <f t="shared" si="323"/>
        <v>0</v>
      </c>
      <c r="AQ438" s="793">
        <f>I438</f>
        <v>53250</v>
      </c>
      <c r="AR438" s="793">
        <f>IF(AND(F438&gt;$AJ$3,F438&lt;$AP$3),$AP$3-F438+1,IF(H438&lt;=$AJ$3,0,IF(H438&gt;$AP$3,$AP$3-$AJ$3,H438-$AJ$3)))</f>
        <v>45</v>
      </c>
      <c r="AS438" s="793">
        <f>ROUND(AQ438*C438*AR438/365,0)</f>
        <v>1247</v>
      </c>
      <c r="AT438" s="793">
        <f t="shared" si="327"/>
        <v>1247</v>
      </c>
      <c r="AU438" s="793">
        <f t="shared" si="328"/>
        <v>52003</v>
      </c>
      <c r="AV438" s="793">
        <f t="shared" si="329"/>
        <v>52003</v>
      </c>
      <c r="AW438" s="793">
        <f t="shared" si="338"/>
        <v>53250</v>
      </c>
      <c r="AX438" s="793">
        <f t="shared" si="339"/>
        <v>365</v>
      </c>
      <c r="AY438" s="793">
        <f t="shared" si="340"/>
        <v>10118</v>
      </c>
      <c r="AZ438" s="793">
        <f t="shared" si="333"/>
        <v>11365</v>
      </c>
      <c r="BA438" s="793">
        <f t="shared" si="334"/>
        <v>41885</v>
      </c>
    </row>
    <row r="439" spans="1:57" ht="15" customHeight="1" x14ac:dyDescent="0.25">
      <c r="A439" s="842" t="s">
        <v>667</v>
      </c>
      <c r="B439" s="822" t="s">
        <v>216</v>
      </c>
      <c r="C439" s="778">
        <f t="shared" si="335"/>
        <v>0.19</v>
      </c>
      <c r="D439" s="844">
        <v>5</v>
      </c>
      <c r="E439" s="844" t="s">
        <v>884</v>
      </c>
      <c r="F439" s="814">
        <v>45348</v>
      </c>
      <c r="G439" s="814">
        <v>45348</v>
      </c>
      <c r="H439" s="781">
        <f t="shared" si="336"/>
        <v>47173</v>
      </c>
      <c r="I439" s="815">
        <v>76050</v>
      </c>
      <c r="J439" s="805">
        <f t="shared" si="337"/>
        <v>3802.5</v>
      </c>
      <c r="K439" s="793"/>
      <c r="L439" s="793"/>
      <c r="M439" s="793"/>
      <c r="N439" s="793"/>
      <c r="O439" s="793"/>
      <c r="P439" s="793"/>
      <c r="Q439" s="793"/>
      <c r="R439" s="793"/>
      <c r="S439" s="793"/>
      <c r="T439" s="793"/>
      <c r="U439" s="793"/>
      <c r="V439" s="793"/>
      <c r="W439" s="793"/>
      <c r="X439" s="793"/>
      <c r="Y439" s="793"/>
      <c r="Z439" s="793"/>
      <c r="AA439" s="793"/>
      <c r="AB439" s="793"/>
      <c r="AC439" s="793"/>
      <c r="AD439" s="793"/>
      <c r="AE439" s="793"/>
      <c r="AF439" s="793"/>
      <c r="AG439" s="793"/>
      <c r="AH439" s="805"/>
      <c r="AI439" s="805"/>
      <c r="AJ439" s="793"/>
      <c r="AK439" s="793"/>
      <c r="AL439" s="793"/>
      <c r="AM439" s="793"/>
      <c r="AN439" s="805"/>
      <c r="AO439" s="805"/>
      <c r="AP439" s="793">
        <f t="shared" si="323"/>
        <v>0</v>
      </c>
      <c r="AQ439" s="793">
        <f>I439</f>
        <v>76050</v>
      </c>
      <c r="AR439" s="793">
        <f>IF(AND(F439&gt;$AJ$3,F439&lt;$AP$3),$AP$3-F439+1,IF(H439&lt;=$AJ$3,0,IF(H439&gt;$AP$3,$AP$3-$AJ$3,H439-$AJ$3)))</f>
        <v>35</v>
      </c>
      <c r="AS439" s="793">
        <f>ROUND(AQ439*C439*AR439/365,0)</f>
        <v>1386</v>
      </c>
      <c r="AT439" s="793">
        <f t="shared" si="327"/>
        <v>1386</v>
      </c>
      <c r="AU439" s="793">
        <f t="shared" si="328"/>
        <v>74664</v>
      </c>
      <c r="AV439" s="793">
        <f t="shared" si="329"/>
        <v>74664</v>
      </c>
      <c r="AW439" s="793">
        <f t="shared" si="338"/>
        <v>76050</v>
      </c>
      <c r="AX439" s="793">
        <f t="shared" si="339"/>
        <v>365</v>
      </c>
      <c r="AY439" s="793">
        <f t="shared" si="340"/>
        <v>14450</v>
      </c>
      <c r="AZ439" s="793">
        <f t="shared" si="333"/>
        <v>15836</v>
      </c>
      <c r="BA439" s="793">
        <f t="shared" si="334"/>
        <v>60214</v>
      </c>
    </row>
    <row r="440" spans="1:57" ht="15" customHeight="1" x14ac:dyDescent="0.25">
      <c r="A440" s="842" t="s">
        <v>667</v>
      </c>
      <c r="B440" s="822" t="s">
        <v>505</v>
      </c>
      <c r="C440" s="778">
        <f t="shared" si="335"/>
        <v>0.19</v>
      </c>
      <c r="D440" s="844">
        <v>5</v>
      </c>
      <c r="E440" s="844" t="s">
        <v>884</v>
      </c>
      <c r="F440" s="814">
        <v>45376</v>
      </c>
      <c r="G440" s="814">
        <v>45376</v>
      </c>
      <c r="H440" s="781">
        <f t="shared" si="336"/>
        <v>47201</v>
      </c>
      <c r="I440" s="815">
        <v>66990</v>
      </c>
      <c r="J440" s="805">
        <f t="shared" si="337"/>
        <v>3349.5</v>
      </c>
      <c r="K440" s="793"/>
      <c r="L440" s="793"/>
      <c r="M440" s="793"/>
      <c r="N440" s="793"/>
      <c r="O440" s="793"/>
      <c r="P440" s="793"/>
      <c r="Q440" s="793"/>
      <c r="R440" s="793"/>
      <c r="S440" s="793"/>
      <c r="T440" s="793"/>
      <c r="U440" s="793"/>
      <c r="V440" s="793"/>
      <c r="W440" s="793"/>
      <c r="X440" s="793"/>
      <c r="Y440" s="793"/>
      <c r="Z440" s="793"/>
      <c r="AA440" s="793"/>
      <c r="AB440" s="793"/>
      <c r="AC440" s="793"/>
      <c r="AD440" s="793"/>
      <c r="AE440" s="793"/>
      <c r="AF440" s="793"/>
      <c r="AG440" s="793"/>
      <c r="AH440" s="805"/>
      <c r="AI440" s="805"/>
      <c r="AJ440" s="793"/>
      <c r="AK440" s="793"/>
      <c r="AL440" s="793"/>
      <c r="AM440" s="793"/>
      <c r="AN440" s="805"/>
      <c r="AO440" s="805"/>
      <c r="AP440" s="793">
        <f t="shared" si="323"/>
        <v>0</v>
      </c>
      <c r="AQ440" s="793">
        <f>I440</f>
        <v>66990</v>
      </c>
      <c r="AR440" s="793">
        <f>IF(AND(F440&gt;$AJ$3,F440&lt;$AP$3),$AP$3-F440+1,IF(H440&lt;=$AJ$3,0,IF(H440&gt;$AP$3,$AP$3-$AJ$3,H440-$AJ$3)))</f>
        <v>7</v>
      </c>
      <c r="AS440" s="793">
        <f>ROUND(AQ440*C440*AR440/365,0)</f>
        <v>244</v>
      </c>
      <c r="AT440" s="793">
        <f t="shared" si="327"/>
        <v>244</v>
      </c>
      <c r="AU440" s="793">
        <f t="shared" si="328"/>
        <v>66746</v>
      </c>
      <c r="AV440" s="793">
        <f t="shared" si="329"/>
        <v>66746</v>
      </c>
      <c r="AW440" s="793">
        <f t="shared" si="338"/>
        <v>66990</v>
      </c>
      <c r="AX440" s="793">
        <f t="shared" si="339"/>
        <v>365</v>
      </c>
      <c r="AY440" s="793">
        <f t="shared" si="340"/>
        <v>12728</v>
      </c>
      <c r="AZ440" s="793">
        <f t="shared" si="333"/>
        <v>12972</v>
      </c>
      <c r="BA440" s="793">
        <f t="shared" si="334"/>
        <v>54018</v>
      </c>
    </row>
    <row r="441" spans="1:57" ht="15" customHeight="1" x14ac:dyDescent="0.25">
      <c r="A441" s="842" t="s">
        <v>667</v>
      </c>
      <c r="B441" s="822" t="s">
        <v>1839</v>
      </c>
      <c r="C441" s="778">
        <f t="shared" si="335"/>
        <v>0.19</v>
      </c>
      <c r="D441" s="844">
        <v>5</v>
      </c>
      <c r="E441" s="844" t="s">
        <v>1567</v>
      </c>
      <c r="F441" s="814">
        <v>45428</v>
      </c>
      <c r="G441" s="814">
        <f t="shared" ref="G441:G450" si="341">+F441</f>
        <v>45428</v>
      </c>
      <c r="H441" s="781">
        <f t="shared" si="336"/>
        <v>47253</v>
      </c>
      <c r="I441" s="815">
        <v>2697</v>
      </c>
      <c r="J441" s="805">
        <f t="shared" si="337"/>
        <v>134.85</v>
      </c>
      <c r="K441" s="793"/>
      <c r="L441" s="793"/>
      <c r="M441" s="793"/>
      <c r="N441" s="793"/>
      <c r="O441" s="793"/>
      <c r="P441" s="793"/>
      <c r="Q441" s="793"/>
      <c r="R441" s="793"/>
      <c r="S441" s="793"/>
      <c r="T441" s="793"/>
      <c r="U441" s="793"/>
      <c r="V441" s="793"/>
      <c r="W441" s="793"/>
      <c r="X441" s="793"/>
      <c r="Y441" s="793"/>
      <c r="Z441" s="793"/>
      <c r="AA441" s="793"/>
      <c r="AB441" s="793"/>
      <c r="AC441" s="793"/>
      <c r="AD441" s="793"/>
      <c r="AE441" s="793"/>
      <c r="AF441" s="793"/>
      <c r="AG441" s="793"/>
      <c r="AH441" s="805"/>
      <c r="AI441" s="805"/>
      <c r="AJ441" s="793"/>
      <c r="AK441" s="793"/>
      <c r="AL441" s="793"/>
      <c r="AM441" s="793"/>
      <c r="AN441" s="805"/>
      <c r="AO441" s="805"/>
      <c r="AP441" s="793"/>
      <c r="AQ441" s="793">
        <v>0</v>
      </c>
      <c r="AR441" s="793"/>
      <c r="AS441" s="793"/>
      <c r="AT441" s="793"/>
      <c r="AU441" s="793"/>
      <c r="AV441" s="793">
        <f t="shared" si="329"/>
        <v>0</v>
      </c>
      <c r="AW441" s="793">
        <f t="shared" si="338"/>
        <v>2697</v>
      </c>
      <c r="AX441" s="793">
        <f t="shared" si="339"/>
        <v>320</v>
      </c>
      <c r="AY441" s="793">
        <f t="shared" si="340"/>
        <v>449</v>
      </c>
      <c r="AZ441" s="793">
        <f t="shared" si="333"/>
        <v>449</v>
      </c>
      <c r="BA441" s="793">
        <f t="shared" si="334"/>
        <v>2248</v>
      </c>
    </row>
    <row r="442" spans="1:57" ht="15" customHeight="1" x14ac:dyDescent="0.25">
      <c r="A442" s="842" t="s">
        <v>667</v>
      </c>
      <c r="B442" s="822" t="s">
        <v>1839</v>
      </c>
      <c r="C442" s="778">
        <f t="shared" si="335"/>
        <v>0.19</v>
      </c>
      <c r="D442" s="844">
        <v>5</v>
      </c>
      <c r="E442" s="844" t="s">
        <v>1567</v>
      </c>
      <c r="F442" s="814">
        <v>45430</v>
      </c>
      <c r="G442" s="814">
        <f t="shared" si="341"/>
        <v>45430</v>
      </c>
      <c r="H442" s="781">
        <f t="shared" si="336"/>
        <v>47255</v>
      </c>
      <c r="I442" s="815">
        <v>2698</v>
      </c>
      <c r="J442" s="805">
        <f t="shared" si="337"/>
        <v>134.9</v>
      </c>
      <c r="K442" s="793"/>
      <c r="L442" s="793"/>
      <c r="M442" s="793"/>
      <c r="N442" s="793"/>
      <c r="O442" s="793"/>
      <c r="P442" s="793"/>
      <c r="Q442" s="793"/>
      <c r="R442" s="793"/>
      <c r="S442" s="793"/>
      <c r="T442" s="793"/>
      <c r="U442" s="793"/>
      <c r="V442" s="793"/>
      <c r="W442" s="793"/>
      <c r="X442" s="793"/>
      <c r="Y442" s="793"/>
      <c r="Z442" s="793"/>
      <c r="AA442" s="793"/>
      <c r="AB442" s="793"/>
      <c r="AC442" s="793"/>
      <c r="AD442" s="793"/>
      <c r="AE442" s="793"/>
      <c r="AF442" s="793"/>
      <c r="AG442" s="793"/>
      <c r="AH442" s="805"/>
      <c r="AI442" s="805"/>
      <c r="AJ442" s="793"/>
      <c r="AK442" s="793"/>
      <c r="AL442" s="793"/>
      <c r="AM442" s="793"/>
      <c r="AN442" s="805"/>
      <c r="AO442" s="805"/>
      <c r="AP442" s="793"/>
      <c r="AQ442" s="793">
        <v>0</v>
      </c>
      <c r="AR442" s="793"/>
      <c r="AS442" s="793"/>
      <c r="AT442" s="793"/>
      <c r="AU442" s="793"/>
      <c r="AV442" s="793">
        <f t="shared" si="329"/>
        <v>0</v>
      </c>
      <c r="AW442" s="793">
        <f t="shared" si="338"/>
        <v>2698</v>
      </c>
      <c r="AX442" s="793">
        <f t="shared" si="339"/>
        <v>318</v>
      </c>
      <c r="AY442" s="793">
        <f t="shared" si="340"/>
        <v>447</v>
      </c>
      <c r="AZ442" s="793">
        <f t="shared" si="333"/>
        <v>447</v>
      </c>
      <c r="BA442" s="793">
        <f t="shared" si="334"/>
        <v>2251</v>
      </c>
    </row>
    <row r="443" spans="1:57" ht="15" customHeight="1" x14ac:dyDescent="0.25">
      <c r="A443" s="842" t="s">
        <v>667</v>
      </c>
      <c r="B443" s="822" t="s">
        <v>216</v>
      </c>
      <c r="C443" s="778">
        <f t="shared" si="335"/>
        <v>0.19</v>
      </c>
      <c r="D443" s="844">
        <v>5</v>
      </c>
      <c r="E443" s="844" t="s">
        <v>1567</v>
      </c>
      <c r="F443" s="814">
        <v>45482</v>
      </c>
      <c r="G443" s="814">
        <f t="shared" si="341"/>
        <v>45482</v>
      </c>
      <c r="H443" s="781">
        <f t="shared" si="336"/>
        <v>47307</v>
      </c>
      <c r="I443" s="815">
        <v>7998</v>
      </c>
      <c r="J443" s="805">
        <f t="shared" si="337"/>
        <v>399.90000000000003</v>
      </c>
      <c r="K443" s="793"/>
      <c r="L443" s="793"/>
      <c r="M443" s="793"/>
      <c r="N443" s="793"/>
      <c r="O443" s="793"/>
      <c r="P443" s="793"/>
      <c r="Q443" s="793"/>
      <c r="R443" s="793"/>
      <c r="S443" s="793"/>
      <c r="T443" s="793"/>
      <c r="U443" s="793"/>
      <c r="V443" s="793"/>
      <c r="W443" s="793"/>
      <c r="X443" s="793"/>
      <c r="Y443" s="793"/>
      <c r="Z443" s="793"/>
      <c r="AA443" s="793"/>
      <c r="AB443" s="793"/>
      <c r="AC443" s="793"/>
      <c r="AD443" s="793"/>
      <c r="AE443" s="793"/>
      <c r="AF443" s="793"/>
      <c r="AG443" s="793"/>
      <c r="AH443" s="805"/>
      <c r="AI443" s="805"/>
      <c r="AJ443" s="793"/>
      <c r="AK443" s="793"/>
      <c r="AL443" s="793"/>
      <c r="AM443" s="793"/>
      <c r="AN443" s="805"/>
      <c r="AO443" s="805"/>
      <c r="AP443" s="793"/>
      <c r="AQ443" s="793">
        <v>0</v>
      </c>
      <c r="AR443" s="793"/>
      <c r="AS443" s="793"/>
      <c r="AT443" s="793"/>
      <c r="AU443" s="793"/>
      <c r="AV443" s="793">
        <f t="shared" si="329"/>
        <v>0</v>
      </c>
      <c r="AW443" s="793">
        <f t="shared" si="338"/>
        <v>7998</v>
      </c>
      <c r="AX443" s="793">
        <f t="shared" si="339"/>
        <v>266</v>
      </c>
      <c r="AY443" s="793">
        <f t="shared" si="340"/>
        <v>1107</v>
      </c>
      <c r="AZ443" s="793">
        <f t="shared" si="333"/>
        <v>1107</v>
      </c>
      <c r="BA443" s="793">
        <f t="shared" si="334"/>
        <v>6891</v>
      </c>
    </row>
    <row r="444" spans="1:57" ht="15" customHeight="1" x14ac:dyDescent="0.25">
      <c r="A444" s="856" t="s">
        <v>667</v>
      </c>
      <c r="B444" s="825" t="s">
        <v>216</v>
      </c>
      <c r="C444" s="826">
        <f t="shared" si="335"/>
        <v>0.19</v>
      </c>
      <c r="D444" s="858">
        <v>5</v>
      </c>
      <c r="E444" s="844" t="s">
        <v>1567</v>
      </c>
      <c r="F444" s="827">
        <v>45453</v>
      </c>
      <c r="G444" s="827">
        <f t="shared" si="341"/>
        <v>45453</v>
      </c>
      <c r="H444" s="828">
        <f t="shared" si="336"/>
        <v>47278</v>
      </c>
      <c r="I444" s="829">
        <v>6000</v>
      </c>
      <c r="J444" s="821">
        <f t="shared" si="337"/>
        <v>300</v>
      </c>
      <c r="K444" s="818"/>
      <c r="L444" s="818"/>
      <c r="M444" s="818"/>
      <c r="N444" s="818"/>
      <c r="O444" s="818"/>
      <c r="P444" s="818"/>
      <c r="Q444" s="818"/>
      <c r="R444" s="818"/>
      <c r="S444" s="818"/>
      <c r="T444" s="818"/>
      <c r="U444" s="818"/>
      <c r="V444" s="818"/>
      <c r="W444" s="818"/>
      <c r="X444" s="818"/>
      <c r="Y444" s="818"/>
      <c r="Z444" s="818"/>
      <c r="AA444" s="818"/>
      <c r="AB444" s="818"/>
      <c r="AC444" s="818"/>
      <c r="AD444" s="818"/>
      <c r="AE444" s="818"/>
      <c r="AF444" s="818"/>
      <c r="AG444" s="818"/>
      <c r="AH444" s="821"/>
      <c r="AI444" s="821"/>
      <c r="AJ444" s="818"/>
      <c r="AK444" s="818"/>
      <c r="AL444" s="818"/>
      <c r="AM444" s="818"/>
      <c r="AN444" s="821"/>
      <c r="AO444" s="821"/>
      <c r="AP444" s="818"/>
      <c r="AQ444" s="818">
        <v>0</v>
      </c>
      <c r="AR444" s="818"/>
      <c r="AS444" s="818"/>
      <c r="AT444" s="818"/>
      <c r="AU444" s="818"/>
      <c r="AV444" s="818">
        <f t="shared" si="329"/>
        <v>0</v>
      </c>
      <c r="AW444" s="818">
        <f t="shared" si="338"/>
        <v>6000</v>
      </c>
      <c r="AX444" s="818">
        <f t="shared" si="339"/>
        <v>295</v>
      </c>
      <c r="AY444" s="818">
        <f t="shared" si="340"/>
        <v>921</v>
      </c>
      <c r="AZ444" s="818">
        <f t="shared" si="333"/>
        <v>921</v>
      </c>
      <c r="BA444" s="818">
        <f t="shared" si="334"/>
        <v>5079</v>
      </c>
    </row>
    <row r="445" spans="1:57" ht="15" customHeight="1" x14ac:dyDescent="0.25">
      <c r="A445" s="856" t="s">
        <v>667</v>
      </c>
      <c r="B445" s="825" t="s">
        <v>216</v>
      </c>
      <c r="C445" s="826">
        <f t="shared" si="335"/>
        <v>0.19</v>
      </c>
      <c r="D445" s="858">
        <v>5</v>
      </c>
      <c r="E445" s="844" t="s">
        <v>1567</v>
      </c>
      <c r="F445" s="827">
        <v>45535</v>
      </c>
      <c r="G445" s="827">
        <f t="shared" si="341"/>
        <v>45535</v>
      </c>
      <c r="H445" s="828">
        <f t="shared" si="336"/>
        <v>47360</v>
      </c>
      <c r="I445" s="815">
        <v>5600</v>
      </c>
      <c r="J445" s="805">
        <f t="shared" si="337"/>
        <v>280</v>
      </c>
      <c r="K445" s="793"/>
      <c r="L445" s="793"/>
      <c r="M445" s="793"/>
      <c r="N445" s="793"/>
      <c r="O445" s="793"/>
      <c r="P445" s="793"/>
      <c r="Q445" s="793"/>
      <c r="R445" s="793"/>
      <c r="S445" s="793"/>
      <c r="T445" s="793"/>
      <c r="U445" s="793"/>
      <c r="V445" s="793"/>
      <c r="W445" s="793"/>
      <c r="X445" s="793"/>
      <c r="Y445" s="793"/>
      <c r="Z445" s="793"/>
      <c r="AA445" s="793"/>
      <c r="AB445" s="793"/>
      <c r="AC445" s="793"/>
      <c r="AD445" s="793"/>
      <c r="AE445" s="793"/>
      <c r="AF445" s="793"/>
      <c r="AG445" s="793"/>
      <c r="AH445" s="805"/>
      <c r="AI445" s="805"/>
      <c r="AJ445" s="793"/>
      <c r="AK445" s="793"/>
      <c r="AL445" s="793"/>
      <c r="AM445" s="793"/>
      <c r="AN445" s="805"/>
      <c r="AO445" s="805"/>
      <c r="AP445" s="793"/>
      <c r="AQ445" s="793"/>
      <c r="AR445" s="793"/>
      <c r="AS445" s="793"/>
      <c r="AT445" s="793"/>
      <c r="AU445" s="793"/>
      <c r="AV445" s="818">
        <f t="shared" si="329"/>
        <v>0</v>
      </c>
      <c r="AW445" s="818">
        <f t="shared" si="338"/>
        <v>5600</v>
      </c>
      <c r="AX445" s="818">
        <f t="shared" si="339"/>
        <v>213</v>
      </c>
      <c r="AY445" s="818">
        <f t="shared" si="340"/>
        <v>621</v>
      </c>
      <c r="AZ445" s="818">
        <f t="shared" si="333"/>
        <v>621</v>
      </c>
      <c r="BA445" s="819">
        <f t="shared" si="334"/>
        <v>4979</v>
      </c>
      <c r="BB445" s="1382"/>
      <c r="BE445" s="1424"/>
    </row>
    <row r="446" spans="1:57" ht="15" customHeight="1" x14ac:dyDescent="0.25">
      <c r="A446" s="856" t="s">
        <v>667</v>
      </c>
      <c r="B446" s="825" t="s">
        <v>216</v>
      </c>
      <c r="C446" s="826">
        <f t="shared" si="335"/>
        <v>0.19</v>
      </c>
      <c r="D446" s="858">
        <v>5</v>
      </c>
      <c r="E446" s="844" t="s">
        <v>1567</v>
      </c>
      <c r="F446" s="827">
        <v>45579</v>
      </c>
      <c r="G446" s="827">
        <f t="shared" si="341"/>
        <v>45579</v>
      </c>
      <c r="H446" s="828">
        <f t="shared" si="336"/>
        <v>47404</v>
      </c>
      <c r="I446" s="815">
        <v>8900</v>
      </c>
      <c r="J446" s="805">
        <f t="shared" si="337"/>
        <v>445</v>
      </c>
      <c r="K446" s="793"/>
      <c r="L446" s="793"/>
      <c r="M446" s="793"/>
      <c r="N446" s="793"/>
      <c r="O446" s="793"/>
      <c r="P446" s="793"/>
      <c r="Q446" s="793"/>
      <c r="R446" s="793"/>
      <c r="S446" s="793"/>
      <c r="T446" s="793"/>
      <c r="U446" s="793"/>
      <c r="V446" s="793"/>
      <c r="W446" s="793"/>
      <c r="X446" s="793"/>
      <c r="Y446" s="793"/>
      <c r="Z446" s="793"/>
      <c r="AA446" s="793"/>
      <c r="AB446" s="793"/>
      <c r="AC446" s="793"/>
      <c r="AD446" s="793"/>
      <c r="AE446" s="793"/>
      <c r="AF446" s="793"/>
      <c r="AG446" s="793"/>
      <c r="AH446" s="805"/>
      <c r="AI446" s="805"/>
      <c r="AJ446" s="793"/>
      <c r="AK446" s="793"/>
      <c r="AL446" s="793"/>
      <c r="AM446" s="793"/>
      <c r="AN446" s="805"/>
      <c r="AO446" s="805"/>
      <c r="AP446" s="793"/>
      <c r="AQ446" s="793"/>
      <c r="AR446" s="793"/>
      <c r="AS446" s="793"/>
      <c r="AT446" s="793"/>
      <c r="AU446" s="793"/>
      <c r="AV446" s="818">
        <f t="shared" si="329"/>
        <v>0</v>
      </c>
      <c r="AW446" s="818">
        <f t="shared" si="338"/>
        <v>8900</v>
      </c>
      <c r="AX446" s="818">
        <f t="shared" si="339"/>
        <v>169</v>
      </c>
      <c r="AY446" s="818">
        <f t="shared" si="340"/>
        <v>783</v>
      </c>
      <c r="AZ446" s="818">
        <f t="shared" si="333"/>
        <v>783</v>
      </c>
      <c r="BA446" s="793">
        <f t="shared" si="334"/>
        <v>8117</v>
      </c>
      <c r="BB446" s="1382"/>
      <c r="BE446" s="1424"/>
    </row>
    <row r="447" spans="1:57" ht="15" customHeight="1" x14ac:dyDescent="0.25">
      <c r="A447" s="856" t="s">
        <v>667</v>
      </c>
      <c r="B447" s="852" t="s">
        <v>1314</v>
      </c>
      <c r="C447" s="826">
        <f t="shared" si="335"/>
        <v>0.19</v>
      </c>
      <c r="D447" s="858">
        <v>5</v>
      </c>
      <c r="E447" s="844" t="s">
        <v>1567</v>
      </c>
      <c r="F447" s="827">
        <v>45422</v>
      </c>
      <c r="G447" s="827">
        <f t="shared" si="341"/>
        <v>45422</v>
      </c>
      <c r="H447" s="828">
        <f t="shared" si="336"/>
        <v>47247</v>
      </c>
      <c r="I447" s="815">
        <v>30900</v>
      </c>
      <c r="J447" s="805">
        <f t="shared" si="337"/>
        <v>1545</v>
      </c>
      <c r="K447" s="793"/>
      <c r="L447" s="793"/>
      <c r="M447" s="793"/>
      <c r="N447" s="793"/>
      <c r="O447" s="793"/>
      <c r="P447" s="793"/>
      <c r="Q447" s="793"/>
      <c r="R447" s="793"/>
      <c r="S447" s="793"/>
      <c r="T447" s="793"/>
      <c r="U447" s="793"/>
      <c r="V447" s="793"/>
      <c r="W447" s="793"/>
      <c r="X447" s="793"/>
      <c r="Y447" s="793"/>
      <c r="Z447" s="793"/>
      <c r="AA447" s="793"/>
      <c r="AB447" s="793"/>
      <c r="AC447" s="793"/>
      <c r="AD447" s="793"/>
      <c r="AE447" s="793"/>
      <c r="AF447" s="793"/>
      <c r="AG447" s="793"/>
      <c r="AH447" s="805"/>
      <c r="AI447" s="805"/>
      <c r="AJ447" s="793"/>
      <c r="AK447" s="793"/>
      <c r="AL447" s="793"/>
      <c r="AM447" s="793"/>
      <c r="AN447" s="805"/>
      <c r="AO447" s="805"/>
      <c r="AP447" s="793"/>
      <c r="AQ447" s="793"/>
      <c r="AR447" s="793"/>
      <c r="AS447" s="793"/>
      <c r="AT447" s="793"/>
      <c r="AU447" s="793"/>
      <c r="AV447" s="818">
        <f t="shared" si="329"/>
        <v>0</v>
      </c>
      <c r="AW447" s="818">
        <f t="shared" si="338"/>
        <v>30900</v>
      </c>
      <c r="AX447" s="818">
        <f t="shared" si="339"/>
        <v>326</v>
      </c>
      <c r="AY447" s="818">
        <f t="shared" si="340"/>
        <v>5244</v>
      </c>
      <c r="AZ447" s="818">
        <f t="shared" si="333"/>
        <v>5244</v>
      </c>
      <c r="BA447" s="793">
        <f t="shared" si="334"/>
        <v>25656</v>
      </c>
      <c r="BB447" s="1382"/>
      <c r="BE447" s="1424"/>
    </row>
    <row r="448" spans="1:57" ht="15" customHeight="1" x14ac:dyDescent="0.25">
      <c r="A448" s="856" t="s">
        <v>667</v>
      </c>
      <c r="B448" s="852" t="s">
        <v>1314</v>
      </c>
      <c r="C448" s="826">
        <f t="shared" si="335"/>
        <v>0.19</v>
      </c>
      <c r="D448" s="858">
        <v>5</v>
      </c>
      <c r="E448" s="844" t="s">
        <v>1567</v>
      </c>
      <c r="F448" s="827">
        <v>45456</v>
      </c>
      <c r="G448" s="827">
        <f t="shared" si="341"/>
        <v>45456</v>
      </c>
      <c r="H448" s="828">
        <f t="shared" si="336"/>
        <v>47281</v>
      </c>
      <c r="I448" s="815">
        <v>11000</v>
      </c>
      <c r="J448" s="805">
        <f t="shared" si="337"/>
        <v>550</v>
      </c>
      <c r="K448" s="793"/>
      <c r="L448" s="793"/>
      <c r="M448" s="793"/>
      <c r="N448" s="793"/>
      <c r="O448" s="793"/>
      <c r="P448" s="793"/>
      <c r="Q448" s="793"/>
      <c r="R448" s="793"/>
      <c r="S448" s="793"/>
      <c r="T448" s="793"/>
      <c r="U448" s="793"/>
      <c r="V448" s="793"/>
      <c r="W448" s="793"/>
      <c r="X448" s="793"/>
      <c r="Y448" s="793"/>
      <c r="Z448" s="793"/>
      <c r="AA448" s="793"/>
      <c r="AB448" s="793"/>
      <c r="AC448" s="793"/>
      <c r="AD448" s="793"/>
      <c r="AE448" s="793"/>
      <c r="AF448" s="793"/>
      <c r="AG448" s="793"/>
      <c r="AH448" s="805"/>
      <c r="AI448" s="805"/>
      <c r="AJ448" s="793"/>
      <c r="AK448" s="793"/>
      <c r="AL448" s="793"/>
      <c r="AM448" s="793"/>
      <c r="AN448" s="805"/>
      <c r="AO448" s="805"/>
      <c r="AP448" s="793"/>
      <c r="AQ448" s="793"/>
      <c r="AR448" s="793"/>
      <c r="AS448" s="793"/>
      <c r="AT448" s="793"/>
      <c r="AU448" s="793"/>
      <c r="AV448" s="818">
        <f t="shared" si="329"/>
        <v>0</v>
      </c>
      <c r="AW448" s="818">
        <f t="shared" si="338"/>
        <v>11000</v>
      </c>
      <c r="AX448" s="818">
        <f t="shared" si="339"/>
        <v>292</v>
      </c>
      <c r="AY448" s="818">
        <f t="shared" si="340"/>
        <v>1672</v>
      </c>
      <c r="AZ448" s="818">
        <f t="shared" si="333"/>
        <v>1672</v>
      </c>
      <c r="BA448" s="793">
        <f t="shared" si="334"/>
        <v>9328</v>
      </c>
      <c r="BB448" s="1382"/>
      <c r="BE448" s="1424"/>
    </row>
    <row r="449" spans="1:59" ht="15" customHeight="1" x14ac:dyDescent="0.25">
      <c r="A449" s="856" t="s">
        <v>667</v>
      </c>
      <c r="B449" s="852" t="s">
        <v>1314</v>
      </c>
      <c r="C449" s="826">
        <f t="shared" si="335"/>
        <v>0.19</v>
      </c>
      <c r="D449" s="858">
        <v>5</v>
      </c>
      <c r="E449" s="844" t="s">
        <v>1567</v>
      </c>
      <c r="F449" s="827">
        <v>45503</v>
      </c>
      <c r="G449" s="827">
        <f t="shared" si="341"/>
        <v>45503</v>
      </c>
      <c r="H449" s="828">
        <f t="shared" si="336"/>
        <v>47328</v>
      </c>
      <c r="I449" s="815">
        <v>8470</v>
      </c>
      <c r="J449" s="805">
        <f t="shared" si="337"/>
        <v>423.5</v>
      </c>
      <c r="K449" s="793"/>
      <c r="L449" s="793"/>
      <c r="M449" s="793"/>
      <c r="N449" s="793"/>
      <c r="O449" s="793"/>
      <c r="P449" s="793"/>
      <c r="Q449" s="793"/>
      <c r="R449" s="793"/>
      <c r="S449" s="793"/>
      <c r="T449" s="793"/>
      <c r="U449" s="793"/>
      <c r="V449" s="793"/>
      <c r="W449" s="793"/>
      <c r="X449" s="793"/>
      <c r="Y449" s="793"/>
      <c r="Z449" s="793"/>
      <c r="AA449" s="793"/>
      <c r="AB449" s="793"/>
      <c r="AC449" s="793"/>
      <c r="AD449" s="793"/>
      <c r="AE449" s="793"/>
      <c r="AF449" s="793"/>
      <c r="AG449" s="793"/>
      <c r="AH449" s="805"/>
      <c r="AI449" s="805"/>
      <c r="AJ449" s="793"/>
      <c r="AK449" s="793"/>
      <c r="AL449" s="793"/>
      <c r="AM449" s="793"/>
      <c r="AN449" s="805"/>
      <c r="AO449" s="805"/>
      <c r="AP449" s="793"/>
      <c r="AQ449" s="793"/>
      <c r="AR449" s="793"/>
      <c r="AS449" s="793"/>
      <c r="AT449" s="793"/>
      <c r="AU449" s="793"/>
      <c r="AV449" s="818">
        <f t="shared" si="329"/>
        <v>0</v>
      </c>
      <c r="AW449" s="818">
        <f t="shared" si="338"/>
        <v>8470</v>
      </c>
      <c r="AX449" s="818">
        <f t="shared" si="339"/>
        <v>245</v>
      </c>
      <c r="AY449" s="818">
        <f t="shared" si="340"/>
        <v>1080</v>
      </c>
      <c r="AZ449" s="818">
        <f t="shared" si="333"/>
        <v>1080</v>
      </c>
      <c r="BA449" s="793">
        <f t="shared" si="334"/>
        <v>7390</v>
      </c>
      <c r="BB449" s="1382"/>
      <c r="BE449" s="1424"/>
    </row>
    <row r="450" spans="1:59" ht="15" customHeight="1" thickBot="1" x14ac:dyDescent="0.3">
      <c r="A450" s="856" t="s">
        <v>667</v>
      </c>
      <c r="B450" s="822" t="s">
        <v>1840</v>
      </c>
      <c r="C450" s="826">
        <f t="shared" si="335"/>
        <v>0.19</v>
      </c>
      <c r="D450" s="858">
        <v>5</v>
      </c>
      <c r="E450" s="844" t="s">
        <v>1567</v>
      </c>
      <c r="F450" s="827">
        <v>45728</v>
      </c>
      <c r="G450" s="827">
        <f t="shared" si="341"/>
        <v>45728</v>
      </c>
      <c r="H450" s="828">
        <f t="shared" si="336"/>
        <v>47553</v>
      </c>
      <c r="I450" s="815">
        <v>1615000</v>
      </c>
      <c r="J450" s="805">
        <f t="shared" si="337"/>
        <v>80750</v>
      </c>
      <c r="K450" s="793"/>
      <c r="L450" s="793"/>
      <c r="M450" s="793"/>
      <c r="N450" s="793"/>
      <c r="O450" s="793"/>
      <c r="P450" s="793"/>
      <c r="Q450" s="793"/>
      <c r="R450" s="793"/>
      <c r="S450" s="793"/>
      <c r="T450" s="793"/>
      <c r="U450" s="793"/>
      <c r="V450" s="793"/>
      <c r="W450" s="793"/>
      <c r="X450" s="793"/>
      <c r="Y450" s="793"/>
      <c r="Z450" s="793"/>
      <c r="AA450" s="793"/>
      <c r="AB450" s="793"/>
      <c r="AC450" s="793"/>
      <c r="AD450" s="793"/>
      <c r="AE450" s="793"/>
      <c r="AF450" s="793"/>
      <c r="AG450" s="793"/>
      <c r="AH450" s="805"/>
      <c r="AI450" s="805"/>
      <c r="AJ450" s="793"/>
      <c r="AK450" s="793"/>
      <c r="AL450" s="793"/>
      <c r="AM450" s="793"/>
      <c r="AN450" s="805"/>
      <c r="AO450" s="805"/>
      <c r="AP450" s="793"/>
      <c r="AQ450" s="793"/>
      <c r="AR450" s="793"/>
      <c r="AS450" s="793"/>
      <c r="AT450" s="793"/>
      <c r="AU450" s="793"/>
      <c r="AV450" s="818">
        <f t="shared" ref="AV450" si="342">+AU450</f>
        <v>0</v>
      </c>
      <c r="AW450" s="818">
        <f t="shared" si="338"/>
        <v>1615000</v>
      </c>
      <c r="AX450" s="818">
        <f t="shared" si="339"/>
        <v>20</v>
      </c>
      <c r="AY450" s="818">
        <f t="shared" si="340"/>
        <v>16814</v>
      </c>
      <c r="AZ450" s="818">
        <f t="shared" ref="AZ450" si="343">+AT450+AY450</f>
        <v>16814</v>
      </c>
      <c r="BA450" s="793">
        <f t="shared" ref="BA450" si="344">+AW450-AZ450</f>
        <v>1598186</v>
      </c>
      <c r="BB450" s="1382"/>
      <c r="BE450" s="1424"/>
    </row>
    <row r="451" spans="1:59" ht="15" customHeight="1" thickBot="1" x14ac:dyDescent="0.3">
      <c r="A451" s="830" t="s">
        <v>1316</v>
      </c>
      <c r="B451" s="947"/>
      <c r="C451" s="948"/>
      <c r="D451" s="949"/>
      <c r="E451" s="949"/>
      <c r="F451" s="950"/>
      <c r="G451" s="951"/>
      <c r="H451" s="951"/>
      <c r="I451" s="1430">
        <f>SUM(I386:I450)</f>
        <v>7044662.6199999992</v>
      </c>
      <c r="J451" s="1430">
        <f>SUM(J386:J450)</f>
        <v>352233.13100000005</v>
      </c>
      <c r="K451" s="1431"/>
      <c r="L451" s="1430">
        <f t="shared" ref="L451:BA451" si="345">SUM(L386:L450)</f>
        <v>0</v>
      </c>
      <c r="M451" s="1430">
        <f t="shared" si="345"/>
        <v>3485567.02</v>
      </c>
      <c r="N451" s="1430">
        <f t="shared" si="345"/>
        <v>6532</v>
      </c>
      <c r="O451" s="1430">
        <f t="shared" si="345"/>
        <v>569375</v>
      </c>
      <c r="P451" s="1430">
        <f t="shared" si="345"/>
        <v>569375</v>
      </c>
      <c r="Q451" s="1430">
        <f t="shared" si="345"/>
        <v>2916192.02</v>
      </c>
      <c r="R451" s="1430">
        <f t="shared" si="345"/>
        <v>2916192.02</v>
      </c>
      <c r="S451" s="1430">
        <f t="shared" si="345"/>
        <v>3771217.02</v>
      </c>
      <c r="T451" s="1430">
        <f t="shared" si="345"/>
        <v>9762</v>
      </c>
      <c r="U451" s="1430">
        <f t="shared" si="345"/>
        <v>714097</v>
      </c>
      <c r="V451" s="1430">
        <f t="shared" si="345"/>
        <v>1283472</v>
      </c>
      <c r="W451" s="1430">
        <f t="shared" si="345"/>
        <v>2487745.0199999996</v>
      </c>
      <c r="X451" s="1430">
        <f t="shared" si="345"/>
        <v>2487745.0199999996</v>
      </c>
      <c r="Y451" s="1430">
        <f t="shared" si="345"/>
        <v>3797216.02</v>
      </c>
      <c r="Z451" s="1430">
        <f t="shared" si="345"/>
        <v>10363</v>
      </c>
      <c r="AA451" s="1430">
        <f t="shared" si="345"/>
        <v>720059</v>
      </c>
      <c r="AB451" s="1430">
        <f t="shared" si="345"/>
        <v>2003531</v>
      </c>
      <c r="AC451" s="1430">
        <f t="shared" si="345"/>
        <v>1793685.0199999998</v>
      </c>
      <c r="AD451" s="1430">
        <f t="shared" si="345"/>
        <v>1793685.0199999998</v>
      </c>
      <c r="AE451" s="1430">
        <f t="shared" si="345"/>
        <v>4589135.0599999996</v>
      </c>
      <c r="AF451" s="1430">
        <f t="shared" si="345"/>
        <v>11811</v>
      </c>
      <c r="AG451" s="1430">
        <f t="shared" si="345"/>
        <v>786999</v>
      </c>
      <c r="AH451" s="1430">
        <f t="shared" si="345"/>
        <v>2790530</v>
      </c>
      <c r="AI451" s="1430">
        <f t="shared" si="345"/>
        <v>1798605.0600000003</v>
      </c>
      <c r="AJ451" s="1430">
        <f t="shared" si="345"/>
        <v>1798605.0600000003</v>
      </c>
      <c r="AK451" s="1430">
        <f t="shared" si="345"/>
        <v>4788966.6199999992</v>
      </c>
      <c r="AL451" s="1430">
        <f t="shared" si="345"/>
        <v>15993</v>
      </c>
      <c r="AM451" s="1430">
        <f t="shared" si="345"/>
        <v>1155667</v>
      </c>
      <c r="AN451" s="1430">
        <f t="shared" si="345"/>
        <v>3685159</v>
      </c>
      <c r="AO451" s="1430">
        <f t="shared" si="345"/>
        <v>1103807.6200000001</v>
      </c>
      <c r="AP451" s="1430">
        <f t="shared" si="345"/>
        <v>1103807.6200000001</v>
      </c>
      <c r="AQ451" s="1430">
        <f t="shared" si="345"/>
        <v>5345399.6199999992</v>
      </c>
      <c r="AR451" s="1430">
        <f t="shared" si="345"/>
        <v>11574</v>
      </c>
      <c r="AS451" s="1430">
        <f t="shared" si="345"/>
        <v>353485</v>
      </c>
      <c r="AT451" s="1430">
        <f t="shared" si="345"/>
        <v>4038644</v>
      </c>
      <c r="AU451" s="1430">
        <f t="shared" si="345"/>
        <v>1306755.6200000001</v>
      </c>
      <c r="AV451" s="1430">
        <f t="shared" si="345"/>
        <v>1306755.6200000001</v>
      </c>
      <c r="AW451" s="1430">
        <f t="shared" si="345"/>
        <v>7044662.6199999992</v>
      </c>
      <c r="AX451" s="1430">
        <f t="shared" si="345"/>
        <v>12435</v>
      </c>
      <c r="AY451" s="1430">
        <f t="shared" si="345"/>
        <v>330529</v>
      </c>
      <c r="AZ451" s="1430">
        <f t="shared" si="345"/>
        <v>4369173</v>
      </c>
      <c r="BA451" s="1432">
        <f t="shared" si="345"/>
        <v>2675489.62</v>
      </c>
      <c r="BB451" s="1395">
        <f>+SUM(AW441:AW450)</f>
        <v>1699263</v>
      </c>
      <c r="BC451" s="841">
        <f>+AV451</f>
        <v>1306755.6200000001</v>
      </c>
      <c r="BD451" s="841">
        <f>+AW451</f>
        <v>7044662.6199999992</v>
      </c>
      <c r="BE451" s="1424">
        <f>+AY451</f>
        <v>330529</v>
      </c>
      <c r="BF451" s="841">
        <f>+AZ451</f>
        <v>4369173</v>
      </c>
      <c r="BG451" s="841">
        <f>+BA451</f>
        <v>2675489.62</v>
      </c>
    </row>
    <row r="452" spans="1:59" ht="15" customHeight="1" x14ac:dyDescent="0.25">
      <c r="A452" s="906"/>
      <c r="B452" s="936"/>
      <c r="C452" s="937"/>
      <c r="D452" s="938"/>
      <c r="E452" s="938"/>
      <c r="F452" s="939"/>
      <c r="G452" s="940"/>
      <c r="H452" s="940"/>
      <c r="I452" s="1433"/>
      <c r="J452" s="1433"/>
      <c r="K452" s="1328"/>
      <c r="L452" s="1328"/>
      <c r="M452" s="1433"/>
      <c r="N452" s="1433"/>
      <c r="O452" s="1433"/>
      <c r="P452" s="1433"/>
      <c r="Q452" s="1433"/>
      <c r="R452" s="1433"/>
      <c r="S452" s="1433"/>
      <c r="T452" s="1433"/>
      <c r="U452" s="1433"/>
      <c r="V452" s="1433"/>
      <c r="W452" s="1433"/>
      <c r="X452" s="1433"/>
      <c r="Y452" s="1433"/>
      <c r="Z452" s="1433"/>
      <c r="AA452" s="1433"/>
      <c r="AB452" s="1433"/>
      <c r="AC452" s="1433"/>
      <c r="AD452" s="1433"/>
      <c r="AE452" s="1433"/>
      <c r="AF452" s="1433"/>
      <c r="AG452" s="1433"/>
      <c r="AH452" s="1433"/>
      <c r="AI452" s="1433"/>
      <c r="AJ452" s="1433"/>
      <c r="AK452" s="1433"/>
      <c r="AL452" s="1433"/>
      <c r="AM452" s="1433"/>
      <c r="AN452" s="1433"/>
      <c r="AO452" s="1433"/>
      <c r="AQ452" s="1328"/>
      <c r="AR452" s="1328"/>
      <c r="AS452" s="1328"/>
      <c r="AT452" s="1328"/>
      <c r="AU452" s="1328"/>
      <c r="AV452" s="1328"/>
      <c r="AW452" s="1328"/>
      <c r="AX452" s="1328"/>
      <c r="AY452" s="1328"/>
      <c r="AZ452" s="1328"/>
      <c r="BA452" s="1328"/>
    </row>
    <row r="453" spans="1:59" ht="15" customHeight="1" x14ac:dyDescent="0.25">
      <c r="A453" s="842" t="s">
        <v>1317</v>
      </c>
      <c r="B453" s="843" t="s">
        <v>1318</v>
      </c>
      <c r="C453" s="778">
        <f t="shared" ref="C453:C516" si="346">(95/D453)/100</f>
        <v>6.3333333333333325E-2</v>
      </c>
      <c r="D453" s="844">
        <v>15</v>
      </c>
      <c r="E453" s="779" t="s">
        <v>1182</v>
      </c>
      <c r="F453" s="845">
        <v>43191</v>
      </c>
      <c r="G453" s="781">
        <f t="shared" ref="G453:G508" si="347">F453</f>
        <v>43191</v>
      </c>
      <c r="H453" s="781">
        <f t="shared" ref="H453:H516" si="348">G453+(365*D453)</f>
        <v>48666</v>
      </c>
      <c r="I453" s="1359">
        <v>3475000</v>
      </c>
      <c r="J453" s="805">
        <f t="shared" ref="J453:J516" si="349">I453*5%</f>
        <v>173750</v>
      </c>
      <c r="K453" s="793"/>
      <c r="L453" s="793">
        <v>0</v>
      </c>
      <c r="M453" s="793">
        <f t="shared" ref="M453:M484" si="350">I453</f>
        <v>3475000</v>
      </c>
      <c r="N453" s="793">
        <f t="shared" ref="N453:N484" si="351">IF(AND(F453&gt;$K$3,F453&lt;$L$3),$L$3-F453+1,IF(H453&lt;=$K$3,0,IF(H453&gt;$L$3,$L$3-$K$3,H453-$K$3)))</f>
        <v>365</v>
      </c>
      <c r="O453" s="793">
        <f t="shared" ref="O453:O484" si="352">ROUND(M453*C453*N453/365,0)</f>
        <v>220083</v>
      </c>
      <c r="P453" s="793">
        <f t="shared" ref="P453:P484" si="353">O453</f>
        <v>220083</v>
      </c>
      <c r="Q453" s="793">
        <f t="shared" ref="Q453:Q484" si="354">+M453-P453</f>
        <v>3254917</v>
      </c>
      <c r="R453" s="793">
        <f t="shared" ref="R453:R488" si="355">+Q453</f>
        <v>3254917</v>
      </c>
      <c r="S453" s="793">
        <f t="shared" ref="S453:S491" si="356">I453</f>
        <v>3475000</v>
      </c>
      <c r="T453" s="805">
        <f t="shared" ref="T453:T491" si="357">IF(AND(F453&gt;$L$3,F453&lt;$R$3),$R$3-F453+1,IF(H453&lt;=$L$3,0,IF(H453&gt;$R$3,$R$3-$L$3,H453-$L$3)))</f>
        <v>366</v>
      </c>
      <c r="U453" s="805">
        <f t="shared" ref="U453:U491" si="358">ROUND(S453*C453*T453/366,0)</f>
        <v>220083</v>
      </c>
      <c r="V453" s="793">
        <f t="shared" ref="V453:V491" si="359">+P453+U453</f>
        <v>440166</v>
      </c>
      <c r="W453" s="793">
        <f t="shared" ref="W453:W491" si="360">+S453-V453</f>
        <v>3034834</v>
      </c>
      <c r="X453" s="793">
        <f t="shared" ref="X453:X491" si="361">W453</f>
        <v>3034834</v>
      </c>
      <c r="Y453" s="805">
        <f t="shared" ref="Y453:Y498" si="362">I453</f>
        <v>3475000</v>
      </c>
      <c r="Z453" s="805">
        <f t="shared" ref="Z453:Z498" si="363">IF(AND(F453&gt;$R$3,F453&lt;$X$3),$X$3-F453+1,IF(H453&lt;=$R$3,0,IF(H453&gt;$X$3,$X$3-$R$3,H453-$R$3)))</f>
        <v>365</v>
      </c>
      <c r="AA453" s="805">
        <f t="shared" ref="AA453:AA498" si="364">ROUND(Y453*C453*Z453/365,0)</f>
        <v>220083</v>
      </c>
      <c r="AB453" s="805">
        <f t="shared" ref="AB453:AB498" si="365">+V453+AA453</f>
        <v>660249</v>
      </c>
      <c r="AC453" s="805">
        <f t="shared" ref="AC453:AC498" si="366">Y453-AB453</f>
        <v>2814751</v>
      </c>
      <c r="AD453" s="793">
        <f t="shared" ref="AD453:AD510" si="367">AC453</f>
        <v>2814751</v>
      </c>
      <c r="AE453" s="793">
        <f t="shared" ref="AE453:AE510" si="368">I453</f>
        <v>3475000</v>
      </c>
      <c r="AF453" s="793">
        <f t="shared" ref="AF453:AF510" si="369">IF(AND(F453&gt;$X$3,F453&lt;$AD$3),$AD$3-F453+1,IF(H453&lt;=$X$3,0,IF(H453&gt;$AD$3,$AD$3-$X$3,H453-$X$3)))</f>
        <v>365</v>
      </c>
      <c r="AG453" s="793">
        <f t="shared" ref="AG453:AG510" si="370">ROUND(AE453*C453*AF453/365,0)</f>
        <v>220083</v>
      </c>
      <c r="AH453" s="805">
        <f t="shared" ref="AH453:AH510" si="371">+AB453+AG453</f>
        <v>880332</v>
      </c>
      <c r="AI453" s="805">
        <f t="shared" ref="AI453:AI510" si="372">AE453-AH453</f>
        <v>2594668</v>
      </c>
      <c r="AJ453" s="793">
        <f t="shared" ref="AJ453:AJ516" si="373">AI453</f>
        <v>2594668</v>
      </c>
      <c r="AK453" s="793">
        <f t="shared" ref="AK453:AK516" si="374">I453</f>
        <v>3475000</v>
      </c>
      <c r="AL453" s="793">
        <f t="shared" ref="AL453:AL516" si="375">IF(AND(F453&gt;$AD$3,F453&lt;$AJ$3),$AJ$3-F453+1,IF(H453&lt;=$AD$3,0,IF(H453&gt;$AJ$3,$AJ$3-$AD$3,H453-$AD$3)))</f>
        <v>365</v>
      </c>
      <c r="AM453" s="793">
        <f t="shared" ref="AM453:AM516" si="376">ROUND(AK453*C453*AL453/365,0)</f>
        <v>220083</v>
      </c>
      <c r="AN453" s="805">
        <f t="shared" ref="AN453:AN516" si="377">+AH453+AM453</f>
        <v>1100415</v>
      </c>
      <c r="AO453" s="805">
        <f t="shared" ref="AO453:AO516" si="378">AK453-AN453</f>
        <v>2374585</v>
      </c>
      <c r="AP453" s="793">
        <f t="shared" ref="AP453:AP516" si="379">+AO453</f>
        <v>2374585</v>
      </c>
      <c r="AQ453" s="793">
        <f t="shared" ref="AQ453:AQ516" si="380">I453</f>
        <v>3475000</v>
      </c>
      <c r="AR453" s="793">
        <f t="shared" ref="AR453:AR516" si="381">IF(AND(F453&gt;$AJ$3,F453&lt;$AP$3),$AP$3-F453+1,IF(H453&lt;=$AJ$3,0,IF(H453&gt;$AP$3,$AP$3-$AJ$3,H453-$AJ$3)))</f>
        <v>366</v>
      </c>
      <c r="AS453" s="793">
        <f t="shared" ref="AS453:AS516" si="382">ROUND(AQ453*C453*AR453/365,0)</f>
        <v>220686</v>
      </c>
      <c r="AT453" s="793">
        <f t="shared" ref="AT453:AT516" si="383">+AN453+AS453</f>
        <v>1321101</v>
      </c>
      <c r="AU453" s="793">
        <f t="shared" ref="AU453:AU516" si="384">+AQ453-AT453</f>
        <v>2153899</v>
      </c>
      <c r="AV453" s="793">
        <f t="shared" ref="AV453:AV516" si="385">+AU453</f>
        <v>2153899</v>
      </c>
      <c r="AW453" s="793">
        <f t="shared" ref="AW453:AW516" si="386">+I453</f>
        <v>3475000</v>
      </c>
      <c r="AX453" s="793">
        <f t="shared" ref="AX453:AX516" si="387">IF(AND(F453&gt;$AP$3,F453&lt;$AV$3),$AV$3-F453+1,IF(H453&lt;=$AP$3,0,IF(H453&gt;$AV$3,$AV$3-$AP$3,H453-$AP$3)))</f>
        <v>365</v>
      </c>
      <c r="AY453" s="793">
        <f t="shared" ref="AY453:AY516" si="388">ROUND(AW453*C453*AX453/365,0)</f>
        <v>220083</v>
      </c>
      <c r="AZ453" s="793">
        <f t="shared" ref="AZ453:AZ516" si="389">+AT453+AY453</f>
        <v>1541184</v>
      </c>
      <c r="BA453" s="793">
        <f t="shared" ref="BA453:BA516" si="390">+AW453-AZ453</f>
        <v>1933816</v>
      </c>
    </row>
    <row r="454" spans="1:59" ht="15" customHeight="1" x14ac:dyDescent="0.25">
      <c r="A454" s="842" t="s">
        <v>1317</v>
      </c>
      <c r="B454" s="843" t="s">
        <v>1319</v>
      </c>
      <c r="C454" s="778">
        <f t="shared" si="346"/>
        <v>6.3333333333333325E-2</v>
      </c>
      <c r="D454" s="844">
        <v>15</v>
      </c>
      <c r="E454" s="779" t="s">
        <v>1182</v>
      </c>
      <c r="F454" s="845">
        <v>43191</v>
      </c>
      <c r="G454" s="781">
        <f t="shared" si="347"/>
        <v>43191</v>
      </c>
      <c r="H454" s="781">
        <f t="shared" si="348"/>
        <v>48666</v>
      </c>
      <c r="I454" s="1359">
        <v>982000</v>
      </c>
      <c r="J454" s="805">
        <f t="shared" si="349"/>
        <v>49100</v>
      </c>
      <c r="K454" s="793"/>
      <c r="L454" s="793">
        <v>0</v>
      </c>
      <c r="M454" s="793">
        <f t="shared" si="350"/>
        <v>982000</v>
      </c>
      <c r="N454" s="793">
        <f t="shared" si="351"/>
        <v>365</v>
      </c>
      <c r="O454" s="793">
        <f t="shared" si="352"/>
        <v>62193</v>
      </c>
      <c r="P454" s="793">
        <f t="shared" si="353"/>
        <v>62193</v>
      </c>
      <c r="Q454" s="793">
        <f t="shared" si="354"/>
        <v>919807</v>
      </c>
      <c r="R454" s="793">
        <f t="shared" si="355"/>
        <v>919807</v>
      </c>
      <c r="S454" s="793">
        <f t="shared" si="356"/>
        <v>982000</v>
      </c>
      <c r="T454" s="805">
        <f t="shared" si="357"/>
        <v>366</v>
      </c>
      <c r="U454" s="805">
        <f t="shared" si="358"/>
        <v>62193</v>
      </c>
      <c r="V454" s="793">
        <f t="shared" si="359"/>
        <v>124386</v>
      </c>
      <c r="W454" s="793">
        <f t="shared" si="360"/>
        <v>857614</v>
      </c>
      <c r="X454" s="793">
        <f t="shared" si="361"/>
        <v>857614</v>
      </c>
      <c r="Y454" s="805">
        <f t="shared" si="362"/>
        <v>982000</v>
      </c>
      <c r="Z454" s="805">
        <f t="shared" si="363"/>
        <v>365</v>
      </c>
      <c r="AA454" s="805">
        <f t="shared" si="364"/>
        <v>62193</v>
      </c>
      <c r="AB454" s="805">
        <f t="shared" si="365"/>
        <v>186579</v>
      </c>
      <c r="AC454" s="805">
        <f t="shared" si="366"/>
        <v>795421</v>
      </c>
      <c r="AD454" s="793">
        <f t="shared" si="367"/>
        <v>795421</v>
      </c>
      <c r="AE454" s="793">
        <f t="shared" si="368"/>
        <v>982000</v>
      </c>
      <c r="AF454" s="793">
        <f t="shared" si="369"/>
        <v>365</v>
      </c>
      <c r="AG454" s="793">
        <f t="shared" si="370"/>
        <v>62193</v>
      </c>
      <c r="AH454" s="805">
        <f t="shared" si="371"/>
        <v>248772</v>
      </c>
      <c r="AI454" s="805">
        <f t="shared" si="372"/>
        <v>733228</v>
      </c>
      <c r="AJ454" s="793">
        <f t="shared" si="373"/>
        <v>733228</v>
      </c>
      <c r="AK454" s="793">
        <f t="shared" si="374"/>
        <v>982000</v>
      </c>
      <c r="AL454" s="793">
        <f t="shared" si="375"/>
        <v>365</v>
      </c>
      <c r="AM454" s="793">
        <f t="shared" si="376"/>
        <v>62193</v>
      </c>
      <c r="AN454" s="805">
        <f t="shared" si="377"/>
        <v>310965</v>
      </c>
      <c r="AO454" s="805">
        <f t="shared" si="378"/>
        <v>671035</v>
      </c>
      <c r="AP454" s="793">
        <f t="shared" si="379"/>
        <v>671035</v>
      </c>
      <c r="AQ454" s="793">
        <f t="shared" si="380"/>
        <v>982000</v>
      </c>
      <c r="AR454" s="793">
        <f t="shared" si="381"/>
        <v>366</v>
      </c>
      <c r="AS454" s="793">
        <f t="shared" si="382"/>
        <v>62364</v>
      </c>
      <c r="AT454" s="793">
        <f t="shared" si="383"/>
        <v>373329</v>
      </c>
      <c r="AU454" s="793">
        <f t="shared" si="384"/>
        <v>608671</v>
      </c>
      <c r="AV454" s="793">
        <f t="shared" si="385"/>
        <v>608671</v>
      </c>
      <c r="AW454" s="793">
        <f t="shared" si="386"/>
        <v>982000</v>
      </c>
      <c r="AX454" s="793">
        <f t="shared" si="387"/>
        <v>365</v>
      </c>
      <c r="AY454" s="793">
        <f t="shared" si="388"/>
        <v>62193</v>
      </c>
      <c r="AZ454" s="793">
        <f t="shared" si="389"/>
        <v>435522</v>
      </c>
      <c r="BA454" s="793">
        <f t="shared" si="390"/>
        <v>546478</v>
      </c>
    </row>
    <row r="455" spans="1:59" ht="15" customHeight="1" x14ac:dyDescent="0.25">
      <c r="A455" s="842" t="s">
        <v>1317</v>
      </c>
      <c r="B455" s="915" t="s">
        <v>1320</v>
      </c>
      <c r="C455" s="778">
        <f t="shared" si="346"/>
        <v>6.3333333333333325E-2</v>
      </c>
      <c r="D455" s="844">
        <v>15</v>
      </c>
      <c r="E455" s="779" t="s">
        <v>1182</v>
      </c>
      <c r="F455" s="845">
        <v>43191</v>
      </c>
      <c r="G455" s="781">
        <f t="shared" si="347"/>
        <v>43191</v>
      </c>
      <c r="H455" s="781">
        <f t="shared" si="348"/>
        <v>48666</v>
      </c>
      <c r="I455" s="1359">
        <v>118500</v>
      </c>
      <c r="J455" s="805">
        <f t="shared" si="349"/>
        <v>5925</v>
      </c>
      <c r="K455" s="793"/>
      <c r="L455" s="793">
        <v>0</v>
      </c>
      <c r="M455" s="793">
        <f t="shared" si="350"/>
        <v>118500</v>
      </c>
      <c r="N455" s="793">
        <f t="shared" si="351"/>
        <v>365</v>
      </c>
      <c r="O455" s="793">
        <f t="shared" si="352"/>
        <v>7505</v>
      </c>
      <c r="P455" s="793">
        <f t="shared" si="353"/>
        <v>7505</v>
      </c>
      <c r="Q455" s="793">
        <f t="shared" si="354"/>
        <v>110995</v>
      </c>
      <c r="R455" s="793">
        <f t="shared" si="355"/>
        <v>110995</v>
      </c>
      <c r="S455" s="793">
        <f t="shared" si="356"/>
        <v>118500</v>
      </c>
      <c r="T455" s="805">
        <f t="shared" si="357"/>
        <v>366</v>
      </c>
      <c r="U455" s="805">
        <f t="shared" si="358"/>
        <v>7505</v>
      </c>
      <c r="V455" s="793">
        <f t="shared" si="359"/>
        <v>15010</v>
      </c>
      <c r="W455" s="793">
        <f t="shared" si="360"/>
        <v>103490</v>
      </c>
      <c r="X455" s="793">
        <f t="shared" si="361"/>
        <v>103490</v>
      </c>
      <c r="Y455" s="805">
        <f t="shared" si="362"/>
        <v>118500</v>
      </c>
      <c r="Z455" s="805">
        <f t="shared" si="363"/>
        <v>365</v>
      </c>
      <c r="AA455" s="805">
        <f t="shared" si="364"/>
        <v>7505</v>
      </c>
      <c r="AB455" s="805">
        <f t="shared" si="365"/>
        <v>22515</v>
      </c>
      <c r="AC455" s="805">
        <f t="shared" si="366"/>
        <v>95985</v>
      </c>
      <c r="AD455" s="793">
        <f t="shared" si="367"/>
        <v>95985</v>
      </c>
      <c r="AE455" s="793">
        <f t="shared" si="368"/>
        <v>118500</v>
      </c>
      <c r="AF455" s="793">
        <f t="shared" si="369"/>
        <v>365</v>
      </c>
      <c r="AG455" s="793">
        <f t="shared" si="370"/>
        <v>7505</v>
      </c>
      <c r="AH455" s="805">
        <f t="shared" si="371"/>
        <v>30020</v>
      </c>
      <c r="AI455" s="805">
        <f t="shared" si="372"/>
        <v>88480</v>
      </c>
      <c r="AJ455" s="793">
        <f t="shared" si="373"/>
        <v>88480</v>
      </c>
      <c r="AK455" s="793">
        <f t="shared" si="374"/>
        <v>118500</v>
      </c>
      <c r="AL455" s="793">
        <f t="shared" si="375"/>
        <v>365</v>
      </c>
      <c r="AM455" s="793">
        <f t="shared" si="376"/>
        <v>7505</v>
      </c>
      <c r="AN455" s="805">
        <f t="shared" si="377"/>
        <v>37525</v>
      </c>
      <c r="AO455" s="805">
        <f t="shared" si="378"/>
        <v>80975</v>
      </c>
      <c r="AP455" s="793">
        <f t="shared" si="379"/>
        <v>80975</v>
      </c>
      <c r="AQ455" s="793">
        <f t="shared" si="380"/>
        <v>118500</v>
      </c>
      <c r="AR455" s="793">
        <f t="shared" si="381"/>
        <v>366</v>
      </c>
      <c r="AS455" s="793">
        <f t="shared" si="382"/>
        <v>7526</v>
      </c>
      <c r="AT455" s="793">
        <f t="shared" si="383"/>
        <v>45051</v>
      </c>
      <c r="AU455" s="793">
        <f t="shared" si="384"/>
        <v>73449</v>
      </c>
      <c r="AV455" s="793">
        <f t="shared" si="385"/>
        <v>73449</v>
      </c>
      <c r="AW455" s="793">
        <f t="shared" si="386"/>
        <v>118500</v>
      </c>
      <c r="AX455" s="793">
        <f t="shared" si="387"/>
        <v>365</v>
      </c>
      <c r="AY455" s="793">
        <f t="shared" si="388"/>
        <v>7505</v>
      </c>
      <c r="AZ455" s="793">
        <f t="shared" si="389"/>
        <v>52556</v>
      </c>
      <c r="BA455" s="793">
        <f t="shared" si="390"/>
        <v>65944</v>
      </c>
    </row>
    <row r="456" spans="1:59" ht="15" customHeight="1" x14ac:dyDescent="0.25">
      <c r="A456" s="842" t="s">
        <v>1317</v>
      </c>
      <c r="B456" s="843" t="s">
        <v>1321</v>
      </c>
      <c r="C456" s="778">
        <f t="shared" si="346"/>
        <v>6.3333333333333325E-2</v>
      </c>
      <c r="D456" s="844">
        <v>15</v>
      </c>
      <c r="E456" s="779" t="s">
        <v>1182</v>
      </c>
      <c r="F456" s="845">
        <v>43191</v>
      </c>
      <c r="G456" s="781">
        <f t="shared" si="347"/>
        <v>43191</v>
      </c>
      <c r="H456" s="781">
        <f t="shared" si="348"/>
        <v>48666</v>
      </c>
      <c r="I456" s="1359">
        <v>12600</v>
      </c>
      <c r="J456" s="805">
        <f t="shared" si="349"/>
        <v>630</v>
      </c>
      <c r="K456" s="793"/>
      <c r="L456" s="793">
        <v>0</v>
      </c>
      <c r="M456" s="793">
        <f t="shared" si="350"/>
        <v>12600</v>
      </c>
      <c r="N456" s="793">
        <f t="shared" si="351"/>
        <v>365</v>
      </c>
      <c r="O456" s="793">
        <f t="shared" si="352"/>
        <v>798</v>
      </c>
      <c r="P456" s="793">
        <f t="shared" si="353"/>
        <v>798</v>
      </c>
      <c r="Q456" s="793">
        <f t="shared" si="354"/>
        <v>11802</v>
      </c>
      <c r="R456" s="793">
        <f t="shared" si="355"/>
        <v>11802</v>
      </c>
      <c r="S456" s="793">
        <f t="shared" si="356"/>
        <v>12600</v>
      </c>
      <c r="T456" s="805">
        <f t="shared" si="357"/>
        <v>366</v>
      </c>
      <c r="U456" s="805">
        <f t="shared" si="358"/>
        <v>798</v>
      </c>
      <c r="V456" s="793">
        <f t="shared" si="359"/>
        <v>1596</v>
      </c>
      <c r="W456" s="793">
        <f t="shared" si="360"/>
        <v>11004</v>
      </c>
      <c r="X456" s="793">
        <f t="shared" si="361"/>
        <v>11004</v>
      </c>
      <c r="Y456" s="805">
        <f t="shared" si="362"/>
        <v>12600</v>
      </c>
      <c r="Z456" s="805">
        <f t="shared" si="363"/>
        <v>365</v>
      </c>
      <c r="AA456" s="805">
        <f t="shared" si="364"/>
        <v>798</v>
      </c>
      <c r="AB456" s="805">
        <f t="shared" si="365"/>
        <v>2394</v>
      </c>
      <c r="AC456" s="805">
        <f t="shared" si="366"/>
        <v>10206</v>
      </c>
      <c r="AD456" s="793">
        <f t="shared" si="367"/>
        <v>10206</v>
      </c>
      <c r="AE456" s="793">
        <f t="shared" si="368"/>
        <v>12600</v>
      </c>
      <c r="AF456" s="793">
        <f t="shared" si="369"/>
        <v>365</v>
      </c>
      <c r="AG456" s="793">
        <f t="shared" si="370"/>
        <v>798</v>
      </c>
      <c r="AH456" s="805">
        <f t="shared" si="371"/>
        <v>3192</v>
      </c>
      <c r="AI456" s="805">
        <f t="shared" si="372"/>
        <v>9408</v>
      </c>
      <c r="AJ456" s="793">
        <f t="shared" si="373"/>
        <v>9408</v>
      </c>
      <c r="AK456" s="793">
        <f t="shared" si="374"/>
        <v>12600</v>
      </c>
      <c r="AL456" s="793">
        <f t="shared" si="375"/>
        <v>365</v>
      </c>
      <c r="AM456" s="793">
        <f t="shared" si="376"/>
        <v>798</v>
      </c>
      <c r="AN456" s="805">
        <f t="shared" si="377"/>
        <v>3990</v>
      </c>
      <c r="AO456" s="805">
        <f t="shared" si="378"/>
        <v>8610</v>
      </c>
      <c r="AP456" s="793">
        <f t="shared" si="379"/>
        <v>8610</v>
      </c>
      <c r="AQ456" s="793">
        <f t="shared" si="380"/>
        <v>12600</v>
      </c>
      <c r="AR456" s="793">
        <f t="shared" si="381"/>
        <v>366</v>
      </c>
      <c r="AS456" s="793">
        <f t="shared" si="382"/>
        <v>800</v>
      </c>
      <c r="AT456" s="793">
        <f t="shared" si="383"/>
        <v>4790</v>
      </c>
      <c r="AU456" s="793">
        <f t="shared" si="384"/>
        <v>7810</v>
      </c>
      <c r="AV456" s="793">
        <f t="shared" si="385"/>
        <v>7810</v>
      </c>
      <c r="AW456" s="793">
        <f t="shared" si="386"/>
        <v>12600</v>
      </c>
      <c r="AX456" s="793">
        <f t="shared" si="387"/>
        <v>365</v>
      </c>
      <c r="AY456" s="793">
        <f t="shared" si="388"/>
        <v>798</v>
      </c>
      <c r="AZ456" s="793">
        <f t="shared" si="389"/>
        <v>5588</v>
      </c>
      <c r="BA456" s="793">
        <f t="shared" si="390"/>
        <v>7012</v>
      </c>
    </row>
    <row r="457" spans="1:59" ht="15" customHeight="1" x14ac:dyDescent="0.25">
      <c r="A457" s="842" t="s">
        <v>1317</v>
      </c>
      <c r="B457" s="843" t="s">
        <v>1322</v>
      </c>
      <c r="C457" s="778">
        <f t="shared" si="346"/>
        <v>6.3333333333333325E-2</v>
      </c>
      <c r="D457" s="844">
        <v>15</v>
      </c>
      <c r="E457" s="779" t="s">
        <v>1182</v>
      </c>
      <c r="F457" s="845">
        <v>43191</v>
      </c>
      <c r="G457" s="781">
        <f t="shared" si="347"/>
        <v>43191</v>
      </c>
      <c r="H457" s="781">
        <f t="shared" si="348"/>
        <v>48666</v>
      </c>
      <c r="I457" s="1359">
        <v>195000</v>
      </c>
      <c r="J457" s="805">
        <f t="shared" si="349"/>
        <v>9750</v>
      </c>
      <c r="K457" s="793"/>
      <c r="L457" s="793">
        <v>0</v>
      </c>
      <c r="M457" s="793">
        <f t="shared" si="350"/>
        <v>195000</v>
      </c>
      <c r="N457" s="793">
        <f t="shared" si="351"/>
        <v>365</v>
      </c>
      <c r="O457" s="793">
        <f t="shared" si="352"/>
        <v>12350</v>
      </c>
      <c r="P457" s="793">
        <f t="shared" si="353"/>
        <v>12350</v>
      </c>
      <c r="Q457" s="793">
        <f t="shared" si="354"/>
        <v>182650</v>
      </c>
      <c r="R457" s="793">
        <f t="shared" si="355"/>
        <v>182650</v>
      </c>
      <c r="S457" s="793">
        <f t="shared" si="356"/>
        <v>195000</v>
      </c>
      <c r="T457" s="805">
        <f t="shared" si="357"/>
        <v>366</v>
      </c>
      <c r="U457" s="805">
        <f t="shared" si="358"/>
        <v>12350</v>
      </c>
      <c r="V457" s="793">
        <f t="shared" si="359"/>
        <v>24700</v>
      </c>
      <c r="W457" s="793">
        <f t="shared" si="360"/>
        <v>170300</v>
      </c>
      <c r="X457" s="793">
        <f t="shared" si="361"/>
        <v>170300</v>
      </c>
      <c r="Y457" s="805">
        <f t="shared" si="362"/>
        <v>195000</v>
      </c>
      <c r="Z457" s="805">
        <f t="shared" si="363"/>
        <v>365</v>
      </c>
      <c r="AA457" s="805">
        <f t="shared" si="364"/>
        <v>12350</v>
      </c>
      <c r="AB457" s="805">
        <f t="shared" si="365"/>
        <v>37050</v>
      </c>
      <c r="AC457" s="805">
        <f t="shared" si="366"/>
        <v>157950</v>
      </c>
      <c r="AD457" s="793">
        <f t="shared" si="367"/>
        <v>157950</v>
      </c>
      <c r="AE457" s="793">
        <f t="shared" si="368"/>
        <v>195000</v>
      </c>
      <c r="AF457" s="793">
        <f t="shared" si="369"/>
        <v>365</v>
      </c>
      <c r="AG457" s="793">
        <f t="shared" si="370"/>
        <v>12350</v>
      </c>
      <c r="AH457" s="805">
        <f t="shared" si="371"/>
        <v>49400</v>
      </c>
      <c r="AI457" s="805">
        <f t="shared" si="372"/>
        <v>145600</v>
      </c>
      <c r="AJ457" s="793">
        <f t="shared" si="373"/>
        <v>145600</v>
      </c>
      <c r="AK457" s="793">
        <f t="shared" si="374"/>
        <v>195000</v>
      </c>
      <c r="AL457" s="793">
        <f t="shared" si="375"/>
        <v>365</v>
      </c>
      <c r="AM457" s="793">
        <f t="shared" si="376"/>
        <v>12350</v>
      </c>
      <c r="AN457" s="805">
        <f t="shared" si="377"/>
        <v>61750</v>
      </c>
      <c r="AO457" s="805">
        <f t="shared" si="378"/>
        <v>133250</v>
      </c>
      <c r="AP457" s="793">
        <f t="shared" si="379"/>
        <v>133250</v>
      </c>
      <c r="AQ457" s="793">
        <f t="shared" si="380"/>
        <v>195000</v>
      </c>
      <c r="AR457" s="793">
        <f t="shared" si="381"/>
        <v>366</v>
      </c>
      <c r="AS457" s="793">
        <f t="shared" si="382"/>
        <v>12384</v>
      </c>
      <c r="AT457" s="793">
        <f t="shared" si="383"/>
        <v>74134</v>
      </c>
      <c r="AU457" s="793">
        <f t="shared" si="384"/>
        <v>120866</v>
      </c>
      <c r="AV457" s="793">
        <f t="shared" si="385"/>
        <v>120866</v>
      </c>
      <c r="AW457" s="793">
        <f t="shared" si="386"/>
        <v>195000</v>
      </c>
      <c r="AX457" s="793">
        <f t="shared" si="387"/>
        <v>365</v>
      </c>
      <c r="AY457" s="793">
        <f t="shared" si="388"/>
        <v>12350</v>
      </c>
      <c r="AZ457" s="793">
        <f t="shared" si="389"/>
        <v>86484</v>
      </c>
      <c r="BA457" s="793">
        <f t="shared" si="390"/>
        <v>108516</v>
      </c>
    </row>
    <row r="458" spans="1:59" ht="15" customHeight="1" x14ac:dyDescent="0.25">
      <c r="A458" s="842" t="s">
        <v>1317</v>
      </c>
      <c r="B458" s="843" t="s">
        <v>1323</v>
      </c>
      <c r="C458" s="778">
        <f t="shared" si="346"/>
        <v>6.3333333333333325E-2</v>
      </c>
      <c r="D458" s="844">
        <v>15</v>
      </c>
      <c r="E458" s="779" t="s">
        <v>1182</v>
      </c>
      <c r="F458" s="845">
        <v>43191</v>
      </c>
      <c r="G458" s="781">
        <f t="shared" si="347"/>
        <v>43191</v>
      </c>
      <c r="H458" s="781">
        <f t="shared" si="348"/>
        <v>48666</v>
      </c>
      <c r="I458" s="1359">
        <v>600000</v>
      </c>
      <c r="J458" s="805">
        <f t="shared" si="349"/>
        <v>30000</v>
      </c>
      <c r="K458" s="793"/>
      <c r="L458" s="793">
        <v>0</v>
      </c>
      <c r="M458" s="793">
        <f t="shared" si="350"/>
        <v>600000</v>
      </c>
      <c r="N458" s="793">
        <f t="shared" si="351"/>
        <v>365</v>
      </c>
      <c r="O458" s="793">
        <f t="shared" si="352"/>
        <v>38000</v>
      </c>
      <c r="P458" s="793">
        <f t="shared" si="353"/>
        <v>38000</v>
      </c>
      <c r="Q458" s="793">
        <f t="shared" si="354"/>
        <v>562000</v>
      </c>
      <c r="R458" s="793">
        <f t="shared" si="355"/>
        <v>562000</v>
      </c>
      <c r="S458" s="793">
        <f t="shared" si="356"/>
        <v>600000</v>
      </c>
      <c r="T458" s="805">
        <f t="shared" si="357"/>
        <v>366</v>
      </c>
      <c r="U458" s="805">
        <f t="shared" si="358"/>
        <v>38000</v>
      </c>
      <c r="V458" s="793">
        <f t="shared" si="359"/>
        <v>76000</v>
      </c>
      <c r="W458" s="793">
        <f t="shared" si="360"/>
        <v>524000</v>
      </c>
      <c r="X458" s="793">
        <f t="shared" si="361"/>
        <v>524000</v>
      </c>
      <c r="Y458" s="805">
        <f t="shared" si="362"/>
        <v>600000</v>
      </c>
      <c r="Z458" s="805">
        <f t="shared" si="363"/>
        <v>365</v>
      </c>
      <c r="AA458" s="805">
        <f t="shared" si="364"/>
        <v>38000</v>
      </c>
      <c r="AB458" s="805">
        <f t="shared" si="365"/>
        <v>114000</v>
      </c>
      <c r="AC458" s="805">
        <f t="shared" si="366"/>
        <v>486000</v>
      </c>
      <c r="AD458" s="793">
        <f t="shared" si="367"/>
        <v>486000</v>
      </c>
      <c r="AE458" s="793">
        <f t="shared" si="368"/>
        <v>600000</v>
      </c>
      <c r="AF458" s="793">
        <f t="shared" si="369"/>
        <v>365</v>
      </c>
      <c r="AG458" s="793">
        <f t="shared" si="370"/>
        <v>38000</v>
      </c>
      <c r="AH458" s="805">
        <f t="shared" si="371"/>
        <v>152000</v>
      </c>
      <c r="AI458" s="805">
        <f t="shared" si="372"/>
        <v>448000</v>
      </c>
      <c r="AJ458" s="793">
        <f t="shared" si="373"/>
        <v>448000</v>
      </c>
      <c r="AK458" s="793">
        <f t="shared" si="374"/>
        <v>600000</v>
      </c>
      <c r="AL458" s="793">
        <f t="shared" si="375"/>
        <v>365</v>
      </c>
      <c r="AM458" s="793">
        <f t="shared" si="376"/>
        <v>38000</v>
      </c>
      <c r="AN458" s="805">
        <f t="shared" si="377"/>
        <v>190000</v>
      </c>
      <c r="AO458" s="805">
        <f t="shared" si="378"/>
        <v>410000</v>
      </c>
      <c r="AP458" s="793">
        <f t="shared" si="379"/>
        <v>410000</v>
      </c>
      <c r="AQ458" s="793">
        <f t="shared" si="380"/>
        <v>600000</v>
      </c>
      <c r="AR458" s="793">
        <f t="shared" si="381"/>
        <v>366</v>
      </c>
      <c r="AS458" s="793">
        <f t="shared" si="382"/>
        <v>38104</v>
      </c>
      <c r="AT458" s="793">
        <f t="shared" si="383"/>
        <v>228104</v>
      </c>
      <c r="AU458" s="793">
        <f t="shared" si="384"/>
        <v>371896</v>
      </c>
      <c r="AV458" s="793">
        <f t="shared" si="385"/>
        <v>371896</v>
      </c>
      <c r="AW458" s="793">
        <f t="shared" si="386"/>
        <v>600000</v>
      </c>
      <c r="AX458" s="793">
        <f t="shared" si="387"/>
        <v>365</v>
      </c>
      <c r="AY458" s="793">
        <f t="shared" si="388"/>
        <v>38000</v>
      </c>
      <c r="AZ458" s="793">
        <f t="shared" si="389"/>
        <v>266104</v>
      </c>
      <c r="BA458" s="793">
        <f t="shared" si="390"/>
        <v>333896</v>
      </c>
    </row>
    <row r="459" spans="1:59" ht="15" customHeight="1" x14ac:dyDescent="0.25">
      <c r="A459" s="842" t="s">
        <v>1317</v>
      </c>
      <c r="B459" s="843" t="s">
        <v>1324</v>
      </c>
      <c r="C459" s="778">
        <f t="shared" si="346"/>
        <v>6.3333333333333325E-2</v>
      </c>
      <c r="D459" s="844">
        <v>15</v>
      </c>
      <c r="E459" s="779" t="s">
        <v>1182</v>
      </c>
      <c r="F459" s="845">
        <v>43191</v>
      </c>
      <c r="G459" s="781">
        <f t="shared" si="347"/>
        <v>43191</v>
      </c>
      <c r="H459" s="781">
        <f t="shared" si="348"/>
        <v>48666</v>
      </c>
      <c r="I459" s="1359">
        <v>19770</v>
      </c>
      <c r="J459" s="805">
        <f t="shared" si="349"/>
        <v>988.5</v>
      </c>
      <c r="K459" s="793"/>
      <c r="L459" s="793">
        <v>0</v>
      </c>
      <c r="M459" s="793">
        <f t="shared" si="350"/>
        <v>19770</v>
      </c>
      <c r="N459" s="793">
        <f t="shared" si="351"/>
        <v>365</v>
      </c>
      <c r="O459" s="793">
        <f t="shared" si="352"/>
        <v>1252</v>
      </c>
      <c r="P459" s="793">
        <f t="shared" si="353"/>
        <v>1252</v>
      </c>
      <c r="Q459" s="793">
        <f t="shared" si="354"/>
        <v>18518</v>
      </c>
      <c r="R459" s="793">
        <f t="shared" si="355"/>
        <v>18518</v>
      </c>
      <c r="S459" s="793">
        <f t="shared" si="356"/>
        <v>19770</v>
      </c>
      <c r="T459" s="805">
        <f t="shared" si="357"/>
        <v>366</v>
      </c>
      <c r="U459" s="805">
        <f t="shared" si="358"/>
        <v>1252</v>
      </c>
      <c r="V459" s="793">
        <f t="shared" si="359"/>
        <v>2504</v>
      </c>
      <c r="W459" s="793">
        <f t="shared" si="360"/>
        <v>17266</v>
      </c>
      <c r="X459" s="793">
        <f t="shared" si="361"/>
        <v>17266</v>
      </c>
      <c r="Y459" s="805">
        <f t="shared" si="362"/>
        <v>19770</v>
      </c>
      <c r="Z459" s="805">
        <f t="shared" si="363"/>
        <v>365</v>
      </c>
      <c r="AA459" s="805">
        <f t="shared" si="364"/>
        <v>1252</v>
      </c>
      <c r="AB459" s="805">
        <f t="shared" si="365"/>
        <v>3756</v>
      </c>
      <c r="AC459" s="805">
        <f t="shared" si="366"/>
        <v>16014</v>
      </c>
      <c r="AD459" s="793">
        <f t="shared" si="367"/>
        <v>16014</v>
      </c>
      <c r="AE459" s="793">
        <f t="shared" si="368"/>
        <v>19770</v>
      </c>
      <c r="AF459" s="793">
        <f t="shared" si="369"/>
        <v>365</v>
      </c>
      <c r="AG459" s="793">
        <f t="shared" si="370"/>
        <v>1252</v>
      </c>
      <c r="AH459" s="805">
        <f t="shared" si="371"/>
        <v>5008</v>
      </c>
      <c r="AI459" s="805">
        <f t="shared" si="372"/>
        <v>14762</v>
      </c>
      <c r="AJ459" s="793">
        <f t="shared" si="373"/>
        <v>14762</v>
      </c>
      <c r="AK459" s="793">
        <f t="shared" si="374"/>
        <v>19770</v>
      </c>
      <c r="AL459" s="793">
        <f t="shared" si="375"/>
        <v>365</v>
      </c>
      <c r="AM459" s="793">
        <f t="shared" si="376"/>
        <v>1252</v>
      </c>
      <c r="AN459" s="805">
        <f t="shared" si="377"/>
        <v>6260</v>
      </c>
      <c r="AO459" s="805">
        <f t="shared" si="378"/>
        <v>13510</v>
      </c>
      <c r="AP459" s="793">
        <f t="shared" si="379"/>
        <v>13510</v>
      </c>
      <c r="AQ459" s="793">
        <f t="shared" si="380"/>
        <v>19770</v>
      </c>
      <c r="AR459" s="793">
        <f t="shared" si="381"/>
        <v>366</v>
      </c>
      <c r="AS459" s="793">
        <f t="shared" si="382"/>
        <v>1256</v>
      </c>
      <c r="AT459" s="793">
        <f t="shared" si="383"/>
        <v>7516</v>
      </c>
      <c r="AU459" s="793">
        <f t="shared" si="384"/>
        <v>12254</v>
      </c>
      <c r="AV459" s="793">
        <f t="shared" si="385"/>
        <v>12254</v>
      </c>
      <c r="AW459" s="793">
        <f t="shared" si="386"/>
        <v>19770</v>
      </c>
      <c r="AX459" s="793">
        <f t="shared" si="387"/>
        <v>365</v>
      </c>
      <c r="AY459" s="793">
        <f t="shared" si="388"/>
        <v>1252</v>
      </c>
      <c r="AZ459" s="793">
        <f t="shared" si="389"/>
        <v>8768</v>
      </c>
      <c r="BA459" s="793">
        <f t="shared" si="390"/>
        <v>11002</v>
      </c>
    </row>
    <row r="460" spans="1:59" ht="15" customHeight="1" x14ac:dyDescent="0.25">
      <c r="A460" s="842" t="s">
        <v>1317</v>
      </c>
      <c r="B460" s="843" t="s">
        <v>1325</v>
      </c>
      <c r="C460" s="778">
        <f t="shared" si="346"/>
        <v>6.3333333333333325E-2</v>
      </c>
      <c r="D460" s="844">
        <v>15</v>
      </c>
      <c r="E460" s="779" t="s">
        <v>1182</v>
      </c>
      <c r="F460" s="845">
        <v>43191</v>
      </c>
      <c r="G460" s="781">
        <f t="shared" si="347"/>
        <v>43191</v>
      </c>
      <c r="H460" s="781">
        <f t="shared" si="348"/>
        <v>48666</v>
      </c>
      <c r="I460" s="1359">
        <v>127070</v>
      </c>
      <c r="J460" s="805">
        <f t="shared" si="349"/>
        <v>6353.5</v>
      </c>
      <c r="K460" s="793"/>
      <c r="L460" s="793">
        <v>0</v>
      </c>
      <c r="M460" s="793">
        <f t="shared" si="350"/>
        <v>127070</v>
      </c>
      <c r="N460" s="793">
        <f t="shared" si="351"/>
        <v>365</v>
      </c>
      <c r="O460" s="793">
        <f t="shared" si="352"/>
        <v>8048</v>
      </c>
      <c r="P460" s="793">
        <f t="shared" si="353"/>
        <v>8048</v>
      </c>
      <c r="Q460" s="793">
        <f t="shared" si="354"/>
        <v>119022</v>
      </c>
      <c r="R460" s="793">
        <f t="shared" si="355"/>
        <v>119022</v>
      </c>
      <c r="S460" s="793">
        <f t="shared" si="356"/>
        <v>127070</v>
      </c>
      <c r="T460" s="805">
        <f t="shared" si="357"/>
        <v>366</v>
      </c>
      <c r="U460" s="805">
        <f t="shared" si="358"/>
        <v>8048</v>
      </c>
      <c r="V460" s="793">
        <f t="shared" si="359"/>
        <v>16096</v>
      </c>
      <c r="W460" s="793">
        <f t="shared" si="360"/>
        <v>110974</v>
      </c>
      <c r="X460" s="793">
        <f t="shared" si="361"/>
        <v>110974</v>
      </c>
      <c r="Y460" s="805">
        <f t="shared" si="362"/>
        <v>127070</v>
      </c>
      <c r="Z460" s="805">
        <f t="shared" si="363"/>
        <v>365</v>
      </c>
      <c r="AA460" s="805">
        <f t="shared" si="364"/>
        <v>8048</v>
      </c>
      <c r="AB460" s="805">
        <f t="shared" si="365"/>
        <v>24144</v>
      </c>
      <c r="AC460" s="805">
        <f t="shared" si="366"/>
        <v>102926</v>
      </c>
      <c r="AD460" s="793">
        <f t="shared" si="367"/>
        <v>102926</v>
      </c>
      <c r="AE460" s="793">
        <f t="shared" si="368"/>
        <v>127070</v>
      </c>
      <c r="AF460" s="793">
        <f t="shared" si="369"/>
        <v>365</v>
      </c>
      <c r="AG460" s="793">
        <f t="shared" si="370"/>
        <v>8048</v>
      </c>
      <c r="AH460" s="805">
        <f t="shared" si="371"/>
        <v>32192</v>
      </c>
      <c r="AI460" s="805">
        <f t="shared" si="372"/>
        <v>94878</v>
      </c>
      <c r="AJ460" s="793">
        <f t="shared" si="373"/>
        <v>94878</v>
      </c>
      <c r="AK460" s="793">
        <f t="shared" si="374"/>
        <v>127070</v>
      </c>
      <c r="AL460" s="793">
        <f t="shared" si="375"/>
        <v>365</v>
      </c>
      <c r="AM460" s="793">
        <f t="shared" si="376"/>
        <v>8048</v>
      </c>
      <c r="AN460" s="805">
        <f t="shared" si="377"/>
        <v>40240</v>
      </c>
      <c r="AO460" s="805">
        <f t="shared" si="378"/>
        <v>86830</v>
      </c>
      <c r="AP460" s="793">
        <f t="shared" si="379"/>
        <v>86830</v>
      </c>
      <c r="AQ460" s="793">
        <f t="shared" si="380"/>
        <v>127070</v>
      </c>
      <c r="AR460" s="793">
        <f t="shared" si="381"/>
        <v>366</v>
      </c>
      <c r="AS460" s="793">
        <f t="shared" si="382"/>
        <v>8070</v>
      </c>
      <c r="AT460" s="793">
        <f t="shared" si="383"/>
        <v>48310</v>
      </c>
      <c r="AU460" s="793">
        <f t="shared" si="384"/>
        <v>78760</v>
      </c>
      <c r="AV460" s="793">
        <f t="shared" si="385"/>
        <v>78760</v>
      </c>
      <c r="AW460" s="793">
        <f t="shared" si="386"/>
        <v>127070</v>
      </c>
      <c r="AX460" s="793">
        <f t="shared" si="387"/>
        <v>365</v>
      </c>
      <c r="AY460" s="793">
        <f t="shared" si="388"/>
        <v>8048</v>
      </c>
      <c r="AZ460" s="793">
        <f t="shared" si="389"/>
        <v>56358</v>
      </c>
      <c r="BA460" s="793">
        <f t="shared" si="390"/>
        <v>70712</v>
      </c>
    </row>
    <row r="461" spans="1:59" ht="15" customHeight="1" x14ac:dyDescent="0.25">
      <c r="A461" s="842" t="s">
        <v>1317</v>
      </c>
      <c r="B461" s="915" t="s">
        <v>1326</v>
      </c>
      <c r="C461" s="778">
        <f t="shared" si="346"/>
        <v>6.3333333333333325E-2</v>
      </c>
      <c r="D461" s="844">
        <v>15</v>
      </c>
      <c r="E461" s="779" t="s">
        <v>1182</v>
      </c>
      <c r="F461" s="845">
        <v>43191</v>
      </c>
      <c r="G461" s="781">
        <f t="shared" si="347"/>
        <v>43191</v>
      </c>
      <c r="H461" s="781">
        <f t="shared" si="348"/>
        <v>48666</v>
      </c>
      <c r="I461" s="1359">
        <v>36800</v>
      </c>
      <c r="J461" s="805">
        <f t="shared" si="349"/>
        <v>1840</v>
      </c>
      <c r="K461" s="793"/>
      <c r="L461" s="793">
        <v>0</v>
      </c>
      <c r="M461" s="793">
        <f t="shared" si="350"/>
        <v>36800</v>
      </c>
      <c r="N461" s="793">
        <f t="shared" si="351"/>
        <v>365</v>
      </c>
      <c r="O461" s="793">
        <f t="shared" si="352"/>
        <v>2331</v>
      </c>
      <c r="P461" s="793">
        <f t="shared" si="353"/>
        <v>2331</v>
      </c>
      <c r="Q461" s="793">
        <f t="shared" si="354"/>
        <v>34469</v>
      </c>
      <c r="R461" s="793">
        <f t="shared" si="355"/>
        <v>34469</v>
      </c>
      <c r="S461" s="793">
        <f t="shared" si="356"/>
        <v>36800</v>
      </c>
      <c r="T461" s="805">
        <f t="shared" si="357"/>
        <v>366</v>
      </c>
      <c r="U461" s="805">
        <f t="shared" si="358"/>
        <v>2331</v>
      </c>
      <c r="V461" s="793">
        <f t="shared" si="359"/>
        <v>4662</v>
      </c>
      <c r="W461" s="793">
        <f t="shared" si="360"/>
        <v>32138</v>
      </c>
      <c r="X461" s="793">
        <f t="shared" si="361"/>
        <v>32138</v>
      </c>
      <c r="Y461" s="805">
        <f t="shared" si="362"/>
        <v>36800</v>
      </c>
      <c r="Z461" s="805">
        <f t="shared" si="363"/>
        <v>365</v>
      </c>
      <c r="AA461" s="805">
        <f t="shared" si="364"/>
        <v>2331</v>
      </c>
      <c r="AB461" s="805">
        <f t="shared" si="365"/>
        <v>6993</v>
      </c>
      <c r="AC461" s="805">
        <f t="shared" si="366"/>
        <v>29807</v>
      </c>
      <c r="AD461" s="793">
        <f t="shared" si="367"/>
        <v>29807</v>
      </c>
      <c r="AE461" s="793">
        <f t="shared" si="368"/>
        <v>36800</v>
      </c>
      <c r="AF461" s="793">
        <f t="shared" si="369"/>
        <v>365</v>
      </c>
      <c r="AG461" s="793">
        <f t="shared" si="370"/>
        <v>2331</v>
      </c>
      <c r="AH461" s="805">
        <f t="shared" si="371"/>
        <v>9324</v>
      </c>
      <c r="AI461" s="805">
        <f t="shared" si="372"/>
        <v>27476</v>
      </c>
      <c r="AJ461" s="793">
        <f t="shared" si="373"/>
        <v>27476</v>
      </c>
      <c r="AK461" s="793">
        <f t="shared" si="374"/>
        <v>36800</v>
      </c>
      <c r="AL461" s="793">
        <f t="shared" si="375"/>
        <v>365</v>
      </c>
      <c r="AM461" s="793">
        <f t="shared" si="376"/>
        <v>2331</v>
      </c>
      <c r="AN461" s="805">
        <f t="shared" si="377"/>
        <v>11655</v>
      </c>
      <c r="AO461" s="805">
        <f t="shared" si="378"/>
        <v>25145</v>
      </c>
      <c r="AP461" s="793">
        <f t="shared" si="379"/>
        <v>25145</v>
      </c>
      <c r="AQ461" s="793">
        <f t="shared" si="380"/>
        <v>36800</v>
      </c>
      <c r="AR461" s="793">
        <f t="shared" si="381"/>
        <v>366</v>
      </c>
      <c r="AS461" s="793">
        <f t="shared" si="382"/>
        <v>2337</v>
      </c>
      <c r="AT461" s="793">
        <f t="shared" si="383"/>
        <v>13992</v>
      </c>
      <c r="AU461" s="793">
        <f t="shared" si="384"/>
        <v>22808</v>
      </c>
      <c r="AV461" s="793">
        <f t="shared" si="385"/>
        <v>22808</v>
      </c>
      <c r="AW461" s="793">
        <f t="shared" si="386"/>
        <v>36800</v>
      </c>
      <c r="AX461" s="793">
        <f t="shared" si="387"/>
        <v>365</v>
      </c>
      <c r="AY461" s="793">
        <f t="shared" si="388"/>
        <v>2331</v>
      </c>
      <c r="AZ461" s="793">
        <f t="shared" si="389"/>
        <v>16323</v>
      </c>
      <c r="BA461" s="793">
        <f t="shared" si="390"/>
        <v>20477</v>
      </c>
    </row>
    <row r="462" spans="1:59" ht="15" customHeight="1" x14ac:dyDescent="0.25">
      <c r="A462" s="842" t="s">
        <v>1317</v>
      </c>
      <c r="B462" s="915" t="s">
        <v>1327</v>
      </c>
      <c r="C462" s="778">
        <f t="shared" si="346"/>
        <v>6.3333333333333325E-2</v>
      </c>
      <c r="D462" s="844">
        <v>15</v>
      </c>
      <c r="E462" s="779" t="s">
        <v>1182</v>
      </c>
      <c r="F462" s="845">
        <v>43191</v>
      </c>
      <c r="G462" s="781">
        <f t="shared" si="347"/>
        <v>43191</v>
      </c>
      <c r="H462" s="781">
        <f t="shared" si="348"/>
        <v>48666</v>
      </c>
      <c r="I462" s="1359">
        <v>3250000</v>
      </c>
      <c r="J462" s="805">
        <f t="shared" si="349"/>
        <v>162500</v>
      </c>
      <c r="K462" s="793"/>
      <c r="L462" s="793">
        <v>0</v>
      </c>
      <c r="M462" s="793">
        <f t="shared" si="350"/>
        <v>3250000</v>
      </c>
      <c r="N462" s="793">
        <f t="shared" si="351"/>
        <v>365</v>
      </c>
      <c r="O462" s="793">
        <f t="shared" si="352"/>
        <v>205833</v>
      </c>
      <c r="P462" s="793">
        <f t="shared" si="353"/>
        <v>205833</v>
      </c>
      <c r="Q462" s="793">
        <f t="shared" si="354"/>
        <v>3044167</v>
      </c>
      <c r="R462" s="793">
        <f t="shared" si="355"/>
        <v>3044167</v>
      </c>
      <c r="S462" s="793">
        <f t="shared" si="356"/>
        <v>3250000</v>
      </c>
      <c r="T462" s="805">
        <f t="shared" si="357"/>
        <v>366</v>
      </c>
      <c r="U462" s="805">
        <f t="shared" si="358"/>
        <v>205833</v>
      </c>
      <c r="V462" s="793">
        <f t="shared" si="359"/>
        <v>411666</v>
      </c>
      <c r="W462" s="793">
        <f t="shared" si="360"/>
        <v>2838334</v>
      </c>
      <c r="X462" s="793">
        <f t="shared" si="361"/>
        <v>2838334</v>
      </c>
      <c r="Y462" s="805">
        <f t="shared" si="362"/>
        <v>3250000</v>
      </c>
      <c r="Z462" s="805">
        <f t="shared" si="363"/>
        <v>365</v>
      </c>
      <c r="AA462" s="805">
        <f t="shared" si="364"/>
        <v>205833</v>
      </c>
      <c r="AB462" s="805">
        <f t="shared" si="365"/>
        <v>617499</v>
      </c>
      <c r="AC462" s="805">
        <f t="shared" si="366"/>
        <v>2632501</v>
      </c>
      <c r="AD462" s="793">
        <f t="shared" si="367"/>
        <v>2632501</v>
      </c>
      <c r="AE462" s="793">
        <f t="shared" si="368"/>
        <v>3250000</v>
      </c>
      <c r="AF462" s="793">
        <f t="shared" si="369"/>
        <v>365</v>
      </c>
      <c r="AG462" s="793">
        <f t="shared" si="370"/>
        <v>205833</v>
      </c>
      <c r="AH462" s="805">
        <f t="shared" si="371"/>
        <v>823332</v>
      </c>
      <c r="AI462" s="805">
        <f t="shared" si="372"/>
        <v>2426668</v>
      </c>
      <c r="AJ462" s="793">
        <f t="shared" si="373"/>
        <v>2426668</v>
      </c>
      <c r="AK462" s="793">
        <f t="shared" si="374"/>
        <v>3250000</v>
      </c>
      <c r="AL462" s="793">
        <f t="shared" si="375"/>
        <v>365</v>
      </c>
      <c r="AM462" s="793">
        <f t="shared" si="376"/>
        <v>205833</v>
      </c>
      <c r="AN462" s="805">
        <f t="shared" si="377"/>
        <v>1029165</v>
      </c>
      <c r="AO462" s="805">
        <f t="shared" si="378"/>
        <v>2220835</v>
      </c>
      <c r="AP462" s="793">
        <f t="shared" si="379"/>
        <v>2220835</v>
      </c>
      <c r="AQ462" s="793">
        <f t="shared" si="380"/>
        <v>3250000</v>
      </c>
      <c r="AR462" s="793">
        <f t="shared" si="381"/>
        <v>366</v>
      </c>
      <c r="AS462" s="793">
        <f t="shared" si="382"/>
        <v>206397</v>
      </c>
      <c r="AT462" s="793">
        <f t="shared" si="383"/>
        <v>1235562</v>
      </c>
      <c r="AU462" s="793">
        <f t="shared" si="384"/>
        <v>2014438</v>
      </c>
      <c r="AV462" s="793">
        <f t="shared" si="385"/>
        <v>2014438</v>
      </c>
      <c r="AW462" s="793">
        <f t="shared" si="386"/>
        <v>3250000</v>
      </c>
      <c r="AX462" s="793">
        <f t="shared" si="387"/>
        <v>365</v>
      </c>
      <c r="AY462" s="793">
        <f t="shared" si="388"/>
        <v>205833</v>
      </c>
      <c r="AZ462" s="793">
        <f t="shared" si="389"/>
        <v>1441395</v>
      </c>
      <c r="BA462" s="793">
        <f t="shared" si="390"/>
        <v>1808605</v>
      </c>
    </row>
    <row r="463" spans="1:59" ht="15" customHeight="1" x14ac:dyDescent="0.25">
      <c r="A463" s="842" t="s">
        <v>1317</v>
      </c>
      <c r="B463" s="843" t="s">
        <v>1328</v>
      </c>
      <c r="C463" s="778">
        <f t="shared" si="346"/>
        <v>6.3333333333333325E-2</v>
      </c>
      <c r="D463" s="844">
        <v>15</v>
      </c>
      <c r="E463" s="779" t="s">
        <v>1182</v>
      </c>
      <c r="F463" s="845">
        <v>43191</v>
      </c>
      <c r="G463" s="781">
        <f t="shared" si="347"/>
        <v>43191</v>
      </c>
      <c r="H463" s="781">
        <f t="shared" si="348"/>
        <v>48666</v>
      </c>
      <c r="I463" s="1359">
        <v>128000</v>
      </c>
      <c r="J463" s="805">
        <f t="shared" si="349"/>
        <v>6400</v>
      </c>
      <c r="K463" s="793"/>
      <c r="L463" s="793">
        <v>0</v>
      </c>
      <c r="M463" s="793">
        <f t="shared" si="350"/>
        <v>128000</v>
      </c>
      <c r="N463" s="793">
        <f t="shared" si="351"/>
        <v>365</v>
      </c>
      <c r="O463" s="793">
        <f t="shared" si="352"/>
        <v>8107</v>
      </c>
      <c r="P463" s="793">
        <f t="shared" si="353"/>
        <v>8107</v>
      </c>
      <c r="Q463" s="793">
        <f t="shared" si="354"/>
        <v>119893</v>
      </c>
      <c r="R463" s="793">
        <f t="shared" si="355"/>
        <v>119893</v>
      </c>
      <c r="S463" s="793">
        <f t="shared" si="356"/>
        <v>128000</v>
      </c>
      <c r="T463" s="805">
        <f t="shared" si="357"/>
        <v>366</v>
      </c>
      <c r="U463" s="805">
        <f t="shared" si="358"/>
        <v>8107</v>
      </c>
      <c r="V463" s="793">
        <f t="shared" si="359"/>
        <v>16214</v>
      </c>
      <c r="W463" s="793">
        <f t="shared" si="360"/>
        <v>111786</v>
      </c>
      <c r="X463" s="793">
        <f t="shared" si="361"/>
        <v>111786</v>
      </c>
      <c r="Y463" s="805">
        <f t="shared" si="362"/>
        <v>128000</v>
      </c>
      <c r="Z463" s="805">
        <f t="shared" si="363"/>
        <v>365</v>
      </c>
      <c r="AA463" s="805">
        <f t="shared" si="364"/>
        <v>8107</v>
      </c>
      <c r="AB463" s="805">
        <f t="shared" si="365"/>
        <v>24321</v>
      </c>
      <c r="AC463" s="805">
        <f t="shared" si="366"/>
        <v>103679</v>
      </c>
      <c r="AD463" s="793">
        <f t="shared" si="367"/>
        <v>103679</v>
      </c>
      <c r="AE463" s="793">
        <f t="shared" si="368"/>
        <v>128000</v>
      </c>
      <c r="AF463" s="793">
        <f t="shared" si="369"/>
        <v>365</v>
      </c>
      <c r="AG463" s="793">
        <f t="shared" si="370"/>
        <v>8107</v>
      </c>
      <c r="AH463" s="805">
        <f t="shared" si="371"/>
        <v>32428</v>
      </c>
      <c r="AI463" s="805">
        <f t="shared" si="372"/>
        <v>95572</v>
      </c>
      <c r="AJ463" s="793">
        <f t="shared" si="373"/>
        <v>95572</v>
      </c>
      <c r="AK463" s="793">
        <f t="shared" si="374"/>
        <v>128000</v>
      </c>
      <c r="AL463" s="793">
        <f t="shared" si="375"/>
        <v>365</v>
      </c>
      <c r="AM463" s="793">
        <f t="shared" si="376"/>
        <v>8107</v>
      </c>
      <c r="AN463" s="805">
        <f t="shared" si="377"/>
        <v>40535</v>
      </c>
      <c r="AO463" s="805">
        <f t="shared" si="378"/>
        <v>87465</v>
      </c>
      <c r="AP463" s="793">
        <f t="shared" si="379"/>
        <v>87465</v>
      </c>
      <c r="AQ463" s="793">
        <f t="shared" si="380"/>
        <v>128000</v>
      </c>
      <c r="AR463" s="793">
        <f t="shared" si="381"/>
        <v>366</v>
      </c>
      <c r="AS463" s="793">
        <f t="shared" si="382"/>
        <v>8129</v>
      </c>
      <c r="AT463" s="793">
        <f t="shared" si="383"/>
        <v>48664</v>
      </c>
      <c r="AU463" s="793">
        <f t="shared" si="384"/>
        <v>79336</v>
      </c>
      <c r="AV463" s="793">
        <f t="shared" si="385"/>
        <v>79336</v>
      </c>
      <c r="AW463" s="793">
        <f t="shared" si="386"/>
        <v>128000</v>
      </c>
      <c r="AX463" s="793">
        <f t="shared" si="387"/>
        <v>365</v>
      </c>
      <c r="AY463" s="793">
        <f t="shared" si="388"/>
        <v>8107</v>
      </c>
      <c r="AZ463" s="793">
        <f t="shared" si="389"/>
        <v>56771</v>
      </c>
      <c r="BA463" s="793">
        <f t="shared" si="390"/>
        <v>71229</v>
      </c>
    </row>
    <row r="464" spans="1:59" ht="15" customHeight="1" x14ac:dyDescent="0.25">
      <c r="A464" s="842" t="s">
        <v>1317</v>
      </c>
      <c r="B464" s="843" t="s">
        <v>1329</v>
      </c>
      <c r="C464" s="778">
        <f t="shared" si="346"/>
        <v>6.3333333333333325E-2</v>
      </c>
      <c r="D464" s="844">
        <v>15</v>
      </c>
      <c r="E464" s="779" t="s">
        <v>1182</v>
      </c>
      <c r="F464" s="845">
        <v>43191</v>
      </c>
      <c r="G464" s="781">
        <f t="shared" si="347"/>
        <v>43191</v>
      </c>
      <c r="H464" s="781">
        <f t="shared" si="348"/>
        <v>48666</v>
      </c>
      <c r="I464" s="1359">
        <v>28071186.52</v>
      </c>
      <c r="J464" s="805">
        <f t="shared" si="349"/>
        <v>1403559.3260000001</v>
      </c>
      <c r="K464" s="793"/>
      <c r="L464" s="793">
        <v>0</v>
      </c>
      <c r="M464" s="793">
        <f t="shared" si="350"/>
        <v>28071186.52</v>
      </c>
      <c r="N464" s="793">
        <f t="shared" si="351"/>
        <v>365</v>
      </c>
      <c r="O464" s="793">
        <f t="shared" si="352"/>
        <v>1777842</v>
      </c>
      <c r="P464" s="793">
        <f t="shared" si="353"/>
        <v>1777842</v>
      </c>
      <c r="Q464" s="793">
        <f t="shared" si="354"/>
        <v>26293344.52</v>
      </c>
      <c r="R464" s="793">
        <f t="shared" si="355"/>
        <v>26293344.52</v>
      </c>
      <c r="S464" s="793">
        <f t="shared" si="356"/>
        <v>28071186.52</v>
      </c>
      <c r="T464" s="805">
        <f t="shared" si="357"/>
        <v>366</v>
      </c>
      <c r="U464" s="805">
        <f t="shared" si="358"/>
        <v>1777842</v>
      </c>
      <c r="V464" s="793">
        <f t="shared" si="359"/>
        <v>3555684</v>
      </c>
      <c r="W464" s="793">
        <f t="shared" si="360"/>
        <v>24515502.52</v>
      </c>
      <c r="X464" s="793">
        <f t="shared" si="361"/>
        <v>24515502.52</v>
      </c>
      <c r="Y464" s="805">
        <f t="shared" si="362"/>
        <v>28071186.52</v>
      </c>
      <c r="Z464" s="805">
        <f t="shared" si="363"/>
        <v>365</v>
      </c>
      <c r="AA464" s="805">
        <f t="shared" si="364"/>
        <v>1777842</v>
      </c>
      <c r="AB464" s="805">
        <f t="shared" si="365"/>
        <v>5333526</v>
      </c>
      <c r="AC464" s="805">
        <f t="shared" si="366"/>
        <v>22737660.52</v>
      </c>
      <c r="AD464" s="793">
        <f t="shared" si="367"/>
        <v>22737660.52</v>
      </c>
      <c r="AE464" s="793">
        <f t="shared" si="368"/>
        <v>28071186.52</v>
      </c>
      <c r="AF464" s="793">
        <f t="shared" si="369"/>
        <v>365</v>
      </c>
      <c r="AG464" s="793">
        <f t="shared" si="370"/>
        <v>1777842</v>
      </c>
      <c r="AH464" s="805">
        <f t="shared" si="371"/>
        <v>7111368</v>
      </c>
      <c r="AI464" s="805">
        <f t="shared" si="372"/>
        <v>20959818.52</v>
      </c>
      <c r="AJ464" s="793">
        <f t="shared" si="373"/>
        <v>20959818.52</v>
      </c>
      <c r="AK464" s="793">
        <f t="shared" si="374"/>
        <v>28071186.52</v>
      </c>
      <c r="AL464" s="793">
        <f t="shared" si="375"/>
        <v>365</v>
      </c>
      <c r="AM464" s="793">
        <f t="shared" si="376"/>
        <v>1777842</v>
      </c>
      <c r="AN464" s="805">
        <f t="shared" si="377"/>
        <v>8889210</v>
      </c>
      <c r="AO464" s="805">
        <f t="shared" si="378"/>
        <v>19181976.52</v>
      </c>
      <c r="AP464" s="793">
        <f t="shared" si="379"/>
        <v>19181976.52</v>
      </c>
      <c r="AQ464" s="793">
        <f t="shared" si="380"/>
        <v>28071186.52</v>
      </c>
      <c r="AR464" s="793">
        <f t="shared" si="381"/>
        <v>366</v>
      </c>
      <c r="AS464" s="793">
        <f t="shared" si="382"/>
        <v>1782713</v>
      </c>
      <c r="AT464" s="793">
        <f t="shared" si="383"/>
        <v>10671923</v>
      </c>
      <c r="AU464" s="793">
        <f t="shared" si="384"/>
        <v>17399263.52</v>
      </c>
      <c r="AV464" s="793">
        <f t="shared" si="385"/>
        <v>17399263.52</v>
      </c>
      <c r="AW464" s="793">
        <f t="shared" si="386"/>
        <v>28071186.52</v>
      </c>
      <c r="AX464" s="793">
        <f t="shared" si="387"/>
        <v>365</v>
      </c>
      <c r="AY464" s="793">
        <f t="shared" si="388"/>
        <v>1777842</v>
      </c>
      <c r="AZ464" s="793">
        <f t="shared" si="389"/>
        <v>12449765</v>
      </c>
      <c r="BA464" s="793">
        <f t="shared" si="390"/>
        <v>15621421.52</v>
      </c>
    </row>
    <row r="465" spans="1:53" ht="15" customHeight="1" x14ac:dyDescent="0.25">
      <c r="A465" s="842" t="s">
        <v>1317</v>
      </c>
      <c r="B465" s="843" t="s">
        <v>1330</v>
      </c>
      <c r="C465" s="778">
        <f t="shared" si="346"/>
        <v>6.3333333333333325E-2</v>
      </c>
      <c r="D465" s="844">
        <v>15</v>
      </c>
      <c r="E465" s="779" t="s">
        <v>1182</v>
      </c>
      <c r="F465" s="845">
        <v>43191</v>
      </c>
      <c r="G465" s="781">
        <f t="shared" si="347"/>
        <v>43191</v>
      </c>
      <c r="H465" s="781">
        <f t="shared" si="348"/>
        <v>48666</v>
      </c>
      <c r="I465" s="1359">
        <v>1374750.66</v>
      </c>
      <c r="J465" s="805">
        <f t="shared" si="349"/>
        <v>68737.532999999996</v>
      </c>
      <c r="K465" s="793"/>
      <c r="L465" s="793">
        <v>0</v>
      </c>
      <c r="M465" s="793">
        <f t="shared" si="350"/>
        <v>1374750.66</v>
      </c>
      <c r="N465" s="793">
        <f t="shared" si="351"/>
        <v>365</v>
      </c>
      <c r="O465" s="793">
        <f t="shared" si="352"/>
        <v>87068</v>
      </c>
      <c r="P465" s="793">
        <f t="shared" si="353"/>
        <v>87068</v>
      </c>
      <c r="Q465" s="793">
        <f t="shared" si="354"/>
        <v>1287682.6599999999</v>
      </c>
      <c r="R465" s="793">
        <f t="shared" si="355"/>
        <v>1287682.6599999999</v>
      </c>
      <c r="S465" s="793">
        <f t="shared" si="356"/>
        <v>1374750.66</v>
      </c>
      <c r="T465" s="805">
        <f t="shared" si="357"/>
        <v>366</v>
      </c>
      <c r="U465" s="805">
        <f t="shared" si="358"/>
        <v>87068</v>
      </c>
      <c r="V465" s="793">
        <f t="shared" si="359"/>
        <v>174136</v>
      </c>
      <c r="W465" s="793">
        <f t="shared" si="360"/>
        <v>1200614.6599999999</v>
      </c>
      <c r="X465" s="793">
        <f t="shared" si="361"/>
        <v>1200614.6599999999</v>
      </c>
      <c r="Y465" s="805">
        <f t="shared" si="362"/>
        <v>1374750.66</v>
      </c>
      <c r="Z465" s="805">
        <f t="shared" si="363"/>
        <v>365</v>
      </c>
      <c r="AA465" s="805">
        <f t="shared" si="364"/>
        <v>87068</v>
      </c>
      <c r="AB465" s="805">
        <f t="shared" si="365"/>
        <v>261204</v>
      </c>
      <c r="AC465" s="805">
        <f t="shared" si="366"/>
        <v>1113546.6599999999</v>
      </c>
      <c r="AD465" s="793">
        <f t="shared" si="367"/>
        <v>1113546.6599999999</v>
      </c>
      <c r="AE465" s="793">
        <f t="shared" si="368"/>
        <v>1374750.66</v>
      </c>
      <c r="AF465" s="793">
        <f t="shared" si="369"/>
        <v>365</v>
      </c>
      <c r="AG465" s="793">
        <f t="shared" si="370"/>
        <v>87068</v>
      </c>
      <c r="AH465" s="805">
        <f t="shared" si="371"/>
        <v>348272</v>
      </c>
      <c r="AI465" s="805">
        <f t="shared" si="372"/>
        <v>1026478.6599999999</v>
      </c>
      <c r="AJ465" s="793">
        <f t="shared" si="373"/>
        <v>1026478.6599999999</v>
      </c>
      <c r="AK465" s="793">
        <f t="shared" si="374"/>
        <v>1374750.66</v>
      </c>
      <c r="AL465" s="793">
        <f t="shared" si="375"/>
        <v>365</v>
      </c>
      <c r="AM465" s="793">
        <f t="shared" si="376"/>
        <v>87068</v>
      </c>
      <c r="AN465" s="805">
        <f t="shared" si="377"/>
        <v>435340</v>
      </c>
      <c r="AO465" s="805">
        <f t="shared" si="378"/>
        <v>939410.65999999992</v>
      </c>
      <c r="AP465" s="793">
        <f t="shared" si="379"/>
        <v>939410.65999999992</v>
      </c>
      <c r="AQ465" s="793">
        <f t="shared" si="380"/>
        <v>1374750.66</v>
      </c>
      <c r="AR465" s="793">
        <f t="shared" si="381"/>
        <v>366</v>
      </c>
      <c r="AS465" s="793">
        <f t="shared" si="382"/>
        <v>87306</v>
      </c>
      <c r="AT465" s="793">
        <f t="shared" si="383"/>
        <v>522646</v>
      </c>
      <c r="AU465" s="793">
        <f t="shared" si="384"/>
        <v>852104.65999999992</v>
      </c>
      <c r="AV465" s="793">
        <f t="shared" si="385"/>
        <v>852104.65999999992</v>
      </c>
      <c r="AW465" s="793">
        <f t="shared" si="386"/>
        <v>1374750.66</v>
      </c>
      <c r="AX465" s="793">
        <f t="shared" si="387"/>
        <v>365</v>
      </c>
      <c r="AY465" s="793">
        <f t="shared" si="388"/>
        <v>87068</v>
      </c>
      <c r="AZ465" s="793">
        <f t="shared" si="389"/>
        <v>609714</v>
      </c>
      <c r="BA465" s="793">
        <f t="shared" si="390"/>
        <v>765036.65999999992</v>
      </c>
    </row>
    <row r="466" spans="1:53" ht="15" customHeight="1" x14ac:dyDescent="0.25">
      <c r="A466" s="842" t="s">
        <v>1317</v>
      </c>
      <c r="B466" s="843" t="s">
        <v>1331</v>
      </c>
      <c r="C466" s="778">
        <f t="shared" si="346"/>
        <v>6.3333333333333325E-2</v>
      </c>
      <c r="D466" s="844">
        <v>15</v>
      </c>
      <c r="E466" s="779" t="s">
        <v>1182</v>
      </c>
      <c r="F466" s="845">
        <v>43191</v>
      </c>
      <c r="G466" s="781">
        <f t="shared" si="347"/>
        <v>43191</v>
      </c>
      <c r="H466" s="781">
        <f t="shared" si="348"/>
        <v>48666</v>
      </c>
      <c r="I466" s="1359">
        <v>370000</v>
      </c>
      <c r="J466" s="805">
        <f t="shared" si="349"/>
        <v>18500</v>
      </c>
      <c r="K466" s="793"/>
      <c r="L466" s="793">
        <v>0</v>
      </c>
      <c r="M466" s="793">
        <f t="shared" si="350"/>
        <v>370000</v>
      </c>
      <c r="N466" s="793">
        <f t="shared" si="351"/>
        <v>365</v>
      </c>
      <c r="O466" s="793">
        <f t="shared" si="352"/>
        <v>23433</v>
      </c>
      <c r="P466" s="793">
        <f t="shared" si="353"/>
        <v>23433</v>
      </c>
      <c r="Q466" s="793">
        <f t="shared" si="354"/>
        <v>346567</v>
      </c>
      <c r="R466" s="793">
        <f t="shared" si="355"/>
        <v>346567</v>
      </c>
      <c r="S466" s="793">
        <f t="shared" si="356"/>
        <v>370000</v>
      </c>
      <c r="T466" s="805">
        <f t="shared" si="357"/>
        <v>366</v>
      </c>
      <c r="U466" s="805">
        <f t="shared" si="358"/>
        <v>23433</v>
      </c>
      <c r="V466" s="793">
        <f t="shared" si="359"/>
        <v>46866</v>
      </c>
      <c r="W466" s="793">
        <f t="shared" si="360"/>
        <v>323134</v>
      </c>
      <c r="X466" s="793">
        <f t="shared" si="361"/>
        <v>323134</v>
      </c>
      <c r="Y466" s="805">
        <f t="shared" si="362"/>
        <v>370000</v>
      </c>
      <c r="Z466" s="805">
        <f t="shared" si="363"/>
        <v>365</v>
      </c>
      <c r="AA466" s="805">
        <f t="shared" si="364"/>
        <v>23433</v>
      </c>
      <c r="AB466" s="805">
        <f t="shared" si="365"/>
        <v>70299</v>
      </c>
      <c r="AC466" s="805">
        <f t="shared" si="366"/>
        <v>299701</v>
      </c>
      <c r="AD466" s="793">
        <f t="shared" si="367"/>
        <v>299701</v>
      </c>
      <c r="AE466" s="793">
        <f t="shared" si="368"/>
        <v>370000</v>
      </c>
      <c r="AF466" s="793">
        <f t="shared" si="369"/>
        <v>365</v>
      </c>
      <c r="AG466" s="793">
        <f t="shared" si="370"/>
        <v>23433</v>
      </c>
      <c r="AH466" s="805">
        <f t="shared" si="371"/>
        <v>93732</v>
      </c>
      <c r="AI466" s="805">
        <f t="shared" si="372"/>
        <v>276268</v>
      </c>
      <c r="AJ466" s="793">
        <f t="shared" si="373"/>
        <v>276268</v>
      </c>
      <c r="AK466" s="793">
        <f t="shared" si="374"/>
        <v>370000</v>
      </c>
      <c r="AL466" s="793">
        <f t="shared" si="375"/>
        <v>365</v>
      </c>
      <c r="AM466" s="793">
        <f t="shared" si="376"/>
        <v>23433</v>
      </c>
      <c r="AN466" s="805">
        <f t="shared" si="377"/>
        <v>117165</v>
      </c>
      <c r="AO466" s="805">
        <f t="shared" si="378"/>
        <v>252835</v>
      </c>
      <c r="AP466" s="793">
        <f t="shared" si="379"/>
        <v>252835</v>
      </c>
      <c r="AQ466" s="793">
        <f t="shared" si="380"/>
        <v>370000</v>
      </c>
      <c r="AR466" s="793">
        <f t="shared" si="381"/>
        <v>366</v>
      </c>
      <c r="AS466" s="793">
        <f t="shared" si="382"/>
        <v>23498</v>
      </c>
      <c r="AT466" s="793">
        <f t="shared" si="383"/>
        <v>140663</v>
      </c>
      <c r="AU466" s="793">
        <f t="shared" si="384"/>
        <v>229337</v>
      </c>
      <c r="AV466" s="793">
        <f t="shared" si="385"/>
        <v>229337</v>
      </c>
      <c r="AW466" s="793">
        <f t="shared" si="386"/>
        <v>370000</v>
      </c>
      <c r="AX466" s="793">
        <f t="shared" si="387"/>
        <v>365</v>
      </c>
      <c r="AY466" s="793">
        <f t="shared" si="388"/>
        <v>23433</v>
      </c>
      <c r="AZ466" s="793">
        <f t="shared" si="389"/>
        <v>164096</v>
      </c>
      <c r="BA466" s="793">
        <f t="shared" si="390"/>
        <v>205904</v>
      </c>
    </row>
    <row r="467" spans="1:53" ht="15" customHeight="1" x14ac:dyDescent="0.25">
      <c r="A467" s="842" t="s">
        <v>1317</v>
      </c>
      <c r="B467" s="915" t="s">
        <v>1332</v>
      </c>
      <c r="C467" s="778">
        <f t="shared" si="346"/>
        <v>6.3333333333333325E-2</v>
      </c>
      <c r="D467" s="844">
        <v>15</v>
      </c>
      <c r="E467" s="779" t="s">
        <v>1182</v>
      </c>
      <c r="F467" s="845">
        <v>43191</v>
      </c>
      <c r="G467" s="781">
        <f t="shared" si="347"/>
        <v>43191</v>
      </c>
      <c r="H467" s="781">
        <f t="shared" si="348"/>
        <v>48666</v>
      </c>
      <c r="I467" s="1359">
        <v>742000</v>
      </c>
      <c r="J467" s="805">
        <f t="shared" si="349"/>
        <v>37100</v>
      </c>
      <c r="K467" s="793"/>
      <c r="L467" s="793">
        <v>0</v>
      </c>
      <c r="M467" s="793">
        <f t="shared" si="350"/>
        <v>742000</v>
      </c>
      <c r="N467" s="793">
        <f t="shared" si="351"/>
        <v>365</v>
      </c>
      <c r="O467" s="793">
        <f t="shared" si="352"/>
        <v>46993</v>
      </c>
      <c r="P467" s="793">
        <f t="shared" si="353"/>
        <v>46993</v>
      </c>
      <c r="Q467" s="793">
        <f t="shared" si="354"/>
        <v>695007</v>
      </c>
      <c r="R467" s="793">
        <f t="shared" si="355"/>
        <v>695007</v>
      </c>
      <c r="S467" s="793">
        <f t="shared" si="356"/>
        <v>742000</v>
      </c>
      <c r="T467" s="805">
        <f t="shared" si="357"/>
        <v>366</v>
      </c>
      <c r="U467" s="805">
        <f t="shared" si="358"/>
        <v>46993</v>
      </c>
      <c r="V467" s="793">
        <f t="shared" si="359"/>
        <v>93986</v>
      </c>
      <c r="W467" s="793">
        <f t="shared" si="360"/>
        <v>648014</v>
      </c>
      <c r="X467" s="793">
        <f t="shared" si="361"/>
        <v>648014</v>
      </c>
      <c r="Y467" s="805">
        <f t="shared" si="362"/>
        <v>742000</v>
      </c>
      <c r="Z467" s="805">
        <f t="shared" si="363"/>
        <v>365</v>
      </c>
      <c r="AA467" s="805">
        <f t="shared" si="364"/>
        <v>46993</v>
      </c>
      <c r="AB467" s="805">
        <f t="shared" si="365"/>
        <v>140979</v>
      </c>
      <c r="AC467" s="805">
        <f t="shared" si="366"/>
        <v>601021</v>
      </c>
      <c r="AD467" s="793">
        <f t="shared" si="367"/>
        <v>601021</v>
      </c>
      <c r="AE467" s="793">
        <f t="shared" si="368"/>
        <v>742000</v>
      </c>
      <c r="AF467" s="793">
        <f t="shared" si="369"/>
        <v>365</v>
      </c>
      <c r="AG467" s="793">
        <f t="shared" si="370"/>
        <v>46993</v>
      </c>
      <c r="AH467" s="805">
        <f t="shared" si="371"/>
        <v>187972</v>
      </c>
      <c r="AI467" s="805">
        <f t="shared" si="372"/>
        <v>554028</v>
      </c>
      <c r="AJ467" s="793">
        <f t="shared" si="373"/>
        <v>554028</v>
      </c>
      <c r="AK467" s="793">
        <f t="shared" si="374"/>
        <v>742000</v>
      </c>
      <c r="AL467" s="793">
        <f t="shared" si="375"/>
        <v>365</v>
      </c>
      <c r="AM467" s="793">
        <f t="shared" si="376"/>
        <v>46993</v>
      </c>
      <c r="AN467" s="805">
        <f t="shared" si="377"/>
        <v>234965</v>
      </c>
      <c r="AO467" s="805">
        <f t="shared" si="378"/>
        <v>507035</v>
      </c>
      <c r="AP467" s="793">
        <f t="shared" si="379"/>
        <v>507035</v>
      </c>
      <c r="AQ467" s="793">
        <f t="shared" si="380"/>
        <v>742000</v>
      </c>
      <c r="AR467" s="793">
        <f t="shared" si="381"/>
        <v>366</v>
      </c>
      <c r="AS467" s="793">
        <f t="shared" si="382"/>
        <v>47122</v>
      </c>
      <c r="AT467" s="793">
        <f t="shared" si="383"/>
        <v>282087</v>
      </c>
      <c r="AU467" s="793">
        <f t="shared" si="384"/>
        <v>459913</v>
      </c>
      <c r="AV467" s="793">
        <f t="shared" si="385"/>
        <v>459913</v>
      </c>
      <c r="AW467" s="793">
        <f t="shared" si="386"/>
        <v>742000</v>
      </c>
      <c r="AX467" s="793">
        <f t="shared" si="387"/>
        <v>365</v>
      </c>
      <c r="AY467" s="793">
        <f t="shared" si="388"/>
        <v>46993</v>
      </c>
      <c r="AZ467" s="793">
        <f t="shared" si="389"/>
        <v>329080</v>
      </c>
      <c r="BA467" s="793">
        <f t="shared" si="390"/>
        <v>412920</v>
      </c>
    </row>
    <row r="468" spans="1:53" ht="15" customHeight="1" x14ac:dyDescent="0.25">
      <c r="A468" s="842" t="s">
        <v>1317</v>
      </c>
      <c r="B468" s="843" t="s">
        <v>1333</v>
      </c>
      <c r="C468" s="778">
        <f t="shared" si="346"/>
        <v>6.3333333333333325E-2</v>
      </c>
      <c r="D468" s="844">
        <v>15</v>
      </c>
      <c r="E468" s="779" t="s">
        <v>1182</v>
      </c>
      <c r="F468" s="845">
        <v>43191</v>
      </c>
      <c r="G468" s="781">
        <f t="shared" si="347"/>
        <v>43191</v>
      </c>
      <c r="H468" s="781">
        <f t="shared" si="348"/>
        <v>48666</v>
      </c>
      <c r="I468" s="1359">
        <v>230000</v>
      </c>
      <c r="J468" s="805">
        <f t="shared" si="349"/>
        <v>11500</v>
      </c>
      <c r="K468" s="793"/>
      <c r="L468" s="793">
        <v>0</v>
      </c>
      <c r="M468" s="793">
        <f t="shared" si="350"/>
        <v>230000</v>
      </c>
      <c r="N468" s="793">
        <f t="shared" si="351"/>
        <v>365</v>
      </c>
      <c r="O468" s="793">
        <f t="shared" si="352"/>
        <v>14567</v>
      </c>
      <c r="P468" s="793">
        <f t="shared" si="353"/>
        <v>14567</v>
      </c>
      <c r="Q468" s="793">
        <f t="shared" si="354"/>
        <v>215433</v>
      </c>
      <c r="R468" s="793">
        <f t="shared" si="355"/>
        <v>215433</v>
      </c>
      <c r="S468" s="793">
        <f t="shared" si="356"/>
        <v>230000</v>
      </c>
      <c r="T468" s="805">
        <f t="shared" si="357"/>
        <v>366</v>
      </c>
      <c r="U468" s="805">
        <f t="shared" si="358"/>
        <v>14567</v>
      </c>
      <c r="V468" s="793">
        <f t="shared" si="359"/>
        <v>29134</v>
      </c>
      <c r="W468" s="793">
        <f t="shared" si="360"/>
        <v>200866</v>
      </c>
      <c r="X468" s="793">
        <f t="shared" si="361"/>
        <v>200866</v>
      </c>
      <c r="Y468" s="805">
        <f t="shared" si="362"/>
        <v>230000</v>
      </c>
      <c r="Z468" s="805">
        <f t="shared" si="363"/>
        <v>365</v>
      </c>
      <c r="AA468" s="805">
        <f t="shared" si="364"/>
        <v>14567</v>
      </c>
      <c r="AB468" s="805">
        <f t="shared" si="365"/>
        <v>43701</v>
      </c>
      <c r="AC468" s="805">
        <f t="shared" si="366"/>
        <v>186299</v>
      </c>
      <c r="AD468" s="793">
        <f t="shared" si="367"/>
        <v>186299</v>
      </c>
      <c r="AE468" s="793">
        <f t="shared" si="368"/>
        <v>230000</v>
      </c>
      <c r="AF468" s="793">
        <f t="shared" si="369"/>
        <v>365</v>
      </c>
      <c r="AG468" s="793">
        <f t="shared" si="370"/>
        <v>14567</v>
      </c>
      <c r="AH468" s="805">
        <f t="shared" si="371"/>
        <v>58268</v>
      </c>
      <c r="AI468" s="805">
        <f t="shared" si="372"/>
        <v>171732</v>
      </c>
      <c r="AJ468" s="793">
        <f t="shared" si="373"/>
        <v>171732</v>
      </c>
      <c r="AK468" s="793">
        <f t="shared" si="374"/>
        <v>230000</v>
      </c>
      <c r="AL468" s="793">
        <f t="shared" si="375"/>
        <v>365</v>
      </c>
      <c r="AM468" s="793">
        <f t="shared" si="376"/>
        <v>14567</v>
      </c>
      <c r="AN468" s="805">
        <f t="shared" si="377"/>
        <v>72835</v>
      </c>
      <c r="AO468" s="805">
        <f t="shared" si="378"/>
        <v>157165</v>
      </c>
      <c r="AP468" s="793">
        <f t="shared" si="379"/>
        <v>157165</v>
      </c>
      <c r="AQ468" s="793">
        <f t="shared" si="380"/>
        <v>230000</v>
      </c>
      <c r="AR468" s="793">
        <f t="shared" si="381"/>
        <v>366</v>
      </c>
      <c r="AS468" s="793">
        <f t="shared" si="382"/>
        <v>14607</v>
      </c>
      <c r="AT468" s="793">
        <f t="shared" si="383"/>
        <v>87442</v>
      </c>
      <c r="AU468" s="793">
        <f t="shared" si="384"/>
        <v>142558</v>
      </c>
      <c r="AV468" s="793">
        <f t="shared" si="385"/>
        <v>142558</v>
      </c>
      <c r="AW468" s="793">
        <f t="shared" si="386"/>
        <v>230000</v>
      </c>
      <c r="AX468" s="793">
        <f t="shared" si="387"/>
        <v>365</v>
      </c>
      <c r="AY468" s="793">
        <f t="shared" si="388"/>
        <v>14567</v>
      </c>
      <c r="AZ468" s="793">
        <f t="shared" si="389"/>
        <v>102009</v>
      </c>
      <c r="BA468" s="793">
        <f t="shared" si="390"/>
        <v>127991</v>
      </c>
    </row>
    <row r="469" spans="1:53" ht="15" customHeight="1" x14ac:dyDescent="0.25">
      <c r="A469" s="842" t="s">
        <v>1317</v>
      </c>
      <c r="B469" s="843" t="s">
        <v>1334</v>
      </c>
      <c r="C469" s="778">
        <f t="shared" si="346"/>
        <v>6.3333333333333325E-2</v>
      </c>
      <c r="D469" s="844">
        <v>15</v>
      </c>
      <c r="E469" s="779" t="s">
        <v>1182</v>
      </c>
      <c r="F469" s="845">
        <v>43191</v>
      </c>
      <c r="G469" s="781">
        <f t="shared" si="347"/>
        <v>43191</v>
      </c>
      <c r="H469" s="781">
        <f t="shared" si="348"/>
        <v>48666</v>
      </c>
      <c r="I469" s="1359">
        <v>226000</v>
      </c>
      <c r="J469" s="805">
        <f t="shared" si="349"/>
        <v>11300</v>
      </c>
      <c r="K469" s="793"/>
      <c r="L469" s="793">
        <v>0</v>
      </c>
      <c r="M469" s="793">
        <f t="shared" si="350"/>
        <v>226000</v>
      </c>
      <c r="N469" s="793">
        <f t="shared" si="351"/>
        <v>365</v>
      </c>
      <c r="O469" s="793">
        <f t="shared" si="352"/>
        <v>14313</v>
      </c>
      <c r="P469" s="793">
        <f t="shared" si="353"/>
        <v>14313</v>
      </c>
      <c r="Q469" s="793">
        <f t="shared" si="354"/>
        <v>211687</v>
      </c>
      <c r="R469" s="793">
        <f t="shared" si="355"/>
        <v>211687</v>
      </c>
      <c r="S469" s="793">
        <f t="shared" si="356"/>
        <v>226000</v>
      </c>
      <c r="T469" s="805">
        <f t="shared" si="357"/>
        <v>366</v>
      </c>
      <c r="U469" s="805">
        <f t="shared" si="358"/>
        <v>14313</v>
      </c>
      <c r="V469" s="793">
        <f t="shared" si="359"/>
        <v>28626</v>
      </c>
      <c r="W469" s="793">
        <f t="shared" si="360"/>
        <v>197374</v>
      </c>
      <c r="X469" s="793">
        <f t="shared" si="361"/>
        <v>197374</v>
      </c>
      <c r="Y469" s="805">
        <f t="shared" si="362"/>
        <v>226000</v>
      </c>
      <c r="Z469" s="805">
        <f t="shared" si="363"/>
        <v>365</v>
      </c>
      <c r="AA469" s="805">
        <f t="shared" si="364"/>
        <v>14313</v>
      </c>
      <c r="AB469" s="805">
        <f t="shared" si="365"/>
        <v>42939</v>
      </c>
      <c r="AC469" s="805">
        <f t="shared" si="366"/>
        <v>183061</v>
      </c>
      <c r="AD469" s="793">
        <f t="shared" si="367"/>
        <v>183061</v>
      </c>
      <c r="AE469" s="793">
        <f t="shared" si="368"/>
        <v>226000</v>
      </c>
      <c r="AF469" s="793">
        <f t="shared" si="369"/>
        <v>365</v>
      </c>
      <c r="AG469" s="793">
        <f t="shared" si="370"/>
        <v>14313</v>
      </c>
      <c r="AH469" s="805">
        <f t="shared" si="371"/>
        <v>57252</v>
      </c>
      <c r="AI469" s="805">
        <f t="shared" si="372"/>
        <v>168748</v>
      </c>
      <c r="AJ469" s="793">
        <f t="shared" si="373"/>
        <v>168748</v>
      </c>
      <c r="AK469" s="793">
        <f t="shared" si="374"/>
        <v>226000</v>
      </c>
      <c r="AL469" s="793">
        <f t="shared" si="375"/>
        <v>365</v>
      </c>
      <c r="AM469" s="793">
        <f t="shared" si="376"/>
        <v>14313</v>
      </c>
      <c r="AN469" s="805">
        <f t="shared" si="377"/>
        <v>71565</v>
      </c>
      <c r="AO469" s="805">
        <f t="shared" si="378"/>
        <v>154435</v>
      </c>
      <c r="AP469" s="793">
        <f t="shared" si="379"/>
        <v>154435</v>
      </c>
      <c r="AQ469" s="793">
        <f t="shared" si="380"/>
        <v>226000</v>
      </c>
      <c r="AR469" s="793">
        <f t="shared" si="381"/>
        <v>366</v>
      </c>
      <c r="AS469" s="793">
        <f t="shared" si="382"/>
        <v>14353</v>
      </c>
      <c r="AT469" s="793">
        <f t="shared" si="383"/>
        <v>85918</v>
      </c>
      <c r="AU469" s="793">
        <f t="shared" si="384"/>
        <v>140082</v>
      </c>
      <c r="AV469" s="793">
        <f t="shared" si="385"/>
        <v>140082</v>
      </c>
      <c r="AW469" s="793">
        <f t="shared" si="386"/>
        <v>226000</v>
      </c>
      <c r="AX469" s="793">
        <f t="shared" si="387"/>
        <v>365</v>
      </c>
      <c r="AY469" s="793">
        <f t="shared" si="388"/>
        <v>14313</v>
      </c>
      <c r="AZ469" s="793">
        <f t="shared" si="389"/>
        <v>100231</v>
      </c>
      <c r="BA469" s="793">
        <f t="shared" si="390"/>
        <v>125769</v>
      </c>
    </row>
    <row r="470" spans="1:53" ht="15" customHeight="1" x14ac:dyDescent="0.25">
      <c r="A470" s="842" t="s">
        <v>1317</v>
      </c>
      <c r="B470" s="843" t="s">
        <v>1335</v>
      </c>
      <c r="C470" s="778">
        <f t="shared" si="346"/>
        <v>6.3333333333333325E-2</v>
      </c>
      <c r="D470" s="844">
        <v>15</v>
      </c>
      <c r="E470" s="779" t="s">
        <v>1182</v>
      </c>
      <c r="F470" s="845">
        <v>43191</v>
      </c>
      <c r="G470" s="781">
        <f t="shared" si="347"/>
        <v>43191</v>
      </c>
      <c r="H470" s="781">
        <f t="shared" si="348"/>
        <v>48666</v>
      </c>
      <c r="I470" s="1359">
        <v>471132</v>
      </c>
      <c r="J470" s="805">
        <f t="shared" si="349"/>
        <v>23556.600000000002</v>
      </c>
      <c r="K470" s="793"/>
      <c r="L470" s="793">
        <v>0</v>
      </c>
      <c r="M470" s="793">
        <f t="shared" si="350"/>
        <v>471132</v>
      </c>
      <c r="N470" s="793">
        <f t="shared" si="351"/>
        <v>365</v>
      </c>
      <c r="O470" s="793">
        <f t="shared" si="352"/>
        <v>29838</v>
      </c>
      <c r="P470" s="793">
        <f t="shared" si="353"/>
        <v>29838</v>
      </c>
      <c r="Q470" s="793">
        <f t="shared" si="354"/>
        <v>441294</v>
      </c>
      <c r="R470" s="793">
        <f t="shared" si="355"/>
        <v>441294</v>
      </c>
      <c r="S470" s="793">
        <f t="shared" si="356"/>
        <v>471132</v>
      </c>
      <c r="T470" s="805">
        <f t="shared" si="357"/>
        <v>366</v>
      </c>
      <c r="U470" s="805">
        <f t="shared" si="358"/>
        <v>29838</v>
      </c>
      <c r="V470" s="793">
        <f t="shared" si="359"/>
        <v>59676</v>
      </c>
      <c r="W470" s="793">
        <f t="shared" si="360"/>
        <v>411456</v>
      </c>
      <c r="X470" s="793">
        <f t="shared" si="361"/>
        <v>411456</v>
      </c>
      <c r="Y470" s="805">
        <f t="shared" si="362"/>
        <v>471132</v>
      </c>
      <c r="Z470" s="805">
        <f t="shared" si="363"/>
        <v>365</v>
      </c>
      <c r="AA470" s="805">
        <f t="shared" si="364"/>
        <v>29838</v>
      </c>
      <c r="AB470" s="805">
        <f t="shared" si="365"/>
        <v>89514</v>
      </c>
      <c r="AC470" s="805">
        <f t="shared" si="366"/>
        <v>381618</v>
      </c>
      <c r="AD470" s="793">
        <f t="shared" si="367"/>
        <v>381618</v>
      </c>
      <c r="AE470" s="793">
        <f t="shared" si="368"/>
        <v>471132</v>
      </c>
      <c r="AF470" s="793">
        <f t="shared" si="369"/>
        <v>365</v>
      </c>
      <c r="AG470" s="793">
        <f t="shared" si="370"/>
        <v>29838</v>
      </c>
      <c r="AH470" s="805">
        <f t="shared" si="371"/>
        <v>119352</v>
      </c>
      <c r="AI470" s="805">
        <f t="shared" si="372"/>
        <v>351780</v>
      </c>
      <c r="AJ470" s="793">
        <f t="shared" si="373"/>
        <v>351780</v>
      </c>
      <c r="AK470" s="793">
        <f t="shared" si="374"/>
        <v>471132</v>
      </c>
      <c r="AL470" s="793">
        <f t="shared" si="375"/>
        <v>365</v>
      </c>
      <c r="AM470" s="793">
        <f t="shared" si="376"/>
        <v>29838</v>
      </c>
      <c r="AN470" s="805">
        <f t="shared" si="377"/>
        <v>149190</v>
      </c>
      <c r="AO470" s="805">
        <f t="shared" si="378"/>
        <v>321942</v>
      </c>
      <c r="AP470" s="793">
        <f t="shared" si="379"/>
        <v>321942</v>
      </c>
      <c r="AQ470" s="793">
        <f t="shared" si="380"/>
        <v>471132</v>
      </c>
      <c r="AR470" s="793">
        <f t="shared" si="381"/>
        <v>366</v>
      </c>
      <c r="AS470" s="793">
        <f t="shared" si="382"/>
        <v>29920</v>
      </c>
      <c r="AT470" s="793">
        <f t="shared" si="383"/>
        <v>179110</v>
      </c>
      <c r="AU470" s="793">
        <f t="shared" si="384"/>
        <v>292022</v>
      </c>
      <c r="AV470" s="793">
        <f t="shared" si="385"/>
        <v>292022</v>
      </c>
      <c r="AW470" s="793">
        <f t="shared" si="386"/>
        <v>471132</v>
      </c>
      <c r="AX470" s="793">
        <f t="shared" si="387"/>
        <v>365</v>
      </c>
      <c r="AY470" s="793">
        <f t="shared" si="388"/>
        <v>29838</v>
      </c>
      <c r="AZ470" s="793">
        <f t="shared" si="389"/>
        <v>208948</v>
      </c>
      <c r="BA470" s="793">
        <f t="shared" si="390"/>
        <v>262184</v>
      </c>
    </row>
    <row r="471" spans="1:53" ht="15" customHeight="1" x14ac:dyDescent="0.25">
      <c r="A471" s="842" t="s">
        <v>1317</v>
      </c>
      <c r="B471" s="843" t="s">
        <v>1336</v>
      </c>
      <c r="C471" s="778">
        <f t="shared" si="346"/>
        <v>6.3333333333333325E-2</v>
      </c>
      <c r="D471" s="844">
        <v>15</v>
      </c>
      <c r="E471" s="779" t="s">
        <v>1182</v>
      </c>
      <c r="F471" s="845">
        <v>43191</v>
      </c>
      <c r="G471" s="781">
        <f t="shared" si="347"/>
        <v>43191</v>
      </c>
      <c r="H471" s="781">
        <f t="shared" si="348"/>
        <v>48666</v>
      </c>
      <c r="I471" s="1359">
        <v>216420.86</v>
      </c>
      <c r="J471" s="805">
        <f t="shared" si="349"/>
        <v>10821.043</v>
      </c>
      <c r="K471" s="793"/>
      <c r="L471" s="793">
        <v>0</v>
      </c>
      <c r="M471" s="793">
        <f t="shared" si="350"/>
        <v>216420.86</v>
      </c>
      <c r="N471" s="793">
        <f t="shared" si="351"/>
        <v>365</v>
      </c>
      <c r="O471" s="793">
        <f t="shared" si="352"/>
        <v>13707</v>
      </c>
      <c r="P471" s="793">
        <f t="shared" si="353"/>
        <v>13707</v>
      </c>
      <c r="Q471" s="793">
        <f t="shared" si="354"/>
        <v>202713.86</v>
      </c>
      <c r="R471" s="793">
        <f t="shared" si="355"/>
        <v>202713.86</v>
      </c>
      <c r="S471" s="793">
        <f t="shared" si="356"/>
        <v>216420.86</v>
      </c>
      <c r="T471" s="805">
        <f t="shared" si="357"/>
        <v>366</v>
      </c>
      <c r="U471" s="805">
        <f t="shared" si="358"/>
        <v>13707</v>
      </c>
      <c r="V471" s="793">
        <f t="shared" si="359"/>
        <v>27414</v>
      </c>
      <c r="W471" s="793">
        <f t="shared" si="360"/>
        <v>189006.86</v>
      </c>
      <c r="X471" s="793">
        <f t="shared" si="361"/>
        <v>189006.86</v>
      </c>
      <c r="Y471" s="805">
        <f t="shared" si="362"/>
        <v>216420.86</v>
      </c>
      <c r="Z471" s="805">
        <f t="shared" si="363"/>
        <v>365</v>
      </c>
      <c r="AA471" s="805">
        <f t="shared" si="364"/>
        <v>13707</v>
      </c>
      <c r="AB471" s="805">
        <f t="shared" si="365"/>
        <v>41121</v>
      </c>
      <c r="AC471" s="805">
        <f t="shared" si="366"/>
        <v>175299.86</v>
      </c>
      <c r="AD471" s="793">
        <f t="shared" si="367"/>
        <v>175299.86</v>
      </c>
      <c r="AE471" s="793">
        <f t="shared" si="368"/>
        <v>216420.86</v>
      </c>
      <c r="AF471" s="793">
        <f t="shared" si="369"/>
        <v>365</v>
      </c>
      <c r="AG471" s="793">
        <f t="shared" si="370"/>
        <v>13707</v>
      </c>
      <c r="AH471" s="805">
        <f t="shared" si="371"/>
        <v>54828</v>
      </c>
      <c r="AI471" s="805">
        <f t="shared" si="372"/>
        <v>161592.85999999999</v>
      </c>
      <c r="AJ471" s="793">
        <f t="shared" si="373"/>
        <v>161592.85999999999</v>
      </c>
      <c r="AK471" s="793">
        <f t="shared" si="374"/>
        <v>216420.86</v>
      </c>
      <c r="AL471" s="793">
        <f t="shared" si="375"/>
        <v>365</v>
      </c>
      <c r="AM471" s="793">
        <f t="shared" si="376"/>
        <v>13707</v>
      </c>
      <c r="AN471" s="805">
        <f t="shared" si="377"/>
        <v>68535</v>
      </c>
      <c r="AO471" s="805">
        <f t="shared" si="378"/>
        <v>147885.85999999999</v>
      </c>
      <c r="AP471" s="793">
        <f t="shared" si="379"/>
        <v>147885.85999999999</v>
      </c>
      <c r="AQ471" s="793">
        <f t="shared" si="380"/>
        <v>216420.86</v>
      </c>
      <c r="AR471" s="793">
        <f t="shared" si="381"/>
        <v>366</v>
      </c>
      <c r="AS471" s="793">
        <f t="shared" si="382"/>
        <v>13744</v>
      </c>
      <c r="AT471" s="793">
        <f t="shared" si="383"/>
        <v>82279</v>
      </c>
      <c r="AU471" s="793">
        <f t="shared" si="384"/>
        <v>134141.85999999999</v>
      </c>
      <c r="AV471" s="793">
        <f t="shared" si="385"/>
        <v>134141.85999999999</v>
      </c>
      <c r="AW471" s="793">
        <f t="shared" si="386"/>
        <v>216420.86</v>
      </c>
      <c r="AX471" s="793">
        <f t="shared" si="387"/>
        <v>365</v>
      </c>
      <c r="AY471" s="793">
        <f t="shared" si="388"/>
        <v>13707</v>
      </c>
      <c r="AZ471" s="793">
        <f t="shared" si="389"/>
        <v>95986</v>
      </c>
      <c r="BA471" s="793">
        <f t="shared" si="390"/>
        <v>120434.85999999999</v>
      </c>
    </row>
    <row r="472" spans="1:53" ht="15" customHeight="1" x14ac:dyDescent="0.25">
      <c r="A472" s="842" t="s">
        <v>1317</v>
      </c>
      <c r="B472" s="843" t="s">
        <v>1337</v>
      </c>
      <c r="C472" s="778">
        <f t="shared" si="346"/>
        <v>6.3333333333333325E-2</v>
      </c>
      <c r="D472" s="844">
        <v>15</v>
      </c>
      <c r="E472" s="779" t="s">
        <v>1182</v>
      </c>
      <c r="F472" s="845">
        <v>43191</v>
      </c>
      <c r="G472" s="781">
        <f t="shared" si="347"/>
        <v>43191</v>
      </c>
      <c r="H472" s="781">
        <f t="shared" si="348"/>
        <v>48666</v>
      </c>
      <c r="I472" s="1359">
        <v>698000</v>
      </c>
      <c r="J472" s="805">
        <f t="shared" si="349"/>
        <v>34900</v>
      </c>
      <c r="K472" s="793"/>
      <c r="L472" s="793">
        <v>0</v>
      </c>
      <c r="M472" s="793">
        <f t="shared" si="350"/>
        <v>698000</v>
      </c>
      <c r="N472" s="793">
        <f t="shared" si="351"/>
        <v>365</v>
      </c>
      <c r="O472" s="793">
        <f t="shared" si="352"/>
        <v>44207</v>
      </c>
      <c r="P472" s="793">
        <f t="shared" si="353"/>
        <v>44207</v>
      </c>
      <c r="Q472" s="793">
        <f t="shared" si="354"/>
        <v>653793</v>
      </c>
      <c r="R472" s="793">
        <f t="shared" si="355"/>
        <v>653793</v>
      </c>
      <c r="S472" s="793">
        <f t="shared" si="356"/>
        <v>698000</v>
      </c>
      <c r="T472" s="805">
        <f t="shared" si="357"/>
        <v>366</v>
      </c>
      <c r="U472" s="805">
        <f t="shared" si="358"/>
        <v>44207</v>
      </c>
      <c r="V472" s="793">
        <f t="shared" si="359"/>
        <v>88414</v>
      </c>
      <c r="W472" s="793">
        <f t="shared" si="360"/>
        <v>609586</v>
      </c>
      <c r="X472" s="793">
        <f t="shared" si="361"/>
        <v>609586</v>
      </c>
      <c r="Y472" s="805">
        <f t="shared" si="362"/>
        <v>698000</v>
      </c>
      <c r="Z472" s="805">
        <f t="shared" si="363"/>
        <v>365</v>
      </c>
      <c r="AA472" s="805">
        <f t="shared" si="364"/>
        <v>44207</v>
      </c>
      <c r="AB472" s="805">
        <f t="shared" si="365"/>
        <v>132621</v>
      </c>
      <c r="AC472" s="805">
        <f t="shared" si="366"/>
        <v>565379</v>
      </c>
      <c r="AD472" s="793">
        <f t="shared" si="367"/>
        <v>565379</v>
      </c>
      <c r="AE472" s="793">
        <f t="shared" si="368"/>
        <v>698000</v>
      </c>
      <c r="AF472" s="793">
        <f t="shared" si="369"/>
        <v>365</v>
      </c>
      <c r="AG472" s="793">
        <f t="shared" si="370"/>
        <v>44207</v>
      </c>
      <c r="AH472" s="805">
        <f t="shared" si="371"/>
        <v>176828</v>
      </c>
      <c r="AI472" s="805">
        <f t="shared" si="372"/>
        <v>521172</v>
      </c>
      <c r="AJ472" s="793">
        <f t="shared" si="373"/>
        <v>521172</v>
      </c>
      <c r="AK472" s="793">
        <f t="shared" si="374"/>
        <v>698000</v>
      </c>
      <c r="AL472" s="793">
        <f t="shared" si="375"/>
        <v>365</v>
      </c>
      <c r="AM472" s="793">
        <f t="shared" si="376"/>
        <v>44207</v>
      </c>
      <c r="AN472" s="805">
        <f t="shared" si="377"/>
        <v>221035</v>
      </c>
      <c r="AO472" s="805">
        <f t="shared" si="378"/>
        <v>476965</v>
      </c>
      <c r="AP472" s="793">
        <f t="shared" si="379"/>
        <v>476965</v>
      </c>
      <c r="AQ472" s="793">
        <f t="shared" si="380"/>
        <v>698000</v>
      </c>
      <c r="AR472" s="793">
        <f t="shared" si="381"/>
        <v>366</v>
      </c>
      <c r="AS472" s="793">
        <f t="shared" si="382"/>
        <v>44328</v>
      </c>
      <c r="AT472" s="793">
        <f t="shared" si="383"/>
        <v>265363</v>
      </c>
      <c r="AU472" s="793">
        <f t="shared" si="384"/>
        <v>432637</v>
      </c>
      <c r="AV472" s="793">
        <f t="shared" si="385"/>
        <v>432637</v>
      </c>
      <c r="AW472" s="793">
        <f t="shared" si="386"/>
        <v>698000</v>
      </c>
      <c r="AX472" s="793">
        <f t="shared" si="387"/>
        <v>365</v>
      </c>
      <c r="AY472" s="793">
        <f t="shared" si="388"/>
        <v>44207</v>
      </c>
      <c r="AZ472" s="793">
        <f t="shared" si="389"/>
        <v>309570</v>
      </c>
      <c r="BA472" s="793">
        <f t="shared" si="390"/>
        <v>388430</v>
      </c>
    </row>
    <row r="473" spans="1:53" ht="15" customHeight="1" x14ac:dyDescent="0.25">
      <c r="A473" s="842" t="s">
        <v>1317</v>
      </c>
      <c r="B473" s="843" t="s">
        <v>1338</v>
      </c>
      <c r="C473" s="778">
        <f t="shared" si="346"/>
        <v>6.3333333333333325E-2</v>
      </c>
      <c r="D473" s="844">
        <v>15</v>
      </c>
      <c r="E473" s="779" t="s">
        <v>1182</v>
      </c>
      <c r="F473" s="845">
        <v>43191</v>
      </c>
      <c r="G473" s="781">
        <f t="shared" si="347"/>
        <v>43191</v>
      </c>
      <c r="H473" s="781">
        <f t="shared" si="348"/>
        <v>48666</v>
      </c>
      <c r="I473" s="1359">
        <v>311865</v>
      </c>
      <c r="J473" s="805">
        <f t="shared" si="349"/>
        <v>15593.25</v>
      </c>
      <c r="K473" s="793"/>
      <c r="L473" s="793">
        <v>0</v>
      </c>
      <c r="M473" s="793">
        <f t="shared" si="350"/>
        <v>311865</v>
      </c>
      <c r="N473" s="793">
        <f t="shared" si="351"/>
        <v>365</v>
      </c>
      <c r="O473" s="793">
        <f t="shared" si="352"/>
        <v>19751</v>
      </c>
      <c r="P473" s="793">
        <f t="shared" si="353"/>
        <v>19751</v>
      </c>
      <c r="Q473" s="793">
        <f t="shared" si="354"/>
        <v>292114</v>
      </c>
      <c r="R473" s="793">
        <f t="shared" si="355"/>
        <v>292114</v>
      </c>
      <c r="S473" s="793">
        <f t="shared" si="356"/>
        <v>311865</v>
      </c>
      <c r="T473" s="805">
        <f t="shared" si="357"/>
        <v>366</v>
      </c>
      <c r="U473" s="805">
        <f t="shared" si="358"/>
        <v>19751</v>
      </c>
      <c r="V473" s="793">
        <f t="shared" si="359"/>
        <v>39502</v>
      </c>
      <c r="W473" s="793">
        <f t="shared" si="360"/>
        <v>272363</v>
      </c>
      <c r="X473" s="793">
        <f t="shared" si="361"/>
        <v>272363</v>
      </c>
      <c r="Y473" s="805">
        <f t="shared" si="362"/>
        <v>311865</v>
      </c>
      <c r="Z473" s="805">
        <f t="shared" si="363"/>
        <v>365</v>
      </c>
      <c r="AA473" s="805">
        <f t="shared" si="364"/>
        <v>19751</v>
      </c>
      <c r="AB473" s="805">
        <f t="shared" si="365"/>
        <v>59253</v>
      </c>
      <c r="AC473" s="805">
        <f t="shared" si="366"/>
        <v>252612</v>
      </c>
      <c r="AD473" s="793">
        <f t="shared" si="367"/>
        <v>252612</v>
      </c>
      <c r="AE473" s="793">
        <f t="shared" si="368"/>
        <v>311865</v>
      </c>
      <c r="AF473" s="793">
        <f t="shared" si="369"/>
        <v>365</v>
      </c>
      <c r="AG473" s="793">
        <f t="shared" si="370"/>
        <v>19751</v>
      </c>
      <c r="AH473" s="805">
        <f t="shared" si="371"/>
        <v>79004</v>
      </c>
      <c r="AI473" s="805">
        <f t="shared" si="372"/>
        <v>232861</v>
      </c>
      <c r="AJ473" s="793">
        <f t="shared" si="373"/>
        <v>232861</v>
      </c>
      <c r="AK473" s="793">
        <f t="shared" si="374"/>
        <v>311865</v>
      </c>
      <c r="AL473" s="793">
        <f t="shared" si="375"/>
        <v>365</v>
      </c>
      <c r="AM473" s="793">
        <f t="shared" si="376"/>
        <v>19751</v>
      </c>
      <c r="AN473" s="805">
        <f t="shared" si="377"/>
        <v>98755</v>
      </c>
      <c r="AO473" s="805">
        <f t="shared" si="378"/>
        <v>213110</v>
      </c>
      <c r="AP473" s="793">
        <f t="shared" si="379"/>
        <v>213110</v>
      </c>
      <c r="AQ473" s="793">
        <f t="shared" si="380"/>
        <v>311865</v>
      </c>
      <c r="AR473" s="793">
        <f t="shared" si="381"/>
        <v>366</v>
      </c>
      <c r="AS473" s="793">
        <f t="shared" si="382"/>
        <v>19806</v>
      </c>
      <c r="AT473" s="793">
        <f t="shared" si="383"/>
        <v>118561</v>
      </c>
      <c r="AU473" s="793">
        <f t="shared" si="384"/>
        <v>193304</v>
      </c>
      <c r="AV473" s="793">
        <f t="shared" si="385"/>
        <v>193304</v>
      </c>
      <c r="AW473" s="793">
        <f t="shared" si="386"/>
        <v>311865</v>
      </c>
      <c r="AX473" s="793">
        <f t="shared" si="387"/>
        <v>365</v>
      </c>
      <c r="AY473" s="793">
        <f t="shared" si="388"/>
        <v>19751</v>
      </c>
      <c r="AZ473" s="793">
        <f t="shared" si="389"/>
        <v>138312</v>
      </c>
      <c r="BA473" s="793">
        <f t="shared" si="390"/>
        <v>173553</v>
      </c>
    </row>
    <row r="474" spans="1:53" ht="15" customHeight="1" x14ac:dyDescent="0.25">
      <c r="A474" s="842" t="s">
        <v>1317</v>
      </c>
      <c r="B474" s="915" t="s">
        <v>1339</v>
      </c>
      <c r="C474" s="778">
        <f t="shared" si="346"/>
        <v>6.3333333333333325E-2</v>
      </c>
      <c r="D474" s="844">
        <v>15</v>
      </c>
      <c r="E474" s="779" t="s">
        <v>1182</v>
      </c>
      <c r="F474" s="845">
        <v>43191</v>
      </c>
      <c r="G474" s="781">
        <f t="shared" si="347"/>
        <v>43191</v>
      </c>
      <c r="H474" s="781">
        <f t="shared" si="348"/>
        <v>48666</v>
      </c>
      <c r="I474" s="1359">
        <v>240750</v>
      </c>
      <c r="J474" s="805">
        <f t="shared" si="349"/>
        <v>12037.5</v>
      </c>
      <c r="K474" s="793"/>
      <c r="L474" s="793">
        <v>0</v>
      </c>
      <c r="M474" s="793">
        <f t="shared" si="350"/>
        <v>240750</v>
      </c>
      <c r="N474" s="793">
        <f t="shared" si="351"/>
        <v>365</v>
      </c>
      <c r="O474" s="793">
        <f t="shared" si="352"/>
        <v>15248</v>
      </c>
      <c r="P474" s="793">
        <f t="shared" si="353"/>
        <v>15248</v>
      </c>
      <c r="Q474" s="793">
        <f t="shared" si="354"/>
        <v>225502</v>
      </c>
      <c r="R474" s="793">
        <f t="shared" si="355"/>
        <v>225502</v>
      </c>
      <c r="S474" s="793">
        <f t="shared" si="356"/>
        <v>240750</v>
      </c>
      <c r="T474" s="805">
        <f t="shared" si="357"/>
        <v>366</v>
      </c>
      <c r="U474" s="805">
        <f t="shared" si="358"/>
        <v>15248</v>
      </c>
      <c r="V474" s="793">
        <f t="shared" si="359"/>
        <v>30496</v>
      </c>
      <c r="W474" s="793">
        <f t="shared" si="360"/>
        <v>210254</v>
      </c>
      <c r="X474" s="793">
        <f t="shared" si="361"/>
        <v>210254</v>
      </c>
      <c r="Y474" s="805">
        <f t="shared" si="362"/>
        <v>240750</v>
      </c>
      <c r="Z474" s="805">
        <f t="shared" si="363"/>
        <v>365</v>
      </c>
      <c r="AA474" s="805">
        <f t="shared" si="364"/>
        <v>15248</v>
      </c>
      <c r="AB474" s="805">
        <f t="shared" si="365"/>
        <v>45744</v>
      </c>
      <c r="AC474" s="805">
        <f t="shared" si="366"/>
        <v>195006</v>
      </c>
      <c r="AD474" s="793">
        <f t="shared" si="367"/>
        <v>195006</v>
      </c>
      <c r="AE474" s="793">
        <f t="shared" si="368"/>
        <v>240750</v>
      </c>
      <c r="AF474" s="793">
        <f t="shared" si="369"/>
        <v>365</v>
      </c>
      <c r="AG474" s="793">
        <f t="shared" si="370"/>
        <v>15248</v>
      </c>
      <c r="AH474" s="805">
        <f t="shared" si="371"/>
        <v>60992</v>
      </c>
      <c r="AI474" s="805">
        <f t="shared" si="372"/>
        <v>179758</v>
      </c>
      <c r="AJ474" s="793">
        <f t="shared" si="373"/>
        <v>179758</v>
      </c>
      <c r="AK474" s="793">
        <f t="shared" si="374"/>
        <v>240750</v>
      </c>
      <c r="AL474" s="793">
        <f t="shared" si="375"/>
        <v>365</v>
      </c>
      <c r="AM474" s="793">
        <f t="shared" si="376"/>
        <v>15248</v>
      </c>
      <c r="AN474" s="805">
        <f t="shared" si="377"/>
        <v>76240</v>
      </c>
      <c r="AO474" s="805">
        <f t="shared" si="378"/>
        <v>164510</v>
      </c>
      <c r="AP474" s="793">
        <f t="shared" si="379"/>
        <v>164510</v>
      </c>
      <c r="AQ474" s="793">
        <f t="shared" si="380"/>
        <v>240750</v>
      </c>
      <c r="AR474" s="793">
        <f t="shared" si="381"/>
        <v>366</v>
      </c>
      <c r="AS474" s="793">
        <f t="shared" si="382"/>
        <v>15289</v>
      </c>
      <c r="AT474" s="793">
        <f t="shared" si="383"/>
        <v>91529</v>
      </c>
      <c r="AU474" s="793">
        <f t="shared" si="384"/>
        <v>149221</v>
      </c>
      <c r="AV474" s="793">
        <f t="shared" si="385"/>
        <v>149221</v>
      </c>
      <c r="AW474" s="793">
        <f t="shared" si="386"/>
        <v>240750</v>
      </c>
      <c r="AX474" s="793">
        <f t="shared" si="387"/>
        <v>365</v>
      </c>
      <c r="AY474" s="793">
        <f t="shared" si="388"/>
        <v>15248</v>
      </c>
      <c r="AZ474" s="793">
        <f t="shared" si="389"/>
        <v>106777</v>
      </c>
      <c r="BA474" s="793">
        <f t="shared" si="390"/>
        <v>133973</v>
      </c>
    </row>
    <row r="475" spans="1:53" ht="15" customHeight="1" x14ac:dyDescent="0.25">
      <c r="A475" s="842" t="s">
        <v>1317</v>
      </c>
      <c r="B475" s="843" t="s">
        <v>1340</v>
      </c>
      <c r="C475" s="778">
        <f t="shared" si="346"/>
        <v>6.3333333333333325E-2</v>
      </c>
      <c r="D475" s="844">
        <v>15</v>
      </c>
      <c r="E475" s="779" t="s">
        <v>1182</v>
      </c>
      <c r="F475" s="845">
        <v>43191</v>
      </c>
      <c r="G475" s="781">
        <f t="shared" si="347"/>
        <v>43191</v>
      </c>
      <c r="H475" s="781">
        <f t="shared" si="348"/>
        <v>48666</v>
      </c>
      <c r="I475" s="1359">
        <v>500000</v>
      </c>
      <c r="J475" s="805">
        <f t="shared" si="349"/>
        <v>25000</v>
      </c>
      <c r="K475" s="793"/>
      <c r="L475" s="793">
        <v>0</v>
      </c>
      <c r="M475" s="793">
        <f t="shared" si="350"/>
        <v>500000</v>
      </c>
      <c r="N475" s="793">
        <f t="shared" si="351"/>
        <v>365</v>
      </c>
      <c r="O475" s="793">
        <f t="shared" si="352"/>
        <v>31667</v>
      </c>
      <c r="P475" s="793">
        <f t="shared" si="353"/>
        <v>31667</v>
      </c>
      <c r="Q475" s="793">
        <f t="shared" si="354"/>
        <v>468333</v>
      </c>
      <c r="R475" s="793">
        <f t="shared" si="355"/>
        <v>468333</v>
      </c>
      <c r="S475" s="793">
        <f t="shared" si="356"/>
        <v>500000</v>
      </c>
      <c r="T475" s="805">
        <f t="shared" si="357"/>
        <v>366</v>
      </c>
      <c r="U475" s="805">
        <f t="shared" si="358"/>
        <v>31667</v>
      </c>
      <c r="V475" s="793">
        <f t="shared" si="359"/>
        <v>63334</v>
      </c>
      <c r="W475" s="793">
        <f t="shared" si="360"/>
        <v>436666</v>
      </c>
      <c r="X475" s="793">
        <f t="shared" si="361"/>
        <v>436666</v>
      </c>
      <c r="Y475" s="805">
        <f t="shared" si="362"/>
        <v>500000</v>
      </c>
      <c r="Z475" s="805">
        <f t="shared" si="363"/>
        <v>365</v>
      </c>
      <c r="AA475" s="805">
        <f t="shared" si="364"/>
        <v>31667</v>
      </c>
      <c r="AB475" s="805">
        <f t="shared" si="365"/>
        <v>95001</v>
      </c>
      <c r="AC475" s="805">
        <f t="shared" si="366"/>
        <v>404999</v>
      </c>
      <c r="AD475" s="793">
        <f t="shared" si="367"/>
        <v>404999</v>
      </c>
      <c r="AE475" s="793">
        <f t="shared" si="368"/>
        <v>500000</v>
      </c>
      <c r="AF475" s="793">
        <f t="shared" si="369"/>
        <v>365</v>
      </c>
      <c r="AG475" s="793">
        <f t="shared" si="370"/>
        <v>31667</v>
      </c>
      <c r="AH475" s="805">
        <f t="shared" si="371"/>
        <v>126668</v>
      </c>
      <c r="AI475" s="805">
        <f t="shared" si="372"/>
        <v>373332</v>
      </c>
      <c r="AJ475" s="793">
        <f t="shared" si="373"/>
        <v>373332</v>
      </c>
      <c r="AK475" s="793">
        <f t="shared" si="374"/>
        <v>500000</v>
      </c>
      <c r="AL475" s="793">
        <f t="shared" si="375"/>
        <v>365</v>
      </c>
      <c r="AM475" s="793">
        <f t="shared" si="376"/>
        <v>31667</v>
      </c>
      <c r="AN475" s="805">
        <f t="shared" si="377"/>
        <v>158335</v>
      </c>
      <c r="AO475" s="805">
        <f t="shared" si="378"/>
        <v>341665</v>
      </c>
      <c r="AP475" s="793">
        <f t="shared" si="379"/>
        <v>341665</v>
      </c>
      <c r="AQ475" s="793">
        <f t="shared" si="380"/>
        <v>500000</v>
      </c>
      <c r="AR475" s="793">
        <f t="shared" si="381"/>
        <v>366</v>
      </c>
      <c r="AS475" s="793">
        <f t="shared" si="382"/>
        <v>31753</v>
      </c>
      <c r="AT475" s="793">
        <f t="shared" si="383"/>
        <v>190088</v>
      </c>
      <c r="AU475" s="793">
        <f t="shared" si="384"/>
        <v>309912</v>
      </c>
      <c r="AV475" s="793">
        <f t="shared" si="385"/>
        <v>309912</v>
      </c>
      <c r="AW475" s="793">
        <f t="shared" si="386"/>
        <v>500000</v>
      </c>
      <c r="AX475" s="793">
        <f t="shared" si="387"/>
        <v>365</v>
      </c>
      <c r="AY475" s="793">
        <f t="shared" si="388"/>
        <v>31667</v>
      </c>
      <c r="AZ475" s="793">
        <f t="shared" si="389"/>
        <v>221755</v>
      </c>
      <c r="BA475" s="793">
        <f t="shared" si="390"/>
        <v>278245</v>
      </c>
    </row>
    <row r="476" spans="1:53" ht="15" customHeight="1" x14ac:dyDescent="0.25">
      <c r="A476" s="842" t="s">
        <v>1317</v>
      </c>
      <c r="B476" s="843" t="s">
        <v>1341</v>
      </c>
      <c r="C476" s="778">
        <f t="shared" si="346"/>
        <v>6.3333333333333325E-2</v>
      </c>
      <c r="D476" s="844">
        <v>15</v>
      </c>
      <c r="E476" s="779" t="s">
        <v>1182</v>
      </c>
      <c r="F476" s="845">
        <v>43191</v>
      </c>
      <c r="G476" s="781">
        <f t="shared" si="347"/>
        <v>43191</v>
      </c>
      <c r="H476" s="781">
        <f t="shared" si="348"/>
        <v>48666</v>
      </c>
      <c r="I476" s="1359">
        <v>133482.14000000001</v>
      </c>
      <c r="J476" s="805">
        <f t="shared" si="349"/>
        <v>6674.1070000000009</v>
      </c>
      <c r="K476" s="793"/>
      <c r="L476" s="793">
        <v>0</v>
      </c>
      <c r="M476" s="793">
        <f t="shared" si="350"/>
        <v>133482.14000000001</v>
      </c>
      <c r="N476" s="793">
        <f t="shared" si="351"/>
        <v>365</v>
      </c>
      <c r="O476" s="793">
        <f t="shared" si="352"/>
        <v>8454</v>
      </c>
      <c r="P476" s="793">
        <f t="shared" si="353"/>
        <v>8454</v>
      </c>
      <c r="Q476" s="793">
        <f t="shared" si="354"/>
        <v>125028.14000000001</v>
      </c>
      <c r="R476" s="793">
        <f t="shared" si="355"/>
        <v>125028.14000000001</v>
      </c>
      <c r="S476" s="793">
        <f t="shared" si="356"/>
        <v>133482.14000000001</v>
      </c>
      <c r="T476" s="805">
        <f t="shared" si="357"/>
        <v>366</v>
      </c>
      <c r="U476" s="805">
        <f t="shared" si="358"/>
        <v>8454</v>
      </c>
      <c r="V476" s="793">
        <f t="shared" si="359"/>
        <v>16908</v>
      </c>
      <c r="W476" s="793">
        <f t="shared" si="360"/>
        <v>116574.14000000001</v>
      </c>
      <c r="X476" s="793">
        <f t="shared" si="361"/>
        <v>116574.14000000001</v>
      </c>
      <c r="Y476" s="805">
        <f t="shared" si="362"/>
        <v>133482.14000000001</v>
      </c>
      <c r="Z476" s="805">
        <f t="shared" si="363"/>
        <v>365</v>
      </c>
      <c r="AA476" s="805">
        <f t="shared" si="364"/>
        <v>8454</v>
      </c>
      <c r="AB476" s="805">
        <f t="shared" si="365"/>
        <v>25362</v>
      </c>
      <c r="AC476" s="805">
        <f t="shared" si="366"/>
        <v>108120.14000000001</v>
      </c>
      <c r="AD476" s="793">
        <f t="shared" si="367"/>
        <v>108120.14000000001</v>
      </c>
      <c r="AE476" s="793">
        <f t="shared" si="368"/>
        <v>133482.14000000001</v>
      </c>
      <c r="AF476" s="793">
        <f t="shared" si="369"/>
        <v>365</v>
      </c>
      <c r="AG476" s="793">
        <f t="shared" si="370"/>
        <v>8454</v>
      </c>
      <c r="AH476" s="805">
        <f t="shared" si="371"/>
        <v>33816</v>
      </c>
      <c r="AI476" s="805">
        <f t="shared" si="372"/>
        <v>99666.140000000014</v>
      </c>
      <c r="AJ476" s="793">
        <f t="shared" si="373"/>
        <v>99666.140000000014</v>
      </c>
      <c r="AK476" s="793">
        <f t="shared" si="374"/>
        <v>133482.14000000001</v>
      </c>
      <c r="AL476" s="793">
        <f t="shared" si="375"/>
        <v>365</v>
      </c>
      <c r="AM476" s="793">
        <f t="shared" si="376"/>
        <v>8454</v>
      </c>
      <c r="AN476" s="805">
        <f t="shared" si="377"/>
        <v>42270</v>
      </c>
      <c r="AO476" s="805">
        <f t="shared" si="378"/>
        <v>91212.140000000014</v>
      </c>
      <c r="AP476" s="793">
        <f t="shared" si="379"/>
        <v>91212.140000000014</v>
      </c>
      <c r="AQ476" s="793">
        <f t="shared" si="380"/>
        <v>133482.14000000001</v>
      </c>
      <c r="AR476" s="793">
        <f t="shared" si="381"/>
        <v>366</v>
      </c>
      <c r="AS476" s="793">
        <f t="shared" si="382"/>
        <v>8477</v>
      </c>
      <c r="AT476" s="793">
        <f t="shared" si="383"/>
        <v>50747</v>
      </c>
      <c r="AU476" s="793">
        <f t="shared" si="384"/>
        <v>82735.140000000014</v>
      </c>
      <c r="AV476" s="793">
        <f t="shared" si="385"/>
        <v>82735.140000000014</v>
      </c>
      <c r="AW476" s="793">
        <f t="shared" si="386"/>
        <v>133482.14000000001</v>
      </c>
      <c r="AX476" s="793">
        <f t="shared" si="387"/>
        <v>365</v>
      </c>
      <c r="AY476" s="793">
        <f t="shared" si="388"/>
        <v>8454</v>
      </c>
      <c r="AZ476" s="793">
        <f t="shared" si="389"/>
        <v>59201</v>
      </c>
      <c r="BA476" s="793">
        <f t="shared" si="390"/>
        <v>74281.140000000014</v>
      </c>
    </row>
    <row r="477" spans="1:53" ht="15" customHeight="1" x14ac:dyDescent="0.25">
      <c r="A477" s="842" t="s">
        <v>1317</v>
      </c>
      <c r="B477" s="915" t="s">
        <v>1342</v>
      </c>
      <c r="C477" s="778">
        <f t="shared" si="346"/>
        <v>6.3333333333333325E-2</v>
      </c>
      <c r="D477" s="844">
        <v>15</v>
      </c>
      <c r="E477" s="779" t="s">
        <v>1182</v>
      </c>
      <c r="F477" s="845">
        <v>43191</v>
      </c>
      <c r="G477" s="781">
        <f t="shared" si="347"/>
        <v>43191</v>
      </c>
      <c r="H477" s="781">
        <f t="shared" si="348"/>
        <v>48666</v>
      </c>
      <c r="I477" s="1359">
        <v>169644</v>
      </c>
      <c r="J477" s="805">
        <f t="shared" si="349"/>
        <v>8482.2000000000007</v>
      </c>
      <c r="K477" s="793"/>
      <c r="L477" s="793">
        <v>0</v>
      </c>
      <c r="M477" s="793">
        <f t="shared" si="350"/>
        <v>169644</v>
      </c>
      <c r="N477" s="793">
        <f t="shared" si="351"/>
        <v>365</v>
      </c>
      <c r="O477" s="793">
        <f t="shared" si="352"/>
        <v>10744</v>
      </c>
      <c r="P477" s="793">
        <f t="shared" si="353"/>
        <v>10744</v>
      </c>
      <c r="Q477" s="793">
        <f t="shared" si="354"/>
        <v>158900</v>
      </c>
      <c r="R477" s="793">
        <f t="shared" si="355"/>
        <v>158900</v>
      </c>
      <c r="S477" s="793">
        <f t="shared" si="356"/>
        <v>169644</v>
      </c>
      <c r="T477" s="805">
        <f t="shared" si="357"/>
        <v>366</v>
      </c>
      <c r="U477" s="805">
        <f t="shared" si="358"/>
        <v>10744</v>
      </c>
      <c r="V477" s="793">
        <f t="shared" si="359"/>
        <v>21488</v>
      </c>
      <c r="W477" s="793">
        <f t="shared" si="360"/>
        <v>148156</v>
      </c>
      <c r="X477" s="793">
        <f t="shared" si="361"/>
        <v>148156</v>
      </c>
      <c r="Y477" s="805">
        <f t="shared" si="362"/>
        <v>169644</v>
      </c>
      <c r="Z477" s="805">
        <f t="shared" si="363"/>
        <v>365</v>
      </c>
      <c r="AA477" s="805">
        <f t="shared" si="364"/>
        <v>10744</v>
      </c>
      <c r="AB477" s="805">
        <f t="shared" si="365"/>
        <v>32232</v>
      </c>
      <c r="AC477" s="805">
        <f t="shared" si="366"/>
        <v>137412</v>
      </c>
      <c r="AD477" s="793">
        <f t="shared" si="367"/>
        <v>137412</v>
      </c>
      <c r="AE477" s="793">
        <f t="shared" si="368"/>
        <v>169644</v>
      </c>
      <c r="AF477" s="793">
        <f t="shared" si="369"/>
        <v>365</v>
      </c>
      <c r="AG477" s="793">
        <f t="shared" si="370"/>
        <v>10744</v>
      </c>
      <c r="AH477" s="805">
        <f t="shared" si="371"/>
        <v>42976</v>
      </c>
      <c r="AI477" s="805">
        <f t="shared" si="372"/>
        <v>126668</v>
      </c>
      <c r="AJ477" s="793">
        <f t="shared" si="373"/>
        <v>126668</v>
      </c>
      <c r="AK477" s="793">
        <f t="shared" si="374"/>
        <v>169644</v>
      </c>
      <c r="AL477" s="793">
        <f t="shared" si="375"/>
        <v>365</v>
      </c>
      <c r="AM477" s="793">
        <f t="shared" si="376"/>
        <v>10744</v>
      </c>
      <c r="AN477" s="805">
        <f t="shared" si="377"/>
        <v>53720</v>
      </c>
      <c r="AO477" s="805">
        <f t="shared" si="378"/>
        <v>115924</v>
      </c>
      <c r="AP477" s="793">
        <f t="shared" si="379"/>
        <v>115924</v>
      </c>
      <c r="AQ477" s="793">
        <f t="shared" si="380"/>
        <v>169644</v>
      </c>
      <c r="AR477" s="793">
        <f t="shared" si="381"/>
        <v>366</v>
      </c>
      <c r="AS477" s="793">
        <f t="shared" si="382"/>
        <v>10774</v>
      </c>
      <c r="AT477" s="793">
        <f t="shared" si="383"/>
        <v>64494</v>
      </c>
      <c r="AU477" s="793">
        <f t="shared" si="384"/>
        <v>105150</v>
      </c>
      <c r="AV477" s="793">
        <f t="shared" si="385"/>
        <v>105150</v>
      </c>
      <c r="AW477" s="793">
        <f t="shared" si="386"/>
        <v>169644</v>
      </c>
      <c r="AX477" s="793">
        <f t="shared" si="387"/>
        <v>365</v>
      </c>
      <c r="AY477" s="793">
        <f t="shared" si="388"/>
        <v>10744</v>
      </c>
      <c r="AZ477" s="793">
        <f t="shared" si="389"/>
        <v>75238</v>
      </c>
      <c r="BA477" s="793">
        <f t="shared" si="390"/>
        <v>94406</v>
      </c>
    </row>
    <row r="478" spans="1:53" ht="15" customHeight="1" x14ac:dyDescent="0.25">
      <c r="A478" s="842" t="s">
        <v>1317</v>
      </c>
      <c r="B478" s="915" t="s">
        <v>1343</v>
      </c>
      <c r="C478" s="778">
        <f t="shared" si="346"/>
        <v>6.3333333333333325E-2</v>
      </c>
      <c r="D478" s="844">
        <v>15</v>
      </c>
      <c r="E478" s="779" t="s">
        <v>1182</v>
      </c>
      <c r="F478" s="845">
        <v>43191</v>
      </c>
      <c r="G478" s="781">
        <f t="shared" si="347"/>
        <v>43191</v>
      </c>
      <c r="H478" s="781">
        <f t="shared" si="348"/>
        <v>48666</v>
      </c>
      <c r="I478" s="1359">
        <v>361607.14</v>
      </c>
      <c r="J478" s="805">
        <f t="shared" si="349"/>
        <v>18080.357</v>
      </c>
      <c r="K478" s="793"/>
      <c r="L478" s="793">
        <v>0</v>
      </c>
      <c r="M478" s="793">
        <f t="shared" si="350"/>
        <v>361607.14</v>
      </c>
      <c r="N478" s="793">
        <f t="shared" si="351"/>
        <v>365</v>
      </c>
      <c r="O478" s="793">
        <f t="shared" si="352"/>
        <v>22902</v>
      </c>
      <c r="P478" s="793">
        <f t="shared" si="353"/>
        <v>22902</v>
      </c>
      <c r="Q478" s="793">
        <f t="shared" si="354"/>
        <v>338705.14</v>
      </c>
      <c r="R478" s="793">
        <f t="shared" si="355"/>
        <v>338705.14</v>
      </c>
      <c r="S478" s="793">
        <f t="shared" si="356"/>
        <v>361607.14</v>
      </c>
      <c r="T478" s="805">
        <f t="shared" si="357"/>
        <v>366</v>
      </c>
      <c r="U478" s="805">
        <f t="shared" si="358"/>
        <v>22902</v>
      </c>
      <c r="V478" s="793">
        <f t="shared" si="359"/>
        <v>45804</v>
      </c>
      <c r="W478" s="793">
        <f t="shared" si="360"/>
        <v>315803.14</v>
      </c>
      <c r="X478" s="793">
        <f t="shared" si="361"/>
        <v>315803.14</v>
      </c>
      <c r="Y478" s="805">
        <f t="shared" si="362"/>
        <v>361607.14</v>
      </c>
      <c r="Z478" s="805">
        <f t="shared" si="363"/>
        <v>365</v>
      </c>
      <c r="AA478" s="805">
        <f t="shared" si="364"/>
        <v>22902</v>
      </c>
      <c r="AB478" s="805">
        <f t="shared" si="365"/>
        <v>68706</v>
      </c>
      <c r="AC478" s="805">
        <f t="shared" si="366"/>
        <v>292901.14</v>
      </c>
      <c r="AD478" s="793">
        <f t="shared" si="367"/>
        <v>292901.14</v>
      </c>
      <c r="AE478" s="793">
        <f t="shared" si="368"/>
        <v>361607.14</v>
      </c>
      <c r="AF478" s="793">
        <f t="shared" si="369"/>
        <v>365</v>
      </c>
      <c r="AG478" s="793">
        <f t="shared" si="370"/>
        <v>22902</v>
      </c>
      <c r="AH478" s="805">
        <f t="shared" si="371"/>
        <v>91608</v>
      </c>
      <c r="AI478" s="805">
        <f t="shared" si="372"/>
        <v>269999.14</v>
      </c>
      <c r="AJ478" s="793">
        <f t="shared" si="373"/>
        <v>269999.14</v>
      </c>
      <c r="AK478" s="793">
        <f t="shared" si="374"/>
        <v>361607.14</v>
      </c>
      <c r="AL478" s="793">
        <f t="shared" si="375"/>
        <v>365</v>
      </c>
      <c r="AM478" s="793">
        <f t="shared" si="376"/>
        <v>22902</v>
      </c>
      <c r="AN478" s="805">
        <f t="shared" si="377"/>
        <v>114510</v>
      </c>
      <c r="AO478" s="805">
        <f t="shared" si="378"/>
        <v>247097.14</v>
      </c>
      <c r="AP478" s="793">
        <f t="shared" si="379"/>
        <v>247097.14</v>
      </c>
      <c r="AQ478" s="793">
        <f t="shared" si="380"/>
        <v>361607.14</v>
      </c>
      <c r="AR478" s="793">
        <f t="shared" si="381"/>
        <v>366</v>
      </c>
      <c r="AS478" s="793">
        <f t="shared" si="382"/>
        <v>22965</v>
      </c>
      <c r="AT478" s="793">
        <f t="shared" si="383"/>
        <v>137475</v>
      </c>
      <c r="AU478" s="793">
        <f t="shared" si="384"/>
        <v>224132.14</v>
      </c>
      <c r="AV478" s="793">
        <f t="shared" si="385"/>
        <v>224132.14</v>
      </c>
      <c r="AW478" s="793">
        <f t="shared" si="386"/>
        <v>361607.14</v>
      </c>
      <c r="AX478" s="793">
        <f t="shared" si="387"/>
        <v>365</v>
      </c>
      <c r="AY478" s="793">
        <f t="shared" si="388"/>
        <v>22902</v>
      </c>
      <c r="AZ478" s="793">
        <f t="shared" si="389"/>
        <v>160377</v>
      </c>
      <c r="BA478" s="793">
        <f t="shared" si="390"/>
        <v>201230.14</v>
      </c>
    </row>
    <row r="479" spans="1:53" ht="15" customHeight="1" x14ac:dyDescent="0.25">
      <c r="A479" s="842" t="s">
        <v>1317</v>
      </c>
      <c r="B479" s="843" t="s">
        <v>1344</v>
      </c>
      <c r="C479" s="778">
        <f t="shared" si="346"/>
        <v>6.3333333333333325E-2</v>
      </c>
      <c r="D479" s="844">
        <v>15</v>
      </c>
      <c r="E479" s="779" t="s">
        <v>1182</v>
      </c>
      <c r="F479" s="845">
        <v>43191</v>
      </c>
      <c r="G479" s="781">
        <f t="shared" si="347"/>
        <v>43191</v>
      </c>
      <c r="H479" s="781">
        <f t="shared" si="348"/>
        <v>48666</v>
      </c>
      <c r="I479" s="1359">
        <v>12000</v>
      </c>
      <c r="J479" s="805">
        <f t="shared" si="349"/>
        <v>600</v>
      </c>
      <c r="K479" s="793"/>
      <c r="L479" s="793">
        <v>0</v>
      </c>
      <c r="M479" s="793">
        <f t="shared" si="350"/>
        <v>12000</v>
      </c>
      <c r="N479" s="793">
        <f t="shared" si="351"/>
        <v>365</v>
      </c>
      <c r="O479" s="793">
        <f t="shared" si="352"/>
        <v>760</v>
      </c>
      <c r="P479" s="793">
        <f t="shared" si="353"/>
        <v>760</v>
      </c>
      <c r="Q479" s="793">
        <f t="shared" si="354"/>
        <v>11240</v>
      </c>
      <c r="R479" s="793">
        <f t="shared" si="355"/>
        <v>11240</v>
      </c>
      <c r="S479" s="793">
        <f t="shared" si="356"/>
        <v>12000</v>
      </c>
      <c r="T479" s="805">
        <f t="shared" si="357"/>
        <v>366</v>
      </c>
      <c r="U479" s="805">
        <f t="shared" si="358"/>
        <v>760</v>
      </c>
      <c r="V479" s="793">
        <f t="shared" si="359"/>
        <v>1520</v>
      </c>
      <c r="W479" s="793">
        <f t="shared" si="360"/>
        <v>10480</v>
      </c>
      <c r="X479" s="793">
        <f t="shared" si="361"/>
        <v>10480</v>
      </c>
      <c r="Y479" s="805">
        <f t="shared" si="362"/>
        <v>12000</v>
      </c>
      <c r="Z479" s="805">
        <f t="shared" si="363"/>
        <v>365</v>
      </c>
      <c r="AA479" s="805">
        <f t="shared" si="364"/>
        <v>760</v>
      </c>
      <c r="AB479" s="805">
        <f t="shared" si="365"/>
        <v>2280</v>
      </c>
      <c r="AC479" s="805">
        <f t="shared" si="366"/>
        <v>9720</v>
      </c>
      <c r="AD479" s="793">
        <f t="shared" si="367"/>
        <v>9720</v>
      </c>
      <c r="AE479" s="793">
        <f t="shared" si="368"/>
        <v>12000</v>
      </c>
      <c r="AF479" s="793">
        <f t="shared" si="369"/>
        <v>365</v>
      </c>
      <c r="AG479" s="793">
        <f t="shared" si="370"/>
        <v>760</v>
      </c>
      <c r="AH479" s="805">
        <f t="shared" si="371"/>
        <v>3040</v>
      </c>
      <c r="AI479" s="805">
        <f t="shared" si="372"/>
        <v>8960</v>
      </c>
      <c r="AJ479" s="793">
        <f t="shared" si="373"/>
        <v>8960</v>
      </c>
      <c r="AK479" s="793">
        <f t="shared" si="374"/>
        <v>12000</v>
      </c>
      <c r="AL479" s="793">
        <f t="shared" si="375"/>
        <v>365</v>
      </c>
      <c r="AM479" s="793">
        <f t="shared" si="376"/>
        <v>760</v>
      </c>
      <c r="AN479" s="805">
        <f t="shared" si="377"/>
        <v>3800</v>
      </c>
      <c r="AO479" s="805">
        <f t="shared" si="378"/>
        <v>8200</v>
      </c>
      <c r="AP479" s="793">
        <f t="shared" si="379"/>
        <v>8200</v>
      </c>
      <c r="AQ479" s="793">
        <f t="shared" si="380"/>
        <v>12000</v>
      </c>
      <c r="AR479" s="793">
        <f t="shared" si="381"/>
        <v>366</v>
      </c>
      <c r="AS479" s="793">
        <f t="shared" si="382"/>
        <v>762</v>
      </c>
      <c r="AT479" s="793">
        <f t="shared" si="383"/>
        <v>4562</v>
      </c>
      <c r="AU479" s="793">
        <f t="shared" si="384"/>
        <v>7438</v>
      </c>
      <c r="AV479" s="793">
        <f t="shared" si="385"/>
        <v>7438</v>
      </c>
      <c r="AW479" s="793">
        <f t="shared" si="386"/>
        <v>12000</v>
      </c>
      <c r="AX479" s="793">
        <f t="shared" si="387"/>
        <v>365</v>
      </c>
      <c r="AY479" s="793">
        <f t="shared" si="388"/>
        <v>760</v>
      </c>
      <c r="AZ479" s="793">
        <f t="shared" si="389"/>
        <v>5322</v>
      </c>
      <c r="BA479" s="793">
        <f t="shared" si="390"/>
        <v>6678</v>
      </c>
    </row>
    <row r="480" spans="1:53" ht="15" customHeight="1" x14ac:dyDescent="0.25">
      <c r="A480" s="842" t="s">
        <v>1317</v>
      </c>
      <c r="B480" s="843" t="s">
        <v>1345</v>
      </c>
      <c r="C480" s="778">
        <f t="shared" si="346"/>
        <v>6.3333333333333325E-2</v>
      </c>
      <c r="D480" s="844">
        <v>15</v>
      </c>
      <c r="E480" s="779" t="s">
        <v>1182</v>
      </c>
      <c r="F480" s="845">
        <v>43191</v>
      </c>
      <c r="G480" s="781">
        <f t="shared" si="347"/>
        <v>43191</v>
      </c>
      <c r="H480" s="781">
        <f t="shared" si="348"/>
        <v>48666</v>
      </c>
      <c r="I480" s="1359">
        <v>5100</v>
      </c>
      <c r="J480" s="805">
        <f t="shared" si="349"/>
        <v>255</v>
      </c>
      <c r="K480" s="793"/>
      <c r="L480" s="793">
        <v>0</v>
      </c>
      <c r="M480" s="793">
        <f t="shared" si="350"/>
        <v>5100</v>
      </c>
      <c r="N480" s="793">
        <f t="shared" si="351"/>
        <v>365</v>
      </c>
      <c r="O480" s="793">
        <f t="shared" si="352"/>
        <v>323</v>
      </c>
      <c r="P480" s="793">
        <f t="shared" si="353"/>
        <v>323</v>
      </c>
      <c r="Q480" s="793">
        <f t="shared" si="354"/>
        <v>4777</v>
      </c>
      <c r="R480" s="793">
        <f t="shared" si="355"/>
        <v>4777</v>
      </c>
      <c r="S480" s="793">
        <f t="shared" si="356"/>
        <v>5100</v>
      </c>
      <c r="T480" s="805">
        <f t="shared" si="357"/>
        <v>366</v>
      </c>
      <c r="U480" s="805">
        <f t="shared" si="358"/>
        <v>323</v>
      </c>
      <c r="V480" s="793">
        <f t="shared" si="359"/>
        <v>646</v>
      </c>
      <c r="W480" s="793">
        <f t="shared" si="360"/>
        <v>4454</v>
      </c>
      <c r="X480" s="793">
        <f t="shared" si="361"/>
        <v>4454</v>
      </c>
      <c r="Y480" s="805">
        <f t="shared" si="362"/>
        <v>5100</v>
      </c>
      <c r="Z480" s="805">
        <f t="shared" si="363"/>
        <v>365</v>
      </c>
      <c r="AA480" s="805">
        <f t="shared" si="364"/>
        <v>323</v>
      </c>
      <c r="AB480" s="805">
        <f t="shared" si="365"/>
        <v>969</v>
      </c>
      <c r="AC480" s="805">
        <f t="shared" si="366"/>
        <v>4131</v>
      </c>
      <c r="AD480" s="793">
        <f t="shared" si="367"/>
        <v>4131</v>
      </c>
      <c r="AE480" s="793">
        <f t="shared" si="368"/>
        <v>5100</v>
      </c>
      <c r="AF480" s="793">
        <f t="shared" si="369"/>
        <v>365</v>
      </c>
      <c r="AG480" s="793">
        <f t="shared" si="370"/>
        <v>323</v>
      </c>
      <c r="AH480" s="805">
        <f t="shared" si="371"/>
        <v>1292</v>
      </c>
      <c r="AI480" s="805">
        <f t="shared" si="372"/>
        <v>3808</v>
      </c>
      <c r="AJ480" s="793">
        <f t="shared" si="373"/>
        <v>3808</v>
      </c>
      <c r="AK480" s="793">
        <f t="shared" si="374"/>
        <v>5100</v>
      </c>
      <c r="AL480" s="793">
        <f t="shared" si="375"/>
        <v>365</v>
      </c>
      <c r="AM480" s="793">
        <f t="shared" si="376"/>
        <v>323</v>
      </c>
      <c r="AN480" s="805">
        <f t="shared" si="377"/>
        <v>1615</v>
      </c>
      <c r="AO480" s="805">
        <f t="shared" si="378"/>
        <v>3485</v>
      </c>
      <c r="AP480" s="793">
        <f t="shared" si="379"/>
        <v>3485</v>
      </c>
      <c r="AQ480" s="793">
        <f t="shared" si="380"/>
        <v>5100</v>
      </c>
      <c r="AR480" s="793">
        <f t="shared" si="381"/>
        <v>366</v>
      </c>
      <c r="AS480" s="793">
        <f t="shared" si="382"/>
        <v>324</v>
      </c>
      <c r="AT480" s="793">
        <f t="shared" si="383"/>
        <v>1939</v>
      </c>
      <c r="AU480" s="793">
        <f t="shared" si="384"/>
        <v>3161</v>
      </c>
      <c r="AV480" s="793">
        <f t="shared" si="385"/>
        <v>3161</v>
      </c>
      <c r="AW480" s="793">
        <f t="shared" si="386"/>
        <v>5100</v>
      </c>
      <c r="AX480" s="793">
        <f t="shared" si="387"/>
        <v>365</v>
      </c>
      <c r="AY480" s="793">
        <f t="shared" si="388"/>
        <v>323</v>
      </c>
      <c r="AZ480" s="793">
        <f t="shared" si="389"/>
        <v>2262</v>
      </c>
      <c r="BA480" s="793">
        <f t="shared" si="390"/>
        <v>2838</v>
      </c>
    </row>
    <row r="481" spans="1:53" ht="15" customHeight="1" x14ac:dyDescent="0.25">
      <c r="A481" s="842" t="s">
        <v>1317</v>
      </c>
      <c r="B481" s="915" t="s">
        <v>1346</v>
      </c>
      <c r="C481" s="778">
        <f t="shared" si="346"/>
        <v>6.3333333333333325E-2</v>
      </c>
      <c r="D481" s="844">
        <v>15</v>
      </c>
      <c r="E481" s="779" t="s">
        <v>1182</v>
      </c>
      <c r="F481" s="845">
        <v>43191</v>
      </c>
      <c r="G481" s="781">
        <f t="shared" si="347"/>
        <v>43191</v>
      </c>
      <c r="H481" s="781">
        <f t="shared" si="348"/>
        <v>48666</v>
      </c>
      <c r="I481" s="1359">
        <v>10200</v>
      </c>
      <c r="J481" s="805">
        <f t="shared" si="349"/>
        <v>510</v>
      </c>
      <c r="K481" s="793"/>
      <c r="L481" s="793">
        <v>0</v>
      </c>
      <c r="M481" s="793">
        <f t="shared" si="350"/>
        <v>10200</v>
      </c>
      <c r="N481" s="793">
        <f t="shared" si="351"/>
        <v>365</v>
      </c>
      <c r="O481" s="793">
        <f t="shared" si="352"/>
        <v>646</v>
      </c>
      <c r="P481" s="793">
        <f t="shared" si="353"/>
        <v>646</v>
      </c>
      <c r="Q481" s="793">
        <f t="shared" si="354"/>
        <v>9554</v>
      </c>
      <c r="R481" s="793">
        <f t="shared" si="355"/>
        <v>9554</v>
      </c>
      <c r="S481" s="793">
        <f t="shared" si="356"/>
        <v>10200</v>
      </c>
      <c r="T481" s="805">
        <f t="shared" si="357"/>
        <v>366</v>
      </c>
      <c r="U481" s="805">
        <f t="shared" si="358"/>
        <v>646</v>
      </c>
      <c r="V481" s="793">
        <f t="shared" si="359"/>
        <v>1292</v>
      </c>
      <c r="W481" s="793">
        <f t="shared" si="360"/>
        <v>8908</v>
      </c>
      <c r="X481" s="793">
        <f t="shared" si="361"/>
        <v>8908</v>
      </c>
      <c r="Y481" s="805">
        <f t="shared" si="362"/>
        <v>10200</v>
      </c>
      <c r="Z481" s="805">
        <f t="shared" si="363"/>
        <v>365</v>
      </c>
      <c r="AA481" s="805">
        <f t="shared" si="364"/>
        <v>646</v>
      </c>
      <c r="AB481" s="805">
        <f t="shared" si="365"/>
        <v>1938</v>
      </c>
      <c r="AC481" s="805">
        <f t="shared" si="366"/>
        <v>8262</v>
      </c>
      <c r="AD481" s="793">
        <f t="shared" si="367"/>
        <v>8262</v>
      </c>
      <c r="AE481" s="793">
        <f t="shared" si="368"/>
        <v>10200</v>
      </c>
      <c r="AF481" s="793">
        <f t="shared" si="369"/>
        <v>365</v>
      </c>
      <c r="AG481" s="793">
        <f t="shared" si="370"/>
        <v>646</v>
      </c>
      <c r="AH481" s="805">
        <f t="shared" si="371"/>
        <v>2584</v>
      </c>
      <c r="AI481" s="805">
        <f t="shared" si="372"/>
        <v>7616</v>
      </c>
      <c r="AJ481" s="793">
        <f t="shared" si="373"/>
        <v>7616</v>
      </c>
      <c r="AK481" s="793">
        <f t="shared" si="374"/>
        <v>10200</v>
      </c>
      <c r="AL481" s="793">
        <f t="shared" si="375"/>
        <v>365</v>
      </c>
      <c r="AM481" s="793">
        <f t="shared" si="376"/>
        <v>646</v>
      </c>
      <c r="AN481" s="805">
        <f t="shared" si="377"/>
        <v>3230</v>
      </c>
      <c r="AO481" s="805">
        <f t="shared" si="378"/>
        <v>6970</v>
      </c>
      <c r="AP481" s="793">
        <f t="shared" si="379"/>
        <v>6970</v>
      </c>
      <c r="AQ481" s="793">
        <f t="shared" si="380"/>
        <v>10200</v>
      </c>
      <c r="AR481" s="793">
        <f t="shared" si="381"/>
        <v>366</v>
      </c>
      <c r="AS481" s="793">
        <f t="shared" si="382"/>
        <v>648</v>
      </c>
      <c r="AT481" s="793">
        <f t="shared" si="383"/>
        <v>3878</v>
      </c>
      <c r="AU481" s="793">
        <f t="shared" si="384"/>
        <v>6322</v>
      </c>
      <c r="AV481" s="793">
        <f t="shared" si="385"/>
        <v>6322</v>
      </c>
      <c r="AW481" s="793">
        <f t="shared" si="386"/>
        <v>10200</v>
      </c>
      <c r="AX481" s="793">
        <f t="shared" si="387"/>
        <v>365</v>
      </c>
      <c r="AY481" s="793">
        <f t="shared" si="388"/>
        <v>646</v>
      </c>
      <c r="AZ481" s="793">
        <f t="shared" si="389"/>
        <v>4524</v>
      </c>
      <c r="BA481" s="793">
        <f t="shared" si="390"/>
        <v>5676</v>
      </c>
    </row>
    <row r="482" spans="1:53" ht="15" customHeight="1" x14ac:dyDescent="0.25">
      <c r="A482" s="842" t="s">
        <v>1317</v>
      </c>
      <c r="B482" s="843" t="s">
        <v>1347</v>
      </c>
      <c r="C482" s="778">
        <f t="shared" si="346"/>
        <v>6.3333333333333325E-2</v>
      </c>
      <c r="D482" s="844">
        <v>15</v>
      </c>
      <c r="E482" s="779" t="s">
        <v>1182</v>
      </c>
      <c r="F482" s="845">
        <v>43529</v>
      </c>
      <c r="G482" s="781">
        <f t="shared" si="347"/>
        <v>43529</v>
      </c>
      <c r="H482" s="781">
        <f t="shared" si="348"/>
        <v>49004</v>
      </c>
      <c r="I482" s="1359">
        <v>300000</v>
      </c>
      <c r="J482" s="805">
        <f t="shared" si="349"/>
        <v>15000</v>
      </c>
      <c r="K482" s="793"/>
      <c r="L482" s="793">
        <v>0</v>
      </c>
      <c r="M482" s="793">
        <f t="shared" si="350"/>
        <v>300000</v>
      </c>
      <c r="N482" s="793">
        <f t="shared" si="351"/>
        <v>27</v>
      </c>
      <c r="O482" s="793">
        <f t="shared" si="352"/>
        <v>1405</v>
      </c>
      <c r="P482" s="793">
        <f t="shared" si="353"/>
        <v>1405</v>
      </c>
      <c r="Q482" s="793">
        <f t="shared" si="354"/>
        <v>298595</v>
      </c>
      <c r="R482" s="793">
        <f t="shared" si="355"/>
        <v>298595</v>
      </c>
      <c r="S482" s="793">
        <f t="shared" si="356"/>
        <v>300000</v>
      </c>
      <c r="T482" s="805">
        <f t="shared" si="357"/>
        <v>366</v>
      </c>
      <c r="U482" s="805">
        <f t="shared" si="358"/>
        <v>19000</v>
      </c>
      <c r="V482" s="793">
        <f t="shared" si="359"/>
        <v>20405</v>
      </c>
      <c r="W482" s="793">
        <f t="shared" si="360"/>
        <v>279595</v>
      </c>
      <c r="X482" s="793">
        <f t="shared" si="361"/>
        <v>279595</v>
      </c>
      <c r="Y482" s="805">
        <f t="shared" si="362"/>
        <v>300000</v>
      </c>
      <c r="Z482" s="805">
        <f t="shared" si="363"/>
        <v>365</v>
      </c>
      <c r="AA482" s="805">
        <f t="shared" si="364"/>
        <v>19000</v>
      </c>
      <c r="AB482" s="805">
        <f t="shared" si="365"/>
        <v>39405</v>
      </c>
      <c r="AC482" s="805">
        <f t="shared" si="366"/>
        <v>260595</v>
      </c>
      <c r="AD482" s="793">
        <f t="shared" si="367"/>
        <v>260595</v>
      </c>
      <c r="AE482" s="793">
        <f t="shared" si="368"/>
        <v>300000</v>
      </c>
      <c r="AF482" s="793">
        <f t="shared" si="369"/>
        <v>365</v>
      </c>
      <c r="AG482" s="793">
        <f t="shared" si="370"/>
        <v>19000</v>
      </c>
      <c r="AH482" s="805">
        <f t="shared" si="371"/>
        <v>58405</v>
      </c>
      <c r="AI482" s="805">
        <f t="shared" si="372"/>
        <v>241595</v>
      </c>
      <c r="AJ482" s="793">
        <f t="shared" si="373"/>
        <v>241595</v>
      </c>
      <c r="AK482" s="793">
        <f t="shared" si="374"/>
        <v>300000</v>
      </c>
      <c r="AL482" s="793">
        <f t="shared" si="375"/>
        <v>365</v>
      </c>
      <c r="AM482" s="793">
        <f t="shared" si="376"/>
        <v>19000</v>
      </c>
      <c r="AN482" s="805">
        <f t="shared" si="377"/>
        <v>77405</v>
      </c>
      <c r="AO482" s="805">
        <f t="shared" si="378"/>
        <v>222595</v>
      </c>
      <c r="AP482" s="793">
        <f t="shared" si="379"/>
        <v>222595</v>
      </c>
      <c r="AQ482" s="793">
        <f t="shared" si="380"/>
        <v>300000</v>
      </c>
      <c r="AR482" s="793">
        <f t="shared" si="381"/>
        <v>366</v>
      </c>
      <c r="AS482" s="793">
        <f t="shared" si="382"/>
        <v>19052</v>
      </c>
      <c r="AT482" s="793">
        <f t="shared" si="383"/>
        <v>96457</v>
      </c>
      <c r="AU482" s="793">
        <f t="shared" si="384"/>
        <v>203543</v>
      </c>
      <c r="AV482" s="793">
        <f t="shared" si="385"/>
        <v>203543</v>
      </c>
      <c r="AW482" s="793">
        <f t="shared" si="386"/>
        <v>300000</v>
      </c>
      <c r="AX482" s="793">
        <f t="shared" si="387"/>
        <v>365</v>
      </c>
      <c r="AY482" s="793">
        <f t="shared" si="388"/>
        <v>19000</v>
      </c>
      <c r="AZ482" s="793">
        <f t="shared" si="389"/>
        <v>115457</v>
      </c>
      <c r="BA482" s="793">
        <f t="shared" si="390"/>
        <v>184543</v>
      </c>
    </row>
    <row r="483" spans="1:53" ht="15" customHeight="1" x14ac:dyDescent="0.25">
      <c r="A483" s="842" t="s">
        <v>1317</v>
      </c>
      <c r="B483" s="843" t="s">
        <v>1348</v>
      </c>
      <c r="C483" s="778">
        <f t="shared" si="346"/>
        <v>6.3333333333333325E-2</v>
      </c>
      <c r="D483" s="844">
        <v>15</v>
      </c>
      <c r="E483" s="779" t="s">
        <v>1182</v>
      </c>
      <c r="F483" s="845">
        <v>43301</v>
      </c>
      <c r="G483" s="781">
        <f t="shared" si="347"/>
        <v>43301</v>
      </c>
      <c r="H483" s="781">
        <f t="shared" si="348"/>
        <v>48776</v>
      </c>
      <c r="I483" s="1359">
        <v>195000</v>
      </c>
      <c r="J483" s="805">
        <f t="shared" si="349"/>
        <v>9750</v>
      </c>
      <c r="K483" s="793"/>
      <c r="L483" s="793">
        <v>0</v>
      </c>
      <c r="M483" s="793">
        <f t="shared" si="350"/>
        <v>195000</v>
      </c>
      <c r="N483" s="793">
        <f t="shared" si="351"/>
        <v>255</v>
      </c>
      <c r="O483" s="793">
        <f t="shared" si="352"/>
        <v>8628</v>
      </c>
      <c r="P483" s="793">
        <f t="shared" si="353"/>
        <v>8628</v>
      </c>
      <c r="Q483" s="793">
        <f t="shared" si="354"/>
        <v>186372</v>
      </c>
      <c r="R483" s="793">
        <f t="shared" si="355"/>
        <v>186372</v>
      </c>
      <c r="S483" s="793">
        <f t="shared" si="356"/>
        <v>195000</v>
      </c>
      <c r="T483" s="805">
        <f t="shared" si="357"/>
        <v>366</v>
      </c>
      <c r="U483" s="805">
        <f t="shared" si="358"/>
        <v>12350</v>
      </c>
      <c r="V483" s="793">
        <f t="shared" si="359"/>
        <v>20978</v>
      </c>
      <c r="W483" s="793">
        <f t="shared" si="360"/>
        <v>174022</v>
      </c>
      <c r="X483" s="793">
        <f t="shared" si="361"/>
        <v>174022</v>
      </c>
      <c r="Y483" s="805">
        <f t="shared" si="362"/>
        <v>195000</v>
      </c>
      <c r="Z483" s="805">
        <f t="shared" si="363"/>
        <v>365</v>
      </c>
      <c r="AA483" s="805">
        <f t="shared" si="364"/>
        <v>12350</v>
      </c>
      <c r="AB483" s="805">
        <f t="shared" si="365"/>
        <v>33328</v>
      </c>
      <c r="AC483" s="805">
        <f t="shared" si="366"/>
        <v>161672</v>
      </c>
      <c r="AD483" s="793">
        <f t="shared" si="367"/>
        <v>161672</v>
      </c>
      <c r="AE483" s="793">
        <f t="shared" si="368"/>
        <v>195000</v>
      </c>
      <c r="AF483" s="793">
        <f t="shared" si="369"/>
        <v>365</v>
      </c>
      <c r="AG483" s="793">
        <f t="shared" si="370"/>
        <v>12350</v>
      </c>
      <c r="AH483" s="805">
        <f t="shared" si="371"/>
        <v>45678</v>
      </c>
      <c r="AI483" s="805">
        <f t="shared" si="372"/>
        <v>149322</v>
      </c>
      <c r="AJ483" s="793">
        <f t="shared" si="373"/>
        <v>149322</v>
      </c>
      <c r="AK483" s="793">
        <f t="shared" si="374"/>
        <v>195000</v>
      </c>
      <c r="AL483" s="793">
        <f t="shared" si="375"/>
        <v>365</v>
      </c>
      <c r="AM483" s="793">
        <f t="shared" si="376"/>
        <v>12350</v>
      </c>
      <c r="AN483" s="805">
        <f t="shared" si="377"/>
        <v>58028</v>
      </c>
      <c r="AO483" s="805">
        <f t="shared" si="378"/>
        <v>136972</v>
      </c>
      <c r="AP483" s="793">
        <f t="shared" si="379"/>
        <v>136972</v>
      </c>
      <c r="AQ483" s="793">
        <f t="shared" si="380"/>
        <v>195000</v>
      </c>
      <c r="AR483" s="793">
        <f t="shared" si="381"/>
        <v>366</v>
      </c>
      <c r="AS483" s="793">
        <f t="shared" si="382"/>
        <v>12384</v>
      </c>
      <c r="AT483" s="793">
        <f t="shared" si="383"/>
        <v>70412</v>
      </c>
      <c r="AU483" s="793">
        <f t="shared" si="384"/>
        <v>124588</v>
      </c>
      <c r="AV483" s="793">
        <f t="shared" si="385"/>
        <v>124588</v>
      </c>
      <c r="AW483" s="793">
        <f t="shared" si="386"/>
        <v>195000</v>
      </c>
      <c r="AX483" s="793">
        <f t="shared" si="387"/>
        <v>365</v>
      </c>
      <c r="AY483" s="793">
        <f t="shared" si="388"/>
        <v>12350</v>
      </c>
      <c r="AZ483" s="793">
        <f t="shared" si="389"/>
        <v>82762</v>
      </c>
      <c r="BA483" s="793">
        <f t="shared" si="390"/>
        <v>112238</v>
      </c>
    </row>
    <row r="484" spans="1:53" ht="15" customHeight="1" x14ac:dyDescent="0.25">
      <c r="A484" s="842" t="s">
        <v>1317</v>
      </c>
      <c r="B484" s="843" t="s">
        <v>1349</v>
      </c>
      <c r="C484" s="778">
        <f t="shared" si="346"/>
        <v>6.3333333333333325E-2</v>
      </c>
      <c r="D484" s="844">
        <v>15</v>
      </c>
      <c r="E484" s="779" t="s">
        <v>1182</v>
      </c>
      <c r="F484" s="845">
        <v>43533</v>
      </c>
      <c r="G484" s="781">
        <f t="shared" si="347"/>
        <v>43533</v>
      </c>
      <c r="H484" s="781">
        <f t="shared" si="348"/>
        <v>49008</v>
      </c>
      <c r="I484" s="1359">
        <v>2181815</v>
      </c>
      <c r="J484" s="805">
        <f t="shared" si="349"/>
        <v>109090.75</v>
      </c>
      <c r="K484" s="793"/>
      <c r="L484" s="793">
        <v>0</v>
      </c>
      <c r="M484" s="793">
        <f t="shared" si="350"/>
        <v>2181815</v>
      </c>
      <c r="N484" s="793">
        <f t="shared" si="351"/>
        <v>23</v>
      </c>
      <c r="O484" s="793">
        <f t="shared" si="352"/>
        <v>8707</v>
      </c>
      <c r="P484" s="793">
        <f t="shared" si="353"/>
        <v>8707</v>
      </c>
      <c r="Q484" s="793">
        <f t="shared" si="354"/>
        <v>2173108</v>
      </c>
      <c r="R484" s="793">
        <f t="shared" si="355"/>
        <v>2173108</v>
      </c>
      <c r="S484" s="793">
        <f t="shared" si="356"/>
        <v>2181815</v>
      </c>
      <c r="T484" s="805">
        <f t="shared" si="357"/>
        <v>366</v>
      </c>
      <c r="U484" s="805">
        <f t="shared" si="358"/>
        <v>138182</v>
      </c>
      <c r="V484" s="793">
        <f t="shared" si="359"/>
        <v>146889</v>
      </c>
      <c r="W484" s="793">
        <f t="shared" si="360"/>
        <v>2034926</v>
      </c>
      <c r="X484" s="793">
        <f t="shared" si="361"/>
        <v>2034926</v>
      </c>
      <c r="Y484" s="805">
        <f t="shared" si="362"/>
        <v>2181815</v>
      </c>
      <c r="Z484" s="805">
        <f t="shared" si="363"/>
        <v>365</v>
      </c>
      <c r="AA484" s="805">
        <f t="shared" si="364"/>
        <v>138182</v>
      </c>
      <c r="AB484" s="805">
        <f t="shared" si="365"/>
        <v>285071</v>
      </c>
      <c r="AC484" s="805">
        <f t="shared" si="366"/>
        <v>1896744</v>
      </c>
      <c r="AD484" s="793">
        <f t="shared" si="367"/>
        <v>1896744</v>
      </c>
      <c r="AE484" s="793">
        <f t="shared" si="368"/>
        <v>2181815</v>
      </c>
      <c r="AF484" s="793">
        <f t="shared" si="369"/>
        <v>365</v>
      </c>
      <c r="AG484" s="793">
        <f t="shared" si="370"/>
        <v>138182</v>
      </c>
      <c r="AH484" s="805">
        <f t="shared" si="371"/>
        <v>423253</v>
      </c>
      <c r="AI484" s="805">
        <f t="shared" si="372"/>
        <v>1758562</v>
      </c>
      <c r="AJ484" s="793">
        <f t="shared" si="373"/>
        <v>1758562</v>
      </c>
      <c r="AK484" s="793">
        <f t="shared" si="374"/>
        <v>2181815</v>
      </c>
      <c r="AL484" s="793">
        <f t="shared" si="375"/>
        <v>365</v>
      </c>
      <c r="AM484" s="793">
        <f t="shared" si="376"/>
        <v>138182</v>
      </c>
      <c r="AN484" s="805">
        <f t="shared" si="377"/>
        <v>561435</v>
      </c>
      <c r="AO484" s="805">
        <f t="shared" si="378"/>
        <v>1620380</v>
      </c>
      <c r="AP484" s="793">
        <f t="shared" si="379"/>
        <v>1620380</v>
      </c>
      <c r="AQ484" s="793">
        <f t="shared" si="380"/>
        <v>2181815</v>
      </c>
      <c r="AR484" s="793">
        <f t="shared" si="381"/>
        <v>366</v>
      </c>
      <c r="AS484" s="793">
        <f t="shared" si="382"/>
        <v>138560</v>
      </c>
      <c r="AT484" s="793">
        <f t="shared" si="383"/>
        <v>699995</v>
      </c>
      <c r="AU484" s="793">
        <f t="shared" si="384"/>
        <v>1481820</v>
      </c>
      <c r="AV484" s="793">
        <f t="shared" si="385"/>
        <v>1481820</v>
      </c>
      <c r="AW484" s="793">
        <f t="shared" si="386"/>
        <v>2181815</v>
      </c>
      <c r="AX484" s="793">
        <f t="shared" si="387"/>
        <v>365</v>
      </c>
      <c r="AY484" s="793">
        <f t="shared" si="388"/>
        <v>138182</v>
      </c>
      <c r="AZ484" s="793">
        <f t="shared" si="389"/>
        <v>838177</v>
      </c>
      <c r="BA484" s="793">
        <f t="shared" si="390"/>
        <v>1343638</v>
      </c>
    </row>
    <row r="485" spans="1:53" ht="15" customHeight="1" x14ac:dyDescent="0.25">
      <c r="A485" s="842" t="s">
        <v>1317</v>
      </c>
      <c r="B485" s="843" t="s">
        <v>367</v>
      </c>
      <c r="C485" s="778">
        <f t="shared" si="346"/>
        <v>6.3333333333333325E-2</v>
      </c>
      <c r="D485" s="844">
        <v>15</v>
      </c>
      <c r="E485" s="844" t="s">
        <v>1205</v>
      </c>
      <c r="F485" s="845">
        <v>43557</v>
      </c>
      <c r="G485" s="781">
        <f t="shared" si="347"/>
        <v>43557</v>
      </c>
      <c r="H485" s="781">
        <f t="shared" si="348"/>
        <v>49032</v>
      </c>
      <c r="I485" s="1434">
        <f>26211864.42</f>
        <v>26211864.420000002</v>
      </c>
      <c r="J485" s="805">
        <f t="shared" si="349"/>
        <v>1310593.2210000001</v>
      </c>
      <c r="K485" s="793"/>
      <c r="L485" s="793">
        <v>0</v>
      </c>
      <c r="M485" s="793">
        <v>0</v>
      </c>
      <c r="N485" s="793">
        <v>0</v>
      </c>
      <c r="O485" s="793">
        <v>0</v>
      </c>
      <c r="P485" s="793">
        <v>0</v>
      </c>
      <c r="Q485" s="793">
        <v>0</v>
      </c>
      <c r="R485" s="793">
        <f t="shared" si="355"/>
        <v>0</v>
      </c>
      <c r="S485" s="793">
        <f t="shared" si="356"/>
        <v>26211864.420000002</v>
      </c>
      <c r="T485" s="805">
        <f t="shared" si="357"/>
        <v>365</v>
      </c>
      <c r="U485" s="805">
        <f t="shared" si="358"/>
        <v>1655549</v>
      </c>
      <c r="V485" s="793">
        <f t="shared" si="359"/>
        <v>1655549</v>
      </c>
      <c r="W485" s="793">
        <f t="shared" si="360"/>
        <v>24556315.420000002</v>
      </c>
      <c r="X485" s="793">
        <f t="shared" si="361"/>
        <v>24556315.420000002</v>
      </c>
      <c r="Y485" s="805">
        <f t="shared" si="362"/>
        <v>26211864.420000002</v>
      </c>
      <c r="Z485" s="805">
        <f t="shared" si="363"/>
        <v>365</v>
      </c>
      <c r="AA485" s="805">
        <f t="shared" si="364"/>
        <v>1660085</v>
      </c>
      <c r="AB485" s="805">
        <f t="shared" si="365"/>
        <v>3315634</v>
      </c>
      <c r="AC485" s="805">
        <f t="shared" si="366"/>
        <v>22896230.420000002</v>
      </c>
      <c r="AD485" s="793">
        <f t="shared" si="367"/>
        <v>22896230.420000002</v>
      </c>
      <c r="AE485" s="793">
        <f t="shared" si="368"/>
        <v>26211864.420000002</v>
      </c>
      <c r="AF485" s="793">
        <f t="shared" si="369"/>
        <v>365</v>
      </c>
      <c r="AG485" s="793">
        <f t="shared" si="370"/>
        <v>1660085</v>
      </c>
      <c r="AH485" s="805">
        <f t="shared" si="371"/>
        <v>4975719</v>
      </c>
      <c r="AI485" s="805">
        <f t="shared" si="372"/>
        <v>21236145.420000002</v>
      </c>
      <c r="AJ485" s="793">
        <f t="shared" si="373"/>
        <v>21236145.420000002</v>
      </c>
      <c r="AK485" s="793">
        <f t="shared" si="374"/>
        <v>26211864.420000002</v>
      </c>
      <c r="AL485" s="793">
        <f t="shared" si="375"/>
        <v>365</v>
      </c>
      <c r="AM485" s="793">
        <f t="shared" si="376"/>
        <v>1660085</v>
      </c>
      <c r="AN485" s="805">
        <f t="shared" si="377"/>
        <v>6635804</v>
      </c>
      <c r="AO485" s="805">
        <f t="shared" si="378"/>
        <v>19576060.420000002</v>
      </c>
      <c r="AP485" s="793">
        <f t="shared" si="379"/>
        <v>19576060.420000002</v>
      </c>
      <c r="AQ485" s="793">
        <f t="shared" si="380"/>
        <v>26211864.420000002</v>
      </c>
      <c r="AR485" s="793">
        <f t="shared" si="381"/>
        <v>366</v>
      </c>
      <c r="AS485" s="793">
        <f t="shared" si="382"/>
        <v>1664633</v>
      </c>
      <c r="AT485" s="793">
        <f t="shared" si="383"/>
        <v>8300437</v>
      </c>
      <c r="AU485" s="793">
        <f t="shared" si="384"/>
        <v>17911427.420000002</v>
      </c>
      <c r="AV485" s="793">
        <f t="shared" si="385"/>
        <v>17911427.420000002</v>
      </c>
      <c r="AW485" s="793">
        <f t="shared" si="386"/>
        <v>26211864.420000002</v>
      </c>
      <c r="AX485" s="793">
        <f t="shared" si="387"/>
        <v>365</v>
      </c>
      <c r="AY485" s="793">
        <f t="shared" si="388"/>
        <v>1660085</v>
      </c>
      <c r="AZ485" s="793">
        <f t="shared" si="389"/>
        <v>9960522</v>
      </c>
      <c r="BA485" s="793">
        <f t="shared" si="390"/>
        <v>16251342.420000002</v>
      </c>
    </row>
    <row r="486" spans="1:53" ht="15" customHeight="1" x14ac:dyDescent="0.25">
      <c r="A486" s="842" t="s">
        <v>1317</v>
      </c>
      <c r="B486" s="843" t="s">
        <v>1350</v>
      </c>
      <c r="C486" s="778">
        <f t="shared" si="346"/>
        <v>6.3333333333333325E-2</v>
      </c>
      <c r="D486" s="844">
        <v>15</v>
      </c>
      <c r="E486" s="844" t="s">
        <v>1205</v>
      </c>
      <c r="F486" s="845">
        <v>43619</v>
      </c>
      <c r="G486" s="781">
        <f t="shared" si="347"/>
        <v>43619</v>
      </c>
      <c r="H486" s="781">
        <f t="shared" si="348"/>
        <v>49094</v>
      </c>
      <c r="I486" s="1359">
        <f>600000</f>
        <v>600000</v>
      </c>
      <c r="J486" s="805">
        <f t="shared" si="349"/>
        <v>30000</v>
      </c>
      <c r="K486" s="793"/>
      <c r="L486" s="793">
        <v>0</v>
      </c>
      <c r="M486" s="793">
        <v>0</v>
      </c>
      <c r="N486" s="793">
        <v>0</v>
      </c>
      <c r="O486" s="793">
        <v>0</v>
      </c>
      <c r="P486" s="793">
        <v>0</v>
      </c>
      <c r="Q486" s="793">
        <v>0</v>
      </c>
      <c r="R486" s="793">
        <f t="shared" si="355"/>
        <v>0</v>
      </c>
      <c r="S486" s="793">
        <f t="shared" si="356"/>
        <v>600000</v>
      </c>
      <c r="T486" s="805">
        <f t="shared" si="357"/>
        <v>303</v>
      </c>
      <c r="U486" s="805">
        <f t="shared" si="358"/>
        <v>31459</v>
      </c>
      <c r="V486" s="793">
        <f t="shared" si="359"/>
        <v>31459</v>
      </c>
      <c r="W486" s="793">
        <f t="shared" si="360"/>
        <v>568541</v>
      </c>
      <c r="X486" s="793">
        <f t="shared" si="361"/>
        <v>568541</v>
      </c>
      <c r="Y486" s="805">
        <f t="shared" si="362"/>
        <v>600000</v>
      </c>
      <c r="Z486" s="805">
        <f t="shared" si="363"/>
        <v>365</v>
      </c>
      <c r="AA486" s="805">
        <f t="shared" si="364"/>
        <v>38000</v>
      </c>
      <c r="AB486" s="805">
        <f t="shared" si="365"/>
        <v>69459</v>
      </c>
      <c r="AC486" s="805">
        <f t="shared" si="366"/>
        <v>530541</v>
      </c>
      <c r="AD486" s="793">
        <f t="shared" si="367"/>
        <v>530541</v>
      </c>
      <c r="AE486" s="793">
        <f t="shared" si="368"/>
        <v>600000</v>
      </c>
      <c r="AF486" s="793">
        <f t="shared" si="369"/>
        <v>365</v>
      </c>
      <c r="AG486" s="793">
        <f t="shared" si="370"/>
        <v>38000</v>
      </c>
      <c r="AH486" s="805">
        <f t="shared" si="371"/>
        <v>107459</v>
      </c>
      <c r="AI486" s="805">
        <f t="shared" si="372"/>
        <v>492541</v>
      </c>
      <c r="AJ486" s="793">
        <f t="shared" si="373"/>
        <v>492541</v>
      </c>
      <c r="AK486" s="793">
        <f t="shared" si="374"/>
        <v>600000</v>
      </c>
      <c r="AL486" s="793">
        <f t="shared" si="375"/>
        <v>365</v>
      </c>
      <c r="AM486" s="793">
        <f t="shared" si="376"/>
        <v>38000</v>
      </c>
      <c r="AN486" s="805">
        <f t="shared" si="377"/>
        <v>145459</v>
      </c>
      <c r="AO486" s="805">
        <f t="shared" si="378"/>
        <v>454541</v>
      </c>
      <c r="AP486" s="793">
        <f t="shared" si="379"/>
        <v>454541</v>
      </c>
      <c r="AQ486" s="793">
        <f t="shared" si="380"/>
        <v>600000</v>
      </c>
      <c r="AR486" s="793">
        <f t="shared" si="381"/>
        <v>366</v>
      </c>
      <c r="AS486" s="793">
        <f t="shared" si="382"/>
        <v>38104</v>
      </c>
      <c r="AT486" s="793">
        <f t="shared" si="383"/>
        <v>183563</v>
      </c>
      <c r="AU486" s="793">
        <f t="shared" si="384"/>
        <v>416437</v>
      </c>
      <c r="AV486" s="793">
        <f t="shared" si="385"/>
        <v>416437</v>
      </c>
      <c r="AW486" s="793">
        <f t="shared" si="386"/>
        <v>600000</v>
      </c>
      <c r="AX486" s="793">
        <f t="shared" si="387"/>
        <v>365</v>
      </c>
      <c r="AY486" s="793">
        <f t="shared" si="388"/>
        <v>38000</v>
      </c>
      <c r="AZ486" s="793">
        <f t="shared" si="389"/>
        <v>221563</v>
      </c>
      <c r="BA486" s="793">
        <f t="shared" si="390"/>
        <v>378437</v>
      </c>
    </row>
    <row r="487" spans="1:53" ht="15" customHeight="1" x14ac:dyDescent="0.25">
      <c r="A487" s="842" t="s">
        <v>1317</v>
      </c>
      <c r="B487" s="843" t="s">
        <v>1351</v>
      </c>
      <c r="C487" s="778">
        <f t="shared" si="346"/>
        <v>6.3333333333333325E-2</v>
      </c>
      <c r="D487" s="844">
        <v>15</v>
      </c>
      <c r="E487" s="844" t="s">
        <v>1205</v>
      </c>
      <c r="F487" s="845">
        <v>43628</v>
      </c>
      <c r="G487" s="781">
        <f t="shared" si="347"/>
        <v>43628</v>
      </c>
      <c r="H487" s="781">
        <f t="shared" si="348"/>
        <v>49103</v>
      </c>
      <c r="I487" s="1359">
        <v>1749200</v>
      </c>
      <c r="J487" s="805">
        <f t="shared" si="349"/>
        <v>87460</v>
      </c>
      <c r="K487" s="793"/>
      <c r="L487" s="793">
        <v>0</v>
      </c>
      <c r="M487" s="793">
        <v>0</v>
      </c>
      <c r="N487" s="793">
        <v>0</v>
      </c>
      <c r="O487" s="793">
        <v>0</v>
      </c>
      <c r="P487" s="793">
        <v>0</v>
      </c>
      <c r="Q487" s="793">
        <v>0</v>
      </c>
      <c r="R487" s="793">
        <f t="shared" si="355"/>
        <v>0</v>
      </c>
      <c r="S487" s="793">
        <f t="shared" si="356"/>
        <v>1749200</v>
      </c>
      <c r="T487" s="805">
        <f t="shared" si="357"/>
        <v>294</v>
      </c>
      <c r="U487" s="805">
        <f t="shared" si="358"/>
        <v>88989</v>
      </c>
      <c r="V487" s="793">
        <f t="shared" si="359"/>
        <v>88989</v>
      </c>
      <c r="W487" s="793">
        <f t="shared" si="360"/>
        <v>1660211</v>
      </c>
      <c r="X487" s="793">
        <f t="shared" si="361"/>
        <v>1660211</v>
      </c>
      <c r="Y487" s="805">
        <f t="shared" si="362"/>
        <v>1749200</v>
      </c>
      <c r="Z487" s="805">
        <f t="shared" si="363"/>
        <v>365</v>
      </c>
      <c r="AA487" s="805">
        <f t="shared" si="364"/>
        <v>110783</v>
      </c>
      <c r="AB487" s="805">
        <f t="shared" si="365"/>
        <v>199772</v>
      </c>
      <c r="AC487" s="805">
        <f t="shared" si="366"/>
        <v>1549428</v>
      </c>
      <c r="AD487" s="793">
        <f t="shared" si="367"/>
        <v>1549428</v>
      </c>
      <c r="AE487" s="793">
        <f t="shared" si="368"/>
        <v>1749200</v>
      </c>
      <c r="AF487" s="793">
        <f t="shared" si="369"/>
        <v>365</v>
      </c>
      <c r="AG487" s="793">
        <f t="shared" si="370"/>
        <v>110783</v>
      </c>
      <c r="AH487" s="805">
        <f t="shared" si="371"/>
        <v>310555</v>
      </c>
      <c r="AI487" s="805">
        <f t="shared" si="372"/>
        <v>1438645</v>
      </c>
      <c r="AJ487" s="793">
        <f t="shared" si="373"/>
        <v>1438645</v>
      </c>
      <c r="AK487" s="793">
        <f t="shared" si="374"/>
        <v>1749200</v>
      </c>
      <c r="AL487" s="793">
        <f t="shared" si="375"/>
        <v>365</v>
      </c>
      <c r="AM487" s="793">
        <f t="shared" si="376"/>
        <v>110783</v>
      </c>
      <c r="AN487" s="805">
        <f t="shared" si="377"/>
        <v>421338</v>
      </c>
      <c r="AO487" s="805">
        <f t="shared" si="378"/>
        <v>1327862</v>
      </c>
      <c r="AP487" s="793">
        <f t="shared" si="379"/>
        <v>1327862</v>
      </c>
      <c r="AQ487" s="793">
        <f t="shared" si="380"/>
        <v>1749200</v>
      </c>
      <c r="AR487" s="793">
        <f t="shared" si="381"/>
        <v>366</v>
      </c>
      <c r="AS487" s="793">
        <f t="shared" si="382"/>
        <v>111086</v>
      </c>
      <c r="AT487" s="793">
        <f t="shared" si="383"/>
        <v>532424</v>
      </c>
      <c r="AU487" s="793">
        <f t="shared" si="384"/>
        <v>1216776</v>
      </c>
      <c r="AV487" s="793">
        <f t="shared" si="385"/>
        <v>1216776</v>
      </c>
      <c r="AW487" s="793">
        <f t="shared" si="386"/>
        <v>1749200</v>
      </c>
      <c r="AX487" s="793">
        <f t="shared" si="387"/>
        <v>365</v>
      </c>
      <c r="AY487" s="793">
        <f t="shared" si="388"/>
        <v>110783</v>
      </c>
      <c r="AZ487" s="793">
        <f t="shared" si="389"/>
        <v>643207</v>
      </c>
      <c r="BA487" s="793">
        <f t="shared" si="390"/>
        <v>1105993</v>
      </c>
    </row>
    <row r="488" spans="1:53" ht="15" customHeight="1" x14ac:dyDescent="0.25">
      <c r="A488" s="842" t="s">
        <v>1317</v>
      </c>
      <c r="B488" s="843" t="s">
        <v>1350</v>
      </c>
      <c r="C488" s="778">
        <f t="shared" si="346"/>
        <v>6.3333333333333325E-2</v>
      </c>
      <c r="D488" s="844">
        <v>15</v>
      </c>
      <c r="E488" s="844" t="s">
        <v>1205</v>
      </c>
      <c r="F488" s="845">
        <v>43729</v>
      </c>
      <c r="G488" s="781">
        <f t="shared" si="347"/>
        <v>43729</v>
      </c>
      <c r="H488" s="781">
        <f t="shared" si="348"/>
        <v>49204</v>
      </c>
      <c r="I488" s="1359">
        <v>3021</v>
      </c>
      <c r="J488" s="805">
        <f t="shared" si="349"/>
        <v>151.05000000000001</v>
      </c>
      <c r="K488" s="793"/>
      <c r="L488" s="793">
        <v>0</v>
      </c>
      <c r="M488" s="793">
        <v>0</v>
      </c>
      <c r="N488" s="793">
        <v>0</v>
      </c>
      <c r="O488" s="793">
        <v>0</v>
      </c>
      <c r="P488" s="793">
        <v>0</v>
      </c>
      <c r="Q488" s="793">
        <v>0</v>
      </c>
      <c r="R488" s="793">
        <f t="shared" si="355"/>
        <v>0</v>
      </c>
      <c r="S488" s="793">
        <f t="shared" si="356"/>
        <v>3021</v>
      </c>
      <c r="T488" s="805">
        <f t="shared" si="357"/>
        <v>193</v>
      </c>
      <c r="U488" s="805">
        <f t="shared" si="358"/>
        <v>101</v>
      </c>
      <c r="V488" s="793">
        <f t="shared" si="359"/>
        <v>101</v>
      </c>
      <c r="W488" s="793">
        <f t="shared" si="360"/>
        <v>2920</v>
      </c>
      <c r="X488" s="793">
        <f t="shared" si="361"/>
        <v>2920</v>
      </c>
      <c r="Y488" s="805">
        <f t="shared" si="362"/>
        <v>3021</v>
      </c>
      <c r="Z488" s="805">
        <f t="shared" si="363"/>
        <v>365</v>
      </c>
      <c r="AA488" s="805">
        <f t="shared" si="364"/>
        <v>191</v>
      </c>
      <c r="AB488" s="805">
        <f t="shared" si="365"/>
        <v>292</v>
      </c>
      <c r="AC488" s="805">
        <f t="shared" si="366"/>
        <v>2729</v>
      </c>
      <c r="AD488" s="793">
        <f t="shared" si="367"/>
        <v>2729</v>
      </c>
      <c r="AE488" s="793">
        <f t="shared" si="368"/>
        <v>3021</v>
      </c>
      <c r="AF488" s="793">
        <f t="shared" si="369"/>
        <v>365</v>
      </c>
      <c r="AG488" s="793">
        <f t="shared" si="370"/>
        <v>191</v>
      </c>
      <c r="AH488" s="805">
        <f t="shared" si="371"/>
        <v>483</v>
      </c>
      <c r="AI488" s="805">
        <f t="shared" si="372"/>
        <v>2538</v>
      </c>
      <c r="AJ488" s="793">
        <f t="shared" si="373"/>
        <v>2538</v>
      </c>
      <c r="AK488" s="793">
        <f t="shared" si="374"/>
        <v>3021</v>
      </c>
      <c r="AL488" s="793">
        <f t="shared" si="375"/>
        <v>365</v>
      </c>
      <c r="AM488" s="793">
        <f t="shared" si="376"/>
        <v>191</v>
      </c>
      <c r="AN488" s="805">
        <f t="shared" si="377"/>
        <v>674</v>
      </c>
      <c r="AO488" s="805">
        <f t="shared" si="378"/>
        <v>2347</v>
      </c>
      <c r="AP488" s="793">
        <f t="shared" si="379"/>
        <v>2347</v>
      </c>
      <c r="AQ488" s="793">
        <f t="shared" si="380"/>
        <v>3021</v>
      </c>
      <c r="AR488" s="793">
        <f t="shared" si="381"/>
        <v>366</v>
      </c>
      <c r="AS488" s="793">
        <f t="shared" si="382"/>
        <v>192</v>
      </c>
      <c r="AT488" s="793">
        <f t="shared" si="383"/>
        <v>866</v>
      </c>
      <c r="AU488" s="793">
        <f t="shared" si="384"/>
        <v>2155</v>
      </c>
      <c r="AV488" s="793">
        <f t="shared" si="385"/>
        <v>2155</v>
      </c>
      <c r="AW488" s="793">
        <f t="shared" si="386"/>
        <v>3021</v>
      </c>
      <c r="AX488" s="793">
        <f t="shared" si="387"/>
        <v>365</v>
      </c>
      <c r="AY488" s="793">
        <f t="shared" si="388"/>
        <v>191</v>
      </c>
      <c r="AZ488" s="793">
        <f t="shared" si="389"/>
        <v>1057</v>
      </c>
      <c r="BA488" s="793">
        <f t="shared" si="390"/>
        <v>1964</v>
      </c>
    </row>
    <row r="489" spans="1:53" ht="15" customHeight="1" x14ac:dyDescent="0.25">
      <c r="A489" s="842" t="s">
        <v>1317</v>
      </c>
      <c r="B489" s="843" t="s">
        <v>1336</v>
      </c>
      <c r="C489" s="778">
        <f t="shared" si="346"/>
        <v>6.3333333333333325E-2</v>
      </c>
      <c r="D489" s="844">
        <v>15</v>
      </c>
      <c r="E489" s="844" t="s">
        <v>1205</v>
      </c>
      <c r="F489" s="845">
        <v>43887</v>
      </c>
      <c r="G489" s="781">
        <f t="shared" si="347"/>
        <v>43887</v>
      </c>
      <c r="H489" s="781">
        <f t="shared" si="348"/>
        <v>49362</v>
      </c>
      <c r="I489" s="1359">
        <v>1600</v>
      </c>
      <c r="J489" s="805">
        <f t="shared" si="349"/>
        <v>80</v>
      </c>
      <c r="K489" s="793"/>
      <c r="L489" s="793">
        <v>0</v>
      </c>
      <c r="M489" s="793">
        <v>0</v>
      </c>
      <c r="N489" s="793">
        <v>0</v>
      </c>
      <c r="O489" s="793">
        <v>0</v>
      </c>
      <c r="P489" s="793">
        <v>0</v>
      </c>
      <c r="Q489" s="793">
        <v>0</v>
      </c>
      <c r="R489" s="793">
        <v>0</v>
      </c>
      <c r="S489" s="793">
        <f t="shared" si="356"/>
        <v>1600</v>
      </c>
      <c r="T489" s="805">
        <f t="shared" si="357"/>
        <v>35</v>
      </c>
      <c r="U489" s="805">
        <f t="shared" si="358"/>
        <v>10</v>
      </c>
      <c r="V489" s="793">
        <f t="shared" si="359"/>
        <v>10</v>
      </c>
      <c r="W489" s="793">
        <f t="shared" si="360"/>
        <v>1590</v>
      </c>
      <c r="X489" s="793">
        <f t="shared" si="361"/>
        <v>1590</v>
      </c>
      <c r="Y489" s="805">
        <f t="shared" si="362"/>
        <v>1600</v>
      </c>
      <c r="Z489" s="805">
        <f t="shared" si="363"/>
        <v>365</v>
      </c>
      <c r="AA489" s="805">
        <f t="shared" si="364"/>
        <v>101</v>
      </c>
      <c r="AB489" s="805">
        <f t="shared" si="365"/>
        <v>111</v>
      </c>
      <c r="AC489" s="805">
        <f t="shared" si="366"/>
        <v>1489</v>
      </c>
      <c r="AD489" s="793">
        <f t="shared" si="367"/>
        <v>1489</v>
      </c>
      <c r="AE489" s="793">
        <f t="shared" si="368"/>
        <v>1600</v>
      </c>
      <c r="AF489" s="793">
        <f t="shared" si="369"/>
        <v>365</v>
      </c>
      <c r="AG489" s="793">
        <f t="shared" si="370"/>
        <v>101</v>
      </c>
      <c r="AH489" s="805">
        <f t="shared" si="371"/>
        <v>212</v>
      </c>
      <c r="AI489" s="805">
        <f t="shared" si="372"/>
        <v>1388</v>
      </c>
      <c r="AJ489" s="793">
        <f t="shared" si="373"/>
        <v>1388</v>
      </c>
      <c r="AK489" s="793">
        <f t="shared" si="374"/>
        <v>1600</v>
      </c>
      <c r="AL489" s="793">
        <f t="shared" si="375"/>
        <v>365</v>
      </c>
      <c r="AM489" s="793">
        <f t="shared" si="376"/>
        <v>101</v>
      </c>
      <c r="AN489" s="805">
        <f t="shared" si="377"/>
        <v>313</v>
      </c>
      <c r="AO489" s="805">
        <f t="shared" si="378"/>
        <v>1287</v>
      </c>
      <c r="AP489" s="793">
        <f t="shared" si="379"/>
        <v>1287</v>
      </c>
      <c r="AQ489" s="793">
        <f t="shared" si="380"/>
        <v>1600</v>
      </c>
      <c r="AR489" s="793">
        <f t="shared" si="381"/>
        <v>366</v>
      </c>
      <c r="AS489" s="793">
        <f t="shared" si="382"/>
        <v>102</v>
      </c>
      <c r="AT489" s="793">
        <f t="shared" si="383"/>
        <v>415</v>
      </c>
      <c r="AU489" s="793">
        <f t="shared" si="384"/>
        <v>1185</v>
      </c>
      <c r="AV489" s="793">
        <f t="shared" si="385"/>
        <v>1185</v>
      </c>
      <c r="AW489" s="793">
        <f t="shared" si="386"/>
        <v>1600</v>
      </c>
      <c r="AX489" s="793">
        <f t="shared" si="387"/>
        <v>365</v>
      </c>
      <c r="AY489" s="793">
        <f t="shared" si="388"/>
        <v>101</v>
      </c>
      <c r="AZ489" s="793">
        <f t="shared" si="389"/>
        <v>516</v>
      </c>
      <c r="BA489" s="793">
        <f t="shared" si="390"/>
        <v>1084</v>
      </c>
    </row>
    <row r="490" spans="1:53" ht="15" customHeight="1" x14ac:dyDescent="0.25">
      <c r="A490" s="842" t="s">
        <v>1317</v>
      </c>
      <c r="B490" s="843" t="s">
        <v>1336</v>
      </c>
      <c r="C490" s="778">
        <f t="shared" si="346"/>
        <v>6.3333333333333325E-2</v>
      </c>
      <c r="D490" s="844">
        <v>15</v>
      </c>
      <c r="E490" s="844" t="s">
        <v>1205</v>
      </c>
      <c r="F490" s="845">
        <v>43889</v>
      </c>
      <c r="G490" s="781">
        <f t="shared" si="347"/>
        <v>43889</v>
      </c>
      <c r="H490" s="781">
        <f t="shared" si="348"/>
        <v>49364</v>
      </c>
      <c r="I490" s="1359">
        <v>3720</v>
      </c>
      <c r="J490" s="805">
        <f t="shared" si="349"/>
        <v>186</v>
      </c>
      <c r="K490" s="793"/>
      <c r="L490" s="793">
        <v>0</v>
      </c>
      <c r="M490" s="793">
        <v>0</v>
      </c>
      <c r="N490" s="793">
        <v>0</v>
      </c>
      <c r="O490" s="793">
        <v>0</v>
      </c>
      <c r="P490" s="793">
        <v>0</v>
      </c>
      <c r="Q490" s="793">
        <v>0</v>
      </c>
      <c r="R490" s="793">
        <v>0</v>
      </c>
      <c r="S490" s="793">
        <f t="shared" si="356"/>
        <v>3720</v>
      </c>
      <c r="T490" s="805">
        <f t="shared" si="357"/>
        <v>33</v>
      </c>
      <c r="U490" s="805">
        <f t="shared" si="358"/>
        <v>21</v>
      </c>
      <c r="V490" s="793">
        <f t="shared" si="359"/>
        <v>21</v>
      </c>
      <c r="W490" s="793">
        <f t="shared" si="360"/>
        <v>3699</v>
      </c>
      <c r="X490" s="793">
        <f t="shared" si="361"/>
        <v>3699</v>
      </c>
      <c r="Y490" s="805">
        <f t="shared" si="362"/>
        <v>3720</v>
      </c>
      <c r="Z490" s="805">
        <f t="shared" si="363"/>
        <v>365</v>
      </c>
      <c r="AA490" s="805">
        <f t="shared" si="364"/>
        <v>236</v>
      </c>
      <c r="AB490" s="805">
        <f t="shared" si="365"/>
        <v>257</v>
      </c>
      <c r="AC490" s="805">
        <f t="shared" si="366"/>
        <v>3463</v>
      </c>
      <c r="AD490" s="793">
        <f t="shared" si="367"/>
        <v>3463</v>
      </c>
      <c r="AE490" s="793">
        <f t="shared" si="368"/>
        <v>3720</v>
      </c>
      <c r="AF490" s="793">
        <f t="shared" si="369"/>
        <v>365</v>
      </c>
      <c r="AG490" s="793">
        <f t="shared" si="370"/>
        <v>236</v>
      </c>
      <c r="AH490" s="805">
        <f t="shared" si="371"/>
        <v>493</v>
      </c>
      <c r="AI490" s="805">
        <f t="shared" si="372"/>
        <v>3227</v>
      </c>
      <c r="AJ490" s="793">
        <f t="shared" si="373"/>
        <v>3227</v>
      </c>
      <c r="AK490" s="793">
        <f t="shared" si="374"/>
        <v>3720</v>
      </c>
      <c r="AL490" s="793">
        <f t="shared" si="375"/>
        <v>365</v>
      </c>
      <c r="AM490" s="793">
        <f t="shared" si="376"/>
        <v>236</v>
      </c>
      <c r="AN490" s="805">
        <f t="shared" si="377"/>
        <v>729</v>
      </c>
      <c r="AO490" s="805">
        <f t="shared" si="378"/>
        <v>2991</v>
      </c>
      <c r="AP490" s="793">
        <f t="shared" si="379"/>
        <v>2991</v>
      </c>
      <c r="AQ490" s="793">
        <f t="shared" si="380"/>
        <v>3720</v>
      </c>
      <c r="AR490" s="793">
        <f t="shared" si="381"/>
        <v>366</v>
      </c>
      <c r="AS490" s="793">
        <f t="shared" si="382"/>
        <v>236</v>
      </c>
      <c r="AT490" s="793">
        <f t="shared" si="383"/>
        <v>965</v>
      </c>
      <c r="AU490" s="793">
        <f t="shared" si="384"/>
        <v>2755</v>
      </c>
      <c r="AV490" s="793">
        <f t="shared" si="385"/>
        <v>2755</v>
      </c>
      <c r="AW490" s="793">
        <f t="shared" si="386"/>
        <v>3720</v>
      </c>
      <c r="AX490" s="793">
        <f t="shared" si="387"/>
        <v>365</v>
      </c>
      <c r="AY490" s="793">
        <f t="shared" si="388"/>
        <v>236</v>
      </c>
      <c r="AZ490" s="793">
        <f t="shared" si="389"/>
        <v>1201</v>
      </c>
      <c r="BA490" s="793">
        <f t="shared" si="390"/>
        <v>2519</v>
      </c>
    </row>
    <row r="491" spans="1:53" ht="15" customHeight="1" x14ac:dyDescent="0.25">
      <c r="A491" s="842" t="s">
        <v>1317</v>
      </c>
      <c r="B491" s="843" t="s">
        <v>1336</v>
      </c>
      <c r="C491" s="778">
        <f t="shared" si="346"/>
        <v>6.3333333333333325E-2</v>
      </c>
      <c r="D491" s="844">
        <v>15</v>
      </c>
      <c r="E491" s="844" t="s">
        <v>1205</v>
      </c>
      <c r="F491" s="845">
        <v>43907</v>
      </c>
      <c r="G491" s="781">
        <f t="shared" si="347"/>
        <v>43907</v>
      </c>
      <c r="H491" s="781">
        <f t="shared" si="348"/>
        <v>49382</v>
      </c>
      <c r="I491" s="1359">
        <v>600</v>
      </c>
      <c r="J491" s="805">
        <f t="shared" si="349"/>
        <v>30</v>
      </c>
      <c r="K491" s="793"/>
      <c r="L491" s="793">
        <v>0</v>
      </c>
      <c r="M491" s="793">
        <v>0</v>
      </c>
      <c r="N491" s="793">
        <v>0</v>
      </c>
      <c r="O491" s="793">
        <v>0</v>
      </c>
      <c r="P491" s="793">
        <v>0</v>
      </c>
      <c r="Q491" s="793">
        <v>0</v>
      </c>
      <c r="R491" s="793">
        <v>0</v>
      </c>
      <c r="S491" s="793">
        <f t="shared" si="356"/>
        <v>600</v>
      </c>
      <c r="T491" s="805">
        <f t="shared" si="357"/>
        <v>15</v>
      </c>
      <c r="U491" s="805">
        <f t="shared" si="358"/>
        <v>2</v>
      </c>
      <c r="V491" s="793">
        <f t="shared" si="359"/>
        <v>2</v>
      </c>
      <c r="W491" s="793">
        <f t="shared" si="360"/>
        <v>598</v>
      </c>
      <c r="X491" s="793">
        <f t="shared" si="361"/>
        <v>598</v>
      </c>
      <c r="Y491" s="805">
        <f t="shared" si="362"/>
        <v>600</v>
      </c>
      <c r="Z491" s="805">
        <f t="shared" si="363"/>
        <v>365</v>
      </c>
      <c r="AA491" s="805">
        <f t="shared" si="364"/>
        <v>38</v>
      </c>
      <c r="AB491" s="805">
        <f t="shared" si="365"/>
        <v>40</v>
      </c>
      <c r="AC491" s="805">
        <f t="shared" si="366"/>
        <v>560</v>
      </c>
      <c r="AD491" s="793">
        <f t="shared" si="367"/>
        <v>560</v>
      </c>
      <c r="AE491" s="793">
        <f t="shared" si="368"/>
        <v>600</v>
      </c>
      <c r="AF491" s="793">
        <f t="shared" si="369"/>
        <v>365</v>
      </c>
      <c r="AG491" s="793">
        <f t="shared" si="370"/>
        <v>38</v>
      </c>
      <c r="AH491" s="805">
        <f t="shared" si="371"/>
        <v>78</v>
      </c>
      <c r="AI491" s="805">
        <f t="shared" si="372"/>
        <v>522</v>
      </c>
      <c r="AJ491" s="793">
        <f t="shared" si="373"/>
        <v>522</v>
      </c>
      <c r="AK491" s="793">
        <f t="shared" si="374"/>
        <v>600</v>
      </c>
      <c r="AL491" s="793">
        <f t="shared" si="375"/>
        <v>365</v>
      </c>
      <c r="AM491" s="793">
        <f t="shared" si="376"/>
        <v>38</v>
      </c>
      <c r="AN491" s="805">
        <f t="shared" si="377"/>
        <v>116</v>
      </c>
      <c r="AO491" s="805">
        <f t="shared" si="378"/>
        <v>484</v>
      </c>
      <c r="AP491" s="793">
        <f t="shared" si="379"/>
        <v>484</v>
      </c>
      <c r="AQ491" s="793">
        <f t="shared" si="380"/>
        <v>600</v>
      </c>
      <c r="AR491" s="793">
        <f t="shared" si="381"/>
        <v>366</v>
      </c>
      <c r="AS491" s="793">
        <f t="shared" si="382"/>
        <v>38</v>
      </c>
      <c r="AT491" s="793">
        <f t="shared" si="383"/>
        <v>154</v>
      </c>
      <c r="AU491" s="793">
        <f t="shared" si="384"/>
        <v>446</v>
      </c>
      <c r="AV491" s="793">
        <f t="shared" si="385"/>
        <v>446</v>
      </c>
      <c r="AW491" s="793">
        <f t="shared" si="386"/>
        <v>600</v>
      </c>
      <c r="AX491" s="793">
        <f t="shared" si="387"/>
        <v>365</v>
      </c>
      <c r="AY491" s="793">
        <f t="shared" si="388"/>
        <v>38</v>
      </c>
      <c r="AZ491" s="793">
        <f t="shared" si="389"/>
        <v>192</v>
      </c>
      <c r="BA491" s="793">
        <f t="shared" si="390"/>
        <v>408</v>
      </c>
    </row>
    <row r="492" spans="1:53" ht="15" customHeight="1" x14ac:dyDescent="0.25">
      <c r="A492" s="842" t="s">
        <v>1317</v>
      </c>
      <c r="B492" s="843" t="s">
        <v>1352</v>
      </c>
      <c r="C492" s="778">
        <f t="shared" si="346"/>
        <v>6.3333333333333325E-2</v>
      </c>
      <c r="D492" s="844">
        <v>15</v>
      </c>
      <c r="E492" s="844" t="s">
        <v>1207</v>
      </c>
      <c r="F492" s="845">
        <v>44174</v>
      </c>
      <c r="G492" s="781">
        <f t="shared" si="347"/>
        <v>44174</v>
      </c>
      <c r="H492" s="781">
        <f t="shared" si="348"/>
        <v>49649</v>
      </c>
      <c r="I492" s="1359">
        <f>554400</f>
        <v>554400</v>
      </c>
      <c r="J492" s="805">
        <f t="shared" si="349"/>
        <v>27720</v>
      </c>
      <c r="K492" s="793"/>
      <c r="L492" s="793">
        <v>0</v>
      </c>
      <c r="M492" s="793">
        <v>0</v>
      </c>
      <c r="N492" s="793">
        <v>0</v>
      </c>
      <c r="O492" s="793">
        <v>0</v>
      </c>
      <c r="P492" s="793">
        <v>0</v>
      </c>
      <c r="Q492" s="793">
        <v>0</v>
      </c>
      <c r="R492" s="793">
        <v>0</v>
      </c>
      <c r="S492" s="793">
        <v>0</v>
      </c>
      <c r="T492" s="793">
        <v>0</v>
      </c>
      <c r="U492" s="793">
        <v>0</v>
      </c>
      <c r="V492" s="793">
        <v>0</v>
      </c>
      <c r="W492" s="793">
        <v>0</v>
      </c>
      <c r="X492" s="793">
        <v>0</v>
      </c>
      <c r="Y492" s="805">
        <f t="shared" si="362"/>
        <v>554400</v>
      </c>
      <c r="Z492" s="805">
        <f t="shared" si="363"/>
        <v>113</v>
      </c>
      <c r="AA492" s="805">
        <f t="shared" si="364"/>
        <v>10870</v>
      </c>
      <c r="AB492" s="805">
        <f t="shared" si="365"/>
        <v>10870</v>
      </c>
      <c r="AC492" s="805">
        <f t="shared" si="366"/>
        <v>543530</v>
      </c>
      <c r="AD492" s="793">
        <f t="shared" si="367"/>
        <v>543530</v>
      </c>
      <c r="AE492" s="793">
        <f t="shared" si="368"/>
        <v>554400</v>
      </c>
      <c r="AF492" s="793">
        <f t="shared" si="369"/>
        <v>365</v>
      </c>
      <c r="AG492" s="793">
        <f t="shared" si="370"/>
        <v>35112</v>
      </c>
      <c r="AH492" s="805">
        <f t="shared" si="371"/>
        <v>45982</v>
      </c>
      <c r="AI492" s="805">
        <f t="shared" si="372"/>
        <v>508418</v>
      </c>
      <c r="AJ492" s="793">
        <f t="shared" si="373"/>
        <v>508418</v>
      </c>
      <c r="AK492" s="793">
        <f t="shared" si="374"/>
        <v>554400</v>
      </c>
      <c r="AL492" s="793">
        <f t="shared" si="375"/>
        <v>365</v>
      </c>
      <c r="AM492" s="793">
        <f t="shared" si="376"/>
        <v>35112</v>
      </c>
      <c r="AN492" s="805">
        <f t="shared" si="377"/>
        <v>81094</v>
      </c>
      <c r="AO492" s="805">
        <f t="shared" si="378"/>
        <v>473306</v>
      </c>
      <c r="AP492" s="793">
        <f t="shared" si="379"/>
        <v>473306</v>
      </c>
      <c r="AQ492" s="793">
        <f t="shared" si="380"/>
        <v>554400</v>
      </c>
      <c r="AR492" s="793">
        <f t="shared" si="381"/>
        <v>366</v>
      </c>
      <c r="AS492" s="793">
        <f t="shared" si="382"/>
        <v>35208</v>
      </c>
      <c r="AT492" s="793">
        <f t="shared" si="383"/>
        <v>116302</v>
      </c>
      <c r="AU492" s="793">
        <f t="shared" si="384"/>
        <v>438098</v>
      </c>
      <c r="AV492" s="793">
        <f t="shared" si="385"/>
        <v>438098</v>
      </c>
      <c r="AW492" s="793">
        <f t="shared" si="386"/>
        <v>554400</v>
      </c>
      <c r="AX492" s="793">
        <f t="shared" si="387"/>
        <v>365</v>
      </c>
      <c r="AY492" s="793">
        <f t="shared" si="388"/>
        <v>35112</v>
      </c>
      <c r="AZ492" s="793">
        <f t="shared" si="389"/>
        <v>151414</v>
      </c>
      <c r="BA492" s="793">
        <f t="shared" si="390"/>
        <v>402986</v>
      </c>
    </row>
    <row r="493" spans="1:53" ht="15" customHeight="1" x14ac:dyDescent="0.25">
      <c r="A493" s="842" t="s">
        <v>1317</v>
      </c>
      <c r="B493" s="843" t="s">
        <v>1353</v>
      </c>
      <c r="C493" s="778">
        <f t="shared" si="346"/>
        <v>6.3333333333333325E-2</v>
      </c>
      <c r="D493" s="844">
        <v>15</v>
      </c>
      <c r="E493" s="844" t="s">
        <v>1207</v>
      </c>
      <c r="F493" s="845">
        <v>44183</v>
      </c>
      <c r="G493" s="781">
        <f t="shared" si="347"/>
        <v>44183</v>
      </c>
      <c r="H493" s="781">
        <f t="shared" si="348"/>
        <v>49658</v>
      </c>
      <c r="I493" s="1359">
        <f>33250</f>
        <v>33250</v>
      </c>
      <c r="J493" s="805">
        <f t="shared" si="349"/>
        <v>1662.5</v>
      </c>
      <c r="K493" s="793"/>
      <c r="L493" s="793">
        <v>0</v>
      </c>
      <c r="M493" s="793">
        <v>0</v>
      </c>
      <c r="N493" s="793">
        <v>0</v>
      </c>
      <c r="O493" s="793">
        <v>0</v>
      </c>
      <c r="P493" s="793">
        <v>0</v>
      </c>
      <c r="Q493" s="793">
        <v>0</v>
      </c>
      <c r="R493" s="793">
        <v>0</v>
      </c>
      <c r="S493" s="793">
        <v>0</v>
      </c>
      <c r="T493" s="793">
        <v>0</v>
      </c>
      <c r="U493" s="793">
        <v>0</v>
      </c>
      <c r="V493" s="793">
        <v>0</v>
      </c>
      <c r="W493" s="793">
        <v>0</v>
      </c>
      <c r="X493" s="793">
        <v>0</v>
      </c>
      <c r="Y493" s="805">
        <f t="shared" si="362"/>
        <v>33250</v>
      </c>
      <c r="Z493" s="805">
        <f t="shared" si="363"/>
        <v>104</v>
      </c>
      <c r="AA493" s="805">
        <f t="shared" si="364"/>
        <v>600</v>
      </c>
      <c r="AB493" s="805">
        <f t="shared" si="365"/>
        <v>600</v>
      </c>
      <c r="AC493" s="805">
        <f t="shared" si="366"/>
        <v>32650</v>
      </c>
      <c r="AD493" s="793">
        <f t="shared" si="367"/>
        <v>32650</v>
      </c>
      <c r="AE493" s="793">
        <f t="shared" si="368"/>
        <v>33250</v>
      </c>
      <c r="AF493" s="793">
        <f t="shared" si="369"/>
        <v>365</v>
      </c>
      <c r="AG493" s="793">
        <f t="shared" si="370"/>
        <v>2106</v>
      </c>
      <c r="AH493" s="805">
        <f t="shared" si="371"/>
        <v>2706</v>
      </c>
      <c r="AI493" s="805">
        <f t="shared" si="372"/>
        <v>30544</v>
      </c>
      <c r="AJ493" s="793">
        <f t="shared" si="373"/>
        <v>30544</v>
      </c>
      <c r="AK493" s="793">
        <f t="shared" si="374"/>
        <v>33250</v>
      </c>
      <c r="AL493" s="793">
        <f t="shared" si="375"/>
        <v>365</v>
      </c>
      <c r="AM493" s="793">
        <f t="shared" si="376"/>
        <v>2106</v>
      </c>
      <c r="AN493" s="805">
        <f t="shared" si="377"/>
        <v>4812</v>
      </c>
      <c r="AO493" s="805">
        <f t="shared" si="378"/>
        <v>28438</v>
      </c>
      <c r="AP493" s="793">
        <f t="shared" si="379"/>
        <v>28438</v>
      </c>
      <c r="AQ493" s="793">
        <f t="shared" si="380"/>
        <v>33250</v>
      </c>
      <c r="AR493" s="793">
        <f t="shared" si="381"/>
        <v>366</v>
      </c>
      <c r="AS493" s="793">
        <f t="shared" si="382"/>
        <v>2112</v>
      </c>
      <c r="AT493" s="793">
        <f t="shared" si="383"/>
        <v>6924</v>
      </c>
      <c r="AU493" s="793">
        <f t="shared" si="384"/>
        <v>26326</v>
      </c>
      <c r="AV493" s="793">
        <f t="shared" si="385"/>
        <v>26326</v>
      </c>
      <c r="AW493" s="793">
        <f t="shared" si="386"/>
        <v>33250</v>
      </c>
      <c r="AX493" s="793">
        <f t="shared" si="387"/>
        <v>365</v>
      </c>
      <c r="AY493" s="793">
        <f t="shared" si="388"/>
        <v>2106</v>
      </c>
      <c r="AZ493" s="793">
        <f t="shared" si="389"/>
        <v>9030</v>
      </c>
      <c r="BA493" s="793">
        <f t="shared" si="390"/>
        <v>24220</v>
      </c>
    </row>
    <row r="494" spans="1:53" ht="15" customHeight="1" x14ac:dyDescent="0.25">
      <c r="A494" s="842" t="s">
        <v>1317</v>
      </c>
      <c r="B494" s="843" t="s">
        <v>1354</v>
      </c>
      <c r="C494" s="778">
        <f t="shared" si="346"/>
        <v>6.3333333333333325E-2</v>
      </c>
      <c r="D494" s="844">
        <v>15</v>
      </c>
      <c r="E494" s="844" t="s">
        <v>1207</v>
      </c>
      <c r="F494" s="845">
        <v>44180</v>
      </c>
      <c r="G494" s="781">
        <f t="shared" si="347"/>
        <v>44180</v>
      </c>
      <c r="H494" s="781">
        <f t="shared" si="348"/>
        <v>49655</v>
      </c>
      <c r="I494" s="1359">
        <f>12711864.41+800</f>
        <v>12712664.41</v>
      </c>
      <c r="J494" s="805">
        <f t="shared" si="349"/>
        <v>635633.22050000005</v>
      </c>
      <c r="K494" s="793"/>
      <c r="L494" s="793">
        <v>0</v>
      </c>
      <c r="M494" s="793">
        <v>0</v>
      </c>
      <c r="N494" s="793">
        <v>0</v>
      </c>
      <c r="O494" s="793">
        <v>0</v>
      </c>
      <c r="P494" s="793">
        <v>0</v>
      </c>
      <c r="Q494" s="793">
        <v>0</v>
      </c>
      <c r="R494" s="793">
        <v>0</v>
      </c>
      <c r="S494" s="793">
        <v>0</v>
      </c>
      <c r="T494" s="793">
        <v>0</v>
      </c>
      <c r="U494" s="793">
        <v>0</v>
      </c>
      <c r="V494" s="793">
        <v>0</v>
      </c>
      <c r="W494" s="793">
        <v>0</v>
      </c>
      <c r="X494" s="793">
        <v>0</v>
      </c>
      <c r="Y494" s="805">
        <f t="shared" si="362"/>
        <v>12712664.41</v>
      </c>
      <c r="Z494" s="805">
        <f t="shared" si="363"/>
        <v>107</v>
      </c>
      <c r="AA494" s="805">
        <f t="shared" si="364"/>
        <v>236026</v>
      </c>
      <c r="AB494" s="805">
        <f t="shared" si="365"/>
        <v>236026</v>
      </c>
      <c r="AC494" s="805">
        <f t="shared" si="366"/>
        <v>12476638.41</v>
      </c>
      <c r="AD494" s="793">
        <f t="shared" si="367"/>
        <v>12476638.41</v>
      </c>
      <c r="AE494" s="793">
        <f t="shared" si="368"/>
        <v>12712664.41</v>
      </c>
      <c r="AF494" s="793">
        <f t="shared" si="369"/>
        <v>365</v>
      </c>
      <c r="AG494" s="793">
        <f t="shared" si="370"/>
        <v>805135</v>
      </c>
      <c r="AH494" s="805">
        <f t="shared" si="371"/>
        <v>1041161</v>
      </c>
      <c r="AI494" s="805">
        <f t="shared" si="372"/>
        <v>11671503.41</v>
      </c>
      <c r="AJ494" s="793">
        <f t="shared" si="373"/>
        <v>11671503.41</v>
      </c>
      <c r="AK494" s="793">
        <f t="shared" si="374"/>
        <v>12712664.41</v>
      </c>
      <c r="AL494" s="793">
        <f t="shared" si="375"/>
        <v>365</v>
      </c>
      <c r="AM494" s="793">
        <f t="shared" si="376"/>
        <v>805135</v>
      </c>
      <c r="AN494" s="805">
        <f t="shared" si="377"/>
        <v>1846296</v>
      </c>
      <c r="AO494" s="805">
        <f t="shared" si="378"/>
        <v>10866368.41</v>
      </c>
      <c r="AP494" s="793">
        <f t="shared" si="379"/>
        <v>10866368.41</v>
      </c>
      <c r="AQ494" s="793">
        <f t="shared" si="380"/>
        <v>12712664.41</v>
      </c>
      <c r="AR494" s="793">
        <f t="shared" si="381"/>
        <v>366</v>
      </c>
      <c r="AS494" s="793">
        <f t="shared" si="382"/>
        <v>807341</v>
      </c>
      <c r="AT494" s="793">
        <f t="shared" si="383"/>
        <v>2653637</v>
      </c>
      <c r="AU494" s="793">
        <f t="shared" si="384"/>
        <v>10059027.41</v>
      </c>
      <c r="AV494" s="793">
        <f t="shared" si="385"/>
        <v>10059027.41</v>
      </c>
      <c r="AW494" s="793">
        <f t="shared" si="386"/>
        <v>12712664.41</v>
      </c>
      <c r="AX494" s="793">
        <f t="shared" si="387"/>
        <v>365</v>
      </c>
      <c r="AY494" s="793">
        <f t="shared" si="388"/>
        <v>805135</v>
      </c>
      <c r="AZ494" s="793">
        <f t="shared" si="389"/>
        <v>3458772</v>
      </c>
      <c r="BA494" s="793">
        <f t="shared" si="390"/>
        <v>9253892.4100000001</v>
      </c>
    </row>
    <row r="495" spans="1:53" ht="15" customHeight="1" x14ac:dyDescent="0.25">
      <c r="A495" s="842" t="s">
        <v>1317</v>
      </c>
      <c r="B495" s="843" t="s">
        <v>1355</v>
      </c>
      <c r="C495" s="778">
        <f t="shared" si="346"/>
        <v>6.3333333333333325E-2</v>
      </c>
      <c r="D495" s="844">
        <v>15</v>
      </c>
      <c r="E495" s="844" t="s">
        <v>1207</v>
      </c>
      <c r="F495" s="845">
        <v>44125</v>
      </c>
      <c r="G495" s="781">
        <f t="shared" si="347"/>
        <v>44125</v>
      </c>
      <c r="H495" s="781">
        <f t="shared" si="348"/>
        <v>49600</v>
      </c>
      <c r="I495" s="1359">
        <v>725000</v>
      </c>
      <c r="J495" s="805">
        <f t="shared" si="349"/>
        <v>36250</v>
      </c>
      <c r="K495" s="805"/>
      <c r="L495" s="793">
        <v>0</v>
      </c>
      <c r="M495" s="793">
        <v>0</v>
      </c>
      <c r="N495" s="793">
        <v>0</v>
      </c>
      <c r="O495" s="793">
        <v>0</v>
      </c>
      <c r="P495" s="793">
        <v>0</v>
      </c>
      <c r="Q495" s="793">
        <v>0</v>
      </c>
      <c r="R495" s="793">
        <v>0</v>
      </c>
      <c r="S495" s="793">
        <v>0</v>
      </c>
      <c r="T495" s="793">
        <v>0</v>
      </c>
      <c r="U495" s="793">
        <v>0</v>
      </c>
      <c r="V495" s="793">
        <v>0</v>
      </c>
      <c r="W495" s="793">
        <v>0</v>
      </c>
      <c r="X495" s="793">
        <v>0</v>
      </c>
      <c r="Y495" s="805">
        <f t="shared" si="362"/>
        <v>725000</v>
      </c>
      <c r="Z495" s="805">
        <f t="shared" si="363"/>
        <v>162</v>
      </c>
      <c r="AA495" s="805">
        <f t="shared" si="364"/>
        <v>20379</v>
      </c>
      <c r="AB495" s="805">
        <f t="shared" si="365"/>
        <v>20379</v>
      </c>
      <c r="AC495" s="805">
        <f t="shared" si="366"/>
        <v>704621</v>
      </c>
      <c r="AD495" s="793">
        <f t="shared" si="367"/>
        <v>704621</v>
      </c>
      <c r="AE495" s="793">
        <f t="shared" si="368"/>
        <v>725000</v>
      </c>
      <c r="AF495" s="793">
        <f t="shared" si="369"/>
        <v>365</v>
      </c>
      <c r="AG495" s="793">
        <f t="shared" si="370"/>
        <v>45917</v>
      </c>
      <c r="AH495" s="805">
        <f t="shared" si="371"/>
        <v>66296</v>
      </c>
      <c r="AI495" s="805">
        <f t="shared" si="372"/>
        <v>658704</v>
      </c>
      <c r="AJ495" s="793">
        <f t="shared" si="373"/>
        <v>658704</v>
      </c>
      <c r="AK495" s="793">
        <f t="shared" si="374"/>
        <v>725000</v>
      </c>
      <c r="AL495" s="793">
        <f t="shared" si="375"/>
        <v>365</v>
      </c>
      <c r="AM495" s="793">
        <f t="shared" si="376"/>
        <v>45917</v>
      </c>
      <c r="AN495" s="805">
        <f t="shared" si="377"/>
        <v>112213</v>
      </c>
      <c r="AO495" s="805">
        <f t="shared" si="378"/>
        <v>612787</v>
      </c>
      <c r="AP495" s="793">
        <f t="shared" si="379"/>
        <v>612787</v>
      </c>
      <c r="AQ495" s="793">
        <f t="shared" si="380"/>
        <v>725000</v>
      </c>
      <c r="AR495" s="793">
        <f t="shared" si="381"/>
        <v>366</v>
      </c>
      <c r="AS495" s="793">
        <f t="shared" si="382"/>
        <v>46042</v>
      </c>
      <c r="AT495" s="793">
        <f t="shared" si="383"/>
        <v>158255</v>
      </c>
      <c r="AU495" s="793">
        <f t="shared" si="384"/>
        <v>566745</v>
      </c>
      <c r="AV495" s="793">
        <f t="shared" si="385"/>
        <v>566745</v>
      </c>
      <c r="AW495" s="793">
        <f t="shared" si="386"/>
        <v>725000</v>
      </c>
      <c r="AX495" s="793">
        <f t="shared" si="387"/>
        <v>365</v>
      </c>
      <c r="AY495" s="793">
        <f t="shared" si="388"/>
        <v>45917</v>
      </c>
      <c r="AZ495" s="793">
        <f t="shared" si="389"/>
        <v>204172</v>
      </c>
      <c r="BA495" s="793">
        <f t="shared" si="390"/>
        <v>520828</v>
      </c>
    </row>
    <row r="496" spans="1:53" ht="15.75" customHeight="1" x14ac:dyDescent="0.25">
      <c r="A496" s="842" t="s">
        <v>1317</v>
      </c>
      <c r="B496" s="843" t="s">
        <v>1353</v>
      </c>
      <c r="C496" s="778">
        <f t="shared" si="346"/>
        <v>6.3333333333333325E-2</v>
      </c>
      <c r="D496" s="844">
        <v>15</v>
      </c>
      <c r="E496" s="844" t="s">
        <v>1207</v>
      </c>
      <c r="F496" s="845">
        <v>44198</v>
      </c>
      <c r="G496" s="781">
        <f t="shared" si="347"/>
        <v>44198</v>
      </c>
      <c r="H496" s="781">
        <f t="shared" si="348"/>
        <v>49673</v>
      </c>
      <c r="I496" s="1359">
        <v>590000</v>
      </c>
      <c r="J496" s="805">
        <f t="shared" si="349"/>
        <v>29500</v>
      </c>
      <c r="K496" s="1435"/>
      <c r="L496" s="793">
        <v>0</v>
      </c>
      <c r="M496" s="793">
        <v>0</v>
      </c>
      <c r="N496" s="793">
        <v>0</v>
      </c>
      <c r="O496" s="793">
        <v>0</v>
      </c>
      <c r="P496" s="793">
        <v>0</v>
      </c>
      <c r="Q496" s="793">
        <v>0</v>
      </c>
      <c r="R496" s="793">
        <v>0</v>
      </c>
      <c r="S496" s="793">
        <v>0</v>
      </c>
      <c r="T496" s="793">
        <v>0</v>
      </c>
      <c r="U496" s="793">
        <v>0</v>
      </c>
      <c r="V496" s="793">
        <v>0</v>
      </c>
      <c r="W496" s="793">
        <v>0</v>
      </c>
      <c r="X496" s="793">
        <f>W496</f>
        <v>0</v>
      </c>
      <c r="Y496" s="805">
        <f t="shared" si="362"/>
        <v>590000</v>
      </c>
      <c r="Z496" s="805">
        <f t="shared" si="363"/>
        <v>89</v>
      </c>
      <c r="AA496" s="805">
        <f t="shared" si="364"/>
        <v>9111</v>
      </c>
      <c r="AB496" s="805">
        <f t="shared" si="365"/>
        <v>9111</v>
      </c>
      <c r="AC496" s="805">
        <f t="shared" si="366"/>
        <v>580889</v>
      </c>
      <c r="AD496" s="793">
        <f t="shared" si="367"/>
        <v>580889</v>
      </c>
      <c r="AE496" s="793">
        <f t="shared" si="368"/>
        <v>590000</v>
      </c>
      <c r="AF496" s="793">
        <f t="shared" si="369"/>
        <v>365</v>
      </c>
      <c r="AG496" s="793">
        <f t="shared" si="370"/>
        <v>37367</v>
      </c>
      <c r="AH496" s="805">
        <f t="shared" si="371"/>
        <v>46478</v>
      </c>
      <c r="AI496" s="805">
        <f t="shared" si="372"/>
        <v>543522</v>
      </c>
      <c r="AJ496" s="793">
        <f t="shared" si="373"/>
        <v>543522</v>
      </c>
      <c r="AK496" s="793">
        <f t="shared" si="374"/>
        <v>590000</v>
      </c>
      <c r="AL496" s="793">
        <f t="shared" si="375"/>
        <v>365</v>
      </c>
      <c r="AM496" s="793">
        <f t="shared" si="376"/>
        <v>37367</v>
      </c>
      <c r="AN496" s="805">
        <f t="shared" si="377"/>
        <v>83845</v>
      </c>
      <c r="AO496" s="805">
        <f t="shared" si="378"/>
        <v>506155</v>
      </c>
      <c r="AP496" s="793">
        <f t="shared" si="379"/>
        <v>506155</v>
      </c>
      <c r="AQ496" s="793">
        <f t="shared" si="380"/>
        <v>590000</v>
      </c>
      <c r="AR496" s="793">
        <f t="shared" si="381"/>
        <v>366</v>
      </c>
      <c r="AS496" s="793">
        <f t="shared" si="382"/>
        <v>37469</v>
      </c>
      <c r="AT496" s="793">
        <f t="shared" si="383"/>
        <v>121314</v>
      </c>
      <c r="AU496" s="793">
        <f t="shared" si="384"/>
        <v>468686</v>
      </c>
      <c r="AV496" s="793">
        <f t="shared" si="385"/>
        <v>468686</v>
      </c>
      <c r="AW496" s="793">
        <f t="shared" si="386"/>
        <v>590000</v>
      </c>
      <c r="AX496" s="793">
        <f t="shared" si="387"/>
        <v>365</v>
      </c>
      <c r="AY496" s="793">
        <f t="shared" si="388"/>
        <v>37367</v>
      </c>
      <c r="AZ496" s="793">
        <f t="shared" si="389"/>
        <v>158681</v>
      </c>
      <c r="BA496" s="793">
        <f t="shared" si="390"/>
        <v>431319</v>
      </c>
    </row>
    <row r="497" spans="1:53" ht="15.75" x14ac:dyDescent="0.25">
      <c r="A497" s="842" t="s">
        <v>1317</v>
      </c>
      <c r="B497" s="843" t="s">
        <v>1354</v>
      </c>
      <c r="C497" s="778">
        <f t="shared" si="346"/>
        <v>6.3333333333333325E-2</v>
      </c>
      <c r="D497" s="844">
        <v>15</v>
      </c>
      <c r="E497" s="844" t="s">
        <v>1207</v>
      </c>
      <c r="F497" s="845">
        <v>44279</v>
      </c>
      <c r="G497" s="781">
        <f t="shared" si="347"/>
        <v>44279</v>
      </c>
      <c r="H497" s="781">
        <f t="shared" si="348"/>
        <v>49754</v>
      </c>
      <c r="I497" s="1359">
        <v>2985000</v>
      </c>
      <c r="J497" s="805">
        <f t="shared" si="349"/>
        <v>149250</v>
      </c>
      <c r="K497" s="805"/>
      <c r="L497" s="793">
        <v>0</v>
      </c>
      <c r="M497" s="793">
        <v>0</v>
      </c>
      <c r="N497" s="793">
        <v>0</v>
      </c>
      <c r="O497" s="793">
        <v>0</v>
      </c>
      <c r="P497" s="793">
        <v>0</v>
      </c>
      <c r="Q497" s="793">
        <v>0</v>
      </c>
      <c r="R497" s="793">
        <v>0</v>
      </c>
      <c r="S497" s="793">
        <v>0</v>
      </c>
      <c r="T497" s="793">
        <v>0</v>
      </c>
      <c r="U497" s="793">
        <v>0</v>
      </c>
      <c r="V497" s="793">
        <v>0</v>
      </c>
      <c r="W497" s="793">
        <v>0</v>
      </c>
      <c r="X497" s="793">
        <f>W497</f>
        <v>0</v>
      </c>
      <c r="Y497" s="805">
        <f t="shared" si="362"/>
        <v>2985000</v>
      </c>
      <c r="Z497" s="805">
        <f t="shared" si="363"/>
        <v>8</v>
      </c>
      <c r="AA497" s="805">
        <f t="shared" si="364"/>
        <v>4144</v>
      </c>
      <c r="AB497" s="805">
        <f t="shared" si="365"/>
        <v>4144</v>
      </c>
      <c r="AC497" s="805">
        <f t="shared" si="366"/>
        <v>2980856</v>
      </c>
      <c r="AD497" s="793">
        <f t="shared" si="367"/>
        <v>2980856</v>
      </c>
      <c r="AE497" s="793">
        <f t="shared" si="368"/>
        <v>2985000</v>
      </c>
      <c r="AF497" s="793">
        <f t="shared" si="369"/>
        <v>365</v>
      </c>
      <c r="AG497" s="793">
        <f t="shared" si="370"/>
        <v>189050</v>
      </c>
      <c r="AH497" s="805">
        <f t="shared" si="371"/>
        <v>193194</v>
      </c>
      <c r="AI497" s="805">
        <f t="shared" si="372"/>
        <v>2791806</v>
      </c>
      <c r="AJ497" s="793">
        <f t="shared" si="373"/>
        <v>2791806</v>
      </c>
      <c r="AK497" s="793">
        <f t="shared" si="374"/>
        <v>2985000</v>
      </c>
      <c r="AL497" s="793">
        <f t="shared" si="375"/>
        <v>365</v>
      </c>
      <c r="AM497" s="793">
        <f t="shared" si="376"/>
        <v>189050</v>
      </c>
      <c r="AN497" s="805">
        <f t="shared" si="377"/>
        <v>382244</v>
      </c>
      <c r="AO497" s="805">
        <f t="shared" si="378"/>
        <v>2602756</v>
      </c>
      <c r="AP497" s="793">
        <f t="shared" si="379"/>
        <v>2602756</v>
      </c>
      <c r="AQ497" s="793">
        <f t="shared" si="380"/>
        <v>2985000</v>
      </c>
      <c r="AR497" s="793">
        <f t="shared" si="381"/>
        <v>366</v>
      </c>
      <c r="AS497" s="793">
        <f t="shared" si="382"/>
        <v>189568</v>
      </c>
      <c r="AT497" s="793">
        <f t="shared" si="383"/>
        <v>571812</v>
      </c>
      <c r="AU497" s="793">
        <f t="shared" si="384"/>
        <v>2413188</v>
      </c>
      <c r="AV497" s="793">
        <f t="shared" si="385"/>
        <v>2413188</v>
      </c>
      <c r="AW497" s="793">
        <f t="shared" si="386"/>
        <v>2985000</v>
      </c>
      <c r="AX497" s="793">
        <f t="shared" si="387"/>
        <v>365</v>
      </c>
      <c r="AY497" s="793">
        <f t="shared" si="388"/>
        <v>189050</v>
      </c>
      <c r="AZ497" s="793">
        <f t="shared" si="389"/>
        <v>760862</v>
      </c>
      <c r="BA497" s="793">
        <f t="shared" si="390"/>
        <v>2224138</v>
      </c>
    </row>
    <row r="498" spans="1:53" ht="15.75" x14ac:dyDescent="0.25">
      <c r="A498" s="842" t="s">
        <v>1317</v>
      </c>
      <c r="B498" s="843" t="s">
        <v>1356</v>
      </c>
      <c r="C498" s="778">
        <f t="shared" si="346"/>
        <v>6.3333333333333325E-2</v>
      </c>
      <c r="D498" s="844">
        <v>15</v>
      </c>
      <c r="E498" s="844" t="s">
        <v>1207</v>
      </c>
      <c r="F498" s="845">
        <v>44268</v>
      </c>
      <c r="G498" s="781">
        <f t="shared" si="347"/>
        <v>44268</v>
      </c>
      <c r="H498" s="781">
        <f t="shared" si="348"/>
        <v>49743</v>
      </c>
      <c r="I498" s="1359">
        <v>554400</v>
      </c>
      <c r="J498" s="805">
        <f t="shared" si="349"/>
        <v>27720</v>
      </c>
      <c r="K498" s="793"/>
      <c r="L498" s="793">
        <v>0</v>
      </c>
      <c r="M498" s="793">
        <v>0</v>
      </c>
      <c r="N498" s="793">
        <v>0</v>
      </c>
      <c r="O498" s="793">
        <v>0</v>
      </c>
      <c r="P498" s="793">
        <v>0</v>
      </c>
      <c r="Q498" s="793">
        <v>0</v>
      </c>
      <c r="R498" s="793">
        <v>0</v>
      </c>
      <c r="S498" s="793">
        <v>0</v>
      </c>
      <c r="T498" s="793">
        <v>0</v>
      </c>
      <c r="U498" s="793">
        <v>0</v>
      </c>
      <c r="V498" s="793">
        <v>0</v>
      </c>
      <c r="W498" s="793">
        <v>0</v>
      </c>
      <c r="X498" s="793">
        <f>W498</f>
        <v>0</v>
      </c>
      <c r="Y498" s="805">
        <f t="shared" si="362"/>
        <v>554400</v>
      </c>
      <c r="Z498" s="805">
        <f t="shared" si="363"/>
        <v>19</v>
      </c>
      <c r="AA498" s="805">
        <f t="shared" si="364"/>
        <v>1828</v>
      </c>
      <c r="AB498" s="805">
        <f t="shared" si="365"/>
        <v>1828</v>
      </c>
      <c r="AC498" s="805">
        <f t="shared" si="366"/>
        <v>552572</v>
      </c>
      <c r="AD498" s="793">
        <f t="shared" si="367"/>
        <v>552572</v>
      </c>
      <c r="AE498" s="793">
        <f t="shared" si="368"/>
        <v>554400</v>
      </c>
      <c r="AF498" s="793">
        <f t="shared" si="369"/>
        <v>365</v>
      </c>
      <c r="AG498" s="793">
        <f t="shared" si="370"/>
        <v>35112</v>
      </c>
      <c r="AH498" s="805">
        <f t="shared" si="371"/>
        <v>36940</v>
      </c>
      <c r="AI498" s="805">
        <f t="shared" si="372"/>
        <v>517460</v>
      </c>
      <c r="AJ498" s="793">
        <f t="shared" si="373"/>
        <v>517460</v>
      </c>
      <c r="AK498" s="793">
        <f t="shared" si="374"/>
        <v>554400</v>
      </c>
      <c r="AL498" s="793">
        <f t="shared" si="375"/>
        <v>365</v>
      </c>
      <c r="AM498" s="793">
        <f t="shared" si="376"/>
        <v>35112</v>
      </c>
      <c r="AN498" s="805">
        <f t="shared" si="377"/>
        <v>72052</v>
      </c>
      <c r="AO498" s="805">
        <f t="shared" si="378"/>
        <v>482348</v>
      </c>
      <c r="AP498" s="793">
        <f t="shared" si="379"/>
        <v>482348</v>
      </c>
      <c r="AQ498" s="793">
        <f t="shared" si="380"/>
        <v>554400</v>
      </c>
      <c r="AR498" s="793">
        <f t="shared" si="381"/>
        <v>366</v>
      </c>
      <c r="AS498" s="793">
        <f t="shared" si="382"/>
        <v>35208</v>
      </c>
      <c r="AT498" s="793">
        <f t="shared" si="383"/>
        <v>107260</v>
      </c>
      <c r="AU498" s="793">
        <f t="shared" si="384"/>
        <v>447140</v>
      </c>
      <c r="AV498" s="793">
        <f t="shared" si="385"/>
        <v>447140</v>
      </c>
      <c r="AW498" s="793">
        <f t="shared" si="386"/>
        <v>554400</v>
      </c>
      <c r="AX498" s="793">
        <f t="shared" si="387"/>
        <v>365</v>
      </c>
      <c r="AY498" s="793">
        <f t="shared" si="388"/>
        <v>35112</v>
      </c>
      <c r="AZ498" s="793">
        <f t="shared" si="389"/>
        <v>142372</v>
      </c>
      <c r="BA498" s="793">
        <f t="shared" si="390"/>
        <v>412028</v>
      </c>
    </row>
    <row r="499" spans="1:53" ht="15.75" x14ac:dyDescent="0.25">
      <c r="A499" s="842" t="s">
        <v>1317</v>
      </c>
      <c r="B499" s="843" t="s">
        <v>1353</v>
      </c>
      <c r="C499" s="778">
        <f t="shared" si="346"/>
        <v>6.3333333333333325E-2</v>
      </c>
      <c r="D499" s="844">
        <v>15</v>
      </c>
      <c r="E499" s="844" t="s">
        <v>723</v>
      </c>
      <c r="F499" s="845">
        <v>44298</v>
      </c>
      <c r="G499" s="781">
        <f t="shared" si="347"/>
        <v>44298</v>
      </c>
      <c r="H499" s="781">
        <f t="shared" si="348"/>
        <v>49773</v>
      </c>
      <c r="I499" s="1359">
        <v>640000</v>
      </c>
      <c r="J499" s="805">
        <f t="shared" si="349"/>
        <v>32000</v>
      </c>
      <c r="K499" s="793"/>
      <c r="L499" s="793">
        <v>0</v>
      </c>
      <c r="M499" s="793">
        <v>0</v>
      </c>
      <c r="N499" s="793">
        <v>0</v>
      </c>
      <c r="O499" s="793">
        <v>0</v>
      </c>
      <c r="P499" s="793">
        <v>0</v>
      </c>
      <c r="Q499" s="793">
        <v>0</v>
      </c>
      <c r="R499" s="793">
        <v>0</v>
      </c>
      <c r="S499" s="793">
        <v>0</v>
      </c>
      <c r="T499" s="793">
        <v>0</v>
      </c>
      <c r="U499" s="793">
        <v>0</v>
      </c>
      <c r="V499" s="793">
        <v>0</v>
      </c>
      <c r="W499" s="793">
        <v>0</v>
      </c>
      <c r="X499" s="793">
        <v>0</v>
      </c>
      <c r="Y499" s="793">
        <v>0</v>
      </c>
      <c r="Z499" s="793">
        <v>0</v>
      </c>
      <c r="AA499" s="793">
        <v>0</v>
      </c>
      <c r="AB499" s="793">
        <v>0</v>
      </c>
      <c r="AC499" s="793">
        <v>0</v>
      </c>
      <c r="AD499" s="793">
        <f t="shared" si="367"/>
        <v>0</v>
      </c>
      <c r="AE499" s="793">
        <f t="shared" si="368"/>
        <v>640000</v>
      </c>
      <c r="AF499" s="793">
        <f t="shared" si="369"/>
        <v>354</v>
      </c>
      <c r="AG499" s="793">
        <f t="shared" si="370"/>
        <v>39312</v>
      </c>
      <c r="AH499" s="805">
        <f t="shared" si="371"/>
        <v>39312</v>
      </c>
      <c r="AI499" s="805">
        <f t="shared" si="372"/>
        <v>600688</v>
      </c>
      <c r="AJ499" s="793">
        <f t="shared" si="373"/>
        <v>600688</v>
      </c>
      <c r="AK499" s="793">
        <f t="shared" si="374"/>
        <v>640000</v>
      </c>
      <c r="AL499" s="793">
        <f t="shared" si="375"/>
        <v>365</v>
      </c>
      <c r="AM499" s="793">
        <f t="shared" si="376"/>
        <v>40533</v>
      </c>
      <c r="AN499" s="805">
        <f t="shared" si="377"/>
        <v>79845</v>
      </c>
      <c r="AO499" s="805">
        <f t="shared" si="378"/>
        <v>560155</v>
      </c>
      <c r="AP499" s="793">
        <f t="shared" si="379"/>
        <v>560155</v>
      </c>
      <c r="AQ499" s="793">
        <f t="shared" si="380"/>
        <v>640000</v>
      </c>
      <c r="AR499" s="793">
        <f t="shared" si="381"/>
        <v>366</v>
      </c>
      <c r="AS499" s="793">
        <f t="shared" si="382"/>
        <v>40644</v>
      </c>
      <c r="AT499" s="793">
        <f t="shared" si="383"/>
        <v>120489</v>
      </c>
      <c r="AU499" s="793">
        <f t="shared" si="384"/>
        <v>519511</v>
      </c>
      <c r="AV499" s="793">
        <f t="shared" si="385"/>
        <v>519511</v>
      </c>
      <c r="AW499" s="793">
        <f t="shared" si="386"/>
        <v>640000</v>
      </c>
      <c r="AX499" s="793">
        <f t="shared" si="387"/>
        <v>365</v>
      </c>
      <c r="AY499" s="793">
        <f t="shared" si="388"/>
        <v>40533</v>
      </c>
      <c r="AZ499" s="793">
        <f t="shared" si="389"/>
        <v>161022</v>
      </c>
      <c r="BA499" s="793">
        <f t="shared" si="390"/>
        <v>478978</v>
      </c>
    </row>
    <row r="500" spans="1:53" ht="15.75" x14ac:dyDescent="0.25">
      <c r="A500" s="842" t="s">
        <v>1317</v>
      </c>
      <c r="B500" s="843" t="s">
        <v>1354</v>
      </c>
      <c r="C500" s="778">
        <f t="shared" si="346"/>
        <v>6.3333333333333325E-2</v>
      </c>
      <c r="D500" s="844">
        <v>15</v>
      </c>
      <c r="E500" s="844" t="s">
        <v>723</v>
      </c>
      <c r="F500" s="845">
        <v>44412</v>
      </c>
      <c r="G500" s="781">
        <f t="shared" si="347"/>
        <v>44412</v>
      </c>
      <c r="H500" s="781">
        <f t="shared" si="348"/>
        <v>49887</v>
      </c>
      <c r="I500" s="1359">
        <f>15835859.06-380000</f>
        <v>15455859.060000001</v>
      </c>
      <c r="J500" s="805">
        <f t="shared" si="349"/>
        <v>772792.9530000001</v>
      </c>
      <c r="K500" s="805"/>
      <c r="L500" s="793">
        <v>0</v>
      </c>
      <c r="M500" s="793">
        <v>0</v>
      </c>
      <c r="N500" s="793">
        <v>0</v>
      </c>
      <c r="O500" s="793">
        <v>0</v>
      </c>
      <c r="P500" s="793">
        <v>0</v>
      </c>
      <c r="Q500" s="793">
        <v>0</v>
      </c>
      <c r="R500" s="793">
        <v>0</v>
      </c>
      <c r="S500" s="793">
        <v>0</v>
      </c>
      <c r="T500" s="793">
        <v>0</v>
      </c>
      <c r="U500" s="793">
        <v>0</v>
      </c>
      <c r="V500" s="793">
        <v>0</v>
      </c>
      <c r="W500" s="793">
        <v>0</v>
      </c>
      <c r="X500" s="793">
        <v>0</v>
      </c>
      <c r="Y500" s="793">
        <v>0</v>
      </c>
      <c r="Z500" s="793">
        <v>0</v>
      </c>
      <c r="AA500" s="793">
        <v>0</v>
      </c>
      <c r="AB500" s="793">
        <v>0</v>
      </c>
      <c r="AC500" s="793">
        <v>0</v>
      </c>
      <c r="AD500" s="793">
        <f t="shared" si="367"/>
        <v>0</v>
      </c>
      <c r="AE500" s="793">
        <f t="shared" si="368"/>
        <v>15455859.060000001</v>
      </c>
      <c r="AF500" s="793">
        <f t="shared" si="369"/>
        <v>240</v>
      </c>
      <c r="AG500" s="793">
        <f t="shared" si="370"/>
        <v>643641</v>
      </c>
      <c r="AH500" s="805">
        <f t="shared" si="371"/>
        <v>643641</v>
      </c>
      <c r="AI500" s="805">
        <f t="shared" si="372"/>
        <v>14812218.060000001</v>
      </c>
      <c r="AJ500" s="793">
        <f t="shared" si="373"/>
        <v>14812218.060000001</v>
      </c>
      <c r="AK500" s="793">
        <f t="shared" si="374"/>
        <v>15455859.060000001</v>
      </c>
      <c r="AL500" s="793">
        <f t="shared" si="375"/>
        <v>365</v>
      </c>
      <c r="AM500" s="793">
        <f t="shared" si="376"/>
        <v>978871</v>
      </c>
      <c r="AN500" s="805">
        <f t="shared" si="377"/>
        <v>1622512</v>
      </c>
      <c r="AO500" s="805">
        <f t="shared" si="378"/>
        <v>13833347.060000001</v>
      </c>
      <c r="AP500" s="793">
        <f t="shared" si="379"/>
        <v>13833347.060000001</v>
      </c>
      <c r="AQ500" s="793">
        <f t="shared" si="380"/>
        <v>15455859.060000001</v>
      </c>
      <c r="AR500" s="793">
        <f t="shared" si="381"/>
        <v>366</v>
      </c>
      <c r="AS500" s="793">
        <f t="shared" si="382"/>
        <v>981553</v>
      </c>
      <c r="AT500" s="793">
        <f t="shared" si="383"/>
        <v>2604065</v>
      </c>
      <c r="AU500" s="793">
        <f t="shared" si="384"/>
        <v>12851794.060000001</v>
      </c>
      <c r="AV500" s="793">
        <f t="shared" si="385"/>
        <v>12851794.060000001</v>
      </c>
      <c r="AW500" s="793">
        <f t="shared" si="386"/>
        <v>15455859.060000001</v>
      </c>
      <c r="AX500" s="793">
        <f t="shared" si="387"/>
        <v>365</v>
      </c>
      <c r="AY500" s="793">
        <f t="shared" si="388"/>
        <v>978871</v>
      </c>
      <c r="AZ500" s="793">
        <f t="shared" si="389"/>
        <v>3582936</v>
      </c>
      <c r="BA500" s="793">
        <f t="shared" si="390"/>
        <v>11872923.060000001</v>
      </c>
    </row>
    <row r="501" spans="1:53" ht="15.75" x14ac:dyDescent="0.25">
      <c r="A501" s="842" t="s">
        <v>1317</v>
      </c>
      <c r="B501" s="843" t="s">
        <v>1354</v>
      </c>
      <c r="C501" s="778">
        <f t="shared" si="346"/>
        <v>6.3333333333333325E-2</v>
      </c>
      <c r="D501" s="844">
        <v>15</v>
      </c>
      <c r="E501" s="844" t="s">
        <v>723</v>
      </c>
      <c r="F501" s="845">
        <v>44446</v>
      </c>
      <c r="G501" s="781">
        <f t="shared" si="347"/>
        <v>44446</v>
      </c>
      <c r="H501" s="781">
        <f t="shared" si="348"/>
        <v>49921</v>
      </c>
      <c r="I501" s="1359">
        <v>4675000</v>
      </c>
      <c r="J501" s="805">
        <f t="shared" si="349"/>
        <v>233750</v>
      </c>
      <c r="K501" s="793"/>
      <c r="L501" s="793">
        <v>0</v>
      </c>
      <c r="M501" s="793">
        <v>0</v>
      </c>
      <c r="N501" s="793">
        <v>0</v>
      </c>
      <c r="O501" s="793">
        <v>0</v>
      </c>
      <c r="P501" s="793">
        <v>0</v>
      </c>
      <c r="Q501" s="793">
        <v>0</v>
      </c>
      <c r="R501" s="793">
        <v>0</v>
      </c>
      <c r="S501" s="793">
        <v>0</v>
      </c>
      <c r="T501" s="793">
        <v>0</v>
      </c>
      <c r="U501" s="793">
        <v>0</v>
      </c>
      <c r="V501" s="793">
        <v>0</v>
      </c>
      <c r="W501" s="793">
        <v>0</v>
      </c>
      <c r="X501" s="793">
        <v>0</v>
      </c>
      <c r="Y501" s="793">
        <v>0</v>
      </c>
      <c r="Z501" s="793">
        <v>0</v>
      </c>
      <c r="AA501" s="793">
        <v>0</v>
      </c>
      <c r="AB501" s="793">
        <v>0</v>
      </c>
      <c r="AC501" s="793">
        <v>0</v>
      </c>
      <c r="AD501" s="793">
        <f t="shared" si="367"/>
        <v>0</v>
      </c>
      <c r="AE501" s="793">
        <f t="shared" si="368"/>
        <v>4675000</v>
      </c>
      <c r="AF501" s="793">
        <f t="shared" si="369"/>
        <v>206</v>
      </c>
      <c r="AG501" s="793">
        <f t="shared" si="370"/>
        <v>167105</v>
      </c>
      <c r="AH501" s="805">
        <f t="shared" si="371"/>
        <v>167105</v>
      </c>
      <c r="AI501" s="805">
        <f t="shared" si="372"/>
        <v>4507895</v>
      </c>
      <c r="AJ501" s="793">
        <f t="shared" si="373"/>
        <v>4507895</v>
      </c>
      <c r="AK501" s="793">
        <f t="shared" si="374"/>
        <v>4675000</v>
      </c>
      <c r="AL501" s="793">
        <f t="shared" si="375"/>
        <v>365</v>
      </c>
      <c r="AM501" s="793">
        <f t="shared" si="376"/>
        <v>296083</v>
      </c>
      <c r="AN501" s="805">
        <f t="shared" si="377"/>
        <v>463188</v>
      </c>
      <c r="AO501" s="805">
        <f t="shared" si="378"/>
        <v>4211812</v>
      </c>
      <c r="AP501" s="793">
        <f t="shared" si="379"/>
        <v>4211812</v>
      </c>
      <c r="AQ501" s="793">
        <f t="shared" si="380"/>
        <v>4675000</v>
      </c>
      <c r="AR501" s="793">
        <f t="shared" si="381"/>
        <v>366</v>
      </c>
      <c r="AS501" s="793">
        <f t="shared" si="382"/>
        <v>296895</v>
      </c>
      <c r="AT501" s="793">
        <f t="shared" si="383"/>
        <v>760083</v>
      </c>
      <c r="AU501" s="793">
        <f t="shared" si="384"/>
        <v>3914917</v>
      </c>
      <c r="AV501" s="793">
        <f t="shared" si="385"/>
        <v>3914917</v>
      </c>
      <c r="AW501" s="793">
        <f t="shared" si="386"/>
        <v>4675000</v>
      </c>
      <c r="AX501" s="793">
        <f t="shared" si="387"/>
        <v>365</v>
      </c>
      <c r="AY501" s="793">
        <f t="shared" si="388"/>
        <v>296083</v>
      </c>
      <c r="AZ501" s="793">
        <f t="shared" si="389"/>
        <v>1056166</v>
      </c>
      <c r="BA501" s="793">
        <f t="shared" si="390"/>
        <v>3618834</v>
      </c>
    </row>
    <row r="502" spans="1:53" ht="15.75" x14ac:dyDescent="0.25">
      <c r="A502" s="842" t="s">
        <v>1317</v>
      </c>
      <c r="B502" s="843" t="s">
        <v>1357</v>
      </c>
      <c r="C502" s="778">
        <f t="shared" si="346"/>
        <v>6.3333333333333325E-2</v>
      </c>
      <c r="D502" s="844">
        <v>15</v>
      </c>
      <c r="E502" s="844" t="s">
        <v>723</v>
      </c>
      <c r="F502" s="845">
        <v>44489</v>
      </c>
      <c r="G502" s="781">
        <f t="shared" si="347"/>
        <v>44489</v>
      </c>
      <c r="H502" s="781">
        <f t="shared" si="348"/>
        <v>49964</v>
      </c>
      <c r="I502" s="1359">
        <f>8950000+50000</f>
        <v>9000000</v>
      </c>
      <c r="J502" s="805">
        <f t="shared" si="349"/>
        <v>450000</v>
      </c>
      <c r="K502" s="793"/>
      <c r="L502" s="793">
        <v>0</v>
      </c>
      <c r="M502" s="793">
        <v>0</v>
      </c>
      <c r="N502" s="793">
        <v>0</v>
      </c>
      <c r="O502" s="793">
        <v>0</v>
      </c>
      <c r="P502" s="793">
        <v>0</v>
      </c>
      <c r="Q502" s="793">
        <v>0</v>
      </c>
      <c r="R502" s="793">
        <v>0</v>
      </c>
      <c r="S502" s="793">
        <v>0</v>
      </c>
      <c r="T502" s="793">
        <v>0</v>
      </c>
      <c r="U502" s="793">
        <v>0</v>
      </c>
      <c r="V502" s="793">
        <v>0</v>
      </c>
      <c r="W502" s="793">
        <v>0</v>
      </c>
      <c r="X502" s="793">
        <v>0</v>
      </c>
      <c r="Y502" s="793">
        <v>0</v>
      </c>
      <c r="Z502" s="793">
        <v>0</v>
      </c>
      <c r="AA502" s="793">
        <v>0</v>
      </c>
      <c r="AB502" s="793">
        <v>0</v>
      </c>
      <c r="AC502" s="793">
        <v>0</v>
      </c>
      <c r="AD502" s="793">
        <f t="shared" si="367"/>
        <v>0</v>
      </c>
      <c r="AE502" s="793">
        <f t="shared" si="368"/>
        <v>9000000</v>
      </c>
      <c r="AF502" s="793">
        <f t="shared" si="369"/>
        <v>163</v>
      </c>
      <c r="AG502" s="793">
        <f t="shared" si="370"/>
        <v>254548</v>
      </c>
      <c r="AH502" s="805">
        <f t="shared" si="371"/>
        <v>254548</v>
      </c>
      <c r="AI502" s="805">
        <f t="shared" si="372"/>
        <v>8745452</v>
      </c>
      <c r="AJ502" s="793">
        <f t="shared" si="373"/>
        <v>8745452</v>
      </c>
      <c r="AK502" s="793">
        <f t="shared" si="374"/>
        <v>9000000</v>
      </c>
      <c r="AL502" s="793">
        <f t="shared" si="375"/>
        <v>365</v>
      </c>
      <c r="AM502" s="793">
        <f t="shared" si="376"/>
        <v>570000</v>
      </c>
      <c r="AN502" s="805">
        <f t="shared" si="377"/>
        <v>824548</v>
      </c>
      <c r="AO502" s="805">
        <f t="shared" si="378"/>
        <v>8175452</v>
      </c>
      <c r="AP502" s="793">
        <f t="shared" si="379"/>
        <v>8175452</v>
      </c>
      <c r="AQ502" s="793">
        <f t="shared" si="380"/>
        <v>9000000</v>
      </c>
      <c r="AR502" s="793">
        <f t="shared" si="381"/>
        <v>366</v>
      </c>
      <c r="AS502" s="793">
        <f t="shared" si="382"/>
        <v>571562</v>
      </c>
      <c r="AT502" s="793">
        <f t="shared" si="383"/>
        <v>1396110</v>
      </c>
      <c r="AU502" s="793">
        <f t="shared" si="384"/>
        <v>7603890</v>
      </c>
      <c r="AV502" s="793">
        <f t="shared" si="385"/>
        <v>7603890</v>
      </c>
      <c r="AW502" s="793">
        <f t="shared" si="386"/>
        <v>9000000</v>
      </c>
      <c r="AX502" s="793">
        <f t="shared" si="387"/>
        <v>365</v>
      </c>
      <c r="AY502" s="793">
        <f t="shared" si="388"/>
        <v>570000</v>
      </c>
      <c r="AZ502" s="793">
        <f t="shared" si="389"/>
        <v>1966110</v>
      </c>
      <c r="BA502" s="793">
        <f t="shared" si="390"/>
        <v>7033890</v>
      </c>
    </row>
    <row r="503" spans="1:53" ht="15.75" x14ac:dyDescent="0.25">
      <c r="A503" s="842" t="s">
        <v>1317</v>
      </c>
      <c r="B503" s="843" t="s">
        <v>1353</v>
      </c>
      <c r="C503" s="778">
        <f t="shared" si="346"/>
        <v>6.3333333333333325E-2</v>
      </c>
      <c r="D503" s="844">
        <v>15</v>
      </c>
      <c r="E503" s="844" t="s">
        <v>723</v>
      </c>
      <c r="F503" s="845">
        <v>44518</v>
      </c>
      <c r="G503" s="781">
        <f t="shared" si="347"/>
        <v>44518</v>
      </c>
      <c r="H503" s="781">
        <f t="shared" si="348"/>
        <v>49993</v>
      </c>
      <c r="I503" s="1359">
        <v>920000</v>
      </c>
      <c r="J503" s="805">
        <f t="shared" si="349"/>
        <v>46000</v>
      </c>
      <c r="K503" s="793"/>
      <c r="L503" s="793">
        <v>0</v>
      </c>
      <c r="M503" s="793">
        <v>0</v>
      </c>
      <c r="N503" s="793">
        <v>0</v>
      </c>
      <c r="O503" s="793">
        <v>0</v>
      </c>
      <c r="P503" s="793">
        <v>0</v>
      </c>
      <c r="Q503" s="793">
        <v>0</v>
      </c>
      <c r="R503" s="793">
        <v>0</v>
      </c>
      <c r="S503" s="793">
        <v>0</v>
      </c>
      <c r="T503" s="793">
        <v>0</v>
      </c>
      <c r="U503" s="793">
        <v>0</v>
      </c>
      <c r="V503" s="793">
        <v>0</v>
      </c>
      <c r="W503" s="793">
        <v>0</v>
      </c>
      <c r="X503" s="793">
        <v>0</v>
      </c>
      <c r="Y503" s="793">
        <v>0</v>
      </c>
      <c r="Z503" s="793">
        <v>0</v>
      </c>
      <c r="AA503" s="793">
        <v>0</v>
      </c>
      <c r="AB503" s="793">
        <v>0</v>
      </c>
      <c r="AC503" s="793">
        <v>0</v>
      </c>
      <c r="AD503" s="793">
        <f t="shared" si="367"/>
        <v>0</v>
      </c>
      <c r="AE503" s="793">
        <f t="shared" si="368"/>
        <v>920000</v>
      </c>
      <c r="AF503" s="793">
        <f t="shared" si="369"/>
        <v>134</v>
      </c>
      <c r="AG503" s="793">
        <f t="shared" si="370"/>
        <v>21391</v>
      </c>
      <c r="AH503" s="805">
        <f t="shared" si="371"/>
        <v>21391</v>
      </c>
      <c r="AI503" s="805">
        <f t="shared" si="372"/>
        <v>898609</v>
      </c>
      <c r="AJ503" s="793">
        <f t="shared" si="373"/>
        <v>898609</v>
      </c>
      <c r="AK503" s="793">
        <f t="shared" si="374"/>
        <v>920000</v>
      </c>
      <c r="AL503" s="793">
        <f t="shared" si="375"/>
        <v>365</v>
      </c>
      <c r="AM503" s="793">
        <f t="shared" si="376"/>
        <v>58267</v>
      </c>
      <c r="AN503" s="805">
        <f t="shared" si="377"/>
        <v>79658</v>
      </c>
      <c r="AO503" s="805">
        <f t="shared" si="378"/>
        <v>840342</v>
      </c>
      <c r="AP503" s="793">
        <f t="shared" si="379"/>
        <v>840342</v>
      </c>
      <c r="AQ503" s="793">
        <f t="shared" si="380"/>
        <v>920000</v>
      </c>
      <c r="AR503" s="793">
        <f t="shared" si="381"/>
        <v>366</v>
      </c>
      <c r="AS503" s="793">
        <f t="shared" si="382"/>
        <v>58426</v>
      </c>
      <c r="AT503" s="793">
        <f t="shared" si="383"/>
        <v>138084</v>
      </c>
      <c r="AU503" s="793">
        <f t="shared" si="384"/>
        <v>781916</v>
      </c>
      <c r="AV503" s="793">
        <f t="shared" si="385"/>
        <v>781916</v>
      </c>
      <c r="AW503" s="793">
        <f t="shared" si="386"/>
        <v>920000</v>
      </c>
      <c r="AX503" s="793">
        <f t="shared" si="387"/>
        <v>365</v>
      </c>
      <c r="AY503" s="793">
        <f t="shared" si="388"/>
        <v>58267</v>
      </c>
      <c r="AZ503" s="793">
        <f t="shared" si="389"/>
        <v>196351</v>
      </c>
      <c r="BA503" s="793">
        <f t="shared" si="390"/>
        <v>723649</v>
      </c>
    </row>
    <row r="504" spans="1:53" ht="15.75" x14ac:dyDescent="0.25">
      <c r="A504" s="842" t="s">
        <v>1317</v>
      </c>
      <c r="B504" s="843" t="s">
        <v>1353</v>
      </c>
      <c r="C504" s="778">
        <f t="shared" si="346"/>
        <v>6.3333333333333325E-2</v>
      </c>
      <c r="D504" s="844">
        <v>15</v>
      </c>
      <c r="E504" s="844" t="s">
        <v>723</v>
      </c>
      <c r="F504" s="845">
        <v>44543</v>
      </c>
      <c r="G504" s="781">
        <f t="shared" si="347"/>
        <v>44543</v>
      </c>
      <c r="H504" s="781">
        <f t="shared" si="348"/>
        <v>50018</v>
      </c>
      <c r="I504" s="1359">
        <f>965073.5+55000</f>
        <v>1020073.5</v>
      </c>
      <c r="J504" s="805">
        <f t="shared" si="349"/>
        <v>51003.675000000003</v>
      </c>
      <c r="K504" s="793"/>
      <c r="L504" s="793">
        <v>0</v>
      </c>
      <c r="M504" s="793">
        <v>0</v>
      </c>
      <c r="N504" s="793">
        <v>0</v>
      </c>
      <c r="O504" s="793">
        <v>0</v>
      </c>
      <c r="P504" s="793">
        <v>0</v>
      </c>
      <c r="Q504" s="793">
        <v>0</v>
      </c>
      <c r="R504" s="793">
        <v>0</v>
      </c>
      <c r="S504" s="793">
        <v>0</v>
      </c>
      <c r="T504" s="793">
        <v>0</v>
      </c>
      <c r="U504" s="793">
        <v>0</v>
      </c>
      <c r="V504" s="793">
        <v>0</v>
      </c>
      <c r="W504" s="793">
        <v>0</v>
      </c>
      <c r="X504" s="793">
        <v>0</v>
      </c>
      <c r="Y504" s="793">
        <v>0</v>
      </c>
      <c r="Z504" s="793">
        <v>0</v>
      </c>
      <c r="AA504" s="793">
        <v>0</v>
      </c>
      <c r="AB504" s="793">
        <v>0</v>
      </c>
      <c r="AC504" s="793">
        <v>0</v>
      </c>
      <c r="AD504" s="793">
        <f t="shared" si="367"/>
        <v>0</v>
      </c>
      <c r="AE504" s="793">
        <f t="shared" si="368"/>
        <v>1020073.5</v>
      </c>
      <c r="AF504" s="793">
        <f t="shared" si="369"/>
        <v>109</v>
      </c>
      <c r="AG504" s="793">
        <f t="shared" si="370"/>
        <v>19293</v>
      </c>
      <c r="AH504" s="805">
        <f t="shared" si="371"/>
        <v>19293</v>
      </c>
      <c r="AI504" s="805">
        <f t="shared" si="372"/>
        <v>1000780.5</v>
      </c>
      <c r="AJ504" s="793">
        <f t="shared" si="373"/>
        <v>1000780.5</v>
      </c>
      <c r="AK504" s="793">
        <f t="shared" si="374"/>
        <v>1020073.5</v>
      </c>
      <c r="AL504" s="793">
        <f t="shared" si="375"/>
        <v>365</v>
      </c>
      <c r="AM504" s="793">
        <f t="shared" si="376"/>
        <v>64605</v>
      </c>
      <c r="AN504" s="805">
        <f t="shared" si="377"/>
        <v>83898</v>
      </c>
      <c r="AO504" s="805">
        <f t="shared" si="378"/>
        <v>936175.5</v>
      </c>
      <c r="AP504" s="793">
        <f t="shared" si="379"/>
        <v>936175.5</v>
      </c>
      <c r="AQ504" s="793">
        <f t="shared" si="380"/>
        <v>1020073.5</v>
      </c>
      <c r="AR504" s="793">
        <f t="shared" si="381"/>
        <v>366</v>
      </c>
      <c r="AS504" s="793">
        <f t="shared" si="382"/>
        <v>64782</v>
      </c>
      <c r="AT504" s="793">
        <f t="shared" si="383"/>
        <v>148680</v>
      </c>
      <c r="AU504" s="793">
        <f t="shared" si="384"/>
        <v>871393.5</v>
      </c>
      <c r="AV504" s="793">
        <f t="shared" si="385"/>
        <v>871393.5</v>
      </c>
      <c r="AW504" s="793">
        <f t="shared" si="386"/>
        <v>1020073.5</v>
      </c>
      <c r="AX504" s="793">
        <f t="shared" si="387"/>
        <v>365</v>
      </c>
      <c r="AY504" s="793">
        <f t="shared" si="388"/>
        <v>64605</v>
      </c>
      <c r="AZ504" s="793">
        <f t="shared" si="389"/>
        <v>213285</v>
      </c>
      <c r="BA504" s="793">
        <f t="shared" si="390"/>
        <v>806788.5</v>
      </c>
    </row>
    <row r="505" spans="1:53" ht="15.75" x14ac:dyDescent="0.25">
      <c r="A505" s="842" t="s">
        <v>1317</v>
      </c>
      <c r="B505" s="843" t="s">
        <v>1353</v>
      </c>
      <c r="C505" s="778">
        <f t="shared" si="346"/>
        <v>6.3333333333333325E-2</v>
      </c>
      <c r="D505" s="844">
        <v>15</v>
      </c>
      <c r="E505" s="844" t="s">
        <v>723</v>
      </c>
      <c r="F505" s="845">
        <v>44579</v>
      </c>
      <c r="G505" s="781">
        <f t="shared" si="347"/>
        <v>44579</v>
      </c>
      <c r="H505" s="781">
        <f t="shared" si="348"/>
        <v>50054</v>
      </c>
      <c r="I505" s="1359">
        <v>3880000</v>
      </c>
      <c r="J505" s="805">
        <f t="shared" si="349"/>
        <v>194000</v>
      </c>
      <c r="K505" s="793"/>
      <c r="L505" s="793">
        <v>0</v>
      </c>
      <c r="M505" s="793">
        <v>0</v>
      </c>
      <c r="N505" s="793">
        <v>0</v>
      </c>
      <c r="O505" s="793">
        <v>0</v>
      </c>
      <c r="P505" s="793">
        <v>0</v>
      </c>
      <c r="Q505" s="793">
        <v>0</v>
      </c>
      <c r="R505" s="793">
        <v>0</v>
      </c>
      <c r="S505" s="793">
        <v>0</v>
      </c>
      <c r="T505" s="793">
        <v>0</v>
      </c>
      <c r="U505" s="793">
        <v>0</v>
      </c>
      <c r="V505" s="793">
        <v>0</v>
      </c>
      <c r="W505" s="793">
        <v>0</v>
      </c>
      <c r="X505" s="793">
        <v>0</v>
      </c>
      <c r="Y505" s="793">
        <v>0</v>
      </c>
      <c r="Z505" s="793">
        <v>0</v>
      </c>
      <c r="AA505" s="793">
        <v>0</v>
      </c>
      <c r="AB505" s="793">
        <v>0</v>
      </c>
      <c r="AC505" s="793">
        <v>0</v>
      </c>
      <c r="AD505" s="793">
        <f t="shared" si="367"/>
        <v>0</v>
      </c>
      <c r="AE505" s="793">
        <f t="shared" si="368"/>
        <v>3880000</v>
      </c>
      <c r="AF505" s="793">
        <f t="shared" si="369"/>
        <v>73</v>
      </c>
      <c r="AG505" s="793">
        <f t="shared" si="370"/>
        <v>49147</v>
      </c>
      <c r="AH505" s="805">
        <f t="shared" si="371"/>
        <v>49147</v>
      </c>
      <c r="AI505" s="805">
        <f t="shared" si="372"/>
        <v>3830853</v>
      </c>
      <c r="AJ505" s="793">
        <f t="shared" si="373"/>
        <v>3830853</v>
      </c>
      <c r="AK505" s="793">
        <f t="shared" si="374"/>
        <v>3880000</v>
      </c>
      <c r="AL505" s="793">
        <f t="shared" si="375"/>
        <v>365</v>
      </c>
      <c r="AM505" s="793">
        <f t="shared" si="376"/>
        <v>245733</v>
      </c>
      <c r="AN505" s="805">
        <f t="shared" si="377"/>
        <v>294880</v>
      </c>
      <c r="AO505" s="805">
        <f t="shared" si="378"/>
        <v>3585120</v>
      </c>
      <c r="AP505" s="793">
        <f t="shared" si="379"/>
        <v>3585120</v>
      </c>
      <c r="AQ505" s="793">
        <f t="shared" si="380"/>
        <v>3880000</v>
      </c>
      <c r="AR505" s="793">
        <f t="shared" si="381"/>
        <v>366</v>
      </c>
      <c r="AS505" s="793">
        <f t="shared" si="382"/>
        <v>246407</v>
      </c>
      <c r="AT505" s="793">
        <f t="shared" si="383"/>
        <v>541287</v>
      </c>
      <c r="AU505" s="793">
        <f t="shared" si="384"/>
        <v>3338713</v>
      </c>
      <c r="AV505" s="793">
        <f t="shared" si="385"/>
        <v>3338713</v>
      </c>
      <c r="AW505" s="793">
        <f t="shared" si="386"/>
        <v>3880000</v>
      </c>
      <c r="AX505" s="793">
        <f t="shared" si="387"/>
        <v>365</v>
      </c>
      <c r="AY505" s="793">
        <f t="shared" si="388"/>
        <v>245733</v>
      </c>
      <c r="AZ505" s="793">
        <f t="shared" si="389"/>
        <v>787020</v>
      </c>
      <c r="BA505" s="793">
        <f t="shared" si="390"/>
        <v>3092980</v>
      </c>
    </row>
    <row r="506" spans="1:53" ht="15.75" x14ac:dyDescent="0.25">
      <c r="A506" s="842" t="s">
        <v>1317</v>
      </c>
      <c r="B506" s="843" t="s">
        <v>1353</v>
      </c>
      <c r="C506" s="778">
        <f t="shared" si="346"/>
        <v>6.3333333333333325E-2</v>
      </c>
      <c r="D506" s="844">
        <v>15</v>
      </c>
      <c r="E506" s="844" t="s">
        <v>723</v>
      </c>
      <c r="F506" s="845">
        <v>44620</v>
      </c>
      <c r="G506" s="781">
        <f t="shared" si="347"/>
        <v>44620</v>
      </c>
      <c r="H506" s="781">
        <f t="shared" si="348"/>
        <v>50095</v>
      </c>
      <c r="I506" s="1359">
        <v>904103</v>
      </c>
      <c r="J506" s="805">
        <f t="shared" si="349"/>
        <v>45205.15</v>
      </c>
      <c r="K506" s="793"/>
      <c r="L506" s="793">
        <v>0</v>
      </c>
      <c r="M506" s="793">
        <v>0</v>
      </c>
      <c r="N506" s="793">
        <v>0</v>
      </c>
      <c r="O506" s="793">
        <v>0</v>
      </c>
      <c r="P506" s="793">
        <v>0</v>
      </c>
      <c r="Q506" s="793">
        <v>0</v>
      </c>
      <c r="R506" s="793">
        <v>0</v>
      </c>
      <c r="S506" s="793">
        <v>0</v>
      </c>
      <c r="T506" s="793">
        <v>0</v>
      </c>
      <c r="U506" s="793">
        <v>0</v>
      </c>
      <c r="V506" s="793">
        <v>0</v>
      </c>
      <c r="W506" s="793">
        <v>0</v>
      </c>
      <c r="X506" s="793">
        <v>0</v>
      </c>
      <c r="Y506" s="793">
        <v>0</v>
      </c>
      <c r="Z506" s="793">
        <v>0</v>
      </c>
      <c r="AA506" s="793">
        <v>0</v>
      </c>
      <c r="AB506" s="793">
        <v>0</v>
      </c>
      <c r="AC506" s="793">
        <v>0</v>
      </c>
      <c r="AD506" s="793">
        <f t="shared" si="367"/>
        <v>0</v>
      </c>
      <c r="AE506" s="793">
        <f t="shared" si="368"/>
        <v>904103</v>
      </c>
      <c r="AF506" s="793">
        <f t="shared" si="369"/>
        <v>32</v>
      </c>
      <c r="AG506" s="793">
        <f t="shared" si="370"/>
        <v>5020</v>
      </c>
      <c r="AH506" s="805">
        <f t="shared" si="371"/>
        <v>5020</v>
      </c>
      <c r="AI506" s="805">
        <f t="shared" si="372"/>
        <v>899083</v>
      </c>
      <c r="AJ506" s="793">
        <f t="shared" si="373"/>
        <v>899083</v>
      </c>
      <c r="AK506" s="793">
        <f t="shared" si="374"/>
        <v>904103</v>
      </c>
      <c r="AL506" s="793">
        <f t="shared" si="375"/>
        <v>365</v>
      </c>
      <c r="AM506" s="793">
        <f t="shared" si="376"/>
        <v>57260</v>
      </c>
      <c r="AN506" s="805">
        <f t="shared" si="377"/>
        <v>62280</v>
      </c>
      <c r="AO506" s="805">
        <f t="shared" si="378"/>
        <v>841823</v>
      </c>
      <c r="AP506" s="793">
        <f t="shared" si="379"/>
        <v>841823</v>
      </c>
      <c r="AQ506" s="793">
        <f t="shared" si="380"/>
        <v>904103</v>
      </c>
      <c r="AR506" s="793">
        <f t="shared" si="381"/>
        <v>366</v>
      </c>
      <c r="AS506" s="793">
        <f t="shared" si="382"/>
        <v>57417</v>
      </c>
      <c r="AT506" s="793">
        <f t="shared" si="383"/>
        <v>119697</v>
      </c>
      <c r="AU506" s="793">
        <f t="shared" si="384"/>
        <v>784406</v>
      </c>
      <c r="AV506" s="793">
        <f t="shared" si="385"/>
        <v>784406</v>
      </c>
      <c r="AW506" s="793">
        <f t="shared" si="386"/>
        <v>904103</v>
      </c>
      <c r="AX506" s="793">
        <f t="shared" si="387"/>
        <v>365</v>
      </c>
      <c r="AY506" s="793">
        <f t="shared" si="388"/>
        <v>57260</v>
      </c>
      <c r="AZ506" s="793">
        <f t="shared" si="389"/>
        <v>176957</v>
      </c>
      <c r="BA506" s="793">
        <f t="shared" si="390"/>
        <v>727146</v>
      </c>
    </row>
    <row r="507" spans="1:53" ht="15.75" x14ac:dyDescent="0.25">
      <c r="A507" s="842" t="s">
        <v>1317</v>
      </c>
      <c r="B507" s="843" t="s">
        <v>1353</v>
      </c>
      <c r="C507" s="778">
        <f t="shared" si="346"/>
        <v>6.3333333333333325E-2</v>
      </c>
      <c r="D507" s="844">
        <v>15</v>
      </c>
      <c r="E507" s="844" t="s">
        <v>723</v>
      </c>
      <c r="F507" s="845">
        <v>44631</v>
      </c>
      <c r="G507" s="781">
        <f t="shared" si="347"/>
        <v>44631</v>
      </c>
      <c r="H507" s="781">
        <f t="shared" si="348"/>
        <v>50106</v>
      </c>
      <c r="I507" s="1359">
        <v>215000</v>
      </c>
      <c r="J507" s="805">
        <f t="shared" si="349"/>
        <v>10750</v>
      </c>
      <c r="K507" s="793"/>
      <c r="L507" s="793">
        <v>0</v>
      </c>
      <c r="M507" s="793">
        <v>0</v>
      </c>
      <c r="N507" s="793">
        <v>0</v>
      </c>
      <c r="O507" s="793">
        <v>0</v>
      </c>
      <c r="P507" s="793">
        <v>0</v>
      </c>
      <c r="Q507" s="793">
        <v>0</v>
      </c>
      <c r="R507" s="793">
        <v>0</v>
      </c>
      <c r="S507" s="793">
        <v>0</v>
      </c>
      <c r="T507" s="793">
        <v>0</v>
      </c>
      <c r="U507" s="793">
        <v>0</v>
      </c>
      <c r="V507" s="793">
        <v>0</v>
      </c>
      <c r="W507" s="793">
        <v>0</v>
      </c>
      <c r="X507" s="793">
        <v>0</v>
      </c>
      <c r="Y507" s="793">
        <v>0</v>
      </c>
      <c r="Z507" s="793">
        <v>0</v>
      </c>
      <c r="AA507" s="793">
        <v>0</v>
      </c>
      <c r="AB507" s="793">
        <v>0</v>
      </c>
      <c r="AC507" s="793">
        <v>0</v>
      </c>
      <c r="AD507" s="793">
        <f t="shared" si="367"/>
        <v>0</v>
      </c>
      <c r="AE507" s="793">
        <f t="shared" si="368"/>
        <v>215000</v>
      </c>
      <c r="AF507" s="793">
        <f t="shared" si="369"/>
        <v>21</v>
      </c>
      <c r="AG507" s="793">
        <f t="shared" si="370"/>
        <v>783</v>
      </c>
      <c r="AH507" s="805">
        <f t="shared" si="371"/>
        <v>783</v>
      </c>
      <c r="AI507" s="805">
        <f t="shared" si="372"/>
        <v>214217</v>
      </c>
      <c r="AJ507" s="793">
        <f t="shared" si="373"/>
        <v>214217</v>
      </c>
      <c r="AK507" s="793">
        <f t="shared" si="374"/>
        <v>215000</v>
      </c>
      <c r="AL507" s="793">
        <f t="shared" si="375"/>
        <v>365</v>
      </c>
      <c r="AM507" s="793">
        <f t="shared" si="376"/>
        <v>13617</v>
      </c>
      <c r="AN507" s="805">
        <f t="shared" si="377"/>
        <v>14400</v>
      </c>
      <c r="AO507" s="805">
        <f t="shared" si="378"/>
        <v>200600</v>
      </c>
      <c r="AP507" s="793">
        <f t="shared" si="379"/>
        <v>200600</v>
      </c>
      <c r="AQ507" s="793">
        <f t="shared" si="380"/>
        <v>215000</v>
      </c>
      <c r="AR507" s="793">
        <f t="shared" si="381"/>
        <v>366</v>
      </c>
      <c r="AS507" s="793">
        <f t="shared" si="382"/>
        <v>13654</v>
      </c>
      <c r="AT507" s="793">
        <f t="shared" si="383"/>
        <v>28054</v>
      </c>
      <c r="AU507" s="793">
        <f t="shared" si="384"/>
        <v>186946</v>
      </c>
      <c r="AV507" s="793">
        <f t="shared" si="385"/>
        <v>186946</v>
      </c>
      <c r="AW507" s="793">
        <f t="shared" si="386"/>
        <v>215000</v>
      </c>
      <c r="AX507" s="793">
        <f t="shared" si="387"/>
        <v>365</v>
      </c>
      <c r="AY507" s="793">
        <f t="shared" si="388"/>
        <v>13617</v>
      </c>
      <c r="AZ507" s="793">
        <f t="shared" si="389"/>
        <v>41671</v>
      </c>
      <c r="BA507" s="793">
        <f t="shared" si="390"/>
        <v>173329</v>
      </c>
    </row>
    <row r="508" spans="1:53" ht="15.75" x14ac:dyDescent="0.25">
      <c r="A508" s="842" t="s">
        <v>1317</v>
      </c>
      <c r="B508" s="843" t="s">
        <v>1352</v>
      </c>
      <c r="C508" s="778">
        <f t="shared" si="346"/>
        <v>6.3333333333333325E-2</v>
      </c>
      <c r="D508" s="844">
        <v>15</v>
      </c>
      <c r="E508" s="844" t="s">
        <v>723</v>
      </c>
      <c r="F508" s="845">
        <v>44601</v>
      </c>
      <c r="G508" s="781">
        <f t="shared" si="347"/>
        <v>44601</v>
      </c>
      <c r="H508" s="781">
        <f t="shared" si="348"/>
        <v>50076</v>
      </c>
      <c r="I508" s="1359">
        <f>580000+390000</f>
        <v>970000</v>
      </c>
      <c r="J508" s="805">
        <f t="shared" si="349"/>
        <v>48500</v>
      </c>
      <c r="K508" s="793"/>
      <c r="L508" s="793">
        <v>0</v>
      </c>
      <c r="M508" s="793">
        <v>0</v>
      </c>
      <c r="N508" s="793">
        <v>0</v>
      </c>
      <c r="O508" s="793">
        <v>0</v>
      </c>
      <c r="P508" s="793">
        <v>0</v>
      </c>
      <c r="Q508" s="793">
        <v>0</v>
      </c>
      <c r="R508" s="793">
        <v>0</v>
      </c>
      <c r="S508" s="793">
        <v>0</v>
      </c>
      <c r="T508" s="793">
        <v>0</v>
      </c>
      <c r="U508" s="793">
        <v>0</v>
      </c>
      <c r="V508" s="793">
        <v>0</v>
      </c>
      <c r="W508" s="793">
        <v>0</v>
      </c>
      <c r="X508" s="793">
        <v>0</v>
      </c>
      <c r="Y508" s="793">
        <v>0</v>
      </c>
      <c r="Z508" s="793">
        <v>0</v>
      </c>
      <c r="AA508" s="793">
        <v>0</v>
      </c>
      <c r="AB508" s="793">
        <v>0</v>
      </c>
      <c r="AC508" s="793">
        <v>0</v>
      </c>
      <c r="AD508" s="793">
        <f t="shared" si="367"/>
        <v>0</v>
      </c>
      <c r="AE508" s="793">
        <f t="shared" si="368"/>
        <v>970000</v>
      </c>
      <c r="AF508" s="793">
        <f t="shared" si="369"/>
        <v>51</v>
      </c>
      <c r="AG508" s="793">
        <f t="shared" si="370"/>
        <v>8584</v>
      </c>
      <c r="AH508" s="805">
        <f t="shared" si="371"/>
        <v>8584</v>
      </c>
      <c r="AI508" s="805">
        <f t="shared" si="372"/>
        <v>961416</v>
      </c>
      <c r="AJ508" s="793">
        <f t="shared" si="373"/>
        <v>961416</v>
      </c>
      <c r="AK508" s="793">
        <f t="shared" si="374"/>
        <v>970000</v>
      </c>
      <c r="AL508" s="793">
        <f t="shared" si="375"/>
        <v>365</v>
      </c>
      <c r="AM508" s="793">
        <f t="shared" si="376"/>
        <v>61433</v>
      </c>
      <c r="AN508" s="805">
        <f t="shared" si="377"/>
        <v>70017</v>
      </c>
      <c r="AO508" s="805">
        <f t="shared" si="378"/>
        <v>899983</v>
      </c>
      <c r="AP508" s="793">
        <f t="shared" si="379"/>
        <v>899983</v>
      </c>
      <c r="AQ508" s="793">
        <f t="shared" si="380"/>
        <v>970000</v>
      </c>
      <c r="AR508" s="793">
        <f t="shared" si="381"/>
        <v>366</v>
      </c>
      <c r="AS508" s="793">
        <f t="shared" si="382"/>
        <v>61602</v>
      </c>
      <c r="AT508" s="793">
        <f t="shared" si="383"/>
        <v>131619</v>
      </c>
      <c r="AU508" s="793">
        <f t="shared" si="384"/>
        <v>838381</v>
      </c>
      <c r="AV508" s="793">
        <f t="shared" si="385"/>
        <v>838381</v>
      </c>
      <c r="AW508" s="793">
        <f t="shared" si="386"/>
        <v>970000</v>
      </c>
      <c r="AX508" s="793">
        <f t="shared" si="387"/>
        <v>365</v>
      </c>
      <c r="AY508" s="793">
        <f t="shared" si="388"/>
        <v>61433</v>
      </c>
      <c r="AZ508" s="793">
        <f t="shared" si="389"/>
        <v>193052</v>
      </c>
      <c r="BA508" s="793">
        <f t="shared" si="390"/>
        <v>776948</v>
      </c>
    </row>
    <row r="509" spans="1:53" x14ac:dyDescent="0.25">
      <c r="A509" s="842" t="s">
        <v>1317</v>
      </c>
      <c r="B509" s="943" t="s">
        <v>1358</v>
      </c>
      <c r="C509" s="778">
        <f t="shared" si="346"/>
        <v>6.3333333333333325E-2</v>
      </c>
      <c r="D509" s="844">
        <v>15</v>
      </c>
      <c r="E509" s="779" t="s">
        <v>1182</v>
      </c>
      <c r="F509" s="877">
        <v>43191</v>
      </c>
      <c r="G509" s="877">
        <v>43374</v>
      </c>
      <c r="H509" s="781">
        <f t="shared" si="348"/>
        <v>48849</v>
      </c>
      <c r="I509" s="1434">
        <f>8130067+4053506</f>
        <v>12183573</v>
      </c>
      <c r="J509" s="805">
        <f t="shared" si="349"/>
        <v>609178.65</v>
      </c>
      <c r="K509" s="793"/>
      <c r="L509" s="793">
        <v>0</v>
      </c>
      <c r="M509" s="793">
        <f>I509</f>
        <v>12183573</v>
      </c>
      <c r="N509" s="793">
        <f>IF(AND(F509&gt;$K$3,F509&lt;$L$3),$L$3-F509+1,IF(H509&lt;=$K$3,0,IF(H509&gt;$L$3,$L$3-$K$3,H509-$K$3)))</f>
        <v>365</v>
      </c>
      <c r="O509" s="793">
        <f>ROUND(M509*C509*N509/365,0)</f>
        <v>771626</v>
      </c>
      <c r="P509" s="793">
        <f>O509</f>
        <v>771626</v>
      </c>
      <c r="Q509" s="793">
        <f>+M509-P509</f>
        <v>11411947</v>
      </c>
      <c r="R509" s="793">
        <f>+Q509</f>
        <v>11411947</v>
      </c>
      <c r="S509" s="793">
        <f>I509</f>
        <v>12183573</v>
      </c>
      <c r="T509" s="805">
        <f>IF(AND(F509&gt;$L$3,F509&lt;$R$3),$R$3-F509+1,IF(H509&lt;=$L$3,0,IF(H509&gt;$R$3,$R$3-$L$3,H509-$L$3)))</f>
        <v>366</v>
      </c>
      <c r="U509" s="805">
        <f>ROUND(S509*C509*T509/366,0)</f>
        <v>771626</v>
      </c>
      <c r="V509" s="793">
        <f>+P509+U509</f>
        <v>1543252</v>
      </c>
      <c r="W509" s="793">
        <f>+S509-V509</f>
        <v>10640321</v>
      </c>
      <c r="X509" s="793">
        <f>W509</f>
        <v>10640321</v>
      </c>
      <c r="Y509" s="805">
        <f>I509</f>
        <v>12183573</v>
      </c>
      <c r="Z509" s="805">
        <f>IF(AND(F509&gt;$R$3,F509&lt;$X$3),$X$3-F509+1,IF(H509&lt;=$R$3,0,IF(H509&gt;$X$3,$X$3-$R$3,H509-$R$3)))</f>
        <v>365</v>
      </c>
      <c r="AA509" s="805">
        <f>ROUND(Y509*C509*Z509/365,0)</f>
        <v>771626</v>
      </c>
      <c r="AB509" s="805">
        <f>+V509+AA509</f>
        <v>2314878</v>
      </c>
      <c r="AC509" s="805">
        <f>Y509-AB509</f>
        <v>9868695</v>
      </c>
      <c r="AD509" s="793">
        <f t="shared" si="367"/>
        <v>9868695</v>
      </c>
      <c r="AE509" s="793">
        <f t="shared" si="368"/>
        <v>12183573</v>
      </c>
      <c r="AF509" s="793">
        <f t="shared" si="369"/>
        <v>365</v>
      </c>
      <c r="AG509" s="793">
        <f t="shared" si="370"/>
        <v>771626</v>
      </c>
      <c r="AH509" s="805">
        <f t="shared" si="371"/>
        <v>3086504</v>
      </c>
      <c r="AI509" s="805">
        <f t="shared" si="372"/>
        <v>9097069</v>
      </c>
      <c r="AJ509" s="793">
        <f t="shared" si="373"/>
        <v>9097069</v>
      </c>
      <c r="AK509" s="793">
        <f t="shared" si="374"/>
        <v>12183573</v>
      </c>
      <c r="AL509" s="793">
        <f t="shared" si="375"/>
        <v>365</v>
      </c>
      <c r="AM509" s="793">
        <f t="shared" si="376"/>
        <v>771626</v>
      </c>
      <c r="AN509" s="805">
        <f t="shared" si="377"/>
        <v>3858130</v>
      </c>
      <c r="AO509" s="805">
        <f t="shared" si="378"/>
        <v>8325443</v>
      </c>
      <c r="AP509" s="793">
        <f t="shared" si="379"/>
        <v>8325443</v>
      </c>
      <c r="AQ509" s="793">
        <f t="shared" si="380"/>
        <v>12183573</v>
      </c>
      <c r="AR509" s="793">
        <f t="shared" si="381"/>
        <v>366</v>
      </c>
      <c r="AS509" s="793">
        <f t="shared" si="382"/>
        <v>773740</v>
      </c>
      <c r="AT509" s="793">
        <f t="shared" si="383"/>
        <v>4631870</v>
      </c>
      <c r="AU509" s="793">
        <f t="shared" si="384"/>
        <v>7551703</v>
      </c>
      <c r="AV509" s="793">
        <f t="shared" si="385"/>
        <v>7551703</v>
      </c>
      <c r="AW509" s="793">
        <f t="shared" si="386"/>
        <v>12183573</v>
      </c>
      <c r="AX509" s="793">
        <f t="shared" si="387"/>
        <v>365</v>
      </c>
      <c r="AY509" s="793">
        <f t="shared" si="388"/>
        <v>771626</v>
      </c>
      <c r="AZ509" s="793">
        <f t="shared" si="389"/>
        <v>5403496</v>
      </c>
      <c r="BA509" s="793">
        <f t="shared" si="390"/>
        <v>6780077</v>
      </c>
    </row>
    <row r="510" spans="1:53" x14ac:dyDescent="0.25">
      <c r="A510" s="842" t="s">
        <v>1317</v>
      </c>
      <c r="B510" s="943" t="s">
        <v>1358</v>
      </c>
      <c r="C510" s="778">
        <f t="shared" si="346"/>
        <v>6.3333333333333325E-2</v>
      </c>
      <c r="D510" s="844">
        <v>15</v>
      </c>
      <c r="E510" s="779" t="s">
        <v>1182</v>
      </c>
      <c r="F510" s="877">
        <v>43373</v>
      </c>
      <c r="G510" s="877">
        <v>43374</v>
      </c>
      <c r="H510" s="781">
        <f t="shared" si="348"/>
        <v>48849</v>
      </c>
      <c r="I510" s="1434">
        <f>20130226</f>
        <v>20130226</v>
      </c>
      <c r="J510" s="805">
        <f t="shared" si="349"/>
        <v>1006511.3</v>
      </c>
      <c r="K510" s="793"/>
      <c r="L510" s="793">
        <v>0</v>
      </c>
      <c r="M510" s="793">
        <f>I510</f>
        <v>20130226</v>
      </c>
      <c r="N510" s="793">
        <f>IF(AND(F510&gt;$K$3,F510&lt;$L$3),$L$3-F510+1,IF(H510&lt;=$K$3,0,IF(H510&gt;$L$3,$L$3-$K$3,H510-$K$3)))</f>
        <v>183</v>
      </c>
      <c r="O510" s="793">
        <f>ROUND(M510*C510*N510/365,0)</f>
        <v>639204</v>
      </c>
      <c r="P510" s="793">
        <f>O510</f>
        <v>639204</v>
      </c>
      <c r="Q510" s="793">
        <f>+M510-P510</f>
        <v>19491022</v>
      </c>
      <c r="R510" s="793">
        <f>+Q510</f>
        <v>19491022</v>
      </c>
      <c r="S510" s="793">
        <f>I510</f>
        <v>20130226</v>
      </c>
      <c r="T510" s="805">
        <f>IF(AND(F510&gt;$L$3,F510&lt;$R$3),$R$3-F510+1,IF(H510&lt;=$L$3,0,IF(H510&gt;$R$3,$R$3-$L$3,H510-$L$3)))</f>
        <v>366</v>
      </c>
      <c r="U510" s="805">
        <f>ROUND(S510*C510*T510/366,0)</f>
        <v>1274914</v>
      </c>
      <c r="V510" s="793">
        <f>+P510+U510</f>
        <v>1914118</v>
      </c>
      <c r="W510" s="793">
        <f>+S510-V510</f>
        <v>18216108</v>
      </c>
      <c r="X510" s="793">
        <f>W510</f>
        <v>18216108</v>
      </c>
      <c r="Y510" s="805">
        <f>I510</f>
        <v>20130226</v>
      </c>
      <c r="Z510" s="805">
        <f>IF(AND(F510&gt;$R$3,F510&lt;$X$3),$X$3-F510+1,IF(H510&lt;=$R$3,0,IF(H510&gt;$X$3,$X$3-$R$3,H510-$R$3)))</f>
        <v>365</v>
      </c>
      <c r="AA510" s="805">
        <f>ROUND(Y510*C510*Z510/365,0)</f>
        <v>1274914</v>
      </c>
      <c r="AB510" s="805">
        <f>+V510+AA510</f>
        <v>3189032</v>
      </c>
      <c r="AC510" s="805">
        <f>Y510-AB510</f>
        <v>16941194</v>
      </c>
      <c r="AD510" s="793">
        <f t="shared" si="367"/>
        <v>16941194</v>
      </c>
      <c r="AE510" s="793">
        <f t="shared" si="368"/>
        <v>20130226</v>
      </c>
      <c r="AF510" s="793">
        <f t="shared" si="369"/>
        <v>365</v>
      </c>
      <c r="AG510" s="793">
        <f t="shared" si="370"/>
        <v>1274914</v>
      </c>
      <c r="AH510" s="805">
        <f t="shared" si="371"/>
        <v>4463946</v>
      </c>
      <c r="AI510" s="805">
        <f t="shared" si="372"/>
        <v>15666280</v>
      </c>
      <c r="AJ510" s="793">
        <f t="shared" si="373"/>
        <v>15666280</v>
      </c>
      <c r="AK510" s="793">
        <f t="shared" si="374"/>
        <v>20130226</v>
      </c>
      <c r="AL510" s="793">
        <f t="shared" si="375"/>
        <v>365</v>
      </c>
      <c r="AM510" s="793">
        <f t="shared" si="376"/>
        <v>1274914</v>
      </c>
      <c r="AN510" s="805">
        <f t="shared" si="377"/>
        <v>5738860</v>
      </c>
      <c r="AO510" s="805">
        <f t="shared" si="378"/>
        <v>14391366</v>
      </c>
      <c r="AP510" s="793">
        <f t="shared" si="379"/>
        <v>14391366</v>
      </c>
      <c r="AQ510" s="793">
        <f t="shared" si="380"/>
        <v>20130226</v>
      </c>
      <c r="AR510" s="793">
        <f t="shared" si="381"/>
        <v>366</v>
      </c>
      <c r="AS510" s="793">
        <f t="shared" si="382"/>
        <v>1278407</v>
      </c>
      <c r="AT510" s="793">
        <f t="shared" si="383"/>
        <v>7017267</v>
      </c>
      <c r="AU510" s="793">
        <f t="shared" si="384"/>
        <v>13112959</v>
      </c>
      <c r="AV510" s="793">
        <f t="shared" si="385"/>
        <v>13112959</v>
      </c>
      <c r="AW510" s="793">
        <f t="shared" si="386"/>
        <v>20130226</v>
      </c>
      <c r="AX510" s="793">
        <f t="shared" si="387"/>
        <v>365</v>
      </c>
      <c r="AY510" s="793">
        <f t="shared" si="388"/>
        <v>1274914</v>
      </c>
      <c r="AZ510" s="793">
        <f t="shared" si="389"/>
        <v>8292181</v>
      </c>
      <c r="BA510" s="793">
        <f t="shared" si="390"/>
        <v>11838045</v>
      </c>
    </row>
    <row r="511" spans="1:53" x14ac:dyDescent="0.25">
      <c r="A511" s="842" t="s">
        <v>1317</v>
      </c>
      <c r="B511" s="852" t="s">
        <v>1359</v>
      </c>
      <c r="C511" s="778">
        <f t="shared" si="346"/>
        <v>6.3333333333333325E-2</v>
      </c>
      <c r="D511" s="844">
        <v>15</v>
      </c>
      <c r="E511" s="844" t="s">
        <v>677</v>
      </c>
      <c r="F511" s="853">
        <v>44728</v>
      </c>
      <c r="G511" s="781">
        <f t="shared" ref="G511:G523" si="391">F511</f>
        <v>44728</v>
      </c>
      <c r="H511" s="781">
        <f t="shared" si="348"/>
        <v>50203</v>
      </c>
      <c r="I511" s="1421">
        <v>53964.480000000003</v>
      </c>
      <c r="J511" s="805">
        <f t="shared" si="349"/>
        <v>2698.2240000000002</v>
      </c>
      <c r="K511" s="793"/>
      <c r="L511" s="793">
        <v>0</v>
      </c>
      <c r="M511" s="793">
        <v>0</v>
      </c>
      <c r="N511" s="793">
        <v>0</v>
      </c>
      <c r="O511" s="793">
        <v>0</v>
      </c>
      <c r="P511" s="793">
        <v>0</v>
      </c>
      <c r="Q511" s="793">
        <v>0</v>
      </c>
      <c r="R511" s="793">
        <v>0</v>
      </c>
      <c r="S511" s="793">
        <v>0</v>
      </c>
      <c r="T511" s="793">
        <v>0</v>
      </c>
      <c r="U511" s="793">
        <v>0</v>
      </c>
      <c r="V511" s="793">
        <v>0</v>
      </c>
      <c r="W511" s="793">
        <v>0</v>
      </c>
      <c r="X511" s="793">
        <v>0</v>
      </c>
      <c r="Y511" s="793">
        <v>0</v>
      </c>
      <c r="Z511" s="793">
        <v>0</v>
      </c>
      <c r="AA511" s="793">
        <v>0</v>
      </c>
      <c r="AB511" s="793">
        <v>0</v>
      </c>
      <c r="AC511" s="793">
        <v>0</v>
      </c>
      <c r="AD511" s="793">
        <v>0</v>
      </c>
      <c r="AE511" s="793">
        <v>0</v>
      </c>
      <c r="AF511" s="793">
        <v>0</v>
      </c>
      <c r="AG511" s="793">
        <v>0</v>
      </c>
      <c r="AH511" s="793">
        <v>0</v>
      </c>
      <c r="AI511" s="793">
        <v>0</v>
      </c>
      <c r="AJ511" s="793">
        <f t="shared" si="373"/>
        <v>0</v>
      </c>
      <c r="AK511" s="793">
        <f t="shared" si="374"/>
        <v>53964.480000000003</v>
      </c>
      <c r="AL511" s="793">
        <f t="shared" si="375"/>
        <v>289</v>
      </c>
      <c r="AM511" s="793">
        <f t="shared" si="376"/>
        <v>2706</v>
      </c>
      <c r="AN511" s="805">
        <f t="shared" si="377"/>
        <v>2706</v>
      </c>
      <c r="AO511" s="805">
        <f t="shared" si="378"/>
        <v>51258.48</v>
      </c>
      <c r="AP511" s="793">
        <f t="shared" si="379"/>
        <v>51258.48</v>
      </c>
      <c r="AQ511" s="793">
        <f t="shared" si="380"/>
        <v>53964.480000000003</v>
      </c>
      <c r="AR511" s="793">
        <f t="shared" si="381"/>
        <v>366</v>
      </c>
      <c r="AS511" s="793">
        <f t="shared" si="382"/>
        <v>3427</v>
      </c>
      <c r="AT511" s="793">
        <f t="shared" si="383"/>
        <v>6133</v>
      </c>
      <c r="AU511" s="793">
        <f t="shared" si="384"/>
        <v>47831.48</v>
      </c>
      <c r="AV511" s="793">
        <f t="shared" si="385"/>
        <v>47831.48</v>
      </c>
      <c r="AW511" s="793">
        <f t="shared" si="386"/>
        <v>53964.480000000003</v>
      </c>
      <c r="AX511" s="793">
        <f t="shared" si="387"/>
        <v>365</v>
      </c>
      <c r="AY511" s="793">
        <f t="shared" si="388"/>
        <v>3418</v>
      </c>
      <c r="AZ511" s="793">
        <f t="shared" si="389"/>
        <v>9551</v>
      </c>
      <c r="BA511" s="793">
        <f t="shared" si="390"/>
        <v>44413.48</v>
      </c>
    </row>
    <row r="512" spans="1:53" x14ac:dyDescent="0.25">
      <c r="A512" s="842" t="s">
        <v>1317</v>
      </c>
      <c r="B512" s="852" t="s">
        <v>1360</v>
      </c>
      <c r="C512" s="778">
        <f t="shared" si="346"/>
        <v>6.3333333333333325E-2</v>
      </c>
      <c r="D512" s="844">
        <v>15</v>
      </c>
      <c r="E512" s="844" t="s">
        <v>677</v>
      </c>
      <c r="F512" s="853">
        <v>44663</v>
      </c>
      <c r="G512" s="781">
        <f t="shared" si="391"/>
        <v>44663</v>
      </c>
      <c r="H512" s="781">
        <f t="shared" si="348"/>
        <v>50138</v>
      </c>
      <c r="I512" s="1421">
        <v>16000</v>
      </c>
      <c r="J512" s="805">
        <f t="shared" si="349"/>
        <v>800</v>
      </c>
      <c r="K512" s="793"/>
      <c r="L512" s="793">
        <v>0</v>
      </c>
      <c r="M512" s="793">
        <v>0</v>
      </c>
      <c r="N512" s="793">
        <v>0</v>
      </c>
      <c r="O512" s="793">
        <v>0</v>
      </c>
      <c r="P512" s="793">
        <v>0</v>
      </c>
      <c r="Q512" s="793">
        <v>0</v>
      </c>
      <c r="R512" s="793">
        <v>0</v>
      </c>
      <c r="S512" s="793">
        <v>0</v>
      </c>
      <c r="T512" s="793">
        <v>0</v>
      </c>
      <c r="U512" s="793">
        <v>0</v>
      </c>
      <c r="V512" s="793">
        <v>0</v>
      </c>
      <c r="W512" s="793">
        <v>0</v>
      </c>
      <c r="X512" s="793">
        <v>0</v>
      </c>
      <c r="Y512" s="793">
        <v>0</v>
      </c>
      <c r="Z512" s="793">
        <v>0</v>
      </c>
      <c r="AA512" s="793">
        <v>0</v>
      </c>
      <c r="AB512" s="793">
        <v>0</v>
      </c>
      <c r="AC512" s="793">
        <v>0</v>
      </c>
      <c r="AD512" s="793">
        <v>0</v>
      </c>
      <c r="AE512" s="793">
        <v>0</v>
      </c>
      <c r="AF512" s="793">
        <v>0</v>
      </c>
      <c r="AG512" s="793">
        <v>0</v>
      </c>
      <c r="AH512" s="793">
        <v>0</v>
      </c>
      <c r="AI512" s="793">
        <v>0</v>
      </c>
      <c r="AJ512" s="793">
        <f t="shared" si="373"/>
        <v>0</v>
      </c>
      <c r="AK512" s="793">
        <f t="shared" si="374"/>
        <v>16000</v>
      </c>
      <c r="AL512" s="793">
        <f t="shared" si="375"/>
        <v>354</v>
      </c>
      <c r="AM512" s="793">
        <f t="shared" si="376"/>
        <v>983</v>
      </c>
      <c r="AN512" s="805">
        <f t="shared" si="377"/>
        <v>983</v>
      </c>
      <c r="AO512" s="805">
        <f t="shared" si="378"/>
        <v>15017</v>
      </c>
      <c r="AP512" s="793">
        <f t="shared" si="379"/>
        <v>15017</v>
      </c>
      <c r="AQ512" s="793">
        <f t="shared" si="380"/>
        <v>16000</v>
      </c>
      <c r="AR512" s="793">
        <f t="shared" si="381"/>
        <v>366</v>
      </c>
      <c r="AS512" s="793">
        <f t="shared" si="382"/>
        <v>1016</v>
      </c>
      <c r="AT512" s="793">
        <f t="shared" si="383"/>
        <v>1999</v>
      </c>
      <c r="AU512" s="793">
        <f t="shared" si="384"/>
        <v>14001</v>
      </c>
      <c r="AV512" s="793">
        <f t="shared" si="385"/>
        <v>14001</v>
      </c>
      <c r="AW512" s="793">
        <f t="shared" si="386"/>
        <v>16000</v>
      </c>
      <c r="AX512" s="793">
        <f t="shared" si="387"/>
        <v>365</v>
      </c>
      <c r="AY512" s="793">
        <f t="shared" si="388"/>
        <v>1013</v>
      </c>
      <c r="AZ512" s="793">
        <f t="shared" si="389"/>
        <v>3012</v>
      </c>
      <c r="BA512" s="793">
        <f t="shared" si="390"/>
        <v>12988</v>
      </c>
    </row>
    <row r="513" spans="1:53" x14ac:dyDescent="0.25">
      <c r="A513" s="842" t="s">
        <v>1317</v>
      </c>
      <c r="B513" s="852" t="s">
        <v>1361</v>
      </c>
      <c r="C513" s="778">
        <f t="shared" si="346"/>
        <v>6.3333333333333325E-2</v>
      </c>
      <c r="D513" s="844">
        <v>15</v>
      </c>
      <c r="E513" s="844" t="s">
        <v>677</v>
      </c>
      <c r="F513" s="853">
        <v>44697</v>
      </c>
      <c r="G513" s="781">
        <f t="shared" si="391"/>
        <v>44697</v>
      </c>
      <c r="H513" s="781">
        <f t="shared" si="348"/>
        <v>50172</v>
      </c>
      <c r="I513" s="1421">
        <v>800000</v>
      </c>
      <c r="J513" s="805">
        <f t="shared" si="349"/>
        <v>40000</v>
      </c>
      <c r="K513" s="793"/>
      <c r="L513" s="793">
        <v>0</v>
      </c>
      <c r="M513" s="793">
        <v>0</v>
      </c>
      <c r="N513" s="793">
        <v>0</v>
      </c>
      <c r="O513" s="793">
        <v>0</v>
      </c>
      <c r="P513" s="793">
        <v>0</v>
      </c>
      <c r="Q513" s="793">
        <v>0</v>
      </c>
      <c r="R513" s="793">
        <v>0</v>
      </c>
      <c r="S513" s="793">
        <v>0</v>
      </c>
      <c r="T513" s="793">
        <v>0</v>
      </c>
      <c r="U513" s="793">
        <v>0</v>
      </c>
      <c r="V513" s="793">
        <v>0</v>
      </c>
      <c r="W513" s="793">
        <v>0</v>
      </c>
      <c r="X513" s="793">
        <v>0</v>
      </c>
      <c r="Y513" s="793">
        <v>0</v>
      </c>
      <c r="Z513" s="793">
        <v>0</v>
      </c>
      <c r="AA513" s="793">
        <v>0</v>
      </c>
      <c r="AB513" s="793">
        <v>0</v>
      </c>
      <c r="AC513" s="793">
        <v>0</v>
      </c>
      <c r="AD513" s="793">
        <v>0</v>
      </c>
      <c r="AE513" s="793">
        <v>0</v>
      </c>
      <c r="AF513" s="793">
        <v>0</v>
      </c>
      <c r="AG513" s="793">
        <v>0</v>
      </c>
      <c r="AH513" s="793">
        <v>0</v>
      </c>
      <c r="AI513" s="793">
        <v>0</v>
      </c>
      <c r="AJ513" s="793">
        <f t="shared" si="373"/>
        <v>0</v>
      </c>
      <c r="AK513" s="793">
        <f t="shared" si="374"/>
        <v>800000</v>
      </c>
      <c r="AL513" s="793">
        <f t="shared" si="375"/>
        <v>320</v>
      </c>
      <c r="AM513" s="793">
        <f t="shared" si="376"/>
        <v>44420</v>
      </c>
      <c r="AN513" s="805">
        <f t="shared" si="377"/>
        <v>44420</v>
      </c>
      <c r="AO513" s="805">
        <f t="shared" si="378"/>
        <v>755580</v>
      </c>
      <c r="AP513" s="793">
        <f t="shared" si="379"/>
        <v>755580</v>
      </c>
      <c r="AQ513" s="793">
        <f t="shared" si="380"/>
        <v>800000</v>
      </c>
      <c r="AR513" s="793">
        <f t="shared" si="381"/>
        <v>366</v>
      </c>
      <c r="AS513" s="793">
        <f t="shared" si="382"/>
        <v>50805</v>
      </c>
      <c r="AT513" s="793">
        <f t="shared" si="383"/>
        <v>95225</v>
      </c>
      <c r="AU513" s="793">
        <f t="shared" si="384"/>
        <v>704775</v>
      </c>
      <c r="AV513" s="793">
        <f t="shared" si="385"/>
        <v>704775</v>
      </c>
      <c r="AW513" s="793">
        <f t="shared" si="386"/>
        <v>800000</v>
      </c>
      <c r="AX513" s="793">
        <f t="shared" si="387"/>
        <v>365</v>
      </c>
      <c r="AY513" s="793">
        <f t="shared" si="388"/>
        <v>50667</v>
      </c>
      <c r="AZ513" s="793">
        <f t="shared" si="389"/>
        <v>145892</v>
      </c>
      <c r="BA513" s="793">
        <f t="shared" si="390"/>
        <v>654108</v>
      </c>
    </row>
    <row r="514" spans="1:53" x14ac:dyDescent="0.25">
      <c r="A514" s="842" t="s">
        <v>1317</v>
      </c>
      <c r="B514" s="852" t="s">
        <v>1361</v>
      </c>
      <c r="C514" s="778">
        <f t="shared" si="346"/>
        <v>6.3333333333333325E-2</v>
      </c>
      <c r="D514" s="844">
        <v>15</v>
      </c>
      <c r="E514" s="844" t="s">
        <v>677</v>
      </c>
      <c r="F514" s="853">
        <v>44827</v>
      </c>
      <c r="G514" s="781">
        <f t="shared" si="391"/>
        <v>44827</v>
      </c>
      <c r="H514" s="781">
        <f t="shared" si="348"/>
        <v>50302</v>
      </c>
      <c r="I514" s="1421">
        <v>8759.3799999999992</v>
      </c>
      <c r="J514" s="805">
        <f t="shared" si="349"/>
        <v>437.96899999999999</v>
      </c>
      <c r="K514" s="793"/>
      <c r="L514" s="793">
        <v>0</v>
      </c>
      <c r="M514" s="793">
        <v>0</v>
      </c>
      <c r="N514" s="793">
        <v>0</v>
      </c>
      <c r="O514" s="793">
        <v>0</v>
      </c>
      <c r="P514" s="793">
        <v>0</v>
      </c>
      <c r="Q514" s="793">
        <v>0</v>
      </c>
      <c r="R514" s="793">
        <v>0</v>
      </c>
      <c r="S514" s="793">
        <v>0</v>
      </c>
      <c r="T514" s="793">
        <v>0</v>
      </c>
      <c r="U514" s="793">
        <v>0</v>
      </c>
      <c r="V514" s="793">
        <v>0</v>
      </c>
      <c r="W514" s="793">
        <v>0</v>
      </c>
      <c r="X514" s="793">
        <v>0</v>
      </c>
      <c r="Y514" s="793">
        <v>0</v>
      </c>
      <c r="Z514" s="793">
        <v>0</v>
      </c>
      <c r="AA514" s="793">
        <v>0</v>
      </c>
      <c r="AB514" s="793">
        <v>0</v>
      </c>
      <c r="AC514" s="793">
        <v>0</v>
      </c>
      <c r="AD514" s="793">
        <v>0</v>
      </c>
      <c r="AE514" s="793">
        <v>0</v>
      </c>
      <c r="AF514" s="793">
        <v>0</v>
      </c>
      <c r="AG514" s="793">
        <v>0</v>
      </c>
      <c r="AH514" s="793">
        <v>0</v>
      </c>
      <c r="AI514" s="793">
        <v>0</v>
      </c>
      <c r="AJ514" s="793">
        <f t="shared" si="373"/>
        <v>0</v>
      </c>
      <c r="AK514" s="793">
        <f t="shared" si="374"/>
        <v>8759.3799999999992</v>
      </c>
      <c r="AL514" s="793">
        <f t="shared" si="375"/>
        <v>190</v>
      </c>
      <c r="AM514" s="793">
        <f t="shared" si="376"/>
        <v>289</v>
      </c>
      <c r="AN514" s="805">
        <f t="shared" si="377"/>
        <v>289</v>
      </c>
      <c r="AO514" s="805">
        <f t="shared" si="378"/>
        <v>8470.3799999999992</v>
      </c>
      <c r="AP514" s="793">
        <f t="shared" si="379"/>
        <v>8470.3799999999992</v>
      </c>
      <c r="AQ514" s="793">
        <f t="shared" si="380"/>
        <v>8759.3799999999992</v>
      </c>
      <c r="AR514" s="793">
        <f t="shared" si="381"/>
        <v>366</v>
      </c>
      <c r="AS514" s="793">
        <f t="shared" si="382"/>
        <v>556</v>
      </c>
      <c r="AT514" s="793">
        <f t="shared" si="383"/>
        <v>845</v>
      </c>
      <c r="AU514" s="793">
        <f t="shared" si="384"/>
        <v>7914.3799999999992</v>
      </c>
      <c r="AV514" s="793">
        <f t="shared" si="385"/>
        <v>7914.3799999999992</v>
      </c>
      <c r="AW514" s="793">
        <f t="shared" si="386"/>
        <v>8759.3799999999992</v>
      </c>
      <c r="AX514" s="793">
        <f t="shared" si="387"/>
        <v>365</v>
      </c>
      <c r="AY514" s="793">
        <f t="shared" si="388"/>
        <v>555</v>
      </c>
      <c r="AZ514" s="793">
        <f t="shared" si="389"/>
        <v>1400</v>
      </c>
      <c r="BA514" s="793">
        <f t="shared" si="390"/>
        <v>7359.3799999999992</v>
      </c>
    </row>
    <row r="515" spans="1:53" x14ac:dyDescent="0.25">
      <c r="A515" s="842" t="s">
        <v>1317</v>
      </c>
      <c r="B515" s="852" t="s">
        <v>1361</v>
      </c>
      <c r="C515" s="778">
        <f t="shared" si="346"/>
        <v>6.3333333333333325E-2</v>
      </c>
      <c r="D515" s="844">
        <v>15</v>
      </c>
      <c r="E515" s="844" t="s">
        <v>677</v>
      </c>
      <c r="F515" s="853">
        <v>44832</v>
      </c>
      <c r="G515" s="781">
        <f t="shared" si="391"/>
        <v>44832</v>
      </c>
      <c r="H515" s="781">
        <f t="shared" si="348"/>
        <v>50307</v>
      </c>
      <c r="I515" s="1421">
        <v>125000</v>
      </c>
      <c r="J515" s="805">
        <f t="shared" si="349"/>
        <v>6250</v>
      </c>
      <c r="K515" s="793"/>
      <c r="L515" s="793">
        <v>0</v>
      </c>
      <c r="M515" s="793">
        <v>0</v>
      </c>
      <c r="N515" s="793">
        <v>0</v>
      </c>
      <c r="O515" s="793">
        <v>0</v>
      </c>
      <c r="P515" s="793">
        <v>0</v>
      </c>
      <c r="Q515" s="793">
        <v>0</v>
      </c>
      <c r="R515" s="793">
        <v>0</v>
      </c>
      <c r="S515" s="793">
        <v>0</v>
      </c>
      <c r="T515" s="793">
        <v>0</v>
      </c>
      <c r="U515" s="793">
        <v>0</v>
      </c>
      <c r="V515" s="793">
        <v>0</v>
      </c>
      <c r="W515" s="793">
        <v>0</v>
      </c>
      <c r="X515" s="793">
        <v>0</v>
      </c>
      <c r="Y515" s="793">
        <v>0</v>
      </c>
      <c r="Z515" s="793">
        <v>0</v>
      </c>
      <c r="AA515" s="793">
        <v>0</v>
      </c>
      <c r="AB515" s="793">
        <v>0</v>
      </c>
      <c r="AC515" s="793">
        <v>0</v>
      </c>
      <c r="AD515" s="793">
        <v>0</v>
      </c>
      <c r="AE515" s="793">
        <v>0</v>
      </c>
      <c r="AF515" s="793">
        <v>0</v>
      </c>
      <c r="AG515" s="793">
        <v>0</v>
      </c>
      <c r="AH515" s="793">
        <v>0</v>
      </c>
      <c r="AI515" s="793">
        <v>0</v>
      </c>
      <c r="AJ515" s="793">
        <f t="shared" si="373"/>
        <v>0</v>
      </c>
      <c r="AK515" s="793">
        <f t="shared" si="374"/>
        <v>125000</v>
      </c>
      <c r="AL515" s="793">
        <f t="shared" si="375"/>
        <v>185</v>
      </c>
      <c r="AM515" s="793">
        <f t="shared" si="376"/>
        <v>4013</v>
      </c>
      <c r="AN515" s="805">
        <f t="shared" si="377"/>
        <v>4013</v>
      </c>
      <c r="AO515" s="805">
        <f t="shared" si="378"/>
        <v>120987</v>
      </c>
      <c r="AP515" s="793">
        <f t="shared" si="379"/>
        <v>120987</v>
      </c>
      <c r="AQ515" s="793">
        <f t="shared" si="380"/>
        <v>125000</v>
      </c>
      <c r="AR515" s="793">
        <f t="shared" si="381"/>
        <v>366</v>
      </c>
      <c r="AS515" s="793">
        <f t="shared" si="382"/>
        <v>7938</v>
      </c>
      <c r="AT515" s="793">
        <f t="shared" si="383"/>
        <v>11951</v>
      </c>
      <c r="AU515" s="793">
        <f t="shared" si="384"/>
        <v>113049</v>
      </c>
      <c r="AV515" s="793">
        <f t="shared" si="385"/>
        <v>113049</v>
      </c>
      <c r="AW515" s="793">
        <f t="shared" si="386"/>
        <v>125000</v>
      </c>
      <c r="AX515" s="793">
        <f t="shared" si="387"/>
        <v>365</v>
      </c>
      <c r="AY515" s="793">
        <f t="shared" si="388"/>
        <v>7917</v>
      </c>
      <c r="AZ515" s="793">
        <f t="shared" si="389"/>
        <v>19868</v>
      </c>
      <c r="BA515" s="793">
        <f t="shared" si="390"/>
        <v>105132</v>
      </c>
    </row>
    <row r="516" spans="1:53" x14ac:dyDescent="0.25">
      <c r="A516" s="842" t="s">
        <v>1317</v>
      </c>
      <c r="B516" s="852" t="s">
        <v>1361</v>
      </c>
      <c r="C516" s="778">
        <f t="shared" si="346"/>
        <v>6.3333333333333325E-2</v>
      </c>
      <c r="D516" s="844">
        <v>15</v>
      </c>
      <c r="E516" s="844" t="s">
        <v>677</v>
      </c>
      <c r="F516" s="853">
        <v>44886</v>
      </c>
      <c r="G516" s="781">
        <f t="shared" si="391"/>
        <v>44886</v>
      </c>
      <c r="H516" s="781">
        <f t="shared" si="348"/>
        <v>50361</v>
      </c>
      <c r="I516" s="1421">
        <v>12900</v>
      </c>
      <c r="J516" s="805">
        <f t="shared" si="349"/>
        <v>645</v>
      </c>
      <c r="K516" s="793"/>
      <c r="L516" s="793">
        <v>0</v>
      </c>
      <c r="M516" s="793">
        <v>0</v>
      </c>
      <c r="N516" s="793">
        <v>0</v>
      </c>
      <c r="O516" s="793">
        <v>0</v>
      </c>
      <c r="P516" s="793">
        <v>0</v>
      </c>
      <c r="Q516" s="793">
        <v>0</v>
      </c>
      <c r="R516" s="793">
        <v>0</v>
      </c>
      <c r="S516" s="793">
        <v>0</v>
      </c>
      <c r="T516" s="793">
        <v>0</v>
      </c>
      <c r="U516" s="793">
        <v>0</v>
      </c>
      <c r="V516" s="793">
        <v>0</v>
      </c>
      <c r="W516" s="793">
        <v>0</v>
      </c>
      <c r="X516" s="793">
        <v>0</v>
      </c>
      <c r="Y516" s="793">
        <v>0</v>
      </c>
      <c r="Z516" s="793">
        <v>0</v>
      </c>
      <c r="AA516" s="793">
        <v>0</v>
      </c>
      <c r="AB516" s="793">
        <v>0</v>
      </c>
      <c r="AC516" s="793">
        <v>0</v>
      </c>
      <c r="AD516" s="793">
        <v>0</v>
      </c>
      <c r="AE516" s="793">
        <v>0</v>
      </c>
      <c r="AF516" s="793">
        <v>0</v>
      </c>
      <c r="AG516" s="793">
        <v>0</v>
      </c>
      <c r="AH516" s="793">
        <v>0</v>
      </c>
      <c r="AI516" s="793">
        <v>0</v>
      </c>
      <c r="AJ516" s="793">
        <f t="shared" si="373"/>
        <v>0</v>
      </c>
      <c r="AK516" s="793">
        <f t="shared" si="374"/>
        <v>12900</v>
      </c>
      <c r="AL516" s="793">
        <f t="shared" si="375"/>
        <v>131</v>
      </c>
      <c r="AM516" s="793">
        <f t="shared" si="376"/>
        <v>293</v>
      </c>
      <c r="AN516" s="805">
        <f t="shared" si="377"/>
        <v>293</v>
      </c>
      <c r="AO516" s="805">
        <f t="shared" si="378"/>
        <v>12607</v>
      </c>
      <c r="AP516" s="793">
        <f t="shared" si="379"/>
        <v>12607</v>
      </c>
      <c r="AQ516" s="793">
        <f t="shared" si="380"/>
        <v>12900</v>
      </c>
      <c r="AR516" s="793">
        <f t="shared" si="381"/>
        <v>366</v>
      </c>
      <c r="AS516" s="793">
        <f t="shared" si="382"/>
        <v>819</v>
      </c>
      <c r="AT516" s="793">
        <f t="shared" si="383"/>
        <v>1112</v>
      </c>
      <c r="AU516" s="793">
        <f t="shared" si="384"/>
        <v>11788</v>
      </c>
      <c r="AV516" s="793">
        <f t="shared" si="385"/>
        <v>11788</v>
      </c>
      <c r="AW516" s="793">
        <f t="shared" si="386"/>
        <v>12900</v>
      </c>
      <c r="AX516" s="793">
        <f t="shared" si="387"/>
        <v>365</v>
      </c>
      <c r="AY516" s="793">
        <f t="shared" si="388"/>
        <v>817</v>
      </c>
      <c r="AZ516" s="793">
        <f t="shared" si="389"/>
        <v>1929</v>
      </c>
      <c r="BA516" s="793">
        <f t="shared" si="390"/>
        <v>10971</v>
      </c>
    </row>
    <row r="517" spans="1:53" x14ac:dyDescent="0.25">
      <c r="A517" s="842" t="s">
        <v>1317</v>
      </c>
      <c r="B517" s="852" t="s">
        <v>1361</v>
      </c>
      <c r="C517" s="778">
        <f t="shared" ref="C517:C523" si="392">(95/D517)/100</f>
        <v>6.3333333333333325E-2</v>
      </c>
      <c r="D517" s="844">
        <v>15</v>
      </c>
      <c r="E517" s="844" t="s">
        <v>677</v>
      </c>
      <c r="F517" s="853">
        <v>44887</v>
      </c>
      <c r="G517" s="781">
        <f t="shared" si="391"/>
        <v>44887</v>
      </c>
      <c r="H517" s="781">
        <f t="shared" ref="H517:H523" si="393">G517+(365*D517)</f>
        <v>50362</v>
      </c>
      <c r="I517" s="1421">
        <v>2500</v>
      </c>
      <c r="J517" s="805">
        <f t="shared" ref="J517:J523" si="394">I517*5%</f>
        <v>125</v>
      </c>
      <c r="K517" s="793"/>
      <c r="L517" s="793">
        <v>0</v>
      </c>
      <c r="M517" s="793">
        <v>0</v>
      </c>
      <c r="N517" s="793">
        <v>0</v>
      </c>
      <c r="O517" s="793">
        <v>0</v>
      </c>
      <c r="P517" s="793">
        <v>0</v>
      </c>
      <c r="Q517" s="793">
        <v>0</v>
      </c>
      <c r="R517" s="793">
        <v>0</v>
      </c>
      <c r="S517" s="793">
        <v>0</v>
      </c>
      <c r="T517" s="793">
        <v>0</v>
      </c>
      <c r="U517" s="793">
        <v>0</v>
      </c>
      <c r="V517" s="793">
        <v>0</v>
      </c>
      <c r="W517" s="793">
        <v>0</v>
      </c>
      <c r="X517" s="793">
        <v>0</v>
      </c>
      <c r="Y517" s="793">
        <v>0</v>
      </c>
      <c r="Z517" s="793">
        <v>0</v>
      </c>
      <c r="AA517" s="793">
        <v>0</v>
      </c>
      <c r="AB517" s="793">
        <v>0</v>
      </c>
      <c r="AC517" s="793">
        <v>0</v>
      </c>
      <c r="AD517" s="793">
        <v>0</v>
      </c>
      <c r="AE517" s="793">
        <v>0</v>
      </c>
      <c r="AF517" s="793">
        <v>0</v>
      </c>
      <c r="AG517" s="793">
        <v>0</v>
      </c>
      <c r="AH517" s="793">
        <v>0</v>
      </c>
      <c r="AI517" s="793">
        <v>0</v>
      </c>
      <c r="AJ517" s="793">
        <f t="shared" ref="AJ517:AJ523" si="395">AI517</f>
        <v>0</v>
      </c>
      <c r="AK517" s="793">
        <f t="shared" ref="AK517:AK523" si="396">I517</f>
        <v>2500</v>
      </c>
      <c r="AL517" s="793">
        <f t="shared" ref="AL517:AL523" si="397">IF(AND(F517&gt;$AD$3,F517&lt;$AJ$3),$AJ$3-F517+1,IF(H517&lt;=$AD$3,0,IF(H517&gt;$AJ$3,$AJ$3-$AD$3,H517-$AD$3)))</f>
        <v>130</v>
      </c>
      <c r="AM517" s="793">
        <f t="shared" ref="AM517:AM523" si="398">ROUND(AK517*C517*AL517/365,0)</f>
        <v>56</v>
      </c>
      <c r="AN517" s="805">
        <f t="shared" ref="AN517:AN523" si="399">+AH517+AM517</f>
        <v>56</v>
      </c>
      <c r="AO517" s="805">
        <f t="shared" ref="AO517:AO524" si="400">AK517-AN517</f>
        <v>2444</v>
      </c>
      <c r="AP517" s="793">
        <f t="shared" ref="AP517:AP555" si="401">+AO517</f>
        <v>2444</v>
      </c>
      <c r="AQ517" s="793">
        <f t="shared" ref="AQ517:AQ523" si="402">I517</f>
        <v>2500</v>
      </c>
      <c r="AR517" s="793">
        <f t="shared" ref="AR517:AR523" si="403">IF(AND(F517&gt;$AJ$3,F517&lt;$AP$3),$AP$3-F517+1,IF(H517&lt;=$AJ$3,0,IF(H517&gt;$AP$3,$AP$3-$AJ$3,H517-$AJ$3)))</f>
        <v>366</v>
      </c>
      <c r="AS517" s="793">
        <f t="shared" ref="AS517:AS523" si="404">ROUND(AQ517*C517*AR517/365,0)</f>
        <v>159</v>
      </c>
      <c r="AT517" s="793">
        <f t="shared" ref="AT517:AT555" si="405">+AN517+AS517</f>
        <v>215</v>
      </c>
      <c r="AU517" s="793">
        <f t="shared" ref="AU517:AU555" si="406">+AQ517-AT517</f>
        <v>2285</v>
      </c>
      <c r="AV517" s="793">
        <f t="shared" ref="AV517:AV556" si="407">+AU517</f>
        <v>2285</v>
      </c>
      <c r="AW517" s="793">
        <f t="shared" ref="AW517:AW523" si="408">+I517</f>
        <v>2500</v>
      </c>
      <c r="AX517" s="793">
        <f t="shared" ref="AX517:AX523" si="409">IF(AND(F517&gt;$AP$3,F517&lt;$AV$3),$AV$3-F517+1,IF(H517&lt;=$AP$3,0,IF(H517&gt;$AV$3,$AV$3-$AP$3,H517-$AP$3)))</f>
        <v>365</v>
      </c>
      <c r="AY517" s="793">
        <f t="shared" ref="AY517:AY523" si="410">ROUND(AW517*C517*AX517/365,0)</f>
        <v>158</v>
      </c>
      <c r="AZ517" s="793">
        <f t="shared" ref="AZ517:AZ556" si="411">+AT517+AY517</f>
        <v>373</v>
      </c>
      <c r="BA517" s="793">
        <f t="shared" ref="BA517:BA556" si="412">+AW517-AZ517</f>
        <v>2127</v>
      </c>
    </row>
    <row r="518" spans="1:53" x14ac:dyDescent="0.25">
      <c r="A518" s="842" t="s">
        <v>1317</v>
      </c>
      <c r="B518" s="852" t="s">
        <v>1361</v>
      </c>
      <c r="C518" s="778">
        <f t="shared" si="392"/>
        <v>6.3333333333333325E-2</v>
      </c>
      <c r="D518" s="844">
        <v>15</v>
      </c>
      <c r="E518" s="844" t="s">
        <v>677</v>
      </c>
      <c r="F518" s="853">
        <v>44922</v>
      </c>
      <c r="G518" s="781">
        <f t="shared" si="391"/>
        <v>44922</v>
      </c>
      <c r="H518" s="781">
        <f t="shared" si="393"/>
        <v>50397</v>
      </c>
      <c r="I518" s="1421">
        <v>9151.7800000000007</v>
      </c>
      <c r="J518" s="805">
        <f t="shared" si="394"/>
        <v>457.58900000000006</v>
      </c>
      <c r="K518" s="793"/>
      <c r="L518" s="793">
        <v>0</v>
      </c>
      <c r="M518" s="793">
        <v>0</v>
      </c>
      <c r="N518" s="793">
        <v>0</v>
      </c>
      <c r="O518" s="793">
        <v>0</v>
      </c>
      <c r="P518" s="793">
        <v>0</v>
      </c>
      <c r="Q518" s="793">
        <v>0</v>
      </c>
      <c r="R518" s="793">
        <v>0</v>
      </c>
      <c r="S518" s="793">
        <v>0</v>
      </c>
      <c r="T518" s="793">
        <v>0</v>
      </c>
      <c r="U518" s="793">
        <v>0</v>
      </c>
      <c r="V518" s="793">
        <v>0</v>
      </c>
      <c r="W518" s="793">
        <v>0</v>
      </c>
      <c r="X518" s="793">
        <v>0</v>
      </c>
      <c r="Y518" s="793">
        <v>0</v>
      </c>
      <c r="Z518" s="793">
        <v>0</v>
      </c>
      <c r="AA518" s="793">
        <v>0</v>
      </c>
      <c r="AB518" s="793">
        <v>0</v>
      </c>
      <c r="AC518" s="793">
        <v>0</v>
      </c>
      <c r="AD518" s="793">
        <v>0</v>
      </c>
      <c r="AE518" s="793">
        <v>0</v>
      </c>
      <c r="AF518" s="793">
        <v>0</v>
      </c>
      <c r="AG518" s="793">
        <v>0</v>
      </c>
      <c r="AH518" s="793">
        <v>0</v>
      </c>
      <c r="AI518" s="793">
        <v>0</v>
      </c>
      <c r="AJ518" s="793">
        <f t="shared" si="395"/>
        <v>0</v>
      </c>
      <c r="AK518" s="793">
        <f t="shared" si="396"/>
        <v>9151.7800000000007</v>
      </c>
      <c r="AL518" s="793">
        <f t="shared" si="397"/>
        <v>95</v>
      </c>
      <c r="AM518" s="793">
        <f t="shared" si="398"/>
        <v>151</v>
      </c>
      <c r="AN518" s="805">
        <f t="shared" si="399"/>
        <v>151</v>
      </c>
      <c r="AO518" s="805">
        <f t="shared" si="400"/>
        <v>9000.7800000000007</v>
      </c>
      <c r="AP518" s="793">
        <f t="shared" si="401"/>
        <v>9000.7800000000007</v>
      </c>
      <c r="AQ518" s="793">
        <f t="shared" si="402"/>
        <v>9151.7800000000007</v>
      </c>
      <c r="AR518" s="793">
        <f t="shared" si="403"/>
        <v>366</v>
      </c>
      <c r="AS518" s="793">
        <f t="shared" si="404"/>
        <v>581</v>
      </c>
      <c r="AT518" s="793">
        <f t="shared" si="405"/>
        <v>732</v>
      </c>
      <c r="AU518" s="793">
        <f t="shared" si="406"/>
        <v>8419.7800000000007</v>
      </c>
      <c r="AV518" s="793">
        <f t="shared" si="407"/>
        <v>8419.7800000000007</v>
      </c>
      <c r="AW518" s="793">
        <f t="shared" si="408"/>
        <v>9151.7800000000007</v>
      </c>
      <c r="AX518" s="793">
        <f t="shared" si="409"/>
        <v>365</v>
      </c>
      <c r="AY518" s="793">
        <f t="shared" si="410"/>
        <v>580</v>
      </c>
      <c r="AZ518" s="793">
        <f t="shared" si="411"/>
        <v>1312</v>
      </c>
      <c r="BA518" s="793">
        <f t="shared" si="412"/>
        <v>7839.7800000000007</v>
      </c>
    </row>
    <row r="519" spans="1:53" x14ac:dyDescent="0.25">
      <c r="A519" s="842" t="s">
        <v>1317</v>
      </c>
      <c r="B519" s="852" t="s">
        <v>1361</v>
      </c>
      <c r="C519" s="778">
        <f t="shared" si="392"/>
        <v>6.3333333333333325E-2</v>
      </c>
      <c r="D519" s="844">
        <v>15</v>
      </c>
      <c r="E519" s="844" t="s">
        <v>677</v>
      </c>
      <c r="F519" s="853">
        <v>44939</v>
      </c>
      <c r="G519" s="781">
        <f t="shared" si="391"/>
        <v>44939</v>
      </c>
      <c r="H519" s="781">
        <f t="shared" si="393"/>
        <v>50414</v>
      </c>
      <c r="I519" s="1421">
        <v>8274.82</v>
      </c>
      <c r="J519" s="805">
        <f t="shared" si="394"/>
        <v>413.74099999999999</v>
      </c>
      <c r="K519" s="793"/>
      <c r="L519" s="793">
        <v>0</v>
      </c>
      <c r="M519" s="793">
        <v>0</v>
      </c>
      <c r="N519" s="793">
        <v>0</v>
      </c>
      <c r="O519" s="793">
        <v>0</v>
      </c>
      <c r="P519" s="793">
        <v>0</v>
      </c>
      <c r="Q519" s="793">
        <v>0</v>
      </c>
      <c r="R519" s="793">
        <v>0</v>
      </c>
      <c r="S519" s="793">
        <v>0</v>
      </c>
      <c r="T519" s="793">
        <v>0</v>
      </c>
      <c r="U519" s="793">
        <v>0</v>
      </c>
      <c r="V519" s="793">
        <v>0</v>
      </c>
      <c r="W519" s="793">
        <v>0</v>
      </c>
      <c r="X519" s="793">
        <v>0</v>
      </c>
      <c r="Y519" s="793">
        <v>0</v>
      </c>
      <c r="Z519" s="793">
        <v>0</v>
      </c>
      <c r="AA519" s="793">
        <v>0</v>
      </c>
      <c r="AB519" s="793">
        <v>0</v>
      </c>
      <c r="AC519" s="793">
        <v>0</v>
      </c>
      <c r="AD519" s="793">
        <v>0</v>
      </c>
      <c r="AE519" s="793">
        <v>0</v>
      </c>
      <c r="AF519" s="793">
        <v>0</v>
      </c>
      <c r="AG519" s="793">
        <v>0</v>
      </c>
      <c r="AH519" s="793">
        <v>0</v>
      </c>
      <c r="AI519" s="793">
        <v>0</v>
      </c>
      <c r="AJ519" s="793">
        <f t="shared" si="395"/>
        <v>0</v>
      </c>
      <c r="AK519" s="793">
        <f t="shared" si="396"/>
        <v>8274.82</v>
      </c>
      <c r="AL519" s="793">
        <f t="shared" si="397"/>
        <v>78</v>
      </c>
      <c r="AM519" s="793">
        <f t="shared" si="398"/>
        <v>112</v>
      </c>
      <c r="AN519" s="805">
        <f t="shared" si="399"/>
        <v>112</v>
      </c>
      <c r="AO519" s="805">
        <f t="shared" si="400"/>
        <v>8162.82</v>
      </c>
      <c r="AP519" s="793">
        <f t="shared" si="401"/>
        <v>8162.82</v>
      </c>
      <c r="AQ519" s="793">
        <f t="shared" si="402"/>
        <v>8274.82</v>
      </c>
      <c r="AR519" s="793">
        <f t="shared" si="403"/>
        <v>366</v>
      </c>
      <c r="AS519" s="793">
        <f t="shared" si="404"/>
        <v>526</v>
      </c>
      <c r="AT519" s="793">
        <f t="shared" si="405"/>
        <v>638</v>
      </c>
      <c r="AU519" s="793">
        <f t="shared" si="406"/>
        <v>7636.82</v>
      </c>
      <c r="AV519" s="793">
        <f t="shared" si="407"/>
        <v>7636.82</v>
      </c>
      <c r="AW519" s="793">
        <f t="shared" si="408"/>
        <v>8274.82</v>
      </c>
      <c r="AX519" s="793">
        <f t="shared" si="409"/>
        <v>365</v>
      </c>
      <c r="AY519" s="793">
        <f t="shared" si="410"/>
        <v>524</v>
      </c>
      <c r="AZ519" s="793">
        <f t="shared" si="411"/>
        <v>1162</v>
      </c>
      <c r="BA519" s="793">
        <f t="shared" si="412"/>
        <v>7112.82</v>
      </c>
    </row>
    <row r="520" spans="1:53" x14ac:dyDescent="0.25">
      <c r="A520" s="842" t="s">
        <v>1317</v>
      </c>
      <c r="B520" s="852" t="s">
        <v>1362</v>
      </c>
      <c r="C520" s="778">
        <f t="shared" si="392"/>
        <v>6.3333333333333325E-2</v>
      </c>
      <c r="D520" s="844">
        <v>15</v>
      </c>
      <c r="E520" s="844" t="s">
        <v>677</v>
      </c>
      <c r="F520" s="853">
        <v>44817</v>
      </c>
      <c r="G520" s="781">
        <f t="shared" si="391"/>
        <v>44817</v>
      </c>
      <c r="H520" s="781">
        <f t="shared" si="393"/>
        <v>50292</v>
      </c>
      <c r="I520" s="1421">
        <v>620000</v>
      </c>
      <c r="J520" s="805">
        <f t="shared" si="394"/>
        <v>31000</v>
      </c>
      <c r="K520" s="793"/>
      <c r="L520" s="793">
        <v>0</v>
      </c>
      <c r="M520" s="793">
        <v>0</v>
      </c>
      <c r="N520" s="793">
        <v>0</v>
      </c>
      <c r="O520" s="793">
        <v>0</v>
      </c>
      <c r="P520" s="793">
        <v>0</v>
      </c>
      <c r="Q520" s="793">
        <v>0</v>
      </c>
      <c r="R520" s="793">
        <v>0</v>
      </c>
      <c r="S520" s="793">
        <v>0</v>
      </c>
      <c r="T520" s="793">
        <v>0</v>
      </c>
      <c r="U520" s="793">
        <v>0</v>
      </c>
      <c r="V520" s="793">
        <v>0</v>
      </c>
      <c r="W520" s="793">
        <v>0</v>
      </c>
      <c r="X520" s="793">
        <v>0</v>
      </c>
      <c r="Y520" s="793">
        <v>0</v>
      </c>
      <c r="Z520" s="793">
        <v>0</v>
      </c>
      <c r="AA520" s="793">
        <v>0</v>
      </c>
      <c r="AB520" s="793">
        <v>0</v>
      </c>
      <c r="AC520" s="793">
        <v>0</v>
      </c>
      <c r="AD520" s="793">
        <v>0</v>
      </c>
      <c r="AE520" s="793">
        <v>0</v>
      </c>
      <c r="AF520" s="793">
        <v>0</v>
      </c>
      <c r="AG520" s="793">
        <v>0</v>
      </c>
      <c r="AH520" s="793">
        <v>0</v>
      </c>
      <c r="AI520" s="793">
        <v>0</v>
      </c>
      <c r="AJ520" s="793">
        <f t="shared" si="395"/>
        <v>0</v>
      </c>
      <c r="AK520" s="793">
        <f t="shared" si="396"/>
        <v>620000</v>
      </c>
      <c r="AL520" s="793">
        <f t="shared" si="397"/>
        <v>200</v>
      </c>
      <c r="AM520" s="793">
        <f t="shared" si="398"/>
        <v>21516</v>
      </c>
      <c r="AN520" s="805">
        <f t="shared" si="399"/>
        <v>21516</v>
      </c>
      <c r="AO520" s="805">
        <f t="shared" si="400"/>
        <v>598484</v>
      </c>
      <c r="AP520" s="793">
        <f t="shared" si="401"/>
        <v>598484</v>
      </c>
      <c r="AQ520" s="793">
        <f t="shared" si="402"/>
        <v>620000</v>
      </c>
      <c r="AR520" s="793">
        <f t="shared" si="403"/>
        <v>366</v>
      </c>
      <c r="AS520" s="793">
        <f t="shared" si="404"/>
        <v>39374</v>
      </c>
      <c r="AT520" s="793">
        <f t="shared" si="405"/>
        <v>60890</v>
      </c>
      <c r="AU520" s="793">
        <f t="shared" si="406"/>
        <v>559110</v>
      </c>
      <c r="AV520" s="793">
        <f t="shared" si="407"/>
        <v>559110</v>
      </c>
      <c r="AW520" s="793">
        <f t="shared" si="408"/>
        <v>620000</v>
      </c>
      <c r="AX520" s="793">
        <f t="shared" si="409"/>
        <v>365</v>
      </c>
      <c r="AY520" s="793">
        <f t="shared" si="410"/>
        <v>39267</v>
      </c>
      <c r="AZ520" s="793">
        <f t="shared" si="411"/>
        <v>100157</v>
      </c>
      <c r="BA520" s="793">
        <f t="shared" si="412"/>
        <v>519843</v>
      </c>
    </row>
    <row r="521" spans="1:53" x14ac:dyDescent="0.25">
      <c r="A521" s="842" t="s">
        <v>1317</v>
      </c>
      <c r="B521" s="852" t="s">
        <v>1353</v>
      </c>
      <c r="C521" s="778">
        <f t="shared" si="392"/>
        <v>6.3333333333333325E-2</v>
      </c>
      <c r="D521" s="844">
        <v>15</v>
      </c>
      <c r="E521" s="844" t="s">
        <v>677</v>
      </c>
      <c r="F521" s="853">
        <v>44748</v>
      </c>
      <c r="G521" s="781">
        <f t="shared" si="391"/>
        <v>44748</v>
      </c>
      <c r="H521" s="781">
        <f t="shared" si="393"/>
        <v>50223</v>
      </c>
      <c r="I521" s="1421">
        <v>48000</v>
      </c>
      <c r="J521" s="805">
        <f t="shared" si="394"/>
        <v>2400</v>
      </c>
      <c r="K521" s="793"/>
      <c r="L521" s="793">
        <v>0</v>
      </c>
      <c r="M521" s="793">
        <v>0</v>
      </c>
      <c r="N521" s="793">
        <v>0</v>
      </c>
      <c r="O521" s="793">
        <v>0</v>
      </c>
      <c r="P521" s="793">
        <v>0</v>
      </c>
      <c r="Q521" s="793">
        <v>0</v>
      </c>
      <c r="R521" s="793">
        <v>0</v>
      </c>
      <c r="S521" s="793">
        <v>0</v>
      </c>
      <c r="T521" s="793">
        <v>0</v>
      </c>
      <c r="U521" s="793">
        <v>0</v>
      </c>
      <c r="V521" s="793">
        <v>0</v>
      </c>
      <c r="W521" s="793">
        <v>0</v>
      </c>
      <c r="X521" s="793">
        <v>0</v>
      </c>
      <c r="Y521" s="793">
        <v>0</v>
      </c>
      <c r="Z521" s="793">
        <v>0</v>
      </c>
      <c r="AA521" s="793">
        <v>0</v>
      </c>
      <c r="AB521" s="793">
        <v>0</v>
      </c>
      <c r="AC521" s="793">
        <v>0</v>
      </c>
      <c r="AD521" s="793">
        <v>0</v>
      </c>
      <c r="AE521" s="793">
        <v>0</v>
      </c>
      <c r="AF521" s="793">
        <v>0</v>
      </c>
      <c r="AG521" s="793">
        <v>0</v>
      </c>
      <c r="AH521" s="793">
        <v>0</v>
      </c>
      <c r="AI521" s="793">
        <v>0</v>
      </c>
      <c r="AJ521" s="793">
        <f t="shared" si="395"/>
        <v>0</v>
      </c>
      <c r="AK521" s="793">
        <f t="shared" si="396"/>
        <v>48000</v>
      </c>
      <c r="AL521" s="793">
        <f t="shared" si="397"/>
        <v>269</v>
      </c>
      <c r="AM521" s="793">
        <f t="shared" si="398"/>
        <v>2240</v>
      </c>
      <c r="AN521" s="805">
        <f t="shared" si="399"/>
        <v>2240</v>
      </c>
      <c r="AO521" s="805">
        <f t="shared" si="400"/>
        <v>45760</v>
      </c>
      <c r="AP521" s="793">
        <f t="shared" si="401"/>
        <v>45760</v>
      </c>
      <c r="AQ521" s="793">
        <f t="shared" si="402"/>
        <v>48000</v>
      </c>
      <c r="AR521" s="793">
        <f t="shared" si="403"/>
        <v>366</v>
      </c>
      <c r="AS521" s="793">
        <f t="shared" si="404"/>
        <v>3048</v>
      </c>
      <c r="AT521" s="793">
        <f t="shared" si="405"/>
        <v>5288</v>
      </c>
      <c r="AU521" s="793">
        <f t="shared" si="406"/>
        <v>42712</v>
      </c>
      <c r="AV521" s="793">
        <f t="shared" si="407"/>
        <v>42712</v>
      </c>
      <c r="AW521" s="793">
        <f t="shared" si="408"/>
        <v>48000</v>
      </c>
      <c r="AX521" s="793">
        <f t="shared" si="409"/>
        <v>365</v>
      </c>
      <c r="AY521" s="793">
        <f t="shared" si="410"/>
        <v>3040</v>
      </c>
      <c r="AZ521" s="793">
        <f t="shared" si="411"/>
        <v>8328</v>
      </c>
      <c r="BA521" s="793">
        <f t="shared" si="412"/>
        <v>39672</v>
      </c>
    </row>
    <row r="522" spans="1:53" x14ac:dyDescent="0.25">
      <c r="A522" s="842" t="s">
        <v>1317</v>
      </c>
      <c r="B522" s="852" t="s">
        <v>1354</v>
      </c>
      <c r="C522" s="778">
        <f t="shared" si="392"/>
        <v>6.3333333333333325E-2</v>
      </c>
      <c r="D522" s="844">
        <v>15</v>
      </c>
      <c r="E522" s="844" t="s">
        <v>677</v>
      </c>
      <c r="F522" s="853">
        <v>44691</v>
      </c>
      <c r="G522" s="781">
        <f t="shared" si="391"/>
        <v>44691</v>
      </c>
      <c r="H522" s="781">
        <f t="shared" si="393"/>
        <v>50166</v>
      </c>
      <c r="I522" s="1421">
        <v>669026.25</v>
      </c>
      <c r="J522" s="805">
        <f t="shared" si="394"/>
        <v>33451.3125</v>
      </c>
      <c r="K522" s="793"/>
      <c r="L522" s="793">
        <v>0</v>
      </c>
      <c r="M522" s="793">
        <v>0</v>
      </c>
      <c r="N522" s="793">
        <v>0</v>
      </c>
      <c r="O522" s="793">
        <v>0</v>
      </c>
      <c r="P522" s="793">
        <v>0</v>
      </c>
      <c r="Q522" s="793">
        <v>0</v>
      </c>
      <c r="R522" s="793">
        <v>0</v>
      </c>
      <c r="S522" s="793">
        <v>0</v>
      </c>
      <c r="T522" s="793">
        <v>0</v>
      </c>
      <c r="U522" s="793">
        <v>0</v>
      </c>
      <c r="V522" s="793">
        <v>0</v>
      </c>
      <c r="W522" s="793">
        <v>0</v>
      </c>
      <c r="X522" s="793">
        <v>0</v>
      </c>
      <c r="Y522" s="793">
        <v>0</v>
      </c>
      <c r="Z522" s="793">
        <v>0</v>
      </c>
      <c r="AA522" s="793">
        <v>0</v>
      </c>
      <c r="AB522" s="793">
        <v>0</v>
      </c>
      <c r="AC522" s="793">
        <v>0</v>
      </c>
      <c r="AD522" s="793">
        <v>0</v>
      </c>
      <c r="AE522" s="793">
        <v>0</v>
      </c>
      <c r="AF522" s="793">
        <v>0</v>
      </c>
      <c r="AG522" s="793">
        <v>0</v>
      </c>
      <c r="AH522" s="793">
        <v>0</v>
      </c>
      <c r="AI522" s="793">
        <v>0</v>
      </c>
      <c r="AJ522" s="793">
        <f t="shared" si="395"/>
        <v>0</v>
      </c>
      <c r="AK522" s="793">
        <f t="shared" si="396"/>
        <v>669026.25</v>
      </c>
      <c r="AL522" s="793">
        <f t="shared" si="397"/>
        <v>326</v>
      </c>
      <c r="AM522" s="793">
        <f t="shared" si="398"/>
        <v>37844</v>
      </c>
      <c r="AN522" s="805">
        <f t="shared" si="399"/>
        <v>37844</v>
      </c>
      <c r="AO522" s="805">
        <f t="shared" si="400"/>
        <v>631182.25</v>
      </c>
      <c r="AP522" s="793">
        <f t="shared" si="401"/>
        <v>631182.25</v>
      </c>
      <c r="AQ522" s="793">
        <f t="shared" si="402"/>
        <v>669026.25</v>
      </c>
      <c r="AR522" s="793">
        <f t="shared" si="403"/>
        <v>366</v>
      </c>
      <c r="AS522" s="793">
        <f t="shared" si="404"/>
        <v>42488</v>
      </c>
      <c r="AT522" s="793">
        <f t="shared" si="405"/>
        <v>80332</v>
      </c>
      <c r="AU522" s="793">
        <f t="shared" si="406"/>
        <v>588694.25</v>
      </c>
      <c r="AV522" s="793">
        <f t="shared" si="407"/>
        <v>588694.25</v>
      </c>
      <c r="AW522" s="793">
        <f t="shared" si="408"/>
        <v>669026.25</v>
      </c>
      <c r="AX522" s="793">
        <f t="shared" si="409"/>
        <v>365</v>
      </c>
      <c r="AY522" s="793">
        <f t="shared" si="410"/>
        <v>42372</v>
      </c>
      <c r="AZ522" s="793">
        <f t="shared" si="411"/>
        <v>122704</v>
      </c>
      <c r="BA522" s="793">
        <f t="shared" si="412"/>
        <v>546322.25</v>
      </c>
    </row>
    <row r="523" spans="1:53" x14ac:dyDescent="0.25">
      <c r="A523" s="842" t="s">
        <v>1317</v>
      </c>
      <c r="B523" s="852" t="s">
        <v>1354</v>
      </c>
      <c r="C523" s="778">
        <f t="shared" si="392"/>
        <v>6.3333333333333325E-2</v>
      </c>
      <c r="D523" s="844">
        <v>15</v>
      </c>
      <c r="E523" s="844" t="s">
        <v>677</v>
      </c>
      <c r="F523" s="853">
        <v>44727</v>
      </c>
      <c r="G523" s="781">
        <f t="shared" si="391"/>
        <v>44727</v>
      </c>
      <c r="H523" s="781">
        <f t="shared" si="393"/>
        <v>50202</v>
      </c>
      <c r="I523" s="1383">
        <v>11889983.369999999</v>
      </c>
      <c r="J523" s="805">
        <f t="shared" si="394"/>
        <v>594499.16850000003</v>
      </c>
      <c r="K523" s="793"/>
      <c r="L523" s="793">
        <v>0</v>
      </c>
      <c r="M523" s="793">
        <v>0</v>
      </c>
      <c r="N523" s="793">
        <v>0</v>
      </c>
      <c r="O523" s="793">
        <v>0</v>
      </c>
      <c r="P523" s="793">
        <v>0</v>
      </c>
      <c r="Q523" s="793">
        <v>0</v>
      </c>
      <c r="R523" s="793">
        <v>0</v>
      </c>
      <c r="S523" s="793">
        <v>0</v>
      </c>
      <c r="T523" s="793">
        <v>0</v>
      </c>
      <c r="U523" s="793">
        <v>0</v>
      </c>
      <c r="V523" s="793">
        <v>0</v>
      </c>
      <c r="W523" s="793">
        <v>0</v>
      </c>
      <c r="X523" s="793">
        <v>0</v>
      </c>
      <c r="Y523" s="793">
        <v>0</v>
      </c>
      <c r="Z523" s="793">
        <v>0</v>
      </c>
      <c r="AA523" s="793">
        <v>0</v>
      </c>
      <c r="AB523" s="793">
        <v>0</v>
      </c>
      <c r="AC523" s="793">
        <v>0</v>
      </c>
      <c r="AD523" s="793">
        <v>0</v>
      </c>
      <c r="AE523" s="793">
        <v>0</v>
      </c>
      <c r="AF523" s="793">
        <v>0</v>
      </c>
      <c r="AG523" s="793">
        <v>0</v>
      </c>
      <c r="AH523" s="793">
        <v>0</v>
      </c>
      <c r="AI523" s="793">
        <v>0</v>
      </c>
      <c r="AJ523" s="793">
        <f t="shared" si="395"/>
        <v>0</v>
      </c>
      <c r="AK523" s="793">
        <f t="shared" si="396"/>
        <v>11889983.369999999</v>
      </c>
      <c r="AL523" s="793">
        <f t="shared" si="397"/>
        <v>290</v>
      </c>
      <c r="AM523" s="793">
        <f t="shared" si="398"/>
        <v>598300</v>
      </c>
      <c r="AN523" s="805">
        <f t="shared" si="399"/>
        <v>598300</v>
      </c>
      <c r="AO523" s="805">
        <f t="shared" si="400"/>
        <v>11291683.369999999</v>
      </c>
      <c r="AP523" s="793">
        <f t="shared" si="401"/>
        <v>11291683.369999999</v>
      </c>
      <c r="AQ523" s="793">
        <f t="shared" si="402"/>
        <v>11889983.369999999</v>
      </c>
      <c r="AR523" s="793">
        <f t="shared" si="403"/>
        <v>366</v>
      </c>
      <c r="AS523" s="793">
        <f t="shared" si="404"/>
        <v>755095</v>
      </c>
      <c r="AT523" s="793">
        <f t="shared" si="405"/>
        <v>1353395</v>
      </c>
      <c r="AU523" s="793">
        <f t="shared" si="406"/>
        <v>10536588.369999999</v>
      </c>
      <c r="AV523" s="793">
        <f t="shared" si="407"/>
        <v>10536588.369999999</v>
      </c>
      <c r="AW523" s="793">
        <f t="shared" si="408"/>
        <v>11889983.369999999</v>
      </c>
      <c r="AX523" s="793">
        <f t="shared" si="409"/>
        <v>365</v>
      </c>
      <c r="AY523" s="793">
        <f t="shared" si="410"/>
        <v>753032</v>
      </c>
      <c r="AZ523" s="793">
        <f t="shared" si="411"/>
        <v>2106427</v>
      </c>
      <c r="BA523" s="793">
        <f t="shared" si="412"/>
        <v>9783556.3699999992</v>
      </c>
    </row>
    <row r="524" spans="1:53" x14ac:dyDescent="0.25">
      <c r="A524" s="842" t="s">
        <v>1832</v>
      </c>
      <c r="B524" s="852"/>
      <c r="C524" s="778"/>
      <c r="D524" s="844"/>
      <c r="E524" s="844"/>
      <c r="F524" s="853"/>
      <c r="G524" s="781"/>
      <c r="H524" s="781"/>
      <c r="I524" s="1383"/>
      <c r="J524" s="805"/>
      <c r="K524" s="793"/>
      <c r="L524" s="793"/>
      <c r="M524" s="793"/>
      <c r="N524" s="793"/>
      <c r="O524" s="793"/>
      <c r="P524" s="793"/>
      <c r="Q524" s="793"/>
      <c r="R524" s="793"/>
      <c r="S524" s="793"/>
      <c r="T524" s="793"/>
      <c r="U524" s="793"/>
      <c r="V524" s="793"/>
      <c r="W524" s="793"/>
      <c r="X524" s="793"/>
      <c r="Y524" s="793"/>
      <c r="Z524" s="793"/>
      <c r="AA524" s="793"/>
      <c r="AB524" s="793"/>
      <c r="AC524" s="793"/>
      <c r="AD524" s="793"/>
      <c r="AE524" s="793"/>
      <c r="AF524" s="793"/>
      <c r="AG524" s="793"/>
      <c r="AH524" s="793"/>
      <c r="AI524" s="793"/>
      <c r="AJ524" s="793"/>
      <c r="AK524" s="793"/>
      <c r="AL524" s="793"/>
      <c r="AM524" s="793">
        <v>145117</v>
      </c>
      <c r="AN524" s="805">
        <v>-1595248</v>
      </c>
      <c r="AO524" s="805">
        <f t="shared" si="400"/>
        <v>1595248</v>
      </c>
      <c r="AP524" s="793">
        <f t="shared" si="401"/>
        <v>1595248</v>
      </c>
      <c r="AQ524" s="793"/>
      <c r="AR524" s="793"/>
      <c r="AS524" s="793"/>
      <c r="AT524" s="793">
        <f t="shared" si="405"/>
        <v>-1595248</v>
      </c>
      <c r="AU524" s="793">
        <f t="shared" si="406"/>
        <v>1595248</v>
      </c>
      <c r="AV524" s="793">
        <f t="shared" si="407"/>
        <v>1595248</v>
      </c>
      <c r="AW524" s="793"/>
      <c r="AX524" s="793"/>
      <c r="AY524" s="793"/>
      <c r="AZ524" s="793">
        <f t="shared" si="411"/>
        <v>-1595248</v>
      </c>
      <c r="BA524" s="793">
        <f t="shared" si="412"/>
        <v>1595248</v>
      </c>
    </row>
    <row r="525" spans="1:53" x14ac:dyDescent="0.25">
      <c r="A525" s="842" t="s">
        <v>1317</v>
      </c>
      <c r="B525" s="822" t="s">
        <v>494</v>
      </c>
      <c r="C525" s="778">
        <f t="shared" ref="C525:C556" si="413">(95/D525)/100</f>
        <v>6.3333333333333325E-2</v>
      </c>
      <c r="D525" s="844">
        <v>15</v>
      </c>
      <c r="E525" s="844" t="s">
        <v>884</v>
      </c>
      <c r="F525" s="862">
        <v>45019</v>
      </c>
      <c r="G525" s="862">
        <v>45019</v>
      </c>
      <c r="H525" s="781">
        <f t="shared" ref="H525:H556" si="414">G525+(365*D525)</f>
        <v>50494</v>
      </c>
      <c r="I525" s="815">
        <v>800000</v>
      </c>
      <c r="J525" s="805">
        <f t="shared" ref="J525:J556" si="415">I525*5%</f>
        <v>40000</v>
      </c>
      <c r="K525" s="793"/>
      <c r="L525" s="793"/>
      <c r="M525" s="793"/>
      <c r="N525" s="793"/>
      <c r="O525" s="793"/>
      <c r="P525" s="793"/>
      <c r="Q525" s="793"/>
      <c r="R525" s="793"/>
      <c r="S525" s="793"/>
      <c r="T525" s="793"/>
      <c r="U525" s="793"/>
      <c r="V525" s="793"/>
      <c r="W525" s="793"/>
      <c r="X525" s="793"/>
      <c r="Y525" s="793"/>
      <c r="Z525" s="793"/>
      <c r="AA525" s="793"/>
      <c r="AB525" s="793"/>
      <c r="AC525" s="793"/>
      <c r="AD525" s="793"/>
      <c r="AE525" s="793"/>
      <c r="AF525" s="793"/>
      <c r="AG525" s="793"/>
      <c r="AH525" s="793"/>
      <c r="AI525" s="793"/>
      <c r="AJ525" s="793"/>
      <c r="AK525" s="793"/>
      <c r="AL525" s="793"/>
      <c r="AM525" s="793"/>
      <c r="AN525" s="805"/>
      <c r="AO525" s="805"/>
      <c r="AP525" s="793">
        <f t="shared" si="401"/>
        <v>0</v>
      </c>
      <c r="AQ525" s="793">
        <f t="shared" ref="AQ525:AQ555" si="416">I525</f>
        <v>800000</v>
      </c>
      <c r="AR525" s="793">
        <f t="shared" ref="AR525:AR555" si="417">IF(AND(F525&gt;$AJ$3,F525&lt;$AP$3),$AP$3-F525+1,IF(H525&lt;=$AJ$3,0,IF(H525&gt;$AP$3,$AP$3-$AJ$3,H525-$AJ$3)))</f>
        <v>364</v>
      </c>
      <c r="AS525" s="793">
        <f t="shared" ref="AS525:AS555" si="418">ROUND(AQ525*C525*AR525/365,0)</f>
        <v>50528</v>
      </c>
      <c r="AT525" s="793">
        <f t="shared" si="405"/>
        <v>50528</v>
      </c>
      <c r="AU525" s="793">
        <f t="shared" si="406"/>
        <v>749472</v>
      </c>
      <c r="AV525" s="793">
        <f t="shared" si="407"/>
        <v>749472</v>
      </c>
      <c r="AW525" s="793">
        <f t="shared" ref="AW525:AW556" si="419">+I525</f>
        <v>800000</v>
      </c>
      <c r="AX525" s="793">
        <f t="shared" ref="AX525:AX556" si="420">IF(AND(F525&gt;$AP$3,F525&lt;$AV$3),$AV$3-F525+1,IF(H525&lt;=$AP$3,0,IF(H525&gt;$AV$3,$AV$3-$AP$3,H525-$AP$3)))</f>
        <v>365</v>
      </c>
      <c r="AY525" s="793">
        <f t="shared" ref="AY525:AY556" si="421">ROUND(AW525*C525*AX525/365,0)</f>
        <v>50667</v>
      </c>
      <c r="AZ525" s="793">
        <f t="shared" si="411"/>
        <v>101195</v>
      </c>
      <c r="BA525" s="793">
        <f t="shared" si="412"/>
        <v>698805</v>
      </c>
    </row>
    <row r="526" spans="1:53" x14ac:dyDescent="0.25">
      <c r="A526" s="842" t="s">
        <v>1317</v>
      </c>
      <c r="B526" s="822" t="s">
        <v>358</v>
      </c>
      <c r="C526" s="778">
        <f t="shared" si="413"/>
        <v>6.3333333333333325E-2</v>
      </c>
      <c r="D526" s="844">
        <v>15</v>
      </c>
      <c r="E526" s="844" t="s">
        <v>884</v>
      </c>
      <c r="F526" s="862">
        <v>45027</v>
      </c>
      <c r="G526" s="862">
        <v>45027</v>
      </c>
      <c r="H526" s="781">
        <f t="shared" si="414"/>
        <v>50502</v>
      </c>
      <c r="I526" s="815">
        <v>9860</v>
      </c>
      <c r="J526" s="805">
        <f t="shared" si="415"/>
        <v>493</v>
      </c>
      <c r="K526" s="793"/>
      <c r="L526" s="793"/>
      <c r="M526" s="793"/>
      <c r="N526" s="793"/>
      <c r="O526" s="793"/>
      <c r="P526" s="793"/>
      <c r="Q526" s="793"/>
      <c r="R526" s="793"/>
      <c r="S526" s="793"/>
      <c r="T526" s="793"/>
      <c r="U526" s="793"/>
      <c r="V526" s="793"/>
      <c r="W526" s="793"/>
      <c r="X526" s="793"/>
      <c r="Y526" s="793"/>
      <c r="Z526" s="793"/>
      <c r="AA526" s="793"/>
      <c r="AB526" s="793"/>
      <c r="AC526" s="793"/>
      <c r="AD526" s="793"/>
      <c r="AE526" s="793"/>
      <c r="AF526" s="793"/>
      <c r="AG526" s="793"/>
      <c r="AH526" s="793"/>
      <c r="AI526" s="793"/>
      <c r="AJ526" s="793"/>
      <c r="AK526" s="793"/>
      <c r="AL526" s="793"/>
      <c r="AM526" s="793"/>
      <c r="AN526" s="805"/>
      <c r="AO526" s="805"/>
      <c r="AP526" s="793">
        <f t="shared" si="401"/>
        <v>0</v>
      </c>
      <c r="AQ526" s="793">
        <f t="shared" si="416"/>
        <v>9860</v>
      </c>
      <c r="AR526" s="793">
        <f t="shared" si="417"/>
        <v>356</v>
      </c>
      <c r="AS526" s="793">
        <f t="shared" si="418"/>
        <v>609</v>
      </c>
      <c r="AT526" s="793">
        <f t="shared" si="405"/>
        <v>609</v>
      </c>
      <c r="AU526" s="793">
        <f t="shared" si="406"/>
        <v>9251</v>
      </c>
      <c r="AV526" s="793">
        <f t="shared" si="407"/>
        <v>9251</v>
      </c>
      <c r="AW526" s="793">
        <f t="shared" si="419"/>
        <v>9860</v>
      </c>
      <c r="AX526" s="793">
        <f t="shared" si="420"/>
        <v>365</v>
      </c>
      <c r="AY526" s="793">
        <f t="shared" si="421"/>
        <v>624</v>
      </c>
      <c r="AZ526" s="793">
        <f t="shared" si="411"/>
        <v>1233</v>
      </c>
      <c r="BA526" s="793">
        <f t="shared" si="412"/>
        <v>8627</v>
      </c>
    </row>
    <row r="527" spans="1:53" x14ac:dyDescent="0.25">
      <c r="A527" s="842" t="s">
        <v>1317</v>
      </c>
      <c r="B527" s="863" t="s">
        <v>1354</v>
      </c>
      <c r="C527" s="778">
        <f t="shared" si="413"/>
        <v>6.3333333333333325E-2</v>
      </c>
      <c r="D527" s="844">
        <v>15</v>
      </c>
      <c r="E527" s="844" t="s">
        <v>884</v>
      </c>
      <c r="F527" s="862">
        <v>45028</v>
      </c>
      <c r="G527" s="862">
        <v>45028</v>
      </c>
      <c r="H527" s="781">
        <f t="shared" si="414"/>
        <v>50503</v>
      </c>
      <c r="I527" s="815">
        <v>139310</v>
      </c>
      <c r="J527" s="805">
        <f t="shared" si="415"/>
        <v>6965.5</v>
      </c>
      <c r="K527" s="793"/>
      <c r="L527" s="793"/>
      <c r="M527" s="793"/>
      <c r="N527" s="793"/>
      <c r="O527" s="793"/>
      <c r="P527" s="793"/>
      <c r="Q527" s="793"/>
      <c r="R527" s="793"/>
      <c r="S527" s="793"/>
      <c r="T527" s="793"/>
      <c r="U527" s="793"/>
      <c r="V527" s="793"/>
      <c r="W527" s="793"/>
      <c r="X527" s="793"/>
      <c r="Y527" s="793"/>
      <c r="Z527" s="793"/>
      <c r="AA527" s="793"/>
      <c r="AB527" s="793"/>
      <c r="AC527" s="793"/>
      <c r="AD527" s="793"/>
      <c r="AE527" s="793"/>
      <c r="AF527" s="793"/>
      <c r="AG527" s="793"/>
      <c r="AH527" s="793"/>
      <c r="AI527" s="793"/>
      <c r="AJ527" s="793"/>
      <c r="AK527" s="793"/>
      <c r="AL527" s="793"/>
      <c r="AM527" s="793"/>
      <c r="AN527" s="805"/>
      <c r="AO527" s="805"/>
      <c r="AP527" s="793">
        <f t="shared" si="401"/>
        <v>0</v>
      </c>
      <c r="AQ527" s="793">
        <f t="shared" si="416"/>
        <v>139310</v>
      </c>
      <c r="AR527" s="793">
        <f t="shared" si="417"/>
        <v>355</v>
      </c>
      <c r="AS527" s="793">
        <f t="shared" si="418"/>
        <v>8581</v>
      </c>
      <c r="AT527" s="793">
        <f t="shared" si="405"/>
        <v>8581</v>
      </c>
      <c r="AU527" s="793">
        <f t="shared" si="406"/>
        <v>130729</v>
      </c>
      <c r="AV527" s="793">
        <f t="shared" si="407"/>
        <v>130729</v>
      </c>
      <c r="AW527" s="793">
        <f t="shared" si="419"/>
        <v>139310</v>
      </c>
      <c r="AX527" s="793">
        <f t="shared" si="420"/>
        <v>365</v>
      </c>
      <c r="AY527" s="793">
        <f t="shared" si="421"/>
        <v>8823</v>
      </c>
      <c r="AZ527" s="793">
        <f t="shared" si="411"/>
        <v>17404</v>
      </c>
      <c r="BA527" s="793">
        <f t="shared" si="412"/>
        <v>121906</v>
      </c>
    </row>
    <row r="528" spans="1:53" x14ac:dyDescent="0.25">
      <c r="A528" s="842" t="s">
        <v>1317</v>
      </c>
      <c r="B528" s="822" t="s">
        <v>358</v>
      </c>
      <c r="C528" s="778">
        <f t="shared" si="413"/>
        <v>6.3333333333333325E-2</v>
      </c>
      <c r="D528" s="844">
        <v>15</v>
      </c>
      <c r="E528" s="844" t="s">
        <v>884</v>
      </c>
      <c r="F528" s="862">
        <v>45027</v>
      </c>
      <c r="G528" s="862">
        <v>45027</v>
      </c>
      <c r="H528" s="781">
        <f t="shared" si="414"/>
        <v>50502</v>
      </c>
      <c r="I528" s="815">
        <v>30000</v>
      </c>
      <c r="J528" s="805">
        <f t="shared" si="415"/>
        <v>1500</v>
      </c>
      <c r="K528" s="793"/>
      <c r="L528" s="793"/>
      <c r="M528" s="793"/>
      <c r="N528" s="793"/>
      <c r="O528" s="793"/>
      <c r="P528" s="793"/>
      <c r="Q528" s="793"/>
      <c r="R528" s="793"/>
      <c r="S528" s="793"/>
      <c r="T528" s="793"/>
      <c r="U528" s="793"/>
      <c r="V528" s="793"/>
      <c r="W528" s="793"/>
      <c r="X528" s="793"/>
      <c r="Y528" s="793"/>
      <c r="Z528" s="793"/>
      <c r="AA528" s="793"/>
      <c r="AB528" s="793"/>
      <c r="AC528" s="793"/>
      <c r="AD528" s="793"/>
      <c r="AE528" s="793"/>
      <c r="AF528" s="793"/>
      <c r="AG528" s="793"/>
      <c r="AH528" s="793"/>
      <c r="AI528" s="793"/>
      <c r="AJ528" s="793"/>
      <c r="AK528" s="793"/>
      <c r="AL528" s="793"/>
      <c r="AM528" s="793"/>
      <c r="AN528" s="805"/>
      <c r="AO528" s="805"/>
      <c r="AP528" s="793">
        <f t="shared" si="401"/>
        <v>0</v>
      </c>
      <c r="AQ528" s="793">
        <f t="shared" si="416"/>
        <v>30000</v>
      </c>
      <c r="AR528" s="793">
        <f t="shared" si="417"/>
        <v>356</v>
      </c>
      <c r="AS528" s="793">
        <f t="shared" si="418"/>
        <v>1853</v>
      </c>
      <c r="AT528" s="793">
        <f t="shared" si="405"/>
        <v>1853</v>
      </c>
      <c r="AU528" s="793">
        <f t="shared" si="406"/>
        <v>28147</v>
      </c>
      <c r="AV528" s="793">
        <f t="shared" si="407"/>
        <v>28147</v>
      </c>
      <c r="AW528" s="793">
        <f t="shared" si="419"/>
        <v>30000</v>
      </c>
      <c r="AX528" s="793">
        <f t="shared" si="420"/>
        <v>365</v>
      </c>
      <c r="AY528" s="793">
        <f t="shared" si="421"/>
        <v>1900</v>
      </c>
      <c r="AZ528" s="793">
        <f t="shared" si="411"/>
        <v>3753</v>
      </c>
      <c r="BA528" s="793">
        <f t="shared" si="412"/>
        <v>26247</v>
      </c>
    </row>
    <row r="529" spans="1:53" x14ac:dyDescent="0.25">
      <c r="A529" s="842" t="s">
        <v>1317</v>
      </c>
      <c r="B529" s="863" t="s">
        <v>1354</v>
      </c>
      <c r="C529" s="778">
        <f t="shared" si="413"/>
        <v>6.3333333333333325E-2</v>
      </c>
      <c r="D529" s="844">
        <v>15</v>
      </c>
      <c r="E529" s="844" t="s">
        <v>884</v>
      </c>
      <c r="F529" s="862">
        <v>45065</v>
      </c>
      <c r="G529" s="862">
        <v>45065</v>
      </c>
      <c r="H529" s="781">
        <f t="shared" si="414"/>
        <v>50540</v>
      </c>
      <c r="I529" s="815">
        <v>275000</v>
      </c>
      <c r="J529" s="805">
        <f t="shared" si="415"/>
        <v>13750</v>
      </c>
      <c r="K529" s="793"/>
      <c r="L529" s="793"/>
      <c r="M529" s="793"/>
      <c r="N529" s="793"/>
      <c r="O529" s="793"/>
      <c r="P529" s="793"/>
      <c r="Q529" s="793"/>
      <c r="R529" s="793"/>
      <c r="S529" s="793"/>
      <c r="T529" s="793"/>
      <c r="U529" s="793"/>
      <c r="V529" s="793"/>
      <c r="W529" s="793"/>
      <c r="X529" s="793"/>
      <c r="Y529" s="793"/>
      <c r="Z529" s="793"/>
      <c r="AA529" s="793"/>
      <c r="AB529" s="793"/>
      <c r="AC529" s="793"/>
      <c r="AD529" s="793"/>
      <c r="AE529" s="793"/>
      <c r="AF529" s="793"/>
      <c r="AG529" s="793"/>
      <c r="AH529" s="793"/>
      <c r="AI529" s="793"/>
      <c r="AJ529" s="793"/>
      <c r="AK529" s="793"/>
      <c r="AL529" s="793"/>
      <c r="AM529" s="793"/>
      <c r="AN529" s="805"/>
      <c r="AO529" s="805"/>
      <c r="AP529" s="793">
        <f t="shared" si="401"/>
        <v>0</v>
      </c>
      <c r="AQ529" s="793">
        <f t="shared" si="416"/>
        <v>275000</v>
      </c>
      <c r="AR529" s="793">
        <f t="shared" si="417"/>
        <v>318</v>
      </c>
      <c r="AS529" s="793">
        <f t="shared" si="418"/>
        <v>15174</v>
      </c>
      <c r="AT529" s="793">
        <f t="shared" si="405"/>
        <v>15174</v>
      </c>
      <c r="AU529" s="793">
        <f t="shared" si="406"/>
        <v>259826</v>
      </c>
      <c r="AV529" s="793">
        <f t="shared" si="407"/>
        <v>259826</v>
      </c>
      <c r="AW529" s="793">
        <f t="shared" si="419"/>
        <v>275000</v>
      </c>
      <c r="AX529" s="793">
        <f t="shared" si="420"/>
        <v>365</v>
      </c>
      <c r="AY529" s="793">
        <f t="shared" si="421"/>
        <v>17417</v>
      </c>
      <c r="AZ529" s="793">
        <f t="shared" si="411"/>
        <v>32591</v>
      </c>
      <c r="BA529" s="793">
        <f t="shared" si="412"/>
        <v>242409</v>
      </c>
    </row>
    <row r="530" spans="1:53" x14ac:dyDescent="0.25">
      <c r="A530" s="842" t="s">
        <v>1317</v>
      </c>
      <c r="B530" s="863" t="s">
        <v>1354</v>
      </c>
      <c r="C530" s="778">
        <f t="shared" si="413"/>
        <v>6.3333333333333325E-2</v>
      </c>
      <c r="D530" s="844">
        <v>15</v>
      </c>
      <c r="E530" s="844" t="s">
        <v>884</v>
      </c>
      <c r="F530" s="862">
        <v>45073</v>
      </c>
      <c r="G530" s="862">
        <v>45073</v>
      </c>
      <c r="H530" s="781">
        <f t="shared" si="414"/>
        <v>50548</v>
      </c>
      <c r="I530" s="815">
        <v>175350</v>
      </c>
      <c r="J530" s="805">
        <f t="shared" si="415"/>
        <v>8767.5</v>
      </c>
      <c r="K530" s="793"/>
      <c r="L530" s="793"/>
      <c r="M530" s="793"/>
      <c r="N530" s="793"/>
      <c r="O530" s="793"/>
      <c r="P530" s="793"/>
      <c r="Q530" s="793"/>
      <c r="R530" s="793"/>
      <c r="S530" s="793"/>
      <c r="T530" s="793"/>
      <c r="U530" s="793"/>
      <c r="V530" s="793"/>
      <c r="W530" s="793"/>
      <c r="X530" s="793"/>
      <c r="Y530" s="793"/>
      <c r="Z530" s="793"/>
      <c r="AA530" s="793"/>
      <c r="AB530" s="793"/>
      <c r="AC530" s="793"/>
      <c r="AD530" s="793"/>
      <c r="AE530" s="793"/>
      <c r="AF530" s="793"/>
      <c r="AG530" s="793"/>
      <c r="AH530" s="793"/>
      <c r="AI530" s="793"/>
      <c r="AJ530" s="793"/>
      <c r="AK530" s="793"/>
      <c r="AL530" s="793"/>
      <c r="AM530" s="793"/>
      <c r="AN530" s="805"/>
      <c r="AO530" s="805"/>
      <c r="AP530" s="793">
        <f t="shared" si="401"/>
        <v>0</v>
      </c>
      <c r="AQ530" s="793">
        <f t="shared" si="416"/>
        <v>175350</v>
      </c>
      <c r="AR530" s="793">
        <f t="shared" si="417"/>
        <v>310</v>
      </c>
      <c r="AS530" s="793">
        <f t="shared" si="418"/>
        <v>9432</v>
      </c>
      <c r="AT530" s="793">
        <f t="shared" si="405"/>
        <v>9432</v>
      </c>
      <c r="AU530" s="793">
        <f t="shared" si="406"/>
        <v>165918</v>
      </c>
      <c r="AV530" s="793">
        <f t="shared" si="407"/>
        <v>165918</v>
      </c>
      <c r="AW530" s="793">
        <f t="shared" si="419"/>
        <v>175350</v>
      </c>
      <c r="AX530" s="793">
        <f t="shared" si="420"/>
        <v>365</v>
      </c>
      <c r="AY530" s="793">
        <f t="shared" si="421"/>
        <v>11106</v>
      </c>
      <c r="AZ530" s="793">
        <f t="shared" si="411"/>
        <v>20538</v>
      </c>
      <c r="BA530" s="793">
        <f t="shared" si="412"/>
        <v>154812</v>
      </c>
    </row>
    <row r="531" spans="1:53" x14ac:dyDescent="0.25">
      <c r="A531" s="842" t="s">
        <v>1317</v>
      </c>
      <c r="B531" s="822" t="s">
        <v>358</v>
      </c>
      <c r="C531" s="778">
        <f t="shared" si="413"/>
        <v>6.3333333333333325E-2</v>
      </c>
      <c r="D531" s="844">
        <v>15</v>
      </c>
      <c r="E531" s="844" t="s">
        <v>884</v>
      </c>
      <c r="F531" s="862">
        <v>45076</v>
      </c>
      <c r="G531" s="862">
        <v>45076</v>
      </c>
      <c r="H531" s="781">
        <f t="shared" si="414"/>
        <v>50551</v>
      </c>
      <c r="I531" s="815">
        <v>210000</v>
      </c>
      <c r="J531" s="805">
        <f t="shared" si="415"/>
        <v>10500</v>
      </c>
      <c r="K531" s="793"/>
      <c r="L531" s="793"/>
      <c r="M531" s="793"/>
      <c r="N531" s="793"/>
      <c r="O531" s="793"/>
      <c r="P531" s="793"/>
      <c r="Q531" s="793"/>
      <c r="R531" s="793"/>
      <c r="S531" s="793"/>
      <c r="T531" s="793"/>
      <c r="U531" s="793"/>
      <c r="V531" s="793"/>
      <c r="W531" s="793"/>
      <c r="X531" s="793"/>
      <c r="Y531" s="793"/>
      <c r="Z531" s="793"/>
      <c r="AA531" s="793"/>
      <c r="AB531" s="793"/>
      <c r="AC531" s="793"/>
      <c r="AD531" s="793"/>
      <c r="AE531" s="793"/>
      <c r="AF531" s="793"/>
      <c r="AG531" s="793"/>
      <c r="AH531" s="793"/>
      <c r="AI531" s="793"/>
      <c r="AJ531" s="793"/>
      <c r="AK531" s="793"/>
      <c r="AL531" s="793"/>
      <c r="AM531" s="793"/>
      <c r="AN531" s="805"/>
      <c r="AO531" s="805"/>
      <c r="AP531" s="793">
        <f t="shared" si="401"/>
        <v>0</v>
      </c>
      <c r="AQ531" s="793">
        <f t="shared" si="416"/>
        <v>210000</v>
      </c>
      <c r="AR531" s="793">
        <f t="shared" si="417"/>
        <v>307</v>
      </c>
      <c r="AS531" s="793">
        <f t="shared" si="418"/>
        <v>11187</v>
      </c>
      <c r="AT531" s="793">
        <f t="shared" si="405"/>
        <v>11187</v>
      </c>
      <c r="AU531" s="793">
        <f t="shared" si="406"/>
        <v>198813</v>
      </c>
      <c r="AV531" s="793">
        <f t="shared" si="407"/>
        <v>198813</v>
      </c>
      <c r="AW531" s="793">
        <f t="shared" si="419"/>
        <v>210000</v>
      </c>
      <c r="AX531" s="793">
        <f t="shared" si="420"/>
        <v>365</v>
      </c>
      <c r="AY531" s="793">
        <f t="shared" si="421"/>
        <v>13300</v>
      </c>
      <c r="AZ531" s="793">
        <f t="shared" si="411"/>
        <v>24487</v>
      </c>
      <c r="BA531" s="793">
        <f t="shared" si="412"/>
        <v>185513</v>
      </c>
    </row>
    <row r="532" spans="1:53" x14ac:dyDescent="0.25">
      <c r="A532" s="842" t="s">
        <v>1317</v>
      </c>
      <c r="B532" s="863" t="s">
        <v>1354</v>
      </c>
      <c r="C532" s="778">
        <f t="shared" si="413"/>
        <v>6.3333333333333325E-2</v>
      </c>
      <c r="D532" s="844">
        <v>15</v>
      </c>
      <c r="E532" s="844" t="s">
        <v>884</v>
      </c>
      <c r="F532" s="862">
        <v>45096</v>
      </c>
      <c r="G532" s="862">
        <v>45096</v>
      </c>
      <c r="H532" s="781">
        <f t="shared" si="414"/>
        <v>50571</v>
      </c>
      <c r="I532" s="815">
        <v>570666</v>
      </c>
      <c r="J532" s="805">
        <f t="shared" si="415"/>
        <v>28533.300000000003</v>
      </c>
      <c r="K532" s="793"/>
      <c r="L532" s="793"/>
      <c r="M532" s="793"/>
      <c r="N532" s="793"/>
      <c r="O532" s="793"/>
      <c r="P532" s="793"/>
      <c r="Q532" s="793"/>
      <c r="R532" s="793"/>
      <c r="S532" s="793"/>
      <c r="T532" s="793"/>
      <c r="U532" s="793"/>
      <c r="V532" s="793"/>
      <c r="W532" s="793"/>
      <c r="X532" s="793"/>
      <c r="Y532" s="793"/>
      <c r="Z532" s="793"/>
      <c r="AA532" s="793"/>
      <c r="AB532" s="793"/>
      <c r="AC532" s="793"/>
      <c r="AD532" s="793"/>
      <c r="AE532" s="793"/>
      <c r="AF532" s="793"/>
      <c r="AG532" s="793"/>
      <c r="AH532" s="793"/>
      <c r="AI532" s="793"/>
      <c r="AJ532" s="793"/>
      <c r="AK532" s="793"/>
      <c r="AL532" s="793"/>
      <c r="AM532" s="793"/>
      <c r="AN532" s="805"/>
      <c r="AO532" s="805"/>
      <c r="AP532" s="793">
        <f t="shared" si="401"/>
        <v>0</v>
      </c>
      <c r="AQ532" s="793">
        <f t="shared" si="416"/>
        <v>570666</v>
      </c>
      <c r="AR532" s="793">
        <f t="shared" si="417"/>
        <v>287</v>
      </c>
      <c r="AS532" s="793">
        <f t="shared" si="418"/>
        <v>28419</v>
      </c>
      <c r="AT532" s="793">
        <f t="shared" si="405"/>
        <v>28419</v>
      </c>
      <c r="AU532" s="793">
        <f t="shared" si="406"/>
        <v>542247</v>
      </c>
      <c r="AV532" s="793">
        <f t="shared" si="407"/>
        <v>542247</v>
      </c>
      <c r="AW532" s="793">
        <f t="shared" si="419"/>
        <v>570666</v>
      </c>
      <c r="AX532" s="793">
        <f t="shared" si="420"/>
        <v>365</v>
      </c>
      <c r="AY532" s="793">
        <f t="shared" si="421"/>
        <v>36142</v>
      </c>
      <c r="AZ532" s="793">
        <f t="shared" si="411"/>
        <v>64561</v>
      </c>
      <c r="BA532" s="793">
        <f t="shared" si="412"/>
        <v>506105</v>
      </c>
    </row>
    <row r="533" spans="1:53" x14ac:dyDescent="0.25">
      <c r="A533" s="842" t="s">
        <v>1317</v>
      </c>
      <c r="B533" s="822" t="s">
        <v>359</v>
      </c>
      <c r="C533" s="778">
        <f t="shared" si="413"/>
        <v>6.3333333333333325E-2</v>
      </c>
      <c r="D533" s="844">
        <v>15</v>
      </c>
      <c r="E533" s="844" t="s">
        <v>884</v>
      </c>
      <c r="F533" s="862">
        <v>45135</v>
      </c>
      <c r="G533" s="862">
        <v>45135</v>
      </c>
      <c r="H533" s="781">
        <f t="shared" si="414"/>
        <v>50610</v>
      </c>
      <c r="I533" s="815">
        <v>31288</v>
      </c>
      <c r="J533" s="805">
        <f t="shared" si="415"/>
        <v>1564.4</v>
      </c>
      <c r="K533" s="793"/>
      <c r="L533" s="793"/>
      <c r="M533" s="793"/>
      <c r="N533" s="793"/>
      <c r="O533" s="793"/>
      <c r="P533" s="793"/>
      <c r="Q533" s="793"/>
      <c r="R533" s="793"/>
      <c r="S533" s="793"/>
      <c r="T533" s="793"/>
      <c r="U533" s="793"/>
      <c r="V533" s="793"/>
      <c r="W533" s="793"/>
      <c r="X533" s="793"/>
      <c r="Y533" s="793"/>
      <c r="Z533" s="793"/>
      <c r="AA533" s="793"/>
      <c r="AB533" s="793"/>
      <c r="AC533" s="793"/>
      <c r="AD533" s="793"/>
      <c r="AE533" s="793"/>
      <c r="AF533" s="793"/>
      <c r="AG533" s="793"/>
      <c r="AH533" s="793"/>
      <c r="AI533" s="793"/>
      <c r="AJ533" s="793"/>
      <c r="AK533" s="793"/>
      <c r="AL533" s="793"/>
      <c r="AM533" s="793"/>
      <c r="AN533" s="805"/>
      <c r="AO533" s="805"/>
      <c r="AP533" s="793">
        <f t="shared" si="401"/>
        <v>0</v>
      </c>
      <c r="AQ533" s="793">
        <f t="shared" si="416"/>
        <v>31288</v>
      </c>
      <c r="AR533" s="793">
        <f t="shared" si="417"/>
        <v>248</v>
      </c>
      <c r="AS533" s="793">
        <f t="shared" si="418"/>
        <v>1346</v>
      </c>
      <c r="AT533" s="793">
        <f t="shared" si="405"/>
        <v>1346</v>
      </c>
      <c r="AU533" s="793">
        <f t="shared" si="406"/>
        <v>29942</v>
      </c>
      <c r="AV533" s="793">
        <f t="shared" si="407"/>
        <v>29942</v>
      </c>
      <c r="AW533" s="793">
        <f t="shared" si="419"/>
        <v>31288</v>
      </c>
      <c r="AX533" s="793">
        <f t="shared" si="420"/>
        <v>365</v>
      </c>
      <c r="AY533" s="793">
        <f t="shared" si="421"/>
        <v>1982</v>
      </c>
      <c r="AZ533" s="793">
        <f t="shared" si="411"/>
        <v>3328</v>
      </c>
      <c r="BA533" s="793">
        <f t="shared" si="412"/>
        <v>27960</v>
      </c>
    </row>
    <row r="534" spans="1:53" x14ac:dyDescent="0.25">
      <c r="A534" s="842" t="s">
        <v>1317</v>
      </c>
      <c r="B534" s="822" t="s">
        <v>257</v>
      </c>
      <c r="C534" s="778">
        <f t="shared" si="413"/>
        <v>6.3333333333333325E-2</v>
      </c>
      <c r="D534" s="844">
        <v>15</v>
      </c>
      <c r="E534" s="844" t="s">
        <v>884</v>
      </c>
      <c r="F534" s="862">
        <v>45133</v>
      </c>
      <c r="G534" s="862">
        <v>45133</v>
      </c>
      <c r="H534" s="781">
        <f t="shared" si="414"/>
        <v>50608</v>
      </c>
      <c r="I534" s="815">
        <v>14990</v>
      </c>
      <c r="J534" s="805">
        <f t="shared" si="415"/>
        <v>749.5</v>
      </c>
      <c r="K534" s="793"/>
      <c r="L534" s="793"/>
      <c r="M534" s="793"/>
      <c r="N534" s="793"/>
      <c r="O534" s="793"/>
      <c r="P534" s="793"/>
      <c r="Q534" s="793"/>
      <c r="R534" s="793"/>
      <c r="S534" s="793"/>
      <c r="T534" s="793"/>
      <c r="U534" s="793"/>
      <c r="V534" s="793"/>
      <c r="W534" s="793"/>
      <c r="X534" s="793"/>
      <c r="Y534" s="793"/>
      <c r="Z534" s="793"/>
      <c r="AA534" s="793"/>
      <c r="AB534" s="793"/>
      <c r="AC534" s="793"/>
      <c r="AD534" s="793"/>
      <c r="AE534" s="793"/>
      <c r="AF534" s="793"/>
      <c r="AG534" s="793"/>
      <c r="AH534" s="793"/>
      <c r="AI534" s="793"/>
      <c r="AJ534" s="793"/>
      <c r="AK534" s="793"/>
      <c r="AL534" s="793"/>
      <c r="AM534" s="793"/>
      <c r="AN534" s="805"/>
      <c r="AO534" s="805"/>
      <c r="AP534" s="793">
        <f t="shared" si="401"/>
        <v>0</v>
      </c>
      <c r="AQ534" s="793">
        <f t="shared" si="416"/>
        <v>14990</v>
      </c>
      <c r="AR534" s="793">
        <f t="shared" si="417"/>
        <v>250</v>
      </c>
      <c r="AS534" s="793">
        <f t="shared" si="418"/>
        <v>650</v>
      </c>
      <c r="AT534" s="793">
        <f t="shared" si="405"/>
        <v>650</v>
      </c>
      <c r="AU534" s="793">
        <f t="shared" si="406"/>
        <v>14340</v>
      </c>
      <c r="AV534" s="793">
        <f t="shared" si="407"/>
        <v>14340</v>
      </c>
      <c r="AW534" s="793">
        <f t="shared" si="419"/>
        <v>14990</v>
      </c>
      <c r="AX534" s="793">
        <f t="shared" si="420"/>
        <v>365</v>
      </c>
      <c r="AY534" s="793">
        <f t="shared" si="421"/>
        <v>949</v>
      </c>
      <c r="AZ534" s="793">
        <f t="shared" si="411"/>
        <v>1599</v>
      </c>
      <c r="BA534" s="793">
        <f t="shared" si="412"/>
        <v>13391</v>
      </c>
    </row>
    <row r="535" spans="1:53" x14ac:dyDescent="0.25">
      <c r="A535" s="842" t="s">
        <v>1317</v>
      </c>
      <c r="B535" s="863" t="s">
        <v>1354</v>
      </c>
      <c r="C535" s="778">
        <f t="shared" si="413"/>
        <v>6.3333333333333325E-2</v>
      </c>
      <c r="D535" s="844">
        <v>15</v>
      </c>
      <c r="E535" s="844" t="s">
        <v>884</v>
      </c>
      <c r="F535" s="862">
        <v>45139</v>
      </c>
      <c r="G535" s="862">
        <v>45139</v>
      </c>
      <c r="H535" s="781">
        <f t="shared" si="414"/>
        <v>50614</v>
      </c>
      <c r="I535" s="815">
        <v>220000</v>
      </c>
      <c r="J535" s="805">
        <f t="shared" si="415"/>
        <v>11000</v>
      </c>
      <c r="K535" s="793"/>
      <c r="L535" s="793"/>
      <c r="M535" s="793"/>
      <c r="N535" s="793"/>
      <c r="O535" s="793"/>
      <c r="P535" s="793"/>
      <c r="Q535" s="793"/>
      <c r="R535" s="793"/>
      <c r="S535" s="793"/>
      <c r="T535" s="793"/>
      <c r="U535" s="793"/>
      <c r="V535" s="793"/>
      <c r="W535" s="793"/>
      <c r="X535" s="793"/>
      <c r="Y535" s="793"/>
      <c r="Z535" s="793"/>
      <c r="AA535" s="793"/>
      <c r="AB535" s="793"/>
      <c r="AC535" s="793"/>
      <c r="AD535" s="793"/>
      <c r="AE535" s="793"/>
      <c r="AF535" s="793"/>
      <c r="AG535" s="793"/>
      <c r="AH535" s="793"/>
      <c r="AI535" s="793"/>
      <c r="AJ535" s="793"/>
      <c r="AK535" s="793"/>
      <c r="AL535" s="793"/>
      <c r="AM535" s="793"/>
      <c r="AN535" s="805"/>
      <c r="AO535" s="805"/>
      <c r="AP535" s="793">
        <f t="shared" si="401"/>
        <v>0</v>
      </c>
      <c r="AQ535" s="793">
        <f t="shared" si="416"/>
        <v>220000</v>
      </c>
      <c r="AR535" s="793">
        <f t="shared" si="417"/>
        <v>244</v>
      </c>
      <c r="AS535" s="793">
        <f t="shared" si="418"/>
        <v>9314</v>
      </c>
      <c r="AT535" s="793">
        <f t="shared" si="405"/>
        <v>9314</v>
      </c>
      <c r="AU535" s="793">
        <f t="shared" si="406"/>
        <v>210686</v>
      </c>
      <c r="AV535" s="793">
        <f t="shared" si="407"/>
        <v>210686</v>
      </c>
      <c r="AW535" s="793">
        <f t="shared" si="419"/>
        <v>220000</v>
      </c>
      <c r="AX535" s="793">
        <f t="shared" si="420"/>
        <v>365</v>
      </c>
      <c r="AY535" s="793">
        <f t="shared" si="421"/>
        <v>13933</v>
      </c>
      <c r="AZ535" s="793">
        <f t="shared" si="411"/>
        <v>23247</v>
      </c>
      <c r="BA535" s="793">
        <f t="shared" si="412"/>
        <v>196753</v>
      </c>
    </row>
    <row r="536" spans="1:53" x14ac:dyDescent="0.25">
      <c r="A536" s="842" t="s">
        <v>1317</v>
      </c>
      <c r="B536" s="822" t="s">
        <v>358</v>
      </c>
      <c r="C536" s="778">
        <f t="shared" si="413"/>
        <v>6.3333333333333325E-2</v>
      </c>
      <c r="D536" s="844">
        <v>15</v>
      </c>
      <c r="E536" s="844" t="s">
        <v>884</v>
      </c>
      <c r="F536" s="862">
        <v>45145</v>
      </c>
      <c r="G536" s="862">
        <v>45145</v>
      </c>
      <c r="H536" s="781">
        <f t="shared" si="414"/>
        <v>50620</v>
      </c>
      <c r="I536" s="815">
        <v>120000</v>
      </c>
      <c r="J536" s="805">
        <f t="shared" si="415"/>
        <v>6000</v>
      </c>
      <c r="K536" s="793"/>
      <c r="L536" s="793"/>
      <c r="M536" s="793"/>
      <c r="N536" s="793"/>
      <c r="O536" s="793"/>
      <c r="P536" s="793"/>
      <c r="Q536" s="793"/>
      <c r="R536" s="793"/>
      <c r="S536" s="793"/>
      <c r="T536" s="793"/>
      <c r="U536" s="793"/>
      <c r="V536" s="793"/>
      <c r="W536" s="793"/>
      <c r="X536" s="793"/>
      <c r="Y536" s="793"/>
      <c r="Z536" s="793"/>
      <c r="AA536" s="793"/>
      <c r="AB536" s="793"/>
      <c r="AC536" s="793"/>
      <c r="AD536" s="793"/>
      <c r="AE536" s="793"/>
      <c r="AF536" s="793"/>
      <c r="AG536" s="793"/>
      <c r="AH536" s="793"/>
      <c r="AI536" s="793"/>
      <c r="AJ536" s="793"/>
      <c r="AK536" s="793"/>
      <c r="AL536" s="793"/>
      <c r="AM536" s="793"/>
      <c r="AN536" s="805"/>
      <c r="AO536" s="805"/>
      <c r="AP536" s="793">
        <f t="shared" si="401"/>
        <v>0</v>
      </c>
      <c r="AQ536" s="793">
        <f t="shared" si="416"/>
        <v>120000</v>
      </c>
      <c r="AR536" s="793">
        <f t="shared" si="417"/>
        <v>238</v>
      </c>
      <c r="AS536" s="793">
        <f t="shared" si="418"/>
        <v>4956</v>
      </c>
      <c r="AT536" s="793">
        <f t="shared" si="405"/>
        <v>4956</v>
      </c>
      <c r="AU536" s="793">
        <f t="shared" si="406"/>
        <v>115044</v>
      </c>
      <c r="AV536" s="793">
        <f t="shared" si="407"/>
        <v>115044</v>
      </c>
      <c r="AW536" s="793">
        <f t="shared" si="419"/>
        <v>120000</v>
      </c>
      <c r="AX536" s="793">
        <f t="shared" si="420"/>
        <v>365</v>
      </c>
      <c r="AY536" s="793">
        <f t="shared" si="421"/>
        <v>7600</v>
      </c>
      <c r="AZ536" s="793">
        <f t="shared" si="411"/>
        <v>12556</v>
      </c>
      <c r="BA536" s="793">
        <f t="shared" si="412"/>
        <v>107444</v>
      </c>
    </row>
    <row r="537" spans="1:53" x14ac:dyDescent="0.25">
      <c r="A537" s="842" t="s">
        <v>1317</v>
      </c>
      <c r="B537" s="822" t="s">
        <v>358</v>
      </c>
      <c r="C537" s="778">
        <f t="shared" si="413"/>
        <v>6.3333333333333325E-2</v>
      </c>
      <c r="D537" s="844">
        <v>15</v>
      </c>
      <c r="E537" s="844" t="s">
        <v>884</v>
      </c>
      <c r="F537" s="862">
        <v>45182</v>
      </c>
      <c r="G537" s="862">
        <v>45182</v>
      </c>
      <c r="H537" s="781">
        <f t="shared" si="414"/>
        <v>50657</v>
      </c>
      <c r="I537" s="815">
        <v>38300</v>
      </c>
      <c r="J537" s="805">
        <f t="shared" si="415"/>
        <v>1915</v>
      </c>
      <c r="K537" s="793"/>
      <c r="L537" s="793"/>
      <c r="M537" s="793"/>
      <c r="N537" s="793"/>
      <c r="O537" s="793"/>
      <c r="P537" s="793"/>
      <c r="Q537" s="793"/>
      <c r="R537" s="793"/>
      <c r="S537" s="793"/>
      <c r="T537" s="793"/>
      <c r="U537" s="793"/>
      <c r="V537" s="793"/>
      <c r="W537" s="793"/>
      <c r="X537" s="793"/>
      <c r="Y537" s="793"/>
      <c r="Z537" s="793"/>
      <c r="AA537" s="793"/>
      <c r="AB537" s="793"/>
      <c r="AC537" s="793"/>
      <c r="AD537" s="793"/>
      <c r="AE537" s="793"/>
      <c r="AF537" s="793"/>
      <c r="AG537" s="793"/>
      <c r="AH537" s="793"/>
      <c r="AI537" s="793"/>
      <c r="AJ537" s="793"/>
      <c r="AK537" s="793"/>
      <c r="AL537" s="793"/>
      <c r="AM537" s="793"/>
      <c r="AN537" s="805"/>
      <c r="AO537" s="805"/>
      <c r="AP537" s="793">
        <f t="shared" si="401"/>
        <v>0</v>
      </c>
      <c r="AQ537" s="793">
        <f t="shared" si="416"/>
        <v>38300</v>
      </c>
      <c r="AR537" s="793">
        <f t="shared" si="417"/>
        <v>201</v>
      </c>
      <c r="AS537" s="793">
        <f t="shared" si="418"/>
        <v>1336</v>
      </c>
      <c r="AT537" s="793">
        <f t="shared" si="405"/>
        <v>1336</v>
      </c>
      <c r="AU537" s="793">
        <f t="shared" si="406"/>
        <v>36964</v>
      </c>
      <c r="AV537" s="793">
        <f t="shared" si="407"/>
        <v>36964</v>
      </c>
      <c r="AW537" s="793">
        <f t="shared" si="419"/>
        <v>38300</v>
      </c>
      <c r="AX537" s="793">
        <f t="shared" si="420"/>
        <v>365</v>
      </c>
      <c r="AY537" s="793">
        <f t="shared" si="421"/>
        <v>2426</v>
      </c>
      <c r="AZ537" s="793">
        <f t="shared" si="411"/>
        <v>3762</v>
      </c>
      <c r="BA537" s="793">
        <f t="shared" si="412"/>
        <v>34538</v>
      </c>
    </row>
    <row r="538" spans="1:53" x14ac:dyDescent="0.25">
      <c r="A538" s="842" t="s">
        <v>1317</v>
      </c>
      <c r="B538" s="863" t="s">
        <v>1354</v>
      </c>
      <c r="C538" s="778">
        <f t="shared" si="413"/>
        <v>6.3333333333333325E-2</v>
      </c>
      <c r="D538" s="844">
        <v>15</v>
      </c>
      <c r="E538" s="844" t="s">
        <v>884</v>
      </c>
      <c r="F538" s="862">
        <v>45218</v>
      </c>
      <c r="G538" s="862">
        <v>45218</v>
      </c>
      <c r="H538" s="781">
        <f t="shared" si="414"/>
        <v>50693</v>
      </c>
      <c r="I538" s="815">
        <v>125000</v>
      </c>
      <c r="J538" s="805">
        <f t="shared" si="415"/>
        <v>6250</v>
      </c>
      <c r="K538" s="793"/>
      <c r="L538" s="793"/>
      <c r="M538" s="793"/>
      <c r="N538" s="793"/>
      <c r="O538" s="793"/>
      <c r="P538" s="793"/>
      <c r="Q538" s="793"/>
      <c r="R538" s="793"/>
      <c r="S538" s="793"/>
      <c r="T538" s="793"/>
      <c r="U538" s="793"/>
      <c r="V538" s="793"/>
      <c r="W538" s="793"/>
      <c r="X538" s="793"/>
      <c r="Y538" s="793"/>
      <c r="Z538" s="793"/>
      <c r="AA538" s="793"/>
      <c r="AB538" s="793"/>
      <c r="AC538" s="793"/>
      <c r="AD538" s="793"/>
      <c r="AE538" s="793"/>
      <c r="AF538" s="793"/>
      <c r="AG538" s="793"/>
      <c r="AH538" s="793"/>
      <c r="AI538" s="793"/>
      <c r="AJ538" s="793"/>
      <c r="AK538" s="793"/>
      <c r="AL538" s="793"/>
      <c r="AM538" s="793"/>
      <c r="AN538" s="805"/>
      <c r="AO538" s="805"/>
      <c r="AP538" s="793">
        <f t="shared" si="401"/>
        <v>0</v>
      </c>
      <c r="AQ538" s="793">
        <f t="shared" si="416"/>
        <v>125000</v>
      </c>
      <c r="AR538" s="793">
        <f t="shared" si="417"/>
        <v>165</v>
      </c>
      <c r="AS538" s="793">
        <f t="shared" si="418"/>
        <v>3579</v>
      </c>
      <c r="AT538" s="793">
        <f t="shared" si="405"/>
        <v>3579</v>
      </c>
      <c r="AU538" s="793">
        <f t="shared" si="406"/>
        <v>121421</v>
      </c>
      <c r="AV538" s="793">
        <f t="shared" si="407"/>
        <v>121421</v>
      </c>
      <c r="AW538" s="793">
        <f t="shared" si="419"/>
        <v>125000</v>
      </c>
      <c r="AX538" s="793">
        <f t="shared" si="420"/>
        <v>365</v>
      </c>
      <c r="AY538" s="793">
        <f t="shared" si="421"/>
        <v>7917</v>
      </c>
      <c r="AZ538" s="793">
        <f t="shared" si="411"/>
        <v>11496</v>
      </c>
      <c r="BA538" s="793">
        <f t="shared" si="412"/>
        <v>113504</v>
      </c>
    </row>
    <row r="539" spans="1:53" x14ac:dyDescent="0.25">
      <c r="A539" s="842" t="s">
        <v>1317</v>
      </c>
      <c r="B539" s="822" t="s">
        <v>358</v>
      </c>
      <c r="C539" s="778">
        <f t="shared" si="413"/>
        <v>6.3333333333333325E-2</v>
      </c>
      <c r="D539" s="844">
        <v>15</v>
      </c>
      <c r="E539" s="844" t="s">
        <v>884</v>
      </c>
      <c r="F539" s="862">
        <v>45239</v>
      </c>
      <c r="G539" s="862">
        <v>45239</v>
      </c>
      <c r="H539" s="781">
        <f t="shared" si="414"/>
        <v>50714</v>
      </c>
      <c r="I539" s="815">
        <v>65500</v>
      </c>
      <c r="J539" s="805">
        <f t="shared" si="415"/>
        <v>3275</v>
      </c>
      <c r="K539" s="793"/>
      <c r="L539" s="793"/>
      <c r="M539" s="793"/>
      <c r="N539" s="793"/>
      <c r="O539" s="793"/>
      <c r="P539" s="793"/>
      <c r="Q539" s="793"/>
      <c r="R539" s="793"/>
      <c r="S539" s="793"/>
      <c r="T539" s="793"/>
      <c r="U539" s="793"/>
      <c r="V539" s="793"/>
      <c r="W539" s="793"/>
      <c r="X539" s="793"/>
      <c r="Y539" s="793"/>
      <c r="Z539" s="793"/>
      <c r="AA539" s="793"/>
      <c r="AB539" s="793"/>
      <c r="AC539" s="793"/>
      <c r="AD539" s="793"/>
      <c r="AE539" s="793"/>
      <c r="AF539" s="793"/>
      <c r="AG539" s="793"/>
      <c r="AH539" s="793"/>
      <c r="AI539" s="793"/>
      <c r="AJ539" s="793"/>
      <c r="AK539" s="793"/>
      <c r="AL539" s="793"/>
      <c r="AM539" s="793"/>
      <c r="AN539" s="805"/>
      <c r="AO539" s="805"/>
      <c r="AP539" s="793">
        <f t="shared" si="401"/>
        <v>0</v>
      </c>
      <c r="AQ539" s="793">
        <f t="shared" si="416"/>
        <v>65500</v>
      </c>
      <c r="AR539" s="793">
        <f t="shared" si="417"/>
        <v>144</v>
      </c>
      <c r="AS539" s="793">
        <f t="shared" si="418"/>
        <v>1637</v>
      </c>
      <c r="AT539" s="793">
        <f t="shared" si="405"/>
        <v>1637</v>
      </c>
      <c r="AU539" s="793">
        <f t="shared" si="406"/>
        <v>63863</v>
      </c>
      <c r="AV539" s="793">
        <f t="shared" si="407"/>
        <v>63863</v>
      </c>
      <c r="AW539" s="793">
        <f t="shared" si="419"/>
        <v>65500</v>
      </c>
      <c r="AX539" s="793">
        <f t="shared" si="420"/>
        <v>365</v>
      </c>
      <c r="AY539" s="793">
        <f t="shared" si="421"/>
        <v>4148</v>
      </c>
      <c r="AZ539" s="793">
        <f t="shared" si="411"/>
        <v>5785</v>
      </c>
      <c r="BA539" s="793">
        <f t="shared" si="412"/>
        <v>59715</v>
      </c>
    </row>
    <row r="540" spans="1:53" x14ac:dyDescent="0.25">
      <c r="A540" s="842" t="s">
        <v>1317</v>
      </c>
      <c r="B540" s="863" t="s">
        <v>1354</v>
      </c>
      <c r="C540" s="778">
        <f t="shared" si="413"/>
        <v>6.3333333333333325E-2</v>
      </c>
      <c r="D540" s="844">
        <v>15</v>
      </c>
      <c r="E540" s="844" t="s">
        <v>884</v>
      </c>
      <c r="F540" s="862">
        <v>45239</v>
      </c>
      <c r="G540" s="862">
        <v>45239</v>
      </c>
      <c r="H540" s="781">
        <f t="shared" si="414"/>
        <v>50714</v>
      </c>
      <c r="I540" s="815">
        <v>116000</v>
      </c>
      <c r="J540" s="805">
        <f t="shared" si="415"/>
        <v>5800</v>
      </c>
      <c r="K540" s="793"/>
      <c r="L540" s="793"/>
      <c r="M540" s="793"/>
      <c r="N540" s="793"/>
      <c r="O540" s="793"/>
      <c r="P540" s="793"/>
      <c r="Q540" s="793"/>
      <c r="R540" s="793"/>
      <c r="S540" s="793"/>
      <c r="T540" s="793"/>
      <c r="U540" s="793"/>
      <c r="V540" s="793"/>
      <c r="W540" s="793"/>
      <c r="X540" s="793"/>
      <c r="Y540" s="793"/>
      <c r="Z540" s="793"/>
      <c r="AA540" s="793"/>
      <c r="AB540" s="793"/>
      <c r="AC540" s="793"/>
      <c r="AD540" s="793"/>
      <c r="AE540" s="793"/>
      <c r="AF540" s="793"/>
      <c r="AG540" s="793"/>
      <c r="AH540" s="793"/>
      <c r="AI540" s="793"/>
      <c r="AJ540" s="793"/>
      <c r="AK540" s="793"/>
      <c r="AL540" s="793"/>
      <c r="AM540" s="793"/>
      <c r="AN540" s="805"/>
      <c r="AO540" s="805"/>
      <c r="AP540" s="793">
        <f t="shared" si="401"/>
        <v>0</v>
      </c>
      <c r="AQ540" s="793">
        <f t="shared" si="416"/>
        <v>116000</v>
      </c>
      <c r="AR540" s="793">
        <f t="shared" si="417"/>
        <v>144</v>
      </c>
      <c r="AS540" s="793">
        <f t="shared" si="418"/>
        <v>2898</v>
      </c>
      <c r="AT540" s="793">
        <f t="shared" si="405"/>
        <v>2898</v>
      </c>
      <c r="AU540" s="793">
        <f t="shared" si="406"/>
        <v>113102</v>
      </c>
      <c r="AV540" s="793">
        <f t="shared" si="407"/>
        <v>113102</v>
      </c>
      <c r="AW540" s="793">
        <f t="shared" si="419"/>
        <v>116000</v>
      </c>
      <c r="AX540" s="793">
        <f t="shared" si="420"/>
        <v>365</v>
      </c>
      <c r="AY540" s="793">
        <f t="shared" si="421"/>
        <v>7347</v>
      </c>
      <c r="AZ540" s="793">
        <f t="shared" si="411"/>
        <v>10245</v>
      </c>
      <c r="BA540" s="793">
        <f t="shared" si="412"/>
        <v>105755</v>
      </c>
    </row>
    <row r="541" spans="1:53" x14ac:dyDescent="0.25">
      <c r="A541" s="842" t="s">
        <v>1317</v>
      </c>
      <c r="B541" s="822" t="s">
        <v>359</v>
      </c>
      <c r="C541" s="778">
        <f t="shared" si="413"/>
        <v>6.3333333333333325E-2</v>
      </c>
      <c r="D541" s="844">
        <v>15</v>
      </c>
      <c r="E541" s="844" t="s">
        <v>884</v>
      </c>
      <c r="F541" s="862">
        <v>45253</v>
      </c>
      <c r="G541" s="862">
        <v>45253</v>
      </c>
      <c r="H541" s="781">
        <f t="shared" si="414"/>
        <v>50728</v>
      </c>
      <c r="I541" s="815">
        <v>20859</v>
      </c>
      <c r="J541" s="805">
        <f t="shared" si="415"/>
        <v>1042.95</v>
      </c>
      <c r="K541" s="793"/>
      <c r="L541" s="793"/>
      <c r="M541" s="793"/>
      <c r="N541" s="793"/>
      <c r="O541" s="793"/>
      <c r="P541" s="793"/>
      <c r="Q541" s="793"/>
      <c r="R541" s="793"/>
      <c r="S541" s="793"/>
      <c r="T541" s="793"/>
      <c r="U541" s="793"/>
      <c r="V541" s="793"/>
      <c r="W541" s="793"/>
      <c r="X541" s="793"/>
      <c r="Y541" s="793"/>
      <c r="Z541" s="793"/>
      <c r="AA541" s="793"/>
      <c r="AB541" s="793"/>
      <c r="AC541" s="793"/>
      <c r="AD541" s="793"/>
      <c r="AE541" s="793"/>
      <c r="AF541" s="793"/>
      <c r="AG541" s="793"/>
      <c r="AH541" s="793"/>
      <c r="AI541" s="793"/>
      <c r="AJ541" s="793"/>
      <c r="AK541" s="793"/>
      <c r="AL541" s="793"/>
      <c r="AM541" s="793"/>
      <c r="AN541" s="805"/>
      <c r="AO541" s="805"/>
      <c r="AP541" s="793">
        <f t="shared" si="401"/>
        <v>0</v>
      </c>
      <c r="AQ541" s="793">
        <f t="shared" si="416"/>
        <v>20859</v>
      </c>
      <c r="AR541" s="793">
        <f t="shared" si="417"/>
        <v>130</v>
      </c>
      <c r="AS541" s="793">
        <f t="shared" si="418"/>
        <v>471</v>
      </c>
      <c r="AT541" s="793">
        <f t="shared" si="405"/>
        <v>471</v>
      </c>
      <c r="AU541" s="793">
        <f t="shared" si="406"/>
        <v>20388</v>
      </c>
      <c r="AV541" s="793">
        <f t="shared" si="407"/>
        <v>20388</v>
      </c>
      <c r="AW541" s="793">
        <f t="shared" si="419"/>
        <v>20859</v>
      </c>
      <c r="AX541" s="793">
        <f t="shared" si="420"/>
        <v>365</v>
      </c>
      <c r="AY541" s="793">
        <f t="shared" si="421"/>
        <v>1321</v>
      </c>
      <c r="AZ541" s="793">
        <f t="shared" si="411"/>
        <v>1792</v>
      </c>
      <c r="BA541" s="793">
        <f t="shared" si="412"/>
        <v>19067</v>
      </c>
    </row>
    <row r="542" spans="1:53" x14ac:dyDescent="0.25">
      <c r="A542" s="842" t="s">
        <v>1317</v>
      </c>
      <c r="B542" s="822" t="s">
        <v>494</v>
      </c>
      <c r="C542" s="778">
        <f t="shared" si="413"/>
        <v>6.3333333333333325E-2</v>
      </c>
      <c r="D542" s="844">
        <v>15</v>
      </c>
      <c r="E542" s="844" t="s">
        <v>884</v>
      </c>
      <c r="F542" s="862">
        <v>45259</v>
      </c>
      <c r="G542" s="862">
        <v>45259</v>
      </c>
      <c r="H542" s="781">
        <f t="shared" si="414"/>
        <v>50734</v>
      </c>
      <c r="I542" s="815">
        <v>3650000</v>
      </c>
      <c r="J542" s="805">
        <f t="shared" si="415"/>
        <v>182500</v>
      </c>
      <c r="K542" s="793"/>
      <c r="L542" s="793"/>
      <c r="M542" s="793"/>
      <c r="N542" s="793"/>
      <c r="O542" s="793"/>
      <c r="P542" s="793"/>
      <c r="Q542" s="793"/>
      <c r="R542" s="793"/>
      <c r="S542" s="793"/>
      <c r="T542" s="793"/>
      <c r="U542" s="793"/>
      <c r="V542" s="793"/>
      <c r="W542" s="793"/>
      <c r="X542" s="793"/>
      <c r="Y542" s="793"/>
      <c r="Z542" s="793"/>
      <c r="AA542" s="793"/>
      <c r="AB542" s="793"/>
      <c r="AC542" s="793"/>
      <c r="AD542" s="793"/>
      <c r="AE542" s="793"/>
      <c r="AF542" s="793"/>
      <c r="AG542" s="793"/>
      <c r="AH542" s="793"/>
      <c r="AI542" s="793"/>
      <c r="AJ542" s="793"/>
      <c r="AK542" s="793"/>
      <c r="AL542" s="793"/>
      <c r="AM542" s="793"/>
      <c r="AN542" s="805"/>
      <c r="AO542" s="805"/>
      <c r="AP542" s="793">
        <f t="shared" si="401"/>
        <v>0</v>
      </c>
      <c r="AQ542" s="793">
        <f t="shared" si="416"/>
        <v>3650000</v>
      </c>
      <c r="AR542" s="793">
        <f t="shared" si="417"/>
        <v>124</v>
      </c>
      <c r="AS542" s="793">
        <f t="shared" si="418"/>
        <v>78533</v>
      </c>
      <c r="AT542" s="793">
        <f t="shared" si="405"/>
        <v>78533</v>
      </c>
      <c r="AU542" s="793">
        <f t="shared" si="406"/>
        <v>3571467</v>
      </c>
      <c r="AV542" s="793">
        <f t="shared" si="407"/>
        <v>3571467</v>
      </c>
      <c r="AW542" s="793">
        <f t="shared" si="419"/>
        <v>3650000</v>
      </c>
      <c r="AX542" s="793">
        <f t="shared" si="420"/>
        <v>365</v>
      </c>
      <c r="AY542" s="793">
        <f t="shared" si="421"/>
        <v>231167</v>
      </c>
      <c r="AZ542" s="793">
        <f t="shared" si="411"/>
        <v>309700</v>
      </c>
      <c r="BA542" s="793">
        <f t="shared" si="412"/>
        <v>3340300</v>
      </c>
    </row>
    <row r="543" spans="1:53" x14ac:dyDescent="0.25">
      <c r="A543" s="842" t="s">
        <v>1317</v>
      </c>
      <c r="B543" s="863" t="s">
        <v>1354</v>
      </c>
      <c r="C543" s="778">
        <f t="shared" si="413"/>
        <v>6.3333333333333325E-2</v>
      </c>
      <c r="D543" s="844">
        <v>15</v>
      </c>
      <c r="E543" s="844" t="s">
        <v>884</v>
      </c>
      <c r="F543" s="862">
        <v>45284</v>
      </c>
      <c r="G543" s="862">
        <v>45284</v>
      </c>
      <c r="H543" s="781">
        <f t="shared" si="414"/>
        <v>50759</v>
      </c>
      <c r="I543" s="815">
        <v>148000</v>
      </c>
      <c r="J543" s="805">
        <f t="shared" si="415"/>
        <v>7400</v>
      </c>
      <c r="K543" s="793"/>
      <c r="L543" s="793"/>
      <c r="M543" s="793"/>
      <c r="N543" s="793"/>
      <c r="O543" s="793"/>
      <c r="P543" s="793"/>
      <c r="Q543" s="793"/>
      <c r="R543" s="793"/>
      <c r="S543" s="793"/>
      <c r="T543" s="793"/>
      <c r="U543" s="793"/>
      <c r="V543" s="793"/>
      <c r="W543" s="793"/>
      <c r="X543" s="793"/>
      <c r="Y543" s="793"/>
      <c r="Z543" s="793"/>
      <c r="AA543" s="793"/>
      <c r="AB543" s="793"/>
      <c r="AC543" s="793"/>
      <c r="AD543" s="793"/>
      <c r="AE543" s="793"/>
      <c r="AF543" s="793"/>
      <c r="AG543" s="793"/>
      <c r="AH543" s="793"/>
      <c r="AI543" s="793"/>
      <c r="AJ543" s="793"/>
      <c r="AK543" s="793"/>
      <c r="AL543" s="793"/>
      <c r="AM543" s="793"/>
      <c r="AN543" s="805"/>
      <c r="AO543" s="805"/>
      <c r="AP543" s="793">
        <f t="shared" si="401"/>
        <v>0</v>
      </c>
      <c r="AQ543" s="793">
        <f t="shared" si="416"/>
        <v>148000</v>
      </c>
      <c r="AR543" s="793">
        <f t="shared" si="417"/>
        <v>99</v>
      </c>
      <c r="AS543" s="793">
        <f t="shared" si="418"/>
        <v>2542</v>
      </c>
      <c r="AT543" s="793">
        <f t="shared" si="405"/>
        <v>2542</v>
      </c>
      <c r="AU543" s="793">
        <f t="shared" si="406"/>
        <v>145458</v>
      </c>
      <c r="AV543" s="793">
        <f t="shared" si="407"/>
        <v>145458</v>
      </c>
      <c r="AW543" s="793">
        <f t="shared" si="419"/>
        <v>148000</v>
      </c>
      <c r="AX543" s="793">
        <f t="shared" si="420"/>
        <v>365</v>
      </c>
      <c r="AY543" s="793">
        <f t="shared" si="421"/>
        <v>9373</v>
      </c>
      <c r="AZ543" s="793">
        <f t="shared" si="411"/>
        <v>11915</v>
      </c>
      <c r="BA543" s="793">
        <f t="shared" si="412"/>
        <v>136085</v>
      </c>
    </row>
    <row r="544" spans="1:53" x14ac:dyDescent="0.25">
      <c r="A544" s="842" t="s">
        <v>1317</v>
      </c>
      <c r="B544" s="822" t="s">
        <v>358</v>
      </c>
      <c r="C544" s="778">
        <f t="shared" si="413"/>
        <v>6.3333333333333325E-2</v>
      </c>
      <c r="D544" s="844">
        <v>15</v>
      </c>
      <c r="E544" s="844" t="s">
        <v>884</v>
      </c>
      <c r="F544" s="862">
        <v>45296</v>
      </c>
      <c r="G544" s="862">
        <v>45296</v>
      </c>
      <c r="H544" s="781">
        <f t="shared" si="414"/>
        <v>50771</v>
      </c>
      <c r="I544" s="815">
        <v>877500</v>
      </c>
      <c r="J544" s="805">
        <f t="shared" si="415"/>
        <v>43875</v>
      </c>
      <c r="K544" s="793"/>
      <c r="L544" s="793"/>
      <c r="M544" s="793"/>
      <c r="N544" s="793"/>
      <c r="O544" s="793"/>
      <c r="P544" s="793"/>
      <c r="Q544" s="793"/>
      <c r="R544" s="793"/>
      <c r="S544" s="793"/>
      <c r="T544" s="793"/>
      <c r="U544" s="793"/>
      <c r="V544" s="793"/>
      <c r="W544" s="793"/>
      <c r="X544" s="793"/>
      <c r="Y544" s="793"/>
      <c r="Z544" s="793"/>
      <c r="AA544" s="793"/>
      <c r="AB544" s="793"/>
      <c r="AC544" s="793"/>
      <c r="AD544" s="793"/>
      <c r="AE544" s="793"/>
      <c r="AF544" s="793"/>
      <c r="AG544" s="793"/>
      <c r="AH544" s="793"/>
      <c r="AI544" s="793"/>
      <c r="AJ544" s="793"/>
      <c r="AK544" s="793"/>
      <c r="AL544" s="793"/>
      <c r="AM544" s="793"/>
      <c r="AN544" s="805"/>
      <c r="AO544" s="805"/>
      <c r="AP544" s="793">
        <f t="shared" si="401"/>
        <v>0</v>
      </c>
      <c r="AQ544" s="793">
        <f t="shared" si="416"/>
        <v>877500</v>
      </c>
      <c r="AR544" s="793">
        <f t="shared" si="417"/>
        <v>87</v>
      </c>
      <c r="AS544" s="793">
        <f t="shared" si="418"/>
        <v>13247</v>
      </c>
      <c r="AT544" s="793">
        <f t="shared" si="405"/>
        <v>13247</v>
      </c>
      <c r="AU544" s="793">
        <f t="shared" si="406"/>
        <v>864253</v>
      </c>
      <c r="AV544" s="793">
        <f t="shared" si="407"/>
        <v>864253</v>
      </c>
      <c r="AW544" s="793">
        <f t="shared" si="419"/>
        <v>877500</v>
      </c>
      <c r="AX544" s="793">
        <f t="shared" si="420"/>
        <v>365</v>
      </c>
      <c r="AY544" s="793">
        <f t="shared" si="421"/>
        <v>55575</v>
      </c>
      <c r="AZ544" s="793">
        <f t="shared" si="411"/>
        <v>68822</v>
      </c>
      <c r="BA544" s="793">
        <f t="shared" si="412"/>
        <v>808678</v>
      </c>
    </row>
    <row r="545" spans="1:59" x14ac:dyDescent="0.25">
      <c r="A545" s="842" t="s">
        <v>1317</v>
      </c>
      <c r="B545" s="822" t="s">
        <v>1354</v>
      </c>
      <c r="C545" s="778">
        <f t="shared" si="413"/>
        <v>6.3333333333333325E-2</v>
      </c>
      <c r="D545" s="844">
        <v>15</v>
      </c>
      <c r="E545" s="844" t="s">
        <v>884</v>
      </c>
      <c r="F545" s="862">
        <v>45300</v>
      </c>
      <c r="G545" s="862">
        <v>45300</v>
      </c>
      <c r="H545" s="781">
        <f t="shared" si="414"/>
        <v>50775</v>
      </c>
      <c r="I545" s="815">
        <v>180000</v>
      </c>
      <c r="J545" s="805">
        <f t="shared" si="415"/>
        <v>9000</v>
      </c>
      <c r="K545" s="793"/>
      <c r="L545" s="793"/>
      <c r="M545" s="793"/>
      <c r="N545" s="793"/>
      <c r="O545" s="793"/>
      <c r="P545" s="793"/>
      <c r="Q545" s="793"/>
      <c r="R545" s="793"/>
      <c r="S545" s="793"/>
      <c r="T545" s="793"/>
      <c r="U545" s="793"/>
      <c r="V545" s="793"/>
      <c r="W545" s="793"/>
      <c r="X545" s="793"/>
      <c r="Y545" s="793"/>
      <c r="Z545" s="793"/>
      <c r="AA545" s="793"/>
      <c r="AB545" s="793"/>
      <c r="AC545" s="793"/>
      <c r="AD545" s="793"/>
      <c r="AE545" s="793"/>
      <c r="AF545" s="793"/>
      <c r="AG545" s="793"/>
      <c r="AH545" s="793"/>
      <c r="AI545" s="793"/>
      <c r="AJ545" s="793"/>
      <c r="AK545" s="793"/>
      <c r="AL545" s="793"/>
      <c r="AM545" s="793"/>
      <c r="AN545" s="805"/>
      <c r="AO545" s="805"/>
      <c r="AP545" s="793">
        <f t="shared" si="401"/>
        <v>0</v>
      </c>
      <c r="AQ545" s="793">
        <f t="shared" si="416"/>
        <v>180000</v>
      </c>
      <c r="AR545" s="793">
        <f t="shared" si="417"/>
        <v>83</v>
      </c>
      <c r="AS545" s="793">
        <f t="shared" si="418"/>
        <v>2592</v>
      </c>
      <c r="AT545" s="793">
        <f t="shared" si="405"/>
        <v>2592</v>
      </c>
      <c r="AU545" s="793">
        <f t="shared" si="406"/>
        <v>177408</v>
      </c>
      <c r="AV545" s="793">
        <f t="shared" si="407"/>
        <v>177408</v>
      </c>
      <c r="AW545" s="793">
        <f t="shared" si="419"/>
        <v>180000</v>
      </c>
      <c r="AX545" s="793">
        <f t="shared" si="420"/>
        <v>365</v>
      </c>
      <c r="AY545" s="793">
        <f t="shared" si="421"/>
        <v>11400</v>
      </c>
      <c r="AZ545" s="793">
        <f t="shared" si="411"/>
        <v>13992</v>
      </c>
      <c r="BA545" s="793">
        <f t="shared" si="412"/>
        <v>166008</v>
      </c>
    </row>
    <row r="546" spans="1:59" x14ac:dyDescent="0.25">
      <c r="A546" s="842" t="s">
        <v>1317</v>
      </c>
      <c r="B546" s="822" t="s">
        <v>1354</v>
      </c>
      <c r="C546" s="778">
        <f t="shared" si="413"/>
        <v>6.3333333333333325E-2</v>
      </c>
      <c r="D546" s="844">
        <v>15</v>
      </c>
      <c r="E546" s="844" t="s">
        <v>884</v>
      </c>
      <c r="F546" s="862">
        <v>45302</v>
      </c>
      <c r="G546" s="862">
        <v>45302</v>
      </c>
      <c r="H546" s="781">
        <f t="shared" si="414"/>
        <v>50777</v>
      </c>
      <c r="I546" s="815">
        <v>320340</v>
      </c>
      <c r="J546" s="805">
        <f t="shared" si="415"/>
        <v>16017</v>
      </c>
      <c r="K546" s="793"/>
      <c r="L546" s="793"/>
      <c r="M546" s="793"/>
      <c r="N546" s="793"/>
      <c r="O546" s="793"/>
      <c r="P546" s="793"/>
      <c r="Q546" s="793"/>
      <c r="R546" s="793"/>
      <c r="S546" s="793"/>
      <c r="T546" s="793"/>
      <c r="U546" s="793"/>
      <c r="V546" s="793"/>
      <c r="W546" s="793"/>
      <c r="X546" s="793"/>
      <c r="Y546" s="793"/>
      <c r="Z546" s="793"/>
      <c r="AA546" s="793"/>
      <c r="AB546" s="793"/>
      <c r="AC546" s="793"/>
      <c r="AD546" s="793"/>
      <c r="AE546" s="793"/>
      <c r="AF546" s="793"/>
      <c r="AG546" s="793"/>
      <c r="AH546" s="793"/>
      <c r="AI546" s="793"/>
      <c r="AJ546" s="793"/>
      <c r="AK546" s="793"/>
      <c r="AL546" s="793"/>
      <c r="AM546" s="793"/>
      <c r="AN546" s="805"/>
      <c r="AO546" s="805"/>
      <c r="AP546" s="793">
        <f t="shared" si="401"/>
        <v>0</v>
      </c>
      <c r="AQ546" s="793">
        <f t="shared" si="416"/>
        <v>320340</v>
      </c>
      <c r="AR546" s="793">
        <f t="shared" si="417"/>
        <v>81</v>
      </c>
      <c r="AS546" s="793">
        <f t="shared" si="418"/>
        <v>4502</v>
      </c>
      <c r="AT546" s="793">
        <f t="shared" si="405"/>
        <v>4502</v>
      </c>
      <c r="AU546" s="793">
        <f t="shared" si="406"/>
        <v>315838</v>
      </c>
      <c r="AV546" s="793">
        <f t="shared" si="407"/>
        <v>315838</v>
      </c>
      <c r="AW546" s="793">
        <f t="shared" si="419"/>
        <v>320340</v>
      </c>
      <c r="AX546" s="793">
        <f t="shared" si="420"/>
        <v>365</v>
      </c>
      <c r="AY546" s="793">
        <f t="shared" si="421"/>
        <v>20288</v>
      </c>
      <c r="AZ546" s="793">
        <f t="shared" si="411"/>
        <v>24790</v>
      </c>
      <c r="BA546" s="793">
        <f t="shared" si="412"/>
        <v>295550</v>
      </c>
    </row>
    <row r="547" spans="1:59" x14ac:dyDescent="0.25">
      <c r="A547" s="842" t="s">
        <v>1317</v>
      </c>
      <c r="B547" s="822" t="s">
        <v>358</v>
      </c>
      <c r="C547" s="778">
        <f t="shared" si="413"/>
        <v>6.3333333333333325E-2</v>
      </c>
      <c r="D547" s="844">
        <v>15</v>
      </c>
      <c r="E547" s="844" t="s">
        <v>884</v>
      </c>
      <c r="F547" s="862">
        <v>45310</v>
      </c>
      <c r="G547" s="862">
        <v>45310</v>
      </c>
      <c r="H547" s="781">
        <f t="shared" si="414"/>
        <v>50785</v>
      </c>
      <c r="I547" s="815">
        <v>61000</v>
      </c>
      <c r="J547" s="805">
        <f t="shared" si="415"/>
        <v>3050</v>
      </c>
      <c r="K547" s="793"/>
      <c r="L547" s="793"/>
      <c r="M547" s="793"/>
      <c r="N547" s="793"/>
      <c r="O547" s="793"/>
      <c r="P547" s="793"/>
      <c r="Q547" s="793"/>
      <c r="R547" s="793"/>
      <c r="S547" s="793"/>
      <c r="T547" s="793"/>
      <c r="U547" s="793"/>
      <c r="V547" s="793"/>
      <c r="W547" s="793"/>
      <c r="X547" s="793"/>
      <c r="Y547" s="793"/>
      <c r="Z547" s="793"/>
      <c r="AA547" s="793"/>
      <c r="AB547" s="793"/>
      <c r="AC547" s="793"/>
      <c r="AD547" s="793"/>
      <c r="AE547" s="793"/>
      <c r="AF547" s="793"/>
      <c r="AG547" s="793"/>
      <c r="AH547" s="793"/>
      <c r="AI547" s="793"/>
      <c r="AJ547" s="793"/>
      <c r="AK547" s="793"/>
      <c r="AL547" s="793"/>
      <c r="AM547" s="793"/>
      <c r="AN547" s="805"/>
      <c r="AO547" s="805"/>
      <c r="AP547" s="793">
        <f t="shared" si="401"/>
        <v>0</v>
      </c>
      <c r="AQ547" s="793">
        <f t="shared" si="416"/>
        <v>61000</v>
      </c>
      <c r="AR547" s="793">
        <f t="shared" si="417"/>
        <v>73</v>
      </c>
      <c r="AS547" s="793">
        <f t="shared" si="418"/>
        <v>773</v>
      </c>
      <c r="AT547" s="793">
        <f t="shared" si="405"/>
        <v>773</v>
      </c>
      <c r="AU547" s="793">
        <f t="shared" si="406"/>
        <v>60227</v>
      </c>
      <c r="AV547" s="793">
        <f t="shared" si="407"/>
        <v>60227</v>
      </c>
      <c r="AW547" s="793">
        <f t="shared" si="419"/>
        <v>61000</v>
      </c>
      <c r="AX547" s="793">
        <f t="shared" si="420"/>
        <v>365</v>
      </c>
      <c r="AY547" s="793">
        <f t="shared" si="421"/>
        <v>3863</v>
      </c>
      <c r="AZ547" s="793">
        <f t="shared" si="411"/>
        <v>4636</v>
      </c>
      <c r="BA547" s="793">
        <f t="shared" si="412"/>
        <v>56364</v>
      </c>
    </row>
    <row r="548" spans="1:59" x14ac:dyDescent="0.25">
      <c r="A548" s="842" t="s">
        <v>1317</v>
      </c>
      <c r="B548" s="822" t="s">
        <v>358</v>
      </c>
      <c r="C548" s="778">
        <f t="shared" si="413"/>
        <v>6.3333333333333325E-2</v>
      </c>
      <c r="D548" s="844">
        <v>15</v>
      </c>
      <c r="E548" s="844" t="s">
        <v>884</v>
      </c>
      <c r="F548" s="862">
        <v>45320</v>
      </c>
      <c r="G548" s="862">
        <v>45320</v>
      </c>
      <c r="H548" s="781">
        <f t="shared" si="414"/>
        <v>50795</v>
      </c>
      <c r="I548" s="815">
        <v>345000</v>
      </c>
      <c r="J548" s="805">
        <f t="shared" si="415"/>
        <v>17250</v>
      </c>
      <c r="K548" s="793"/>
      <c r="L548" s="793"/>
      <c r="M548" s="793"/>
      <c r="N548" s="793"/>
      <c r="O548" s="793"/>
      <c r="P548" s="793"/>
      <c r="Q548" s="793"/>
      <c r="R548" s="793"/>
      <c r="S548" s="793"/>
      <c r="T548" s="793"/>
      <c r="U548" s="793"/>
      <c r="V548" s="793"/>
      <c r="W548" s="793"/>
      <c r="X548" s="793"/>
      <c r="Y548" s="793"/>
      <c r="Z548" s="793"/>
      <c r="AA548" s="793"/>
      <c r="AB548" s="793"/>
      <c r="AC548" s="793"/>
      <c r="AD548" s="793"/>
      <c r="AE548" s="793"/>
      <c r="AF548" s="793"/>
      <c r="AG548" s="793"/>
      <c r="AH548" s="793"/>
      <c r="AI548" s="793"/>
      <c r="AJ548" s="793"/>
      <c r="AK548" s="793"/>
      <c r="AL548" s="793"/>
      <c r="AM548" s="793"/>
      <c r="AN548" s="805"/>
      <c r="AO548" s="805"/>
      <c r="AP548" s="793">
        <f t="shared" si="401"/>
        <v>0</v>
      </c>
      <c r="AQ548" s="793">
        <f t="shared" si="416"/>
        <v>345000</v>
      </c>
      <c r="AR548" s="793">
        <f t="shared" si="417"/>
        <v>63</v>
      </c>
      <c r="AS548" s="793">
        <f t="shared" si="418"/>
        <v>3771</v>
      </c>
      <c r="AT548" s="793">
        <f t="shared" si="405"/>
        <v>3771</v>
      </c>
      <c r="AU548" s="793">
        <f t="shared" si="406"/>
        <v>341229</v>
      </c>
      <c r="AV548" s="793">
        <f t="shared" si="407"/>
        <v>341229</v>
      </c>
      <c r="AW548" s="793">
        <f t="shared" si="419"/>
        <v>345000</v>
      </c>
      <c r="AX548" s="793">
        <f t="shared" si="420"/>
        <v>365</v>
      </c>
      <c r="AY548" s="793">
        <f t="shared" si="421"/>
        <v>21850</v>
      </c>
      <c r="AZ548" s="793">
        <f t="shared" si="411"/>
        <v>25621</v>
      </c>
      <c r="BA548" s="793">
        <f t="shared" si="412"/>
        <v>319379</v>
      </c>
    </row>
    <row r="549" spans="1:59" x14ac:dyDescent="0.25">
      <c r="A549" s="842" t="s">
        <v>1317</v>
      </c>
      <c r="B549" s="822" t="s">
        <v>358</v>
      </c>
      <c r="C549" s="778">
        <f t="shared" si="413"/>
        <v>6.3333333333333325E-2</v>
      </c>
      <c r="D549" s="844">
        <v>15</v>
      </c>
      <c r="E549" s="844" t="s">
        <v>884</v>
      </c>
      <c r="F549" s="814">
        <v>45324</v>
      </c>
      <c r="G549" s="814">
        <v>45324</v>
      </c>
      <c r="H549" s="781">
        <f t="shared" si="414"/>
        <v>50799</v>
      </c>
      <c r="I549" s="815">
        <v>5850</v>
      </c>
      <c r="J549" s="805">
        <f t="shared" si="415"/>
        <v>292.5</v>
      </c>
      <c r="K549" s="793"/>
      <c r="L549" s="793"/>
      <c r="M549" s="793"/>
      <c r="N549" s="793"/>
      <c r="O549" s="793"/>
      <c r="P549" s="793"/>
      <c r="Q549" s="793"/>
      <c r="R549" s="793"/>
      <c r="S549" s="793"/>
      <c r="T549" s="793"/>
      <c r="U549" s="793"/>
      <c r="V549" s="793"/>
      <c r="W549" s="793"/>
      <c r="X549" s="793"/>
      <c r="Y549" s="793"/>
      <c r="Z549" s="793"/>
      <c r="AA549" s="793"/>
      <c r="AB549" s="793"/>
      <c r="AC549" s="793"/>
      <c r="AD549" s="793"/>
      <c r="AE549" s="793"/>
      <c r="AF549" s="793"/>
      <c r="AG549" s="793"/>
      <c r="AH549" s="793"/>
      <c r="AI549" s="793"/>
      <c r="AJ549" s="793"/>
      <c r="AK549" s="793"/>
      <c r="AL549" s="793"/>
      <c r="AM549" s="793"/>
      <c r="AN549" s="805"/>
      <c r="AO549" s="805"/>
      <c r="AP549" s="793">
        <f t="shared" si="401"/>
        <v>0</v>
      </c>
      <c r="AQ549" s="793">
        <f t="shared" si="416"/>
        <v>5850</v>
      </c>
      <c r="AR549" s="793">
        <f t="shared" si="417"/>
        <v>59</v>
      </c>
      <c r="AS549" s="793">
        <f t="shared" si="418"/>
        <v>60</v>
      </c>
      <c r="AT549" s="793">
        <f t="shared" si="405"/>
        <v>60</v>
      </c>
      <c r="AU549" s="793">
        <f t="shared" si="406"/>
        <v>5790</v>
      </c>
      <c r="AV549" s="793">
        <f t="shared" si="407"/>
        <v>5790</v>
      </c>
      <c r="AW549" s="793">
        <f t="shared" si="419"/>
        <v>5850</v>
      </c>
      <c r="AX549" s="793">
        <f t="shared" si="420"/>
        <v>365</v>
      </c>
      <c r="AY549" s="793">
        <f t="shared" si="421"/>
        <v>371</v>
      </c>
      <c r="AZ549" s="793">
        <f t="shared" si="411"/>
        <v>431</v>
      </c>
      <c r="BA549" s="793">
        <f t="shared" si="412"/>
        <v>5419</v>
      </c>
    </row>
    <row r="550" spans="1:59" x14ac:dyDescent="0.25">
      <c r="A550" s="842" t="s">
        <v>1317</v>
      </c>
      <c r="B550" s="822" t="s">
        <v>358</v>
      </c>
      <c r="C550" s="778">
        <f t="shared" si="413"/>
        <v>6.3333333333333325E-2</v>
      </c>
      <c r="D550" s="844">
        <v>15</v>
      </c>
      <c r="E550" s="844" t="s">
        <v>884</v>
      </c>
      <c r="F550" s="814">
        <v>45327</v>
      </c>
      <c r="G550" s="814">
        <v>45327</v>
      </c>
      <c r="H550" s="781">
        <f t="shared" si="414"/>
        <v>50802</v>
      </c>
      <c r="I550" s="815">
        <v>10499</v>
      </c>
      <c r="J550" s="805">
        <f t="shared" si="415"/>
        <v>524.95000000000005</v>
      </c>
      <c r="K550" s="793"/>
      <c r="L550" s="793"/>
      <c r="M550" s="793"/>
      <c r="N550" s="793"/>
      <c r="O550" s="793"/>
      <c r="P550" s="793"/>
      <c r="Q550" s="793"/>
      <c r="R550" s="793"/>
      <c r="S550" s="793"/>
      <c r="T550" s="793"/>
      <c r="U550" s="793"/>
      <c r="V550" s="793"/>
      <c r="W550" s="793"/>
      <c r="X550" s="793"/>
      <c r="Y550" s="793"/>
      <c r="Z550" s="793"/>
      <c r="AA550" s="793"/>
      <c r="AB550" s="793"/>
      <c r="AC550" s="793"/>
      <c r="AD550" s="793"/>
      <c r="AE550" s="793"/>
      <c r="AF550" s="793"/>
      <c r="AG550" s="793"/>
      <c r="AH550" s="793"/>
      <c r="AI550" s="793"/>
      <c r="AJ550" s="793"/>
      <c r="AK550" s="793"/>
      <c r="AL550" s="793"/>
      <c r="AM550" s="793"/>
      <c r="AN550" s="805"/>
      <c r="AO550" s="805"/>
      <c r="AP550" s="793">
        <f t="shared" si="401"/>
        <v>0</v>
      </c>
      <c r="AQ550" s="793">
        <f t="shared" si="416"/>
        <v>10499</v>
      </c>
      <c r="AR550" s="793">
        <f t="shared" si="417"/>
        <v>56</v>
      </c>
      <c r="AS550" s="793">
        <f t="shared" si="418"/>
        <v>102</v>
      </c>
      <c r="AT550" s="793">
        <f t="shared" si="405"/>
        <v>102</v>
      </c>
      <c r="AU550" s="793">
        <f t="shared" si="406"/>
        <v>10397</v>
      </c>
      <c r="AV550" s="793">
        <f t="shared" si="407"/>
        <v>10397</v>
      </c>
      <c r="AW550" s="793">
        <f t="shared" si="419"/>
        <v>10499</v>
      </c>
      <c r="AX550" s="793">
        <f t="shared" si="420"/>
        <v>365</v>
      </c>
      <c r="AY550" s="793">
        <f t="shared" si="421"/>
        <v>665</v>
      </c>
      <c r="AZ550" s="793">
        <f t="shared" si="411"/>
        <v>767</v>
      </c>
      <c r="BA550" s="793">
        <f t="shared" si="412"/>
        <v>9732</v>
      </c>
    </row>
    <row r="551" spans="1:59" x14ac:dyDescent="0.25">
      <c r="A551" s="842" t="s">
        <v>1317</v>
      </c>
      <c r="B551" s="863" t="s">
        <v>1362</v>
      </c>
      <c r="C551" s="778">
        <f t="shared" si="413"/>
        <v>6.3333333333333325E-2</v>
      </c>
      <c r="D551" s="844">
        <v>15</v>
      </c>
      <c r="E551" s="844" t="s">
        <v>884</v>
      </c>
      <c r="F551" s="814">
        <v>45328</v>
      </c>
      <c r="G551" s="814">
        <v>45328</v>
      </c>
      <c r="H551" s="781">
        <f t="shared" si="414"/>
        <v>50803</v>
      </c>
      <c r="I551" s="815">
        <v>890000</v>
      </c>
      <c r="J551" s="805">
        <f t="shared" si="415"/>
        <v>44500</v>
      </c>
      <c r="K551" s="793"/>
      <c r="L551" s="793"/>
      <c r="M551" s="793"/>
      <c r="N551" s="793"/>
      <c r="O551" s="793"/>
      <c r="P551" s="793"/>
      <c r="Q551" s="793"/>
      <c r="R551" s="793"/>
      <c r="S551" s="793"/>
      <c r="T551" s="793"/>
      <c r="U551" s="793"/>
      <c r="V551" s="793"/>
      <c r="W551" s="793"/>
      <c r="X551" s="793"/>
      <c r="Y551" s="793"/>
      <c r="Z551" s="793"/>
      <c r="AA551" s="793"/>
      <c r="AB551" s="793"/>
      <c r="AC551" s="793"/>
      <c r="AD551" s="793"/>
      <c r="AE551" s="793"/>
      <c r="AF551" s="793"/>
      <c r="AG551" s="793"/>
      <c r="AH551" s="793"/>
      <c r="AI551" s="793"/>
      <c r="AJ551" s="793"/>
      <c r="AK551" s="793"/>
      <c r="AL551" s="793"/>
      <c r="AM551" s="793"/>
      <c r="AN551" s="805"/>
      <c r="AO551" s="805"/>
      <c r="AP551" s="793">
        <f t="shared" si="401"/>
        <v>0</v>
      </c>
      <c r="AQ551" s="793">
        <f t="shared" si="416"/>
        <v>890000</v>
      </c>
      <c r="AR551" s="793">
        <f t="shared" si="417"/>
        <v>55</v>
      </c>
      <c r="AS551" s="793">
        <f t="shared" si="418"/>
        <v>8494</v>
      </c>
      <c r="AT551" s="793">
        <f t="shared" si="405"/>
        <v>8494</v>
      </c>
      <c r="AU551" s="793">
        <f t="shared" si="406"/>
        <v>881506</v>
      </c>
      <c r="AV551" s="793">
        <f t="shared" si="407"/>
        <v>881506</v>
      </c>
      <c r="AW551" s="793">
        <f t="shared" si="419"/>
        <v>890000</v>
      </c>
      <c r="AX551" s="793">
        <f t="shared" si="420"/>
        <v>365</v>
      </c>
      <c r="AY551" s="793">
        <f t="shared" si="421"/>
        <v>56367</v>
      </c>
      <c r="AZ551" s="793">
        <f t="shared" si="411"/>
        <v>64861</v>
      </c>
      <c r="BA551" s="793">
        <f t="shared" si="412"/>
        <v>825139</v>
      </c>
    </row>
    <row r="552" spans="1:59" x14ac:dyDescent="0.25">
      <c r="A552" s="842" t="s">
        <v>1317</v>
      </c>
      <c r="B552" s="822" t="s">
        <v>358</v>
      </c>
      <c r="C552" s="778">
        <f t="shared" si="413"/>
        <v>6.3333333333333325E-2</v>
      </c>
      <c r="D552" s="844">
        <v>15</v>
      </c>
      <c r="E552" s="844" t="s">
        <v>884</v>
      </c>
      <c r="F552" s="814">
        <v>45334</v>
      </c>
      <c r="G552" s="814">
        <v>45334</v>
      </c>
      <c r="H552" s="781">
        <f t="shared" si="414"/>
        <v>50809</v>
      </c>
      <c r="I552" s="815">
        <v>27000</v>
      </c>
      <c r="J552" s="805">
        <f t="shared" si="415"/>
        <v>1350</v>
      </c>
      <c r="K552" s="793"/>
      <c r="L552" s="793"/>
      <c r="M552" s="793"/>
      <c r="N552" s="793"/>
      <c r="O552" s="793"/>
      <c r="P552" s="793"/>
      <c r="Q552" s="793"/>
      <c r="R552" s="793"/>
      <c r="S552" s="793"/>
      <c r="T552" s="793"/>
      <c r="U552" s="793"/>
      <c r="V552" s="793"/>
      <c r="W552" s="793"/>
      <c r="X552" s="793"/>
      <c r="Y552" s="793"/>
      <c r="Z552" s="793"/>
      <c r="AA552" s="793"/>
      <c r="AB552" s="793"/>
      <c r="AC552" s="793"/>
      <c r="AD552" s="793"/>
      <c r="AE552" s="793"/>
      <c r="AF552" s="793"/>
      <c r="AG552" s="793"/>
      <c r="AH552" s="793"/>
      <c r="AI552" s="793"/>
      <c r="AJ552" s="793"/>
      <c r="AK552" s="793"/>
      <c r="AL552" s="793"/>
      <c r="AM552" s="793"/>
      <c r="AN552" s="805"/>
      <c r="AO552" s="805"/>
      <c r="AP552" s="793">
        <f t="shared" si="401"/>
        <v>0</v>
      </c>
      <c r="AQ552" s="793">
        <f t="shared" si="416"/>
        <v>27000</v>
      </c>
      <c r="AR552" s="793">
        <f t="shared" si="417"/>
        <v>49</v>
      </c>
      <c r="AS552" s="793">
        <f t="shared" si="418"/>
        <v>230</v>
      </c>
      <c r="AT552" s="793">
        <f t="shared" si="405"/>
        <v>230</v>
      </c>
      <c r="AU552" s="793">
        <f t="shared" si="406"/>
        <v>26770</v>
      </c>
      <c r="AV552" s="793">
        <f t="shared" si="407"/>
        <v>26770</v>
      </c>
      <c r="AW552" s="793">
        <f t="shared" si="419"/>
        <v>27000</v>
      </c>
      <c r="AX552" s="793">
        <f t="shared" si="420"/>
        <v>365</v>
      </c>
      <c r="AY552" s="793">
        <f t="shared" si="421"/>
        <v>1710</v>
      </c>
      <c r="AZ552" s="793">
        <f t="shared" si="411"/>
        <v>1940</v>
      </c>
      <c r="BA552" s="793">
        <f t="shared" si="412"/>
        <v>25060</v>
      </c>
    </row>
    <row r="553" spans="1:59" x14ac:dyDescent="0.25">
      <c r="A553" s="842" t="s">
        <v>1317</v>
      </c>
      <c r="B553" s="822" t="s">
        <v>257</v>
      </c>
      <c r="C553" s="778">
        <f t="shared" si="413"/>
        <v>6.3333333333333325E-2</v>
      </c>
      <c r="D553" s="844">
        <v>15</v>
      </c>
      <c r="E553" s="844" t="s">
        <v>884</v>
      </c>
      <c r="F553" s="814">
        <v>45345</v>
      </c>
      <c r="G553" s="814">
        <v>45345</v>
      </c>
      <c r="H553" s="781">
        <f t="shared" si="414"/>
        <v>50820</v>
      </c>
      <c r="I553" s="815">
        <v>14990</v>
      </c>
      <c r="J553" s="805">
        <f t="shared" si="415"/>
        <v>749.5</v>
      </c>
      <c r="K553" s="793"/>
      <c r="L553" s="793"/>
      <c r="M553" s="793"/>
      <c r="N553" s="793"/>
      <c r="O553" s="793"/>
      <c r="P553" s="793"/>
      <c r="Q553" s="793"/>
      <c r="R553" s="793"/>
      <c r="S553" s="793"/>
      <c r="T553" s="793"/>
      <c r="U553" s="793"/>
      <c r="V553" s="793"/>
      <c r="W553" s="793"/>
      <c r="X553" s="793"/>
      <c r="Y553" s="793"/>
      <c r="Z553" s="793"/>
      <c r="AA553" s="793"/>
      <c r="AB553" s="793"/>
      <c r="AC553" s="793"/>
      <c r="AD553" s="793"/>
      <c r="AE553" s="793"/>
      <c r="AF553" s="793"/>
      <c r="AG553" s="793"/>
      <c r="AH553" s="793"/>
      <c r="AI553" s="793"/>
      <c r="AJ553" s="793"/>
      <c r="AK553" s="793"/>
      <c r="AL553" s="793"/>
      <c r="AM553" s="793"/>
      <c r="AN553" s="805"/>
      <c r="AO553" s="805"/>
      <c r="AP553" s="793">
        <f t="shared" si="401"/>
        <v>0</v>
      </c>
      <c r="AQ553" s="793">
        <f t="shared" si="416"/>
        <v>14990</v>
      </c>
      <c r="AR553" s="793">
        <f t="shared" si="417"/>
        <v>38</v>
      </c>
      <c r="AS553" s="793">
        <f t="shared" si="418"/>
        <v>99</v>
      </c>
      <c r="AT553" s="793">
        <f t="shared" si="405"/>
        <v>99</v>
      </c>
      <c r="AU553" s="793">
        <f t="shared" si="406"/>
        <v>14891</v>
      </c>
      <c r="AV553" s="793">
        <f t="shared" si="407"/>
        <v>14891</v>
      </c>
      <c r="AW553" s="793">
        <f t="shared" si="419"/>
        <v>14990</v>
      </c>
      <c r="AX553" s="793">
        <f t="shared" si="420"/>
        <v>365</v>
      </c>
      <c r="AY553" s="793">
        <f t="shared" si="421"/>
        <v>949</v>
      </c>
      <c r="AZ553" s="793">
        <f t="shared" si="411"/>
        <v>1048</v>
      </c>
      <c r="BA553" s="793">
        <f t="shared" si="412"/>
        <v>13942</v>
      </c>
    </row>
    <row r="554" spans="1:59" x14ac:dyDescent="0.25">
      <c r="A554" s="842" t="s">
        <v>1317</v>
      </c>
      <c r="B554" s="822" t="s">
        <v>358</v>
      </c>
      <c r="C554" s="778">
        <f t="shared" si="413"/>
        <v>6.3333333333333325E-2</v>
      </c>
      <c r="D554" s="844">
        <v>15</v>
      </c>
      <c r="E554" s="844" t="s">
        <v>884</v>
      </c>
      <c r="F554" s="814">
        <v>45349</v>
      </c>
      <c r="G554" s="814">
        <v>45349</v>
      </c>
      <c r="H554" s="781">
        <f t="shared" si="414"/>
        <v>50824</v>
      </c>
      <c r="I554" s="815">
        <v>124600</v>
      </c>
      <c r="J554" s="805">
        <f t="shared" si="415"/>
        <v>6230</v>
      </c>
      <c r="K554" s="793"/>
      <c r="L554" s="793"/>
      <c r="M554" s="793"/>
      <c r="N554" s="793"/>
      <c r="O554" s="793"/>
      <c r="P554" s="793"/>
      <c r="Q554" s="793"/>
      <c r="R554" s="793"/>
      <c r="S554" s="793"/>
      <c r="T554" s="793"/>
      <c r="U554" s="793"/>
      <c r="V554" s="793"/>
      <c r="W554" s="793"/>
      <c r="X554" s="793"/>
      <c r="Y554" s="793"/>
      <c r="Z554" s="793"/>
      <c r="AA554" s="793"/>
      <c r="AB554" s="793"/>
      <c r="AC554" s="793"/>
      <c r="AD554" s="793"/>
      <c r="AE554" s="793"/>
      <c r="AF554" s="793"/>
      <c r="AG554" s="793"/>
      <c r="AH554" s="793"/>
      <c r="AI554" s="793"/>
      <c r="AJ554" s="793"/>
      <c r="AK554" s="793"/>
      <c r="AL554" s="793"/>
      <c r="AM554" s="793"/>
      <c r="AN554" s="805"/>
      <c r="AO554" s="805"/>
      <c r="AP554" s="793">
        <f t="shared" si="401"/>
        <v>0</v>
      </c>
      <c r="AQ554" s="793">
        <f t="shared" si="416"/>
        <v>124600</v>
      </c>
      <c r="AR554" s="793">
        <f t="shared" si="417"/>
        <v>34</v>
      </c>
      <c r="AS554" s="793">
        <f t="shared" si="418"/>
        <v>735</v>
      </c>
      <c r="AT554" s="793">
        <f t="shared" si="405"/>
        <v>735</v>
      </c>
      <c r="AU554" s="793">
        <f t="shared" si="406"/>
        <v>123865</v>
      </c>
      <c r="AV554" s="793">
        <f t="shared" si="407"/>
        <v>123865</v>
      </c>
      <c r="AW554" s="793">
        <f t="shared" si="419"/>
        <v>124600</v>
      </c>
      <c r="AX554" s="793">
        <f t="shared" si="420"/>
        <v>365</v>
      </c>
      <c r="AY554" s="793">
        <f t="shared" si="421"/>
        <v>7891</v>
      </c>
      <c r="AZ554" s="793">
        <f t="shared" si="411"/>
        <v>8626</v>
      </c>
      <c r="BA554" s="793">
        <f t="shared" si="412"/>
        <v>115974</v>
      </c>
    </row>
    <row r="555" spans="1:59" x14ac:dyDescent="0.25">
      <c r="A555" s="842" t="s">
        <v>1317</v>
      </c>
      <c r="B555" s="863" t="s">
        <v>1363</v>
      </c>
      <c r="C555" s="778">
        <f t="shared" si="413"/>
        <v>6.3333333333333325E-2</v>
      </c>
      <c r="D555" s="844">
        <v>15</v>
      </c>
      <c r="E555" s="844" t="s">
        <v>884</v>
      </c>
      <c r="F555" s="814">
        <v>45346</v>
      </c>
      <c r="G555" s="814">
        <v>45346</v>
      </c>
      <c r="H555" s="781">
        <f t="shared" si="414"/>
        <v>50821</v>
      </c>
      <c r="I555" s="1436">
        <v>26704.1</v>
      </c>
      <c r="J555" s="805">
        <f t="shared" si="415"/>
        <v>1335.2049999999999</v>
      </c>
      <c r="K555" s="793"/>
      <c r="L555" s="793"/>
      <c r="M555" s="793"/>
      <c r="N555" s="793"/>
      <c r="O555" s="793"/>
      <c r="P555" s="793"/>
      <c r="Q555" s="793"/>
      <c r="R555" s="793"/>
      <c r="S555" s="793"/>
      <c r="T555" s="793"/>
      <c r="U555" s="793"/>
      <c r="V555" s="793"/>
      <c r="W555" s="793"/>
      <c r="X555" s="793"/>
      <c r="Y555" s="793"/>
      <c r="Z555" s="793"/>
      <c r="AA555" s="793"/>
      <c r="AB555" s="793"/>
      <c r="AC555" s="793"/>
      <c r="AD555" s="793"/>
      <c r="AE555" s="793"/>
      <c r="AF555" s="793"/>
      <c r="AG555" s="793"/>
      <c r="AH555" s="793"/>
      <c r="AI555" s="793"/>
      <c r="AJ555" s="793"/>
      <c r="AK555" s="793"/>
      <c r="AL555" s="793"/>
      <c r="AM555" s="793"/>
      <c r="AN555" s="805"/>
      <c r="AO555" s="805"/>
      <c r="AP555" s="793">
        <f t="shared" si="401"/>
        <v>0</v>
      </c>
      <c r="AQ555" s="793">
        <f t="shared" si="416"/>
        <v>26704.1</v>
      </c>
      <c r="AR555" s="793">
        <f t="shared" si="417"/>
        <v>37</v>
      </c>
      <c r="AS555" s="793">
        <f t="shared" si="418"/>
        <v>171</v>
      </c>
      <c r="AT555" s="793">
        <f t="shared" si="405"/>
        <v>171</v>
      </c>
      <c r="AU555" s="793">
        <f t="shared" si="406"/>
        <v>26533.1</v>
      </c>
      <c r="AV555" s="793">
        <f t="shared" si="407"/>
        <v>26533.1</v>
      </c>
      <c r="AW555" s="793">
        <f t="shared" si="419"/>
        <v>26704.1</v>
      </c>
      <c r="AX555" s="793">
        <f t="shared" si="420"/>
        <v>365</v>
      </c>
      <c r="AY555" s="793">
        <f t="shared" si="421"/>
        <v>1691</v>
      </c>
      <c r="AZ555" s="793">
        <f t="shared" si="411"/>
        <v>1862</v>
      </c>
      <c r="BA555" s="793">
        <f t="shared" si="412"/>
        <v>24842.1</v>
      </c>
    </row>
    <row r="556" spans="1:59" ht="15.75" thickBot="1" x14ac:dyDescent="0.3">
      <c r="A556" s="856" t="s">
        <v>1317</v>
      </c>
      <c r="B556" s="927" t="s">
        <v>1841</v>
      </c>
      <c r="C556" s="826">
        <f t="shared" si="413"/>
        <v>6.3333333333333325E-2</v>
      </c>
      <c r="D556" s="858">
        <v>15</v>
      </c>
      <c r="E556" s="858" t="s">
        <v>1567</v>
      </c>
      <c r="F556" s="827">
        <v>45418</v>
      </c>
      <c r="G556" s="827">
        <v>45418</v>
      </c>
      <c r="H556" s="828">
        <f t="shared" si="414"/>
        <v>50893</v>
      </c>
      <c r="I556" s="968">
        <v>7331625.9699999997</v>
      </c>
      <c r="J556" s="821">
        <f t="shared" si="415"/>
        <v>366581.29850000003</v>
      </c>
      <c r="K556" s="818"/>
      <c r="L556" s="818"/>
      <c r="M556" s="818"/>
      <c r="N556" s="818"/>
      <c r="O556" s="818"/>
      <c r="P556" s="818"/>
      <c r="Q556" s="818"/>
      <c r="R556" s="818"/>
      <c r="S556" s="818"/>
      <c r="T556" s="818"/>
      <c r="U556" s="818"/>
      <c r="V556" s="818"/>
      <c r="W556" s="818"/>
      <c r="X556" s="818"/>
      <c r="Y556" s="818"/>
      <c r="Z556" s="818"/>
      <c r="AA556" s="818"/>
      <c r="AB556" s="818"/>
      <c r="AC556" s="818"/>
      <c r="AD556" s="818"/>
      <c r="AE556" s="818"/>
      <c r="AF556" s="818"/>
      <c r="AG556" s="818"/>
      <c r="AH556" s="818"/>
      <c r="AI556" s="818"/>
      <c r="AJ556" s="818"/>
      <c r="AK556" s="818"/>
      <c r="AL556" s="818"/>
      <c r="AM556" s="818"/>
      <c r="AN556" s="821"/>
      <c r="AO556" s="821"/>
      <c r="AP556" s="818"/>
      <c r="AQ556" s="818"/>
      <c r="AR556" s="818"/>
      <c r="AS556" s="818"/>
      <c r="AT556" s="818"/>
      <c r="AU556" s="818"/>
      <c r="AV556" s="818">
        <f t="shared" si="407"/>
        <v>0</v>
      </c>
      <c r="AW556" s="818">
        <f t="shared" si="419"/>
        <v>7331625.9699999997</v>
      </c>
      <c r="AX556" s="818">
        <f t="shared" si="420"/>
        <v>330</v>
      </c>
      <c r="AY556" s="818">
        <f t="shared" si="421"/>
        <v>419811</v>
      </c>
      <c r="AZ556" s="818">
        <f t="shared" si="411"/>
        <v>419811</v>
      </c>
      <c r="BA556" s="818">
        <f t="shared" si="412"/>
        <v>6911814.9699999997</v>
      </c>
    </row>
    <row r="557" spans="1:59" ht="15.75" thickBot="1" x14ac:dyDescent="0.3">
      <c r="A557" s="830" t="s">
        <v>1364</v>
      </c>
      <c r="B557" s="969" t="s">
        <v>183</v>
      </c>
      <c r="C557" s="969"/>
      <c r="D557" s="969"/>
      <c r="E557" s="969"/>
      <c r="F557" s="969"/>
      <c r="G557" s="969"/>
      <c r="H557" s="969"/>
      <c r="I557" s="1394">
        <f t="shared" ref="I557:AU557" si="422">SUM(I453:I556)</f>
        <v>193723039.85999995</v>
      </c>
      <c r="J557" s="1394">
        <f t="shared" si="422"/>
        <v>9686151.9929999989</v>
      </c>
      <c r="K557" s="1394">
        <f t="shared" si="422"/>
        <v>0</v>
      </c>
      <c r="L557" s="1394">
        <f t="shared" si="422"/>
        <v>0</v>
      </c>
      <c r="M557" s="1394">
        <f t="shared" si="422"/>
        <v>78079492.319999993</v>
      </c>
      <c r="N557" s="1394">
        <f t="shared" si="422"/>
        <v>11438</v>
      </c>
      <c r="O557" s="1394">
        <f t="shared" si="422"/>
        <v>4158533</v>
      </c>
      <c r="P557" s="1394">
        <f t="shared" si="422"/>
        <v>4158533</v>
      </c>
      <c r="Q557" s="1394">
        <f t="shared" si="422"/>
        <v>73920959.319999993</v>
      </c>
      <c r="R557" s="1394">
        <f t="shared" si="422"/>
        <v>73920959.319999993</v>
      </c>
      <c r="S557" s="1394">
        <f t="shared" si="422"/>
        <v>106649497.73999999</v>
      </c>
      <c r="T557" s="1394">
        <f t="shared" si="422"/>
        <v>13682</v>
      </c>
      <c r="U557" s="1394">
        <f t="shared" si="422"/>
        <v>6721166</v>
      </c>
      <c r="V557" s="1394">
        <f t="shared" si="422"/>
        <v>10879699</v>
      </c>
      <c r="W557" s="1394">
        <f t="shared" si="422"/>
        <v>95769798.74000001</v>
      </c>
      <c r="X557" s="1394">
        <f t="shared" si="422"/>
        <v>95769798.74000001</v>
      </c>
      <c r="Y557" s="1394">
        <f t="shared" si="422"/>
        <v>124804212.14999999</v>
      </c>
      <c r="Z557" s="1394">
        <f t="shared" si="422"/>
        <v>15567</v>
      </c>
      <c r="AA557" s="1394">
        <f t="shared" si="422"/>
        <v>7037427</v>
      </c>
      <c r="AB557" s="1394">
        <f t="shared" si="422"/>
        <v>17917126</v>
      </c>
      <c r="AC557" s="1394">
        <f t="shared" si="422"/>
        <v>106887086.15000001</v>
      </c>
      <c r="AD557" s="1394">
        <f t="shared" si="422"/>
        <v>106887086.15000001</v>
      </c>
      <c r="AE557" s="1394">
        <f t="shared" si="422"/>
        <v>162484247.70999998</v>
      </c>
      <c r="AF557" s="1394">
        <f t="shared" si="422"/>
        <v>18903</v>
      </c>
      <c r="AG557" s="1394">
        <f t="shared" si="422"/>
        <v>9113092</v>
      </c>
      <c r="AH557" s="1394">
        <f t="shared" si="422"/>
        <v>27030218</v>
      </c>
      <c r="AI557" s="1394">
        <f t="shared" si="422"/>
        <v>135454029.71000001</v>
      </c>
      <c r="AJ557" s="1394">
        <f t="shared" si="422"/>
        <v>135454029.71000001</v>
      </c>
      <c r="AK557" s="1394">
        <f t="shared" si="422"/>
        <v>176747807.78999996</v>
      </c>
      <c r="AL557" s="1394">
        <f t="shared" si="422"/>
        <v>24027</v>
      </c>
      <c r="AM557" s="1394">
        <f t="shared" si="422"/>
        <v>11148710</v>
      </c>
      <c r="AN557" s="1394">
        <f t="shared" si="422"/>
        <v>36438563</v>
      </c>
      <c r="AO557" s="1394">
        <f t="shared" si="422"/>
        <v>140309244.78999999</v>
      </c>
      <c r="AP557" s="1394">
        <f t="shared" si="422"/>
        <v>140309244.78999999</v>
      </c>
      <c r="AQ557" s="1394">
        <f>SUM(AQ453:AQ556)</f>
        <v>186391413.88999996</v>
      </c>
      <c r="AR557" s="1394">
        <f t="shared" si="422"/>
        <v>31341</v>
      </c>
      <c r="AS557" s="1394">
        <f t="shared" si="422"/>
        <v>11492519</v>
      </c>
      <c r="AT557" s="1394">
        <f t="shared" si="422"/>
        <v>47931082</v>
      </c>
      <c r="AU557" s="1394">
        <f t="shared" si="422"/>
        <v>138460331.89000002</v>
      </c>
      <c r="AV557" s="1394">
        <f t="shared" ref="AV557:BA557" si="423">SUM(AV453:AV556)</f>
        <v>138460331.89000002</v>
      </c>
      <c r="AW557" s="1394">
        <f t="shared" si="423"/>
        <v>193723039.85999995</v>
      </c>
      <c r="AX557" s="1394">
        <f t="shared" si="423"/>
        <v>37560</v>
      </c>
      <c r="AY557" s="1394">
        <f t="shared" si="423"/>
        <v>12224603</v>
      </c>
      <c r="AZ557" s="1394">
        <f t="shared" si="423"/>
        <v>60155685</v>
      </c>
      <c r="BA557" s="1437">
        <f t="shared" si="423"/>
        <v>133567354.86</v>
      </c>
      <c r="BB557" s="1381">
        <f>+AW556</f>
        <v>7331625.9699999997</v>
      </c>
      <c r="BC557" s="841">
        <f>+AV557</f>
        <v>138460331.89000002</v>
      </c>
      <c r="BD557" s="841">
        <f>+AW557</f>
        <v>193723039.85999995</v>
      </c>
      <c r="BE557" s="1329">
        <f>+AY557</f>
        <v>12224603</v>
      </c>
      <c r="BF557" s="841">
        <f>+AZ557</f>
        <v>60155685</v>
      </c>
      <c r="BG557" s="841">
        <f>+BA557</f>
        <v>133567354.86</v>
      </c>
    </row>
    <row r="558" spans="1:59" x14ac:dyDescent="0.25">
      <c r="K558" s="1328"/>
      <c r="L558" s="1328"/>
      <c r="M558" s="1328"/>
      <c r="N558" s="1328"/>
      <c r="O558" s="1328"/>
      <c r="P558" s="1328"/>
      <c r="Q558" s="1328"/>
      <c r="R558" s="1328"/>
      <c r="S558" s="1328"/>
      <c r="T558" s="1328"/>
      <c r="U558" s="1328"/>
      <c r="V558" s="1328"/>
      <c r="W558" s="1328"/>
      <c r="X558" s="1328"/>
      <c r="Y558" s="1328"/>
      <c r="Z558" s="1328"/>
      <c r="AA558" s="1328"/>
      <c r="AB558" s="1328"/>
      <c r="AC558" s="1328"/>
      <c r="AD558" s="1328"/>
      <c r="AE558" s="1328"/>
      <c r="AF558" s="1328"/>
      <c r="AG558" s="1328"/>
      <c r="AH558" s="1328"/>
      <c r="AI558" s="1328"/>
      <c r="AJ558" s="1328"/>
      <c r="AQ558" s="1328"/>
      <c r="AR558" s="1328"/>
      <c r="AS558" s="1328"/>
      <c r="AT558" s="1328"/>
      <c r="AU558" s="1328"/>
      <c r="AV558" s="1328"/>
      <c r="AW558" s="1328"/>
      <c r="AX558" s="1328"/>
      <c r="AY558" s="1328"/>
      <c r="AZ558" s="1328"/>
      <c r="BA558" s="1328"/>
    </row>
    <row r="559" spans="1:59" ht="16.5" thickBot="1" x14ac:dyDescent="0.3">
      <c r="A559" s="970" t="s">
        <v>669</v>
      </c>
      <c r="B559" s="971" t="s">
        <v>1365</v>
      </c>
      <c r="C559" s="972">
        <f>(95/D559)/100</f>
        <v>0.11874999999999999</v>
      </c>
      <c r="D559" s="973">
        <v>8</v>
      </c>
      <c r="E559" s="844" t="s">
        <v>723</v>
      </c>
      <c r="F559" s="974">
        <v>44639</v>
      </c>
      <c r="G559" s="974">
        <f>F559</f>
        <v>44639</v>
      </c>
      <c r="H559" s="975">
        <f>G559+(365*D559)</f>
        <v>47559</v>
      </c>
      <c r="I559" s="1438">
        <f>5905744.47</f>
        <v>5905744.4699999997</v>
      </c>
      <c r="J559" s="1439">
        <f>I559*5%</f>
        <v>295287.22350000002</v>
      </c>
      <c r="K559" s="1440"/>
      <c r="L559" s="793"/>
      <c r="M559" s="793"/>
      <c r="N559" s="793"/>
      <c r="O559" s="793"/>
      <c r="P559" s="793"/>
      <c r="Q559" s="793"/>
      <c r="R559" s="793"/>
      <c r="S559" s="793"/>
      <c r="T559" s="805"/>
      <c r="U559" s="805"/>
      <c r="V559" s="793"/>
      <c r="W559" s="793"/>
      <c r="X559" s="793"/>
      <c r="Y559" s="805"/>
      <c r="Z559" s="805"/>
      <c r="AA559" s="805"/>
      <c r="AB559" s="805"/>
      <c r="AC559" s="805"/>
      <c r="AD559" s="793">
        <f>AC559</f>
        <v>0</v>
      </c>
      <c r="AE559" s="1441">
        <f>I559</f>
        <v>5905744.4699999997</v>
      </c>
      <c r="AF559" s="1442">
        <f>IF(AND(F559&gt;$X$3,F559&lt;$AD$3),$AD$3-F559+1,IF(H559&lt;=$X$3,0,IF(H559&gt;$AD$3,$AD$3-$X$3,H559-$X$3)))</f>
        <v>13</v>
      </c>
      <c r="AG559" s="1442">
        <f>ROUND(AE559*C559*AF559/365,0)</f>
        <v>24978</v>
      </c>
      <c r="AH559" s="1439">
        <f>+AB559+AG559</f>
        <v>24978</v>
      </c>
      <c r="AI559" s="1439">
        <f>AE559-AH559</f>
        <v>5880766.4699999997</v>
      </c>
      <c r="AJ559" s="793">
        <f>AI559</f>
        <v>5880766.4699999997</v>
      </c>
      <c r="AK559" s="793">
        <f>I559</f>
        <v>5905744.4699999997</v>
      </c>
      <c r="AL559" s="793">
        <f>IF(AND(F559&gt;$AD$3,F559&lt;$AJ$3),$AJ$3-F559+1,IF(H559&lt;=$AD$3,0,IF(H559&gt;$AJ$3,$AJ$3-$AD$3,H559-$AD$3)))</f>
        <v>365</v>
      </c>
      <c r="AM559" s="793">
        <f>ROUND(AK559*C559*AL559/365,0)</f>
        <v>701307</v>
      </c>
      <c r="AN559" s="805">
        <f>+AH559+AM559</f>
        <v>726285</v>
      </c>
      <c r="AO559" s="805">
        <f>AK559-AN559</f>
        <v>5179459.47</v>
      </c>
      <c r="AP559" s="793">
        <f>+AO559</f>
        <v>5179459.47</v>
      </c>
      <c r="AQ559" s="793">
        <f>I559</f>
        <v>5905744.4699999997</v>
      </c>
      <c r="AR559" s="793">
        <f>IF(AND(F559&gt;$AJ$3,F559&lt;$AP$3),$AP$3-F559+1,IF(H559&lt;=$AJ$3,0,IF(H559&gt;$AP$3,$AP$3-$AJ$3,H559-$AJ$3)))</f>
        <v>366</v>
      </c>
      <c r="AS559" s="793">
        <f>ROUND(AQ559*C559*AR559/365,0)</f>
        <v>703229</v>
      </c>
      <c r="AT559" s="793">
        <f>+AN559+AS559</f>
        <v>1429514</v>
      </c>
      <c r="AU559" s="793">
        <f>+AQ559-AT559</f>
        <v>4476230.47</v>
      </c>
      <c r="AV559" s="793">
        <f>+AU559</f>
        <v>4476230.47</v>
      </c>
      <c r="AW559" s="793">
        <f>+I559</f>
        <v>5905744.4699999997</v>
      </c>
      <c r="AX559" s="793">
        <f>IF(AND(F559&gt;$AP$3,F559&lt;$AV$3),$AV$3-F559+1,IF(H559&lt;=$AP$3,0,IF(H559&gt;$AV$3,$AV$3-$AP$3,H559-$AP$3)))</f>
        <v>365</v>
      </c>
      <c r="AY559" s="793">
        <f>ROUND(AW559*C559*AX559/365,0)</f>
        <v>701307</v>
      </c>
      <c r="AZ559" s="793">
        <f>+AT559+AY559</f>
        <v>2130821</v>
      </c>
      <c r="BA559" s="793">
        <f>+AW559-AZ559</f>
        <v>3774923.4699999997</v>
      </c>
    </row>
    <row r="560" spans="1:59" ht="17.25" thickTop="1" thickBot="1" x14ac:dyDescent="0.3">
      <c r="A560" s="982" t="s">
        <v>669</v>
      </c>
      <c r="B560" s="983" t="s">
        <v>1366</v>
      </c>
      <c r="C560" s="826">
        <f>(95/D560)/100</f>
        <v>0.11874999999999999</v>
      </c>
      <c r="D560" s="809">
        <v>8</v>
      </c>
      <c r="E560" s="858" t="s">
        <v>677</v>
      </c>
      <c r="F560" s="860">
        <v>44652</v>
      </c>
      <c r="G560" s="860">
        <f>F560</f>
        <v>44652</v>
      </c>
      <c r="H560" s="828">
        <f>G560+(365*D560)</f>
        <v>47572</v>
      </c>
      <c r="I560" s="1417">
        <v>1285666</v>
      </c>
      <c r="J560" s="821">
        <f>I560*5%</f>
        <v>64283.3</v>
      </c>
      <c r="K560" s="1328"/>
      <c r="L560" s="818"/>
      <c r="M560" s="818"/>
      <c r="N560" s="818"/>
      <c r="O560" s="818"/>
      <c r="P560" s="818"/>
      <c r="Q560" s="818"/>
      <c r="R560" s="818"/>
      <c r="S560" s="818"/>
      <c r="T560" s="821"/>
      <c r="U560" s="821"/>
      <c r="V560" s="818"/>
      <c r="W560" s="818"/>
      <c r="X560" s="818"/>
      <c r="Y560" s="821"/>
      <c r="Z560" s="821"/>
      <c r="AA560" s="821"/>
      <c r="AB560" s="821"/>
      <c r="AC560" s="821"/>
      <c r="AD560" s="818"/>
      <c r="AE560" s="817"/>
      <c r="AF560" s="818"/>
      <c r="AG560" s="818">
        <f>ROUND(AE560*C560*AF560/365,0)</f>
        <v>0</v>
      </c>
      <c r="AH560" s="821">
        <f>+AB560+AG560</f>
        <v>0</v>
      </c>
      <c r="AI560" s="821">
        <f>AE560-AH560</f>
        <v>0</v>
      </c>
      <c r="AJ560" s="818">
        <f>AI560</f>
        <v>0</v>
      </c>
      <c r="AK560" s="818">
        <f>I560</f>
        <v>1285666</v>
      </c>
      <c r="AL560" s="818">
        <f>IF(AND(F560&gt;$AD$3,F560&lt;$AJ$3),$AJ$3-F560+1,IF(H560&lt;=$AD$3,0,IF(H560&gt;$AJ$3,$AJ$3-$AD$3,H560-$AD$3)))</f>
        <v>365</v>
      </c>
      <c r="AM560" s="818">
        <f>ROUND(AK560*C560*AL560/365,0)</f>
        <v>152673</v>
      </c>
      <c r="AN560" s="821">
        <f>+AH560+AM560</f>
        <v>152673</v>
      </c>
      <c r="AO560" s="821">
        <f>AK560-AN560</f>
        <v>1132993</v>
      </c>
      <c r="AP560" s="793">
        <f>+AO560</f>
        <v>1132993</v>
      </c>
      <c r="AQ560" s="793">
        <f>I560</f>
        <v>1285666</v>
      </c>
      <c r="AR560" s="793">
        <f>IF(AND(F560&gt;$AJ$3,F560&lt;$AP$3),$AP$3-F560+1,IF(H560&lt;=$AJ$3,0,IF(H560&gt;$AP$3,$AP$3-$AJ$3,H560-$AJ$3)))</f>
        <v>366</v>
      </c>
      <c r="AS560" s="793">
        <f>ROUND(AQ560*C560*AR560/365,0)</f>
        <v>153091</v>
      </c>
      <c r="AT560" s="793">
        <f>+AN560+AS560+10</f>
        <v>305774</v>
      </c>
      <c r="AU560" s="793">
        <f>+AQ560-AT560</f>
        <v>979892</v>
      </c>
      <c r="AV560" s="793">
        <f>+AU560</f>
        <v>979892</v>
      </c>
      <c r="AW560" s="793">
        <f>+I560</f>
        <v>1285666</v>
      </c>
      <c r="AX560" s="793">
        <f>IF(AND(F560&gt;$AP$3,F560&lt;$AV$3),$AV$3-F560+1,IF(H560&lt;=$AP$3,0,IF(H560&gt;$AV$3,$AV$3-$AP$3,H560-$AP$3)))</f>
        <v>365</v>
      </c>
      <c r="AY560" s="793">
        <f>ROUND(AW560*C560*AX560/365,0)</f>
        <v>152673</v>
      </c>
      <c r="AZ560" s="793">
        <f>+AT560+AY560</f>
        <v>458447</v>
      </c>
      <c r="BA560" s="793">
        <f>+AW560-AZ560</f>
        <v>827219</v>
      </c>
    </row>
    <row r="561" spans="1:59" ht="16.5" thickBot="1" x14ac:dyDescent="0.3">
      <c r="A561" s="830" t="s">
        <v>1367</v>
      </c>
      <c r="B561" s="985"/>
      <c r="C561" s="948"/>
      <c r="D561" s="831"/>
      <c r="E561" s="949"/>
      <c r="F561" s="950"/>
      <c r="G561" s="950"/>
      <c r="H561" s="951"/>
      <c r="I561" s="1430">
        <f>SUM(I559:I560)</f>
        <v>7191410.4699999997</v>
      </c>
      <c r="J561" s="1430">
        <f>SUM(J559:J560)</f>
        <v>359570.52350000001</v>
      </c>
      <c r="K561" s="1394"/>
      <c r="L561" s="1394"/>
      <c r="M561" s="1394"/>
      <c r="N561" s="1394"/>
      <c r="O561" s="1394"/>
      <c r="P561" s="1394"/>
      <c r="Q561" s="1394"/>
      <c r="R561" s="1394"/>
      <c r="S561" s="1394"/>
      <c r="T561" s="1443"/>
      <c r="U561" s="1443"/>
      <c r="V561" s="1394"/>
      <c r="W561" s="1394"/>
      <c r="X561" s="1394"/>
      <c r="Y561" s="1443"/>
      <c r="Z561" s="1443"/>
      <c r="AA561" s="1443"/>
      <c r="AB561" s="1443"/>
      <c r="AC561" s="1443"/>
      <c r="AD561" s="1394"/>
      <c r="AE561" s="1443">
        <f t="shared" ref="AE561:AL561" si="424">SUM(AE559:AE560)</f>
        <v>5905744.4699999997</v>
      </c>
      <c r="AF561" s="1443">
        <f t="shared" si="424"/>
        <v>13</v>
      </c>
      <c r="AG561" s="1443">
        <f t="shared" si="424"/>
        <v>24978</v>
      </c>
      <c r="AH561" s="1443">
        <f t="shared" si="424"/>
        <v>24978</v>
      </c>
      <c r="AI561" s="1443">
        <f t="shared" si="424"/>
        <v>5880766.4699999997</v>
      </c>
      <c r="AJ561" s="1443">
        <f t="shared" si="424"/>
        <v>5880766.4699999997</v>
      </c>
      <c r="AK561" s="1443">
        <f t="shared" si="424"/>
        <v>7191410.4699999997</v>
      </c>
      <c r="AL561" s="1443">
        <f t="shared" si="424"/>
        <v>730</v>
      </c>
      <c r="AM561" s="1443">
        <f>SUM(AM559:AM560)-1</f>
        <v>853979</v>
      </c>
      <c r="AN561" s="1443">
        <f>SUM(AN559:AN560)+10</f>
        <v>878968</v>
      </c>
      <c r="AO561" s="1444">
        <f t="shared" ref="AO561:AY561" si="425">SUM(AO559:AO560)</f>
        <v>6312452.4699999997</v>
      </c>
      <c r="AP561" s="1443">
        <f t="shared" si="425"/>
        <v>6312452.4699999997</v>
      </c>
      <c r="AQ561" s="1443">
        <f t="shared" si="425"/>
        <v>7191410.4699999997</v>
      </c>
      <c r="AR561" s="1443">
        <f t="shared" si="425"/>
        <v>732</v>
      </c>
      <c r="AS561" s="1443">
        <f t="shared" si="425"/>
        <v>856320</v>
      </c>
      <c r="AT561" s="1443">
        <f t="shared" si="425"/>
        <v>1735288</v>
      </c>
      <c r="AU561" s="1444">
        <f t="shared" si="425"/>
        <v>5456122.4699999997</v>
      </c>
      <c r="AV561" s="1443">
        <f t="shared" si="425"/>
        <v>5456122.4699999997</v>
      </c>
      <c r="AW561" s="1443">
        <f t="shared" si="425"/>
        <v>7191410.4699999997</v>
      </c>
      <c r="AX561" s="1443">
        <f t="shared" si="425"/>
        <v>730</v>
      </c>
      <c r="AY561" s="1443">
        <f t="shared" si="425"/>
        <v>853980</v>
      </c>
      <c r="AZ561" s="1443">
        <f>SUM(AZ559:AZ560)+10</f>
        <v>2589278</v>
      </c>
      <c r="BA561" s="1444">
        <f>SUM(BA559:BA560)</f>
        <v>4602142.47</v>
      </c>
      <c r="BC561" s="841">
        <f>+AV561</f>
        <v>5456122.4699999997</v>
      </c>
      <c r="BD561" s="841">
        <f>+AW561</f>
        <v>7191410.4699999997</v>
      </c>
      <c r="BE561" s="1329">
        <f>+AY561</f>
        <v>853980</v>
      </c>
      <c r="BF561" s="841">
        <f>+AZ561</f>
        <v>2589278</v>
      </c>
      <c r="BG561" s="841">
        <f>+BA561</f>
        <v>4602142.47</v>
      </c>
    </row>
    <row r="562" spans="1:59" ht="15.75" thickBot="1" x14ac:dyDescent="0.3">
      <c r="K562" s="1328"/>
      <c r="L562" s="1328"/>
      <c r="M562" s="1328"/>
      <c r="N562" s="1328"/>
      <c r="O562" s="1328"/>
      <c r="P562" s="1328"/>
      <c r="Q562" s="1328"/>
      <c r="R562" s="1328"/>
      <c r="S562" s="1328"/>
      <c r="T562" s="1328"/>
      <c r="U562" s="1328"/>
      <c r="V562" s="1328"/>
      <c r="W562" s="1328"/>
      <c r="X562" s="1328"/>
      <c r="Y562" s="1328"/>
      <c r="Z562" s="1328"/>
      <c r="AA562" s="1328"/>
      <c r="AB562" s="1328"/>
      <c r="AC562" s="1328"/>
      <c r="AD562" s="1328"/>
      <c r="AE562" s="1328"/>
      <c r="AF562" s="1328"/>
      <c r="AG562" s="1328"/>
      <c r="AH562" s="1328"/>
      <c r="AI562" s="1328"/>
      <c r="AJ562" s="1328"/>
      <c r="AQ562" s="1328"/>
      <c r="AR562" s="1328"/>
      <c r="AS562" s="1328"/>
      <c r="AT562" s="1328"/>
      <c r="AU562" s="1328"/>
      <c r="AV562" s="1328"/>
      <c r="AW562" s="1328"/>
      <c r="AX562" s="1328"/>
      <c r="AY562" s="1328"/>
      <c r="AZ562" s="1328"/>
      <c r="BA562" s="1328"/>
    </row>
    <row r="563" spans="1:59" ht="15.75" x14ac:dyDescent="0.25">
      <c r="A563" s="776" t="s">
        <v>670</v>
      </c>
      <c r="B563" s="943" t="s">
        <v>1368</v>
      </c>
      <c r="C563" s="778">
        <f t="shared" ref="C563:C572" si="426">(95/D563)/100</f>
        <v>0.23749999999999999</v>
      </c>
      <c r="D563" s="791">
        <v>4</v>
      </c>
      <c r="E563" s="779" t="s">
        <v>1182</v>
      </c>
      <c r="F563" s="845">
        <v>43191</v>
      </c>
      <c r="G563" s="991">
        <f t="shared" ref="G563:G572" si="427">F563</f>
        <v>43191</v>
      </c>
      <c r="H563" s="781">
        <f t="shared" ref="H563:H572" si="428">G563+(365*D563)</f>
        <v>44651</v>
      </c>
      <c r="I563" s="1359">
        <v>150000</v>
      </c>
      <c r="J563" s="805">
        <f t="shared" ref="J563:J572" si="429">I563*5%</f>
        <v>7500</v>
      </c>
      <c r="K563" s="1328"/>
      <c r="L563" s="1445">
        <v>0</v>
      </c>
      <c r="M563" s="1356">
        <f t="shared" ref="M563:M570" si="430">I563</f>
        <v>150000</v>
      </c>
      <c r="N563" s="1356">
        <f t="shared" ref="N563:N570" si="431">IF(AND(F563&gt;$K$3,F563&lt;$L$3),$L$3-F563+1,IF(H563&lt;=$K$3,0,IF(H563&gt;$L$3,$L$3-$K$3,H563-$K$3)))</f>
        <v>365</v>
      </c>
      <c r="O563" s="1356">
        <f t="shared" ref="O563:O572" si="432">ROUND(M563*C563*N563/365,0)</f>
        <v>35625</v>
      </c>
      <c r="P563" s="1356">
        <f t="shared" ref="P563:P572" si="433">O563</f>
        <v>35625</v>
      </c>
      <c r="Q563" s="1446">
        <f t="shared" ref="Q563:Q572" si="434">+M563-P563</f>
        <v>114375</v>
      </c>
      <c r="R563" s="1411">
        <f t="shared" ref="R563:R570" si="435">+Q563</f>
        <v>114375</v>
      </c>
      <c r="S563" s="793">
        <f t="shared" ref="S563:S570" si="436">I563</f>
        <v>150000</v>
      </c>
      <c r="T563" s="805">
        <f t="shared" ref="T563:T570" si="437">IF(AND(F563&gt;$L$3,F563&lt;$R$3),$R$3-F563+1,IF(H563&lt;=$L$3,0,IF(H563&gt;$R$3,$R$3-$L$3,H563-$L$3)))</f>
        <v>366</v>
      </c>
      <c r="U563" s="805">
        <f t="shared" ref="U563:U570" si="438">ROUND(S563*C563*T563/366,0)</f>
        <v>35625</v>
      </c>
      <c r="V563" s="793">
        <f t="shared" ref="V563:V570" si="439">+P563+U563</f>
        <v>71250</v>
      </c>
      <c r="W563" s="1365">
        <f t="shared" ref="W563:W572" si="440">+S563-V563</f>
        <v>78750</v>
      </c>
      <c r="X563" s="1410">
        <f t="shared" ref="X563:X570" si="441">W563</f>
        <v>78750</v>
      </c>
      <c r="Y563" s="805">
        <f t="shared" ref="Y563:Y570" si="442">I563</f>
        <v>150000</v>
      </c>
      <c r="Z563" s="805">
        <f t="shared" ref="Z563:Z570" si="443">IF(AND(F563&gt;$R$3,F563&lt;$X$3),$X$3-F563+1,IF(H563&lt;=$R$3,0,IF(H563&gt;$X$3,$X$3-$R$3,H563-$R$3)))</f>
        <v>365</v>
      </c>
      <c r="AA563" s="805">
        <f t="shared" ref="AA563:AA570" si="444">ROUND(Y563*C563*Z563/365,0)</f>
        <v>35625</v>
      </c>
      <c r="AB563" s="805">
        <f t="shared" ref="AB563:AB570" si="445">+V563+AA563</f>
        <v>106875</v>
      </c>
      <c r="AC563" s="1360">
        <f t="shared" ref="AC563:AC570" si="446">Y563-AB563</f>
        <v>43125</v>
      </c>
      <c r="AD563" s="1412">
        <f t="shared" ref="AD563:AD570" si="447">AC563</f>
        <v>43125</v>
      </c>
      <c r="AE563" s="793">
        <f t="shared" ref="AE563:AE570" si="448">I563</f>
        <v>150000</v>
      </c>
      <c r="AF563" s="793">
        <f t="shared" ref="AF563:AF570" si="449">IF(AND(F563&gt;$X$3,F563&lt;$AD$3),$AD$3-F563+1,IF(H563&lt;=$X$3,0,IF(H563&gt;$AD$3,$AD$3-$X$3,H563-$X$3)))</f>
        <v>365</v>
      </c>
      <c r="AG563" s="793">
        <f t="shared" ref="AG563:AG570" si="450">ROUND(AE563*C563*AF563/365,0)</f>
        <v>35625</v>
      </c>
      <c r="AH563" s="805">
        <f t="shared" ref="AH563:AH570" si="451">+AB563+AG563</f>
        <v>142500</v>
      </c>
      <c r="AI563" s="805">
        <f t="shared" ref="AI563:AI571" si="452">AE563-AH563</f>
        <v>7500</v>
      </c>
      <c r="AJ563" s="793">
        <f t="shared" ref="AJ563:AJ572" si="453">AI563</f>
        <v>7500</v>
      </c>
      <c r="AK563" s="793">
        <f t="shared" ref="AK563:AK572" si="454">I563</f>
        <v>150000</v>
      </c>
      <c r="AL563" s="793">
        <f t="shared" ref="AL563:AL572" si="455">IF(AND(F563&gt;$AD$3,F563&lt;$AJ$3),$AJ$3-F563+1,IF(H563&lt;=$AD$3,0,IF(H563&gt;$AJ$3,$AJ$3-$AD$3,H563-$AD$3)))</f>
        <v>0</v>
      </c>
      <c r="AM563" s="793">
        <f t="shared" ref="AM563:AM572" si="456">ROUND(AK563*C563*AL563/365,0)</f>
        <v>0</v>
      </c>
      <c r="AN563" s="805">
        <f t="shared" ref="AN563:AN572" si="457">+AH563+AM563</f>
        <v>142500</v>
      </c>
      <c r="AO563" s="805">
        <f t="shared" ref="AO563:AO573" si="458">AK563-AN563</f>
        <v>7500</v>
      </c>
      <c r="AP563" s="793">
        <f t="shared" ref="AP563:AP578" si="459">+AO563</f>
        <v>7500</v>
      </c>
      <c r="AQ563" s="793">
        <f t="shared" ref="AQ563:AQ572" si="460">I563</f>
        <v>150000</v>
      </c>
      <c r="AR563" s="793">
        <f t="shared" ref="AR563:AR572" si="461">IF(AND(F563&gt;$AJ$3,F563&lt;$AP$3),$AP$3-F563+1,IF(H563&lt;=$AJ$3,0,IF(H563&gt;$AP$3,$AP$3-$AJ$3,H563-$AJ$3)))</f>
        <v>0</v>
      </c>
      <c r="AS563" s="793">
        <f t="shared" ref="AS563:AS572" si="462">ROUND(AQ563*C563*AR563/365,0)</f>
        <v>0</v>
      </c>
      <c r="AT563" s="793">
        <f t="shared" ref="AT563:AT578" si="463">+AN563+AS563</f>
        <v>142500</v>
      </c>
      <c r="AU563" s="793">
        <f t="shared" ref="AU563:AU578" si="464">+AQ563-AT563</f>
        <v>7500</v>
      </c>
      <c r="AV563" s="793">
        <f t="shared" ref="AV563:AV578" si="465">+AU563</f>
        <v>7500</v>
      </c>
      <c r="AW563" s="793">
        <f t="shared" ref="AW563:AW572" si="466">+I563</f>
        <v>150000</v>
      </c>
      <c r="AX563" s="793">
        <f t="shared" ref="AX563:AX572" si="467">IF(AND(F563&gt;$AP$3,F563&lt;$AV$3),$AV$3-F563+1,IF(H563&lt;=$AP$3,0,IF(H563&gt;$AV$3,$AV$3-$AP$3,H563-$AP$3)))</f>
        <v>0</v>
      </c>
      <c r="AY563" s="793">
        <f t="shared" ref="AY563:AY572" si="468">ROUND(AW563*C563*AX563/365,0)</f>
        <v>0</v>
      </c>
      <c r="AZ563" s="793">
        <f t="shared" ref="AZ563:AZ578" si="469">+AT563+AY563</f>
        <v>142500</v>
      </c>
      <c r="BA563" s="793">
        <f t="shared" ref="BA563:BA578" si="470">+AW563-AZ563</f>
        <v>7500</v>
      </c>
    </row>
    <row r="564" spans="1:59" ht="15.75" x14ac:dyDescent="0.25">
      <c r="A564" s="776" t="s">
        <v>670</v>
      </c>
      <c r="B564" s="943" t="s">
        <v>1369</v>
      </c>
      <c r="C564" s="778">
        <f t="shared" si="426"/>
        <v>0.23749999999999999</v>
      </c>
      <c r="D564" s="791">
        <v>4</v>
      </c>
      <c r="E564" s="779" t="s">
        <v>1182</v>
      </c>
      <c r="F564" s="845">
        <v>43191</v>
      </c>
      <c r="G564" s="991">
        <f t="shared" si="427"/>
        <v>43191</v>
      </c>
      <c r="H564" s="781">
        <f t="shared" si="428"/>
        <v>44651</v>
      </c>
      <c r="I564" s="1359">
        <v>54000</v>
      </c>
      <c r="J564" s="805">
        <f t="shared" si="429"/>
        <v>2700</v>
      </c>
      <c r="K564" s="1328"/>
      <c r="L564" s="1410">
        <v>0</v>
      </c>
      <c r="M564" s="793">
        <f t="shared" si="430"/>
        <v>54000</v>
      </c>
      <c r="N564" s="793">
        <f t="shared" si="431"/>
        <v>365</v>
      </c>
      <c r="O564" s="793">
        <f t="shared" si="432"/>
        <v>12825</v>
      </c>
      <c r="P564" s="793">
        <f t="shared" si="433"/>
        <v>12825</v>
      </c>
      <c r="Q564" s="1365">
        <f t="shared" si="434"/>
        <v>41175</v>
      </c>
      <c r="R564" s="1411">
        <f t="shared" si="435"/>
        <v>41175</v>
      </c>
      <c r="S564" s="793">
        <f t="shared" si="436"/>
        <v>54000</v>
      </c>
      <c r="T564" s="805">
        <f t="shared" si="437"/>
        <v>366</v>
      </c>
      <c r="U564" s="805">
        <f t="shared" si="438"/>
        <v>12825</v>
      </c>
      <c r="V564" s="793">
        <f t="shared" si="439"/>
        <v>25650</v>
      </c>
      <c r="W564" s="1365">
        <f t="shared" si="440"/>
        <v>28350</v>
      </c>
      <c r="X564" s="1410">
        <f t="shared" si="441"/>
        <v>28350</v>
      </c>
      <c r="Y564" s="805">
        <f t="shared" si="442"/>
        <v>54000</v>
      </c>
      <c r="Z564" s="805">
        <f t="shared" si="443"/>
        <v>365</v>
      </c>
      <c r="AA564" s="805">
        <f t="shared" si="444"/>
        <v>12825</v>
      </c>
      <c r="AB564" s="805">
        <f t="shared" si="445"/>
        <v>38475</v>
      </c>
      <c r="AC564" s="1360">
        <f t="shared" si="446"/>
        <v>15525</v>
      </c>
      <c r="AD564" s="1412">
        <f t="shared" si="447"/>
        <v>15525</v>
      </c>
      <c r="AE564" s="793">
        <f t="shared" si="448"/>
        <v>54000</v>
      </c>
      <c r="AF564" s="793">
        <f t="shared" si="449"/>
        <v>365</v>
      </c>
      <c r="AG564" s="793">
        <f t="shared" si="450"/>
        <v>12825</v>
      </c>
      <c r="AH564" s="805">
        <f t="shared" si="451"/>
        <v>51300</v>
      </c>
      <c r="AI564" s="805">
        <f t="shared" si="452"/>
        <v>2700</v>
      </c>
      <c r="AJ564" s="793">
        <f t="shared" si="453"/>
        <v>2700</v>
      </c>
      <c r="AK564" s="793">
        <f t="shared" si="454"/>
        <v>54000</v>
      </c>
      <c r="AL564" s="793">
        <f t="shared" si="455"/>
        <v>0</v>
      </c>
      <c r="AM564" s="793">
        <f t="shared" si="456"/>
        <v>0</v>
      </c>
      <c r="AN564" s="805">
        <f t="shared" si="457"/>
        <v>51300</v>
      </c>
      <c r="AO564" s="805">
        <f t="shared" si="458"/>
        <v>2700</v>
      </c>
      <c r="AP564" s="793">
        <f t="shared" si="459"/>
        <v>2700</v>
      </c>
      <c r="AQ564" s="793">
        <f t="shared" si="460"/>
        <v>54000</v>
      </c>
      <c r="AR564" s="793">
        <f t="shared" si="461"/>
        <v>0</v>
      </c>
      <c r="AS564" s="793">
        <f t="shared" si="462"/>
        <v>0</v>
      </c>
      <c r="AT564" s="793">
        <f t="shared" si="463"/>
        <v>51300</v>
      </c>
      <c r="AU564" s="793">
        <f t="shared" si="464"/>
        <v>2700</v>
      </c>
      <c r="AV564" s="793">
        <f t="shared" si="465"/>
        <v>2700</v>
      </c>
      <c r="AW564" s="793">
        <f t="shared" si="466"/>
        <v>54000</v>
      </c>
      <c r="AX564" s="793">
        <f t="shared" si="467"/>
        <v>0</v>
      </c>
      <c r="AY564" s="793">
        <f t="shared" si="468"/>
        <v>0</v>
      </c>
      <c r="AZ564" s="793">
        <f t="shared" si="469"/>
        <v>51300</v>
      </c>
      <c r="BA564" s="793">
        <f t="shared" si="470"/>
        <v>2700</v>
      </c>
    </row>
    <row r="565" spans="1:59" ht="15.75" x14ac:dyDescent="0.25">
      <c r="A565" s="776" t="s">
        <v>670</v>
      </c>
      <c r="B565" s="943" t="s">
        <v>1370</v>
      </c>
      <c r="C565" s="778">
        <f t="shared" si="426"/>
        <v>0.23749999999999999</v>
      </c>
      <c r="D565" s="791">
        <v>4</v>
      </c>
      <c r="E565" s="779" t="s">
        <v>1182</v>
      </c>
      <c r="F565" s="845">
        <v>43191</v>
      </c>
      <c r="G565" s="991">
        <f t="shared" si="427"/>
        <v>43191</v>
      </c>
      <c r="H565" s="781">
        <f t="shared" si="428"/>
        <v>44651</v>
      </c>
      <c r="I565" s="1359">
        <v>696500</v>
      </c>
      <c r="J565" s="805">
        <f t="shared" si="429"/>
        <v>34825</v>
      </c>
      <c r="K565" s="1328"/>
      <c r="L565" s="1410">
        <v>0</v>
      </c>
      <c r="M565" s="793">
        <f t="shared" si="430"/>
        <v>696500</v>
      </c>
      <c r="N565" s="793">
        <f t="shared" si="431"/>
        <v>365</v>
      </c>
      <c r="O565" s="793">
        <f t="shared" si="432"/>
        <v>165419</v>
      </c>
      <c r="P565" s="793">
        <f t="shared" si="433"/>
        <v>165419</v>
      </c>
      <c r="Q565" s="1365">
        <f t="shared" si="434"/>
        <v>531081</v>
      </c>
      <c r="R565" s="1411">
        <f t="shared" si="435"/>
        <v>531081</v>
      </c>
      <c r="S565" s="793">
        <f t="shared" si="436"/>
        <v>696500</v>
      </c>
      <c r="T565" s="805">
        <f t="shared" si="437"/>
        <v>366</v>
      </c>
      <c r="U565" s="805">
        <f t="shared" si="438"/>
        <v>165419</v>
      </c>
      <c r="V565" s="793">
        <f t="shared" si="439"/>
        <v>330838</v>
      </c>
      <c r="W565" s="1365">
        <f t="shared" si="440"/>
        <v>365662</v>
      </c>
      <c r="X565" s="1410">
        <f t="shared" si="441"/>
        <v>365662</v>
      </c>
      <c r="Y565" s="805">
        <f t="shared" si="442"/>
        <v>696500</v>
      </c>
      <c r="Z565" s="805">
        <f t="shared" si="443"/>
        <v>365</v>
      </c>
      <c r="AA565" s="805">
        <f t="shared" si="444"/>
        <v>165419</v>
      </c>
      <c r="AB565" s="805">
        <f t="shared" si="445"/>
        <v>496257</v>
      </c>
      <c r="AC565" s="1360">
        <f t="shared" si="446"/>
        <v>200243</v>
      </c>
      <c r="AD565" s="1412">
        <f t="shared" si="447"/>
        <v>200243</v>
      </c>
      <c r="AE565" s="793">
        <f t="shared" si="448"/>
        <v>696500</v>
      </c>
      <c r="AF565" s="793">
        <f t="shared" si="449"/>
        <v>365</v>
      </c>
      <c r="AG565" s="793">
        <f t="shared" si="450"/>
        <v>165419</v>
      </c>
      <c r="AH565" s="805">
        <f t="shared" si="451"/>
        <v>661676</v>
      </c>
      <c r="AI565" s="805">
        <f t="shared" si="452"/>
        <v>34824</v>
      </c>
      <c r="AJ565" s="793">
        <f t="shared" si="453"/>
        <v>34824</v>
      </c>
      <c r="AK565" s="793">
        <f t="shared" si="454"/>
        <v>696500</v>
      </c>
      <c r="AL565" s="793">
        <f t="shared" si="455"/>
        <v>0</v>
      </c>
      <c r="AM565" s="793">
        <f t="shared" si="456"/>
        <v>0</v>
      </c>
      <c r="AN565" s="805">
        <f t="shared" si="457"/>
        <v>661676</v>
      </c>
      <c r="AO565" s="805">
        <f t="shared" si="458"/>
        <v>34824</v>
      </c>
      <c r="AP565" s="793">
        <f t="shared" si="459"/>
        <v>34824</v>
      </c>
      <c r="AQ565" s="793">
        <f t="shared" si="460"/>
        <v>696500</v>
      </c>
      <c r="AR565" s="793">
        <f t="shared" si="461"/>
        <v>0</v>
      </c>
      <c r="AS565" s="793">
        <f t="shared" si="462"/>
        <v>0</v>
      </c>
      <c r="AT565" s="793">
        <f t="shared" si="463"/>
        <v>661676</v>
      </c>
      <c r="AU565" s="793">
        <f t="shared" si="464"/>
        <v>34824</v>
      </c>
      <c r="AV565" s="793">
        <f t="shared" si="465"/>
        <v>34824</v>
      </c>
      <c r="AW565" s="793">
        <f t="shared" si="466"/>
        <v>696500</v>
      </c>
      <c r="AX565" s="793">
        <f t="shared" si="467"/>
        <v>0</v>
      </c>
      <c r="AY565" s="793">
        <f t="shared" si="468"/>
        <v>0</v>
      </c>
      <c r="AZ565" s="793">
        <f t="shared" si="469"/>
        <v>661676</v>
      </c>
      <c r="BA565" s="793">
        <f t="shared" si="470"/>
        <v>34824</v>
      </c>
    </row>
    <row r="566" spans="1:59" ht="15.75" x14ac:dyDescent="0.25">
      <c r="A566" s="776" t="s">
        <v>670</v>
      </c>
      <c r="B566" s="943" t="s">
        <v>331</v>
      </c>
      <c r="C566" s="778">
        <f t="shared" si="426"/>
        <v>0.23749999999999999</v>
      </c>
      <c r="D566" s="791">
        <v>4</v>
      </c>
      <c r="E566" s="779" t="s">
        <v>1182</v>
      </c>
      <c r="F566" s="845">
        <v>43398</v>
      </c>
      <c r="G566" s="991">
        <f t="shared" si="427"/>
        <v>43398</v>
      </c>
      <c r="H566" s="781">
        <f t="shared" si="428"/>
        <v>44858</v>
      </c>
      <c r="I566" s="1359">
        <v>250000</v>
      </c>
      <c r="J566" s="805">
        <f t="shared" si="429"/>
        <v>12500</v>
      </c>
      <c r="K566" s="1328"/>
      <c r="L566" s="1410">
        <v>0</v>
      </c>
      <c r="M566" s="793">
        <f t="shared" si="430"/>
        <v>250000</v>
      </c>
      <c r="N566" s="793">
        <f t="shared" si="431"/>
        <v>158</v>
      </c>
      <c r="O566" s="793">
        <f t="shared" si="432"/>
        <v>25702</v>
      </c>
      <c r="P566" s="793">
        <f t="shared" si="433"/>
        <v>25702</v>
      </c>
      <c r="Q566" s="1365">
        <f t="shared" si="434"/>
        <v>224298</v>
      </c>
      <c r="R566" s="1411">
        <f t="shared" si="435"/>
        <v>224298</v>
      </c>
      <c r="S566" s="793">
        <f t="shared" si="436"/>
        <v>250000</v>
      </c>
      <c r="T566" s="805">
        <f t="shared" si="437"/>
        <v>366</v>
      </c>
      <c r="U566" s="805">
        <f t="shared" si="438"/>
        <v>59375</v>
      </c>
      <c r="V566" s="793">
        <f t="shared" si="439"/>
        <v>85077</v>
      </c>
      <c r="W566" s="1365">
        <f t="shared" si="440"/>
        <v>164923</v>
      </c>
      <c r="X566" s="1410">
        <f t="shared" si="441"/>
        <v>164923</v>
      </c>
      <c r="Y566" s="805">
        <f t="shared" si="442"/>
        <v>250000</v>
      </c>
      <c r="Z566" s="805">
        <f t="shared" si="443"/>
        <v>365</v>
      </c>
      <c r="AA566" s="805">
        <f t="shared" si="444"/>
        <v>59375</v>
      </c>
      <c r="AB566" s="805">
        <f t="shared" si="445"/>
        <v>144452</v>
      </c>
      <c r="AC566" s="1360">
        <f t="shared" si="446"/>
        <v>105548</v>
      </c>
      <c r="AD566" s="1412">
        <f t="shared" si="447"/>
        <v>105548</v>
      </c>
      <c r="AE566" s="793">
        <f t="shared" si="448"/>
        <v>250000</v>
      </c>
      <c r="AF566" s="793">
        <f t="shared" si="449"/>
        <v>365</v>
      </c>
      <c r="AG566" s="793">
        <f t="shared" si="450"/>
        <v>59375</v>
      </c>
      <c r="AH566" s="805">
        <f t="shared" si="451"/>
        <v>203827</v>
      </c>
      <c r="AI566" s="805">
        <f t="shared" si="452"/>
        <v>46173</v>
      </c>
      <c r="AJ566" s="793">
        <f t="shared" si="453"/>
        <v>46173</v>
      </c>
      <c r="AK566" s="793">
        <f t="shared" si="454"/>
        <v>250000</v>
      </c>
      <c r="AL566" s="793">
        <f t="shared" si="455"/>
        <v>207</v>
      </c>
      <c r="AM566" s="793">
        <f t="shared" si="456"/>
        <v>33673</v>
      </c>
      <c r="AN566" s="805">
        <f t="shared" si="457"/>
        <v>237500</v>
      </c>
      <c r="AO566" s="805">
        <f t="shared" si="458"/>
        <v>12500</v>
      </c>
      <c r="AP566" s="793">
        <f t="shared" si="459"/>
        <v>12500</v>
      </c>
      <c r="AQ566" s="793">
        <f t="shared" si="460"/>
        <v>250000</v>
      </c>
      <c r="AR566" s="793">
        <f t="shared" si="461"/>
        <v>0</v>
      </c>
      <c r="AS566" s="793">
        <f t="shared" si="462"/>
        <v>0</v>
      </c>
      <c r="AT566" s="793">
        <f t="shared" si="463"/>
        <v>237500</v>
      </c>
      <c r="AU566" s="793">
        <f t="shared" si="464"/>
        <v>12500</v>
      </c>
      <c r="AV566" s="793">
        <f t="shared" si="465"/>
        <v>12500</v>
      </c>
      <c r="AW566" s="793">
        <f t="shared" si="466"/>
        <v>250000</v>
      </c>
      <c r="AX566" s="793">
        <f t="shared" si="467"/>
        <v>0</v>
      </c>
      <c r="AY566" s="793">
        <f t="shared" si="468"/>
        <v>0</v>
      </c>
      <c r="AZ566" s="793">
        <f t="shared" si="469"/>
        <v>237500</v>
      </c>
      <c r="BA566" s="793">
        <f t="shared" si="470"/>
        <v>12500</v>
      </c>
    </row>
    <row r="567" spans="1:59" ht="15.75" x14ac:dyDescent="0.25">
      <c r="A567" s="776" t="s">
        <v>670</v>
      </c>
      <c r="B567" s="943" t="s">
        <v>331</v>
      </c>
      <c r="C567" s="778">
        <f t="shared" si="426"/>
        <v>0.23749999999999999</v>
      </c>
      <c r="D567" s="791">
        <v>4</v>
      </c>
      <c r="E567" s="779" t="s">
        <v>1182</v>
      </c>
      <c r="F567" s="845">
        <v>43531</v>
      </c>
      <c r="G567" s="991">
        <f t="shared" si="427"/>
        <v>43531</v>
      </c>
      <c r="H567" s="781">
        <f t="shared" si="428"/>
        <v>44991</v>
      </c>
      <c r="I567" s="1359">
        <v>150000</v>
      </c>
      <c r="J567" s="805">
        <f t="shared" si="429"/>
        <v>7500</v>
      </c>
      <c r="K567" s="1328"/>
      <c r="L567" s="1410">
        <v>0</v>
      </c>
      <c r="M567" s="793">
        <f t="shared" si="430"/>
        <v>150000</v>
      </c>
      <c r="N567" s="793">
        <f t="shared" si="431"/>
        <v>25</v>
      </c>
      <c r="O567" s="793">
        <f t="shared" si="432"/>
        <v>2440</v>
      </c>
      <c r="P567" s="793">
        <f t="shared" si="433"/>
        <v>2440</v>
      </c>
      <c r="Q567" s="1365">
        <f t="shared" si="434"/>
        <v>147560</v>
      </c>
      <c r="R567" s="1411">
        <f t="shared" si="435"/>
        <v>147560</v>
      </c>
      <c r="S567" s="793">
        <f t="shared" si="436"/>
        <v>150000</v>
      </c>
      <c r="T567" s="805">
        <f t="shared" si="437"/>
        <v>366</v>
      </c>
      <c r="U567" s="805">
        <f t="shared" si="438"/>
        <v>35625</v>
      </c>
      <c r="V567" s="793">
        <f t="shared" si="439"/>
        <v>38065</v>
      </c>
      <c r="W567" s="1365">
        <f t="shared" si="440"/>
        <v>111935</v>
      </c>
      <c r="X567" s="1410">
        <f t="shared" si="441"/>
        <v>111935</v>
      </c>
      <c r="Y567" s="805">
        <f t="shared" si="442"/>
        <v>150000</v>
      </c>
      <c r="Z567" s="805">
        <f t="shared" si="443"/>
        <v>365</v>
      </c>
      <c r="AA567" s="805">
        <f t="shared" si="444"/>
        <v>35625</v>
      </c>
      <c r="AB567" s="805">
        <f t="shared" si="445"/>
        <v>73690</v>
      </c>
      <c r="AC567" s="1360">
        <f t="shared" si="446"/>
        <v>76310</v>
      </c>
      <c r="AD567" s="1412">
        <f t="shared" si="447"/>
        <v>76310</v>
      </c>
      <c r="AE567" s="793">
        <f t="shared" si="448"/>
        <v>150000</v>
      </c>
      <c r="AF567" s="793">
        <f t="shared" si="449"/>
        <v>365</v>
      </c>
      <c r="AG567" s="793">
        <f t="shared" si="450"/>
        <v>35625</v>
      </c>
      <c r="AH567" s="805">
        <f t="shared" si="451"/>
        <v>109315</v>
      </c>
      <c r="AI567" s="805">
        <f t="shared" si="452"/>
        <v>40685</v>
      </c>
      <c r="AJ567" s="793">
        <f t="shared" si="453"/>
        <v>40685</v>
      </c>
      <c r="AK567" s="793">
        <f t="shared" si="454"/>
        <v>150000</v>
      </c>
      <c r="AL567" s="793">
        <f t="shared" si="455"/>
        <v>340</v>
      </c>
      <c r="AM567" s="793">
        <f t="shared" si="456"/>
        <v>33185</v>
      </c>
      <c r="AN567" s="805">
        <f t="shared" si="457"/>
        <v>142500</v>
      </c>
      <c r="AO567" s="805">
        <f t="shared" si="458"/>
        <v>7500</v>
      </c>
      <c r="AP567" s="793">
        <f t="shared" si="459"/>
        <v>7500</v>
      </c>
      <c r="AQ567" s="793">
        <f t="shared" si="460"/>
        <v>150000</v>
      </c>
      <c r="AR567" s="793">
        <f t="shared" si="461"/>
        <v>0</v>
      </c>
      <c r="AS567" s="793">
        <f t="shared" si="462"/>
        <v>0</v>
      </c>
      <c r="AT567" s="793">
        <f t="shared" si="463"/>
        <v>142500</v>
      </c>
      <c r="AU567" s="793">
        <f t="shared" si="464"/>
        <v>7500</v>
      </c>
      <c r="AV567" s="793">
        <f t="shared" si="465"/>
        <v>7500</v>
      </c>
      <c r="AW567" s="793">
        <f t="shared" si="466"/>
        <v>150000</v>
      </c>
      <c r="AX567" s="793">
        <f t="shared" si="467"/>
        <v>0</v>
      </c>
      <c r="AY567" s="793">
        <f t="shared" si="468"/>
        <v>0</v>
      </c>
      <c r="AZ567" s="793">
        <f t="shared" si="469"/>
        <v>142500</v>
      </c>
      <c r="BA567" s="793">
        <f t="shared" si="470"/>
        <v>7500</v>
      </c>
    </row>
    <row r="568" spans="1:59" ht="15.75" x14ac:dyDescent="0.25">
      <c r="A568" s="776" t="s">
        <v>670</v>
      </c>
      <c r="B568" s="943" t="s">
        <v>331</v>
      </c>
      <c r="C568" s="778">
        <f t="shared" si="426"/>
        <v>0.23749999999999999</v>
      </c>
      <c r="D568" s="791">
        <v>4</v>
      </c>
      <c r="E568" s="779" t="s">
        <v>1182</v>
      </c>
      <c r="F568" s="845">
        <v>43549</v>
      </c>
      <c r="G568" s="991">
        <f t="shared" si="427"/>
        <v>43549</v>
      </c>
      <c r="H568" s="781">
        <f t="shared" si="428"/>
        <v>45009</v>
      </c>
      <c r="I568" s="1359">
        <v>150000</v>
      </c>
      <c r="J568" s="805">
        <f t="shared" si="429"/>
        <v>7500</v>
      </c>
      <c r="K568" s="1328"/>
      <c r="L568" s="1410">
        <v>0</v>
      </c>
      <c r="M568" s="793">
        <f t="shared" si="430"/>
        <v>150000</v>
      </c>
      <c r="N568" s="793">
        <f t="shared" si="431"/>
        <v>7</v>
      </c>
      <c r="O568" s="793">
        <f t="shared" si="432"/>
        <v>683</v>
      </c>
      <c r="P568" s="793">
        <f t="shared" si="433"/>
        <v>683</v>
      </c>
      <c r="Q568" s="1365">
        <f t="shared" si="434"/>
        <v>149317</v>
      </c>
      <c r="R568" s="1411">
        <f t="shared" si="435"/>
        <v>149317</v>
      </c>
      <c r="S568" s="793">
        <f t="shared" si="436"/>
        <v>150000</v>
      </c>
      <c r="T568" s="805">
        <f t="shared" si="437"/>
        <v>366</v>
      </c>
      <c r="U568" s="805">
        <f t="shared" si="438"/>
        <v>35625</v>
      </c>
      <c r="V568" s="793">
        <f t="shared" si="439"/>
        <v>36308</v>
      </c>
      <c r="W568" s="1365">
        <f t="shared" si="440"/>
        <v>113692</v>
      </c>
      <c r="X568" s="1410">
        <f t="shared" si="441"/>
        <v>113692</v>
      </c>
      <c r="Y568" s="805">
        <f t="shared" si="442"/>
        <v>150000</v>
      </c>
      <c r="Z568" s="805">
        <f t="shared" si="443"/>
        <v>365</v>
      </c>
      <c r="AA568" s="805">
        <f t="shared" si="444"/>
        <v>35625</v>
      </c>
      <c r="AB568" s="805">
        <f t="shared" si="445"/>
        <v>71933</v>
      </c>
      <c r="AC568" s="1360">
        <f t="shared" si="446"/>
        <v>78067</v>
      </c>
      <c r="AD568" s="1412">
        <f t="shared" si="447"/>
        <v>78067</v>
      </c>
      <c r="AE568" s="793">
        <f t="shared" si="448"/>
        <v>150000</v>
      </c>
      <c r="AF568" s="793">
        <f t="shared" si="449"/>
        <v>365</v>
      </c>
      <c r="AG568" s="793">
        <f t="shared" si="450"/>
        <v>35625</v>
      </c>
      <c r="AH568" s="805">
        <f t="shared" si="451"/>
        <v>107558</v>
      </c>
      <c r="AI568" s="805">
        <f t="shared" si="452"/>
        <v>42442</v>
      </c>
      <c r="AJ568" s="793">
        <f t="shared" si="453"/>
        <v>42442</v>
      </c>
      <c r="AK568" s="793">
        <f t="shared" si="454"/>
        <v>150000</v>
      </c>
      <c r="AL568" s="793">
        <f t="shared" si="455"/>
        <v>358</v>
      </c>
      <c r="AM568" s="793">
        <f t="shared" si="456"/>
        <v>34942</v>
      </c>
      <c r="AN568" s="805">
        <f t="shared" si="457"/>
        <v>142500</v>
      </c>
      <c r="AO568" s="805">
        <f t="shared" si="458"/>
        <v>7500</v>
      </c>
      <c r="AP568" s="793">
        <f t="shared" si="459"/>
        <v>7500</v>
      </c>
      <c r="AQ568" s="793">
        <f t="shared" si="460"/>
        <v>150000</v>
      </c>
      <c r="AR568" s="793">
        <f t="shared" si="461"/>
        <v>0</v>
      </c>
      <c r="AS568" s="793">
        <f t="shared" si="462"/>
        <v>0</v>
      </c>
      <c r="AT568" s="793">
        <f t="shared" si="463"/>
        <v>142500</v>
      </c>
      <c r="AU568" s="793">
        <f t="shared" si="464"/>
        <v>7500</v>
      </c>
      <c r="AV568" s="793">
        <f t="shared" si="465"/>
        <v>7500</v>
      </c>
      <c r="AW568" s="793">
        <f t="shared" si="466"/>
        <v>150000</v>
      </c>
      <c r="AX568" s="793">
        <f t="shared" si="467"/>
        <v>0</v>
      </c>
      <c r="AY568" s="793">
        <f t="shared" si="468"/>
        <v>0</v>
      </c>
      <c r="AZ568" s="793">
        <f t="shared" si="469"/>
        <v>142500</v>
      </c>
      <c r="BA568" s="793">
        <f t="shared" si="470"/>
        <v>7500</v>
      </c>
    </row>
    <row r="569" spans="1:59" ht="15.75" x14ac:dyDescent="0.25">
      <c r="A569" s="776" t="s">
        <v>670</v>
      </c>
      <c r="B569" s="943" t="s">
        <v>1371</v>
      </c>
      <c r="C569" s="778">
        <f t="shared" si="426"/>
        <v>0.23749999999999999</v>
      </c>
      <c r="D569" s="791">
        <v>4</v>
      </c>
      <c r="E569" s="779" t="s">
        <v>1182</v>
      </c>
      <c r="F569" s="845">
        <v>43269</v>
      </c>
      <c r="G569" s="991">
        <f t="shared" si="427"/>
        <v>43269</v>
      </c>
      <c r="H569" s="781">
        <f t="shared" si="428"/>
        <v>44729</v>
      </c>
      <c r="I569" s="1359">
        <v>228198</v>
      </c>
      <c r="J569" s="805">
        <f t="shared" si="429"/>
        <v>11409.900000000001</v>
      </c>
      <c r="K569" s="1328"/>
      <c r="L569" s="1410">
        <v>0</v>
      </c>
      <c r="M569" s="793">
        <f t="shared" si="430"/>
        <v>228198</v>
      </c>
      <c r="N569" s="793">
        <f t="shared" si="431"/>
        <v>287</v>
      </c>
      <c r="O569" s="793">
        <f t="shared" si="432"/>
        <v>42615</v>
      </c>
      <c r="P569" s="793">
        <f t="shared" si="433"/>
        <v>42615</v>
      </c>
      <c r="Q569" s="1365">
        <f t="shared" si="434"/>
        <v>185583</v>
      </c>
      <c r="R569" s="1411">
        <f t="shared" si="435"/>
        <v>185583</v>
      </c>
      <c r="S569" s="793">
        <f t="shared" si="436"/>
        <v>228198</v>
      </c>
      <c r="T569" s="805">
        <f t="shared" si="437"/>
        <v>366</v>
      </c>
      <c r="U569" s="805">
        <f t="shared" si="438"/>
        <v>54197</v>
      </c>
      <c r="V569" s="793">
        <f t="shared" si="439"/>
        <v>96812</v>
      </c>
      <c r="W569" s="1365">
        <f t="shared" si="440"/>
        <v>131386</v>
      </c>
      <c r="X569" s="1410">
        <f t="shared" si="441"/>
        <v>131386</v>
      </c>
      <c r="Y569" s="805">
        <f t="shared" si="442"/>
        <v>228198</v>
      </c>
      <c r="Z569" s="805">
        <f t="shared" si="443"/>
        <v>365</v>
      </c>
      <c r="AA569" s="805">
        <f t="shared" si="444"/>
        <v>54197</v>
      </c>
      <c r="AB569" s="805">
        <f t="shared" si="445"/>
        <v>151009</v>
      </c>
      <c r="AC569" s="1360">
        <f t="shared" si="446"/>
        <v>77189</v>
      </c>
      <c r="AD569" s="1412">
        <f t="shared" si="447"/>
        <v>77189</v>
      </c>
      <c r="AE569" s="793">
        <f t="shared" si="448"/>
        <v>228198</v>
      </c>
      <c r="AF569" s="793">
        <f t="shared" si="449"/>
        <v>365</v>
      </c>
      <c r="AG569" s="793">
        <f t="shared" si="450"/>
        <v>54197</v>
      </c>
      <c r="AH569" s="805">
        <f t="shared" si="451"/>
        <v>205206</v>
      </c>
      <c r="AI569" s="805">
        <f t="shared" si="452"/>
        <v>22992</v>
      </c>
      <c r="AJ569" s="793">
        <f t="shared" si="453"/>
        <v>22992</v>
      </c>
      <c r="AK569" s="793">
        <f t="shared" si="454"/>
        <v>228198</v>
      </c>
      <c r="AL569" s="793">
        <f t="shared" si="455"/>
        <v>78</v>
      </c>
      <c r="AM569" s="793">
        <f t="shared" si="456"/>
        <v>11582</v>
      </c>
      <c r="AN569" s="805">
        <f t="shared" si="457"/>
        <v>216788</v>
      </c>
      <c r="AO569" s="805">
        <f t="shared" si="458"/>
        <v>11410</v>
      </c>
      <c r="AP569" s="793">
        <f t="shared" si="459"/>
        <v>11410</v>
      </c>
      <c r="AQ569" s="793">
        <f t="shared" si="460"/>
        <v>228198</v>
      </c>
      <c r="AR569" s="793">
        <f t="shared" si="461"/>
        <v>0</v>
      </c>
      <c r="AS569" s="793">
        <f t="shared" si="462"/>
        <v>0</v>
      </c>
      <c r="AT569" s="793">
        <f t="shared" si="463"/>
        <v>216788</v>
      </c>
      <c r="AU569" s="793">
        <f t="shared" si="464"/>
        <v>11410</v>
      </c>
      <c r="AV569" s="793">
        <f t="shared" si="465"/>
        <v>11410</v>
      </c>
      <c r="AW569" s="793">
        <f t="shared" si="466"/>
        <v>228198</v>
      </c>
      <c r="AX569" s="793">
        <f t="shared" si="467"/>
        <v>0</v>
      </c>
      <c r="AY569" s="793">
        <f t="shared" si="468"/>
        <v>0</v>
      </c>
      <c r="AZ569" s="793">
        <f t="shared" si="469"/>
        <v>216788</v>
      </c>
      <c r="BA569" s="793">
        <f t="shared" si="470"/>
        <v>11410</v>
      </c>
    </row>
    <row r="570" spans="1:59" ht="15.75" x14ac:dyDescent="0.25">
      <c r="A570" s="776" t="s">
        <v>670</v>
      </c>
      <c r="B570" s="943" t="s">
        <v>1372</v>
      </c>
      <c r="C570" s="778">
        <f t="shared" si="426"/>
        <v>0.23749999999999999</v>
      </c>
      <c r="D570" s="791">
        <v>4</v>
      </c>
      <c r="E570" s="779" t="s">
        <v>1182</v>
      </c>
      <c r="F570" s="845">
        <v>43308</v>
      </c>
      <c r="G570" s="991">
        <f t="shared" si="427"/>
        <v>43308</v>
      </c>
      <c r="H570" s="781">
        <f t="shared" si="428"/>
        <v>44768</v>
      </c>
      <c r="I570" s="1359">
        <v>108000</v>
      </c>
      <c r="J570" s="805">
        <f t="shared" si="429"/>
        <v>5400</v>
      </c>
      <c r="K570" s="1328"/>
      <c r="L570" s="1413">
        <v>0</v>
      </c>
      <c r="M570" s="818">
        <f t="shared" si="430"/>
        <v>108000</v>
      </c>
      <c r="N570" s="818">
        <f t="shared" si="431"/>
        <v>248</v>
      </c>
      <c r="O570" s="818">
        <f t="shared" si="432"/>
        <v>17428</v>
      </c>
      <c r="P570" s="818">
        <f t="shared" si="433"/>
        <v>17428</v>
      </c>
      <c r="Q570" s="1414">
        <f t="shared" si="434"/>
        <v>90572</v>
      </c>
      <c r="R570" s="1415">
        <f t="shared" si="435"/>
        <v>90572</v>
      </c>
      <c r="S570" s="818">
        <f t="shared" si="436"/>
        <v>108000</v>
      </c>
      <c r="T570" s="821">
        <f t="shared" si="437"/>
        <v>366</v>
      </c>
      <c r="U570" s="821">
        <f t="shared" si="438"/>
        <v>25650</v>
      </c>
      <c r="V570" s="818">
        <f t="shared" si="439"/>
        <v>43078</v>
      </c>
      <c r="W570" s="1414">
        <f t="shared" si="440"/>
        <v>64922</v>
      </c>
      <c r="X570" s="1413">
        <f t="shared" si="441"/>
        <v>64922</v>
      </c>
      <c r="Y570" s="821">
        <f t="shared" si="442"/>
        <v>108000</v>
      </c>
      <c r="Z570" s="821">
        <f t="shared" si="443"/>
        <v>365</v>
      </c>
      <c r="AA570" s="821">
        <f t="shared" si="444"/>
        <v>25650</v>
      </c>
      <c r="AB570" s="821">
        <f t="shared" si="445"/>
        <v>68728</v>
      </c>
      <c r="AC570" s="1416">
        <f t="shared" si="446"/>
        <v>39272</v>
      </c>
      <c r="AD570" s="817">
        <f t="shared" si="447"/>
        <v>39272</v>
      </c>
      <c r="AE570" s="818">
        <f t="shared" si="448"/>
        <v>108000</v>
      </c>
      <c r="AF570" s="818">
        <f t="shared" si="449"/>
        <v>365</v>
      </c>
      <c r="AG570" s="818">
        <f t="shared" si="450"/>
        <v>25650</v>
      </c>
      <c r="AH570" s="821">
        <f t="shared" si="451"/>
        <v>94378</v>
      </c>
      <c r="AI570" s="821">
        <f t="shared" si="452"/>
        <v>13622</v>
      </c>
      <c r="AJ570" s="818">
        <f t="shared" si="453"/>
        <v>13622</v>
      </c>
      <c r="AK570" s="818">
        <f t="shared" si="454"/>
        <v>108000</v>
      </c>
      <c r="AL570" s="818">
        <f t="shared" si="455"/>
        <v>117</v>
      </c>
      <c r="AM570" s="818">
        <f t="shared" si="456"/>
        <v>8222</v>
      </c>
      <c r="AN570" s="821">
        <f t="shared" si="457"/>
        <v>102600</v>
      </c>
      <c r="AO570" s="821">
        <f t="shared" si="458"/>
        <v>5400</v>
      </c>
      <c r="AP570" s="793">
        <f t="shared" si="459"/>
        <v>5400</v>
      </c>
      <c r="AQ570" s="793">
        <f t="shared" si="460"/>
        <v>108000</v>
      </c>
      <c r="AR570" s="793">
        <f t="shared" si="461"/>
        <v>0</v>
      </c>
      <c r="AS570" s="793">
        <f t="shared" si="462"/>
        <v>0</v>
      </c>
      <c r="AT570" s="793">
        <f t="shared" si="463"/>
        <v>102600</v>
      </c>
      <c r="AU570" s="793">
        <f t="shared" si="464"/>
        <v>5400</v>
      </c>
      <c r="AV570" s="793">
        <f t="shared" si="465"/>
        <v>5400</v>
      </c>
      <c r="AW570" s="793">
        <f t="shared" si="466"/>
        <v>108000</v>
      </c>
      <c r="AX570" s="793">
        <f t="shared" si="467"/>
        <v>0</v>
      </c>
      <c r="AY570" s="793">
        <f t="shared" si="468"/>
        <v>0</v>
      </c>
      <c r="AZ570" s="793">
        <f t="shared" si="469"/>
        <v>102600</v>
      </c>
      <c r="BA570" s="793">
        <f t="shared" si="470"/>
        <v>5400</v>
      </c>
    </row>
    <row r="571" spans="1:59" ht="15.75" x14ac:dyDescent="0.25">
      <c r="A571" s="776" t="s">
        <v>670</v>
      </c>
      <c r="B571" s="852" t="s">
        <v>331</v>
      </c>
      <c r="C571" s="778">
        <f t="shared" si="426"/>
        <v>0.23749999999999999</v>
      </c>
      <c r="D571" s="791">
        <v>4</v>
      </c>
      <c r="E571" s="844" t="s">
        <v>677</v>
      </c>
      <c r="F571" s="853">
        <v>44676</v>
      </c>
      <c r="G571" s="991">
        <f t="shared" si="427"/>
        <v>44676</v>
      </c>
      <c r="H571" s="781">
        <f t="shared" si="428"/>
        <v>46136</v>
      </c>
      <c r="I571" s="1383">
        <v>85000</v>
      </c>
      <c r="J571" s="805">
        <f t="shared" si="429"/>
        <v>4250</v>
      </c>
      <c r="K571" s="1328"/>
      <c r="L571" s="793">
        <v>0</v>
      </c>
      <c r="M571" s="793"/>
      <c r="N571" s="793">
        <v>0</v>
      </c>
      <c r="O571" s="793">
        <f t="shared" si="432"/>
        <v>0</v>
      </c>
      <c r="P571" s="793">
        <f t="shared" si="433"/>
        <v>0</v>
      </c>
      <c r="Q571" s="793">
        <f t="shared" si="434"/>
        <v>0</v>
      </c>
      <c r="R571" s="793">
        <v>0</v>
      </c>
      <c r="S571" s="793">
        <v>0</v>
      </c>
      <c r="T571" s="793">
        <v>0</v>
      </c>
      <c r="U571" s="793">
        <f>ROUND(S571*J571*T571/365,0)</f>
        <v>0</v>
      </c>
      <c r="V571" s="793">
        <f>U571</f>
        <v>0</v>
      </c>
      <c r="W571" s="793">
        <f t="shared" si="440"/>
        <v>0</v>
      </c>
      <c r="X571" s="793">
        <v>0</v>
      </c>
      <c r="Y571" s="793">
        <v>0</v>
      </c>
      <c r="Z571" s="793">
        <v>0</v>
      </c>
      <c r="AA571" s="793">
        <f>ROUND(Y571*P571*Z571/365,0)</f>
        <v>0</v>
      </c>
      <c r="AB571" s="793">
        <f>AA571</f>
        <v>0</v>
      </c>
      <c r="AC571" s="793">
        <f>+Y571-AB571</f>
        <v>0</v>
      </c>
      <c r="AD571" s="793">
        <v>0</v>
      </c>
      <c r="AE571" s="793">
        <v>0</v>
      </c>
      <c r="AF571" s="793">
        <v>0</v>
      </c>
      <c r="AG571" s="793">
        <f>ROUND(AE571*V571*AF571/365,0)</f>
        <v>0</v>
      </c>
      <c r="AH571" s="793">
        <f>AG571</f>
        <v>0</v>
      </c>
      <c r="AI571" s="805">
        <f t="shared" si="452"/>
        <v>0</v>
      </c>
      <c r="AJ571" s="793">
        <f t="shared" si="453"/>
        <v>0</v>
      </c>
      <c r="AK571" s="793">
        <f t="shared" si="454"/>
        <v>85000</v>
      </c>
      <c r="AL571" s="793">
        <f t="shared" si="455"/>
        <v>341</v>
      </c>
      <c r="AM571" s="793">
        <f t="shared" si="456"/>
        <v>18860</v>
      </c>
      <c r="AN571" s="805">
        <f t="shared" si="457"/>
        <v>18860</v>
      </c>
      <c r="AO571" s="805">
        <f t="shared" si="458"/>
        <v>66140</v>
      </c>
      <c r="AP571" s="793">
        <f t="shared" si="459"/>
        <v>66140</v>
      </c>
      <c r="AQ571" s="793">
        <f t="shared" si="460"/>
        <v>85000</v>
      </c>
      <c r="AR571" s="793">
        <f t="shared" si="461"/>
        <v>366</v>
      </c>
      <c r="AS571" s="793">
        <f t="shared" si="462"/>
        <v>20243</v>
      </c>
      <c r="AT571" s="793">
        <f t="shared" si="463"/>
        <v>39103</v>
      </c>
      <c r="AU571" s="793">
        <f t="shared" si="464"/>
        <v>45897</v>
      </c>
      <c r="AV571" s="793">
        <f t="shared" si="465"/>
        <v>45897</v>
      </c>
      <c r="AW571" s="793">
        <f t="shared" si="466"/>
        <v>85000</v>
      </c>
      <c r="AX571" s="793">
        <f t="shared" si="467"/>
        <v>365</v>
      </c>
      <c r="AY571" s="793">
        <f t="shared" si="468"/>
        <v>20188</v>
      </c>
      <c r="AZ571" s="793">
        <f t="shared" si="469"/>
        <v>59291</v>
      </c>
      <c r="BA571" s="793">
        <f t="shared" si="470"/>
        <v>25709</v>
      </c>
    </row>
    <row r="572" spans="1:59" ht="15.75" x14ac:dyDescent="0.25">
      <c r="A572" s="982" t="s">
        <v>670</v>
      </c>
      <c r="B572" s="899" t="s">
        <v>1373</v>
      </c>
      <c r="C572" s="826">
        <f t="shared" si="426"/>
        <v>0.23749999999999999</v>
      </c>
      <c r="D572" s="809">
        <v>4</v>
      </c>
      <c r="E572" s="858" t="s">
        <v>677</v>
      </c>
      <c r="F572" s="859">
        <v>44880</v>
      </c>
      <c r="G572" s="995">
        <f t="shared" si="427"/>
        <v>44880</v>
      </c>
      <c r="H572" s="828">
        <f t="shared" si="428"/>
        <v>46340</v>
      </c>
      <c r="I572" s="1422">
        <v>237500</v>
      </c>
      <c r="J572" s="821">
        <f t="shared" si="429"/>
        <v>11875</v>
      </c>
      <c r="K572" s="1328"/>
      <c r="L572" s="818">
        <v>0</v>
      </c>
      <c r="M572" s="818"/>
      <c r="N572" s="818">
        <v>0</v>
      </c>
      <c r="O572" s="818">
        <f t="shared" si="432"/>
        <v>0</v>
      </c>
      <c r="P572" s="818">
        <f t="shared" si="433"/>
        <v>0</v>
      </c>
      <c r="Q572" s="818">
        <f t="shared" si="434"/>
        <v>0</v>
      </c>
      <c r="R572" s="818">
        <v>0</v>
      </c>
      <c r="S572" s="818">
        <v>0</v>
      </c>
      <c r="T572" s="818">
        <v>0</v>
      </c>
      <c r="U572" s="818">
        <f>ROUND(S572*J572*T572/365,0)</f>
        <v>0</v>
      </c>
      <c r="V572" s="818">
        <f>U572</f>
        <v>0</v>
      </c>
      <c r="W572" s="818">
        <f t="shared" si="440"/>
        <v>0</v>
      </c>
      <c r="X572" s="818">
        <v>0</v>
      </c>
      <c r="Y572" s="818">
        <v>0</v>
      </c>
      <c r="Z572" s="818">
        <v>0</v>
      </c>
      <c r="AA572" s="818">
        <f>ROUND(Y572*P572*Z572/365,0)</f>
        <v>0</v>
      </c>
      <c r="AB572" s="818">
        <f>AA572</f>
        <v>0</v>
      </c>
      <c r="AC572" s="818">
        <f>+Y572-AB572</f>
        <v>0</v>
      </c>
      <c r="AD572" s="818">
        <v>0</v>
      </c>
      <c r="AE572" s="818">
        <v>0</v>
      </c>
      <c r="AF572" s="818">
        <v>0</v>
      </c>
      <c r="AG572" s="818">
        <f>ROUND(AE572*V572*AF572/365,0)</f>
        <v>0</v>
      </c>
      <c r="AH572" s="818">
        <f>AG572</f>
        <v>0</v>
      </c>
      <c r="AI572" s="818">
        <f>+AE572-AH572</f>
        <v>0</v>
      </c>
      <c r="AJ572" s="818">
        <f t="shared" si="453"/>
        <v>0</v>
      </c>
      <c r="AK572" s="818">
        <f t="shared" si="454"/>
        <v>237500</v>
      </c>
      <c r="AL572" s="818">
        <f t="shared" si="455"/>
        <v>137</v>
      </c>
      <c r="AM572" s="818">
        <f t="shared" si="456"/>
        <v>21172</v>
      </c>
      <c r="AN572" s="821">
        <f t="shared" si="457"/>
        <v>21172</v>
      </c>
      <c r="AO572" s="821">
        <f t="shared" si="458"/>
        <v>216328</v>
      </c>
      <c r="AP572" s="793">
        <f t="shared" si="459"/>
        <v>216328</v>
      </c>
      <c r="AQ572" s="793">
        <f t="shared" si="460"/>
        <v>237500</v>
      </c>
      <c r="AR572" s="793">
        <f t="shared" si="461"/>
        <v>366</v>
      </c>
      <c r="AS572" s="793">
        <f t="shared" si="462"/>
        <v>56561</v>
      </c>
      <c r="AT572" s="793">
        <f t="shared" si="463"/>
        <v>77733</v>
      </c>
      <c r="AU572" s="793">
        <f t="shared" si="464"/>
        <v>159767</v>
      </c>
      <c r="AV572" s="793">
        <f t="shared" si="465"/>
        <v>159767</v>
      </c>
      <c r="AW572" s="793">
        <f t="shared" si="466"/>
        <v>237500</v>
      </c>
      <c r="AX572" s="793">
        <f t="shared" si="467"/>
        <v>365</v>
      </c>
      <c r="AY572" s="793">
        <f t="shared" si="468"/>
        <v>56406</v>
      </c>
      <c r="AZ572" s="793">
        <f t="shared" si="469"/>
        <v>134139</v>
      </c>
      <c r="BA572" s="793">
        <f t="shared" si="470"/>
        <v>103361</v>
      </c>
    </row>
    <row r="573" spans="1:59" ht="15.75" x14ac:dyDescent="0.25">
      <c r="A573" s="982" t="s">
        <v>1832</v>
      </c>
      <c r="B573" s="899"/>
      <c r="C573" s="826"/>
      <c r="D573" s="809"/>
      <c r="E573" s="858"/>
      <c r="F573" s="859"/>
      <c r="G573" s="995"/>
      <c r="H573" s="828"/>
      <c r="I573" s="1422"/>
      <c r="J573" s="821"/>
      <c r="K573" s="1328"/>
      <c r="L573" s="818"/>
      <c r="M573" s="818"/>
      <c r="N573" s="818"/>
      <c r="O573" s="818"/>
      <c r="P573" s="818"/>
      <c r="Q573" s="818"/>
      <c r="R573" s="818"/>
      <c r="S573" s="818"/>
      <c r="T573" s="818"/>
      <c r="U573" s="818"/>
      <c r="V573" s="818"/>
      <c r="W573" s="818"/>
      <c r="X573" s="818"/>
      <c r="Y573" s="818"/>
      <c r="Z573" s="818"/>
      <c r="AA573" s="818"/>
      <c r="AB573" s="818"/>
      <c r="AC573" s="818"/>
      <c r="AD573" s="818"/>
      <c r="AE573" s="818"/>
      <c r="AF573" s="818"/>
      <c r="AG573" s="818"/>
      <c r="AH573" s="818"/>
      <c r="AI573" s="818"/>
      <c r="AJ573" s="818"/>
      <c r="AK573" s="818"/>
      <c r="AL573" s="818"/>
      <c r="AM573" s="818">
        <v>-107026</v>
      </c>
      <c r="AN573" s="821">
        <v>-234483</v>
      </c>
      <c r="AO573" s="821">
        <f t="shared" si="458"/>
        <v>234483</v>
      </c>
      <c r="AP573" s="793">
        <f t="shared" si="459"/>
        <v>234483</v>
      </c>
      <c r="AQ573" s="793"/>
      <c r="AR573" s="793"/>
      <c r="AS573" s="793"/>
      <c r="AT573" s="793">
        <f t="shared" si="463"/>
        <v>-234483</v>
      </c>
      <c r="AU573" s="793">
        <f t="shared" si="464"/>
        <v>234483</v>
      </c>
      <c r="AV573" s="793">
        <f t="shared" si="465"/>
        <v>234483</v>
      </c>
      <c r="AW573" s="793"/>
      <c r="AX573" s="793"/>
      <c r="AY573" s="793"/>
      <c r="AZ573" s="793">
        <f t="shared" si="469"/>
        <v>-234483</v>
      </c>
      <c r="BA573" s="793">
        <f t="shared" si="470"/>
        <v>234483</v>
      </c>
    </row>
    <row r="574" spans="1:59" x14ac:dyDescent="0.25">
      <c r="A574" s="824" t="s">
        <v>670</v>
      </c>
      <c r="B574" s="863" t="s">
        <v>1374</v>
      </c>
      <c r="C574" s="826">
        <f>(95/D574)/100</f>
        <v>0.23749999999999999</v>
      </c>
      <c r="D574" s="809">
        <v>4</v>
      </c>
      <c r="E574" s="858" t="s">
        <v>884</v>
      </c>
      <c r="F574" s="862">
        <v>45138</v>
      </c>
      <c r="G574" s="862">
        <v>45138</v>
      </c>
      <c r="H574" s="828">
        <f>G574+(365*D574)</f>
        <v>46598</v>
      </c>
      <c r="I574" s="815">
        <v>108700</v>
      </c>
      <c r="J574" s="821">
        <f>I574*5%</f>
        <v>5435</v>
      </c>
      <c r="K574" s="1328"/>
      <c r="L574" s="793"/>
      <c r="M574" s="793"/>
      <c r="N574" s="793"/>
      <c r="O574" s="793"/>
      <c r="P574" s="793"/>
      <c r="Q574" s="793"/>
      <c r="R574" s="793"/>
      <c r="S574" s="793"/>
      <c r="T574" s="793"/>
      <c r="U574" s="793"/>
      <c r="V574" s="793"/>
      <c r="W574" s="793"/>
      <c r="X574" s="793"/>
      <c r="Y574" s="793"/>
      <c r="Z574" s="793"/>
      <c r="AA574" s="793"/>
      <c r="AB574" s="793"/>
      <c r="AC574" s="793"/>
      <c r="AD574" s="793"/>
      <c r="AE574" s="793"/>
      <c r="AF574" s="793"/>
      <c r="AG574" s="793"/>
      <c r="AH574" s="793"/>
      <c r="AI574" s="793"/>
      <c r="AJ574" s="793"/>
      <c r="AK574" s="793"/>
      <c r="AL574" s="793"/>
      <c r="AM574" s="793"/>
      <c r="AN574" s="805"/>
      <c r="AO574" s="805"/>
      <c r="AP574" s="793">
        <f t="shared" si="459"/>
        <v>0</v>
      </c>
      <c r="AQ574" s="793">
        <f>I574</f>
        <v>108700</v>
      </c>
      <c r="AR574" s="793">
        <f>IF(AND(F574&gt;$AJ$3,F574&lt;$AP$3),$AP$3-F574+1,IF(H574&lt;=$AJ$3,0,IF(H574&gt;$AP$3,$AP$3-$AJ$3,H574-$AJ$3)))</f>
        <v>245</v>
      </c>
      <c r="AS574" s="793">
        <f>ROUND(AQ574*C574*AR574/365,0)</f>
        <v>17329</v>
      </c>
      <c r="AT574" s="793">
        <f t="shared" si="463"/>
        <v>17329</v>
      </c>
      <c r="AU574" s="793">
        <f t="shared" si="464"/>
        <v>91371</v>
      </c>
      <c r="AV574" s="793">
        <f t="shared" si="465"/>
        <v>91371</v>
      </c>
      <c r="AW574" s="793">
        <f>+I574</f>
        <v>108700</v>
      </c>
      <c r="AX574" s="793">
        <f>IF(AND(F574&gt;$AP$3,F574&lt;$AV$3),$AV$3-F574+1,IF(H574&lt;=$AP$3,0,IF(H574&gt;$AV$3,$AV$3-$AP$3,H574-$AP$3)))</f>
        <v>365</v>
      </c>
      <c r="AY574" s="793">
        <f>ROUND(AW574*C574*AX574/365,0)</f>
        <v>25816</v>
      </c>
      <c r="AZ574" s="793">
        <f t="shared" si="469"/>
        <v>43145</v>
      </c>
      <c r="BA574" s="793">
        <f t="shared" si="470"/>
        <v>65555</v>
      </c>
    </row>
    <row r="575" spans="1:59" x14ac:dyDescent="0.25">
      <c r="A575" s="824" t="s">
        <v>670</v>
      </c>
      <c r="B575" s="863" t="s">
        <v>1374</v>
      </c>
      <c r="C575" s="826">
        <f>(95/D575)/100</f>
        <v>0.23749999999999999</v>
      </c>
      <c r="D575" s="809">
        <v>4</v>
      </c>
      <c r="E575" s="858" t="s">
        <v>884</v>
      </c>
      <c r="F575" s="862">
        <v>45145</v>
      </c>
      <c r="G575" s="862">
        <v>45145</v>
      </c>
      <c r="H575" s="828">
        <f>G575+(365*D575)</f>
        <v>46605</v>
      </c>
      <c r="I575" s="815">
        <v>76800</v>
      </c>
      <c r="J575" s="821">
        <f>I575*5%</f>
        <v>3840</v>
      </c>
      <c r="K575" s="1328"/>
      <c r="L575" s="793"/>
      <c r="M575" s="793"/>
      <c r="N575" s="793"/>
      <c r="O575" s="793"/>
      <c r="P575" s="793"/>
      <c r="Q575" s="793"/>
      <c r="R575" s="793"/>
      <c r="S575" s="793"/>
      <c r="T575" s="793"/>
      <c r="U575" s="793"/>
      <c r="V575" s="793"/>
      <c r="W575" s="793"/>
      <c r="X575" s="793"/>
      <c r="Y575" s="793"/>
      <c r="Z575" s="793"/>
      <c r="AA575" s="793"/>
      <c r="AB575" s="793"/>
      <c r="AC575" s="793"/>
      <c r="AD575" s="793"/>
      <c r="AE575" s="793"/>
      <c r="AF575" s="793"/>
      <c r="AG575" s="793"/>
      <c r="AH575" s="793"/>
      <c r="AI575" s="793"/>
      <c r="AJ575" s="793"/>
      <c r="AK575" s="793"/>
      <c r="AL575" s="793"/>
      <c r="AM575" s="793"/>
      <c r="AN575" s="805"/>
      <c r="AO575" s="805"/>
      <c r="AP575" s="793">
        <f t="shared" si="459"/>
        <v>0</v>
      </c>
      <c r="AQ575" s="793">
        <f>I575</f>
        <v>76800</v>
      </c>
      <c r="AR575" s="793">
        <f>IF(AND(F575&gt;$AJ$3,F575&lt;$AP$3),$AP$3-F575+1,IF(H575&lt;=$AJ$3,0,IF(H575&gt;$AP$3,$AP$3-$AJ$3,H575-$AJ$3)))</f>
        <v>238</v>
      </c>
      <c r="AS575" s="793">
        <f>ROUND(AQ575*C575*AR575/365,0)</f>
        <v>11893</v>
      </c>
      <c r="AT575" s="793">
        <f t="shared" si="463"/>
        <v>11893</v>
      </c>
      <c r="AU575" s="793">
        <f t="shared" si="464"/>
        <v>64907</v>
      </c>
      <c r="AV575" s="793">
        <f t="shared" si="465"/>
        <v>64907</v>
      </c>
      <c r="AW575" s="793">
        <f>+I575</f>
        <v>76800</v>
      </c>
      <c r="AX575" s="793">
        <f>IF(AND(F575&gt;$AP$3,F575&lt;$AV$3),$AV$3-F575+1,IF(H575&lt;=$AP$3,0,IF(H575&gt;$AV$3,$AV$3-$AP$3,H575-$AP$3)))</f>
        <v>365</v>
      </c>
      <c r="AY575" s="793">
        <f>ROUND(AW575*C575*AX575/365,0)</f>
        <v>18240</v>
      </c>
      <c r="AZ575" s="793">
        <f t="shared" si="469"/>
        <v>30133</v>
      </c>
      <c r="BA575" s="793">
        <f t="shared" si="470"/>
        <v>46667</v>
      </c>
    </row>
    <row r="576" spans="1:59" x14ac:dyDescent="0.25">
      <c r="A576" s="824" t="s">
        <v>670</v>
      </c>
      <c r="B576" s="822" t="s">
        <v>480</v>
      </c>
      <c r="C576" s="826">
        <f>(95/D576)/100</f>
        <v>0.23749999999999999</v>
      </c>
      <c r="D576" s="809">
        <v>4</v>
      </c>
      <c r="E576" s="858" t="s">
        <v>884</v>
      </c>
      <c r="F576" s="862">
        <v>45294</v>
      </c>
      <c r="G576" s="862">
        <v>45294</v>
      </c>
      <c r="H576" s="828">
        <f>G576+(365*D576)</f>
        <v>46754</v>
      </c>
      <c r="I576" s="815">
        <v>897395</v>
      </c>
      <c r="J576" s="821">
        <f>I576*5%</f>
        <v>44869.75</v>
      </c>
      <c r="K576" s="1328"/>
      <c r="L576" s="793"/>
      <c r="M576" s="793"/>
      <c r="N576" s="793"/>
      <c r="O576" s="793"/>
      <c r="P576" s="793"/>
      <c r="Q576" s="793"/>
      <c r="R576" s="793"/>
      <c r="S576" s="793"/>
      <c r="T576" s="793"/>
      <c r="U576" s="793"/>
      <c r="V576" s="793"/>
      <c r="W576" s="793"/>
      <c r="X576" s="793"/>
      <c r="Y576" s="793"/>
      <c r="Z576" s="793"/>
      <c r="AA576" s="793"/>
      <c r="AB576" s="793"/>
      <c r="AC576" s="793"/>
      <c r="AD576" s="793"/>
      <c r="AE576" s="793"/>
      <c r="AF576" s="793"/>
      <c r="AG576" s="793"/>
      <c r="AH576" s="793"/>
      <c r="AI576" s="793"/>
      <c r="AJ576" s="793"/>
      <c r="AK576" s="793"/>
      <c r="AL576" s="793"/>
      <c r="AM576" s="793"/>
      <c r="AN576" s="805"/>
      <c r="AO576" s="805"/>
      <c r="AP576" s="793">
        <f t="shared" si="459"/>
        <v>0</v>
      </c>
      <c r="AQ576" s="793">
        <f>I576</f>
        <v>897395</v>
      </c>
      <c r="AR576" s="793">
        <f>IF(AND(F576&gt;$AJ$3,F576&lt;$AP$3),$AP$3-F576+1,IF(H576&lt;=$AJ$3,0,IF(H576&gt;$AP$3,$AP$3-$AJ$3,H576-$AJ$3)))</f>
        <v>89</v>
      </c>
      <c r="AS576" s="793">
        <f>ROUND(AQ576*C576*AR576/365,0)</f>
        <v>51969</v>
      </c>
      <c r="AT576" s="793">
        <f t="shared" si="463"/>
        <v>51969</v>
      </c>
      <c r="AU576" s="793">
        <f t="shared" si="464"/>
        <v>845426</v>
      </c>
      <c r="AV576" s="793">
        <f t="shared" si="465"/>
        <v>845426</v>
      </c>
      <c r="AW576" s="793">
        <f>+I576</f>
        <v>897395</v>
      </c>
      <c r="AX576" s="793">
        <f>IF(AND(F576&gt;$AP$3,F576&lt;$AV$3),$AV$3-F576+1,IF(H576&lt;=$AP$3,0,IF(H576&gt;$AV$3,$AV$3-$AP$3,H576-$AP$3)))</f>
        <v>365</v>
      </c>
      <c r="AY576" s="793">
        <f>ROUND(AW576*C576*AX576/365,0)</f>
        <v>213131</v>
      </c>
      <c r="AZ576" s="793">
        <f t="shared" si="469"/>
        <v>265100</v>
      </c>
      <c r="BA576" s="793">
        <f t="shared" si="470"/>
        <v>632295</v>
      </c>
    </row>
    <row r="577" spans="1:59" x14ac:dyDescent="0.25">
      <c r="A577" s="824" t="s">
        <v>670</v>
      </c>
      <c r="B577" s="822" t="s">
        <v>480</v>
      </c>
      <c r="C577" s="826">
        <f>(95/D577)/100</f>
        <v>0.23749999999999999</v>
      </c>
      <c r="D577" s="809">
        <v>4</v>
      </c>
      <c r="E577" s="858" t="s">
        <v>884</v>
      </c>
      <c r="F577" s="862">
        <v>45309</v>
      </c>
      <c r="G577" s="862">
        <v>45309</v>
      </c>
      <c r="H577" s="828">
        <f>G577+(365*D577)</f>
        <v>46769</v>
      </c>
      <c r="I577" s="815">
        <v>64424</v>
      </c>
      <c r="J577" s="821">
        <f>I577*5%</f>
        <v>3221.2000000000003</v>
      </c>
      <c r="K577" s="1328"/>
      <c r="L577" s="793"/>
      <c r="M577" s="793"/>
      <c r="N577" s="793"/>
      <c r="O577" s="793"/>
      <c r="P577" s="793"/>
      <c r="Q577" s="793"/>
      <c r="R577" s="793"/>
      <c r="S577" s="793"/>
      <c r="T577" s="793"/>
      <c r="U577" s="793"/>
      <c r="V577" s="793"/>
      <c r="W577" s="793"/>
      <c r="X577" s="793"/>
      <c r="Y577" s="793"/>
      <c r="Z577" s="793"/>
      <c r="AA577" s="793"/>
      <c r="AB577" s="793"/>
      <c r="AC577" s="793"/>
      <c r="AD577" s="793"/>
      <c r="AE577" s="793"/>
      <c r="AF577" s="793"/>
      <c r="AG577" s="793"/>
      <c r="AH577" s="793"/>
      <c r="AI577" s="793"/>
      <c r="AJ577" s="793"/>
      <c r="AK577" s="793"/>
      <c r="AL577" s="793"/>
      <c r="AM577" s="793"/>
      <c r="AN577" s="805"/>
      <c r="AO577" s="805"/>
      <c r="AP577" s="793">
        <f t="shared" si="459"/>
        <v>0</v>
      </c>
      <c r="AQ577" s="793">
        <f>I577</f>
        <v>64424</v>
      </c>
      <c r="AR577" s="793">
        <f>IF(AND(F577&gt;$AJ$3,F577&lt;$AP$3),$AP$3-F577+1,IF(H577&lt;=$AJ$3,0,IF(H577&gt;$AP$3,$AP$3-$AJ$3,H577-$AJ$3)))</f>
        <v>74</v>
      </c>
      <c r="AS577" s="793">
        <f>ROUND(AQ577*C577*AR577/365,0)</f>
        <v>3102</v>
      </c>
      <c r="AT577" s="793">
        <f t="shared" si="463"/>
        <v>3102</v>
      </c>
      <c r="AU577" s="793">
        <f t="shared" si="464"/>
        <v>61322</v>
      </c>
      <c r="AV577" s="793">
        <f t="shared" si="465"/>
        <v>61322</v>
      </c>
      <c r="AW577" s="793">
        <f>+I577</f>
        <v>64424</v>
      </c>
      <c r="AX577" s="793">
        <f>IF(AND(F577&gt;$AP$3,F577&lt;$AV$3),$AV$3-F577+1,IF(H577&lt;=$AP$3,0,IF(H577&gt;$AV$3,$AV$3-$AP$3,H577-$AP$3)))</f>
        <v>365</v>
      </c>
      <c r="AY577" s="793">
        <f>ROUND(AW577*C577*AX577/365,0)</f>
        <v>15301</v>
      </c>
      <c r="AZ577" s="793">
        <f t="shared" si="469"/>
        <v>18403</v>
      </c>
      <c r="BA577" s="793">
        <f t="shared" si="470"/>
        <v>46021</v>
      </c>
    </row>
    <row r="578" spans="1:59" ht="15.75" thickBot="1" x14ac:dyDescent="0.3">
      <c r="A578" s="824" t="s">
        <v>670</v>
      </c>
      <c r="B578" s="825" t="s">
        <v>480</v>
      </c>
      <c r="C578" s="826">
        <f>(95/D578)/100</f>
        <v>0.23749999999999999</v>
      </c>
      <c r="D578" s="809">
        <v>4</v>
      </c>
      <c r="E578" s="858" t="s">
        <v>884</v>
      </c>
      <c r="F578" s="996">
        <v>45315</v>
      </c>
      <c r="G578" s="996">
        <v>45315</v>
      </c>
      <c r="H578" s="828">
        <f>G578+(365*D578)</f>
        <v>46775</v>
      </c>
      <c r="I578" s="829">
        <v>623984</v>
      </c>
      <c r="J578" s="821">
        <f>I578*5%</f>
        <v>31199.200000000001</v>
      </c>
      <c r="K578" s="132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c r="AH578" s="818"/>
      <c r="AI578" s="818"/>
      <c r="AJ578" s="818"/>
      <c r="AK578" s="818"/>
      <c r="AL578" s="818"/>
      <c r="AM578" s="818"/>
      <c r="AN578" s="821"/>
      <c r="AO578" s="821"/>
      <c r="AP578" s="818">
        <f t="shared" si="459"/>
        <v>0</v>
      </c>
      <c r="AQ578" s="818">
        <f>I578</f>
        <v>623984</v>
      </c>
      <c r="AR578" s="818">
        <f>IF(AND(F578&gt;$AJ$3,F578&lt;$AP$3),$AP$3-F578+1,IF(H578&lt;=$AJ$3,0,IF(H578&gt;$AP$3,$AP$3-$AJ$3,H578-$AJ$3)))</f>
        <v>68</v>
      </c>
      <c r="AS578" s="818">
        <f>ROUND(AQ578*C578*AR578/365,0)</f>
        <v>27609</v>
      </c>
      <c r="AT578" s="818">
        <f t="shared" si="463"/>
        <v>27609</v>
      </c>
      <c r="AU578" s="818">
        <f t="shared" si="464"/>
        <v>596375</v>
      </c>
      <c r="AV578" s="793">
        <f t="shared" si="465"/>
        <v>596375</v>
      </c>
      <c r="AW578" s="793">
        <f>+I578</f>
        <v>623984</v>
      </c>
      <c r="AX578" s="793">
        <f>IF(AND(F578&gt;$AP$3,F578&lt;$AV$3),$AV$3-F578+1,IF(H578&lt;=$AP$3,0,IF(H578&gt;$AV$3,$AV$3-$AP$3,H578-$AP$3)))</f>
        <v>365</v>
      </c>
      <c r="AY578" s="793">
        <f>ROUND(AW578*C578*AX578/365,0)</f>
        <v>148196</v>
      </c>
      <c r="AZ578" s="818">
        <f t="shared" si="469"/>
        <v>175805</v>
      </c>
      <c r="BA578" s="818">
        <f t="shared" si="470"/>
        <v>448179</v>
      </c>
    </row>
    <row r="579" spans="1:59" ht="15.75" thickBot="1" x14ac:dyDescent="0.3">
      <c r="A579" s="830" t="s">
        <v>1375</v>
      </c>
      <c r="B579" s="969"/>
      <c r="C579" s="969"/>
      <c r="D579" s="969"/>
      <c r="E579" s="969"/>
      <c r="F579" s="969"/>
      <c r="G579" s="969"/>
      <c r="H579" s="969"/>
      <c r="I579" s="1394">
        <f>SUM(I563:I578)</f>
        <v>3880501</v>
      </c>
      <c r="J579" s="1394">
        <f t="shared" ref="J579:AR579" si="471">SUM(J563:J578)</f>
        <v>194025.05000000002</v>
      </c>
      <c r="K579" s="1394">
        <f t="shared" si="471"/>
        <v>0</v>
      </c>
      <c r="L579" s="1394">
        <f t="shared" si="471"/>
        <v>0</v>
      </c>
      <c r="M579" s="1394">
        <f t="shared" si="471"/>
        <v>1786698</v>
      </c>
      <c r="N579" s="1394">
        <f t="shared" si="471"/>
        <v>1820</v>
      </c>
      <c r="O579" s="1394">
        <f t="shared" si="471"/>
        <v>302737</v>
      </c>
      <c r="P579" s="1394">
        <f t="shared" si="471"/>
        <v>302737</v>
      </c>
      <c r="Q579" s="1394">
        <f t="shared" si="471"/>
        <v>1483961</v>
      </c>
      <c r="R579" s="1394">
        <f t="shared" si="471"/>
        <v>1483961</v>
      </c>
      <c r="S579" s="1394">
        <f t="shared" si="471"/>
        <v>1786698</v>
      </c>
      <c r="T579" s="1394">
        <f t="shared" si="471"/>
        <v>2928</v>
      </c>
      <c r="U579" s="1394">
        <f t="shared" si="471"/>
        <v>424341</v>
      </c>
      <c r="V579" s="1394">
        <f t="shared" si="471"/>
        <v>727078</v>
      </c>
      <c r="W579" s="1394">
        <f t="shared" si="471"/>
        <v>1059620</v>
      </c>
      <c r="X579" s="1394">
        <f t="shared" si="471"/>
        <v>1059620</v>
      </c>
      <c r="Y579" s="1394">
        <f t="shared" si="471"/>
        <v>1786698</v>
      </c>
      <c r="Z579" s="1394">
        <f t="shared" si="471"/>
        <v>2920</v>
      </c>
      <c r="AA579" s="1394">
        <f t="shared" si="471"/>
        <v>424341</v>
      </c>
      <c r="AB579" s="1394">
        <f t="shared" si="471"/>
        <v>1151419</v>
      </c>
      <c r="AC579" s="1394">
        <f t="shared" si="471"/>
        <v>635279</v>
      </c>
      <c r="AD579" s="1394">
        <f t="shared" si="471"/>
        <v>635279</v>
      </c>
      <c r="AE579" s="1394">
        <f t="shared" si="471"/>
        <v>1786698</v>
      </c>
      <c r="AF579" s="1394">
        <f t="shared" si="471"/>
        <v>2920</v>
      </c>
      <c r="AG579" s="1394">
        <f t="shared" si="471"/>
        <v>424341</v>
      </c>
      <c r="AH579" s="1394">
        <f t="shared" si="471"/>
        <v>1575760</v>
      </c>
      <c r="AI579" s="1394">
        <f t="shared" si="471"/>
        <v>210938</v>
      </c>
      <c r="AJ579" s="1394">
        <f>SUM(AJ563:AJ578)</f>
        <v>210938</v>
      </c>
      <c r="AK579" s="1394">
        <f t="shared" si="471"/>
        <v>2109198</v>
      </c>
      <c r="AL579" s="1394">
        <f t="shared" si="471"/>
        <v>1578</v>
      </c>
      <c r="AM579" s="1394">
        <f t="shared" si="471"/>
        <v>54610</v>
      </c>
      <c r="AN579" s="1394">
        <f t="shared" si="471"/>
        <v>1502913</v>
      </c>
      <c r="AO579" s="1394">
        <f t="shared" si="471"/>
        <v>606285</v>
      </c>
      <c r="AP579" s="1394">
        <f t="shared" si="471"/>
        <v>606285</v>
      </c>
      <c r="AQ579" s="1394">
        <f>SUM(AQ563:AQ578)</f>
        <v>3880501</v>
      </c>
      <c r="AR579" s="1394">
        <f t="shared" si="471"/>
        <v>1446</v>
      </c>
      <c r="AS579" s="1394">
        <f t="shared" ref="AS579:BA579" si="472">SUM(AS563:AS578)</f>
        <v>188706</v>
      </c>
      <c r="AT579" s="1394">
        <f t="shared" si="472"/>
        <v>1691619</v>
      </c>
      <c r="AU579" s="1394">
        <f t="shared" si="472"/>
        <v>2188882</v>
      </c>
      <c r="AV579" s="1394">
        <f t="shared" si="472"/>
        <v>2188882</v>
      </c>
      <c r="AW579" s="1394">
        <f t="shared" si="472"/>
        <v>3880501</v>
      </c>
      <c r="AX579" s="1394">
        <f t="shared" si="472"/>
        <v>2555</v>
      </c>
      <c r="AY579" s="1394">
        <f t="shared" si="472"/>
        <v>497278</v>
      </c>
      <c r="AZ579" s="1394">
        <f t="shared" si="472"/>
        <v>2188897</v>
      </c>
      <c r="BA579" s="1394">
        <f t="shared" si="472"/>
        <v>1691604</v>
      </c>
      <c r="BC579" s="841">
        <f>+AV579</f>
        <v>2188882</v>
      </c>
      <c r="BD579" s="841">
        <f>+AW579</f>
        <v>3880501</v>
      </c>
      <c r="BE579" s="1329">
        <f>+AY579</f>
        <v>497278</v>
      </c>
      <c r="BF579" s="841">
        <f>+AZ579</f>
        <v>2188897</v>
      </c>
      <c r="BG579" s="841">
        <f>+BA579</f>
        <v>1691604</v>
      </c>
    </row>
    <row r="580" spans="1:59" x14ac:dyDescent="0.25">
      <c r="BB580" s="1381">
        <f t="shared" ref="BB580:BG580" si="473">+SUM(BB1:BB579)</f>
        <v>10920205.35</v>
      </c>
      <c r="BC580" s="1381">
        <f t="shared" si="473"/>
        <v>315527630.48000002</v>
      </c>
      <c r="BD580" s="1381">
        <f t="shared" si="473"/>
        <v>405271977.82999998</v>
      </c>
      <c r="BE580" s="1381">
        <f t="shared" si="473"/>
        <v>21235863</v>
      </c>
      <c r="BF580" s="1381">
        <f t="shared" si="473"/>
        <v>100060015</v>
      </c>
      <c r="BG580" s="1381">
        <f t="shared" si="473"/>
        <v>305211972.83000004</v>
      </c>
    </row>
    <row r="582" spans="1:59" ht="15.75" thickBot="1" x14ac:dyDescent="0.3">
      <c r="H582" s="738" t="s">
        <v>1376</v>
      </c>
      <c r="I582" s="1328">
        <f>I579+I559+I557+I451+I384+I198+I132+I14</f>
        <v>404001311.82999992</v>
      </c>
    </row>
    <row r="583" spans="1:59" ht="15.75" thickBot="1" x14ac:dyDescent="0.3">
      <c r="D583" s="1646" t="s">
        <v>677</v>
      </c>
      <c r="E583" s="1647"/>
      <c r="F583" s="1647"/>
      <c r="G583" s="1647"/>
      <c r="H583" s="1647"/>
      <c r="I583" s="1647"/>
      <c r="J583" s="1647"/>
      <c r="K583" s="1647"/>
      <c r="L583" s="1647"/>
      <c r="M583" s="1659"/>
    </row>
    <row r="584" spans="1:59" ht="45.75" thickBot="1" x14ac:dyDescent="0.3">
      <c r="D584" s="1660" t="s">
        <v>1377</v>
      </c>
      <c r="E584" s="1661"/>
      <c r="F584" s="1662"/>
      <c r="G584" s="1662"/>
      <c r="H584" s="1662"/>
      <c r="I584" s="1447" t="s">
        <v>1378</v>
      </c>
      <c r="J584" s="1448" t="s">
        <v>1379</v>
      </c>
      <c r="K584" s="999"/>
      <c r="L584" s="1000" t="s">
        <v>1380</v>
      </c>
      <c r="M584" s="1001" t="s">
        <v>1381</v>
      </c>
      <c r="N584" s="1002"/>
      <c r="P584" s="1003" t="s">
        <v>1382</v>
      </c>
      <c r="Q584" s="839" t="s">
        <v>1077</v>
      </c>
      <c r="R584" s="1639" t="s">
        <v>1379</v>
      </c>
      <c r="S584" s="1639"/>
      <c r="U584" s="1639" t="s">
        <v>1383</v>
      </c>
      <c r="V584" s="1639"/>
    </row>
    <row r="585" spans="1:59" ht="16.5" x14ac:dyDescent="0.25">
      <c r="D585" s="1663" t="s">
        <v>1180</v>
      </c>
      <c r="E585" s="1664"/>
      <c r="F585" s="1665"/>
      <c r="G585" s="1665"/>
      <c r="H585" s="1665"/>
      <c r="I585" s="1356">
        <f>+AK14</f>
        <v>312655</v>
      </c>
      <c r="J585" s="1356">
        <f>AM14</f>
        <v>0</v>
      </c>
      <c r="K585" s="743"/>
      <c r="L585" s="1005">
        <f>AN14</f>
        <v>312654</v>
      </c>
      <c r="M585" s="889">
        <f t="shared" ref="M585:M592" si="474">I585-L585</f>
        <v>1</v>
      </c>
      <c r="N585" s="941"/>
      <c r="O585" s="841"/>
      <c r="P585" s="783">
        <v>1</v>
      </c>
      <c r="Q585" s="790">
        <f t="shared" ref="Q585:Q592" si="475">+M585-P585</f>
        <v>0</v>
      </c>
      <c r="R585" s="1006">
        <v>0</v>
      </c>
      <c r="S585" s="790">
        <f>+J585-R585</f>
        <v>0</v>
      </c>
      <c r="U585" s="1006">
        <v>312654</v>
      </c>
      <c r="V585" s="790">
        <f t="shared" ref="V585:V592" si="476">+L585-U585</f>
        <v>0</v>
      </c>
    </row>
    <row r="586" spans="1:59" ht="16.5" x14ac:dyDescent="0.25">
      <c r="D586" s="1637" t="s">
        <v>1187</v>
      </c>
      <c r="E586" s="1638"/>
      <c r="F586" s="1639"/>
      <c r="G586" s="1639"/>
      <c r="H586" s="1639"/>
      <c r="I586" s="793">
        <f>+AK132</f>
        <v>4662075.4499999993</v>
      </c>
      <c r="J586" s="793">
        <f>AM132</f>
        <v>495692</v>
      </c>
      <c r="L586" s="1008">
        <f>AN132</f>
        <v>3649584</v>
      </c>
      <c r="M586" s="790">
        <f t="shared" si="474"/>
        <v>1012491.4499999993</v>
      </c>
      <c r="N586" s="941"/>
      <c r="P586" s="1009">
        <v>1012491.69029406</v>
      </c>
      <c r="Q586" s="790">
        <f t="shared" si="475"/>
        <v>-0.2402940607862547</v>
      </c>
      <c r="R586" s="1006">
        <v>330043</v>
      </c>
      <c r="S586" s="790">
        <f t="shared" ref="S586:S592" si="477">+R586-J586</f>
        <v>-165649</v>
      </c>
      <c r="U586" s="1006">
        <v>3649584</v>
      </c>
      <c r="V586" s="790">
        <f t="shared" si="476"/>
        <v>0</v>
      </c>
    </row>
    <row r="587" spans="1:59" ht="16.5" x14ac:dyDescent="0.25">
      <c r="D587" s="1634" t="s">
        <v>1224</v>
      </c>
      <c r="E587" s="1635"/>
      <c r="F587" s="1636"/>
      <c r="G587" s="1636"/>
      <c r="H587" s="1636"/>
      <c r="I587" s="793">
        <f>+AK198</f>
        <v>15090714.159999998</v>
      </c>
      <c r="J587" s="793">
        <f>AM198</f>
        <v>1549114</v>
      </c>
      <c r="L587" s="1008">
        <f>AN198</f>
        <v>6475893</v>
      </c>
      <c r="M587" s="790">
        <f t="shared" si="474"/>
        <v>8614821.1599999983</v>
      </c>
      <c r="N587" s="941"/>
      <c r="P587" s="1009">
        <v>8614821.6270137001</v>
      </c>
      <c r="Q587" s="790">
        <f t="shared" si="475"/>
        <v>-0.46701370179653168</v>
      </c>
      <c r="R587" s="1006">
        <v>1549114</v>
      </c>
      <c r="S587" s="790">
        <f t="shared" si="477"/>
        <v>0</v>
      </c>
      <c r="U587" s="1006">
        <v>6475893</v>
      </c>
      <c r="V587" s="790">
        <f t="shared" si="476"/>
        <v>0</v>
      </c>
    </row>
    <row r="588" spans="1:59" ht="16.5" x14ac:dyDescent="0.25">
      <c r="D588" s="1637" t="s">
        <v>133</v>
      </c>
      <c r="E588" s="1638"/>
      <c r="F588" s="1639"/>
      <c r="G588" s="1639"/>
      <c r="H588" s="1639"/>
      <c r="I588" s="793">
        <f>+AK384</f>
        <v>19252880.019999996</v>
      </c>
      <c r="J588" s="793">
        <f>AM384</f>
        <v>1905868</v>
      </c>
      <c r="L588" s="1008">
        <f>AN384</f>
        <v>7400630</v>
      </c>
      <c r="M588" s="790">
        <f t="shared" si="474"/>
        <v>11852250.019999996</v>
      </c>
      <c r="N588" s="941"/>
      <c r="P588" s="1009">
        <v>11852250.4967282</v>
      </c>
      <c r="Q588" s="790">
        <f t="shared" si="475"/>
        <v>-0.47672820463776588</v>
      </c>
      <c r="R588" s="1006">
        <v>1905868</v>
      </c>
      <c r="S588" s="790">
        <f t="shared" si="477"/>
        <v>0</v>
      </c>
      <c r="U588" s="1006">
        <v>7400630</v>
      </c>
      <c r="V588" s="790">
        <f t="shared" si="476"/>
        <v>0</v>
      </c>
    </row>
    <row r="589" spans="1:59" ht="16.5" x14ac:dyDescent="0.25">
      <c r="D589" s="1637" t="s">
        <v>667</v>
      </c>
      <c r="E589" s="1638"/>
      <c r="F589" s="1639"/>
      <c r="G589" s="1639"/>
      <c r="H589" s="1639"/>
      <c r="I589" s="793">
        <f>+AK451</f>
        <v>4788966.6199999992</v>
      </c>
      <c r="J589" s="793">
        <f>AM451</f>
        <v>1155667</v>
      </c>
      <c r="L589" s="1008">
        <f>AN451</f>
        <v>3685159</v>
      </c>
      <c r="M589" s="790">
        <f t="shared" si="474"/>
        <v>1103807.6199999992</v>
      </c>
      <c r="N589" s="941"/>
      <c r="P589" s="1009">
        <v>1103808.0200504099</v>
      </c>
      <c r="Q589" s="790">
        <f t="shared" si="475"/>
        <v>-0.40005041076801717</v>
      </c>
      <c r="R589" s="1006">
        <v>1155667</v>
      </c>
      <c r="S589" s="790">
        <f t="shared" si="477"/>
        <v>0</v>
      </c>
      <c r="U589" s="1006">
        <v>3685159</v>
      </c>
      <c r="V589" s="790">
        <f t="shared" si="476"/>
        <v>0</v>
      </c>
    </row>
    <row r="590" spans="1:59" ht="16.5" x14ac:dyDescent="0.25">
      <c r="D590" s="1637" t="s">
        <v>1317</v>
      </c>
      <c r="E590" s="1638"/>
      <c r="F590" s="1639"/>
      <c r="G590" s="1639"/>
      <c r="H590" s="1639"/>
      <c r="I590" s="793">
        <f>+AK557</f>
        <v>176747807.78999996</v>
      </c>
      <c r="J590" s="793">
        <f>AM557</f>
        <v>11148710</v>
      </c>
      <c r="L590" s="1008">
        <f>AN557</f>
        <v>36438563</v>
      </c>
      <c r="M590" s="790">
        <f t="shared" si="474"/>
        <v>140309244.78999996</v>
      </c>
      <c r="N590" s="941"/>
      <c r="P590" s="1009">
        <v>140309244.38218999</v>
      </c>
      <c r="Q590" s="790">
        <f t="shared" si="475"/>
        <v>0.40780997276306152</v>
      </c>
      <c r="R590" s="1006">
        <v>11148710</v>
      </c>
      <c r="S590" s="790">
        <f t="shared" si="477"/>
        <v>0</v>
      </c>
      <c r="U590" s="1006">
        <v>36438563</v>
      </c>
      <c r="V590" s="790">
        <f t="shared" si="476"/>
        <v>0</v>
      </c>
    </row>
    <row r="591" spans="1:59" ht="16.5" x14ac:dyDescent="0.25">
      <c r="D591" s="1640" t="s">
        <v>669</v>
      </c>
      <c r="E591" s="1641"/>
      <c r="F591" s="1642"/>
      <c r="G591" s="1642"/>
      <c r="H591" s="1642"/>
      <c r="I591" s="793">
        <f>I561</f>
        <v>7191410.4699999997</v>
      </c>
      <c r="J591" s="793">
        <f>AM561</f>
        <v>853979</v>
      </c>
      <c r="L591" s="1008">
        <f>AN561</f>
        <v>878968</v>
      </c>
      <c r="M591" s="790">
        <f t="shared" si="474"/>
        <v>6312442.4699999997</v>
      </c>
      <c r="N591" s="941"/>
      <c r="P591" s="1009">
        <v>6312442.8898370704</v>
      </c>
      <c r="Q591" s="790">
        <f t="shared" si="475"/>
        <v>-0.41983707062900066</v>
      </c>
      <c r="R591" s="1006">
        <v>853979</v>
      </c>
      <c r="S591" s="790">
        <f t="shared" si="477"/>
        <v>0</v>
      </c>
      <c r="U591" s="1006">
        <v>878968</v>
      </c>
      <c r="V591" s="790">
        <f t="shared" si="476"/>
        <v>0</v>
      </c>
    </row>
    <row r="592" spans="1:59" ht="17.25" thickBot="1" x14ac:dyDescent="0.3">
      <c r="D592" s="1643" t="s">
        <v>670</v>
      </c>
      <c r="E592" s="1644"/>
      <c r="F592" s="1645"/>
      <c r="G592" s="1645"/>
      <c r="H592" s="1645"/>
      <c r="I592" s="818">
        <f>+AK579</f>
        <v>2109198</v>
      </c>
      <c r="J592" s="818">
        <f>AM579</f>
        <v>54610</v>
      </c>
      <c r="L592" s="1011">
        <f>AN579</f>
        <v>1502913</v>
      </c>
      <c r="M592" s="790">
        <f t="shared" si="474"/>
        <v>606285</v>
      </c>
      <c r="N592" s="941"/>
      <c r="P592" s="783">
        <v>606285</v>
      </c>
      <c r="Q592" s="790">
        <f t="shared" si="475"/>
        <v>0</v>
      </c>
      <c r="R592" s="1006">
        <v>54610</v>
      </c>
      <c r="S592" s="790">
        <f t="shared" si="477"/>
        <v>0</v>
      </c>
      <c r="U592" s="1006">
        <v>1502913</v>
      </c>
      <c r="V592" s="790">
        <f t="shared" si="476"/>
        <v>0</v>
      </c>
    </row>
    <row r="593" spans="4:24" x14ac:dyDescent="0.25">
      <c r="I593" s="1449">
        <f>SUM(I585:I592)</f>
        <v>230155707.50999996</v>
      </c>
      <c r="J593" s="1449">
        <f>SUM(J585:J592)</f>
        <v>17163640</v>
      </c>
      <c r="K593" s="791"/>
      <c r="L593" s="1013">
        <f>SUM(L585:L592)</f>
        <v>60344364</v>
      </c>
      <c r="M593" s="1012">
        <f>SUM(M585:M592)</f>
        <v>169811343.50999996</v>
      </c>
      <c r="N593" s="907"/>
      <c r="P593" s="1014">
        <f>SUM(P585:P592)</f>
        <v>169811345.1061134</v>
      </c>
      <c r="Q593" s="1015">
        <f>SUM(Q585:Q592)</f>
        <v>-1.5961134758545086</v>
      </c>
      <c r="R593" s="1015">
        <f>SUM(R585:R592)</f>
        <v>16997991</v>
      </c>
      <c r="S593" s="1015">
        <f>SUM(S585:S592)</f>
        <v>-165649</v>
      </c>
      <c r="T593" s="1016"/>
      <c r="U593" s="1015">
        <f>SUM(U585:U592)</f>
        <v>60344364</v>
      </c>
      <c r="V593" s="1015">
        <f>SUM(V585:V592)</f>
        <v>0</v>
      </c>
    </row>
    <row r="594" spans="4:24" x14ac:dyDescent="0.25">
      <c r="I594" s="1328">
        <v>230155708</v>
      </c>
      <c r="J594" s="1328">
        <f>L593-J593</f>
        <v>43180724</v>
      </c>
      <c r="M594" s="738">
        <v>169811344</v>
      </c>
      <c r="N594" s="841"/>
    </row>
    <row r="595" spans="4:24" x14ac:dyDescent="0.25">
      <c r="I595" s="1328">
        <f>+I593-I594</f>
        <v>-0.49000003933906555</v>
      </c>
      <c r="J595" s="1328">
        <v>43346372</v>
      </c>
      <c r="L595" s="841">
        <v>60344363</v>
      </c>
      <c r="M595" s="1018"/>
      <c r="N595" s="875"/>
    </row>
    <row r="596" spans="4:24" x14ac:dyDescent="0.25">
      <c r="J596" s="1328">
        <f>J594-J595</f>
        <v>-165648</v>
      </c>
      <c r="L596" s="841">
        <f>+L593-L595</f>
        <v>1</v>
      </c>
      <c r="M596" s="875"/>
      <c r="N596" s="875"/>
    </row>
    <row r="597" spans="4:24" x14ac:dyDescent="0.25">
      <c r="L597" s="841"/>
      <c r="M597" s="841"/>
    </row>
    <row r="598" spans="4:24" x14ac:dyDescent="0.25">
      <c r="L598" s="841"/>
    </row>
    <row r="599" spans="4:24" ht="15.75" thickBot="1" x14ac:dyDescent="0.3"/>
    <row r="600" spans="4:24" ht="15.75" thickBot="1" x14ac:dyDescent="0.3">
      <c r="D600" s="1646" t="s">
        <v>884</v>
      </c>
      <c r="E600" s="1647"/>
      <c r="F600" s="1647"/>
      <c r="G600" s="1647"/>
      <c r="H600" s="1647"/>
      <c r="I600" s="1647"/>
      <c r="J600" s="1647"/>
      <c r="K600" s="1647"/>
      <c r="L600" s="1647"/>
      <c r="M600" s="1647"/>
      <c r="N600" s="1647"/>
      <c r="O600" s="1647"/>
      <c r="P600" s="1647"/>
      <c r="Q600" s="1647"/>
      <c r="R600" s="1648"/>
    </row>
    <row r="601" spans="4:24" ht="15.75" thickBot="1" x14ac:dyDescent="0.3">
      <c r="D601" s="1019"/>
      <c r="E601" s="1020"/>
      <c r="F601" s="1020"/>
      <c r="G601" s="1020"/>
      <c r="H601" s="1020"/>
      <c r="I601" s="1649" t="s">
        <v>1384</v>
      </c>
      <c r="J601" s="1650"/>
      <c r="K601" s="1650"/>
      <c r="L601" s="1650"/>
      <c r="M601" s="1651"/>
      <c r="N601" s="1649" t="s">
        <v>1385</v>
      </c>
      <c r="O601" s="1650"/>
      <c r="P601" s="1650"/>
      <c r="Q601" s="1651"/>
      <c r="R601" s="1021"/>
    </row>
    <row r="602" spans="4:24" ht="43.5" thickBot="1" x14ac:dyDescent="0.3">
      <c r="D602" s="1652" t="s">
        <v>1377</v>
      </c>
      <c r="E602" s="1653"/>
      <c r="F602" s="1654"/>
      <c r="G602" s="1654"/>
      <c r="H602" s="1655"/>
      <c r="I602" s="1450" t="s">
        <v>1386</v>
      </c>
      <c r="J602" s="1451" t="s">
        <v>1387</v>
      </c>
      <c r="K602" s="1023" t="s">
        <v>1387</v>
      </c>
      <c r="L602" s="1023" t="s">
        <v>1388</v>
      </c>
      <c r="M602" s="1022" t="s">
        <v>1378</v>
      </c>
      <c r="N602" s="1024" t="s">
        <v>1389</v>
      </c>
      <c r="O602" s="1031" t="s">
        <v>1379</v>
      </c>
      <c r="P602" s="1024" t="s">
        <v>1388</v>
      </c>
      <c r="Q602" s="1032" t="s">
        <v>1390</v>
      </c>
      <c r="R602" s="1025" t="s">
        <v>1381</v>
      </c>
    </row>
    <row r="603" spans="4:24" ht="15.75" x14ac:dyDescent="0.25">
      <c r="D603" s="1656" t="s">
        <v>1180</v>
      </c>
      <c r="E603" s="1657"/>
      <c r="F603" s="1658"/>
      <c r="G603" s="1658"/>
      <c r="H603" s="1658"/>
      <c r="I603" s="1406">
        <f>+AK14</f>
        <v>312655</v>
      </c>
      <c r="J603" s="1406">
        <f>+SUM(I7:I11)</f>
        <v>141900462.75</v>
      </c>
      <c r="K603" s="1026">
        <f>+AQ14</f>
        <v>142213117.75</v>
      </c>
      <c r="L603" s="889">
        <v>0</v>
      </c>
      <c r="M603" s="1026">
        <f>+AQ14</f>
        <v>142213117.75</v>
      </c>
      <c r="N603" s="889">
        <f>+AN14</f>
        <v>312654</v>
      </c>
      <c r="O603" s="1033">
        <f>+AS14</f>
        <v>1478808</v>
      </c>
      <c r="P603" s="889">
        <v>0</v>
      </c>
      <c r="Q603" s="1026">
        <f>+AT14</f>
        <v>1791462</v>
      </c>
      <c r="R603" s="891">
        <f>+M603-Q603</f>
        <v>140421655.75</v>
      </c>
      <c r="S603" s="841">
        <f>+AU14</f>
        <v>140421655.75</v>
      </c>
      <c r="T603" s="841">
        <v>312654</v>
      </c>
      <c r="U603" s="740">
        <f t="shared" ref="U603:U610" si="478">+N603-T603</f>
        <v>0</v>
      </c>
      <c r="V603" s="841"/>
      <c r="W603" s="840">
        <v>1478808</v>
      </c>
      <c r="X603" s="841">
        <f t="shared" ref="X603:X610" si="479">+O603-W603</f>
        <v>0</v>
      </c>
    </row>
    <row r="604" spans="4:24" x14ac:dyDescent="0.25">
      <c r="D604" s="1637" t="s">
        <v>1187</v>
      </c>
      <c r="E604" s="1638"/>
      <c r="F604" s="1639"/>
      <c r="G604" s="1639"/>
      <c r="H604" s="1639"/>
      <c r="I604" s="793">
        <f>+AK132</f>
        <v>4662075.4499999993</v>
      </c>
      <c r="J604" s="793">
        <f>SUM(AQ110:AQ122)</f>
        <v>379707</v>
      </c>
      <c r="K604" s="791"/>
      <c r="L604" s="1027">
        <f>+AQ123</f>
        <v>-15000</v>
      </c>
      <c r="M604" s="1007">
        <f>+AQ132</f>
        <v>5026782.4499999993</v>
      </c>
      <c r="N604" s="790">
        <f>+AN132</f>
        <v>3649584</v>
      </c>
      <c r="O604" s="1008">
        <f>+AS132+1210</f>
        <v>622167</v>
      </c>
      <c r="P604" s="1027">
        <f>+AS123</f>
        <v>-1210</v>
      </c>
      <c r="Q604" s="1007">
        <f>+AT132</f>
        <v>4270541</v>
      </c>
      <c r="R604" s="891">
        <f>+M604-Q604</f>
        <v>756241.44999999925</v>
      </c>
      <c r="S604" s="841">
        <f>+AU132</f>
        <v>756241.45</v>
      </c>
      <c r="T604" s="841">
        <v>3649584</v>
      </c>
      <c r="U604" s="740">
        <f t="shared" si="478"/>
        <v>0</v>
      </c>
      <c r="V604" s="841"/>
      <c r="W604" s="840">
        <v>622167</v>
      </c>
      <c r="X604" s="841">
        <f t="shared" si="479"/>
        <v>0</v>
      </c>
    </row>
    <row r="605" spans="4:24" x14ac:dyDescent="0.25">
      <c r="D605" s="1634" t="s">
        <v>1224</v>
      </c>
      <c r="E605" s="1635"/>
      <c r="F605" s="1636"/>
      <c r="G605" s="1636"/>
      <c r="H605" s="1636"/>
      <c r="I605" s="793">
        <f>+AK198</f>
        <v>15090714.159999998</v>
      </c>
      <c r="J605" s="793">
        <f>+SUM(AQ180:AQ196)</f>
        <v>6928996</v>
      </c>
      <c r="K605" s="791"/>
      <c r="L605" s="889">
        <v>0</v>
      </c>
      <c r="M605" s="1007">
        <f>+AQ198</f>
        <v>22019710.159999996</v>
      </c>
      <c r="N605" s="790">
        <f>+AN198</f>
        <v>6475893</v>
      </c>
      <c r="O605" s="1008">
        <f>+AS198</f>
        <v>1590674</v>
      </c>
      <c r="P605" s="889">
        <v>0</v>
      </c>
      <c r="Q605" s="1007">
        <f>+AT198</f>
        <v>8066567</v>
      </c>
      <c r="R605" s="847">
        <f t="shared" ref="R605:R610" si="480">M605-Q605</f>
        <v>13953143.159999996</v>
      </c>
      <c r="S605" s="841">
        <f>+AU198</f>
        <v>13953143.16</v>
      </c>
      <c r="T605" s="841">
        <v>6475893</v>
      </c>
      <c r="U605" s="740">
        <f t="shared" si="478"/>
        <v>0</v>
      </c>
      <c r="V605" s="841"/>
      <c r="W605" s="840">
        <v>1590674</v>
      </c>
      <c r="X605" s="841">
        <f t="shared" si="479"/>
        <v>0</v>
      </c>
    </row>
    <row r="606" spans="4:24" x14ac:dyDescent="0.25">
      <c r="D606" s="1637" t="s">
        <v>133</v>
      </c>
      <c r="E606" s="1638"/>
      <c r="F606" s="1639"/>
      <c r="G606" s="1639"/>
      <c r="H606" s="1639"/>
      <c r="I606" s="793">
        <f>+AK384</f>
        <v>19252880.019999996</v>
      </c>
      <c r="J606" s="793">
        <f>+SUM(AQ343:AQ370)</f>
        <v>3030557.12</v>
      </c>
      <c r="K606" s="791"/>
      <c r="L606" s="889">
        <v>0</v>
      </c>
      <c r="M606" s="1007">
        <f>+AQ384</f>
        <v>22283437.139999997</v>
      </c>
      <c r="N606" s="1027">
        <f>+AN384</f>
        <v>7400630</v>
      </c>
      <c r="O606" s="1008">
        <f>AS384</f>
        <v>1898309</v>
      </c>
      <c r="P606" s="889">
        <v>0</v>
      </c>
      <c r="Q606" s="1007">
        <f>+AT384</f>
        <v>9298939</v>
      </c>
      <c r="R606" s="847">
        <f t="shared" si="480"/>
        <v>12984498.139999997</v>
      </c>
      <c r="S606" s="740">
        <f>+AU384</f>
        <v>12984498.139999997</v>
      </c>
      <c r="T606" s="841">
        <v>7400630</v>
      </c>
      <c r="U606" s="740">
        <f t="shared" si="478"/>
        <v>0</v>
      </c>
      <c r="V606" s="841"/>
      <c r="W606" s="840">
        <v>1898309</v>
      </c>
      <c r="X606" s="841">
        <f t="shared" si="479"/>
        <v>0</v>
      </c>
    </row>
    <row r="607" spans="4:24" x14ac:dyDescent="0.25">
      <c r="D607" s="1637" t="s">
        <v>667</v>
      </c>
      <c r="E607" s="1638"/>
      <c r="F607" s="1639"/>
      <c r="G607" s="1639"/>
      <c r="H607" s="1639"/>
      <c r="I607" s="793">
        <f>+AK451</f>
        <v>4788966.6199999992</v>
      </c>
      <c r="J607" s="793">
        <f>SUM(AQ436:AQ440)</f>
        <v>556433</v>
      </c>
      <c r="K607" s="791"/>
      <c r="L607" s="889">
        <v>0</v>
      </c>
      <c r="M607" s="1007">
        <f>+AQ451</f>
        <v>5345399.6199999992</v>
      </c>
      <c r="N607" s="1027">
        <f>+AN451</f>
        <v>3685159</v>
      </c>
      <c r="O607" s="1008">
        <f>+AS451</f>
        <v>353485</v>
      </c>
      <c r="P607" s="889">
        <v>0</v>
      </c>
      <c r="Q607" s="1007">
        <f>+AT451</f>
        <v>4038644</v>
      </c>
      <c r="R607" s="847">
        <f t="shared" si="480"/>
        <v>1306755.6199999992</v>
      </c>
      <c r="S607" s="841">
        <f>+AU451</f>
        <v>1306755.6200000001</v>
      </c>
      <c r="T607" s="841">
        <v>3685159</v>
      </c>
      <c r="U607" s="740">
        <f t="shared" si="478"/>
        <v>0</v>
      </c>
      <c r="V607" s="841"/>
      <c r="W607" s="840">
        <v>353485</v>
      </c>
      <c r="X607" s="841">
        <f t="shared" si="479"/>
        <v>0</v>
      </c>
    </row>
    <row r="608" spans="4:24" x14ac:dyDescent="0.25">
      <c r="D608" s="1637" t="s">
        <v>1317</v>
      </c>
      <c r="E608" s="1638"/>
      <c r="F608" s="1639"/>
      <c r="G608" s="1639"/>
      <c r="H608" s="1639"/>
      <c r="I608" s="793">
        <f>+AK557</f>
        <v>176747807.78999996</v>
      </c>
      <c r="J608" s="793">
        <f>+SUM(AQ525:AQ555)</f>
        <v>9643606.0999999996</v>
      </c>
      <c r="K608" s="791"/>
      <c r="L608" s="889">
        <v>0</v>
      </c>
      <c r="M608" s="1007">
        <f>+AQ557</f>
        <v>186391413.88999996</v>
      </c>
      <c r="N608" s="1027">
        <f>+AN557</f>
        <v>36438563</v>
      </c>
      <c r="O608" s="1008">
        <f>+AS557</f>
        <v>11492519</v>
      </c>
      <c r="P608" s="889">
        <v>0</v>
      </c>
      <c r="Q608" s="1007">
        <f>+AT557</f>
        <v>47931082</v>
      </c>
      <c r="R608" s="847">
        <f t="shared" si="480"/>
        <v>138460331.88999996</v>
      </c>
      <c r="S608" s="841">
        <f>+AU557</f>
        <v>138460331.89000002</v>
      </c>
      <c r="T608" s="841">
        <v>36438563</v>
      </c>
      <c r="U608" s="740">
        <f t="shared" si="478"/>
        <v>0</v>
      </c>
      <c r="V608" s="841"/>
      <c r="W608" s="840">
        <v>11492519</v>
      </c>
      <c r="X608" s="841">
        <f t="shared" si="479"/>
        <v>0</v>
      </c>
    </row>
    <row r="609" spans="4:24" ht="15.75" x14ac:dyDescent="0.25">
      <c r="D609" s="1640" t="s">
        <v>669</v>
      </c>
      <c r="E609" s="1641"/>
      <c r="F609" s="1642"/>
      <c r="G609" s="1642"/>
      <c r="H609" s="1642"/>
      <c r="I609" s="793">
        <f>+AK561</f>
        <v>7191410.4699999997</v>
      </c>
      <c r="J609" s="793">
        <v>0</v>
      </c>
      <c r="K609" s="791"/>
      <c r="L609" s="889">
        <v>0</v>
      </c>
      <c r="M609" s="1007">
        <f>+AQ561</f>
        <v>7191410.4699999997</v>
      </c>
      <c r="N609" s="1027">
        <f>+AN561</f>
        <v>878968</v>
      </c>
      <c r="O609" s="1008">
        <f>+AS561</f>
        <v>856320</v>
      </c>
      <c r="P609" s="889">
        <v>0</v>
      </c>
      <c r="Q609" s="1007">
        <f>+AT561</f>
        <v>1735288</v>
      </c>
      <c r="R609" s="847">
        <f t="shared" si="480"/>
        <v>5456122.4699999997</v>
      </c>
      <c r="S609" s="841">
        <f>+AU561</f>
        <v>5456122.4699999997</v>
      </c>
      <c r="T609" s="841">
        <v>878968</v>
      </c>
      <c r="U609" s="740">
        <f t="shared" si="478"/>
        <v>0</v>
      </c>
      <c r="V609" s="841"/>
      <c r="W609" s="840">
        <v>856320</v>
      </c>
      <c r="X609" s="841">
        <f t="shared" si="479"/>
        <v>0</v>
      </c>
    </row>
    <row r="610" spans="4:24" ht="16.5" thickBot="1" x14ac:dyDescent="0.3">
      <c r="D610" s="1643" t="s">
        <v>670</v>
      </c>
      <c r="E610" s="1644"/>
      <c r="F610" s="1645"/>
      <c r="G610" s="1645"/>
      <c r="H610" s="1645"/>
      <c r="I610" s="793">
        <f>+AK579</f>
        <v>2109198</v>
      </c>
      <c r="J610" s="793">
        <f>+SUM(AQ574:AQ578)</f>
        <v>1771303</v>
      </c>
      <c r="K610" s="791"/>
      <c r="L610" s="889">
        <v>0</v>
      </c>
      <c r="M610" s="1007">
        <f>+AQ579</f>
        <v>3880501</v>
      </c>
      <c r="N610" s="1027">
        <f>+AN579</f>
        <v>1502913</v>
      </c>
      <c r="O610" s="1008">
        <f>+AS579</f>
        <v>188706</v>
      </c>
      <c r="P610" s="889">
        <v>0</v>
      </c>
      <c r="Q610" s="1007">
        <f>+AT579</f>
        <v>1691619</v>
      </c>
      <c r="R610" s="847">
        <f t="shared" si="480"/>
        <v>2188882</v>
      </c>
      <c r="S610" s="841">
        <f>+AU579</f>
        <v>2188882</v>
      </c>
      <c r="T610" s="841">
        <v>1502913</v>
      </c>
      <c r="U610" s="740">
        <f t="shared" si="478"/>
        <v>0</v>
      </c>
      <c r="V610" s="841"/>
      <c r="W610" s="840">
        <v>188706</v>
      </c>
      <c r="X610" s="841">
        <f t="shared" si="479"/>
        <v>0</v>
      </c>
    </row>
    <row r="611" spans="4:24" ht="15.75" thickBot="1" x14ac:dyDescent="0.3">
      <c r="I611" s="1394">
        <f>SUM(I603:I610)</f>
        <v>230155707.50999996</v>
      </c>
      <c r="J611" s="1394">
        <f>SUM(J603:J610)</f>
        <v>164211064.97</v>
      </c>
      <c r="K611" s="1028"/>
      <c r="L611" s="834">
        <f t="shared" ref="L611:U611" si="481">SUM(L603:L610)</f>
        <v>-15000</v>
      </c>
      <c r="M611" s="1029">
        <f t="shared" si="481"/>
        <v>394351772.47999996</v>
      </c>
      <c r="N611" s="835">
        <f t="shared" si="481"/>
        <v>60344364</v>
      </c>
      <c r="O611" s="835">
        <f t="shared" si="481"/>
        <v>18480988</v>
      </c>
      <c r="P611" s="835">
        <f t="shared" si="481"/>
        <v>-1210</v>
      </c>
      <c r="Q611" s="1029">
        <f t="shared" si="481"/>
        <v>78824142</v>
      </c>
      <c r="R611" s="1030">
        <f t="shared" si="481"/>
        <v>315527630.47999996</v>
      </c>
      <c r="S611" s="875">
        <f t="shared" si="481"/>
        <v>315527630.48000002</v>
      </c>
      <c r="T611" s="875">
        <f t="shared" si="481"/>
        <v>60344364</v>
      </c>
      <c r="U611" s="1452">
        <f t="shared" si="481"/>
        <v>0</v>
      </c>
    </row>
    <row r="612" spans="4:24" x14ac:dyDescent="0.25">
      <c r="K612" s="1017"/>
      <c r="N612" s="1381"/>
      <c r="O612" s="1381"/>
      <c r="P612" s="1381"/>
      <c r="Q612" s="1381"/>
      <c r="R612" s="1381"/>
    </row>
    <row r="613" spans="4:24" x14ac:dyDescent="0.25">
      <c r="K613" s="1017"/>
      <c r="N613" s="1381"/>
      <c r="O613" s="1453"/>
      <c r="P613" s="1381"/>
      <c r="Q613" s="1381"/>
      <c r="R613" s="1381"/>
    </row>
    <row r="614" spans="4:24" ht="15.75" thickBot="1" x14ac:dyDescent="0.3">
      <c r="K614" s="1017">
        <v>43346372</v>
      </c>
    </row>
    <row r="615" spans="4:24" ht="15.75" thickBot="1" x14ac:dyDescent="0.3">
      <c r="D615" s="1646" t="s">
        <v>1567</v>
      </c>
      <c r="E615" s="1647"/>
      <c r="F615" s="1647"/>
      <c r="G615" s="1647"/>
      <c r="H615" s="1647"/>
      <c r="I615" s="1647"/>
      <c r="J615" s="1647"/>
      <c r="K615" s="1647"/>
      <c r="L615" s="1647"/>
      <c r="M615" s="1647"/>
      <c r="N615" s="1647"/>
      <c r="O615" s="1647"/>
      <c r="P615" s="1647"/>
      <c r="Q615" s="1647"/>
      <c r="R615" s="1648"/>
    </row>
    <row r="616" spans="4:24" ht="15.75" thickBot="1" x14ac:dyDescent="0.3">
      <c r="D616" s="1019"/>
      <c r="E616" s="1020"/>
      <c r="F616" s="1020"/>
      <c r="G616" s="1020"/>
      <c r="H616" s="1020"/>
      <c r="I616" s="1649" t="s">
        <v>1384</v>
      </c>
      <c r="J616" s="1650"/>
      <c r="K616" s="1650"/>
      <c r="L616" s="1650"/>
      <c r="M616" s="1651"/>
      <c r="N616" s="1649" t="s">
        <v>1385</v>
      </c>
      <c r="O616" s="1650"/>
      <c r="P616" s="1650"/>
      <c r="Q616" s="1651"/>
      <c r="R616" s="1021"/>
    </row>
    <row r="617" spans="4:24" ht="43.5" thickBot="1" x14ac:dyDescent="0.3">
      <c r="D617" s="1652" t="s">
        <v>1377</v>
      </c>
      <c r="E617" s="1653"/>
      <c r="F617" s="1654"/>
      <c r="G617" s="1654"/>
      <c r="H617" s="1655"/>
      <c r="I617" s="1450" t="s">
        <v>1386</v>
      </c>
      <c r="J617" s="1451" t="s">
        <v>1387</v>
      </c>
      <c r="K617" s="1023" t="s">
        <v>1387</v>
      </c>
      <c r="L617" s="1023" t="s">
        <v>1388</v>
      </c>
      <c r="M617" s="1022" t="s">
        <v>1378</v>
      </c>
      <c r="N617" s="1024" t="s">
        <v>1389</v>
      </c>
      <c r="O617" s="1031" t="s">
        <v>1379</v>
      </c>
      <c r="P617" s="1024" t="s">
        <v>1388</v>
      </c>
      <c r="Q617" s="1032" t="s">
        <v>1842</v>
      </c>
      <c r="R617" s="1025" t="s">
        <v>1381</v>
      </c>
    </row>
    <row r="618" spans="4:24" ht="15.75" x14ac:dyDescent="0.25">
      <c r="D618" s="1656" t="s">
        <v>1180</v>
      </c>
      <c r="E618" s="1657"/>
      <c r="F618" s="1658"/>
      <c r="G618" s="1658"/>
      <c r="H618" s="1658"/>
      <c r="I618" s="1406">
        <f>+AQ14</f>
        <v>142213117.75</v>
      </c>
      <c r="J618" s="1406">
        <f>SUM(I12:I13)</f>
        <v>331102</v>
      </c>
      <c r="K618" s="1026">
        <f>+AQ28</f>
        <v>28650</v>
      </c>
      <c r="L618" s="889">
        <v>0</v>
      </c>
      <c r="M618" s="1026">
        <f>+AW14</f>
        <v>142544219.75</v>
      </c>
      <c r="N618" s="889">
        <f>+AT14</f>
        <v>1791462</v>
      </c>
      <c r="O618" s="1033">
        <f>+AY14</f>
        <v>2536370</v>
      </c>
      <c r="P618" s="889">
        <v>0</v>
      </c>
      <c r="Q618" s="1026">
        <f>+N618+O618</f>
        <v>4327832</v>
      </c>
      <c r="R618" s="891">
        <f>+M618-Q618</f>
        <v>138216387.75</v>
      </c>
      <c r="S618" s="841">
        <f>+BA14</f>
        <v>138216387.75</v>
      </c>
      <c r="T618" s="841">
        <f>+R618-S618</f>
        <v>0</v>
      </c>
      <c r="U618" s="840"/>
      <c r="V618" s="841"/>
    </row>
    <row r="619" spans="4:24" x14ac:dyDescent="0.25">
      <c r="D619" s="1637" t="s">
        <v>1187</v>
      </c>
      <c r="E619" s="1638"/>
      <c r="F619" s="1639"/>
      <c r="G619" s="1639"/>
      <c r="H619" s="1639"/>
      <c r="I619" s="793">
        <f>+AQ132</f>
        <v>5026782.4499999993</v>
      </c>
      <c r="J619" s="793">
        <f>+SUM(I124:I131)</f>
        <v>281236.38</v>
      </c>
      <c r="K619" s="791"/>
      <c r="L619" s="1027">
        <v>0</v>
      </c>
      <c r="M619" s="1007">
        <f>+AW132</f>
        <v>5308018.83</v>
      </c>
      <c r="N619" s="790">
        <f>+AT132</f>
        <v>4270541</v>
      </c>
      <c r="O619" s="1008">
        <f>+AY132</f>
        <v>514611</v>
      </c>
      <c r="P619" s="1027">
        <v>0</v>
      </c>
      <c r="Q619" s="1026">
        <f>+N619+O619</f>
        <v>4785152</v>
      </c>
      <c r="R619" s="891">
        <f>+M619-Q619</f>
        <v>522866.83000000007</v>
      </c>
      <c r="S619" s="841">
        <f>+BA132</f>
        <v>522866.83000000013</v>
      </c>
      <c r="T619" s="841">
        <f t="shared" ref="T619:T626" si="482">+R619-S619</f>
        <v>0</v>
      </c>
      <c r="U619" s="840"/>
      <c r="V619" s="841"/>
    </row>
    <row r="620" spans="4:24" x14ac:dyDescent="0.25">
      <c r="D620" s="1634" t="s">
        <v>1224</v>
      </c>
      <c r="E620" s="1635"/>
      <c r="F620" s="1636"/>
      <c r="G620" s="1636"/>
      <c r="H620" s="1636"/>
      <c r="I620" s="793">
        <f>+AQ198</f>
        <v>22019710.159999996</v>
      </c>
      <c r="J620" s="793">
        <f>+I197</f>
        <v>43000</v>
      </c>
      <c r="K620" s="791"/>
      <c r="L620" s="889">
        <v>0</v>
      </c>
      <c r="M620" s="1007">
        <f>+AW198</f>
        <v>22062710.159999996</v>
      </c>
      <c r="N620" s="790">
        <f>+AT198</f>
        <v>8066567</v>
      </c>
      <c r="O620" s="1008">
        <f>+AY198</f>
        <v>2095841</v>
      </c>
      <c r="P620" s="889">
        <v>0</v>
      </c>
      <c r="Q620" s="1026">
        <f t="shared" ref="Q620:Q625" si="483">+N620+O620</f>
        <v>10162408</v>
      </c>
      <c r="R620" s="847">
        <f t="shared" ref="R620:R625" si="484">M620-Q620</f>
        <v>11900302.159999996</v>
      </c>
      <c r="S620" s="841">
        <f>+BA198</f>
        <v>11900302.16</v>
      </c>
      <c r="T620" s="841">
        <f t="shared" si="482"/>
        <v>0</v>
      </c>
      <c r="U620" s="840"/>
      <c r="V620" s="841"/>
    </row>
    <row r="621" spans="4:24" x14ac:dyDescent="0.25">
      <c r="D621" s="1637" t="s">
        <v>133</v>
      </c>
      <c r="E621" s="1638"/>
      <c r="F621" s="1639"/>
      <c r="G621" s="1639"/>
      <c r="H621" s="1639"/>
      <c r="I621" s="793">
        <f>+AQ384</f>
        <v>22283437.139999997</v>
      </c>
      <c r="J621" s="793">
        <f>SUM(I371:I383)</f>
        <v>1233978</v>
      </c>
      <c r="K621" s="791"/>
      <c r="L621" s="889">
        <v>0</v>
      </c>
      <c r="M621" s="1007">
        <f>+AW384</f>
        <v>23517415.139999997</v>
      </c>
      <c r="N621" s="1027">
        <f>+AT384</f>
        <v>9298939</v>
      </c>
      <c r="O621" s="1008">
        <f>+AY384</f>
        <v>2182651</v>
      </c>
      <c r="P621" s="889">
        <v>0</v>
      </c>
      <c r="Q621" s="1026">
        <f t="shared" si="483"/>
        <v>11481590</v>
      </c>
      <c r="R621" s="847">
        <f t="shared" si="484"/>
        <v>12035825.139999997</v>
      </c>
      <c r="S621" s="740">
        <f>+BA384</f>
        <v>12035825.139999999</v>
      </c>
      <c r="T621" s="841">
        <f t="shared" si="482"/>
        <v>0</v>
      </c>
      <c r="U621" s="840"/>
      <c r="V621" s="841"/>
    </row>
    <row r="622" spans="4:24" x14ac:dyDescent="0.25">
      <c r="D622" s="1637" t="s">
        <v>667</v>
      </c>
      <c r="E622" s="1638"/>
      <c r="F622" s="1639"/>
      <c r="G622" s="1639"/>
      <c r="H622" s="1639"/>
      <c r="I622" s="793">
        <f>+AQ451</f>
        <v>5345399.6199999992</v>
      </c>
      <c r="J622" s="793">
        <f>SUM(I441:I450)</f>
        <v>1699263</v>
      </c>
      <c r="K622" s="791"/>
      <c r="L622" s="889">
        <v>0</v>
      </c>
      <c r="M622" s="1007">
        <f>+AW451</f>
        <v>7044662.6199999992</v>
      </c>
      <c r="N622" s="1027">
        <f>+AT451</f>
        <v>4038644</v>
      </c>
      <c r="O622" s="1008">
        <f>+AY451</f>
        <v>330529</v>
      </c>
      <c r="P622" s="889">
        <v>0</v>
      </c>
      <c r="Q622" s="1026">
        <f t="shared" si="483"/>
        <v>4369173</v>
      </c>
      <c r="R622" s="847">
        <f t="shared" si="484"/>
        <v>2675489.6199999992</v>
      </c>
      <c r="S622" s="841">
        <f>+BA451</f>
        <v>2675489.62</v>
      </c>
      <c r="T622" s="841">
        <f t="shared" si="482"/>
        <v>0</v>
      </c>
      <c r="U622" s="840"/>
      <c r="V622" s="841"/>
    </row>
    <row r="623" spans="4:24" x14ac:dyDescent="0.25">
      <c r="D623" s="1637" t="s">
        <v>1317</v>
      </c>
      <c r="E623" s="1638"/>
      <c r="F623" s="1639"/>
      <c r="G623" s="1639"/>
      <c r="H623" s="1639"/>
      <c r="I623" s="793">
        <f>+AQ557</f>
        <v>186391413.88999996</v>
      </c>
      <c r="J623" s="793">
        <f>+I556</f>
        <v>7331625.9699999997</v>
      </c>
      <c r="K623" s="791"/>
      <c r="L623" s="889">
        <v>0</v>
      </c>
      <c r="M623" s="1007">
        <f>+AW557</f>
        <v>193723039.85999995</v>
      </c>
      <c r="N623" s="1027">
        <f>+AT557</f>
        <v>47931082</v>
      </c>
      <c r="O623" s="1008">
        <f>+AY557</f>
        <v>12224603</v>
      </c>
      <c r="P623" s="889">
        <v>0</v>
      </c>
      <c r="Q623" s="1026">
        <f t="shared" si="483"/>
        <v>60155685</v>
      </c>
      <c r="R623" s="847">
        <f t="shared" si="484"/>
        <v>133567354.85999995</v>
      </c>
      <c r="S623" s="841">
        <f>+BA557</f>
        <v>133567354.86</v>
      </c>
      <c r="T623" s="841">
        <f t="shared" si="482"/>
        <v>0</v>
      </c>
      <c r="U623" s="840"/>
      <c r="V623" s="841"/>
    </row>
    <row r="624" spans="4:24" ht="15.75" x14ac:dyDescent="0.25">
      <c r="D624" s="1640" t="s">
        <v>669</v>
      </c>
      <c r="E624" s="1641"/>
      <c r="F624" s="1642"/>
      <c r="G624" s="1642"/>
      <c r="H624" s="1642"/>
      <c r="I624" s="793">
        <f>+AQ561</f>
        <v>7191410.4699999997</v>
      </c>
      <c r="J624" s="793">
        <v>0</v>
      </c>
      <c r="K624" s="791"/>
      <c r="L624" s="889">
        <v>0</v>
      </c>
      <c r="M624" s="1007">
        <f>+AW561</f>
        <v>7191410.4699999997</v>
      </c>
      <c r="N624" s="1027">
        <f>+AT561</f>
        <v>1735288</v>
      </c>
      <c r="O624" s="1008">
        <f>+AY561</f>
        <v>853980</v>
      </c>
      <c r="P624" s="889">
        <v>0</v>
      </c>
      <c r="Q624" s="1026">
        <f t="shared" si="483"/>
        <v>2589268</v>
      </c>
      <c r="R624" s="847">
        <f t="shared" si="484"/>
        <v>4602142.47</v>
      </c>
      <c r="S624" s="841">
        <f>+BA561</f>
        <v>4602142.47</v>
      </c>
      <c r="T624" s="841">
        <f t="shared" si="482"/>
        <v>0</v>
      </c>
      <c r="U624" s="840"/>
      <c r="V624" s="841"/>
    </row>
    <row r="625" spans="4:22" ht="16.5" thickBot="1" x14ac:dyDescent="0.3">
      <c r="D625" s="1643" t="s">
        <v>670</v>
      </c>
      <c r="E625" s="1644"/>
      <c r="F625" s="1645"/>
      <c r="G625" s="1645"/>
      <c r="H625" s="1645"/>
      <c r="I625" s="793">
        <f>+AQ579</f>
        <v>3880501</v>
      </c>
      <c r="J625" s="793">
        <f>+SUM(AQ588:AQ592)</f>
        <v>0</v>
      </c>
      <c r="K625" s="791"/>
      <c r="L625" s="889">
        <v>0</v>
      </c>
      <c r="M625" s="1007">
        <f>+AW579</f>
        <v>3880501</v>
      </c>
      <c r="N625" s="1027">
        <f>+AT579</f>
        <v>1691619</v>
      </c>
      <c r="O625" s="1008">
        <f>+AY579</f>
        <v>497278</v>
      </c>
      <c r="P625" s="889">
        <v>0</v>
      </c>
      <c r="Q625" s="1026">
        <f t="shared" si="483"/>
        <v>2188897</v>
      </c>
      <c r="R625" s="847">
        <f t="shared" si="484"/>
        <v>1691604</v>
      </c>
      <c r="S625" s="841">
        <f>+BA579</f>
        <v>1691604</v>
      </c>
      <c r="T625" s="841">
        <f t="shared" si="482"/>
        <v>0</v>
      </c>
      <c r="U625" s="841"/>
      <c r="V625" s="841"/>
    </row>
    <row r="626" spans="4:22" ht="15.75" thickBot="1" x14ac:dyDescent="0.3">
      <c r="I626" s="1394">
        <f>SUM(I618:I625)</f>
        <v>394351772.47999996</v>
      </c>
      <c r="J626" s="1394">
        <f>SUM(J618:J625)</f>
        <v>10920205.35</v>
      </c>
      <c r="K626" s="1028"/>
      <c r="L626" s="834">
        <f t="shared" ref="L626:S626" si="485">SUM(L618:L625)</f>
        <v>0</v>
      </c>
      <c r="M626" s="1029">
        <f>SUM(M618:M625)</f>
        <v>405271977.82999998</v>
      </c>
      <c r="N626" s="835">
        <f>SUM(N618:N625)</f>
        <v>78824142</v>
      </c>
      <c r="O626" s="835">
        <f>SUM(O618:O625)</f>
        <v>21235863</v>
      </c>
      <c r="P626" s="835">
        <f t="shared" si="485"/>
        <v>0</v>
      </c>
      <c r="Q626" s="873">
        <f>SUM(Q618:Q625)</f>
        <v>100060005</v>
      </c>
      <c r="R626" s="1030">
        <f>SUM(R618:R625)</f>
        <v>305211972.82999998</v>
      </c>
      <c r="S626" s="875">
        <f t="shared" si="485"/>
        <v>305211972.83000004</v>
      </c>
      <c r="T626" s="841">
        <f t="shared" si="482"/>
        <v>0</v>
      </c>
      <c r="U626" s="840"/>
      <c r="V626" s="740"/>
    </row>
    <row r="627" spans="4:22" x14ac:dyDescent="0.25">
      <c r="Q627" s="841"/>
    </row>
    <row r="628" spans="4:22" x14ac:dyDescent="0.25">
      <c r="Q628" s="841"/>
    </row>
    <row r="630" spans="4:22" x14ac:dyDescent="0.25">
      <c r="D630" s="906"/>
      <c r="E630" s="906"/>
      <c r="F630" s="906"/>
      <c r="G630" s="906"/>
      <c r="H630" s="906"/>
      <c r="I630" s="906"/>
      <c r="J630" s="906"/>
      <c r="K630" s="906"/>
      <c r="L630" s="906"/>
      <c r="M630" s="906"/>
      <c r="N630" s="906"/>
      <c r="O630" s="906"/>
      <c r="P630" s="906"/>
      <c r="Q630" s="906"/>
      <c r="R630" s="906"/>
    </row>
    <row r="631" spans="4:22" x14ac:dyDescent="0.25">
      <c r="D631" s="1454"/>
      <c r="E631" s="1454"/>
      <c r="F631" s="1454"/>
      <c r="G631" s="1454"/>
      <c r="H631" s="1454"/>
      <c r="I631" s="1631"/>
      <c r="J631" s="1631"/>
      <c r="K631" s="1631"/>
      <c r="L631" s="1631"/>
      <c r="M631" s="1631"/>
      <c r="N631" s="1632"/>
      <c r="O631" s="1631"/>
      <c r="P631" s="1631"/>
      <c r="Q631" s="1631"/>
    </row>
    <row r="632" spans="4:22" x14ac:dyDescent="0.25">
      <c r="D632" s="1633"/>
      <c r="E632" s="1633"/>
      <c r="F632" s="1633"/>
      <c r="G632" s="1633"/>
      <c r="H632" s="1633"/>
      <c r="I632" s="1456"/>
      <c r="J632" s="1457"/>
      <c r="K632" s="1455"/>
      <c r="L632" s="1455"/>
      <c r="M632" s="1458"/>
      <c r="N632" s="775"/>
      <c r="O632" s="1455"/>
      <c r="P632" s="775"/>
      <c r="Q632" s="1459"/>
      <c r="R632" s="1002"/>
    </row>
    <row r="633" spans="4:22" ht="15.75" x14ac:dyDescent="0.25">
      <c r="D633" s="1630"/>
      <c r="E633" s="1630"/>
      <c r="F633" s="1630"/>
      <c r="G633" s="1630"/>
      <c r="H633" s="1630"/>
      <c r="I633" s="1081"/>
      <c r="J633" s="1081"/>
      <c r="K633" s="941"/>
      <c r="L633" s="841"/>
      <c r="M633" s="941"/>
      <c r="N633" s="841"/>
      <c r="O633" s="941"/>
      <c r="P633" s="841"/>
      <c r="Q633" s="941"/>
      <c r="R633" s="841"/>
      <c r="S633" s="841"/>
    </row>
    <row r="634" spans="4:22" x14ac:dyDescent="0.25">
      <c r="D634" s="1629"/>
      <c r="E634" s="1629"/>
      <c r="F634" s="1629"/>
      <c r="G634" s="1629"/>
      <c r="H634" s="1629"/>
      <c r="I634" s="1081"/>
      <c r="J634" s="1081"/>
      <c r="L634" s="1080"/>
      <c r="M634" s="941"/>
      <c r="N634" s="841"/>
      <c r="O634" s="941"/>
      <c r="P634" s="1080"/>
      <c r="Q634" s="941"/>
      <c r="R634" s="841"/>
      <c r="S634" s="841"/>
    </row>
    <row r="635" spans="4:22" x14ac:dyDescent="0.25">
      <c r="D635" s="1629"/>
      <c r="E635" s="1629"/>
      <c r="F635" s="1629"/>
      <c r="G635" s="1629"/>
      <c r="H635" s="1629"/>
      <c r="I635" s="1081"/>
      <c r="J635" s="1081"/>
      <c r="L635" s="841"/>
      <c r="M635" s="941"/>
      <c r="N635" s="841"/>
      <c r="O635" s="941"/>
      <c r="P635" s="841"/>
      <c r="Q635" s="941"/>
      <c r="R635" s="841"/>
      <c r="S635" s="841"/>
    </row>
    <row r="636" spans="4:22" x14ac:dyDescent="0.25">
      <c r="D636" s="1629"/>
      <c r="E636" s="1629"/>
      <c r="F636" s="1629"/>
      <c r="G636" s="1629"/>
      <c r="H636" s="1629"/>
      <c r="I636" s="1081"/>
      <c r="J636" s="1081"/>
      <c r="L636" s="841"/>
      <c r="M636" s="941"/>
      <c r="N636" s="1080"/>
      <c r="O636" s="941"/>
      <c r="P636" s="841"/>
      <c r="Q636" s="941"/>
      <c r="R636" s="841"/>
      <c r="S636" s="740"/>
    </row>
    <row r="637" spans="4:22" x14ac:dyDescent="0.25">
      <c r="D637" s="1629"/>
      <c r="E637" s="1629"/>
      <c r="F637" s="1629"/>
      <c r="G637" s="1629"/>
      <c r="H637" s="1629"/>
      <c r="I637" s="1081"/>
      <c r="J637" s="1081"/>
      <c r="L637" s="841"/>
      <c r="M637" s="941"/>
      <c r="N637" s="1080"/>
      <c r="O637" s="941"/>
      <c r="P637" s="841"/>
      <c r="Q637" s="941"/>
      <c r="R637" s="841"/>
      <c r="S637" s="841"/>
    </row>
    <row r="638" spans="4:22" x14ac:dyDescent="0.25">
      <c r="D638" s="1629"/>
      <c r="E638" s="1629"/>
      <c r="F638" s="1629"/>
      <c r="G638" s="1629"/>
      <c r="H638" s="1629"/>
      <c r="I638" s="1081"/>
      <c r="J638" s="1081"/>
      <c r="L638" s="841"/>
      <c r="M638" s="941"/>
      <c r="N638" s="1080"/>
      <c r="O638" s="941"/>
      <c r="P638" s="841"/>
      <c r="Q638" s="941"/>
      <c r="R638" s="841"/>
      <c r="S638" s="841"/>
    </row>
    <row r="639" spans="4:22" ht="15.75" x14ac:dyDescent="0.25">
      <c r="D639" s="1630"/>
      <c r="E639" s="1630"/>
      <c r="F639" s="1630"/>
      <c r="G639" s="1630"/>
      <c r="H639" s="1630"/>
      <c r="I639" s="1081"/>
      <c r="J639" s="1081"/>
      <c r="L639" s="841"/>
      <c r="M639" s="941"/>
      <c r="N639" s="1080"/>
      <c r="O639" s="941"/>
      <c r="P639" s="841"/>
      <c r="Q639" s="941"/>
      <c r="R639" s="841"/>
      <c r="S639" s="841"/>
    </row>
    <row r="640" spans="4:22" ht="15.75" x14ac:dyDescent="0.25">
      <c r="D640" s="1630"/>
      <c r="E640" s="1630"/>
      <c r="F640" s="1630"/>
      <c r="G640" s="1630"/>
      <c r="H640" s="1630"/>
      <c r="I640" s="1081"/>
      <c r="J640" s="1081"/>
      <c r="P640" s="841"/>
      <c r="Q640" s="941"/>
      <c r="R640" s="841"/>
      <c r="S640" s="841"/>
    </row>
    <row r="641" spans="1:19" x14ac:dyDescent="0.25">
      <c r="A641" s="1460" t="s">
        <v>1843</v>
      </c>
      <c r="I641" s="1401"/>
      <c r="J641" s="1401"/>
      <c r="P641" s="907"/>
      <c r="Q641" s="907"/>
      <c r="R641" s="907"/>
      <c r="S641" s="875"/>
    </row>
    <row r="642" spans="1:19" x14ac:dyDescent="0.25">
      <c r="A642" s="1212" t="s">
        <v>869</v>
      </c>
      <c r="B642" s="1198">
        <v>6521806.0999999996</v>
      </c>
      <c r="C642" s="1328"/>
      <c r="I642" s="1081"/>
      <c r="J642" s="1081"/>
      <c r="Q642" s="841"/>
    </row>
    <row r="643" spans="1:19" x14ac:dyDescent="0.25">
      <c r="A643" s="1212" t="s">
        <v>2</v>
      </c>
      <c r="B643" s="1328"/>
      <c r="C643" s="1198"/>
      <c r="D643"/>
      <c r="I643" s="1081"/>
      <c r="J643" s="1081"/>
      <c r="Q643" s="841"/>
    </row>
    <row r="644" spans="1:19" x14ac:dyDescent="0.25">
      <c r="A644" s="1212" t="s">
        <v>1844</v>
      </c>
      <c r="B644" s="1461" t="s">
        <v>102</v>
      </c>
      <c r="C644" s="1198"/>
    </row>
    <row r="645" spans="1:19" x14ac:dyDescent="0.25">
      <c r="A645" s="1212"/>
      <c r="B645" s="1461">
        <v>12000</v>
      </c>
      <c r="C645" s="1198"/>
    </row>
    <row r="646" spans="1:19" x14ac:dyDescent="0.25">
      <c r="A646"/>
      <c r="B646" s="1198">
        <v>269086</v>
      </c>
      <c r="C646" s="1198"/>
    </row>
    <row r="647" spans="1:19" x14ac:dyDescent="0.25">
      <c r="A647"/>
      <c r="B647" s="1198">
        <v>384765.2</v>
      </c>
      <c r="C647" s="1198"/>
    </row>
    <row r="648" spans="1:19" x14ac:dyDescent="0.25">
      <c r="A648" s="1462" t="s">
        <v>183</v>
      </c>
      <c r="B648" s="1197">
        <f>SUM(B645:B647)</f>
        <v>665851.19999999995</v>
      </c>
      <c r="C648" s="1198"/>
    </row>
    <row r="649" spans="1:19" ht="15.75" thickBot="1" x14ac:dyDescent="0.3">
      <c r="A649" s="1212" t="s">
        <v>867</v>
      </c>
      <c r="B649" s="1463">
        <f>+B642+B648</f>
        <v>7187657.2999999998</v>
      </c>
      <c r="C649" s="1198"/>
    </row>
    <row r="650" spans="1:19" ht="15.75" thickTop="1" x14ac:dyDescent="0.25">
      <c r="A650" s="1212"/>
      <c r="B650" s="1197"/>
      <c r="C650" s="1198"/>
    </row>
    <row r="651" spans="1:19" x14ac:dyDescent="0.25">
      <c r="A651" s="1212"/>
      <c r="B651" s="1197"/>
      <c r="C651" s="1198"/>
    </row>
    <row r="652" spans="1:19" x14ac:dyDescent="0.25">
      <c r="A652" s="1460" t="s">
        <v>1845</v>
      </c>
      <c r="B652" s="1198"/>
      <c r="C652" s="1198"/>
      <c r="D652"/>
    </row>
    <row r="653" spans="1:19" x14ac:dyDescent="0.25">
      <c r="A653" s="1212" t="s">
        <v>869</v>
      </c>
      <c r="B653" s="1328">
        <v>0</v>
      </c>
      <c r="C653" s="1328"/>
      <c r="D653"/>
    </row>
    <row r="654" spans="1:19" x14ac:dyDescent="0.25">
      <c r="A654" s="1212" t="s">
        <v>2</v>
      </c>
      <c r="B654" s="1464">
        <v>1741767.46</v>
      </c>
      <c r="C654" s="1198"/>
      <c r="D654"/>
    </row>
    <row r="655" spans="1:19" ht="15.75" thickBot="1" x14ac:dyDescent="0.3">
      <c r="A655" s="1212" t="s">
        <v>867</v>
      </c>
      <c r="B655" s="1465">
        <f>+B653+B654</f>
        <v>1741767.46</v>
      </c>
      <c r="C655" s="1328"/>
    </row>
    <row r="656" spans="1:19" ht="15.75" thickTop="1" x14ac:dyDescent="0.25">
      <c r="B656" s="1328"/>
      <c r="C656" s="1328"/>
    </row>
    <row r="657" spans="2:3" x14ac:dyDescent="0.25">
      <c r="B657" s="1328"/>
      <c r="C657" s="1328"/>
    </row>
    <row r="658" spans="2:3" x14ac:dyDescent="0.25">
      <c r="B658" s="1328"/>
      <c r="C658" s="1328"/>
    </row>
    <row r="659" spans="2:3" x14ac:dyDescent="0.25">
      <c r="B659" s="1328"/>
      <c r="C659" s="1328"/>
    </row>
    <row r="660" spans="2:3" x14ac:dyDescent="0.25">
      <c r="B660" s="1328"/>
      <c r="C660" s="1328"/>
    </row>
    <row r="661" spans="2:3" x14ac:dyDescent="0.25">
      <c r="B661" s="1328"/>
      <c r="C661" s="1328"/>
    </row>
    <row r="662" spans="2:3" x14ac:dyDescent="0.25">
      <c r="B662" s="1328"/>
      <c r="C662" s="1328"/>
    </row>
    <row r="663" spans="2:3" x14ac:dyDescent="0.25">
      <c r="B663" s="1328"/>
      <c r="C663" s="1328"/>
    </row>
    <row r="664" spans="2:3" x14ac:dyDescent="0.25">
      <c r="B664" s="1328"/>
      <c r="C664" s="1328"/>
    </row>
    <row r="665" spans="2:3" x14ac:dyDescent="0.25">
      <c r="B665" s="1328"/>
      <c r="C665" s="1328"/>
    </row>
    <row r="666" spans="2:3" x14ac:dyDescent="0.25">
      <c r="B666" s="1328"/>
      <c r="C666" s="1328"/>
    </row>
    <row r="667" spans="2:3" x14ac:dyDescent="0.25">
      <c r="B667" s="1328"/>
      <c r="C667" s="1328"/>
    </row>
    <row r="668" spans="2:3" x14ac:dyDescent="0.25">
      <c r="B668" s="1328"/>
      <c r="C668" s="1328"/>
    </row>
    <row r="669" spans="2:3" x14ac:dyDescent="0.25">
      <c r="B669" s="1328"/>
      <c r="C669" s="1328"/>
    </row>
  </sheetData>
  <autoFilter ref="A4:AU4" xr:uid="{00000000-0009-0000-0000-000019000000}"/>
  <mergeCells count="61">
    <mergeCell ref="D586:H586"/>
    <mergeCell ref="AV2:BA2"/>
    <mergeCell ref="L3:Q3"/>
    <mergeCell ref="R3:W3"/>
    <mergeCell ref="X3:AC3"/>
    <mergeCell ref="AD3:AI3"/>
    <mergeCell ref="AJ3:AO3"/>
    <mergeCell ref="AP3:AU3"/>
    <mergeCell ref="AV3:BA3"/>
    <mergeCell ref="L2:Q2"/>
    <mergeCell ref="R2:W2"/>
    <mergeCell ref="X2:AC2"/>
    <mergeCell ref="AD2:AI2"/>
    <mergeCell ref="AJ2:AO2"/>
    <mergeCell ref="AP2:AU2"/>
    <mergeCell ref="D583:M583"/>
    <mergeCell ref="D584:H584"/>
    <mergeCell ref="R584:S584"/>
    <mergeCell ref="U584:V584"/>
    <mergeCell ref="D585:H585"/>
    <mergeCell ref="D604:H604"/>
    <mergeCell ref="D587:H587"/>
    <mergeCell ref="D588:H588"/>
    <mergeCell ref="D589:H589"/>
    <mergeCell ref="D590:H590"/>
    <mergeCell ref="D591:H591"/>
    <mergeCell ref="D592:H592"/>
    <mergeCell ref="D600:R600"/>
    <mergeCell ref="I601:M601"/>
    <mergeCell ref="N601:Q601"/>
    <mergeCell ref="D602:H602"/>
    <mergeCell ref="D603:H603"/>
    <mergeCell ref="D619:H619"/>
    <mergeCell ref="D605:H605"/>
    <mergeCell ref="D606:H606"/>
    <mergeCell ref="D607:H607"/>
    <mergeCell ref="D608:H608"/>
    <mergeCell ref="D609:H609"/>
    <mergeCell ref="D610:H610"/>
    <mergeCell ref="D615:R615"/>
    <mergeCell ref="I616:M616"/>
    <mergeCell ref="N616:Q616"/>
    <mergeCell ref="D617:H617"/>
    <mergeCell ref="D618:H618"/>
    <mergeCell ref="D635:H635"/>
    <mergeCell ref="D620:H620"/>
    <mergeCell ref="D621:H621"/>
    <mergeCell ref="D622:H622"/>
    <mergeCell ref="D623:H623"/>
    <mergeCell ref="D624:H624"/>
    <mergeCell ref="D625:H625"/>
    <mergeCell ref="I631:M631"/>
    <mergeCell ref="N631:Q631"/>
    <mergeCell ref="D632:H632"/>
    <mergeCell ref="D633:H633"/>
    <mergeCell ref="D634:H634"/>
    <mergeCell ref="D636:H636"/>
    <mergeCell ref="D637:H637"/>
    <mergeCell ref="D638:H638"/>
    <mergeCell ref="D639:H639"/>
    <mergeCell ref="D640:H640"/>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B5FC8-A3B4-4B34-BF03-0D4E3F60EC86}">
  <dimension ref="B3:J130"/>
  <sheetViews>
    <sheetView topLeftCell="A121" workbookViewId="0">
      <selection activeCell="H121" sqref="H121"/>
    </sheetView>
  </sheetViews>
  <sheetFormatPr defaultRowHeight="15" x14ac:dyDescent="0.25"/>
  <cols>
    <col min="2" max="2" width="43.140625" bestFit="1" customWidth="1"/>
    <col min="3" max="3" width="20.42578125" customWidth="1"/>
    <col min="4" max="6" width="16.85546875" bestFit="1" customWidth="1"/>
    <col min="7" max="7" width="12.140625" bestFit="1" customWidth="1"/>
    <col min="8" max="9" width="15.5703125" bestFit="1" customWidth="1"/>
    <col min="10" max="10" width="13.85546875" bestFit="1" customWidth="1"/>
  </cols>
  <sheetData>
    <row r="3" spans="2:9" ht="15.75" x14ac:dyDescent="0.25">
      <c r="B3" s="1693" t="s">
        <v>1854</v>
      </c>
      <c r="C3" s="1693"/>
      <c r="D3" s="1693"/>
      <c r="E3" s="1693"/>
      <c r="F3" s="1693"/>
      <c r="G3" s="1693"/>
      <c r="H3" s="1693"/>
      <c r="I3" s="1693"/>
    </row>
    <row r="4" spans="2:9" ht="15.75" x14ac:dyDescent="0.25">
      <c r="B4" s="1534" t="s">
        <v>1847</v>
      </c>
      <c r="C4" s="1541" t="s">
        <v>200</v>
      </c>
      <c r="D4" s="1540" t="s">
        <v>1848</v>
      </c>
      <c r="E4" s="1540" t="s">
        <v>1849</v>
      </c>
      <c r="F4" s="1540" t="s">
        <v>1850</v>
      </c>
      <c r="G4" s="1540" t="s">
        <v>1851</v>
      </c>
      <c r="H4" s="1540" t="s">
        <v>1852</v>
      </c>
      <c r="I4" s="1540" t="s">
        <v>1853</v>
      </c>
    </row>
    <row r="5" spans="2:9" ht="15.75" x14ac:dyDescent="0.25">
      <c r="B5" s="1542" t="s">
        <v>1599</v>
      </c>
      <c r="C5" s="1543">
        <v>37400</v>
      </c>
      <c r="D5" s="1537">
        <v>0</v>
      </c>
      <c r="E5" s="1537">
        <v>3911</v>
      </c>
      <c r="F5" s="1537">
        <v>33489</v>
      </c>
      <c r="G5" s="1537">
        <v>0</v>
      </c>
      <c r="H5" s="1537">
        <v>0</v>
      </c>
      <c r="I5" s="1537">
        <v>0</v>
      </c>
    </row>
    <row r="6" spans="2:9" ht="15.75" x14ac:dyDescent="0.25">
      <c r="B6" s="1542" t="s">
        <v>224</v>
      </c>
      <c r="C6" s="1543">
        <v>150772.56</v>
      </c>
      <c r="D6" s="1537">
        <v>79800.240000000005</v>
      </c>
      <c r="E6" s="1537">
        <v>35872.080000000002</v>
      </c>
      <c r="F6" s="1537">
        <v>35100.160000000003</v>
      </c>
      <c r="G6" s="1537">
        <v>0</v>
      </c>
      <c r="H6" s="1537">
        <v>0</v>
      </c>
      <c r="I6" s="1537">
        <v>0</v>
      </c>
    </row>
    <row r="7" spans="2:9" ht="15.75" x14ac:dyDescent="0.25">
      <c r="B7" s="1542" t="s">
        <v>918</v>
      </c>
      <c r="C7" s="1543">
        <v>206500</v>
      </c>
      <c r="D7" s="1537">
        <v>0</v>
      </c>
      <c r="E7" s="1537">
        <v>206500</v>
      </c>
      <c r="F7" s="1537">
        <v>0</v>
      </c>
      <c r="G7" s="1537">
        <v>0</v>
      </c>
      <c r="H7" s="1537">
        <v>0</v>
      </c>
      <c r="I7" s="1537">
        <v>0</v>
      </c>
    </row>
    <row r="8" spans="2:9" ht="15.75" x14ac:dyDescent="0.25">
      <c r="B8" s="1542" t="s">
        <v>919</v>
      </c>
      <c r="C8" s="1543">
        <v>35535.699999999997</v>
      </c>
      <c r="D8" s="1537">
        <v>35535.699999999997</v>
      </c>
      <c r="E8" s="1537">
        <v>0</v>
      </c>
      <c r="F8" s="1537">
        <v>0</v>
      </c>
      <c r="G8" s="1537">
        <v>0</v>
      </c>
      <c r="H8" s="1537">
        <v>0</v>
      </c>
      <c r="I8" s="1537">
        <v>0</v>
      </c>
    </row>
    <row r="9" spans="2:9" ht="15.75" x14ac:dyDescent="0.25">
      <c r="B9" s="1542" t="s">
        <v>230</v>
      </c>
      <c r="C9" s="1543">
        <v>171662</v>
      </c>
      <c r="D9" s="1537">
        <v>0</v>
      </c>
      <c r="E9" s="1537">
        <v>96620</v>
      </c>
      <c r="F9" s="1537">
        <v>75042</v>
      </c>
      <c r="G9" s="1537">
        <v>0</v>
      </c>
      <c r="H9" s="1537">
        <v>0</v>
      </c>
      <c r="I9" s="1537">
        <v>0</v>
      </c>
    </row>
    <row r="10" spans="2:9" ht="15.75" x14ac:dyDescent="0.25">
      <c r="B10" s="1542" t="s">
        <v>248</v>
      </c>
      <c r="C10" s="1543">
        <v>767205.32</v>
      </c>
      <c r="D10" s="1537">
        <v>282709.03999999998</v>
      </c>
      <c r="E10" s="1537">
        <v>217734.02</v>
      </c>
      <c r="F10" s="1537">
        <v>266762.26</v>
      </c>
      <c r="G10" s="1537">
        <v>0</v>
      </c>
      <c r="H10" s="1537">
        <v>0</v>
      </c>
      <c r="I10" s="1537">
        <v>0</v>
      </c>
    </row>
    <row r="11" spans="2:9" ht="15.75" x14ac:dyDescent="0.25">
      <c r="B11" s="1542" t="s">
        <v>1618</v>
      </c>
      <c r="C11" s="1543">
        <v>5208</v>
      </c>
      <c r="D11" s="1537">
        <v>0</v>
      </c>
      <c r="E11" s="1537">
        <v>0</v>
      </c>
      <c r="F11" s="1537">
        <v>5208</v>
      </c>
      <c r="G11" s="1537">
        <v>0</v>
      </c>
      <c r="H11" s="1537">
        <v>0</v>
      </c>
      <c r="I11" s="1537">
        <v>0</v>
      </c>
    </row>
    <row r="12" spans="2:9" ht="15.75" x14ac:dyDescent="0.25">
      <c r="B12" s="1542" t="s">
        <v>255</v>
      </c>
      <c r="C12" s="1543">
        <v>26216</v>
      </c>
      <c r="D12" s="1537">
        <v>0</v>
      </c>
      <c r="E12" s="1537">
        <v>0</v>
      </c>
      <c r="F12" s="1537">
        <v>26216</v>
      </c>
      <c r="G12" s="1537">
        <v>0</v>
      </c>
      <c r="H12" s="1537">
        <v>0</v>
      </c>
      <c r="I12" s="1537">
        <v>0</v>
      </c>
    </row>
    <row r="13" spans="2:9" ht="15.75" x14ac:dyDescent="0.25">
      <c r="B13" s="1542" t="s">
        <v>550</v>
      </c>
      <c r="C13" s="1543">
        <v>118000</v>
      </c>
      <c r="D13" s="1537">
        <v>0</v>
      </c>
      <c r="E13" s="1537">
        <v>0</v>
      </c>
      <c r="F13" s="1537">
        <v>118000</v>
      </c>
      <c r="G13" s="1537">
        <v>0</v>
      </c>
      <c r="H13" s="1537">
        <v>0</v>
      </c>
      <c r="I13" s="1537">
        <v>0</v>
      </c>
    </row>
    <row r="14" spans="2:9" ht="15.75" x14ac:dyDescent="0.25">
      <c r="B14" s="1542" t="s">
        <v>264</v>
      </c>
      <c r="C14" s="1543">
        <v>70210</v>
      </c>
      <c r="D14" s="1537">
        <v>20060</v>
      </c>
      <c r="E14" s="1537">
        <v>40120</v>
      </c>
      <c r="F14" s="1537">
        <v>10030</v>
      </c>
      <c r="G14" s="1537">
        <v>0</v>
      </c>
      <c r="H14" s="1537">
        <v>0</v>
      </c>
      <c r="I14" s="1537">
        <v>0</v>
      </c>
    </row>
    <row r="15" spans="2:9" ht="15.75" x14ac:dyDescent="0.25">
      <c r="B15" s="1542" t="s">
        <v>1626</v>
      </c>
      <c r="C15" s="1543">
        <v>77408</v>
      </c>
      <c r="D15" s="1537">
        <v>77408</v>
      </c>
      <c r="E15" s="1537">
        <v>0</v>
      </c>
      <c r="F15" s="1537">
        <v>0</v>
      </c>
      <c r="G15" s="1537">
        <v>0</v>
      </c>
      <c r="H15" s="1537">
        <v>0</v>
      </c>
      <c r="I15" s="1537">
        <v>0</v>
      </c>
    </row>
    <row r="16" spans="2:9" ht="15.75" x14ac:dyDescent="0.25">
      <c r="B16" s="1542" t="s">
        <v>1629</v>
      </c>
      <c r="C16" s="1543">
        <v>48498</v>
      </c>
      <c r="D16" s="1537">
        <v>0</v>
      </c>
      <c r="E16" s="1537">
        <v>48498</v>
      </c>
      <c r="F16" s="1537">
        <v>0</v>
      </c>
      <c r="G16" s="1537">
        <v>0</v>
      </c>
      <c r="H16" s="1537">
        <v>0</v>
      </c>
      <c r="I16" s="1537">
        <v>0</v>
      </c>
    </row>
    <row r="17" spans="2:9" ht="15.75" x14ac:dyDescent="0.25">
      <c r="B17" s="1542" t="s">
        <v>1630</v>
      </c>
      <c r="C17" s="1543">
        <v>27000</v>
      </c>
      <c r="D17" s="1537">
        <v>0</v>
      </c>
      <c r="E17" s="1537">
        <v>0</v>
      </c>
      <c r="F17" s="1537">
        <v>0</v>
      </c>
      <c r="G17" s="1537">
        <v>0</v>
      </c>
      <c r="H17" s="1537">
        <v>27000</v>
      </c>
      <c r="I17" s="1537">
        <v>0</v>
      </c>
    </row>
    <row r="18" spans="2:9" ht="15.75" x14ac:dyDescent="0.25">
      <c r="B18" s="1542" t="s">
        <v>270</v>
      </c>
      <c r="C18" s="1543">
        <v>136620</v>
      </c>
      <c r="D18" s="1537">
        <v>33120</v>
      </c>
      <c r="E18" s="1537">
        <v>39960</v>
      </c>
      <c r="F18" s="1537">
        <v>63540</v>
      </c>
      <c r="G18" s="1537">
        <v>0</v>
      </c>
      <c r="H18" s="1537">
        <v>0</v>
      </c>
      <c r="I18" s="1537">
        <v>0</v>
      </c>
    </row>
    <row r="19" spans="2:9" ht="15.75" x14ac:dyDescent="0.25">
      <c r="B19" s="1542" t="s">
        <v>929</v>
      </c>
      <c r="C19" s="1543">
        <v>1304</v>
      </c>
      <c r="D19" s="1537">
        <v>0</v>
      </c>
      <c r="E19" s="1537">
        <v>1304</v>
      </c>
      <c r="F19" s="1537">
        <v>0</v>
      </c>
      <c r="G19" s="1537">
        <v>0</v>
      </c>
      <c r="H19" s="1537">
        <v>0</v>
      </c>
      <c r="I19" s="1537">
        <v>0</v>
      </c>
    </row>
    <row r="20" spans="2:9" ht="15.75" x14ac:dyDescent="0.25">
      <c r="B20" s="1542" t="s">
        <v>340</v>
      </c>
      <c r="C20" s="1543">
        <v>129800</v>
      </c>
      <c r="D20" s="1537">
        <v>0</v>
      </c>
      <c r="E20" s="1537">
        <v>64900</v>
      </c>
      <c r="F20" s="1537">
        <v>64900</v>
      </c>
      <c r="G20" s="1537">
        <v>0</v>
      </c>
      <c r="H20" s="1537">
        <v>0</v>
      </c>
      <c r="I20" s="1537">
        <v>0</v>
      </c>
    </row>
    <row r="21" spans="2:9" ht="15.75" x14ac:dyDescent="0.25">
      <c r="B21" s="1542" t="s">
        <v>957</v>
      </c>
      <c r="C21" s="1543">
        <v>112380</v>
      </c>
      <c r="D21" s="1537">
        <v>32390</v>
      </c>
      <c r="E21" s="1537">
        <v>42803</v>
      </c>
      <c r="F21" s="1537">
        <v>37187</v>
      </c>
      <c r="G21" s="1537">
        <v>0</v>
      </c>
      <c r="H21" s="1537">
        <v>0</v>
      </c>
      <c r="I21" s="1537">
        <v>0</v>
      </c>
    </row>
    <row r="22" spans="2:9" ht="15.75" x14ac:dyDescent="0.25">
      <c r="B22" s="1542" t="s">
        <v>356</v>
      </c>
      <c r="C22" s="1543">
        <v>28000</v>
      </c>
      <c r="D22" s="1537">
        <v>0</v>
      </c>
      <c r="E22" s="1537">
        <v>0</v>
      </c>
      <c r="F22" s="1537">
        <v>28000</v>
      </c>
      <c r="G22" s="1537">
        <v>0</v>
      </c>
      <c r="H22" s="1537">
        <v>0</v>
      </c>
      <c r="I22" s="1537">
        <v>0</v>
      </c>
    </row>
    <row r="23" spans="2:9" ht="15.75" x14ac:dyDescent="0.25">
      <c r="B23" s="1542" t="s">
        <v>959</v>
      </c>
      <c r="C23" s="1543">
        <v>223380</v>
      </c>
      <c r="D23" s="1537">
        <v>81234</v>
      </c>
      <c r="E23" s="1537">
        <v>62289</v>
      </c>
      <c r="F23" s="1537">
        <v>79857</v>
      </c>
      <c r="G23" s="1537">
        <v>0</v>
      </c>
      <c r="H23" s="1537">
        <v>0</v>
      </c>
      <c r="I23" s="1537">
        <v>0</v>
      </c>
    </row>
    <row r="24" spans="2:9" ht="15.75" x14ac:dyDescent="0.25">
      <c r="B24" s="1542" t="s">
        <v>572</v>
      </c>
      <c r="C24" s="1543">
        <v>1463</v>
      </c>
      <c r="D24" s="1537">
        <v>1463</v>
      </c>
      <c r="E24" s="1537">
        <v>0</v>
      </c>
      <c r="F24" s="1537">
        <v>0</v>
      </c>
      <c r="G24" s="1537">
        <v>0</v>
      </c>
      <c r="H24" s="1537">
        <v>0</v>
      </c>
      <c r="I24" s="1537">
        <v>0</v>
      </c>
    </row>
    <row r="25" spans="2:9" ht="15.75" x14ac:dyDescent="0.25">
      <c r="B25" s="1542" t="s">
        <v>361</v>
      </c>
      <c r="C25" s="1543">
        <v>40253</v>
      </c>
      <c r="D25" s="1537">
        <v>32583</v>
      </c>
      <c r="E25" s="1537">
        <v>0</v>
      </c>
      <c r="F25" s="1537">
        <v>7670</v>
      </c>
      <c r="G25" s="1537">
        <v>0</v>
      </c>
      <c r="H25" s="1537">
        <v>0</v>
      </c>
      <c r="I25" s="1537">
        <v>0</v>
      </c>
    </row>
    <row r="26" spans="2:9" ht="15.75" x14ac:dyDescent="0.25">
      <c r="B26" s="1542" t="s">
        <v>366</v>
      </c>
      <c r="C26" s="1543">
        <v>365235</v>
      </c>
      <c r="D26" s="1537">
        <v>46627</v>
      </c>
      <c r="E26" s="1537">
        <v>178311</v>
      </c>
      <c r="F26" s="1537">
        <v>140297</v>
      </c>
      <c r="G26" s="1537">
        <v>0</v>
      </c>
      <c r="H26" s="1537">
        <v>0</v>
      </c>
      <c r="I26" s="1537">
        <v>0</v>
      </c>
    </row>
    <row r="27" spans="2:9" ht="15.75" x14ac:dyDescent="0.25">
      <c r="B27" s="1542" t="s">
        <v>1677</v>
      </c>
      <c r="C27" s="1543">
        <v>27268</v>
      </c>
      <c r="D27" s="1537">
        <v>13216</v>
      </c>
      <c r="E27" s="1537">
        <v>2006</v>
      </c>
      <c r="F27" s="1537">
        <v>12036</v>
      </c>
      <c r="G27" s="1537">
        <v>0</v>
      </c>
      <c r="H27" s="1537">
        <v>0</v>
      </c>
      <c r="I27" s="1537">
        <v>10</v>
      </c>
    </row>
    <row r="28" spans="2:9" ht="15.75" x14ac:dyDescent="0.25">
      <c r="B28" s="1542" t="s">
        <v>1678</v>
      </c>
      <c r="C28" s="1543">
        <v>22500</v>
      </c>
      <c r="D28" s="1537">
        <v>22500</v>
      </c>
      <c r="E28" s="1537">
        <v>0</v>
      </c>
      <c r="F28" s="1537">
        <v>0</v>
      </c>
      <c r="G28" s="1537">
        <v>0</v>
      </c>
      <c r="H28" s="1537">
        <v>0</v>
      </c>
      <c r="I28" s="1537">
        <v>0</v>
      </c>
    </row>
    <row r="29" spans="2:9" ht="15.75" x14ac:dyDescent="0.25">
      <c r="B29" s="1542" t="s">
        <v>1682</v>
      </c>
      <c r="C29" s="1543">
        <v>658800</v>
      </c>
      <c r="D29" s="1537">
        <v>164700</v>
      </c>
      <c r="E29" s="1537">
        <v>494100</v>
      </c>
      <c r="F29" s="1537">
        <v>0</v>
      </c>
      <c r="G29" s="1537">
        <v>0</v>
      </c>
      <c r="H29" s="1537">
        <v>0</v>
      </c>
      <c r="I29" s="1537">
        <v>0</v>
      </c>
    </row>
    <row r="30" spans="2:9" ht="15.75" x14ac:dyDescent="0.25">
      <c r="B30" s="1542" t="s">
        <v>964</v>
      </c>
      <c r="C30" s="1543">
        <v>82000</v>
      </c>
      <c r="D30" s="1537">
        <v>0</v>
      </c>
      <c r="E30" s="1537">
        <v>82000</v>
      </c>
      <c r="F30" s="1537">
        <v>0</v>
      </c>
      <c r="G30" s="1537">
        <v>0</v>
      </c>
      <c r="H30" s="1537">
        <v>0</v>
      </c>
      <c r="I30" s="1537">
        <v>0</v>
      </c>
    </row>
    <row r="31" spans="2:9" ht="15.75" x14ac:dyDescent="0.25">
      <c r="B31" s="1542" t="s">
        <v>575</v>
      </c>
      <c r="C31" s="1543">
        <v>4130</v>
      </c>
      <c r="D31" s="1537">
        <v>0</v>
      </c>
      <c r="E31" s="1537">
        <v>0</v>
      </c>
      <c r="F31" s="1537">
        <v>4130</v>
      </c>
      <c r="G31" s="1537">
        <v>0</v>
      </c>
      <c r="H31" s="1537">
        <v>0</v>
      </c>
      <c r="I31" s="1537">
        <v>0</v>
      </c>
    </row>
    <row r="32" spans="2:9" ht="15.75" x14ac:dyDescent="0.25">
      <c r="B32" s="1542" t="s">
        <v>1689</v>
      </c>
      <c r="C32" s="1543">
        <v>43660</v>
      </c>
      <c r="D32" s="1537">
        <v>0</v>
      </c>
      <c r="E32" s="1537">
        <v>43660</v>
      </c>
      <c r="F32" s="1537">
        <v>0</v>
      </c>
      <c r="G32" s="1537">
        <v>0</v>
      </c>
      <c r="H32" s="1537">
        <v>0</v>
      </c>
      <c r="I32" s="1537">
        <v>0</v>
      </c>
    </row>
    <row r="33" spans="2:9" ht="15.75" x14ac:dyDescent="0.25">
      <c r="B33" s="1542" t="s">
        <v>966</v>
      </c>
      <c r="C33" s="1543">
        <v>20898</v>
      </c>
      <c r="D33" s="1537">
        <v>20898</v>
      </c>
      <c r="E33" s="1537">
        <v>0</v>
      </c>
      <c r="F33" s="1537">
        <v>0</v>
      </c>
      <c r="G33" s="1537">
        <v>0</v>
      </c>
      <c r="H33" s="1537">
        <v>0</v>
      </c>
      <c r="I33" s="1537">
        <v>0</v>
      </c>
    </row>
    <row r="34" spans="2:9" ht="15.75" x14ac:dyDescent="0.25">
      <c r="B34" s="1542" t="s">
        <v>968</v>
      </c>
      <c r="C34" s="1543">
        <v>8552</v>
      </c>
      <c r="D34" s="1537">
        <v>0</v>
      </c>
      <c r="E34" s="1537">
        <v>0</v>
      </c>
      <c r="F34" s="1537">
        <v>8552</v>
      </c>
      <c r="G34" s="1537">
        <v>0</v>
      </c>
      <c r="H34" s="1537">
        <v>0</v>
      </c>
      <c r="I34" s="1537">
        <v>0</v>
      </c>
    </row>
    <row r="35" spans="2:9" ht="15.75" x14ac:dyDescent="0.25">
      <c r="B35" s="1542" t="s">
        <v>969</v>
      </c>
      <c r="C35" s="1543">
        <v>8178</v>
      </c>
      <c r="D35" s="1537">
        <v>0</v>
      </c>
      <c r="E35" s="1537">
        <v>0</v>
      </c>
      <c r="F35" s="1537">
        <v>8178</v>
      </c>
      <c r="G35" s="1537">
        <v>0</v>
      </c>
      <c r="H35" s="1537">
        <v>0</v>
      </c>
      <c r="I35" s="1537">
        <v>0</v>
      </c>
    </row>
    <row r="36" spans="2:9" ht="15.75" x14ac:dyDescent="0.25">
      <c r="B36" s="1542" t="s">
        <v>1698</v>
      </c>
      <c r="C36" s="1543">
        <v>154462</v>
      </c>
      <c r="D36" s="1537">
        <v>154462</v>
      </c>
      <c r="E36" s="1537">
        <v>0</v>
      </c>
      <c r="F36" s="1537">
        <v>0</v>
      </c>
      <c r="G36" s="1537">
        <v>0</v>
      </c>
      <c r="H36" s="1537">
        <v>0</v>
      </c>
      <c r="I36" s="1537">
        <v>0</v>
      </c>
    </row>
    <row r="37" spans="2:9" ht="15.75" x14ac:dyDescent="0.25">
      <c r="B37" s="1542" t="s">
        <v>1706</v>
      </c>
      <c r="C37" s="1543">
        <v>143640</v>
      </c>
      <c r="D37" s="1537">
        <v>143640</v>
      </c>
      <c r="E37" s="1537">
        <v>0</v>
      </c>
      <c r="F37" s="1537">
        <v>0</v>
      </c>
      <c r="G37" s="1537">
        <v>0</v>
      </c>
      <c r="H37" s="1537">
        <v>0</v>
      </c>
      <c r="I37" s="1537">
        <v>0</v>
      </c>
    </row>
    <row r="38" spans="2:9" ht="15.75" x14ac:dyDescent="0.25">
      <c r="B38" s="1542" t="s">
        <v>416</v>
      </c>
      <c r="C38" s="1543">
        <v>34196</v>
      </c>
      <c r="D38" s="1537">
        <v>10938</v>
      </c>
      <c r="E38" s="1537">
        <v>0</v>
      </c>
      <c r="F38" s="1537">
        <v>23258</v>
      </c>
      <c r="G38" s="1537">
        <v>0</v>
      </c>
      <c r="H38" s="1537">
        <v>0</v>
      </c>
      <c r="I38" s="1537">
        <v>0</v>
      </c>
    </row>
    <row r="39" spans="2:9" ht="15.75" x14ac:dyDescent="0.25">
      <c r="B39" s="1542" t="s">
        <v>1719</v>
      </c>
      <c r="C39" s="1543">
        <v>203904</v>
      </c>
      <c r="D39" s="1537">
        <v>66080</v>
      </c>
      <c r="E39" s="1537">
        <v>116584</v>
      </c>
      <c r="F39" s="1537">
        <v>21240</v>
      </c>
      <c r="G39" s="1537">
        <v>0</v>
      </c>
      <c r="H39" s="1537">
        <v>0</v>
      </c>
      <c r="I39" s="1537">
        <v>0</v>
      </c>
    </row>
    <row r="40" spans="2:9" ht="15.75" x14ac:dyDescent="0.25">
      <c r="B40" s="1542" t="s">
        <v>461</v>
      </c>
      <c r="C40" s="1543">
        <v>35372</v>
      </c>
      <c r="D40" s="1537">
        <v>0</v>
      </c>
      <c r="E40" s="1537">
        <v>35372</v>
      </c>
      <c r="F40" s="1537">
        <v>0</v>
      </c>
      <c r="G40" s="1537">
        <v>0</v>
      </c>
      <c r="H40" s="1537">
        <v>0</v>
      </c>
      <c r="I40" s="1537">
        <v>0</v>
      </c>
    </row>
    <row r="41" spans="2:9" ht="15.75" x14ac:dyDescent="0.25">
      <c r="B41" s="1542" t="s">
        <v>462</v>
      </c>
      <c r="C41" s="1543">
        <v>11570</v>
      </c>
      <c r="D41" s="1537">
        <v>11570</v>
      </c>
      <c r="E41" s="1537">
        <v>0</v>
      </c>
      <c r="F41" s="1537">
        <v>0</v>
      </c>
      <c r="G41" s="1537">
        <v>0</v>
      </c>
      <c r="H41" s="1537">
        <v>0</v>
      </c>
      <c r="I41" s="1537">
        <v>0</v>
      </c>
    </row>
    <row r="42" spans="2:9" ht="15.75" x14ac:dyDescent="0.25">
      <c r="B42" s="1542" t="s">
        <v>1726</v>
      </c>
      <c r="C42" s="1543">
        <v>71865</v>
      </c>
      <c r="D42" s="1537">
        <v>71865</v>
      </c>
      <c r="E42" s="1537">
        <v>0</v>
      </c>
      <c r="F42" s="1537">
        <v>0</v>
      </c>
      <c r="G42" s="1537">
        <v>0</v>
      </c>
      <c r="H42" s="1537">
        <v>0</v>
      </c>
      <c r="I42" s="1537">
        <v>0</v>
      </c>
    </row>
    <row r="43" spans="2:9" ht="15.75" x14ac:dyDescent="0.25">
      <c r="B43" s="1542" t="s">
        <v>1732</v>
      </c>
      <c r="C43" s="1543">
        <v>590</v>
      </c>
      <c r="D43" s="1537">
        <v>590</v>
      </c>
      <c r="E43" s="1537">
        <v>0</v>
      </c>
      <c r="F43" s="1537">
        <v>0</v>
      </c>
      <c r="G43" s="1537">
        <v>0</v>
      </c>
      <c r="H43" s="1537">
        <v>0</v>
      </c>
      <c r="I43" s="1537">
        <v>0</v>
      </c>
    </row>
    <row r="44" spans="2:9" ht="15.75" x14ac:dyDescent="0.25">
      <c r="B44" s="1542" t="s">
        <v>1737</v>
      </c>
      <c r="C44" s="1543">
        <v>34220</v>
      </c>
      <c r="D44" s="1537">
        <v>34220</v>
      </c>
      <c r="E44" s="1537">
        <v>0</v>
      </c>
      <c r="F44" s="1537">
        <v>0</v>
      </c>
      <c r="G44" s="1537">
        <v>0</v>
      </c>
      <c r="H44" s="1537">
        <v>0</v>
      </c>
      <c r="I44" s="1537">
        <v>0</v>
      </c>
    </row>
    <row r="45" spans="2:9" ht="15.75" x14ac:dyDescent="0.25">
      <c r="B45" s="1542" t="s">
        <v>506</v>
      </c>
      <c r="C45" s="1543">
        <v>123648</v>
      </c>
      <c r="D45" s="1537">
        <v>0</v>
      </c>
      <c r="E45" s="1537">
        <v>50614</v>
      </c>
      <c r="F45" s="1537">
        <v>73034</v>
      </c>
      <c r="G45" s="1537">
        <v>0</v>
      </c>
      <c r="H45" s="1537">
        <v>0</v>
      </c>
      <c r="I45" s="1537">
        <v>0</v>
      </c>
    </row>
    <row r="46" spans="2:9" ht="15.75" x14ac:dyDescent="0.25">
      <c r="B46" s="1542" t="s">
        <v>509</v>
      </c>
      <c r="C46" s="1543">
        <v>247500</v>
      </c>
      <c r="D46" s="1537">
        <v>99000</v>
      </c>
      <c r="E46" s="1537">
        <v>49500</v>
      </c>
      <c r="F46" s="1537">
        <v>99000</v>
      </c>
      <c r="G46" s="1537">
        <v>0</v>
      </c>
      <c r="H46" s="1537">
        <v>0</v>
      </c>
      <c r="I46" s="1537">
        <v>0</v>
      </c>
    </row>
    <row r="47" spans="2:9" ht="15.75" x14ac:dyDescent="0.25">
      <c r="B47" s="1542" t="s">
        <v>511</v>
      </c>
      <c r="C47" s="1543">
        <v>174496</v>
      </c>
      <c r="D47" s="1537">
        <v>174496</v>
      </c>
      <c r="E47" s="1537">
        <v>0</v>
      </c>
      <c r="F47" s="1537">
        <v>0</v>
      </c>
      <c r="G47" s="1537">
        <v>0</v>
      </c>
      <c r="H47" s="1537">
        <v>0</v>
      </c>
      <c r="I47" s="1537">
        <v>0</v>
      </c>
    </row>
    <row r="48" spans="2:9" ht="15.75" x14ac:dyDescent="0.25">
      <c r="B48" s="1542" t="s">
        <v>1598</v>
      </c>
      <c r="C48" s="1543">
        <v>22500</v>
      </c>
      <c r="D48" s="1537">
        <v>22500</v>
      </c>
      <c r="E48" s="1537">
        <v>0</v>
      </c>
      <c r="F48" s="1537">
        <v>0</v>
      </c>
      <c r="G48" s="1537">
        <v>0</v>
      </c>
      <c r="H48" s="1537">
        <v>0</v>
      </c>
      <c r="I48" s="1537">
        <v>0</v>
      </c>
    </row>
    <row r="49" spans="2:9" ht="15.75" x14ac:dyDescent="0.25">
      <c r="B49" s="1542" t="s">
        <v>221</v>
      </c>
      <c r="C49" s="1543">
        <v>162000</v>
      </c>
      <c r="D49" s="1537">
        <v>54000</v>
      </c>
      <c r="E49" s="1537">
        <v>54000</v>
      </c>
      <c r="F49" s="1537">
        <v>54000</v>
      </c>
      <c r="G49" s="1537">
        <v>0</v>
      </c>
      <c r="H49" s="1537">
        <v>0</v>
      </c>
      <c r="I49" s="1537">
        <v>0</v>
      </c>
    </row>
    <row r="50" spans="2:9" ht="15.75" x14ac:dyDescent="0.25">
      <c r="B50" s="1542" t="s">
        <v>223</v>
      </c>
      <c r="C50" s="1543">
        <v>33099</v>
      </c>
      <c r="D50" s="1537">
        <v>33099</v>
      </c>
      <c r="E50" s="1537">
        <v>0</v>
      </c>
      <c r="F50" s="1537">
        <v>0</v>
      </c>
      <c r="G50" s="1537">
        <v>0</v>
      </c>
      <c r="H50" s="1537">
        <v>0</v>
      </c>
      <c r="I50" s="1537">
        <v>0</v>
      </c>
    </row>
    <row r="51" spans="2:9" ht="15.75" x14ac:dyDescent="0.25">
      <c r="B51" s="1542" t="s">
        <v>239</v>
      </c>
      <c r="C51" s="1543">
        <v>438930.96</v>
      </c>
      <c r="D51" s="1537">
        <v>438930.96</v>
      </c>
      <c r="E51" s="1537">
        <v>0</v>
      </c>
      <c r="F51" s="1537">
        <v>0</v>
      </c>
      <c r="G51" s="1537">
        <v>0</v>
      </c>
      <c r="H51" s="1537">
        <v>0</v>
      </c>
      <c r="I51" s="1537">
        <v>0</v>
      </c>
    </row>
    <row r="52" spans="2:9" ht="15.75" x14ac:dyDescent="0.25">
      <c r="B52" s="1542" t="s">
        <v>241</v>
      </c>
      <c r="C52" s="1543">
        <v>7920</v>
      </c>
      <c r="D52" s="1537">
        <v>7920</v>
      </c>
      <c r="E52" s="1537">
        <v>0</v>
      </c>
      <c r="F52" s="1537">
        <v>0</v>
      </c>
      <c r="G52" s="1537">
        <v>0</v>
      </c>
      <c r="H52" s="1537">
        <v>0</v>
      </c>
      <c r="I52" s="1537">
        <v>0</v>
      </c>
    </row>
    <row r="53" spans="2:9" ht="15.75" x14ac:dyDescent="0.25">
      <c r="B53" s="1542" t="s">
        <v>247</v>
      </c>
      <c r="C53" s="1543">
        <v>11502.48</v>
      </c>
      <c r="D53" s="1537">
        <v>11502.88</v>
      </c>
      <c r="E53" s="1537">
        <v>0</v>
      </c>
      <c r="F53" s="1537">
        <v>0</v>
      </c>
      <c r="G53" s="1537">
        <v>0</v>
      </c>
      <c r="H53" s="1537">
        <v>0</v>
      </c>
      <c r="I53" s="1537">
        <v>-0.3999999999996362</v>
      </c>
    </row>
    <row r="54" spans="2:9" ht="15.75" x14ac:dyDescent="0.25">
      <c r="B54" s="1542" t="s">
        <v>923</v>
      </c>
      <c r="C54" s="1543">
        <v>1444.32</v>
      </c>
      <c r="D54" s="1537">
        <v>1444.32</v>
      </c>
      <c r="E54" s="1537">
        <v>0</v>
      </c>
      <c r="F54" s="1537">
        <v>0</v>
      </c>
      <c r="G54" s="1537">
        <v>0</v>
      </c>
      <c r="H54" s="1537">
        <v>0</v>
      </c>
      <c r="I54" s="1537">
        <v>0</v>
      </c>
    </row>
    <row r="55" spans="2:9" ht="15.75" x14ac:dyDescent="0.25">
      <c r="B55" s="1542" t="s">
        <v>251</v>
      </c>
      <c r="C55" s="1543">
        <v>185850</v>
      </c>
      <c r="D55" s="1537">
        <v>62540</v>
      </c>
      <c r="E55" s="1537">
        <v>0</v>
      </c>
      <c r="F55" s="1537">
        <v>123310</v>
      </c>
      <c r="G55" s="1537">
        <v>0</v>
      </c>
      <c r="H55" s="1537">
        <v>0</v>
      </c>
      <c r="I55" s="1537">
        <v>0</v>
      </c>
    </row>
    <row r="56" spans="2:9" ht="15.75" x14ac:dyDescent="0.25">
      <c r="B56" s="1542" t="s">
        <v>1620</v>
      </c>
      <c r="C56" s="1543">
        <v>3363</v>
      </c>
      <c r="D56" s="1537">
        <v>3363</v>
      </c>
      <c r="E56" s="1537">
        <v>0</v>
      </c>
      <c r="F56" s="1537">
        <v>0</v>
      </c>
      <c r="G56" s="1537">
        <v>0</v>
      </c>
      <c r="H56" s="1537">
        <v>0</v>
      </c>
      <c r="I56" s="1537">
        <v>0</v>
      </c>
    </row>
    <row r="57" spans="2:9" ht="15.75" x14ac:dyDescent="0.25">
      <c r="B57" s="1542" t="s">
        <v>549</v>
      </c>
      <c r="C57" s="1543">
        <v>2700</v>
      </c>
      <c r="D57" s="1537">
        <v>2700</v>
      </c>
      <c r="E57" s="1537">
        <v>0</v>
      </c>
      <c r="F57" s="1537">
        <v>0</v>
      </c>
      <c r="G57" s="1537">
        <v>0</v>
      </c>
      <c r="H57" s="1537">
        <v>0</v>
      </c>
      <c r="I57" s="1537">
        <v>0</v>
      </c>
    </row>
    <row r="58" spans="2:9" ht="15.75" x14ac:dyDescent="0.25">
      <c r="B58" s="1542" t="s">
        <v>265</v>
      </c>
      <c r="C58" s="1543">
        <v>164725</v>
      </c>
      <c r="D58" s="1537">
        <v>87293</v>
      </c>
      <c r="E58" s="1537">
        <v>32521.200000000001</v>
      </c>
      <c r="F58" s="1537">
        <v>44910.8</v>
      </c>
      <c r="G58" s="1537">
        <v>0</v>
      </c>
      <c r="H58" s="1537">
        <v>0</v>
      </c>
      <c r="I58" s="1537">
        <v>0</v>
      </c>
    </row>
    <row r="59" spans="2:9" ht="15.75" x14ac:dyDescent="0.25">
      <c r="B59" s="1542" t="s">
        <v>279</v>
      </c>
      <c r="C59" s="1543">
        <v>56227</v>
      </c>
      <c r="D59" s="1537">
        <v>10797</v>
      </c>
      <c r="E59" s="1537">
        <v>5900</v>
      </c>
      <c r="F59" s="1537">
        <v>39530</v>
      </c>
      <c r="G59" s="1537">
        <v>0</v>
      </c>
      <c r="H59" s="1537">
        <v>0</v>
      </c>
      <c r="I59" s="1537">
        <v>0</v>
      </c>
    </row>
    <row r="60" spans="2:9" ht="15.75" x14ac:dyDescent="0.25">
      <c r="B60" s="1542" t="s">
        <v>938</v>
      </c>
      <c r="C60" s="1543">
        <v>40635</v>
      </c>
      <c r="D60" s="1537">
        <v>40635</v>
      </c>
      <c r="E60" s="1537">
        <v>0</v>
      </c>
      <c r="F60" s="1537">
        <v>0</v>
      </c>
      <c r="G60" s="1537">
        <v>0</v>
      </c>
      <c r="H60" s="1537">
        <v>0</v>
      </c>
      <c r="I60" s="1537">
        <v>0</v>
      </c>
    </row>
    <row r="61" spans="2:9" ht="15.75" x14ac:dyDescent="0.25">
      <c r="B61" s="1542" t="s">
        <v>1640</v>
      </c>
      <c r="C61" s="1543">
        <v>1380</v>
      </c>
      <c r="D61" s="1537">
        <v>1380</v>
      </c>
      <c r="E61" s="1537">
        <v>0</v>
      </c>
      <c r="F61" s="1537">
        <v>0</v>
      </c>
      <c r="G61" s="1537">
        <v>0</v>
      </c>
      <c r="H61" s="1537">
        <v>0</v>
      </c>
      <c r="I61" s="1537">
        <v>0</v>
      </c>
    </row>
    <row r="62" spans="2:9" ht="15.75" x14ac:dyDescent="0.25">
      <c r="B62" s="1542" t="s">
        <v>300</v>
      </c>
      <c r="C62" s="1543">
        <v>524232</v>
      </c>
      <c r="D62" s="1537">
        <v>0</v>
      </c>
      <c r="E62" s="1537">
        <v>212544</v>
      </c>
      <c r="F62" s="1537">
        <v>311688</v>
      </c>
      <c r="G62" s="1537">
        <v>0</v>
      </c>
      <c r="H62" s="1537">
        <v>0</v>
      </c>
      <c r="I62" s="1537">
        <v>0</v>
      </c>
    </row>
    <row r="63" spans="2:9" ht="15.75" x14ac:dyDescent="0.25">
      <c r="B63" s="1542" t="s">
        <v>318</v>
      </c>
      <c r="C63" s="1543">
        <v>22000</v>
      </c>
      <c r="D63" s="1537">
        <v>22000</v>
      </c>
      <c r="E63" s="1537">
        <v>0</v>
      </c>
      <c r="F63" s="1537">
        <v>0</v>
      </c>
      <c r="G63" s="1537">
        <v>0</v>
      </c>
      <c r="H63" s="1537">
        <v>0</v>
      </c>
      <c r="I63" s="1537">
        <v>0</v>
      </c>
    </row>
    <row r="64" spans="2:9" ht="15.75" x14ac:dyDescent="0.25">
      <c r="B64" s="1542" t="s">
        <v>327</v>
      </c>
      <c r="C64" s="1543">
        <v>169515</v>
      </c>
      <c r="D64" s="1537">
        <v>52554</v>
      </c>
      <c r="E64" s="1537">
        <v>38174</v>
      </c>
      <c r="F64" s="1537">
        <v>78787</v>
      </c>
      <c r="G64" s="1537">
        <v>0</v>
      </c>
      <c r="H64" s="1537">
        <v>0</v>
      </c>
      <c r="I64" s="1537">
        <v>0</v>
      </c>
    </row>
    <row r="65" spans="2:9" ht="15.75" x14ac:dyDescent="0.25">
      <c r="B65" s="1542" t="s">
        <v>1663</v>
      </c>
      <c r="C65" s="1543">
        <v>75600</v>
      </c>
      <c r="D65" s="1537">
        <v>0</v>
      </c>
      <c r="E65" s="1537">
        <v>0</v>
      </c>
      <c r="F65" s="1537">
        <v>75600</v>
      </c>
      <c r="G65" s="1537">
        <v>0</v>
      </c>
      <c r="H65" s="1537">
        <v>0</v>
      </c>
      <c r="I65" s="1537">
        <v>0</v>
      </c>
    </row>
    <row r="66" spans="2:9" ht="15.75" x14ac:dyDescent="0.25">
      <c r="B66" s="1542" t="s">
        <v>328</v>
      </c>
      <c r="C66" s="1543">
        <v>19186</v>
      </c>
      <c r="D66" s="1537">
        <v>19186</v>
      </c>
      <c r="E66" s="1537">
        <v>0</v>
      </c>
      <c r="F66" s="1537">
        <v>0</v>
      </c>
      <c r="G66" s="1537">
        <v>0</v>
      </c>
      <c r="H66" s="1537">
        <v>0</v>
      </c>
      <c r="I66" s="1537">
        <v>0</v>
      </c>
    </row>
    <row r="67" spans="2:9" ht="15.75" x14ac:dyDescent="0.25">
      <c r="B67" s="1542" t="s">
        <v>333</v>
      </c>
      <c r="C67" s="1543">
        <v>17553</v>
      </c>
      <c r="D67" s="1537">
        <v>17553</v>
      </c>
      <c r="E67" s="1537">
        <v>0</v>
      </c>
      <c r="F67" s="1537">
        <v>0</v>
      </c>
      <c r="G67" s="1537">
        <v>0</v>
      </c>
      <c r="H67" s="1537">
        <v>0</v>
      </c>
      <c r="I67" s="1537">
        <v>0</v>
      </c>
    </row>
    <row r="68" spans="2:9" ht="15.75" x14ac:dyDescent="0.25">
      <c r="B68" s="1542" t="s">
        <v>339</v>
      </c>
      <c r="C68" s="1543">
        <v>297000</v>
      </c>
      <c r="D68" s="1537">
        <v>118800</v>
      </c>
      <c r="E68" s="1537">
        <v>0</v>
      </c>
      <c r="F68" s="1537">
        <v>178200</v>
      </c>
      <c r="G68" s="1537">
        <v>0</v>
      </c>
      <c r="H68" s="1537">
        <v>0</v>
      </c>
      <c r="I68" s="1537">
        <v>0</v>
      </c>
    </row>
    <row r="69" spans="2:9" ht="15.75" x14ac:dyDescent="0.25">
      <c r="B69" s="1542" t="s">
        <v>1669</v>
      </c>
      <c r="C69" s="1543">
        <v>64800</v>
      </c>
      <c r="D69" s="1537">
        <v>64800</v>
      </c>
      <c r="E69" s="1537">
        <v>0</v>
      </c>
      <c r="F69" s="1537">
        <v>0</v>
      </c>
      <c r="G69" s="1537">
        <v>0</v>
      </c>
      <c r="H69" s="1537">
        <v>0</v>
      </c>
      <c r="I69" s="1537">
        <v>0</v>
      </c>
    </row>
    <row r="70" spans="2:9" ht="15.75" x14ac:dyDescent="0.25">
      <c r="B70" s="1542" t="s">
        <v>341</v>
      </c>
      <c r="C70" s="1543">
        <v>36405</v>
      </c>
      <c r="D70" s="1537">
        <v>36405</v>
      </c>
      <c r="E70" s="1537">
        <v>0</v>
      </c>
      <c r="F70" s="1537">
        <v>0</v>
      </c>
      <c r="G70" s="1537">
        <v>0</v>
      </c>
      <c r="H70" s="1537">
        <v>0</v>
      </c>
      <c r="I70" s="1537">
        <v>0</v>
      </c>
    </row>
    <row r="71" spans="2:9" ht="15.75" x14ac:dyDescent="0.25">
      <c r="B71" s="1542" t="s">
        <v>355</v>
      </c>
      <c r="C71" s="1543">
        <v>103481</v>
      </c>
      <c r="D71" s="1537">
        <v>28564</v>
      </c>
      <c r="E71" s="1537">
        <v>25764</v>
      </c>
      <c r="F71" s="1537">
        <v>49153</v>
      </c>
      <c r="G71" s="1537">
        <v>0</v>
      </c>
      <c r="H71" s="1537">
        <v>0</v>
      </c>
      <c r="I71" s="1537">
        <v>0</v>
      </c>
    </row>
    <row r="72" spans="2:9" ht="15.75" x14ac:dyDescent="0.25">
      <c r="B72" s="1542" t="s">
        <v>357</v>
      </c>
      <c r="C72" s="1543">
        <v>56990</v>
      </c>
      <c r="D72" s="1537">
        <v>0</v>
      </c>
      <c r="E72" s="1537">
        <v>0</v>
      </c>
      <c r="F72" s="1537">
        <v>0</v>
      </c>
      <c r="G72" s="1537">
        <v>0</v>
      </c>
      <c r="H72" s="1537">
        <v>0</v>
      </c>
      <c r="I72" s="1537">
        <v>56990</v>
      </c>
    </row>
    <row r="73" spans="2:9" ht="15.75" x14ac:dyDescent="0.25">
      <c r="B73" s="1542" t="s">
        <v>574</v>
      </c>
      <c r="C73" s="1543">
        <v>1062945</v>
      </c>
      <c r="D73" s="1537">
        <v>449838</v>
      </c>
      <c r="E73" s="1537">
        <v>613107</v>
      </c>
      <c r="F73" s="1537">
        <v>0</v>
      </c>
      <c r="G73" s="1537">
        <v>0</v>
      </c>
      <c r="H73" s="1537">
        <v>0</v>
      </c>
      <c r="I73" s="1537">
        <v>0</v>
      </c>
    </row>
    <row r="74" spans="2:9" ht="15.75" x14ac:dyDescent="0.25">
      <c r="B74" s="1542" t="s">
        <v>370</v>
      </c>
      <c r="C74" s="1543">
        <v>500</v>
      </c>
      <c r="D74" s="1537">
        <v>500</v>
      </c>
      <c r="E74" s="1537">
        <v>0</v>
      </c>
      <c r="F74" s="1537">
        <v>0</v>
      </c>
      <c r="G74" s="1537">
        <v>0</v>
      </c>
      <c r="H74" s="1537">
        <v>0</v>
      </c>
      <c r="I74" s="1537">
        <v>0</v>
      </c>
    </row>
    <row r="75" spans="2:9" ht="15.75" x14ac:dyDescent="0.25">
      <c r="B75" s="1542" t="s">
        <v>963</v>
      </c>
      <c r="C75" s="1543">
        <v>173255</v>
      </c>
      <c r="D75" s="1537">
        <v>96095</v>
      </c>
      <c r="E75" s="1537">
        <v>16053</v>
      </c>
      <c r="F75" s="1537">
        <v>61107</v>
      </c>
      <c r="G75" s="1537">
        <v>0</v>
      </c>
      <c r="H75" s="1537">
        <v>0</v>
      </c>
      <c r="I75" s="1537">
        <v>0</v>
      </c>
    </row>
    <row r="76" spans="2:9" ht="15.75" x14ac:dyDescent="0.25">
      <c r="B76" s="1542" t="s">
        <v>372</v>
      </c>
      <c r="C76" s="1543">
        <v>148320</v>
      </c>
      <c r="D76" s="1537">
        <v>69120</v>
      </c>
      <c r="E76" s="1537">
        <v>39600</v>
      </c>
      <c r="F76" s="1537">
        <v>39600</v>
      </c>
      <c r="G76" s="1537">
        <v>0</v>
      </c>
      <c r="H76" s="1537">
        <v>0</v>
      </c>
      <c r="I76" s="1537">
        <v>0</v>
      </c>
    </row>
    <row r="77" spans="2:9" ht="15.75" x14ac:dyDescent="0.25">
      <c r="B77" s="1542" t="s">
        <v>379</v>
      </c>
      <c r="C77" s="1543">
        <v>47600</v>
      </c>
      <c r="D77" s="1537">
        <v>12880</v>
      </c>
      <c r="E77" s="1537">
        <v>896</v>
      </c>
      <c r="F77" s="1537">
        <v>33824</v>
      </c>
      <c r="G77" s="1537">
        <v>0</v>
      </c>
      <c r="H77" s="1537">
        <v>0</v>
      </c>
      <c r="I77" s="1537">
        <v>0</v>
      </c>
    </row>
    <row r="78" spans="2:9" ht="15.75" x14ac:dyDescent="0.25">
      <c r="B78" s="1542" t="s">
        <v>390</v>
      </c>
      <c r="C78" s="1543">
        <v>3150</v>
      </c>
      <c r="D78" s="1537">
        <v>3150</v>
      </c>
      <c r="E78" s="1537">
        <v>0</v>
      </c>
      <c r="F78" s="1537">
        <v>0</v>
      </c>
      <c r="G78" s="1537">
        <v>0</v>
      </c>
      <c r="H78" s="1537">
        <v>0</v>
      </c>
      <c r="I78" s="1537">
        <v>0</v>
      </c>
    </row>
    <row r="79" spans="2:9" ht="15.75" x14ac:dyDescent="0.25">
      <c r="B79" s="1542" t="s">
        <v>393</v>
      </c>
      <c r="C79" s="1543">
        <v>32670</v>
      </c>
      <c r="D79" s="1537">
        <v>32670</v>
      </c>
      <c r="E79" s="1537">
        <v>0</v>
      </c>
      <c r="F79" s="1537">
        <v>0</v>
      </c>
      <c r="G79" s="1537">
        <v>0</v>
      </c>
      <c r="H79" s="1537">
        <v>0</v>
      </c>
      <c r="I79" s="1537">
        <v>0</v>
      </c>
    </row>
    <row r="80" spans="2:9" ht="15.75" x14ac:dyDescent="0.25">
      <c r="B80" s="1542" t="s">
        <v>394</v>
      </c>
      <c r="C80" s="1543">
        <v>175089.5</v>
      </c>
      <c r="D80" s="1537">
        <v>175089.5</v>
      </c>
      <c r="E80" s="1537">
        <v>0</v>
      </c>
      <c r="F80" s="1537">
        <v>0</v>
      </c>
      <c r="G80" s="1537">
        <v>0</v>
      </c>
      <c r="H80" s="1537">
        <v>0</v>
      </c>
      <c r="I80" s="1537">
        <v>0</v>
      </c>
    </row>
    <row r="81" spans="2:9" ht="15.75" x14ac:dyDescent="0.25">
      <c r="B81" s="1542" t="s">
        <v>406</v>
      </c>
      <c r="C81" s="1543">
        <v>7825.5</v>
      </c>
      <c r="D81" s="1537">
        <v>6720</v>
      </c>
      <c r="E81" s="1537">
        <v>0</v>
      </c>
      <c r="F81" s="1537">
        <v>1105.5</v>
      </c>
      <c r="G81" s="1537">
        <v>0</v>
      </c>
      <c r="H81" s="1537">
        <v>0</v>
      </c>
      <c r="I81" s="1537">
        <v>0</v>
      </c>
    </row>
    <row r="82" spans="2:9" ht="15.75" x14ac:dyDescent="0.25">
      <c r="B82" s="1542" t="s">
        <v>1701</v>
      </c>
      <c r="C82" s="1543">
        <v>6480</v>
      </c>
      <c r="D82" s="1537">
        <v>0</v>
      </c>
      <c r="E82" s="1537">
        <v>6480</v>
      </c>
      <c r="F82" s="1537">
        <v>0</v>
      </c>
      <c r="G82" s="1537">
        <v>0</v>
      </c>
      <c r="H82" s="1537">
        <v>0</v>
      </c>
      <c r="I82" s="1537">
        <v>0</v>
      </c>
    </row>
    <row r="83" spans="2:9" ht="15.75" x14ac:dyDescent="0.25">
      <c r="B83" s="1542" t="s">
        <v>428</v>
      </c>
      <c r="C83" s="1543">
        <v>10476</v>
      </c>
      <c r="D83" s="1537">
        <v>10476</v>
      </c>
      <c r="E83" s="1537">
        <v>0</v>
      </c>
      <c r="F83" s="1537">
        <v>0</v>
      </c>
      <c r="G83" s="1537">
        <v>0</v>
      </c>
      <c r="H83" s="1537">
        <v>0</v>
      </c>
      <c r="I83" s="1537">
        <v>0</v>
      </c>
    </row>
    <row r="84" spans="2:9" ht="15.75" x14ac:dyDescent="0.25">
      <c r="B84" s="1542" t="s">
        <v>1417</v>
      </c>
      <c r="C84" s="1543">
        <v>13305</v>
      </c>
      <c r="D84" s="1537">
        <v>13305</v>
      </c>
      <c r="E84" s="1537">
        <v>0</v>
      </c>
      <c r="F84" s="1537">
        <v>0</v>
      </c>
      <c r="G84" s="1537">
        <v>0</v>
      </c>
      <c r="H84" s="1537">
        <v>0</v>
      </c>
      <c r="I84" s="1537">
        <v>0</v>
      </c>
    </row>
    <row r="85" spans="2:9" ht="15.75" x14ac:dyDescent="0.25">
      <c r="B85" s="1542" t="s">
        <v>456</v>
      </c>
      <c r="C85" s="1543">
        <v>295839</v>
      </c>
      <c r="D85" s="1537">
        <v>150649</v>
      </c>
      <c r="E85" s="1537">
        <v>145190</v>
      </c>
      <c r="F85" s="1537">
        <v>0</v>
      </c>
      <c r="G85" s="1537">
        <v>0</v>
      </c>
      <c r="H85" s="1537">
        <v>0</v>
      </c>
      <c r="I85" s="1537">
        <v>0</v>
      </c>
    </row>
    <row r="86" spans="2:9" ht="15.75" x14ac:dyDescent="0.25">
      <c r="B86" s="1542" t="s">
        <v>1718</v>
      </c>
      <c r="C86" s="1543">
        <v>80000</v>
      </c>
      <c r="D86" s="1537">
        <v>80000</v>
      </c>
      <c r="E86" s="1537">
        <v>0</v>
      </c>
      <c r="F86" s="1537">
        <v>0</v>
      </c>
      <c r="G86" s="1537">
        <v>0</v>
      </c>
      <c r="H86" s="1537">
        <v>0</v>
      </c>
      <c r="I86" s="1537">
        <v>0</v>
      </c>
    </row>
    <row r="87" spans="2:9" ht="15.75" x14ac:dyDescent="0.25">
      <c r="B87" s="1542" t="s">
        <v>975</v>
      </c>
      <c r="C87" s="1543">
        <v>102438</v>
      </c>
      <c r="D87" s="1537">
        <v>30456</v>
      </c>
      <c r="E87" s="1537">
        <v>17334</v>
      </c>
      <c r="F87" s="1537">
        <v>54648</v>
      </c>
      <c r="G87" s="1537">
        <v>0</v>
      </c>
      <c r="H87" s="1537">
        <v>0</v>
      </c>
      <c r="I87" s="1537">
        <v>0</v>
      </c>
    </row>
    <row r="88" spans="2:9" ht="15.75" x14ac:dyDescent="0.25">
      <c r="B88" s="1542" t="s">
        <v>1729</v>
      </c>
      <c r="C88" s="1543">
        <v>18287</v>
      </c>
      <c r="D88" s="1537">
        <v>18287</v>
      </c>
      <c r="E88" s="1537">
        <v>0</v>
      </c>
      <c r="F88" s="1537">
        <v>0</v>
      </c>
      <c r="G88" s="1537">
        <v>0</v>
      </c>
      <c r="H88" s="1537">
        <v>0</v>
      </c>
      <c r="I88" s="1537">
        <v>0</v>
      </c>
    </row>
    <row r="89" spans="2:9" ht="15.75" x14ac:dyDescent="0.25">
      <c r="B89" s="1542" t="s">
        <v>467</v>
      </c>
      <c r="C89" s="1543">
        <v>22447</v>
      </c>
      <c r="D89" s="1537">
        <v>22447</v>
      </c>
      <c r="E89" s="1537">
        <v>0</v>
      </c>
      <c r="F89" s="1537">
        <v>0</v>
      </c>
      <c r="G89" s="1537">
        <v>0</v>
      </c>
      <c r="H89" s="1537">
        <v>0</v>
      </c>
      <c r="I89" s="1537">
        <v>0</v>
      </c>
    </row>
    <row r="90" spans="2:9" ht="15.75" x14ac:dyDescent="0.25">
      <c r="B90" s="1542" t="s">
        <v>482</v>
      </c>
      <c r="C90" s="1543">
        <v>631863</v>
      </c>
      <c r="D90" s="1537">
        <v>619164</v>
      </c>
      <c r="E90" s="1537">
        <v>12699</v>
      </c>
      <c r="F90" s="1537">
        <v>0</v>
      </c>
      <c r="G90" s="1537">
        <v>0</v>
      </c>
      <c r="H90" s="1537">
        <v>0</v>
      </c>
      <c r="I90" s="1537">
        <v>0</v>
      </c>
    </row>
    <row r="91" spans="2:9" ht="15.75" x14ac:dyDescent="0.25">
      <c r="B91" s="1542" t="s">
        <v>493</v>
      </c>
      <c r="C91" s="1543">
        <v>631763</v>
      </c>
      <c r="D91" s="1537">
        <v>619164</v>
      </c>
      <c r="E91" s="1537">
        <v>12599</v>
      </c>
      <c r="F91" s="1537">
        <v>0</v>
      </c>
      <c r="G91" s="1537">
        <v>0</v>
      </c>
      <c r="H91" s="1537">
        <v>0</v>
      </c>
      <c r="I91" s="1537">
        <v>0</v>
      </c>
    </row>
    <row r="92" spans="2:9" ht="15.75" x14ac:dyDescent="0.25">
      <c r="B92" s="1542" t="s">
        <v>495</v>
      </c>
      <c r="C92" s="1543">
        <v>631763</v>
      </c>
      <c r="D92" s="1537">
        <v>619164</v>
      </c>
      <c r="E92" s="1537">
        <v>12599</v>
      </c>
      <c r="F92" s="1537">
        <v>0</v>
      </c>
      <c r="G92" s="1537">
        <v>0</v>
      </c>
      <c r="H92" s="1537">
        <v>0</v>
      </c>
      <c r="I92" s="1537">
        <v>0</v>
      </c>
    </row>
    <row r="93" spans="2:9" ht="15.75" x14ac:dyDescent="0.25">
      <c r="B93" s="1542" t="s">
        <v>503</v>
      </c>
      <c r="C93" s="1543">
        <v>14520</v>
      </c>
      <c r="D93" s="1537">
        <v>14520</v>
      </c>
      <c r="E93" s="1537">
        <v>0</v>
      </c>
      <c r="F93" s="1537">
        <v>0</v>
      </c>
      <c r="G93" s="1537">
        <v>0</v>
      </c>
      <c r="H93" s="1537">
        <v>0</v>
      </c>
      <c r="I93" s="1537">
        <v>0</v>
      </c>
    </row>
    <row r="94" spans="2:9" ht="15.75" x14ac:dyDescent="0.25">
      <c r="B94" s="1542" t="s">
        <v>1744</v>
      </c>
      <c r="C94" s="1543">
        <v>3240</v>
      </c>
      <c r="D94" s="1537">
        <v>3240</v>
      </c>
      <c r="E94" s="1537">
        <v>0</v>
      </c>
      <c r="F94" s="1537">
        <v>0</v>
      </c>
      <c r="G94" s="1537">
        <v>0</v>
      </c>
      <c r="H94" s="1537">
        <v>0</v>
      </c>
      <c r="I94" s="1537">
        <v>0</v>
      </c>
    </row>
    <row r="95" spans="2:9" ht="15.75" x14ac:dyDescent="0.25">
      <c r="B95" s="1542" t="s">
        <v>1748</v>
      </c>
      <c r="C95" s="1543">
        <v>8555</v>
      </c>
      <c r="D95" s="1537">
        <v>8555</v>
      </c>
      <c r="E95" s="1537">
        <v>0</v>
      </c>
      <c r="F95" s="1537">
        <v>0</v>
      </c>
      <c r="G95" s="1537">
        <v>0</v>
      </c>
      <c r="H95" s="1537">
        <v>0</v>
      </c>
      <c r="I95" s="1537">
        <v>0</v>
      </c>
    </row>
    <row r="96" spans="2:9" ht="15.75" x14ac:dyDescent="0.25">
      <c r="B96" s="1542" t="s">
        <v>512</v>
      </c>
      <c r="C96" s="1543">
        <v>147578.66</v>
      </c>
      <c r="D96" s="1537">
        <v>63444.66</v>
      </c>
      <c r="E96" s="1537">
        <v>22184</v>
      </c>
      <c r="F96" s="1537">
        <v>61950</v>
      </c>
      <c r="G96" s="1537">
        <v>0</v>
      </c>
      <c r="H96" s="1537">
        <v>0</v>
      </c>
      <c r="I96" s="1537">
        <v>0</v>
      </c>
    </row>
    <row r="97" spans="2:10" ht="15.75" x14ac:dyDescent="0.25">
      <c r="B97" s="1542" t="s">
        <v>1754</v>
      </c>
      <c r="C97" s="1543">
        <v>19889</v>
      </c>
      <c r="D97" s="1537">
        <v>19889</v>
      </c>
      <c r="E97" s="1537">
        <v>0</v>
      </c>
      <c r="F97" s="1537">
        <v>0</v>
      </c>
      <c r="G97" s="1537">
        <v>0</v>
      </c>
      <c r="H97" s="1537">
        <v>0</v>
      </c>
      <c r="I97" s="1537">
        <v>0</v>
      </c>
    </row>
    <row r="98" spans="2:10" ht="15.75" x14ac:dyDescent="0.25">
      <c r="B98" s="1542" t="s">
        <v>529</v>
      </c>
      <c r="C98" s="1543">
        <v>14207.19</v>
      </c>
      <c r="D98" s="1537">
        <v>14207.19</v>
      </c>
      <c r="E98" s="1537">
        <v>0</v>
      </c>
      <c r="F98" s="1537">
        <v>0</v>
      </c>
      <c r="G98" s="1537">
        <v>0</v>
      </c>
      <c r="H98" s="1537">
        <v>0</v>
      </c>
      <c r="I98" s="1537">
        <v>0</v>
      </c>
    </row>
    <row r="99" spans="2:10" ht="15.75" x14ac:dyDescent="0.25">
      <c r="B99" s="1542" t="s">
        <v>1759</v>
      </c>
      <c r="C99" s="1543">
        <v>427500</v>
      </c>
      <c r="D99" s="1537">
        <v>427500</v>
      </c>
      <c r="E99" s="1537">
        <v>0</v>
      </c>
      <c r="F99" s="1537">
        <v>0</v>
      </c>
      <c r="G99" s="1537">
        <v>0</v>
      </c>
      <c r="H99" s="1537">
        <v>0</v>
      </c>
      <c r="I99" s="1537">
        <v>0</v>
      </c>
    </row>
    <row r="100" spans="2:10" ht="15.75" x14ac:dyDescent="0.25">
      <c r="B100" s="1542" t="s">
        <v>1760</v>
      </c>
      <c r="C100" s="1543">
        <v>38500</v>
      </c>
      <c r="D100" s="1537">
        <v>38500</v>
      </c>
      <c r="E100" s="1537">
        <v>0</v>
      </c>
      <c r="F100" s="1537">
        <v>0</v>
      </c>
      <c r="G100" s="1537">
        <v>0</v>
      </c>
      <c r="H100" s="1537">
        <v>0</v>
      </c>
      <c r="I100" s="1537">
        <v>0</v>
      </c>
    </row>
    <row r="101" spans="2:10" ht="15.75" x14ac:dyDescent="0.25">
      <c r="B101" s="1542" t="s">
        <v>531</v>
      </c>
      <c r="C101" s="1543">
        <v>543090</v>
      </c>
      <c r="D101" s="1537">
        <v>168750</v>
      </c>
      <c r="E101" s="1537">
        <v>0</v>
      </c>
      <c r="F101" s="1537">
        <v>374340</v>
      </c>
      <c r="G101" s="1537">
        <v>0</v>
      </c>
      <c r="H101" s="1537">
        <v>0</v>
      </c>
      <c r="I101" s="1537">
        <v>0</v>
      </c>
    </row>
    <row r="102" spans="2:10" ht="15.75" x14ac:dyDescent="0.25">
      <c r="B102" s="1542" t="s">
        <v>1604</v>
      </c>
      <c r="C102" s="1543">
        <v>442</v>
      </c>
      <c r="D102" s="1537">
        <v>0</v>
      </c>
      <c r="E102" s="1537">
        <v>0</v>
      </c>
      <c r="F102" s="1537">
        <v>0</v>
      </c>
      <c r="G102" s="1537">
        <v>0</v>
      </c>
      <c r="H102" s="1537">
        <v>0</v>
      </c>
      <c r="I102" s="1537">
        <v>442</v>
      </c>
    </row>
    <row r="103" spans="2:10" ht="15.75" x14ac:dyDescent="0.25">
      <c r="B103" s="1542" t="s">
        <v>375</v>
      </c>
      <c r="C103" s="1543">
        <v>17700</v>
      </c>
      <c r="D103" s="1537">
        <v>17700</v>
      </c>
      <c r="E103" s="1537">
        <v>0</v>
      </c>
      <c r="F103" s="1537">
        <v>0</v>
      </c>
      <c r="G103" s="1537">
        <v>0</v>
      </c>
      <c r="H103" s="1537">
        <v>0</v>
      </c>
      <c r="I103" s="1537">
        <v>0</v>
      </c>
    </row>
    <row r="104" spans="2:10" ht="15.75" x14ac:dyDescent="0.25">
      <c r="B104" s="1542" t="s">
        <v>430</v>
      </c>
      <c r="C104" s="1543">
        <v>31510</v>
      </c>
      <c r="D104" s="1537">
        <v>0</v>
      </c>
      <c r="E104" s="1537">
        <v>0</v>
      </c>
      <c r="F104" s="1537">
        <v>0</v>
      </c>
      <c r="G104" s="1537">
        <v>0</v>
      </c>
      <c r="H104" s="1537">
        <v>31510</v>
      </c>
      <c r="I104" s="1537">
        <v>0</v>
      </c>
    </row>
    <row r="105" spans="2:10" ht="15.75" x14ac:dyDescent="0.25">
      <c r="B105" s="1536"/>
      <c r="C105" s="1544">
        <f>SUM(C5:C104)</f>
        <v>12773286.189999999</v>
      </c>
      <c r="D105" s="1538">
        <f>SUM(D5:D104)</f>
        <v>6654552.4900000002</v>
      </c>
      <c r="E105" s="1538">
        <f t="shared" ref="E105:I105" si="0">SUM(E5:E104)</f>
        <v>3180302.3</v>
      </c>
      <c r="F105" s="1538">
        <f t="shared" si="0"/>
        <v>2822479.7199999997</v>
      </c>
      <c r="G105" s="1538">
        <f t="shared" si="0"/>
        <v>0</v>
      </c>
      <c r="H105" s="1538">
        <f t="shared" si="0"/>
        <v>58510</v>
      </c>
      <c r="I105" s="1538">
        <f t="shared" si="0"/>
        <v>57441.599999999999</v>
      </c>
      <c r="J105" s="1100">
        <f>SUM(D105:I105)</f>
        <v>12773286.109999998</v>
      </c>
    </row>
    <row r="108" spans="2:10" ht="15.75" x14ac:dyDescent="0.25">
      <c r="B108" s="1693" t="s">
        <v>1855</v>
      </c>
      <c r="C108" s="1693"/>
      <c r="D108" s="1693"/>
      <c r="E108" s="1693"/>
      <c r="F108" s="1693"/>
      <c r="G108" s="1693"/>
      <c r="H108" s="1693"/>
      <c r="I108" s="1693"/>
    </row>
    <row r="109" spans="2:10" ht="15.75" x14ac:dyDescent="0.25">
      <c r="B109" s="1534" t="s">
        <v>1847</v>
      </c>
      <c r="C109" s="1541" t="s">
        <v>200</v>
      </c>
      <c r="D109" s="1534" t="s">
        <v>1848</v>
      </c>
      <c r="E109" s="1534" t="s">
        <v>1849</v>
      </c>
      <c r="F109" s="1534" t="s">
        <v>1850</v>
      </c>
      <c r="G109" s="1534" t="s">
        <v>1851</v>
      </c>
      <c r="H109" s="1534" t="s">
        <v>1852</v>
      </c>
      <c r="I109" s="1534" t="s">
        <v>1853</v>
      </c>
    </row>
    <row r="110" spans="2:10" ht="15.75" x14ac:dyDescent="0.25">
      <c r="B110" s="1545" t="s">
        <v>1631</v>
      </c>
      <c r="C110" s="1537">
        <v>1620</v>
      </c>
      <c r="D110" s="1537">
        <v>0</v>
      </c>
      <c r="E110" s="1537">
        <v>0</v>
      </c>
      <c r="F110" s="1537">
        <v>0</v>
      </c>
      <c r="G110" s="1537">
        <v>0</v>
      </c>
      <c r="H110" s="1537">
        <v>1620</v>
      </c>
      <c r="I110" s="1537">
        <v>0</v>
      </c>
    </row>
    <row r="111" spans="2:10" ht="15.75" x14ac:dyDescent="0.25">
      <c r="B111" s="1545" t="s">
        <v>1709</v>
      </c>
      <c r="C111" s="1537">
        <v>102000</v>
      </c>
      <c r="D111" s="1537">
        <v>0</v>
      </c>
      <c r="E111" s="1537">
        <v>0</v>
      </c>
      <c r="F111" s="1537">
        <v>0</v>
      </c>
      <c r="G111" s="1537">
        <v>0</v>
      </c>
      <c r="H111" s="1537">
        <v>0</v>
      </c>
      <c r="I111" s="1537">
        <v>102000</v>
      </c>
    </row>
    <row r="112" spans="2:10" ht="15.75" x14ac:dyDescent="0.25">
      <c r="B112" s="1545" t="s">
        <v>1733</v>
      </c>
      <c r="C112" s="1537">
        <v>3</v>
      </c>
      <c r="D112" s="1537">
        <v>3</v>
      </c>
      <c r="E112" s="1537">
        <v>0</v>
      </c>
      <c r="F112" s="1537">
        <v>0</v>
      </c>
      <c r="G112" s="1537">
        <v>0</v>
      </c>
      <c r="H112" s="1537">
        <v>0</v>
      </c>
      <c r="I112" s="1537">
        <v>0</v>
      </c>
    </row>
    <row r="113" spans="2:10" ht="15.75" x14ac:dyDescent="0.25">
      <c r="B113" s="1545" t="s">
        <v>908</v>
      </c>
      <c r="C113" s="1537">
        <v>1794</v>
      </c>
      <c r="D113" s="1537">
        <v>0</v>
      </c>
      <c r="E113" s="1537">
        <v>0</v>
      </c>
      <c r="F113" s="1537">
        <v>0</v>
      </c>
      <c r="G113" s="1537">
        <v>0</v>
      </c>
      <c r="H113" s="1537">
        <v>0</v>
      </c>
      <c r="I113" s="1537">
        <v>1794</v>
      </c>
    </row>
    <row r="114" spans="2:10" ht="15.75" x14ac:dyDescent="0.25">
      <c r="B114" s="1545" t="s">
        <v>1600</v>
      </c>
      <c r="C114" s="1537">
        <v>2096</v>
      </c>
      <c r="D114" s="1537">
        <v>2096</v>
      </c>
      <c r="E114" s="1537">
        <v>0</v>
      </c>
      <c r="F114" s="1537">
        <v>0</v>
      </c>
      <c r="G114" s="1537">
        <v>0</v>
      </c>
      <c r="H114" s="1537">
        <v>0</v>
      </c>
      <c r="I114" s="1537">
        <v>0</v>
      </c>
    </row>
    <row r="115" spans="2:10" ht="15.75" x14ac:dyDescent="0.25">
      <c r="B115" s="1545" t="s">
        <v>1741</v>
      </c>
      <c r="C115" s="1537">
        <v>186000</v>
      </c>
      <c r="D115" s="1537">
        <v>0</v>
      </c>
      <c r="E115" s="1537">
        <v>4950</v>
      </c>
      <c r="F115" s="1537">
        <v>0</v>
      </c>
      <c r="G115" s="1537">
        <v>5940</v>
      </c>
      <c r="H115" s="1537">
        <v>63360</v>
      </c>
      <c r="I115" s="1537">
        <v>111750</v>
      </c>
    </row>
    <row r="116" spans="2:10" ht="15.75" x14ac:dyDescent="0.25">
      <c r="B116" s="1545" t="s">
        <v>1700</v>
      </c>
      <c r="C116" s="1537">
        <v>1610</v>
      </c>
      <c r="D116" s="1537">
        <v>0</v>
      </c>
      <c r="E116" s="1537">
        <v>0</v>
      </c>
      <c r="F116" s="1537">
        <v>0</v>
      </c>
      <c r="G116" s="1537">
        <v>0</v>
      </c>
      <c r="H116" s="1537">
        <v>1610</v>
      </c>
      <c r="I116" s="1537">
        <v>0</v>
      </c>
    </row>
    <row r="117" spans="2:10" ht="15.75" x14ac:dyDescent="0.25">
      <c r="B117" s="1545"/>
      <c r="C117" s="1545"/>
      <c r="D117" s="1545"/>
      <c r="E117" s="1545"/>
      <c r="F117" s="1545"/>
      <c r="G117" s="1545"/>
      <c r="H117" s="1545"/>
      <c r="I117" s="1545"/>
    </row>
    <row r="118" spans="2:10" ht="15.75" x14ac:dyDescent="0.25">
      <c r="B118" s="1534" t="s">
        <v>183</v>
      </c>
      <c r="C118" s="1538">
        <f>SUM(C110:C117)</f>
        <v>295123</v>
      </c>
      <c r="D118" s="1538">
        <f t="shared" ref="D118:H118" si="1">SUM(D110:D117)</f>
        <v>2099</v>
      </c>
      <c r="E118" s="1538">
        <f t="shared" si="1"/>
        <v>4950</v>
      </c>
      <c r="F118" s="1538">
        <f t="shared" si="1"/>
        <v>0</v>
      </c>
      <c r="G118" s="1538">
        <f t="shared" si="1"/>
        <v>5940</v>
      </c>
      <c r="H118" s="1538">
        <f t="shared" si="1"/>
        <v>66590</v>
      </c>
      <c r="I118" s="1538">
        <f>SUM(I110:I117)</f>
        <v>215544</v>
      </c>
      <c r="J118" s="1100">
        <f>SUM(D118:I118)</f>
        <v>295123</v>
      </c>
    </row>
    <row r="121" spans="2:10" ht="15.75" x14ac:dyDescent="0.25">
      <c r="B121" s="1546" t="s">
        <v>1856</v>
      </c>
      <c r="C121" s="1547">
        <f t="shared" ref="C121:I121" si="2">C105-C118</f>
        <v>12478163.189999999</v>
      </c>
      <c r="D121" s="1547">
        <f t="shared" si="2"/>
        <v>6652453.4900000002</v>
      </c>
      <c r="E121" s="1547">
        <f t="shared" si="2"/>
        <v>3175352.3</v>
      </c>
      <c r="F121" s="1547">
        <f t="shared" si="2"/>
        <v>2822479.7199999997</v>
      </c>
      <c r="G121" s="1547">
        <f t="shared" si="2"/>
        <v>-5940</v>
      </c>
      <c r="H121" s="1547">
        <f t="shared" si="2"/>
        <v>-8080</v>
      </c>
      <c r="I121" s="1547">
        <f t="shared" si="2"/>
        <v>-158102.39999999999</v>
      </c>
    </row>
    <row r="122" spans="2:10" x14ac:dyDescent="0.25">
      <c r="C122" s="278"/>
    </row>
    <row r="124" spans="2:10" ht="15.75" x14ac:dyDescent="0.25">
      <c r="B124" s="1694" t="s">
        <v>1406</v>
      </c>
      <c r="C124" s="1694"/>
    </row>
    <row r="125" spans="2:10" ht="15.75" x14ac:dyDescent="0.25">
      <c r="B125" s="1542" t="s">
        <v>1630</v>
      </c>
      <c r="C125" s="1543">
        <v>27000</v>
      </c>
      <c r="D125" s="580" t="s">
        <v>1857</v>
      </c>
    </row>
    <row r="126" spans="2:10" ht="15.75" x14ac:dyDescent="0.25">
      <c r="B126" s="1542" t="s">
        <v>430</v>
      </c>
      <c r="C126" s="1543">
        <v>31510</v>
      </c>
      <c r="D126" s="580" t="s">
        <v>1857</v>
      </c>
    </row>
    <row r="127" spans="2:10" ht="15.75" x14ac:dyDescent="0.25">
      <c r="B127" s="1694" t="s">
        <v>1858</v>
      </c>
      <c r="C127" s="1694"/>
      <c r="D127" s="580"/>
    </row>
    <row r="128" spans="2:10" ht="15.75" x14ac:dyDescent="0.25">
      <c r="B128" s="1542" t="s">
        <v>1677</v>
      </c>
      <c r="C128" s="1543">
        <v>27268</v>
      </c>
      <c r="D128" s="580" t="s">
        <v>1857</v>
      </c>
    </row>
    <row r="129" spans="2:4" ht="15.75" x14ac:dyDescent="0.25">
      <c r="B129" s="1542" t="s">
        <v>357</v>
      </c>
      <c r="C129" s="1543">
        <v>56990</v>
      </c>
      <c r="D129" s="580" t="s">
        <v>1857</v>
      </c>
    </row>
    <row r="130" spans="2:4" ht="15.75" x14ac:dyDescent="0.25">
      <c r="B130" s="1542" t="s">
        <v>1604</v>
      </c>
      <c r="C130" s="1543">
        <v>442</v>
      </c>
    </row>
  </sheetData>
  <autoFilter ref="H4:I105" xr:uid="{84FDEBED-0C87-4FCA-A4FA-E843585A74DF}"/>
  <mergeCells count="4">
    <mergeCell ref="B3:I3"/>
    <mergeCell ref="B108:I108"/>
    <mergeCell ref="B124:C124"/>
    <mergeCell ref="B127:C12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701E0-3568-475D-8BD6-5C6D627A92C4}">
  <dimension ref="B2:J29"/>
  <sheetViews>
    <sheetView topLeftCell="A3" workbookViewId="0">
      <selection activeCell="I3" sqref="I3"/>
    </sheetView>
  </sheetViews>
  <sheetFormatPr defaultRowHeight="15" x14ac:dyDescent="0.25"/>
  <cols>
    <col min="2" max="2" width="50.7109375" bestFit="1" customWidth="1"/>
    <col min="3" max="3" width="16.42578125" bestFit="1" customWidth="1"/>
    <col min="4" max="4" width="16.28515625" bestFit="1" customWidth="1"/>
    <col min="5" max="5" width="14.7109375" bestFit="1" customWidth="1"/>
    <col min="6" max="7" width="16.28515625" bestFit="1" customWidth="1"/>
    <col min="8" max="8" width="14.7109375" bestFit="1" customWidth="1"/>
    <col min="9" max="9" width="13.5703125" bestFit="1" customWidth="1"/>
    <col min="10" max="10" width="14.85546875" bestFit="1" customWidth="1"/>
  </cols>
  <sheetData>
    <row r="2" spans="2:9" ht="18.75" x14ac:dyDescent="0.3">
      <c r="B2" s="1695" t="s">
        <v>1846</v>
      </c>
      <c r="C2" s="1696"/>
      <c r="D2" s="1696"/>
      <c r="E2" s="1696"/>
      <c r="F2" s="1696"/>
      <c r="G2" s="1696"/>
      <c r="H2" s="1696"/>
      <c r="I2" s="1697"/>
    </row>
    <row r="3" spans="2:9" ht="15.75" x14ac:dyDescent="0.25">
      <c r="B3" s="1534" t="s">
        <v>1847</v>
      </c>
      <c r="C3" s="1534" t="s">
        <v>102</v>
      </c>
      <c r="D3" s="1535" t="s">
        <v>1848</v>
      </c>
      <c r="E3" s="1535" t="s">
        <v>1849</v>
      </c>
      <c r="F3" s="1535" t="s">
        <v>1850</v>
      </c>
      <c r="G3" s="1535" t="s">
        <v>1851</v>
      </c>
      <c r="H3" s="1535" t="s">
        <v>1852</v>
      </c>
      <c r="I3" s="1535" t="s">
        <v>1853</v>
      </c>
    </row>
    <row r="4" spans="2:9" ht="15.75" x14ac:dyDescent="0.25">
      <c r="B4" s="1536" t="s">
        <v>228</v>
      </c>
      <c r="C4" s="1537">
        <v>4633921.21</v>
      </c>
      <c r="D4" s="1537">
        <v>0</v>
      </c>
      <c r="E4" s="1537">
        <v>357280</v>
      </c>
      <c r="F4" s="1537">
        <v>0</v>
      </c>
      <c r="G4" s="1537">
        <v>0</v>
      </c>
      <c r="H4" s="1537">
        <v>4276641.21</v>
      </c>
      <c r="I4" s="1537">
        <v>0</v>
      </c>
    </row>
    <row r="5" spans="2:9" ht="15.75" x14ac:dyDescent="0.25">
      <c r="B5" s="1536" t="s">
        <v>229</v>
      </c>
      <c r="C5" s="1537">
        <v>4868484.2</v>
      </c>
      <c r="D5" s="1537">
        <v>575705.59999999998</v>
      </c>
      <c r="E5" s="1537">
        <v>0</v>
      </c>
      <c r="F5" s="1537">
        <v>2255401.7999999998</v>
      </c>
      <c r="G5" s="1537">
        <v>2037376.8000000003</v>
      </c>
      <c r="H5" s="1537">
        <v>0</v>
      </c>
      <c r="I5" s="1537">
        <v>0</v>
      </c>
    </row>
    <row r="6" spans="2:9" ht="15.75" x14ac:dyDescent="0.25">
      <c r="B6" s="1536" t="s">
        <v>1611</v>
      </c>
      <c r="C6" s="1537">
        <v>7134508.4000000004</v>
      </c>
      <c r="D6" s="1537">
        <v>2778004.2</v>
      </c>
      <c r="E6" s="1537">
        <v>2142266.4</v>
      </c>
      <c r="F6" s="1537">
        <v>0</v>
      </c>
      <c r="G6" s="1537">
        <v>2214237.8000000007</v>
      </c>
      <c r="H6" s="1537">
        <v>0</v>
      </c>
      <c r="I6" s="1537">
        <v>0</v>
      </c>
    </row>
    <row r="7" spans="2:9" ht="15.75" x14ac:dyDescent="0.25">
      <c r="B7" s="1536" t="s">
        <v>924</v>
      </c>
      <c r="C7" s="1537">
        <v>24624</v>
      </c>
      <c r="D7" s="1537">
        <v>0</v>
      </c>
      <c r="E7" s="1537">
        <v>0</v>
      </c>
      <c r="F7" s="1537">
        <v>0</v>
      </c>
      <c r="G7" s="1537">
        <v>0</v>
      </c>
      <c r="H7" s="1537">
        <v>0</v>
      </c>
      <c r="I7" s="1537">
        <v>24624</v>
      </c>
    </row>
    <row r="8" spans="2:9" ht="15.75" x14ac:dyDescent="0.25">
      <c r="B8" s="1536" t="s">
        <v>275</v>
      </c>
      <c r="C8" s="1537">
        <v>37720</v>
      </c>
      <c r="D8" s="1537">
        <v>37720</v>
      </c>
      <c r="E8" s="1537">
        <v>0</v>
      </c>
      <c r="F8" s="1537">
        <v>0</v>
      </c>
      <c r="G8" s="1537">
        <v>0</v>
      </c>
      <c r="H8" s="1537">
        <v>0</v>
      </c>
      <c r="I8" s="1537">
        <v>0</v>
      </c>
    </row>
    <row r="9" spans="2:9" ht="15.75" x14ac:dyDescent="0.25">
      <c r="B9" s="1536" t="s">
        <v>1633</v>
      </c>
      <c r="C9" s="1537">
        <v>946867.12</v>
      </c>
      <c r="D9" s="1537">
        <v>6082.76</v>
      </c>
      <c r="E9" s="1537">
        <v>0</v>
      </c>
      <c r="F9" s="1537">
        <v>33794.660000000003</v>
      </c>
      <c r="G9" s="1537">
        <v>-8740.2800000000007</v>
      </c>
      <c r="H9" s="1537">
        <v>915729.98</v>
      </c>
      <c r="I9" s="1537">
        <v>0</v>
      </c>
    </row>
    <row r="10" spans="2:9" ht="15.75" x14ac:dyDescent="0.25">
      <c r="B10" s="1536" t="s">
        <v>290</v>
      </c>
      <c r="C10" s="1537">
        <v>3192694.59</v>
      </c>
      <c r="D10" s="1537">
        <v>2759291</v>
      </c>
      <c r="E10" s="1537">
        <v>433403.58999999985</v>
      </c>
      <c r="F10" s="1537">
        <v>0</v>
      </c>
      <c r="G10" s="1537">
        <v>0</v>
      </c>
      <c r="H10" s="1537">
        <v>0</v>
      </c>
      <c r="I10" s="1537">
        <v>0</v>
      </c>
    </row>
    <row r="11" spans="2:9" ht="15.75" x14ac:dyDescent="0.25">
      <c r="B11" s="1536" t="s">
        <v>566</v>
      </c>
      <c r="C11" s="1537">
        <v>2766790</v>
      </c>
      <c r="D11" s="1537">
        <v>2523790</v>
      </c>
      <c r="E11" s="1537">
        <v>243000</v>
      </c>
      <c r="F11" s="1537">
        <v>0</v>
      </c>
      <c r="G11" s="1537">
        <v>0</v>
      </c>
      <c r="H11" s="1537">
        <v>0</v>
      </c>
      <c r="I11" s="1537">
        <v>0</v>
      </c>
    </row>
    <row r="12" spans="2:9" ht="15.75" x14ac:dyDescent="0.25">
      <c r="B12" s="1536" t="s">
        <v>321</v>
      </c>
      <c r="C12" s="1537">
        <v>1106639</v>
      </c>
      <c r="D12" s="1537">
        <v>402840</v>
      </c>
      <c r="E12" s="1537">
        <v>0</v>
      </c>
      <c r="F12" s="1537">
        <v>0</v>
      </c>
      <c r="G12" s="1537">
        <v>106920</v>
      </c>
      <c r="H12" s="1537">
        <v>596879</v>
      </c>
      <c r="I12" s="1537">
        <v>0</v>
      </c>
    </row>
    <row r="13" spans="2:9" ht="15.75" x14ac:dyDescent="0.25">
      <c r="B13" s="1536" t="s">
        <v>1660</v>
      </c>
      <c r="C13" s="1537">
        <v>1673488.8</v>
      </c>
      <c r="D13" s="1537">
        <v>1673488.8</v>
      </c>
      <c r="E13" s="1537">
        <v>0</v>
      </c>
      <c r="F13" s="1537">
        <v>0</v>
      </c>
      <c r="G13" s="1537">
        <v>0</v>
      </c>
      <c r="H13" s="1537">
        <v>0</v>
      </c>
      <c r="I13" s="1537">
        <v>0</v>
      </c>
    </row>
    <row r="14" spans="2:9" ht="15.75" x14ac:dyDescent="0.25">
      <c r="B14" s="1536" t="s">
        <v>950</v>
      </c>
      <c r="C14" s="1537">
        <v>14693953.92</v>
      </c>
      <c r="D14" s="1537">
        <v>845124.8</v>
      </c>
      <c r="E14" s="1537">
        <v>3356391.2</v>
      </c>
      <c r="F14" s="1537">
        <v>4624780.32</v>
      </c>
      <c r="G14" s="1537">
        <v>5810577.7000000002</v>
      </c>
      <c r="H14" s="1537">
        <v>57079.900000000373</v>
      </c>
      <c r="I14" s="1537">
        <v>0</v>
      </c>
    </row>
    <row r="15" spans="2:9" ht="15.75" x14ac:dyDescent="0.25">
      <c r="B15" s="1536" t="s">
        <v>962</v>
      </c>
      <c r="C15" s="1537">
        <v>194400</v>
      </c>
      <c r="D15" s="1537">
        <v>194400</v>
      </c>
      <c r="E15" s="1537">
        <v>0</v>
      </c>
      <c r="F15" s="1537">
        <v>0</v>
      </c>
      <c r="G15" s="1537">
        <v>0</v>
      </c>
      <c r="H15" s="1537">
        <v>0</v>
      </c>
      <c r="I15" s="1537">
        <v>0</v>
      </c>
    </row>
    <row r="16" spans="2:9" ht="15.75" x14ac:dyDescent="0.25">
      <c r="B16" s="1536" t="s">
        <v>371</v>
      </c>
      <c r="C16" s="1537">
        <v>4762817.4000000004</v>
      </c>
      <c r="D16" s="1537">
        <v>3222933</v>
      </c>
      <c r="E16" s="1537">
        <v>0</v>
      </c>
      <c r="F16" s="1537">
        <v>0</v>
      </c>
      <c r="G16" s="1537">
        <v>1539884.4</v>
      </c>
      <c r="H16" s="1537">
        <v>0</v>
      </c>
      <c r="I16" s="1537">
        <v>0</v>
      </c>
    </row>
    <row r="17" spans="2:10" ht="15.75" x14ac:dyDescent="0.25">
      <c r="B17" s="1536" t="s">
        <v>965</v>
      </c>
      <c r="C17" s="1537">
        <v>191700</v>
      </c>
      <c r="D17" s="1537">
        <v>0</v>
      </c>
      <c r="E17" s="1537">
        <v>0</v>
      </c>
      <c r="F17" s="1537">
        <v>0</v>
      </c>
      <c r="G17" s="1537">
        <v>0</v>
      </c>
      <c r="H17" s="1537">
        <v>0</v>
      </c>
      <c r="I17" s="1537">
        <v>191700</v>
      </c>
    </row>
    <row r="18" spans="2:10" ht="15.75" x14ac:dyDescent="0.25">
      <c r="B18" s="1536" t="s">
        <v>380</v>
      </c>
      <c r="C18" s="1537">
        <v>5657044.3600000003</v>
      </c>
      <c r="D18" s="1537">
        <v>532235.52000000002</v>
      </c>
      <c r="E18" s="1537">
        <v>639207.19999999995</v>
      </c>
      <c r="F18" s="1537">
        <v>4485601.6400000006</v>
      </c>
      <c r="G18" s="1537">
        <v>0</v>
      </c>
      <c r="H18" s="1537">
        <v>0</v>
      </c>
      <c r="I18" s="1537">
        <v>0</v>
      </c>
    </row>
    <row r="19" spans="2:10" ht="15.75" x14ac:dyDescent="0.25">
      <c r="B19" s="1536" t="s">
        <v>578</v>
      </c>
      <c r="C19" s="1537">
        <v>158409.20000000001</v>
      </c>
      <c r="D19" s="1537">
        <v>52803.199999999997</v>
      </c>
      <c r="E19" s="1537">
        <v>105606</v>
      </c>
      <c r="F19" s="1537">
        <v>0</v>
      </c>
      <c r="G19" s="1537">
        <v>0</v>
      </c>
      <c r="H19" s="1537">
        <v>0</v>
      </c>
      <c r="I19" s="1537">
        <v>0</v>
      </c>
    </row>
    <row r="20" spans="2:10" ht="15.75" x14ac:dyDescent="0.25">
      <c r="B20" s="1536" t="s">
        <v>382</v>
      </c>
      <c r="C20" s="1537">
        <v>410</v>
      </c>
      <c r="D20" s="1537">
        <v>0</v>
      </c>
      <c r="E20" s="1537">
        <v>0</v>
      </c>
      <c r="F20" s="1537">
        <v>0</v>
      </c>
      <c r="G20" s="1537">
        <v>0</v>
      </c>
      <c r="H20" s="1537">
        <v>0</v>
      </c>
      <c r="I20" s="1537">
        <v>410</v>
      </c>
    </row>
    <row r="21" spans="2:10" ht="15.75" x14ac:dyDescent="0.25">
      <c r="B21" s="1536" t="s">
        <v>1695</v>
      </c>
      <c r="C21" s="1537">
        <v>1756868.84</v>
      </c>
      <c r="D21" s="1537">
        <v>1756868.84</v>
      </c>
      <c r="E21" s="1537">
        <v>0</v>
      </c>
      <c r="F21" s="1537">
        <v>0</v>
      </c>
      <c r="G21" s="1537">
        <v>0</v>
      </c>
      <c r="H21" s="1537">
        <v>0</v>
      </c>
      <c r="I21" s="1537">
        <v>0</v>
      </c>
    </row>
    <row r="22" spans="2:10" ht="15.75" x14ac:dyDescent="0.25">
      <c r="B22" s="1536" t="s">
        <v>423</v>
      </c>
      <c r="C22" s="1537">
        <v>3272193.6</v>
      </c>
      <c r="D22" s="1537">
        <v>3272193.6</v>
      </c>
      <c r="E22" s="1537">
        <v>0</v>
      </c>
      <c r="F22" s="1537">
        <v>0</v>
      </c>
      <c r="G22" s="1537">
        <v>0</v>
      </c>
      <c r="H22" s="1537">
        <v>0</v>
      </c>
      <c r="I22" s="1537">
        <v>0</v>
      </c>
    </row>
    <row r="23" spans="2:10" ht="15.75" x14ac:dyDescent="0.25">
      <c r="B23" s="1536" t="s">
        <v>425</v>
      </c>
      <c r="C23" s="1537">
        <v>1299716.3999999999</v>
      </c>
      <c r="D23" s="1537">
        <v>1299716.3999999999</v>
      </c>
      <c r="E23" s="1537">
        <v>0</v>
      </c>
      <c r="F23" s="1537">
        <v>0</v>
      </c>
      <c r="G23" s="1537">
        <v>0</v>
      </c>
      <c r="H23" s="1537">
        <v>0</v>
      </c>
      <c r="I23" s="1537">
        <v>0</v>
      </c>
    </row>
    <row r="24" spans="2:10" ht="15.75" x14ac:dyDescent="0.25">
      <c r="B24" s="1536" t="s">
        <v>1722</v>
      </c>
      <c r="C24" s="1537">
        <v>2738481.02</v>
      </c>
      <c r="D24" s="1537">
        <v>1639139.82</v>
      </c>
      <c r="E24" s="1537">
        <v>705560.8</v>
      </c>
      <c r="F24" s="1537">
        <v>0</v>
      </c>
      <c r="G24" s="1537">
        <v>393780.39999999991</v>
      </c>
      <c r="H24" s="1537">
        <v>0</v>
      </c>
      <c r="I24" s="1537">
        <v>0</v>
      </c>
    </row>
    <row r="25" spans="2:10" ht="15.75" x14ac:dyDescent="0.25">
      <c r="B25" s="1536" t="s">
        <v>1725</v>
      </c>
      <c r="C25" s="1537">
        <v>2924318</v>
      </c>
      <c r="D25" s="1537">
        <v>2154099</v>
      </c>
      <c r="E25" s="1537">
        <v>770219</v>
      </c>
      <c r="F25" s="1537">
        <v>0</v>
      </c>
      <c r="G25" s="1537">
        <v>0</v>
      </c>
      <c r="H25" s="1537">
        <v>0</v>
      </c>
      <c r="I25" s="1537">
        <v>0</v>
      </c>
    </row>
    <row r="26" spans="2:10" ht="15.75" x14ac:dyDescent="0.25">
      <c r="B26" s="1536" t="s">
        <v>595</v>
      </c>
      <c r="C26" s="1537">
        <v>2971728</v>
      </c>
      <c r="D26" s="1537">
        <v>2939868</v>
      </c>
      <c r="E26" s="1537">
        <v>31860</v>
      </c>
      <c r="F26" s="1537">
        <v>0</v>
      </c>
      <c r="G26" s="1537">
        <v>0</v>
      </c>
      <c r="H26" s="1537">
        <v>0</v>
      </c>
      <c r="I26" s="1537">
        <v>0</v>
      </c>
    </row>
    <row r="27" spans="2:10" ht="15.75" x14ac:dyDescent="0.25">
      <c r="B27" s="1536" t="s">
        <v>1757</v>
      </c>
      <c r="C27" s="1537">
        <v>460505</v>
      </c>
      <c r="D27" s="1537">
        <v>460505</v>
      </c>
      <c r="E27" s="1537">
        <v>0</v>
      </c>
      <c r="F27" s="1537">
        <v>0</v>
      </c>
      <c r="G27" s="1537">
        <v>0</v>
      </c>
      <c r="H27" s="1537">
        <v>0</v>
      </c>
      <c r="I27" s="1537">
        <v>0</v>
      </c>
    </row>
    <row r="28" spans="2:10" ht="15.75" x14ac:dyDescent="0.25">
      <c r="B28" s="1536" t="s">
        <v>981</v>
      </c>
      <c r="C28" s="1537">
        <v>5752614.6399999997</v>
      </c>
      <c r="D28" s="1537">
        <v>5436808.6399999997</v>
      </c>
      <c r="E28" s="1537">
        <v>0</v>
      </c>
      <c r="F28" s="1537">
        <v>110766</v>
      </c>
      <c r="G28" s="1537">
        <v>70510</v>
      </c>
      <c r="H28" s="1537">
        <v>134530</v>
      </c>
      <c r="I28" s="1537">
        <v>0</v>
      </c>
    </row>
    <row r="29" spans="2:10" ht="15.75" x14ac:dyDescent="0.25">
      <c r="B29" s="1534" t="s">
        <v>183</v>
      </c>
      <c r="C29" s="1538">
        <f>SUM(C4:C28)</f>
        <v>73220897.700000003</v>
      </c>
      <c r="D29" s="1538">
        <f>SUM(D4:D28)</f>
        <v>34563618.18</v>
      </c>
      <c r="E29" s="1538">
        <f t="shared" ref="E29:I29" si="0">SUM(E4:E28)</f>
        <v>8784794.1899999995</v>
      </c>
      <c r="F29" s="1538">
        <f t="shared" si="0"/>
        <v>11510344.420000002</v>
      </c>
      <c r="G29" s="1538">
        <f t="shared" si="0"/>
        <v>12164546.820000002</v>
      </c>
      <c r="H29" s="1538">
        <f t="shared" si="0"/>
        <v>5980860.0899999999</v>
      </c>
      <c r="I29" s="1538">
        <f t="shared" si="0"/>
        <v>216734</v>
      </c>
      <c r="J29" s="1539"/>
    </row>
  </sheetData>
  <mergeCells count="1">
    <mergeCell ref="B2:I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J584"/>
  <sheetViews>
    <sheetView showGridLines="0" topLeftCell="C1" zoomScale="92" zoomScaleNormal="80" workbookViewId="0">
      <pane ySplit="4" topLeftCell="A567" activePane="bottomLeft" state="frozen"/>
      <selection pane="bottomLeft" activeCell="N584" sqref="N584"/>
    </sheetView>
  </sheetViews>
  <sheetFormatPr defaultColWidth="9.140625" defaultRowHeight="15" x14ac:dyDescent="0.25"/>
  <cols>
    <col min="1" max="1" width="34.5703125" style="738" bestFit="1" customWidth="1"/>
    <col min="2" max="2" width="60" style="738" customWidth="1"/>
    <col min="3" max="3" width="11.85546875" style="738" customWidth="1"/>
    <col min="4" max="4" width="8.42578125" style="738" customWidth="1"/>
    <col min="5" max="5" width="10.5703125" style="738" bestFit="1" customWidth="1"/>
    <col min="6" max="6" width="11.5703125" style="738" customWidth="1"/>
    <col min="7" max="7" width="11.5703125" style="738" bestFit="1" customWidth="1"/>
    <col min="8" max="8" width="11.42578125" style="738" bestFit="1" customWidth="1"/>
    <col min="9" max="9" width="18.42578125" style="990" bestFit="1" customWidth="1"/>
    <col min="10" max="10" width="14.42578125" style="738" customWidth="1"/>
    <col min="11" max="11" width="13" style="738" hidden="1" customWidth="1"/>
    <col min="12" max="12" width="14.42578125" style="738" customWidth="1"/>
    <col min="13" max="13" width="16" style="738" bestFit="1" customWidth="1"/>
    <col min="14" max="14" width="17" style="738" customWidth="1"/>
    <col min="15" max="15" width="15" style="738" bestFit="1" customWidth="1"/>
    <col min="16" max="17" width="14.5703125" style="738" bestFit="1" customWidth="1"/>
    <col min="18" max="18" width="16.42578125" style="738" bestFit="1" customWidth="1"/>
    <col min="19" max="19" width="17.42578125" style="738" bestFit="1" customWidth="1"/>
    <col min="20" max="20" width="15.140625" style="738" bestFit="1" customWidth="1"/>
    <col min="21" max="21" width="13.42578125" style="738" bestFit="1" customWidth="1"/>
    <col min="22" max="22" width="16.140625" style="738" bestFit="1" customWidth="1"/>
    <col min="23" max="23" width="16" style="738" bestFit="1" customWidth="1"/>
    <col min="24" max="24" width="16.42578125" style="738" bestFit="1" customWidth="1"/>
    <col min="25" max="25" width="16.5703125" style="738" bestFit="1" customWidth="1"/>
    <col min="26" max="26" width="11.42578125" style="738" bestFit="1" customWidth="1"/>
    <col min="27" max="28" width="14" style="738" bestFit="1" customWidth="1"/>
    <col min="29" max="29" width="16" style="738" bestFit="1" customWidth="1"/>
    <col min="30" max="30" width="16.42578125" style="738" bestFit="1" customWidth="1"/>
    <col min="31" max="31" width="17.42578125" style="738" bestFit="1" customWidth="1"/>
    <col min="32" max="32" width="11.42578125" style="738" bestFit="1" customWidth="1"/>
    <col min="33" max="33" width="16.5703125" style="738" bestFit="1" customWidth="1"/>
    <col min="34" max="34" width="14" style="738" bestFit="1" customWidth="1"/>
    <col min="35" max="35" width="15" style="738" bestFit="1" customWidth="1"/>
    <col min="36" max="36" width="16.42578125" style="738" bestFit="1" customWidth="1"/>
    <col min="37" max="37" width="16" style="738" bestFit="1" customWidth="1"/>
    <col min="38" max="38" width="9.140625" style="738"/>
    <col min="39" max="39" width="15" style="738" bestFit="1" customWidth="1"/>
    <col min="40" max="40" width="17.140625" style="738" bestFit="1" customWidth="1"/>
    <col min="41" max="41" width="18" style="738" bestFit="1" customWidth="1"/>
    <col min="42" max="43" width="16" style="738" bestFit="1" customWidth="1"/>
    <col min="44" max="44" width="11.42578125" style="738" bestFit="1" customWidth="1"/>
    <col min="45" max="45" width="15.140625" style="738" bestFit="1" customWidth="1"/>
    <col min="46" max="46" width="16.140625" style="738" bestFit="1" customWidth="1"/>
    <col min="47" max="47" width="16" style="738" bestFit="1" customWidth="1"/>
    <col min="48" max="48" width="10.42578125" style="738" bestFit="1" customWidth="1"/>
    <col min="49" max="16384" width="9.140625" style="738"/>
  </cols>
  <sheetData>
    <row r="1" spans="1:47" ht="15.75" thickBot="1" x14ac:dyDescent="0.3">
      <c r="I1" s="739">
        <f>SUBTOTAL(9,I5:I538)</f>
        <v>788733544.96000016</v>
      </c>
      <c r="J1" s="738">
        <v>-17649793</v>
      </c>
      <c r="M1" s="738">
        <f>SUBTOTAL(9,M5:M538)</f>
        <v>234644781.95999998</v>
      </c>
      <c r="O1" s="738">
        <f>SUBTOTAL(9,O5:O538)</f>
        <v>17234834</v>
      </c>
      <c r="P1" s="738">
        <f>SUBTOTAL(9,P5:P538)</f>
        <v>17234834</v>
      </c>
      <c r="Q1" s="738">
        <f>SUBTOTAL(9,Q5:Q538)</f>
        <v>217409947.95999998</v>
      </c>
      <c r="S1" s="738">
        <f>SUBTOTAL(9,S5:S538)</f>
        <v>292836412.79999995</v>
      </c>
      <c r="U1" s="738">
        <f>SUBTOTAL(9,U5:U538)</f>
        <v>23045050</v>
      </c>
      <c r="V1" s="738">
        <f>SUBTOTAL(9,V5:V538)</f>
        <v>40279884</v>
      </c>
      <c r="W1" s="738">
        <f>SUBTOTAL(9,W5:W538)</f>
        <v>252556528.80000001</v>
      </c>
      <c r="X1" s="738">
        <f>Y1-S1</f>
        <v>37239687.220000029</v>
      </c>
      <c r="Y1" s="738">
        <f>SUBTOTAL(9,Y5:Y538)</f>
        <v>330076100.01999998</v>
      </c>
      <c r="AA1" s="739">
        <f>SUBTOTAL(9,AA5:AA538)</f>
        <v>24301312</v>
      </c>
      <c r="AB1" s="739">
        <f>SUBTOTAL(9,AB5:AB538)</f>
        <v>64581196</v>
      </c>
      <c r="AC1" s="738">
        <f>SUBTOTAL(9,AC5:AC538)</f>
        <v>265494904.02000001</v>
      </c>
      <c r="AD1" s="738">
        <f>AE1-Y1</f>
        <v>94935728.660000086</v>
      </c>
      <c r="AE1" s="738">
        <f>SUBTOTAL(9,AE5:AE538)</f>
        <v>425011828.68000007</v>
      </c>
      <c r="AG1" s="739">
        <f>SUBTOTAL(9,AG5:AG538)</f>
        <v>27369244</v>
      </c>
      <c r="AH1" s="739">
        <f>SUBTOTAL(9,AH5:AH538)</f>
        <v>91950440</v>
      </c>
      <c r="AI1" s="739">
        <f>SUBTOTAL(9,AI5:AI538)</f>
        <v>333061388.68000007</v>
      </c>
      <c r="AJ1" s="738">
        <f>AK1-AE1</f>
        <v>35299586.339999914</v>
      </c>
      <c r="AK1" s="739">
        <f>SUBTOTAL(9,AK5:AK538)</f>
        <v>460311415.01999998</v>
      </c>
      <c r="AM1" s="739">
        <f>SUBTOTAL(9,AM5:AM538)</f>
        <v>33790332</v>
      </c>
      <c r="AN1" s="739">
        <f>SUBTOTAL(9,AN5:AN538)</f>
        <v>122961909</v>
      </c>
      <c r="AO1" s="739">
        <f>SUBTOTAL(9,AO5:AO538)</f>
        <v>337252223.01999998</v>
      </c>
      <c r="AQ1" s="740">
        <f>I1-AN1</f>
        <v>665771635.96000016</v>
      </c>
    </row>
    <row r="2" spans="1:47" ht="15.75" thickBot="1" x14ac:dyDescent="0.3">
      <c r="A2" s="741" t="s">
        <v>1143</v>
      </c>
      <c r="B2" s="742"/>
      <c r="C2" s="743"/>
      <c r="D2" s="743"/>
      <c r="E2" s="743"/>
      <c r="F2" s="743"/>
      <c r="G2" s="743"/>
      <c r="H2" s="743"/>
      <c r="I2" s="744"/>
      <c r="J2" s="743"/>
      <c r="K2" s="745" t="s">
        <v>1144</v>
      </c>
      <c r="L2" s="1683" t="s">
        <v>1145</v>
      </c>
      <c r="M2" s="1684"/>
      <c r="N2" s="1684"/>
      <c r="O2" s="1684"/>
      <c r="P2" s="1684"/>
      <c r="Q2" s="1685"/>
      <c r="R2" s="1686" t="s">
        <v>1146</v>
      </c>
      <c r="S2" s="1686"/>
      <c r="T2" s="1686"/>
      <c r="U2" s="1686"/>
      <c r="V2" s="1686"/>
      <c r="W2" s="1687"/>
      <c r="X2" s="1688" t="s">
        <v>1147</v>
      </c>
      <c r="Y2" s="1689"/>
      <c r="Z2" s="1689"/>
      <c r="AA2" s="1689"/>
      <c r="AB2" s="1689"/>
      <c r="AC2" s="1689"/>
      <c r="AD2" s="1690" t="s">
        <v>1148</v>
      </c>
      <c r="AE2" s="1691"/>
      <c r="AF2" s="1691"/>
      <c r="AG2" s="1691"/>
      <c r="AH2" s="1691"/>
      <c r="AI2" s="1692"/>
      <c r="AJ2" s="1690" t="s">
        <v>1149</v>
      </c>
      <c r="AK2" s="1691"/>
      <c r="AL2" s="1691"/>
      <c r="AM2" s="1691"/>
      <c r="AN2" s="1691"/>
      <c r="AO2" s="1692"/>
      <c r="AP2" s="1690" t="s">
        <v>1150</v>
      </c>
      <c r="AQ2" s="1691"/>
      <c r="AR2" s="1691"/>
      <c r="AS2" s="1691"/>
      <c r="AT2" s="1691"/>
      <c r="AU2" s="1692"/>
    </row>
    <row r="3" spans="1:47" ht="15.75" thickBot="1" x14ac:dyDescent="0.3">
      <c r="A3" s="746"/>
      <c r="B3" s="747"/>
      <c r="C3" s="747"/>
      <c r="D3" s="747"/>
      <c r="E3" s="747"/>
      <c r="F3" s="747"/>
      <c r="G3" s="747"/>
      <c r="H3" s="747"/>
      <c r="I3" s="748"/>
      <c r="J3" s="747"/>
      <c r="K3" s="749">
        <v>43190</v>
      </c>
      <c r="L3" s="1669">
        <v>43555</v>
      </c>
      <c r="M3" s="1670"/>
      <c r="N3" s="1670"/>
      <c r="O3" s="1670"/>
      <c r="P3" s="1670"/>
      <c r="Q3" s="1671"/>
      <c r="R3" s="1672">
        <v>43921</v>
      </c>
      <c r="S3" s="1672"/>
      <c r="T3" s="1672"/>
      <c r="U3" s="1672"/>
      <c r="V3" s="1672"/>
      <c r="W3" s="1673"/>
      <c r="X3" s="1674">
        <v>44286</v>
      </c>
      <c r="Y3" s="1675"/>
      <c r="Z3" s="1675"/>
      <c r="AA3" s="1675"/>
      <c r="AB3" s="1675"/>
      <c r="AC3" s="1676"/>
      <c r="AD3" s="1677">
        <v>44651</v>
      </c>
      <c r="AE3" s="1678"/>
      <c r="AF3" s="1678"/>
      <c r="AG3" s="1678"/>
      <c r="AH3" s="1678"/>
      <c r="AI3" s="1679"/>
      <c r="AJ3" s="1677">
        <v>45016</v>
      </c>
      <c r="AK3" s="1678"/>
      <c r="AL3" s="1678"/>
      <c r="AM3" s="1678"/>
      <c r="AN3" s="1678"/>
      <c r="AO3" s="1679"/>
      <c r="AP3" s="1677">
        <v>45382</v>
      </c>
      <c r="AQ3" s="1678"/>
      <c r="AR3" s="1678"/>
      <c r="AS3" s="1678"/>
      <c r="AT3" s="1678"/>
      <c r="AU3" s="1679"/>
    </row>
    <row r="4" spans="1:47" s="775" customFormat="1" ht="57.75" thickBot="1" x14ac:dyDescent="0.3">
      <c r="A4" s="750" t="s">
        <v>1151</v>
      </c>
      <c r="B4" s="751" t="s">
        <v>0</v>
      </c>
      <c r="C4" s="751" t="s">
        <v>1152</v>
      </c>
      <c r="D4" s="751" t="s">
        <v>1153</v>
      </c>
      <c r="E4" s="751" t="s">
        <v>1154</v>
      </c>
      <c r="F4" s="751" t="s">
        <v>1155</v>
      </c>
      <c r="G4" s="751" t="s">
        <v>1156</v>
      </c>
      <c r="H4" s="752" t="s">
        <v>1157</v>
      </c>
      <c r="I4" s="753" t="s">
        <v>1158</v>
      </c>
      <c r="J4" s="754" t="s">
        <v>1159</v>
      </c>
      <c r="K4" s="755" t="s">
        <v>1160</v>
      </c>
      <c r="L4" s="756" t="s">
        <v>1161</v>
      </c>
      <c r="M4" s="757" t="s">
        <v>1158</v>
      </c>
      <c r="N4" s="758" t="s">
        <v>1162</v>
      </c>
      <c r="O4" s="759" t="s">
        <v>1163</v>
      </c>
      <c r="P4" s="760" t="s">
        <v>1164</v>
      </c>
      <c r="Q4" s="761" t="s">
        <v>1165</v>
      </c>
      <c r="R4" s="762" t="s">
        <v>1166</v>
      </c>
      <c r="S4" s="763" t="s">
        <v>1158</v>
      </c>
      <c r="T4" s="764" t="s">
        <v>1162</v>
      </c>
      <c r="U4" s="765" t="s">
        <v>1167</v>
      </c>
      <c r="V4" s="766" t="s">
        <v>1164</v>
      </c>
      <c r="W4" s="767" t="s">
        <v>1168</v>
      </c>
      <c r="X4" s="756" t="s">
        <v>1169</v>
      </c>
      <c r="Y4" s="757" t="s">
        <v>1158</v>
      </c>
      <c r="Z4" s="758" t="s">
        <v>1162</v>
      </c>
      <c r="AA4" s="759" t="s">
        <v>1170</v>
      </c>
      <c r="AB4" s="760" t="s">
        <v>1164</v>
      </c>
      <c r="AC4" s="761" t="s">
        <v>1171</v>
      </c>
      <c r="AD4" s="768" t="s">
        <v>1172</v>
      </c>
      <c r="AE4" s="769" t="s">
        <v>1158</v>
      </c>
      <c r="AF4" s="770" t="s">
        <v>1162</v>
      </c>
      <c r="AG4" s="771" t="s">
        <v>1173</v>
      </c>
      <c r="AH4" s="772" t="s">
        <v>1164</v>
      </c>
      <c r="AI4" s="773" t="s">
        <v>1174</v>
      </c>
      <c r="AJ4" s="768" t="s">
        <v>1172</v>
      </c>
      <c r="AK4" s="774" t="s">
        <v>1158</v>
      </c>
      <c r="AL4" s="770" t="s">
        <v>1162</v>
      </c>
      <c r="AM4" s="771" t="s">
        <v>1175</v>
      </c>
      <c r="AN4" s="772" t="s">
        <v>1164</v>
      </c>
      <c r="AO4" s="773" t="s">
        <v>1176</v>
      </c>
      <c r="AP4" s="768" t="s">
        <v>1177</v>
      </c>
      <c r="AQ4" s="774" t="s">
        <v>1158</v>
      </c>
      <c r="AR4" s="770" t="s">
        <v>1162</v>
      </c>
      <c r="AS4" s="771" t="s">
        <v>1178</v>
      </c>
      <c r="AT4" s="772" t="s">
        <v>1164</v>
      </c>
      <c r="AU4" s="773" t="s">
        <v>1179</v>
      </c>
    </row>
    <row r="5" spans="1:47" ht="15" customHeight="1" x14ac:dyDescent="0.25">
      <c r="A5" s="776" t="s">
        <v>1180</v>
      </c>
      <c r="B5" s="777" t="s">
        <v>1181</v>
      </c>
      <c r="C5" s="778">
        <f>(95/D5)/100</f>
        <v>0.31666666666666665</v>
      </c>
      <c r="D5" s="779">
        <v>3</v>
      </c>
      <c r="E5" s="779" t="s">
        <v>1182</v>
      </c>
      <c r="F5" s="780">
        <v>43191</v>
      </c>
      <c r="G5" s="780">
        <v>43191</v>
      </c>
      <c r="H5" s="781">
        <f>G5+(365*D5)</f>
        <v>44286</v>
      </c>
      <c r="I5" s="782">
        <v>253640</v>
      </c>
      <c r="J5" s="783">
        <f>I5*5%</f>
        <v>12682</v>
      </c>
      <c r="K5" s="784">
        <v>0</v>
      </c>
      <c r="L5" s="785">
        <v>0</v>
      </c>
      <c r="M5" s="786">
        <f>I5</f>
        <v>253640</v>
      </c>
      <c r="N5" s="787">
        <f>IF(AND(F5&gt;$K$3,F5&lt;$L$3),$L$3-F5+1,IF(H5&lt;=$K$3,0,IF(H5&gt;$L$3,$L$3-$K$3,H5-$K$3)))</f>
        <v>365</v>
      </c>
      <c r="O5" s="787">
        <f>ROUND(M5*C5*N5/365,0)</f>
        <v>80319</v>
      </c>
      <c r="P5" s="786">
        <f>O5</f>
        <v>80319</v>
      </c>
      <c r="Q5" s="788">
        <f>+M5-P5</f>
        <v>173321</v>
      </c>
      <c r="R5" s="789">
        <f>+Q5</f>
        <v>173321</v>
      </c>
      <c r="S5" s="790">
        <f>I5</f>
        <v>253640</v>
      </c>
      <c r="T5" s="791">
        <f>IF(AND(F5&gt;$L$3,F5&lt;$R$3),$R$3-F5+1,IF(H5&lt;=$L$3,0,IF(H5&gt;$R$3,$R$3-$L$3,H5-$L$3)))</f>
        <v>366</v>
      </c>
      <c r="U5" s="791">
        <f>ROUND(S5*C5*T5/366,0)</f>
        <v>80319</v>
      </c>
      <c r="V5" s="790">
        <f>+P5+U5</f>
        <v>160638</v>
      </c>
      <c r="W5" s="790">
        <f>+S5-V5</f>
        <v>93002</v>
      </c>
      <c r="X5" s="792">
        <f>+W5</f>
        <v>93002</v>
      </c>
      <c r="Y5" s="783">
        <f>I5</f>
        <v>253640</v>
      </c>
      <c r="Z5" s="783">
        <f>IF(AND(F5&gt;$R$3,F5&lt;$X$3),$X$3-F5+1,IF(H5&lt;=$R$3,0,IF(H5&gt;$X$3,$X$3-$R$3,H5-$R$3)))</f>
        <v>365</v>
      </c>
      <c r="AA5" s="783">
        <f>ROUND(Y5*C5*Z5/365,0)</f>
        <v>80319</v>
      </c>
      <c r="AB5" s="783">
        <f>+V5+AA5</f>
        <v>240957</v>
      </c>
      <c r="AC5" s="783">
        <f>Y5-AB5</f>
        <v>12683</v>
      </c>
      <c r="AD5" s="790">
        <f>AC5</f>
        <v>12683</v>
      </c>
      <c r="AE5" s="790">
        <f>I5</f>
        <v>253640</v>
      </c>
      <c r="AF5" s="791">
        <f>IF(AND(F5&gt;$X$3,F5&lt;$AD$3),$AD$3-F5+1,IF(H5&lt;=$X$3,0,IF(H5&gt;$AD$3,$AD$3-$X$3,H5-$X$3)))</f>
        <v>0</v>
      </c>
      <c r="AG5" s="791">
        <f>ROUND(AE5*C5*AF5/365,0)</f>
        <v>0</v>
      </c>
      <c r="AH5" s="783">
        <f>+AB5+AG5</f>
        <v>240957</v>
      </c>
      <c r="AI5" s="783">
        <f>AE5-AH5</f>
        <v>12683</v>
      </c>
      <c r="AJ5" s="790">
        <f>AI5</f>
        <v>12683</v>
      </c>
      <c r="AK5" s="790">
        <f>I5</f>
        <v>253640</v>
      </c>
      <c r="AL5" s="791">
        <f>IF(AND(F5&gt;$AD$3,F5&lt;$AJ$3),$AJ$3-F5+1,IF(H5&lt;=$AD$3,0,IF(H5&gt;$AJ$3,$AJ$3-$AD$3,H5-$AD$3)))</f>
        <v>0</v>
      </c>
      <c r="AM5" s="791">
        <f>ROUND(AK5*C5*AL5/365,0)</f>
        <v>0</v>
      </c>
      <c r="AN5" s="783">
        <f>+AK5</f>
        <v>253640</v>
      </c>
      <c r="AO5" s="783">
        <f>+AK5-AN5</f>
        <v>0</v>
      </c>
      <c r="AP5" s="790">
        <f t="shared" ref="AP5:AP7" si="0">AO5</f>
        <v>0</v>
      </c>
      <c r="AQ5" s="790">
        <f t="shared" ref="AQ5:AQ7" si="1">+I5</f>
        <v>253640</v>
      </c>
      <c r="AR5" s="793">
        <f t="shared" ref="AR5:AR11" si="2">IF(AND(F5&gt;$AJ$3,F5&lt;$AP$3),$AP$3-F5+1,IF(H5&lt;=$AJ$3,0,IF(H5&gt;$AP$3,$AP$3-$AJ$3,H5-$AJ$3)))</f>
        <v>0</v>
      </c>
      <c r="AS5" s="793">
        <f>ROUND(AQ5*C5*AR5/365,0)</f>
        <v>0</v>
      </c>
      <c r="AT5" s="794">
        <f>+AN5+AS5</f>
        <v>253640</v>
      </c>
      <c r="AU5" s="783">
        <f t="shared" ref="AU5:AU7" si="3">AQ5-AT5</f>
        <v>0</v>
      </c>
    </row>
    <row r="6" spans="1:47" ht="15" customHeight="1" thickBot="1" x14ac:dyDescent="0.3">
      <c r="A6" s="776" t="s">
        <v>1180</v>
      </c>
      <c r="B6" s="777" t="s">
        <v>1183</v>
      </c>
      <c r="C6" s="778">
        <f>(95/D6)/100</f>
        <v>0.31666666666666665</v>
      </c>
      <c r="D6" s="779">
        <v>3</v>
      </c>
      <c r="E6" s="779" t="s">
        <v>1182</v>
      </c>
      <c r="F6" s="780">
        <v>43307</v>
      </c>
      <c r="G6" s="780">
        <v>43307</v>
      </c>
      <c r="H6" s="781">
        <f>G6+(365*D6)</f>
        <v>44402</v>
      </c>
      <c r="I6" s="795">
        <v>59015</v>
      </c>
      <c r="J6" s="783">
        <f>I6*5%</f>
        <v>2950.75</v>
      </c>
      <c r="K6" s="784"/>
      <c r="L6" s="796">
        <v>0</v>
      </c>
      <c r="M6" s="797">
        <f>I6</f>
        <v>59015</v>
      </c>
      <c r="N6" s="798">
        <f>IF(AND(F6&gt;$K$3,F6&lt;$L$3),$L$3-F6+1,IF(H6&lt;=$K$3,0,IF(H6&gt;$L$3,$L$3-$K$3,H6-$K$3)))</f>
        <v>249</v>
      </c>
      <c r="O6" s="798">
        <f>ROUND(M6*C6*N6/365,0)</f>
        <v>12749</v>
      </c>
      <c r="P6" s="797">
        <f>O6</f>
        <v>12749</v>
      </c>
      <c r="Q6" s="799">
        <f>+M6-P6</f>
        <v>46266</v>
      </c>
      <c r="R6" s="789">
        <f>+Q6</f>
        <v>46266</v>
      </c>
      <c r="S6" s="790">
        <f>I6</f>
        <v>59015</v>
      </c>
      <c r="T6" s="791">
        <f>IF(AND(F6&gt;$L$3,F6&lt;$R$3),$R$3-F6+1,IF(H6&lt;=$L$3,0,IF(H6&gt;$R$3,$R$3-$L$3,H6-$L$3)))</f>
        <v>366</v>
      </c>
      <c r="U6" s="791">
        <f>ROUND(S6*C6*T6/366,0)</f>
        <v>18688</v>
      </c>
      <c r="V6" s="790">
        <f>+P6+U6</f>
        <v>31437</v>
      </c>
      <c r="W6" s="790">
        <f>+S6-V6</f>
        <v>27578</v>
      </c>
      <c r="X6" s="792">
        <f>+W6</f>
        <v>27578</v>
      </c>
      <c r="Y6" s="783">
        <f>I6</f>
        <v>59015</v>
      </c>
      <c r="Z6" s="783">
        <f>IF(AND(F6&gt;$R$3,F6&lt;$X$3),$X$3-F6+1,IF(H6&lt;=$R$3,0,IF(H6&gt;$X$3,$X$3-$R$3,H6-$R$3)))</f>
        <v>365</v>
      </c>
      <c r="AA6" s="783">
        <f>ROUND(Y6*C6*Z6/365,0)</f>
        <v>18688</v>
      </c>
      <c r="AB6" s="783">
        <f>+V6+AA6</f>
        <v>50125</v>
      </c>
      <c r="AC6" s="783">
        <f>Y6-AB6</f>
        <v>8890</v>
      </c>
      <c r="AD6" s="790">
        <f>AC6</f>
        <v>8890</v>
      </c>
      <c r="AE6" s="790">
        <f>I6</f>
        <v>59015</v>
      </c>
      <c r="AF6" s="791">
        <f>IF(AND(F6&gt;$X$3,F6&lt;$AD$3),$AD$3-F6+1,IF(H6&lt;=$X$3,0,IF(H6&gt;$AD$3,$AD$3-$X$3,H6-$X$3)))</f>
        <v>116</v>
      </c>
      <c r="AG6" s="791">
        <f>ROUND(AE6*C6*AF6/365,0)</f>
        <v>5939</v>
      </c>
      <c r="AH6" s="783">
        <f>+AB6+AG6</f>
        <v>56064</v>
      </c>
      <c r="AI6" s="783">
        <f>AE6-AH6</f>
        <v>2951</v>
      </c>
      <c r="AJ6" s="790">
        <f>AI6</f>
        <v>2951</v>
      </c>
      <c r="AK6" s="790">
        <f>I6</f>
        <v>59015</v>
      </c>
      <c r="AL6" s="791">
        <f>IF(AND(F6&gt;$AD$3,F6&lt;$AJ$3),$AJ$3-F6+1,IF(H6&lt;=$AD$3,0,IF(H6&gt;$AJ$3,$AJ$3-$AD$3,H6-$AD$3)))</f>
        <v>0</v>
      </c>
      <c r="AM6" s="791">
        <f>ROUND(AK6*C6*AL6/365,0)</f>
        <v>0</v>
      </c>
      <c r="AN6" s="783">
        <f>+AK6-1</f>
        <v>59014</v>
      </c>
      <c r="AO6" s="783">
        <f>AK6-AN6</f>
        <v>1</v>
      </c>
      <c r="AP6" s="790">
        <f t="shared" si="0"/>
        <v>1</v>
      </c>
      <c r="AQ6" s="790">
        <f t="shared" si="1"/>
        <v>59015</v>
      </c>
      <c r="AR6" s="793">
        <f t="shared" si="2"/>
        <v>0</v>
      </c>
      <c r="AS6" s="793">
        <f>ROUND(AQ6*C6*AR6/365,0)</f>
        <v>0</v>
      </c>
      <c r="AT6" s="794">
        <f>+AN6+AS6</f>
        <v>59014</v>
      </c>
      <c r="AU6" s="783">
        <f t="shared" si="3"/>
        <v>1</v>
      </c>
    </row>
    <row r="7" spans="1:47" ht="15" customHeight="1" x14ac:dyDescent="0.25">
      <c r="A7" s="800" t="s">
        <v>1184</v>
      </c>
      <c r="B7" s="801" t="s">
        <v>1185</v>
      </c>
      <c r="C7" s="778">
        <f>(95/D7)/100</f>
        <v>1.5833333333333331E-2</v>
      </c>
      <c r="D7" s="802">
        <v>60</v>
      </c>
      <c r="E7" s="802" t="s">
        <v>982</v>
      </c>
      <c r="F7" s="803">
        <v>45146</v>
      </c>
      <c r="G7" s="803">
        <v>45146</v>
      </c>
      <c r="H7" s="781">
        <f t="shared" ref="H7:H11" si="4">G7+(365*D7)</f>
        <v>67046</v>
      </c>
      <c r="I7" s="804">
        <f>130000000+9881065+1300000</f>
        <v>141181065</v>
      </c>
      <c r="J7" s="805">
        <f t="shared" ref="J7:J11" si="5">I7*5%</f>
        <v>7059053.25</v>
      </c>
      <c r="K7" s="806"/>
      <c r="L7" s="790"/>
      <c r="M7" s="790"/>
      <c r="N7" s="791"/>
      <c r="O7" s="791"/>
      <c r="P7" s="790"/>
      <c r="Q7" s="790"/>
      <c r="R7" s="807"/>
      <c r="S7" s="808"/>
      <c r="T7" s="809"/>
      <c r="U7" s="809"/>
      <c r="V7" s="808"/>
      <c r="W7" s="810"/>
      <c r="X7" s="811"/>
      <c r="Y7" s="812"/>
      <c r="Z7" s="812"/>
      <c r="AA7" s="812"/>
      <c r="AB7" s="812"/>
      <c r="AC7" s="806"/>
      <c r="AD7" s="807"/>
      <c r="AE7" s="808"/>
      <c r="AF7" s="809"/>
      <c r="AG7" s="809"/>
      <c r="AH7" s="812"/>
      <c r="AI7" s="812"/>
      <c r="AJ7" s="807"/>
      <c r="AK7" s="808"/>
      <c r="AL7" s="809"/>
      <c r="AM7" s="809"/>
      <c r="AN7" s="812"/>
      <c r="AO7" s="812"/>
      <c r="AP7" s="790">
        <f t="shared" si="0"/>
        <v>0</v>
      </c>
      <c r="AQ7" s="790">
        <f t="shared" si="1"/>
        <v>141181065</v>
      </c>
      <c r="AR7" s="793">
        <f t="shared" si="2"/>
        <v>237</v>
      </c>
      <c r="AS7" s="793">
        <f>ROUND(AQ7*C7*AR7/365,0)</f>
        <v>1451457</v>
      </c>
      <c r="AT7" s="794">
        <f>+AN7+AS7</f>
        <v>1451457</v>
      </c>
      <c r="AU7" s="783">
        <f t="shared" si="3"/>
        <v>139729608</v>
      </c>
    </row>
    <row r="8" spans="1:47" ht="15" customHeight="1" x14ac:dyDescent="0.25">
      <c r="A8" s="800" t="s">
        <v>1180</v>
      </c>
      <c r="B8" s="813" t="s">
        <v>1181</v>
      </c>
      <c r="C8" s="778">
        <f>(95/D8)/100</f>
        <v>0.31666666666666665</v>
      </c>
      <c r="D8" s="802">
        <v>3</v>
      </c>
      <c r="E8" s="802" t="s">
        <v>982</v>
      </c>
      <c r="F8" s="814">
        <v>45330</v>
      </c>
      <c r="G8" s="814">
        <v>45330</v>
      </c>
      <c r="H8" s="781">
        <f t="shared" si="4"/>
        <v>46425</v>
      </c>
      <c r="I8" s="815">
        <v>250000</v>
      </c>
      <c r="J8" s="805">
        <f t="shared" si="5"/>
        <v>12500</v>
      </c>
      <c r="K8" s="816"/>
      <c r="L8" s="793"/>
      <c r="M8" s="793"/>
      <c r="N8" s="793"/>
      <c r="O8" s="793"/>
      <c r="P8" s="793"/>
      <c r="Q8" s="793"/>
      <c r="R8" s="817"/>
      <c r="S8" s="818"/>
      <c r="T8" s="818"/>
      <c r="U8" s="818"/>
      <c r="V8" s="818"/>
      <c r="W8" s="819"/>
      <c r="X8" s="820"/>
      <c r="Y8" s="821"/>
      <c r="Z8" s="821"/>
      <c r="AA8" s="821"/>
      <c r="AB8" s="821"/>
      <c r="AC8" s="816"/>
      <c r="AD8" s="817"/>
      <c r="AE8" s="818"/>
      <c r="AF8" s="818"/>
      <c r="AG8" s="818"/>
      <c r="AH8" s="821"/>
      <c r="AI8" s="821"/>
      <c r="AJ8" s="817"/>
      <c r="AK8" s="818"/>
      <c r="AL8" s="818"/>
      <c r="AM8" s="818"/>
      <c r="AN8" s="821"/>
      <c r="AO8" s="821"/>
      <c r="AP8" s="793">
        <f t="shared" ref="AP8:AP11" si="6">+AO8</f>
        <v>0</v>
      </c>
      <c r="AQ8" s="793">
        <f t="shared" ref="AQ8:AQ11" si="7">I8</f>
        <v>250000</v>
      </c>
      <c r="AR8" s="793">
        <f t="shared" si="2"/>
        <v>53</v>
      </c>
      <c r="AS8" s="793">
        <f t="shared" ref="AS8:AS11" si="8">ROUND(AQ8*C8*AR8/365,0)</f>
        <v>11495</v>
      </c>
      <c r="AT8" s="793">
        <f>+AN8+AS8</f>
        <v>11495</v>
      </c>
      <c r="AU8" s="793">
        <f t="shared" ref="AU8:AU11" si="9">+AQ8-AT8</f>
        <v>238505</v>
      </c>
    </row>
    <row r="9" spans="1:47" ht="15" customHeight="1" x14ac:dyDescent="0.25">
      <c r="A9" s="800" t="s">
        <v>1180</v>
      </c>
      <c r="B9" s="822" t="s">
        <v>949</v>
      </c>
      <c r="C9" s="778">
        <f t="shared" ref="C9:C11" si="10">(95/D9)/100</f>
        <v>0.31666666666666665</v>
      </c>
      <c r="D9" s="802">
        <v>3</v>
      </c>
      <c r="E9" s="802" t="s">
        <v>982</v>
      </c>
      <c r="F9" s="814">
        <v>45334</v>
      </c>
      <c r="G9" s="814">
        <v>45334</v>
      </c>
      <c r="H9" s="781">
        <f t="shared" si="4"/>
        <v>46429</v>
      </c>
      <c r="I9" s="815">
        <v>304770</v>
      </c>
      <c r="J9" s="805">
        <f t="shared" si="5"/>
        <v>15238.5</v>
      </c>
      <c r="K9" s="816"/>
      <c r="L9" s="793"/>
      <c r="M9" s="793"/>
      <c r="N9" s="793"/>
      <c r="O9" s="793"/>
      <c r="P9" s="793"/>
      <c r="Q9" s="793"/>
      <c r="R9" s="817"/>
      <c r="S9" s="818"/>
      <c r="T9" s="818"/>
      <c r="U9" s="818"/>
      <c r="V9" s="818"/>
      <c r="W9" s="819"/>
      <c r="X9" s="820"/>
      <c r="Y9" s="821"/>
      <c r="Z9" s="821"/>
      <c r="AA9" s="821"/>
      <c r="AB9" s="821"/>
      <c r="AC9" s="816"/>
      <c r="AD9" s="817"/>
      <c r="AE9" s="818"/>
      <c r="AF9" s="818"/>
      <c r="AG9" s="818"/>
      <c r="AH9" s="821"/>
      <c r="AI9" s="821"/>
      <c r="AJ9" s="817"/>
      <c r="AK9" s="818"/>
      <c r="AL9" s="818"/>
      <c r="AM9" s="818"/>
      <c r="AN9" s="821"/>
      <c r="AO9" s="821"/>
      <c r="AP9" s="793">
        <f t="shared" si="6"/>
        <v>0</v>
      </c>
      <c r="AQ9" s="793">
        <f t="shared" si="7"/>
        <v>304770</v>
      </c>
      <c r="AR9" s="793">
        <f t="shared" si="2"/>
        <v>49</v>
      </c>
      <c r="AS9" s="793">
        <f t="shared" si="8"/>
        <v>12956</v>
      </c>
      <c r="AT9" s="793">
        <f t="shared" ref="AT9:AT11" si="11">+AN9+AS9</f>
        <v>12956</v>
      </c>
      <c r="AU9" s="793">
        <f t="shared" si="9"/>
        <v>291814</v>
      </c>
    </row>
    <row r="10" spans="1:47" ht="15" customHeight="1" x14ac:dyDescent="0.25">
      <c r="A10" s="800" t="s">
        <v>1180</v>
      </c>
      <c r="B10" s="822" t="s">
        <v>949</v>
      </c>
      <c r="C10" s="778">
        <f t="shared" si="10"/>
        <v>0.31666666666666665</v>
      </c>
      <c r="D10" s="802">
        <v>3</v>
      </c>
      <c r="E10" s="802" t="s">
        <v>982</v>
      </c>
      <c r="F10" s="814">
        <v>45344</v>
      </c>
      <c r="G10" s="814">
        <v>45344</v>
      </c>
      <c r="H10" s="781">
        <f t="shared" si="4"/>
        <v>46439</v>
      </c>
      <c r="I10" s="823">
        <v>24750</v>
      </c>
      <c r="J10" s="805">
        <f t="shared" si="5"/>
        <v>1237.5</v>
      </c>
      <c r="K10" s="816"/>
      <c r="L10" s="793"/>
      <c r="M10" s="793"/>
      <c r="N10" s="793"/>
      <c r="O10" s="793"/>
      <c r="P10" s="793"/>
      <c r="Q10" s="793"/>
      <c r="R10" s="817"/>
      <c r="S10" s="818"/>
      <c r="T10" s="818"/>
      <c r="U10" s="818"/>
      <c r="V10" s="818"/>
      <c r="W10" s="819"/>
      <c r="X10" s="820"/>
      <c r="Y10" s="821"/>
      <c r="Z10" s="821"/>
      <c r="AA10" s="821"/>
      <c r="AB10" s="821"/>
      <c r="AC10" s="816"/>
      <c r="AD10" s="817"/>
      <c r="AE10" s="818"/>
      <c r="AF10" s="818"/>
      <c r="AG10" s="818"/>
      <c r="AH10" s="821"/>
      <c r="AI10" s="821"/>
      <c r="AJ10" s="817"/>
      <c r="AK10" s="818"/>
      <c r="AL10" s="818"/>
      <c r="AM10" s="818"/>
      <c r="AN10" s="821"/>
      <c r="AO10" s="821"/>
      <c r="AP10" s="793">
        <f t="shared" si="6"/>
        <v>0</v>
      </c>
      <c r="AQ10" s="793">
        <f t="shared" si="7"/>
        <v>24750</v>
      </c>
      <c r="AR10" s="793">
        <f t="shared" si="2"/>
        <v>39</v>
      </c>
      <c r="AS10" s="793">
        <f t="shared" si="8"/>
        <v>837</v>
      </c>
      <c r="AT10" s="793">
        <f t="shared" si="11"/>
        <v>837</v>
      </c>
      <c r="AU10" s="793">
        <f t="shared" si="9"/>
        <v>23913</v>
      </c>
    </row>
    <row r="11" spans="1:47" ht="15" customHeight="1" thickBot="1" x14ac:dyDescent="0.3">
      <c r="A11" s="824" t="s">
        <v>1180</v>
      </c>
      <c r="B11" s="825" t="s">
        <v>949</v>
      </c>
      <c r="C11" s="826">
        <f t="shared" si="10"/>
        <v>0.31666666666666665</v>
      </c>
      <c r="D11" s="802">
        <v>3</v>
      </c>
      <c r="E11" s="802" t="s">
        <v>982</v>
      </c>
      <c r="F11" s="827">
        <v>45366</v>
      </c>
      <c r="G11" s="827">
        <v>45366</v>
      </c>
      <c r="H11" s="828">
        <f t="shared" si="4"/>
        <v>46461</v>
      </c>
      <c r="I11" s="829">
        <v>139877.75</v>
      </c>
      <c r="J11" s="821">
        <f t="shared" si="5"/>
        <v>6993.8875000000007</v>
      </c>
      <c r="K11" s="816"/>
      <c r="L11" s="818"/>
      <c r="M11" s="818"/>
      <c r="N11" s="818"/>
      <c r="O11" s="818"/>
      <c r="P11" s="818"/>
      <c r="Q11" s="818"/>
      <c r="R11" s="817"/>
      <c r="S11" s="818"/>
      <c r="T11" s="818"/>
      <c r="U11" s="818"/>
      <c r="V11" s="818"/>
      <c r="W11" s="819"/>
      <c r="X11" s="820"/>
      <c r="Y11" s="821"/>
      <c r="Z11" s="821"/>
      <c r="AA11" s="821"/>
      <c r="AB11" s="821"/>
      <c r="AC11" s="816"/>
      <c r="AD11" s="817"/>
      <c r="AE11" s="818"/>
      <c r="AF11" s="818"/>
      <c r="AG11" s="818"/>
      <c r="AH11" s="821"/>
      <c r="AI11" s="821"/>
      <c r="AJ11" s="817"/>
      <c r="AK11" s="818"/>
      <c r="AL11" s="818"/>
      <c r="AM11" s="818"/>
      <c r="AN11" s="821"/>
      <c r="AO11" s="821"/>
      <c r="AP11" s="818">
        <f t="shared" si="6"/>
        <v>0</v>
      </c>
      <c r="AQ11" s="818">
        <f t="shared" si="7"/>
        <v>139877.75</v>
      </c>
      <c r="AR11" s="818">
        <f t="shared" si="2"/>
        <v>17</v>
      </c>
      <c r="AS11" s="818">
        <f t="shared" si="8"/>
        <v>2063</v>
      </c>
      <c r="AT11" s="818">
        <f t="shared" si="11"/>
        <v>2063</v>
      </c>
      <c r="AU11" s="818">
        <f t="shared" si="9"/>
        <v>137814.75</v>
      </c>
    </row>
    <row r="12" spans="1:47" ht="15.75" customHeight="1" thickBot="1" x14ac:dyDescent="0.3">
      <c r="A12" s="830" t="s">
        <v>1186</v>
      </c>
      <c r="B12" s="831"/>
      <c r="C12" s="832"/>
      <c r="D12" s="833"/>
      <c r="E12" s="833"/>
      <c r="F12" s="831"/>
      <c r="G12" s="831"/>
      <c r="H12" s="831"/>
      <c r="I12" s="834">
        <f>SUM(I5:I11)</f>
        <v>142213117.75</v>
      </c>
      <c r="J12" s="834">
        <f>SUM(J5:J11)</f>
        <v>7110655.8875000002</v>
      </c>
      <c r="K12" s="835">
        <f t="shared" ref="K12" si="12">SUM(K5:K6)</f>
        <v>0</v>
      </c>
      <c r="L12" s="834">
        <f t="shared" ref="L12:AM12" si="13">SUM(L5:L11)</f>
        <v>0</v>
      </c>
      <c r="M12" s="834">
        <f t="shared" si="13"/>
        <v>312655</v>
      </c>
      <c r="N12" s="834">
        <f t="shared" si="13"/>
        <v>614</v>
      </c>
      <c r="O12" s="834">
        <f t="shared" si="13"/>
        <v>93068</v>
      </c>
      <c r="P12" s="834">
        <f t="shared" si="13"/>
        <v>93068</v>
      </c>
      <c r="Q12" s="834">
        <f t="shared" si="13"/>
        <v>219587</v>
      </c>
      <c r="R12" s="834">
        <f t="shared" si="13"/>
        <v>219587</v>
      </c>
      <c r="S12" s="834">
        <f t="shared" si="13"/>
        <v>312655</v>
      </c>
      <c r="T12" s="834">
        <f t="shared" si="13"/>
        <v>732</v>
      </c>
      <c r="U12" s="834">
        <f t="shared" si="13"/>
        <v>99007</v>
      </c>
      <c r="V12" s="834">
        <f t="shared" si="13"/>
        <v>192075</v>
      </c>
      <c r="W12" s="834">
        <f t="shared" si="13"/>
        <v>120580</v>
      </c>
      <c r="X12" s="834">
        <f t="shared" si="13"/>
        <v>120580</v>
      </c>
      <c r="Y12" s="834">
        <f t="shared" si="13"/>
        <v>312655</v>
      </c>
      <c r="Z12" s="834">
        <f t="shared" si="13"/>
        <v>730</v>
      </c>
      <c r="AA12" s="834">
        <f t="shared" si="13"/>
        <v>99007</v>
      </c>
      <c r="AB12" s="834">
        <f t="shared" si="13"/>
        <v>291082</v>
      </c>
      <c r="AC12" s="834">
        <f t="shared" si="13"/>
        <v>21573</v>
      </c>
      <c r="AD12" s="834">
        <f t="shared" si="13"/>
        <v>21573</v>
      </c>
      <c r="AE12" s="834">
        <f t="shared" si="13"/>
        <v>312655</v>
      </c>
      <c r="AF12" s="834">
        <f t="shared" si="13"/>
        <v>116</v>
      </c>
      <c r="AG12" s="834">
        <f t="shared" si="13"/>
        <v>5939</v>
      </c>
      <c r="AH12" s="834">
        <f t="shared" si="13"/>
        <v>297021</v>
      </c>
      <c r="AI12" s="834">
        <f t="shared" si="13"/>
        <v>15634</v>
      </c>
      <c r="AJ12" s="834">
        <f>SUM(AJ5:AJ11)</f>
        <v>15634</v>
      </c>
      <c r="AK12" s="834">
        <f t="shared" si="13"/>
        <v>312655</v>
      </c>
      <c r="AL12" s="834">
        <f t="shared" si="13"/>
        <v>0</v>
      </c>
      <c r="AM12" s="834">
        <f t="shared" si="13"/>
        <v>0</v>
      </c>
      <c r="AN12" s="834">
        <f>SUM(AN5:AN11)</f>
        <v>312654</v>
      </c>
      <c r="AO12" s="834">
        <f>SUM(AO5:AO11)</f>
        <v>1</v>
      </c>
      <c r="AP12" s="836">
        <f>+AO12</f>
        <v>1</v>
      </c>
      <c r="AQ12" s="837">
        <f>SUM(AQ5:AQ11)</f>
        <v>142213117.75</v>
      </c>
      <c r="AR12" s="837">
        <f>SUM(AR5:AR11)</f>
        <v>395</v>
      </c>
      <c r="AS12" s="837">
        <f>SUM(AS5:AS11)</f>
        <v>1478808</v>
      </c>
      <c r="AT12" s="837">
        <f>SUM(AT5:AT11)</f>
        <v>1791462</v>
      </c>
      <c r="AU12" s="837">
        <f>SUM(AU5:AU11)</f>
        <v>140421655.75</v>
      </c>
    </row>
    <row r="13" spans="1:47" ht="15" customHeight="1" x14ac:dyDescent="0.25">
      <c r="C13" s="838"/>
      <c r="D13" s="839"/>
      <c r="E13" s="839"/>
      <c r="I13" s="840"/>
      <c r="K13" s="841"/>
      <c r="M13" s="841"/>
    </row>
    <row r="14" spans="1:47" ht="15" customHeight="1" x14ac:dyDescent="0.25">
      <c r="A14" s="842" t="s">
        <v>1187</v>
      </c>
      <c r="B14" s="843" t="s">
        <v>1188</v>
      </c>
      <c r="C14" s="778">
        <f t="shared" ref="C14:C77" si="14">(95/D14)/100</f>
        <v>0.31666666666666665</v>
      </c>
      <c r="D14" s="844">
        <v>3</v>
      </c>
      <c r="E14" s="779" t="s">
        <v>1182</v>
      </c>
      <c r="F14" s="845">
        <v>43191</v>
      </c>
      <c r="G14" s="845">
        <v>43191</v>
      </c>
      <c r="H14" s="781">
        <f t="shared" ref="H14:H77" si="15">G14+(365*D14)</f>
        <v>44286</v>
      </c>
      <c r="I14" s="795">
        <v>70000</v>
      </c>
      <c r="J14" s="783">
        <f t="shared" ref="J14:J77" si="16">I14*5%</f>
        <v>3500</v>
      </c>
      <c r="K14" s="783"/>
      <c r="L14" s="790"/>
      <c r="M14" s="790">
        <f t="shared" ref="M14:M73" si="17">I14</f>
        <v>70000</v>
      </c>
      <c r="N14" s="791">
        <f>IF(AND(F14&gt;$K$3,F14&lt;$L$3),$L$3-F14+1,IF(H14&lt;=$K$3,0,IF(H14&gt;$L$3,$L$3-$K$3,H14-$K$3)))</f>
        <v>365</v>
      </c>
      <c r="O14" s="791">
        <f>ROUND(M14*C14*N14/365,0)</f>
        <v>22167</v>
      </c>
      <c r="P14" s="790">
        <f>O14</f>
        <v>22167</v>
      </c>
      <c r="Q14" s="790">
        <f>+M14-P14</f>
        <v>47833</v>
      </c>
      <c r="R14" s="790">
        <f t="shared" ref="R14:R74" si="18">+Q14</f>
        <v>47833</v>
      </c>
      <c r="S14" s="790">
        <f t="shared" ref="S14:S74" si="19">I14</f>
        <v>70000</v>
      </c>
      <c r="T14" s="791">
        <f t="shared" ref="T14:T74" si="20">IF(AND(F14&gt;$L$3,F14&lt;$R$3),$R$3-F14+1,IF(H14&lt;=$L$3,0,IF(H14&gt;$R$3,$R$3-$L$3,H14-$L$3)))</f>
        <v>366</v>
      </c>
      <c r="U14" s="791">
        <f t="shared" ref="U14:U74" si="21">ROUND(S14*C14*T14/366,0)</f>
        <v>22167</v>
      </c>
      <c r="V14" s="790">
        <f t="shared" ref="V14:V74" si="22">+P14+U14</f>
        <v>44334</v>
      </c>
      <c r="W14" s="790">
        <f t="shared" ref="W14:W74" si="23">+S14-V14</f>
        <v>25666</v>
      </c>
      <c r="X14" s="790">
        <f t="shared" ref="X14:X77" si="24">W14</f>
        <v>25666</v>
      </c>
      <c r="Y14" s="783">
        <f t="shared" ref="Y14:Y77" si="25">I14</f>
        <v>70000</v>
      </c>
      <c r="Z14" s="783">
        <f t="shared" ref="Z14:Z77" si="26">IF(AND(F14&gt;$R$3,F14&lt;$X$3),$X$3-F14+1,IF(H14&lt;=$R$3,0,IF(H14&gt;$X$3,$X$3-$R$3,H14-$R$3)))</f>
        <v>365</v>
      </c>
      <c r="AA14" s="783">
        <f t="shared" ref="AA14:AA77" si="27">ROUND(Y14*C14*Z14/365,0)</f>
        <v>22167</v>
      </c>
      <c r="AB14" s="783">
        <f t="shared" ref="AB14:AB77" si="28">+V14+AA14</f>
        <v>66501</v>
      </c>
      <c r="AC14" s="783">
        <f t="shared" ref="AC14:AC77" si="29">Y14-AB14</f>
        <v>3499</v>
      </c>
      <c r="AD14" s="790">
        <f t="shared" ref="AD14:AD77" si="30">AC14</f>
        <v>3499</v>
      </c>
      <c r="AE14" s="790">
        <f t="shared" ref="AE14:AE77" si="31">I14</f>
        <v>70000</v>
      </c>
      <c r="AF14" s="791">
        <f t="shared" ref="AF14:AF77" si="32">IF(AND(F14&gt;$X$3,F14&lt;$AD$3),$AD$3-F14+1,IF(H14&lt;=$X$3,0,IF(H14&gt;$AD$3,$AD$3-$X$3,H14-$X$3)))</f>
        <v>0</v>
      </c>
      <c r="AG14" s="791">
        <f t="shared" ref="AG14:AG77" si="33">ROUND(AE14*C14*AF14/365,0)</f>
        <v>0</v>
      </c>
      <c r="AH14" s="783">
        <f t="shared" ref="AH14:AH77" si="34">+AB14+AG14</f>
        <v>66501</v>
      </c>
      <c r="AI14" s="783">
        <f t="shared" ref="AI14:AI77" si="35">AE14-AH14</f>
        <v>3499</v>
      </c>
      <c r="AJ14" s="790">
        <f>AI14</f>
        <v>3499</v>
      </c>
      <c r="AK14" s="790">
        <f t="shared" ref="AK14:AK77" si="36">I14</f>
        <v>70000</v>
      </c>
      <c r="AL14" s="791">
        <f t="shared" ref="AL14:AL77" si="37">IF(AND(F14&gt;$AD$3,F14&lt;$AJ$3),$AJ$3-F14+1,IF(H14&lt;=$AD$3,0,IF(H14&gt;$AJ$3,$AJ$3-$AD$3,H14-$AD$3)))</f>
        <v>0</v>
      </c>
      <c r="AM14" s="791">
        <f t="shared" ref="AM14:AM77" si="38">ROUND(AK14*C14*AL14/365,0)</f>
        <v>0</v>
      </c>
      <c r="AN14" s="783">
        <f t="shared" ref="AN14:AN77" si="39">+AH14+AM14</f>
        <v>66501</v>
      </c>
      <c r="AO14" s="783">
        <f t="shared" ref="AO14:AO77" si="40">AK14-AN14</f>
        <v>3499</v>
      </c>
      <c r="AP14" s="793">
        <f t="shared" ref="AP14:AP77" si="41">+AO14</f>
        <v>3499</v>
      </c>
      <c r="AQ14" s="793">
        <f t="shared" ref="AQ14:AQ77" si="42">I14</f>
        <v>70000</v>
      </c>
      <c r="AR14" s="793">
        <f t="shared" ref="AR14:AR77" si="43">IF(AND(F14&gt;$AJ$3,F14&lt;$AP$3),$AP$3-F14+1,IF(H14&lt;=$AJ$3,0,IF(H14&gt;$AP$3,$AP$3-$AJ$3,H14-$AJ$3)))</f>
        <v>0</v>
      </c>
      <c r="AS14" s="793">
        <f t="shared" ref="AS14:AS77" si="44">ROUND(AQ14*C14*AR14/365,0)</f>
        <v>0</v>
      </c>
      <c r="AT14" s="793">
        <f t="shared" ref="AT14:AT77" si="45">+AN14+AS14</f>
        <v>66501</v>
      </c>
      <c r="AU14" s="793">
        <f t="shared" ref="AU14:AU77" si="46">+AQ14-AT14</f>
        <v>3499</v>
      </c>
    </row>
    <row r="15" spans="1:47" ht="15" customHeight="1" x14ac:dyDescent="0.25">
      <c r="A15" s="842" t="s">
        <v>1187</v>
      </c>
      <c r="B15" s="843" t="s">
        <v>1189</v>
      </c>
      <c r="C15" s="778">
        <f t="shared" si="14"/>
        <v>0.31666666666666665</v>
      </c>
      <c r="D15" s="844">
        <v>3</v>
      </c>
      <c r="E15" s="779" t="s">
        <v>1182</v>
      </c>
      <c r="F15" s="845">
        <v>43191</v>
      </c>
      <c r="G15" s="845">
        <v>43191</v>
      </c>
      <c r="H15" s="781">
        <f t="shared" si="15"/>
        <v>44286</v>
      </c>
      <c r="I15" s="795">
        <v>37500</v>
      </c>
      <c r="J15" s="783">
        <f t="shared" si="16"/>
        <v>1875</v>
      </c>
      <c r="K15" s="784"/>
      <c r="L15" s="846"/>
      <c r="M15" s="790">
        <f t="shared" si="17"/>
        <v>37500</v>
      </c>
      <c r="N15" s="791">
        <f t="shared" ref="N15:N73" si="47">IF(AND(F15&gt;$K$3,F15&lt;$L$3),$L$3-F15+1,IF(H15&lt;=$K$3,0,IF(H15&gt;$L$3,$L$3-$K$3,H15-$K$3)))</f>
        <v>365</v>
      </c>
      <c r="O15" s="791">
        <f t="shared" ref="O15:O73" si="48">ROUND(M15*C15*N15/365,0)</f>
        <v>11875</v>
      </c>
      <c r="P15" s="790">
        <f t="shared" ref="P15:P73" si="49">O15</f>
        <v>11875</v>
      </c>
      <c r="Q15" s="847">
        <f t="shared" ref="Q15:Q73" si="50">+M15-P15</f>
        <v>25625</v>
      </c>
      <c r="R15" s="789">
        <f t="shared" si="18"/>
        <v>25625</v>
      </c>
      <c r="S15" s="790">
        <f t="shared" si="19"/>
        <v>37500</v>
      </c>
      <c r="T15" s="791">
        <f t="shared" si="20"/>
        <v>366</v>
      </c>
      <c r="U15" s="791">
        <f t="shared" si="21"/>
        <v>11875</v>
      </c>
      <c r="V15" s="790">
        <f t="shared" si="22"/>
        <v>23750</v>
      </c>
      <c r="W15" s="847">
        <f t="shared" si="23"/>
        <v>13750</v>
      </c>
      <c r="X15" s="846">
        <f t="shared" si="24"/>
        <v>13750</v>
      </c>
      <c r="Y15" s="783">
        <f t="shared" si="25"/>
        <v>37500</v>
      </c>
      <c r="Z15" s="783">
        <f t="shared" si="26"/>
        <v>365</v>
      </c>
      <c r="AA15" s="783">
        <f t="shared" si="27"/>
        <v>11875</v>
      </c>
      <c r="AB15" s="783">
        <f t="shared" si="28"/>
        <v>35625</v>
      </c>
      <c r="AC15" s="848">
        <f t="shared" si="29"/>
        <v>1875</v>
      </c>
      <c r="AD15" s="789">
        <f t="shared" si="30"/>
        <v>1875</v>
      </c>
      <c r="AE15" s="790">
        <f t="shared" si="31"/>
        <v>37500</v>
      </c>
      <c r="AF15" s="791">
        <f t="shared" si="32"/>
        <v>0</v>
      </c>
      <c r="AG15" s="791">
        <f t="shared" si="33"/>
        <v>0</v>
      </c>
      <c r="AH15" s="783">
        <f t="shared" si="34"/>
        <v>35625</v>
      </c>
      <c r="AI15" s="783">
        <f t="shared" si="35"/>
        <v>1875</v>
      </c>
      <c r="AJ15" s="790">
        <f>AI15</f>
        <v>1875</v>
      </c>
      <c r="AK15" s="790">
        <f t="shared" si="36"/>
        <v>37500</v>
      </c>
      <c r="AL15" s="791">
        <f t="shared" si="37"/>
        <v>0</v>
      </c>
      <c r="AM15" s="791">
        <f t="shared" si="38"/>
        <v>0</v>
      </c>
      <c r="AN15" s="783">
        <f t="shared" si="39"/>
        <v>35625</v>
      </c>
      <c r="AO15" s="783">
        <f t="shared" si="40"/>
        <v>1875</v>
      </c>
      <c r="AP15" s="793">
        <f t="shared" si="41"/>
        <v>1875</v>
      </c>
      <c r="AQ15" s="793">
        <f t="shared" si="42"/>
        <v>37500</v>
      </c>
      <c r="AR15" s="793">
        <f t="shared" si="43"/>
        <v>0</v>
      </c>
      <c r="AS15" s="793">
        <f t="shared" si="44"/>
        <v>0</v>
      </c>
      <c r="AT15" s="793">
        <f t="shared" si="45"/>
        <v>35625</v>
      </c>
      <c r="AU15" s="793">
        <f t="shared" si="46"/>
        <v>1875</v>
      </c>
    </row>
    <row r="16" spans="1:47" ht="15" customHeight="1" x14ac:dyDescent="0.25">
      <c r="A16" s="842" t="s">
        <v>1187</v>
      </c>
      <c r="B16" s="843" t="s">
        <v>1189</v>
      </c>
      <c r="C16" s="778">
        <f t="shared" si="14"/>
        <v>0.31666666666666665</v>
      </c>
      <c r="D16" s="844">
        <v>3</v>
      </c>
      <c r="E16" s="779" t="s">
        <v>1182</v>
      </c>
      <c r="F16" s="845">
        <v>43191</v>
      </c>
      <c r="G16" s="845">
        <v>43191</v>
      </c>
      <c r="H16" s="781">
        <f t="shared" si="15"/>
        <v>44286</v>
      </c>
      <c r="I16" s="795">
        <v>15163</v>
      </c>
      <c r="J16" s="783">
        <f t="shared" si="16"/>
        <v>758.15000000000009</v>
      </c>
      <c r="K16" s="784"/>
      <c r="L16" s="846"/>
      <c r="M16" s="790">
        <f t="shared" si="17"/>
        <v>15163</v>
      </c>
      <c r="N16" s="791">
        <f t="shared" si="47"/>
        <v>365</v>
      </c>
      <c r="O16" s="791">
        <f t="shared" si="48"/>
        <v>4802</v>
      </c>
      <c r="P16" s="790">
        <f t="shared" si="49"/>
        <v>4802</v>
      </c>
      <c r="Q16" s="847">
        <f t="shared" si="50"/>
        <v>10361</v>
      </c>
      <c r="R16" s="789">
        <f t="shared" si="18"/>
        <v>10361</v>
      </c>
      <c r="S16" s="790">
        <f t="shared" si="19"/>
        <v>15163</v>
      </c>
      <c r="T16" s="791">
        <f t="shared" si="20"/>
        <v>366</v>
      </c>
      <c r="U16" s="791">
        <f t="shared" si="21"/>
        <v>4802</v>
      </c>
      <c r="V16" s="790">
        <f t="shared" si="22"/>
        <v>9604</v>
      </c>
      <c r="W16" s="847">
        <f t="shared" si="23"/>
        <v>5559</v>
      </c>
      <c r="X16" s="846">
        <f t="shared" si="24"/>
        <v>5559</v>
      </c>
      <c r="Y16" s="783">
        <f t="shared" si="25"/>
        <v>15163</v>
      </c>
      <c r="Z16" s="783">
        <f t="shared" si="26"/>
        <v>365</v>
      </c>
      <c r="AA16" s="783">
        <f t="shared" si="27"/>
        <v>4802</v>
      </c>
      <c r="AB16" s="783">
        <f t="shared" si="28"/>
        <v>14406</v>
      </c>
      <c r="AC16" s="848">
        <f t="shared" si="29"/>
        <v>757</v>
      </c>
      <c r="AD16" s="789">
        <f t="shared" si="30"/>
        <v>757</v>
      </c>
      <c r="AE16" s="790">
        <f t="shared" si="31"/>
        <v>15163</v>
      </c>
      <c r="AF16" s="791">
        <f t="shared" si="32"/>
        <v>0</v>
      </c>
      <c r="AG16" s="791">
        <f t="shared" si="33"/>
        <v>0</v>
      </c>
      <c r="AH16" s="783">
        <f t="shared" si="34"/>
        <v>14406</v>
      </c>
      <c r="AI16" s="783">
        <f t="shared" si="35"/>
        <v>757</v>
      </c>
      <c r="AJ16" s="790">
        <f t="shared" ref="AJ16:AJ79" si="51">AI16</f>
        <v>757</v>
      </c>
      <c r="AK16" s="790">
        <f t="shared" si="36"/>
        <v>15163</v>
      </c>
      <c r="AL16" s="791">
        <f t="shared" si="37"/>
        <v>0</v>
      </c>
      <c r="AM16" s="791">
        <f t="shared" si="38"/>
        <v>0</v>
      </c>
      <c r="AN16" s="783">
        <f t="shared" si="39"/>
        <v>14406</v>
      </c>
      <c r="AO16" s="783">
        <f t="shared" si="40"/>
        <v>757</v>
      </c>
      <c r="AP16" s="793">
        <f t="shared" si="41"/>
        <v>757</v>
      </c>
      <c r="AQ16" s="793">
        <f t="shared" si="42"/>
        <v>15163</v>
      </c>
      <c r="AR16" s="793">
        <f t="shared" si="43"/>
        <v>0</v>
      </c>
      <c r="AS16" s="793">
        <f t="shared" si="44"/>
        <v>0</v>
      </c>
      <c r="AT16" s="793">
        <f t="shared" si="45"/>
        <v>14406</v>
      </c>
      <c r="AU16" s="793">
        <f t="shared" si="46"/>
        <v>757</v>
      </c>
    </row>
    <row r="17" spans="1:47" ht="15" customHeight="1" x14ac:dyDescent="0.25">
      <c r="A17" s="842" t="s">
        <v>1187</v>
      </c>
      <c r="B17" s="843" t="s">
        <v>1189</v>
      </c>
      <c r="C17" s="778">
        <f t="shared" si="14"/>
        <v>0.31666666666666665</v>
      </c>
      <c r="D17" s="844">
        <v>3</v>
      </c>
      <c r="E17" s="779" t="s">
        <v>1182</v>
      </c>
      <c r="F17" s="845">
        <v>43191</v>
      </c>
      <c r="G17" s="845">
        <v>43191</v>
      </c>
      <c r="H17" s="781">
        <f t="shared" si="15"/>
        <v>44286</v>
      </c>
      <c r="I17" s="795">
        <v>18460</v>
      </c>
      <c r="J17" s="783">
        <f t="shared" si="16"/>
        <v>923</v>
      </c>
      <c r="K17" s="784"/>
      <c r="L17" s="846"/>
      <c r="M17" s="790">
        <f t="shared" si="17"/>
        <v>18460</v>
      </c>
      <c r="N17" s="791">
        <f t="shared" si="47"/>
        <v>365</v>
      </c>
      <c r="O17" s="791">
        <f t="shared" si="48"/>
        <v>5846</v>
      </c>
      <c r="P17" s="790">
        <f t="shared" si="49"/>
        <v>5846</v>
      </c>
      <c r="Q17" s="847">
        <f t="shared" si="50"/>
        <v>12614</v>
      </c>
      <c r="R17" s="789">
        <f t="shared" si="18"/>
        <v>12614</v>
      </c>
      <c r="S17" s="790">
        <f t="shared" si="19"/>
        <v>18460</v>
      </c>
      <c r="T17" s="791">
        <f t="shared" si="20"/>
        <v>366</v>
      </c>
      <c r="U17" s="791">
        <f t="shared" si="21"/>
        <v>5846</v>
      </c>
      <c r="V17" s="790">
        <f t="shared" si="22"/>
        <v>11692</v>
      </c>
      <c r="W17" s="847">
        <f t="shared" si="23"/>
        <v>6768</v>
      </c>
      <c r="X17" s="846">
        <f t="shared" si="24"/>
        <v>6768</v>
      </c>
      <c r="Y17" s="783">
        <f t="shared" si="25"/>
        <v>18460</v>
      </c>
      <c r="Z17" s="783">
        <f t="shared" si="26"/>
        <v>365</v>
      </c>
      <c r="AA17" s="783">
        <f t="shared" si="27"/>
        <v>5846</v>
      </c>
      <c r="AB17" s="783">
        <f t="shared" si="28"/>
        <v>17538</v>
      </c>
      <c r="AC17" s="848">
        <f t="shared" si="29"/>
        <v>922</v>
      </c>
      <c r="AD17" s="789">
        <f t="shared" si="30"/>
        <v>922</v>
      </c>
      <c r="AE17" s="790">
        <f t="shared" si="31"/>
        <v>18460</v>
      </c>
      <c r="AF17" s="791">
        <f t="shared" si="32"/>
        <v>0</v>
      </c>
      <c r="AG17" s="791">
        <f t="shared" si="33"/>
        <v>0</v>
      </c>
      <c r="AH17" s="783">
        <f t="shared" si="34"/>
        <v>17538</v>
      </c>
      <c r="AI17" s="783">
        <f t="shared" si="35"/>
        <v>922</v>
      </c>
      <c r="AJ17" s="790">
        <f t="shared" si="51"/>
        <v>922</v>
      </c>
      <c r="AK17" s="790">
        <f t="shared" si="36"/>
        <v>18460</v>
      </c>
      <c r="AL17" s="791">
        <f t="shared" si="37"/>
        <v>0</v>
      </c>
      <c r="AM17" s="791">
        <f t="shared" si="38"/>
        <v>0</v>
      </c>
      <c r="AN17" s="783">
        <f t="shared" si="39"/>
        <v>17538</v>
      </c>
      <c r="AO17" s="783">
        <f t="shared" si="40"/>
        <v>922</v>
      </c>
      <c r="AP17" s="793">
        <f t="shared" si="41"/>
        <v>922</v>
      </c>
      <c r="AQ17" s="793">
        <f t="shared" si="42"/>
        <v>18460</v>
      </c>
      <c r="AR17" s="793">
        <f t="shared" si="43"/>
        <v>0</v>
      </c>
      <c r="AS17" s="793">
        <f t="shared" si="44"/>
        <v>0</v>
      </c>
      <c r="AT17" s="793">
        <f t="shared" si="45"/>
        <v>17538</v>
      </c>
      <c r="AU17" s="793">
        <f t="shared" si="46"/>
        <v>922</v>
      </c>
    </row>
    <row r="18" spans="1:47" ht="15" customHeight="1" x14ac:dyDescent="0.25">
      <c r="A18" s="842" t="s">
        <v>1187</v>
      </c>
      <c r="B18" s="843" t="s">
        <v>1189</v>
      </c>
      <c r="C18" s="778">
        <f t="shared" si="14"/>
        <v>0.31666666666666665</v>
      </c>
      <c r="D18" s="844">
        <v>3</v>
      </c>
      <c r="E18" s="779" t="s">
        <v>1182</v>
      </c>
      <c r="F18" s="845">
        <v>43191</v>
      </c>
      <c r="G18" s="845">
        <v>43191</v>
      </c>
      <c r="H18" s="781">
        <f t="shared" si="15"/>
        <v>44286</v>
      </c>
      <c r="I18" s="795">
        <v>57000</v>
      </c>
      <c r="J18" s="783">
        <f t="shared" si="16"/>
        <v>2850</v>
      </c>
      <c r="K18" s="784"/>
      <c r="L18" s="846"/>
      <c r="M18" s="790">
        <f t="shared" si="17"/>
        <v>57000</v>
      </c>
      <c r="N18" s="791">
        <f t="shared" si="47"/>
        <v>365</v>
      </c>
      <c r="O18" s="791">
        <f t="shared" si="48"/>
        <v>18050</v>
      </c>
      <c r="P18" s="790">
        <f t="shared" si="49"/>
        <v>18050</v>
      </c>
      <c r="Q18" s="847">
        <f t="shared" si="50"/>
        <v>38950</v>
      </c>
      <c r="R18" s="789">
        <f t="shared" si="18"/>
        <v>38950</v>
      </c>
      <c r="S18" s="790">
        <f t="shared" si="19"/>
        <v>57000</v>
      </c>
      <c r="T18" s="791">
        <f t="shared" si="20"/>
        <v>366</v>
      </c>
      <c r="U18" s="791">
        <f t="shared" si="21"/>
        <v>18050</v>
      </c>
      <c r="V18" s="790">
        <f t="shared" si="22"/>
        <v>36100</v>
      </c>
      <c r="W18" s="847">
        <f t="shared" si="23"/>
        <v>20900</v>
      </c>
      <c r="X18" s="846">
        <f t="shared" si="24"/>
        <v>20900</v>
      </c>
      <c r="Y18" s="783">
        <f t="shared" si="25"/>
        <v>57000</v>
      </c>
      <c r="Z18" s="783">
        <f t="shared" si="26"/>
        <v>365</v>
      </c>
      <c r="AA18" s="783">
        <f t="shared" si="27"/>
        <v>18050</v>
      </c>
      <c r="AB18" s="783">
        <f t="shared" si="28"/>
        <v>54150</v>
      </c>
      <c r="AC18" s="848">
        <f t="shared" si="29"/>
        <v>2850</v>
      </c>
      <c r="AD18" s="789">
        <f t="shared" si="30"/>
        <v>2850</v>
      </c>
      <c r="AE18" s="790">
        <f t="shared" si="31"/>
        <v>57000</v>
      </c>
      <c r="AF18" s="791">
        <f t="shared" si="32"/>
        <v>0</v>
      </c>
      <c r="AG18" s="791">
        <f t="shared" si="33"/>
        <v>0</v>
      </c>
      <c r="AH18" s="783">
        <f t="shared" si="34"/>
        <v>54150</v>
      </c>
      <c r="AI18" s="783">
        <f t="shared" si="35"/>
        <v>2850</v>
      </c>
      <c r="AJ18" s="790">
        <f t="shared" si="51"/>
        <v>2850</v>
      </c>
      <c r="AK18" s="790">
        <f t="shared" si="36"/>
        <v>57000</v>
      </c>
      <c r="AL18" s="791">
        <f t="shared" si="37"/>
        <v>0</v>
      </c>
      <c r="AM18" s="791">
        <f t="shared" si="38"/>
        <v>0</v>
      </c>
      <c r="AN18" s="783">
        <f t="shared" si="39"/>
        <v>54150</v>
      </c>
      <c r="AO18" s="783">
        <f t="shared" si="40"/>
        <v>2850</v>
      </c>
      <c r="AP18" s="793">
        <f t="shared" si="41"/>
        <v>2850</v>
      </c>
      <c r="AQ18" s="793">
        <f t="shared" si="42"/>
        <v>57000</v>
      </c>
      <c r="AR18" s="793">
        <f t="shared" si="43"/>
        <v>0</v>
      </c>
      <c r="AS18" s="793">
        <f t="shared" si="44"/>
        <v>0</v>
      </c>
      <c r="AT18" s="793">
        <f t="shared" si="45"/>
        <v>54150</v>
      </c>
      <c r="AU18" s="793">
        <f t="shared" si="46"/>
        <v>2850</v>
      </c>
    </row>
    <row r="19" spans="1:47" ht="15" customHeight="1" x14ac:dyDescent="0.25">
      <c r="A19" s="842" t="s">
        <v>1187</v>
      </c>
      <c r="B19" s="843" t="s">
        <v>1189</v>
      </c>
      <c r="C19" s="778">
        <f t="shared" si="14"/>
        <v>0.31666666666666665</v>
      </c>
      <c r="D19" s="844">
        <v>3</v>
      </c>
      <c r="E19" s="779" t="s">
        <v>1182</v>
      </c>
      <c r="F19" s="845">
        <v>43191</v>
      </c>
      <c r="G19" s="845">
        <v>43191</v>
      </c>
      <c r="H19" s="781">
        <f t="shared" si="15"/>
        <v>44286</v>
      </c>
      <c r="I19" s="795">
        <v>95000</v>
      </c>
      <c r="J19" s="783">
        <f t="shared" si="16"/>
        <v>4750</v>
      </c>
      <c r="K19" s="784"/>
      <c r="L19" s="846"/>
      <c r="M19" s="790">
        <f t="shared" si="17"/>
        <v>95000</v>
      </c>
      <c r="N19" s="791">
        <f t="shared" si="47"/>
        <v>365</v>
      </c>
      <c r="O19" s="791">
        <f t="shared" si="48"/>
        <v>30083</v>
      </c>
      <c r="P19" s="790">
        <f t="shared" si="49"/>
        <v>30083</v>
      </c>
      <c r="Q19" s="847">
        <f t="shared" si="50"/>
        <v>64917</v>
      </c>
      <c r="R19" s="789">
        <f t="shared" si="18"/>
        <v>64917</v>
      </c>
      <c r="S19" s="790">
        <f t="shared" si="19"/>
        <v>95000</v>
      </c>
      <c r="T19" s="791">
        <f t="shared" si="20"/>
        <v>366</v>
      </c>
      <c r="U19" s="791">
        <f t="shared" si="21"/>
        <v>30083</v>
      </c>
      <c r="V19" s="790">
        <f t="shared" si="22"/>
        <v>60166</v>
      </c>
      <c r="W19" s="847">
        <f t="shared" si="23"/>
        <v>34834</v>
      </c>
      <c r="X19" s="846">
        <f t="shared" si="24"/>
        <v>34834</v>
      </c>
      <c r="Y19" s="783">
        <f t="shared" si="25"/>
        <v>95000</v>
      </c>
      <c r="Z19" s="783">
        <f t="shared" si="26"/>
        <v>365</v>
      </c>
      <c r="AA19" s="783">
        <f t="shared" si="27"/>
        <v>30083</v>
      </c>
      <c r="AB19" s="783">
        <f t="shared" si="28"/>
        <v>90249</v>
      </c>
      <c r="AC19" s="848">
        <f t="shared" si="29"/>
        <v>4751</v>
      </c>
      <c r="AD19" s="789">
        <f t="shared" si="30"/>
        <v>4751</v>
      </c>
      <c r="AE19" s="790">
        <f t="shared" si="31"/>
        <v>95000</v>
      </c>
      <c r="AF19" s="791">
        <f t="shared" si="32"/>
        <v>0</v>
      </c>
      <c r="AG19" s="791">
        <f t="shared" si="33"/>
        <v>0</v>
      </c>
      <c r="AH19" s="783">
        <f t="shared" si="34"/>
        <v>90249</v>
      </c>
      <c r="AI19" s="783">
        <f t="shared" si="35"/>
        <v>4751</v>
      </c>
      <c r="AJ19" s="790">
        <f t="shared" si="51"/>
        <v>4751</v>
      </c>
      <c r="AK19" s="790">
        <f t="shared" si="36"/>
        <v>95000</v>
      </c>
      <c r="AL19" s="791">
        <f t="shared" si="37"/>
        <v>0</v>
      </c>
      <c r="AM19" s="791">
        <f t="shared" si="38"/>
        <v>0</v>
      </c>
      <c r="AN19" s="783">
        <f t="shared" si="39"/>
        <v>90249</v>
      </c>
      <c r="AO19" s="783">
        <f t="shared" si="40"/>
        <v>4751</v>
      </c>
      <c r="AP19" s="793">
        <f t="shared" si="41"/>
        <v>4751</v>
      </c>
      <c r="AQ19" s="793">
        <f t="shared" si="42"/>
        <v>95000</v>
      </c>
      <c r="AR19" s="793">
        <f t="shared" si="43"/>
        <v>0</v>
      </c>
      <c r="AS19" s="793">
        <f t="shared" si="44"/>
        <v>0</v>
      </c>
      <c r="AT19" s="793">
        <f t="shared" si="45"/>
        <v>90249</v>
      </c>
      <c r="AU19" s="793">
        <f t="shared" si="46"/>
        <v>4751</v>
      </c>
    </row>
    <row r="20" spans="1:47" ht="15" customHeight="1" x14ac:dyDescent="0.25">
      <c r="A20" s="842" t="s">
        <v>1187</v>
      </c>
      <c r="B20" s="843" t="s">
        <v>1189</v>
      </c>
      <c r="C20" s="778">
        <f t="shared" si="14"/>
        <v>0.31666666666666665</v>
      </c>
      <c r="D20" s="844">
        <v>3</v>
      </c>
      <c r="E20" s="779" t="s">
        <v>1182</v>
      </c>
      <c r="F20" s="845">
        <v>43191</v>
      </c>
      <c r="G20" s="845">
        <v>43191</v>
      </c>
      <c r="H20" s="781">
        <f t="shared" si="15"/>
        <v>44286</v>
      </c>
      <c r="I20" s="795">
        <v>285000</v>
      </c>
      <c r="J20" s="783">
        <f t="shared" si="16"/>
        <v>14250</v>
      </c>
      <c r="K20" s="784"/>
      <c r="L20" s="846"/>
      <c r="M20" s="790">
        <f t="shared" si="17"/>
        <v>285000</v>
      </c>
      <c r="N20" s="791">
        <f t="shared" si="47"/>
        <v>365</v>
      </c>
      <c r="O20" s="791">
        <f t="shared" si="48"/>
        <v>90250</v>
      </c>
      <c r="P20" s="790">
        <f t="shared" si="49"/>
        <v>90250</v>
      </c>
      <c r="Q20" s="847">
        <f t="shared" si="50"/>
        <v>194750</v>
      </c>
      <c r="R20" s="789">
        <f t="shared" si="18"/>
        <v>194750</v>
      </c>
      <c r="S20" s="790">
        <f t="shared" si="19"/>
        <v>285000</v>
      </c>
      <c r="T20" s="791">
        <f t="shared" si="20"/>
        <v>366</v>
      </c>
      <c r="U20" s="791">
        <f t="shared" si="21"/>
        <v>90250</v>
      </c>
      <c r="V20" s="790">
        <f t="shared" si="22"/>
        <v>180500</v>
      </c>
      <c r="W20" s="847">
        <f t="shared" si="23"/>
        <v>104500</v>
      </c>
      <c r="X20" s="846">
        <f t="shared" si="24"/>
        <v>104500</v>
      </c>
      <c r="Y20" s="783">
        <f t="shared" si="25"/>
        <v>285000</v>
      </c>
      <c r="Z20" s="783">
        <f t="shared" si="26"/>
        <v>365</v>
      </c>
      <c r="AA20" s="783">
        <f t="shared" si="27"/>
        <v>90250</v>
      </c>
      <c r="AB20" s="783">
        <f t="shared" si="28"/>
        <v>270750</v>
      </c>
      <c r="AC20" s="848">
        <f t="shared" si="29"/>
        <v>14250</v>
      </c>
      <c r="AD20" s="789">
        <f t="shared" si="30"/>
        <v>14250</v>
      </c>
      <c r="AE20" s="790">
        <f t="shared" si="31"/>
        <v>285000</v>
      </c>
      <c r="AF20" s="791">
        <f t="shared" si="32"/>
        <v>0</v>
      </c>
      <c r="AG20" s="791">
        <f t="shared" si="33"/>
        <v>0</v>
      </c>
      <c r="AH20" s="783">
        <f t="shared" si="34"/>
        <v>270750</v>
      </c>
      <c r="AI20" s="783">
        <f t="shared" si="35"/>
        <v>14250</v>
      </c>
      <c r="AJ20" s="790">
        <f t="shared" si="51"/>
        <v>14250</v>
      </c>
      <c r="AK20" s="790">
        <f t="shared" si="36"/>
        <v>285000</v>
      </c>
      <c r="AL20" s="791">
        <f t="shared" si="37"/>
        <v>0</v>
      </c>
      <c r="AM20" s="791">
        <f t="shared" si="38"/>
        <v>0</v>
      </c>
      <c r="AN20" s="783">
        <f t="shared" si="39"/>
        <v>270750</v>
      </c>
      <c r="AO20" s="783">
        <f t="shared" si="40"/>
        <v>14250</v>
      </c>
      <c r="AP20" s="793">
        <f t="shared" si="41"/>
        <v>14250</v>
      </c>
      <c r="AQ20" s="793">
        <f t="shared" si="42"/>
        <v>285000</v>
      </c>
      <c r="AR20" s="793">
        <f t="shared" si="43"/>
        <v>0</v>
      </c>
      <c r="AS20" s="793">
        <f t="shared" si="44"/>
        <v>0</v>
      </c>
      <c r="AT20" s="793">
        <f t="shared" si="45"/>
        <v>270750</v>
      </c>
      <c r="AU20" s="793">
        <f t="shared" si="46"/>
        <v>14250</v>
      </c>
    </row>
    <row r="21" spans="1:47" ht="15" customHeight="1" x14ac:dyDescent="0.25">
      <c r="A21" s="842" t="s">
        <v>1187</v>
      </c>
      <c r="B21" s="843" t="s">
        <v>1190</v>
      </c>
      <c r="C21" s="778">
        <f t="shared" si="14"/>
        <v>0.31666666666666665</v>
      </c>
      <c r="D21" s="844">
        <v>3</v>
      </c>
      <c r="E21" s="779" t="s">
        <v>1182</v>
      </c>
      <c r="F21" s="845">
        <v>43191</v>
      </c>
      <c r="G21" s="845">
        <v>43191</v>
      </c>
      <c r="H21" s="781">
        <f t="shared" si="15"/>
        <v>44286</v>
      </c>
      <c r="I21" s="795">
        <v>162000</v>
      </c>
      <c r="J21" s="783">
        <f t="shared" si="16"/>
        <v>8100</v>
      </c>
      <c r="K21" s="784"/>
      <c r="L21" s="846"/>
      <c r="M21" s="790">
        <f t="shared" si="17"/>
        <v>162000</v>
      </c>
      <c r="N21" s="791">
        <f t="shared" si="47"/>
        <v>365</v>
      </c>
      <c r="O21" s="791">
        <f t="shared" si="48"/>
        <v>51300</v>
      </c>
      <c r="P21" s="790">
        <f t="shared" si="49"/>
        <v>51300</v>
      </c>
      <c r="Q21" s="847">
        <f t="shared" si="50"/>
        <v>110700</v>
      </c>
      <c r="R21" s="789">
        <f t="shared" si="18"/>
        <v>110700</v>
      </c>
      <c r="S21" s="790">
        <f t="shared" si="19"/>
        <v>162000</v>
      </c>
      <c r="T21" s="791">
        <f t="shared" si="20"/>
        <v>366</v>
      </c>
      <c r="U21" s="791">
        <f t="shared" si="21"/>
        <v>51300</v>
      </c>
      <c r="V21" s="790">
        <f t="shared" si="22"/>
        <v>102600</v>
      </c>
      <c r="W21" s="847">
        <f t="shared" si="23"/>
        <v>59400</v>
      </c>
      <c r="X21" s="846">
        <f t="shared" si="24"/>
        <v>59400</v>
      </c>
      <c r="Y21" s="783">
        <f t="shared" si="25"/>
        <v>162000</v>
      </c>
      <c r="Z21" s="783">
        <f t="shared" si="26"/>
        <v>365</v>
      </c>
      <c r="AA21" s="783">
        <f t="shared" si="27"/>
        <v>51300</v>
      </c>
      <c r="AB21" s="783">
        <f t="shared" si="28"/>
        <v>153900</v>
      </c>
      <c r="AC21" s="848">
        <f t="shared" si="29"/>
        <v>8100</v>
      </c>
      <c r="AD21" s="789">
        <f t="shared" si="30"/>
        <v>8100</v>
      </c>
      <c r="AE21" s="790">
        <f t="shared" si="31"/>
        <v>162000</v>
      </c>
      <c r="AF21" s="791">
        <f t="shared" si="32"/>
        <v>0</v>
      </c>
      <c r="AG21" s="791">
        <f t="shared" si="33"/>
        <v>0</v>
      </c>
      <c r="AH21" s="783">
        <f t="shared" si="34"/>
        <v>153900</v>
      </c>
      <c r="AI21" s="783">
        <f t="shared" si="35"/>
        <v>8100</v>
      </c>
      <c r="AJ21" s="790">
        <f t="shared" si="51"/>
        <v>8100</v>
      </c>
      <c r="AK21" s="790">
        <f t="shared" si="36"/>
        <v>162000</v>
      </c>
      <c r="AL21" s="791">
        <f t="shared" si="37"/>
        <v>0</v>
      </c>
      <c r="AM21" s="791">
        <f t="shared" si="38"/>
        <v>0</v>
      </c>
      <c r="AN21" s="783">
        <f t="shared" si="39"/>
        <v>153900</v>
      </c>
      <c r="AO21" s="783">
        <f t="shared" si="40"/>
        <v>8100</v>
      </c>
      <c r="AP21" s="793">
        <f t="shared" si="41"/>
        <v>8100</v>
      </c>
      <c r="AQ21" s="793">
        <f t="shared" si="42"/>
        <v>162000</v>
      </c>
      <c r="AR21" s="793">
        <f t="shared" si="43"/>
        <v>0</v>
      </c>
      <c r="AS21" s="793">
        <f t="shared" si="44"/>
        <v>0</v>
      </c>
      <c r="AT21" s="793">
        <f t="shared" si="45"/>
        <v>153900</v>
      </c>
      <c r="AU21" s="793">
        <f t="shared" si="46"/>
        <v>8100</v>
      </c>
    </row>
    <row r="22" spans="1:47" ht="15" customHeight="1" x14ac:dyDescent="0.25">
      <c r="A22" s="842" t="s">
        <v>1187</v>
      </c>
      <c r="B22" s="843" t="s">
        <v>1191</v>
      </c>
      <c r="C22" s="778">
        <f t="shared" si="14"/>
        <v>0.31666666666666665</v>
      </c>
      <c r="D22" s="844">
        <v>3</v>
      </c>
      <c r="E22" s="779" t="s">
        <v>1182</v>
      </c>
      <c r="F22" s="845">
        <v>43191</v>
      </c>
      <c r="G22" s="845">
        <v>43191</v>
      </c>
      <c r="H22" s="781">
        <f t="shared" si="15"/>
        <v>44286</v>
      </c>
      <c r="I22" s="795">
        <v>135000</v>
      </c>
      <c r="J22" s="783">
        <f t="shared" si="16"/>
        <v>6750</v>
      </c>
      <c r="K22" s="784"/>
      <c r="L22" s="846"/>
      <c r="M22" s="790">
        <f t="shared" si="17"/>
        <v>135000</v>
      </c>
      <c r="N22" s="791">
        <f t="shared" si="47"/>
        <v>365</v>
      </c>
      <c r="O22" s="791">
        <f t="shared" si="48"/>
        <v>42750</v>
      </c>
      <c r="P22" s="790">
        <f t="shared" si="49"/>
        <v>42750</v>
      </c>
      <c r="Q22" s="847">
        <f t="shared" si="50"/>
        <v>92250</v>
      </c>
      <c r="R22" s="789">
        <f t="shared" si="18"/>
        <v>92250</v>
      </c>
      <c r="S22" s="790">
        <f t="shared" si="19"/>
        <v>135000</v>
      </c>
      <c r="T22" s="791">
        <f t="shared" si="20"/>
        <v>366</v>
      </c>
      <c r="U22" s="791">
        <f t="shared" si="21"/>
        <v>42750</v>
      </c>
      <c r="V22" s="790">
        <f t="shared" si="22"/>
        <v>85500</v>
      </c>
      <c r="W22" s="847">
        <f t="shared" si="23"/>
        <v>49500</v>
      </c>
      <c r="X22" s="846">
        <f t="shared" si="24"/>
        <v>49500</v>
      </c>
      <c r="Y22" s="783">
        <f t="shared" si="25"/>
        <v>135000</v>
      </c>
      <c r="Z22" s="783">
        <f t="shared" si="26"/>
        <v>365</v>
      </c>
      <c r="AA22" s="783">
        <f t="shared" si="27"/>
        <v>42750</v>
      </c>
      <c r="AB22" s="783">
        <f t="shared" si="28"/>
        <v>128250</v>
      </c>
      <c r="AC22" s="848">
        <f t="shared" si="29"/>
        <v>6750</v>
      </c>
      <c r="AD22" s="789">
        <f t="shared" si="30"/>
        <v>6750</v>
      </c>
      <c r="AE22" s="790">
        <f t="shared" si="31"/>
        <v>135000</v>
      </c>
      <c r="AF22" s="791">
        <f t="shared" si="32"/>
        <v>0</v>
      </c>
      <c r="AG22" s="791">
        <f t="shared" si="33"/>
        <v>0</v>
      </c>
      <c r="AH22" s="783">
        <f t="shared" si="34"/>
        <v>128250</v>
      </c>
      <c r="AI22" s="783">
        <f t="shared" si="35"/>
        <v>6750</v>
      </c>
      <c r="AJ22" s="790">
        <f t="shared" si="51"/>
        <v>6750</v>
      </c>
      <c r="AK22" s="790">
        <f t="shared" si="36"/>
        <v>135000</v>
      </c>
      <c r="AL22" s="791">
        <f t="shared" si="37"/>
        <v>0</v>
      </c>
      <c r="AM22" s="791">
        <f t="shared" si="38"/>
        <v>0</v>
      </c>
      <c r="AN22" s="783">
        <f t="shared" si="39"/>
        <v>128250</v>
      </c>
      <c r="AO22" s="783">
        <f t="shared" si="40"/>
        <v>6750</v>
      </c>
      <c r="AP22" s="793">
        <f t="shared" si="41"/>
        <v>6750</v>
      </c>
      <c r="AQ22" s="793">
        <f t="shared" si="42"/>
        <v>135000</v>
      </c>
      <c r="AR22" s="793">
        <f t="shared" si="43"/>
        <v>0</v>
      </c>
      <c r="AS22" s="793">
        <f t="shared" si="44"/>
        <v>0</v>
      </c>
      <c r="AT22" s="793">
        <f t="shared" si="45"/>
        <v>128250</v>
      </c>
      <c r="AU22" s="793">
        <f t="shared" si="46"/>
        <v>6750</v>
      </c>
    </row>
    <row r="23" spans="1:47" ht="15" customHeight="1" x14ac:dyDescent="0.25">
      <c r="A23" s="842" t="s">
        <v>1187</v>
      </c>
      <c r="B23" s="843" t="s">
        <v>1191</v>
      </c>
      <c r="C23" s="778">
        <f t="shared" si="14"/>
        <v>0.31666666666666665</v>
      </c>
      <c r="D23" s="844">
        <v>3</v>
      </c>
      <c r="E23" s="779" t="s">
        <v>1182</v>
      </c>
      <c r="F23" s="845">
        <v>43191</v>
      </c>
      <c r="G23" s="845">
        <v>43191</v>
      </c>
      <c r="H23" s="781">
        <f t="shared" si="15"/>
        <v>44286</v>
      </c>
      <c r="I23" s="795">
        <v>81000</v>
      </c>
      <c r="J23" s="783">
        <f t="shared" si="16"/>
        <v>4050</v>
      </c>
      <c r="K23" s="784"/>
      <c r="L23" s="846"/>
      <c r="M23" s="790">
        <f t="shared" si="17"/>
        <v>81000</v>
      </c>
      <c r="N23" s="791">
        <f t="shared" si="47"/>
        <v>365</v>
      </c>
      <c r="O23" s="791">
        <f t="shared" si="48"/>
        <v>25650</v>
      </c>
      <c r="P23" s="790">
        <f t="shared" si="49"/>
        <v>25650</v>
      </c>
      <c r="Q23" s="847">
        <f t="shared" si="50"/>
        <v>55350</v>
      </c>
      <c r="R23" s="789">
        <f t="shared" si="18"/>
        <v>55350</v>
      </c>
      <c r="S23" s="790">
        <f t="shared" si="19"/>
        <v>81000</v>
      </c>
      <c r="T23" s="791">
        <f t="shared" si="20"/>
        <v>366</v>
      </c>
      <c r="U23" s="791">
        <f t="shared" si="21"/>
        <v>25650</v>
      </c>
      <c r="V23" s="790">
        <f t="shared" si="22"/>
        <v>51300</v>
      </c>
      <c r="W23" s="847">
        <f t="shared" si="23"/>
        <v>29700</v>
      </c>
      <c r="X23" s="846">
        <f t="shared" si="24"/>
        <v>29700</v>
      </c>
      <c r="Y23" s="783">
        <f t="shared" si="25"/>
        <v>81000</v>
      </c>
      <c r="Z23" s="783">
        <f t="shared" si="26"/>
        <v>365</v>
      </c>
      <c r="AA23" s="783">
        <f t="shared" si="27"/>
        <v>25650</v>
      </c>
      <c r="AB23" s="783">
        <f t="shared" si="28"/>
        <v>76950</v>
      </c>
      <c r="AC23" s="848">
        <f t="shared" si="29"/>
        <v>4050</v>
      </c>
      <c r="AD23" s="789">
        <f t="shared" si="30"/>
        <v>4050</v>
      </c>
      <c r="AE23" s="790">
        <f t="shared" si="31"/>
        <v>81000</v>
      </c>
      <c r="AF23" s="791">
        <f t="shared" si="32"/>
        <v>0</v>
      </c>
      <c r="AG23" s="791">
        <f t="shared" si="33"/>
        <v>0</v>
      </c>
      <c r="AH23" s="783">
        <f t="shared" si="34"/>
        <v>76950</v>
      </c>
      <c r="AI23" s="783">
        <f t="shared" si="35"/>
        <v>4050</v>
      </c>
      <c r="AJ23" s="790">
        <f t="shared" si="51"/>
        <v>4050</v>
      </c>
      <c r="AK23" s="790">
        <f t="shared" si="36"/>
        <v>81000</v>
      </c>
      <c r="AL23" s="791">
        <f t="shared" si="37"/>
        <v>0</v>
      </c>
      <c r="AM23" s="791">
        <f t="shared" si="38"/>
        <v>0</v>
      </c>
      <c r="AN23" s="783">
        <f t="shared" si="39"/>
        <v>76950</v>
      </c>
      <c r="AO23" s="783">
        <f t="shared" si="40"/>
        <v>4050</v>
      </c>
      <c r="AP23" s="793">
        <f t="shared" si="41"/>
        <v>4050</v>
      </c>
      <c r="AQ23" s="793">
        <f t="shared" si="42"/>
        <v>81000</v>
      </c>
      <c r="AR23" s="793">
        <f t="shared" si="43"/>
        <v>0</v>
      </c>
      <c r="AS23" s="793">
        <f t="shared" si="44"/>
        <v>0</v>
      </c>
      <c r="AT23" s="793">
        <f t="shared" si="45"/>
        <v>76950</v>
      </c>
      <c r="AU23" s="793">
        <f t="shared" si="46"/>
        <v>4050</v>
      </c>
    </row>
    <row r="24" spans="1:47" ht="15" customHeight="1" x14ac:dyDescent="0.25">
      <c r="A24" s="842" t="s">
        <v>1187</v>
      </c>
      <c r="B24" s="843" t="s">
        <v>1191</v>
      </c>
      <c r="C24" s="778">
        <f t="shared" si="14"/>
        <v>0.31666666666666665</v>
      </c>
      <c r="D24" s="844">
        <v>3</v>
      </c>
      <c r="E24" s="779" t="s">
        <v>1182</v>
      </c>
      <c r="F24" s="845">
        <v>43191</v>
      </c>
      <c r="G24" s="845">
        <v>43191</v>
      </c>
      <c r="H24" s="781">
        <f t="shared" si="15"/>
        <v>44286</v>
      </c>
      <c r="I24" s="795">
        <v>82500</v>
      </c>
      <c r="J24" s="783">
        <f t="shared" si="16"/>
        <v>4125</v>
      </c>
      <c r="K24" s="784"/>
      <c r="L24" s="846"/>
      <c r="M24" s="790">
        <f t="shared" si="17"/>
        <v>82500</v>
      </c>
      <c r="N24" s="791">
        <f t="shared" si="47"/>
        <v>365</v>
      </c>
      <c r="O24" s="791">
        <f t="shared" si="48"/>
        <v>26125</v>
      </c>
      <c r="P24" s="790">
        <f t="shared" si="49"/>
        <v>26125</v>
      </c>
      <c r="Q24" s="847">
        <f t="shared" si="50"/>
        <v>56375</v>
      </c>
      <c r="R24" s="789">
        <f t="shared" si="18"/>
        <v>56375</v>
      </c>
      <c r="S24" s="790">
        <f t="shared" si="19"/>
        <v>82500</v>
      </c>
      <c r="T24" s="791">
        <f t="shared" si="20"/>
        <v>366</v>
      </c>
      <c r="U24" s="791">
        <f t="shared" si="21"/>
        <v>26125</v>
      </c>
      <c r="V24" s="790">
        <f t="shared" si="22"/>
        <v>52250</v>
      </c>
      <c r="W24" s="847">
        <f t="shared" si="23"/>
        <v>30250</v>
      </c>
      <c r="X24" s="846">
        <f t="shared" si="24"/>
        <v>30250</v>
      </c>
      <c r="Y24" s="783">
        <f t="shared" si="25"/>
        <v>82500</v>
      </c>
      <c r="Z24" s="783">
        <f t="shared" si="26"/>
        <v>365</v>
      </c>
      <c r="AA24" s="783">
        <f t="shared" si="27"/>
        <v>26125</v>
      </c>
      <c r="AB24" s="783">
        <f t="shared" si="28"/>
        <v>78375</v>
      </c>
      <c r="AC24" s="848">
        <f t="shared" si="29"/>
        <v>4125</v>
      </c>
      <c r="AD24" s="789">
        <f t="shared" si="30"/>
        <v>4125</v>
      </c>
      <c r="AE24" s="790">
        <f t="shared" si="31"/>
        <v>82500</v>
      </c>
      <c r="AF24" s="791">
        <f t="shared" si="32"/>
        <v>0</v>
      </c>
      <c r="AG24" s="791">
        <f t="shared" si="33"/>
        <v>0</v>
      </c>
      <c r="AH24" s="783">
        <f t="shared" si="34"/>
        <v>78375</v>
      </c>
      <c r="AI24" s="783">
        <f t="shared" si="35"/>
        <v>4125</v>
      </c>
      <c r="AJ24" s="790">
        <f t="shared" si="51"/>
        <v>4125</v>
      </c>
      <c r="AK24" s="790">
        <f t="shared" si="36"/>
        <v>82500</v>
      </c>
      <c r="AL24" s="791">
        <f t="shared" si="37"/>
        <v>0</v>
      </c>
      <c r="AM24" s="791">
        <f t="shared" si="38"/>
        <v>0</v>
      </c>
      <c r="AN24" s="783">
        <f t="shared" si="39"/>
        <v>78375</v>
      </c>
      <c r="AO24" s="783">
        <f t="shared" si="40"/>
        <v>4125</v>
      </c>
      <c r="AP24" s="793">
        <f t="shared" si="41"/>
        <v>4125</v>
      </c>
      <c r="AQ24" s="793">
        <f t="shared" si="42"/>
        <v>82500</v>
      </c>
      <c r="AR24" s="793">
        <f t="shared" si="43"/>
        <v>0</v>
      </c>
      <c r="AS24" s="793">
        <f t="shared" si="44"/>
        <v>0</v>
      </c>
      <c r="AT24" s="793">
        <f t="shared" si="45"/>
        <v>78375</v>
      </c>
      <c r="AU24" s="793">
        <f t="shared" si="46"/>
        <v>4125</v>
      </c>
    </row>
    <row r="25" spans="1:47" ht="15" customHeight="1" x14ac:dyDescent="0.25">
      <c r="A25" s="842" t="s">
        <v>1187</v>
      </c>
      <c r="B25" s="843" t="s">
        <v>1191</v>
      </c>
      <c r="C25" s="778">
        <f t="shared" si="14"/>
        <v>0.31666666666666665</v>
      </c>
      <c r="D25" s="844">
        <v>3</v>
      </c>
      <c r="E25" s="779" t="s">
        <v>1182</v>
      </c>
      <c r="F25" s="845">
        <v>43191</v>
      </c>
      <c r="G25" s="845">
        <v>43191</v>
      </c>
      <c r="H25" s="781">
        <f t="shared" si="15"/>
        <v>44286</v>
      </c>
      <c r="I25" s="795">
        <v>550</v>
      </c>
      <c r="J25" s="783">
        <f t="shared" si="16"/>
        <v>27.5</v>
      </c>
      <c r="K25" s="784"/>
      <c r="L25" s="846"/>
      <c r="M25" s="790">
        <f t="shared" si="17"/>
        <v>550</v>
      </c>
      <c r="N25" s="791">
        <f t="shared" si="47"/>
        <v>365</v>
      </c>
      <c r="O25" s="791">
        <f t="shared" si="48"/>
        <v>174</v>
      </c>
      <c r="P25" s="790">
        <f t="shared" si="49"/>
        <v>174</v>
      </c>
      <c r="Q25" s="847">
        <f t="shared" si="50"/>
        <v>376</v>
      </c>
      <c r="R25" s="789">
        <f t="shared" si="18"/>
        <v>376</v>
      </c>
      <c r="S25" s="790">
        <f t="shared" si="19"/>
        <v>550</v>
      </c>
      <c r="T25" s="791">
        <f t="shared" si="20"/>
        <v>366</v>
      </c>
      <c r="U25" s="791">
        <f t="shared" si="21"/>
        <v>174</v>
      </c>
      <c r="V25" s="790">
        <f t="shared" si="22"/>
        <v>348</v>
      </c>
      <c r="W25" s="847">
        <f t="shared" si="23"/>
        <v>202</v>
      </c>
      <c r="X25" s="846">
        <f t="shared" si="24"/>
        <v>202</v>
      </c>
      <c r="Y25" s="783">
        <f t="shared" si="25"/>
        <v>550</v>
      </c>
      <c r="Z25" s="783">
        <f t="shared" si="26"/>
        <v>365</v>
      </c>
      <c r="AA25" s="783">
        <f t="shared" si="27"/>
        <v>174</v>
      </c>
      <c r="AB25" s="783">
        <f t="shared" si="28"/>
        <v>522</v>
      </c>
      <c r="AC25" s="848">
        <f t="shared" si="29"/>
        <v>28</v>
      </c>
      <c r="AD25" s="789">
        <f t="shared" si="30"/>
        <v>28</v>
      </c>
      <c r="AE25" s="790">
        <f t="shared" si="31"/>
        <v>550</v>
      </c>
      <c r="AF25" s="791">
        <f t="shared" si="32"/>
        <v>0</v>
      </c>
      <c r="AG25" s="791">
        <f t="shared" si="33"/>
        <v>0</v>
      </c>
      <c r="AH25" s="783">
        <f t="shared" si="34"/>
        <v>522</v>
      </c>
      <c r="AI25" s="783">
        <f t="shared" si="35"/>
        <v>28</v>
      </c>
      <c r="AJ25" s="790">
        <f t="shared" si="51"/>
        <v>28</v>
      </c>
      <c r="AK25" s="790">
        <f t="shared" si="36"/>
        <v>550</v>
      </c>
      <c r="AL25" s="791">
        <f t="shared" si="37"/>
        <v>0</v>
      </c>
      <c r="AM25" s="791">
        <f t="shared" si="38"/>
        <v>0</v>
      </c>
      <c r="AN25" s="783">
        <f t="shared" si="39"/>
        <v>522</v>
      </c>
      <c r="AO25" s="783">
        <f t="shared" si="40"/>
        <v>28</v>
      </c>
      <c r="AP25" s="793">
        <f t="shared" si="41"/>
        <v>28</v>
      </c>
      <c r="AQ25" s="793">
        <f t="shared" si="42"/>
        <v>550</v>
      </c>
      <c r="AR25" s="793">
        <f t="shared" si="43"/>
        <v>0</v>
      </c>
      <c r="AS25" s="793">
        <f t="shared" si="44"/>
        <v>0</v>
      </c>
      <c r="AT25" s="793">
        <f t="shared" si="45"/>
        <v>522</v>
      </c>
      <c r="AU25" s="793">
        <f t="shared" si="46"/>
        <v>28</v>
      </c>
    </row>
    <row r="26" spans="1:47" ht="15" customHeight="1" x14ac:dyDescent="0.25">
      <c r="A26" s="842" t="s">
        <v>1187</v>
      </c>
      <c r="B26" s="843" t="s">
        <v>1191</v>
      </c>
      <c r="C26" s="778">
        <f t="shared" si="14"/>
        <v>0.31666666666666665</v>
      </c>
      <c r="D26" s="844">
        <v>3</v>
      </c>
      <c r="E26" s="779" t="s">
        <v>1182</v>
      </c>
      <c r="F26" s="845">
        <v>43191</v>
      </c>
      <c r="G26" s="845">
        <v>43191</v>
      </c>
      <c r="H26" s="781">
        <f t="shared" si="15"/>
        <v>44286</v>
      </c>
      <c r="I26" s="795">
        <v>28650</v>
      </c>
      <c r="J26" s="783">
        <f t="shared" si="16"/>
        <v>1432.5</v>
      </c>
      <c r="K26" s="784"/>
      <c r="L26" s="846"/>
      <c r="M26" s="790">
        <f t="shared" si="17"/>
        <v>28650</v>
      </c>
      <c r="N26" s="791">
        <f t="shared" si="47"/>
        <v>365</v>
      </c>
      <c r="O26" s="791">
        <f t="shared" si="48"/>
        <v>9073</v>
      </c>
      <c r="P26" s="790">
        <f t="shared" si="49"/>
        <v>9073</v>
      </c>
      <c r="Q26" s="847">
        <f t="shared" si="50"/>
        <v>19577</v>
      </c>
      <c r="R26" s="789">
        <f t="shared" si="18"/>
        <v>19577</v>
      </c>
      <c r="S26" s="790">
        <f t="shared" si="19"/>
        <v>28650</v>
      </c>
      <c r="T26" s="791">
        <f t="shared" si="20"/>
        <v>366</v>
      </c>
      <c r="U26" s="791">
        <f t="shared" si="21"/>
        <v>9073</v>
      </c>
      <c r="V26" s="790">
        <f t="shared" si="22"/>
        <v>18146</v>
      </c>
      <c r="W26" s="847">
        <f t="shared" si="23"/>
        <v>10504</v>
      </c>
      <c r="X26" s="846">
        <f t="shared" si="24"/>
        <v>10504</v>
      </c>
      <c r="Y26" s="783">
        <f t="shared" si="25"/>
        <v>28650</v>
      </c>
      <c r="Z26" s="783">
        <f t="shared" si="26"/>
        <v>365</v>
      </c>
      <c r="AA26" s="783">
        <f t="shared" si="27"/>
        <v>9073</v>
      </c>
      <c r="AB26" s="783">
        <f t="shared" si="28"/>
        <v>27219</v>
      </c>
      <c r="AC26" s="848">
        <f t="shared" si="29"/>
        <v>1431</v>
      </c>
      <c r="AD26" s="789">
        <f t="shared" si="30"/>
        <v>1431</v>
      </c>
      <c r="AE26" s="790">
        <f t="shared" si="31"/>
        <v>28650</v>
      </c>
      <c r="AF26" s="791">
        <f t="shared" si="32"/>
        <v>0</v>
      </c>
      <c r="AG26" s="791">
        <f t="shared" si="33"/>
        <v>0</v>
      </c>
      <c r="AH26" s="783">
        <f t="shared" si="34"/>
        <v>27219</v>
      </c>
      <c r="AI26" s="783">
        <f t="shared" si="35"/>
        <v>1431</v>
      </c>
      <c r="AJ26" s="790">
        <f t="shared" si="51"/>
        <v>1431</v>
      </c>
      <c r="AK26" s="790">
        <f t="shared" si="36"/>
        <v>28650</v>
      </c>
      <c r="AL26" s="791">
        <f t="shared" si="37"/>
        <v>0</v>
      </c>
      <c r="AM26" s="791">
        <f t="shared" si="38"/>
        <v>0</v>
      </c>
      <c r="AN26" s="783">
        <f t="shared" si="39"/>
        <v>27219</v>
      </c>
      <c r="AO26" s="783">
        <f t="shared" si="40"/>
        <v>1431</v>
      </c>
      <c r="AP26" s="793">
        <f t="shared" si="41"/>
        <v>1431</v>
      </c>
      <c r="AQ26" s="793">
        <f t="shared" si="42"/>
        <v>28650</v>
      </c>
      <c r="AR26" s="793">
        <f t="shared" si="43"/>
        <v>0</v>
      </c>
      <c r="AS26" s="793">
        <f t="shared" si="44"/>
        <v>0</v>
      </c>
      <c r="AT26" s="793">
        <f t="shared" si="45"/>
        <v>27219</v>
      </c>
      <c r="AU26" s="793">
        <f t="shared" si="46"/>
        <v>1431</v>
      </c>
    </row>
    <row r="27" spans="1:47" ht="15" customHeight="1" x14ac:dyDescent="0.25">
      <c r="A27" s="842" t="s">
        <v>1187</v>
      </c>
      <c r="B27" s="843" t="s">
        <v>1191</v>
      </c>
      <c r="C27" s="778">
        <f t="shared" si="14"/>
        <v>0.31666666666666665</v>
      </c>
      <c r="D27" s="844">
        <v>3</v>
      </c>
      <c r="E27" s="779" t="s">
        <v>1182</v>
      </c>
      <c r="F27" s="845">
        <v>43191</v>
      </c>
      <c r="G27" s="845">
        <v>43191</v>
      </c>
      <c r="H27" s="781">
        <f t="shared" si="15"/>
        <v>44286</v>
      </c>
      <c r="I27" s="795">
        <v>27750</v>
      </c>
      <c r="J27" s="783">
        <f t="shared" si="16"/>
        <v>1387.5</v>
      </c>
      <c r="K27" s="784"/>
      <c r="L27" s="846"/>
      <c r="M27" s="790">
        <f t="shared" si="17"/>
        <v>27750</v>
      </c>
      <c r="N27" s="791">
        <f t="shared" si="47"/>
        <v>365</v>
      </c>
      <c r="O27" s="791">
        <f t="shared" si="48"/>
        <v>8788</v>
      </c>
      <c r="P27" s="790">
        <f t="shared" si="49"/>
        <v>8788</v>
      </c>
      <c r="Q27" s="847">
        <f t="shared" si="50"/>
        <v>18962</v>
      </c>
      <c r="R27" s="789">
        <f t="shared" si="18"/>
        <v>18962</v>
      </c>
      <c r="S27" s="790">
        <f t="shared" si="19"/>
        <v>27750</v>
      </c>
      <c r="T27" s="791">
        <f t="shared" si="20"/>
        <v>366</v>
      </c>
      <c r="U27" s="791">
        <f t="shared" si="21"/>
        <v>8788</v>
      </c>
      <c r="V27" s="790">
        <f t="shared" si="22"/>
        <v>17576</v>
      </c>
      <c r="W27" s="847">
        <f t="shared" si="23"/>
        <v>10174</v>
      </c>
      <c r="X27" s="846">
        <f t="shared" si="24"/>
        <v>10174</v>
      </c>
      <c r="Y27" s="783">
        <f t="shared" si="25"/>
        <v>27750</v>
      </c>
      <c r="Z27" s="783">
        <f t="shared" si="26"/>
        <v>365</v>
      </c>
      <c r="AA27" s="783">
        <f t="shared" si="27"/>
        <v>8788</v>
      </c>
      <c r="AB27" s="783">
        <f t="shared" si="28"/>
        <v>26364</v>
      </c>
      <c r="AC27" s="848">
        <f t="shared" si="29"/>
        <v>1386</v>
      </c>
      <c r="AD27" s="789">
        <f t="shared" si="30"/>
        <v>1386</v>
      </c>
      <c r="AE27" s="790">
        <f t="shared" si="31"/>
        <v>27750</v>
      </c>
      <c r="AF27" s="791">
        <f t="shared" si="32"/>
        <v>0</v>
      </c>
      <c r="AG27" s="791">
        <f t="shared" si="33"/>
        <v>0</v>
      </c>
      <c r="AH27" s="783">
        <f t="shared" si="34"/>
        <v>26364</v>
      </c>
      <c r="AI27" s="783">
        <f t="shared" si="35"/>
        <v>1386</v>
      </c>
      <c r="AJ27" s="790">
        <f t="shared" si="51"/>
        <v>1386</v>
      </c>
      <c r="AK27" s="790">
        <f t="shared" si="36"/>
        <v>27750</v>
      </c>
      <c r="AL27" s="791">
        <f t="shared" si="37"/>
        <v>0</v>
      </c>
      <c r="AM27" s="791">
        <f t="shared" si="38"/>
        <v>0</v>
      </c>
      <c r="AN27" s="783">
        <f t="shared" si="39"/>
        <v>26364</v>
      </c>
      <c r="AO27" s="783">
        <f t="shared" si="40"/>
        <v>1386</v>
      </c>
      <c r="AP27" s="793">
        <f t="shared" si="41"/>
        <v>1386</v>
      </c>
      <c r="AQ27" s="793">
        <f t="shared" si="42"/>
        <v>27750</v>
      </c>
      <c r="AR27" s="793">
        <f t="shared" si="43"/>
        <v>0</v>
      </c>
      <c r="AS27" s="793">
        <f t="shared" si="44"/>
        <v>0</v>
      </c>
      <c r="AT27" s="793">
        <f t="shared" si="45"/>
        <v>26364</v>
      </c>
      <c r="AU27" s="793">
        <f t="shared" si="46"/>
        <v>1386</v>
      </c>
    </row>
    <row r="28" spans="1:47" ht="15" customHeight="1" x14ac:dyDescent="0.25">
      <c r="A28" s="842" t="s">
        <v>1187</v>
      </c>
      <c r="B28" s="843" t="s">
        <v>1192</v>
      </c>
      <c r="C28" s="778">
        <f t="shared" si="14"/>
        <v>0.31666666666666665</v>
      </c>
      <c r="D28" s="844">
        <v>3</v>
      </c>
      <c r="E28" s="779" t="s">
        <v>1182</v>
      </c>
      <c r="F28" s="845">
        <v>43191</v>
      </c>
      <c r="G28" s="845">
        <v>43191</v>
      </c>
      <c r="H28" s="781">
        <f t="shared" si="15"/>
        <v>44286</v>
      </c>
      <c r="I28" s="795">
        <v>30300</v>
      </c>
      <c r="J28" s="783">
        <f t="shared" si="16"/>
        <v>1515</v>
      </c>
      <c r="K28" s="784"/>
      <c r="L28" s="846"/>
      <c r="M28" s="790">
        <f t="shared" si="17"/>
        <v>30300</v>
      </c>
      <c r="N28" s="791">
        <f t="shared" si="47"/>
        <v>365</v>
      </c>
      <c r="O28" s="791">
        <f t="shared" si="48"/>
        <v>9595</v>
      </c>
      <c r="P28" s="790">
        <f t="shared" si="49"/>
        <v>9595</v>
      </c>
      <c r="Q28" s="847">
        <f t="shared" si="50"/>
        <v>20705</v>
      </c>
      <c r="R28" s="789">
        <f t="shared" si="18"/>
        <v>20705</v>
      </c>
      <c r="S28" s="790">
        <f t="shared" si="19"/>
        <v>30300</v>
      </c>
      <c r="T28" s="791">
        <f t="shared" si="20"/>
        <v>366</v>
      </c>
      <c r="U28" s="791">
        <f t="shared" si="21"/>
        <v>9595</v>
      </c>
      <c r="V28" s="790">
        <f t="shared" si="22"/>
        <v>19190</v>
      </c>
      <c r="W28" s="847">
        <f t="shared" si="23"/>
        <v>11110</v>
      </c>
      <c r="X28" s="846">
        <f t="shared" si="24"/>
        <v>11110</v>
      </c>
      <c r="Y28" s="783">
        <f t="shared" si="25"/>
        <v>30300</v>
      </c>
      <c r="Z28" s="783">
        <f t="shared" si="26"/>
        <v>365</v>
      </c>
      <c r="AA28" s="783">
        <f t="shared" si="27"/>
        <v>9595</v>
      </c>
      <c r="AB28" s="783">
        <f t="shared" si="28"/>
        <v>28785</v>
      </c>
      <c r="AC28" s="848">
        <f t="shared" si="29"/>
        <v>1515</v>
      </c>
      <c r="AD28" s="789">
        <f t="shared" si="30"/>
        <v>1515</v>
      </c>
      <c r="AE28" s="790">
        <f t="shared" si="31"/>
        <v>30300</v>
      </c>
      <c r="AF28" s="791">
        <f t="shared" si="32"/>
        <v>0</v>
      </c>
      <c r="AG28" s="791">
        <f t="shared" si="33"/>
        <v>0</v>
      </c>
      <c r="AH28" s="783">
        <f t="shared" si="34"/>
        <v>28785</v>
      </c>
      <c r="AI28" s="783">
        <f t="shared" si="35"/>
        <v>1515</v>
      </c>
      <c r="AJ28" s="790">
        <f t="shared" si="51"/>
        <v>1515</v>
      </c>
      <c r="AK28" s="790">
        <f t="shared" si="36"/>
        <v>30300</v>
      </c>
      <c r="AL28" s="791">
        <f t="shared" si="37"/>
        <v>0</v>
      </c>
      <c r="AM28" s="791">
        <f t="shared" si="38"/>
        <v>0</v>
      </c>
      <c r="AN28" s="783">
        <f t="shared" si="39"/>
        <v>28785</v>
      </c>
      <c r="AO28" s="783">
        <f t="shared" si="40"/>
        <v>1515</v>
      </c>
      <c r="AP28" s="793">
        <f t="shared" si="41"/>
        <v>1515</v>
      </c>
      <c r="AQ28" s="793">
        <f t="shared" si="42"/>
        <v>30300</v>
      </c>
      <c r="AR28" s="793">
        <f t="shared" si="43"/>
        <v>0</v>
      </c>
      <c r="AS28" s="793">
        <f t="shared" si="44"/>
        <v>0</v>
      </c>
      <c r="AT28" s="793">
        <f t="shared" si="45"/>
        <v>28785</v>
      </c>
      <c r="AU28" s="793">
        <f t="shared" si="46"/>
        <v>1515</v>
      </c>
    </row>
    <row r="29" spans="1:47" ht="15" customHeight="1" x14ac:dyDescent="0.25">
      <c r="A29" s="842" t="s">
        <v>1187</v>
      </c>
      <c r="B29" s="843" t="s">
        <v>1192</v>
      </c>
      <c r="C29" s="778">
        <f t="shared" si="14"/>
        <v>0.31666666666666665</v>
      </c>
      <c r="D29" s="844">
        <v>3</v>
      </c>
      <c r="E29" s="779" t="s">
        <v>1182</v>
      </c>
      <c r="F29" s="845">
        <v>43191</v>
      </c>
      <c r="G29" s="845">
        <v>43191</v>
      </c>
      <c r="H29" s="781">
        <f t="shared" si="15"/>
        <v>44286</v>
      </c>
      <c r="I29" s="795">
        <v>72360</v>
      </c>
      <c r="J29" s="783">
        <f t="shared" si="16"/>
        <v>3618</v>
      </c>
      <c r="K29" s="784"/>
      <c r="L29" s="846"/>
      <c r="M29" s="790">
        <f t="shared" si="17"/>
        <v>72360</v>
      </c>
      <c r="N29" s="791">
        <f t="shared" si="47"/>
        <v>365</v>
      </c>
      <c r="O29" s="791">
        <f t="shared" si="48"/>
        <v>22914</v>
      </c>
      <c r="P29" s="790">
        <f t="shared" si="49"/>
        <v>22914</v>
      </c>
      <c r="Q29" s="847">
        <f t="shared" si="50"/>
        <v>49446</v>
      </c>
      <c r="R29" s="789">
        <f t="shared" si="18"/>
        <v>49446</v>
      </c>
      <c r="S29" s="790">
        <f t="shared" si="19"/>
        <v>72360</v>
      </c>
      <c r="T29" s="791">
        <f t="shared" si="20"/>
        <v>366</v>
      </c>
      <c r="U29" s="791">
        <f t="shared" si="21"/>
        <v>22914</v>
      </c>
      <c r="V29" s="790">
        <f t="shared" si="22"/>
        <v>45828</v>
      </c>
      <c r="W29" s="847">
        <f t="shared" si="23"/>
        <v>26532</v>
      </c>
      <c r="X29" s="846">
        <f t="shared" si="24"/>
        <v>26532</v>
      </c>
      <c r="Y29" s="783">
        <f t="shared" si="25"/>
        <v>72360</v>
      </c>
      <c r="Z29" s="783">
        <f t="shared" si="26"/>
        <v>365</v>
      </c>
      <c r="AA29" s="783">
        <f t="shared" si="27"/>
        <v>22914</v>
      </c>
      <c r="AB29" s="783">
        <f t="shared" si="28"/>
        <v>68742</v>
      </c>
      <c r="AC29" s="848">
        <f t="shared" si="29"/>
        <v>3618</v>
      </c>
      <c r="AD29" s="789">
        <f t="shared" si="30"/>
        <v>3618</v>
      </c>
      <c r="AE29" s="790">
        <f t="shared" si="31"/>
        <v>72360</v>
      </c>
      <c r="AF29" s="791">
        <f t="shared" si="32"/>
        <v>0</v>
      </c>
      <c r="AG29" s="791">
        <f t="shared" si="33"/>
        <v>0</v>
      </c>
      <c r="AH29" s="783">
        <f t="shared" si="34"/>
        <v>68742</v>
      </c>
      <c r="AI29" s="783">
        <f t="shared" si="35"/>
        <v>3618</v>
      </c>
      <c r="AJ29" s="790">
        <f t="shared" si="51"/>
        <v>3618</v>
      </c>
      <c r="AK29" s="790">
        <f t="shared" si="36"/>
        <v>72360</v>
      </c>
      <c r="AL29" s="791">
        <f t="shared" si="37"/>
        <v>0</v>
      </c>
      <c r="AM29" s="791">
        <f t="shared" si="38"/>
        <v>0</v>
      </c>
      <c r="AN29" s="783">
        <f t="shared" si="39"/>
        <v>68742</v>
      </c>
      <c r="AO29" s="783">
        <f t="shared" si="40"/>
        <v>3618</v>
      </c>
      <c r="AP29" s="793">
        <f t="shared" si="41"/>
        <v>3618</v>
      </c>
      <c r="AQ29" s="793">
        <f t="shared" si="42"/>
        <v>72360</v>
      </c>
      <c r="AR29" s="793">
        <f t="shared" si="43"/>
        <v>0</v>
      </c>
      <c r="AS29" s="793">
        <f t="shared" si="44"/>
        <v>0</v>
      </c>
      <c r="AT29" s="793">
        <f t="shared" si="45"/>
        <v>68742</v>
      </c>
      <c r="AU29" s="793">
        <f t="shared" si="46"/>
        <v>3618</v>
      </c>
    </row>
    <row r="30" spans="1:47" ht="15" customHeight="1" x14ac:dyDescent="0.25">
      <c r="A30" s="842" t="s">
        <v>1187</v>
      </c>
      <c r="B30" s="843" t="s">
        <v>1192</v>
      </c>
      <c r="C30" s="778">
        <f t="shared" si="14"/>
        <v>0.31666666666666665</v>
      </c>
      <c r="D30" s="844">
        <v>3</v>
      </c>
      <c r="E30" s="779" t="s">
        <v>1182</v>
      </c>
      <c r="F30" s="845">
        <v>43191</v>
      </c>
      <c r="G30" s="845">
        <v>43191</v>
      </c>
      <c r="H30" s="781">
        <f t="shared" si="15"/>
        <v>44286</v>
      </c>
      <c r="I30" s="795">
        <v>5600</v>
      </c>
      <c r="J30" s="783">
        <f t="shared" si="16"/>
        <v>280</v>
      </c>
      <c r="K30" s="784"/>
      <c r="L30" s="846"/>
      <c r="M30" s="790">
        <f t="shared" si="17"/>
        <v>5600</v>
      </c>
      <c r="N30" s="791">
        <f t="shared" si="47"/>
        <v>365</v>
      </c>
      <c r="O30" s="791">
        <f t="shared" si="48"/>
        <v>1773</v>
      </c>
      <c r="P30" s="790">
        <f t="shared" si="49"/>
        <v>1773</v>
      </c>
      <c r="Q30" s="847">
        <f t="shared" si="50"/>
        <v>3827</v>
      </c>
      <c r="R30" s="789">
        <f t="shared" si="18"/>
        <v>3827</v>
      </c>
      <c r="S30" s="790">
        <f t="shared" si="19"/>
        <v>5600</v>
      </c>
      <c r="T30" s="791">
        <f t="shared" si="20"/>
        <v>366</v>
      </c>
      <c r="U30" s="791">
        <f t="shared" si="21"/>
        <v>1773</v>
      </c>
      <c r="V30" s="790">
        <f t="shared" si="22"/>
        <v>3546</v>
      </c>
      <c r="W30" s="847">
        <f t="shared" si="23"/>
        <v>2054</v>
      </c>
      <c r="X30" s="846">
        <f t="shared" si="24"/>
        <v>2054</v>
      </c>
      <c r="Y30" s="783">
        <f t="shared" si="25"/>
        <v>5600</v>
      </c>
      <c r="Z30" s="783">
        <f t="shared" si="26"/>
        <v>365</v>
      </c>
      <c r="AA30" s="783">
        <f t="shared" si="27"/>
        <v>1773</v>
      </c>
      <c r="AB30" s="783">
        <f t="shared" si="28"/>
        <v>5319</v>
      </c>
      <c r="AC30" s="848">
        <f t="shared" si="29"/>
        <v>281</v>
      </c>
      <c r="AD30" s="789">
        <f t="shared" si="30"/>
        <v>281</v>
      </c>
      <c r="AE30" s="790">
        <f t="shared" si="31"/>
        <v>5600</v>
      </c>
      <c r="AF30" s="791">
        <f t="shared" si="32"/>
        <v>0</v>
      </c>
      <c r="AG30" s="791">
        <f t="shared" si="33"/>
        <v>0</v>
      </c>
      <c r="AH30" s="783">
        <f t="shared" si="34"/>
        <v>5319</v>
      </c>
      <c r="AI30" s="783">
        <f t="shared" si="35"/>
        <v>281</v>
      </c>
      <c r="AJ30" s="790">
        <f t="shared" si="51"/>
        <v>281</v>
      </c>
      <c r="AK30" s="790">
        <f t="shared" si="36"/>
        <v>5600</v>
      </c>
      <c r="AL30" s="791">
        <f t="shared" si="37"/>
        <v>0</v>
      </c>
      <c r="AM30" s="791">
        <f t="shared" si="38"/>
        <v>0</v>
      </c>
      <c r="AN30" s="783">
        <f t="shared" si="39"/>
        <v>5319</v>
      </c>
      <c r="AO30" s="783">
        <f t="shared" si="40"/>
        <v>281</v>
      </c>
      <c r="AP30" s="793">
        <f t="shared" si="41"/>
        <v>281</v>
      </c>
      <c r="AQ30" s="793">
        <f t="shared" si="42"/>
        <v>5600</v>
      </c>
      <c r="AR30" s="793">
        <f t="shared" si="43"/>
        <v>0</v>
      </c>
      <c r="AS30" s="793">
        <f t="shared" si="44"/>
        <v>0</v>
      </c>
      <c r="AT30" s="793">
        <f t="shared" si="45"/>
        <v>5319</v>
      </c>
      <c r="AU30" s="793">
        <f t="shared" si="46"/>
        <v>281</v>
      </c>
    </row>
    <row r="31" spans="1:47" ht="15" customHeight="1" x14ac:dyDescent="0.25">
      <c r="A31" s="842" t="s">
        <v>1187</v>
      </c>
      <c r="B31" s="843" t="s">
        <v>1192</v>
      </c>
      <c r="C31" s="778">
        <f t="shared" si="14"/>
        <v>0.31666666666666665</v>
      </c>
      <c r="D31" s="844">
        <v>3</v>
      </c>
      <c r="E31" s="779" t="s">
        <v>1182</v>
      </c>
      <c r="F31" s="845">
        <v>43191</v>
      </c>
      <c r="G31" s="845">
        <v>43191</v>
      </c>
      <c r="H31" s="781">
        <f t="shared" si="15"/>
        <v>44286</v>
      </c>
      <c r="I31" s="795">
        <v>30300</v>
      </c>
      <c r="J31" s="783">
        <f t="shared" si="16"/>
        <v>1515</v>
      </c>
      <c r="K31" s="784"/>
      <c r="L31" s="846"/>
      <c r="M31" s="790">
        <f t="shared" si="17"/>
        <v>30300</v>
      </c>
      <c r="N31" s="791">
        <f t="shared" si="47"/>
        <v>365</v>
      </c>
      <c r="O31" s="791">
        <f t="shared" si="48"/>
        <v>9595</v>
      </c>
      <c r="P31" s="790">
        <f t="shared" si="49"/>
        <v>9595</v>
      </c>
      <c r="Q31" s="847">
        <f t="shared" si="50"/>
        <v>20705</v>
      </c>
      <c r="R31" s="789">
        <f t="shared" si="18"/>
        <v>20705</v>
      </c>
      <c r="S31" s="790">
        <f t="shared" si="19"/>
        <v>30300</v>
      </c>
      <c r="T31" s="791">
        <f t="shared" si="20"/>
        <v>366</v>
      </c>
      <c r="U31" s="791">
        <f t="shared" si="21"/>
        <v>9595</v>
      </c>
      <c r="V31" s="790">
        <f t="shared" si="22"/>
        <v>19190</v>
      </c>
      <c r="W31" s="847">
        <f t="shared" si="23"/>
        <v>11110</v>
      </c>
      <c r="X31" s="846">
        <f t="shared" si="24"/>
        <v>11110</v>
      </c>
      <c r="Y31" s="783">
        <f t="shared" si="25"/>
        <v>30300</v>
      </c>
      <c r="Z31" s="783">
        <f t="shared" si="26"/>
        <v>365</v>
      </c>
      <c r="AA31" s="783">
        <f t="shared" si="27"/>
        <v>9595</v>
      </c>
      <c r="AB31" s="783">
        <f t="shared" si="28"/>
        <v>28785</v>
      </c>
      <c r="AC31" s="848">
        <f t="shared" si="29"/>
        <v>1515</v>
      </c>
      <c r="AD31" s="789">
        <f t="shared" si="30"/>
        <v>1515</v>
      </c>
      <c r="AE31" s="790">
        <f t="shared" si="31"/>
        <v>30300</v>
      </c>
      <c r="AF31" s="791">
        <f t="shared" si="32"/>
        <v>0</v>
      </c>
      <c r="AG31" s="791">
        <f t="shared" si="33"/>
        <v>0</v>
      </c>
      <c r="AH31" s="783">
        <f t="shared" si="34"/>
        <v>28785</v>
      </c>
      <c r="AI31" s="783">
        <f t="shared" si="35"/>
        <v>1515</v>
      </c>
      <c r="AJ31" s="790">
        <f t="shared" si="51"/>
        <v>1515</v>
      </c>
      <c r="AK31" s="790">
        <f t="shared" si="36"/>
        <v>30300</v>
      </c>
      <c r="AL31" s="791">
        <f t="shared" si="37"/>
        <v>0</v>
      </c>
      <c r="AM31" s="791">
        <f t="shared" si="38"/>
        <v>0</v>
      </c>
      <c r="AN31" s="783">
        <f t="shared" si="39"/>
        <v>28785</v>
      </c>
      <c r="AO31" s="783">
        <f t="shared" si="40"/>
        <v>1515</v>
      </c>
      <c r="AP31" s="793">
        <f t="shared" si="41"/>
        <v>1515</v>
      </c>
      <c r="AQ31" s="793">
        <f t="shared" si="42"/>
        <v>30300</v>
      </c>
      <c r="AR31" s="793">
        <f t="shared" si="43"/>
        <v>0</v>
      </c>
      <c r="AS31" s="793">
        <f t="shared" si="44"/>
        <v>0</v>
      </c>
      <c r="AT31" s="793">
        <f t="shared" si="45"/>
        <v>28785</v>
      </c>
      <c r="AU31" s="793">
        <f t="shared" si="46"/>
        <v>1515</v>
      </c>
    </row>
    <row r="32" spans="1:47" ht="15" customHeight="1" x14ac:dyDescent="0.25">
      <c r="A32" s="842" t="s">
        <v>1187</v>
      </c>
      <c r="B32" s="843" t="s">
        <v>1192</v>
      </c>
      <c r="C32" s="778">
        <f t="shared" si="14"/>
        <v>0.31666666666666665</v>
      </c>
      <c r="D32" s="844">
        <v>3</v>
      </c>
      <c r="E32" s="779" t="s">
        <v>1182</v>
      </c>
      <c r="F32" s="845">
        <v>43191</v>
      </c>
      <c r="G32" s="845">
        <v>43191</v>
      </c>
      <c r="H32" s="781">
        <f t="shared" si="15"/>
        <v>44286</v>
      </c>
      <c r="I32" s="795">
        <v>1600</v>
      </c>
      <c r="J32" s="783">
        <f t="shared" si="16"/>
        <v>80</v>
      </c>
      <c r="K32" s="784"/>
      <c r="L32" s="846"/>
      <c r="M32" s="790">
        <f t="shared" si="17"/>
        <v>1600</v>
      </c>
      <c r="N32" s="791">
        <f t="shared" si="47"/>
        <v>365</v>
      </c>
      <c r="O32" s="791">
        <f t="shared" si="48"/>
        <v>507</v>
      </c>
      <c r="P32" s="790">
        <f t="shared" si="49"/>
        <v>507</v>
      </c>
      <c r="Q32" s="847">
        <f t="shared" si="50"/>
        <v>1093</v>
      </c>
      <c r="R32" s="789">
        <f t="shared" si="18"/>
        <v>1093</v>
      </c>
      <c r="S32" s="790">
        <f t="shared" si="19"/>
        <v>1600</v>
      </c>
      <c r="T32" s="791">
        <f t="shared" si="20"/>
        <v>366</v>
      </c>
      <c r="U32" s="791">
        <f t="shared" si="21"/>
        <v>507</v>
      </c>
      <c r="V32" s="790">
        <f t="shared" si="22"/>
        <v>1014</v>
      </c>
      <c r="W32" s="847">
        <f t="shared" si="23"/>
        <v>586</v>
      </c>
      <c r="X32" s="846">
        <f t="shared" si="24"/>
        <v>586</v>
      </c>
      <c r="Y32" s="783">
        <f t="shared" si="25"/>
        <v>1600</v>
      </c>
      <c r="Z32" s="783">
        <f t="shared" si="26"/>
        <v>365</v>
      </c>
      <c r="AA32" s="783">
        <f t="shared" si="27"/>
        <v>507</v>
      </c>
      <c r="AB32" s="783">
        <f t="shared" si="28"/>
        <v>1521</v>
      </c>
      <c r="AC32" s="848">
        <f t="shared" si="29"/>
        <v>79</v>
      </c>
      <c r="AD32" s="789">
        <f t="shared" si="30"/>
        <v>79</v>
      </c>
      <c r="AE32" s="790">
        <f t="shared" si="31"/>
        <v>1600</v>
      </c>
      <c r="AF32" s="791">
        <f t="shared" si="32"/>
        <v>0</v>
      </c>
      <c r="AG32" s="791">
        <f t="shared" si="33"/>
        <v>0</v>
      </c>
      <c r="AH32" s="783">
        <f t="shared" si="34"/>
        <v>1521</v>
      </c>
      <c r="AI32" s="783">
        <f t="shared" si="35"/>
        <v>79</v>
      </c>
      <c r="AJ32" s="790">
        <f t="shared" si="51"/>
        <v>79</v>
      </c>
      <c r="AK32" s="790">
        <f t="shared" si="36"/>
        <v>1600</v>
      </c>
      <c r="AL32" s="791">
        <f t="shared" si="37"/>
        <v>0</v>
      </c>
      <c r="AM32" s="791">
        <f t="shared" si="38"/>
        <v>0</v>
      </c>
      <c r="AN32" s="783">
        <f t="shared" si="39"/>
        <v>1521</v>
      </c>
      <c r="AO32" s="783">
        <f t="shared" si="40"/>
        <v>79</v>
      </c>
      <c r="AP32" s="793">
        <f t="shared" si="41"/>
        <v>79</v>
      </c>
      <c r="AQ32" s="793">
        <f t="shared" si="42"/>
        <v>1600</v>
      </c>
      <c r="AR32" s="793">
        <f t="shared" si="43"/>
        <v>0</v>
      </c>
      <c r="AS32" s="793">
        <f t="shared" si="44"/>
        <v>0</v>
      </c>
      <c r="AT32" s="793">
        <f t="shared" si="45"/>
        <v>1521</v>
      </c>
      <c r="AU32" s="793">
        <f t="shared" si="46"/>
        <v>79</v>
      </c>
    </row>
    <row r="33" spans="1:47" ht="15" customHeight="1" x14ac:dyDescent="0.25">
      <c r="A33" s="842" t="s">
        <v>1187</v>
      </c>
      <c r="B33" s="843" t="s">
        <v>1193</v>
      </c>
      <c r="C33" s="778">
        <f t="shared" si="14"/>
        <v>0.31666666666666665</v>
      </c>
      <c r="D33" s="844">
        <v>3</v>
      </c>
      <c r="E33" s="779" t="s">
        <v>1182</v>
      </c>
      <c r="F33" s="845">
        <v>43191</v>
      </c>
      <c r="G33" s="845">
        <v>43191</v>
      </c>
      <c r="H33" s="781">
        <f t="shared" si="15"/>
        <v>44286</v>
      </c>
      <c r="I33" s="795">
        <v>22600</v>
      </c>
      <c r="J33" s="783">
        <f t="shared" si="16"/>
        <v>1130</v>
      </c>
      <c r="K33" s="784"/>
      <c r="L33" s="846"/>
      <c r="M33" s="790">
        <f t="shared" si="17"/>
        <v>22600</v>
      </c>
      <c r="N33" s="791">
        <f t="shared" si="47"/>
        <v>365</v>
      </c>
      <c r="O33" s="791">
        <f t="shared" si="48"/>
        <v>7157</v>
      </c>
      <c r="P33" s="790">
        <f t="shared" si="49"/>
        <v>7157</v>
      </c>
      <c r="Q33" s="847">
        <f t="shared" si="50"/>
        <v>15443</v>
      </c>
      <c r="R33" s="789">
        <f t="shared" si="18"/>
        <v>15443</v>
      </c>
      <c r="S33" s="790">
        <f t="shared" si="19"/>
        <v>22600</v>
      </c>
      <c r="T33" s="791">
        <f t="shared" si="20"/>
        <v>366</v>
      </c>
      <c r="U33" s="791">
        <f t="shared" si="21"/>
        <v>7157</v>
      </c>
      <c r="V33" s="790">
        <f t="shared" si="22"/>
        <v>14314</v>
      </c>
      <c r="W33" s="847">
        <f t="shared" si="23"/>
        <v>8286</v>
      </c>
      <c r="X33" s="846">
        <f t="shared" si="24"/>
        <v>8286</v>
      </c>
      <c r="Y33" s="783">
        <f t="shared" si="25"/>
        <v>22600</v>
      </c>
      <c r="Z33" s="783">
        <f t="shared" si="26"/>
        <v>365</v>
      </c>
      <c r="AA33" s="783">
        <f t="shared" si="27"/>
        <v>7157</v>
      </c>
      <c r="AB33" s="783">
        <f t="shared" si="28"/>
        <v>21471</v>
      </c>
      <c r="AC33" s="848">
        <f t="shared" si="29"/>
        <v>1129</v>
      </c>
      <c r="AD33" s="789">
        <f t="shared" si="30"/>
        <v>1129</v>
      </c>
      <c r="AE33" s="790">
        <f t="shared" si="31"/>
        <v>22600</v>
      </c>
      <c r="AF33" s="791">
        <f t="shared" si="32"/>
        <v>0</v>
      </c>
      <c r="AG33" s="791">
        <f t="shared" si="33"/>
        <v>0</v>
      </c>
      <c r="AH33" s="783">
        <f t="shared" si="34"/>
        <v>21471</v>
      </c>
      <c r="AI33" s="783">
        <f t="shared" si="35"/>
        <v>1129</v>
      </c>
      <c r="AJ33" s="790">
        <f t="shared" si="51"/>
        <v>1129</v>
      </c>
      <c r="AK33" s="790">
        <f t="shared" si="36"/>
        <v>22600</v>
      </c>
      <c r="AL33" s="791">
        <f t="shared" si="37"/>
        <v>0</v>
      </c>
      <c r="AM33" s="791">
        <f t="shared" si="38"/>
        <v>0</v>
      </c>
      <c r="AN33" s="783">
        <f t="shared" si="39"/>
        <v>21471</v>
      </c>
      <c r="AO33" s="783">
        <f t="shared" si="40"/>
        <v>1129</v>
      </c>
      <c r="AP33" s="793">
        <f t="shared" si="41"/>
        <v>1129</v>
      </c>
      <c r="AQ33" s="793">
        <f t="shared" si="42"/>
        <v>22600</v>
      </c>
      <c r="AR33" s="793">
        <f t="shared" si="43"/>
        <v>0</v>
      </c>
      <c r="AS33" s="793">
        <f t="shared" si="44"/>
        <v>0</v>
      </c>
      <c r="AT33" s="793">
        <f t="shared" si="45"/>
        <v>21471</v>
      </c>
      <c r="AU33" s="793">
        <f t="shared" si="46"/>
        <v>1129</v>
      </c>
    </row>
    <row r="34" spans="1:47" ht="15" customHeight="1" x14ac:dyDescent="0.25">
      <c r="A34" s="842" t="s">
        <v>1187</v>
      </c>
      <c r="B34" s="843" t="s">
        <v>1193</v>
      </c>
      <c r="C34" s="778">
        <f t="shared" si="14"/>
        <v>0.31666666666666665</v>
      </c>
      <c r="D34" s="844">
        <v>3</v>
      </c>
      <c r="E34" s="779" t="s">
        <v>1182</v>
      </c>
      <c r="F34" s="845">
        <v>43191</v>
      </c>
      <c r="G34" s="845">
        <v>43191</v>
      </c>
      <c r="H34" s="781">
        <f t="shared" si="15"/>
        <v>44286</v>
      </c>
      <c r="I34" s="795">
        <v>21000</v>
      </c>
      <c r="J34" s="783">
        <f t="shared" si="16"/>
        <v>1050</v>
      </c>
      <c r="K34" s="784"/>
      <c r="L34" s="846"/>
      <c r="M34" s="790">
        <f t="shared" si="17"/>
        <v>21000</v>
      </c>
      <c r="N34" s="791">
        <f t="shared" si="47"/>
        <v>365</v>
      </c>
      <c r="O34" s="791">
        <f t="shared" si="48"/>
        <v>6650</v>
      </c>
      <c r="P34" s="790">
        <f t="shared" si="49"/>
        <v>6650</v>
      </c>
      <c r="Q34" s="847">
        <f t="shared" si="50"/>
        <v>14350</v>
      </c>
      <c r="R34" s="789">
        <f t="shared" si="18"/>
        <v>14350</v>
      </c>
      <c r="S34" s="790">
        <f t="shared" si="19"/>
        <v>21000</v>
      </c>
      <c r="T34" s="791">
        <f t="shared" si="20"/>
        <v>366</v>
      </c>
      <c r="U34" s="791">
        <f t="shared" si="21"/>
        <v>6650</v>
      </c>
      <c r="V34" s="790">
        <f t="shared" si="22"/>
        <v>13300</v>
      </c>
      <c r="W34" s="847">
        <f t="shared" si="23"/>
        <v>7700</v>
      </c>
      <c r="X34" s="846">
        <f t="shared" si="24"/>
        <v>7700</v>
      </c>
      <c r="Y34" s="783">
        <f t="shared" si="25"/>
        <v>21000</v>
      </c>
      <c r="Z34" s="783">
        <f t="shared" si="26"/>
        <v>365</v>
      </c>
      <c r="AA34" s="783">
        <f t="shared" si="27"/>
        <v>6650</v>
      </c>
      <c r="AB34" s="783">
        <f t="shared" si="28"/>
        <v>19950</v>
      </c>
      <c r="AC34" s="848">
        <f t="shared" si="29"/>
        <v>1050</v>
      </c>
      <c r="AD34" s="789">
        <f t="shared" si="30"/>
        <v>1050</v>
      </c>
      <c r="AE34" s="790">
        <f t="shared" si="31"/>
        <v>21000</v>
      </c>
      <c r="AF34" s="791">
        <f t="shared" si="32"/>
        <v>0</v>
      </c>
      <c r="AG34" s="791">
        <f t="shared" si="33"/>
        <v>0</v>
      </c>
      <c r="AH34" s="783">
        <f t="shared" si="34"/>
        <v>19950</v>
      </c>
      <c r="AI34" s="783">
        <f t="shared" si="35"/>
        <v>1050</v>
      </c>
      <c r="AJ34" s="790">
        <f t="shared" si="51"/>
        <v>1050</v>
      </c>
      <c r="AK34" s="790">
        <f t="shared" si="36"/>
        <v>21000</v>
      </c>
      <c r="AL34" s="791">
        <f t="shared" si="37"/>
        <v>0</v>
      </c>
      <c r="AM34" s="791">
        <f t="shared" si="38"/>
        <v>0</v>
      </c>
      <c r="AN34" s="783">
        <f t="shared" si="39"/>
        <v>19950</v>
      </c>
      <c r="AO34" s="783">
        <f t="shared" si="40"/>
        <v>1050</v>
      </c>
      <c r="AP34" s="793">
        <f t="shared" si="41"/>
        <v>1050</v>
      </c>
      <c r="AQ34" s="793">
        <f t="shared" si="42"/>
        <v>21000</v>
      </c>
      <c r="AR34" s="793">
        <f t="shared" si="43"/>
        <v>0</v>
      </c>
      <c r="AS34" s="793">
        <f t="shared" si="44"/>
        <v>0</v>
      </c>
      <c r="AT34" s="793">
        <f t="shared" si="45"/>
        <v>19950</v>
      </c>
      <c r="AU34" s="793">
        <f t="shared" si="46"/>
        <v>1050</v>
      </c>
    </row>
    <row r="35" spans="1:47" ht="15" customHeight="1" x14ac:dyDescent="0.25">
      <c r="A35" s="842" t="s">
        <v>1187</v>
      </c>
      <c r="B35" s="843" t="s">
        <v>1193</v>
      </c>
      <c r="C35" s="778">
        <f t="shared" si="14"/>
        <v>0.31666666666666665</v>
      </c>
      <c r="D35" s="844">
        <v>3</v>
      </c>
      <c r="E35" s="779" t="s">
        <v>1182</v>
      </c>
      <c r="F35" s="845">
        <v>43191</v>
      </c>
      <c r="G35" s="845">
        <v>43191</v>
      </c>
      <c r="H35" s="781">
        <f t="shared" si="15"/>
        <v>44286</v>
      </c>
      <c r="I35" s="795">
        <v>42000</v>
      </c>
      <c r="J35" s="783">
        <f t="shared" si="16"/>
        <v>2100</v>
      </c>
      <c r="K35" s="784"/>
      <c r="L35" s="846"/>
      <c r="M35" s="790">
        <f t="shared" si="17"/>
        <v>42000</v>
      </c>
      <c r="N35" s="791">
        <f t="shared" si="47"/>
        <v>365</v>
      </c>
      <c r="O35" s="791">
        <f t="shared" si="48"/>
        <v>13300</v>
      </c>
      <c r="P35" s="790">
        <f t="shared" si="49"/>
        <v>13300</v>
      </c>
      <c r="Q35" s="847">
        <f t="shared" si="50"/>
        <v>28700</v>
      </c>
      <c r="R35" s="789">
        <f t="shared" si="18"/>
        <v>28700</v>
      </c>
      <c r="S35" s="790">
        <f t="shared" si="19"/>
        <v>42000</v>
      </c>
      <c r="T35" s="791">
        <f t="shared" si="20"/>
        <v>366</v>
      </c>
      <c r="U35" s="791">
        <f t="shared" si="21"/>
        <v>13300</v>
      </c>
      <c r="V35" s="790">
        <f t="shared" si="22"/>
        <v>26600</v>
      </c>
      <c r="W35" s="847">
        <f t="shared" si="23"/>
        <v>15400</v>
      </c>
      <c r="X35" s="846">
        <f t="shared" si="24"/>
        <v>15400</v>
      </c>
      <c r="Y35" s="783">
        <f t="shared" si="25"/>
        <v>42000</v>
      </c>
      <c r="Z35" s="783">
        <f t="shared" si="26"/>
        <v>365</v>
      </c>
      <c r="AA35" s="783">
        <f t="shared" si="27"/>
        <v>13300</v>
      </c>
      <c r="AB35" s="783">
        <f t="shared" si="28"/>
        <v>39900</v>
      </c>
      <c r="AC35" s="848">
        <f t="shared" si="29"/>
        <v>2100</v>
      </c>
      <c r="AD35" s="789">
        <f t="shared" si="30"/>
        <v>2100</v>
      </c>
      <c r="AE35" s="790">
        <f t="shared" si="31"/>
        <v>42000</v>
      </c>
      <c r="AF35" s="791">
        <f t="shared" si="32"/>
        <v>0</v>
      </c>
      <c r="AG35" s="791">
        <f t="shared" si="33"/>
        <v>0</v>
      </c>
      <c r="AH35" s="783">
        <f t="shared" si="34"/>
        <v>39900</v>
      </c>
      <c r="AI35" s="783">
        <f t="shared" si="35"/>
        <v>2100</v>
      </c>
      <c r="AJ35" s="790">
        <f t="shared" si="51"/>
        <v>2100</v>
      </c>
      <c r="AK35" s="790">
        <f t="shared" si="36"/>
        <v>42000</v>
      </c>
      <c r="AL35" s="791">
        <f t="shared" si="37"/>
        <v>0</v>
      </c>
      <c r="AM35" s="791">
        <f t="shared" si="38"/>
        <v>0</v>
      </c>
      <c r="AN35" s="783">
        <f t="shared" si="39"/>
        <v>39900</v>
      </c>
      <c r="AO35" s="783">
        <f t="shared" si="40"/>
        <v>2100</v>
      </c>
      <c r="AP35" s="793">
        <f t="shared" si="41"/>
        <v>2100</v>
      </c>
      <c r="AQ35" s="793">
        <f t="shared" si="42"/>
        <v>42000</v>
      </c>
      <c r="AR35" s="793">
        <f t="shared" si="43"/>
        <v>0</v>
      </c>
      <c r="AS35" s="793">
        <f t="shared" si="44"/>
        <v>0</v>
      </c>
      <c r="AT35" s="793">
        <f t="shared" si="45"/>
        <v>39900</v>
      </c>
      <c r="AU35" s="793">
        <f t="shared" si="46"/>
        <v>2100</v>
      </c>
    </row>
    <row r="36" spans="1:47" ht="15" customHeight="1" x14ac:dyDescent="0.25">
      <c r="A36" s="842" t="s">
        <v>1187</v>
      </c>
      <c r="B36" s="843" t="s">
        <v>1193</v>
      </c>
      <c r="C36" s="778">
        <f t="shared" si="14"/>
        <v>0.31666666666666665</v>
      </c>
      <c r="D36" s="844">
        <v>3</v>
      </c>
      <c r="E36" s="779" t="s">
        <v>1182</v>
      </c>
      <c r="F36" s="845">
        <v>43191</v>
      </c>
      <c r="G36" s="845">
        <v>43191</v>
      </c>
      <c r="H36" s="781">
        <f t="shared" si="15"/>
        <v>44286</v>
      </c>
      <c r="I36" s="795">
        <v>19000</v>
      </c>
      <c r="J36" s="783">
        <f t="shared" si="16"/>
        <v>950</v>
      </c>
      <c r="K36" s="784"/>
      <c r="L36" s="846"/>
      <c r="M36" s="790">
        <f t="shared" si="17"/>
        <v>19000</v>
      </c>
      <c r="N36" s="791">
        <f t="shared" si="47"/>
        <v>365</v>
      </c>
      <c r="O36" s="791">
        <f t="shared" si="48"/>
        <v>6017</v>
      </c>
      <c r="P36" s="790">
        <f t="shared" si="49"/>
        <v>6017</v>
      </c>
      <c r="Q36" s="847">
        <f t="shared" si="50"/>
        <v>12983</v>
      </c>
      <c r="R36" s="789">
        <f t="shared" si="18"/>
        <v>12983</v>
      </c>
      <c r="S36" s="790">
        <f t="shared" si="19"/>
        <v>19000</v>
      </c>
      <c r="T36" s="791">
        <f t="shared" si="20"/>
        <v>366</v>
      </c>
      <c r="U36" s="791">
        <f t="shared" si="21"/>
        <v>6017</v>
      </c>
      <c r="V36" s="790">
        <f t="shared" si="22"/>
        <v>12034</v>
      </c>
      <c r="W36" s="847">
        <f t="shared" si="23"/>
        <v>6966</v>
      </c>
      <c r="X36" s="846">
        <f t="shared" si="24"/>
        <v>6966</v>
      </c>
      <c r="Y36" s="783">
        <f t="shared" si="25"/>
        <v>19000</v>
      </c>
      <c r="Z36" s="783">
        <f t="shared" si="26"/>
        <v>365</v>
      </c>
      <c r="AA36" s="783">
        <f t="shared" si="27"/>
        <v>6017</v>
      </c>
      <c r="AB36" s="783">
        <f t="shared" si="28"/>
        <v>18051</v>
      </c>
      <c r="AC36" s="848">
        <f t="shared" si="29"/>
        <v>949</v>
      </c>
      <c r="AD36" s="789">
        <f t="shared" si="30"/>
        <v>949</v>
      </c>
      <c r="AE36" s="790">
        <f t="shared" si="31"/>
        <v>19000</v>
      </c>
      <c r="AF36" s="791">
        <f t="shared" si="32"/>
        <v>0</v>
      </c>
      <c r="AG36" s="791">
        <f t="shared" si="33"/>
        <v>0</v>
      </c>
      <c r="AH36" s="783">
        <f t="shared" si="34"/>
        <v>18051</v>
      </c>
      <c r="AI36" s="783">
        <f t="shared" si="35"/>
        <v>949</v>
      </c>
      <c r="AJ36" s="790">
        <f t="shared" si="51"/>
        <v>949</v>
      </c>
      <c r="AK36" s="790">
        <f t="shared" si="36"/>
        <v>19000</v>
      </c>
      <c r="AL36" s="791">
        <f t="shared" si="37"/>
        <v>0</v>
      </c>
      <c r="AM36" s="791">
        <f t="shared" si="38"/>
        <v>0</v>
      </c>
      <c r="AN36" s="783">
        <f t="shared" si="39"/>
        <v>18051</v>
      </c>
      <c r="AO36" s="783">
        <f t="shared" si="40"/>
        <v>949</v>
      </c>
      <c r="AP36" s="793">
        <f t="shared" si="41"/>
        <v>949</v>
      </c>
      <c r="AQ36" s="793">
        <f t="shared" si="42"/>
        <v>19000</v>
      </c>
      <c r="AR36" s="793">
        <f t="shared" si="43"/>
        <v>0</v>
      </c>
      <c r="AS36" s="793">
        <f t="shared" si="44"/>
        <v>0</v>
      </c>
      <c r="AT36" s="793">
        <f t="shared" si="45"/>
        <v>18051</v>
      </c>
      <c r="AU36" s="793">
        <f t="shared" si="46"/>
        <v>949</v>
      </c>
    </row>
    <row r="37" spans="1:47" ht="15" customHeight="1" x14ac:dyDescent="0.25">
      <c r="A37" s="842" t="s">
        <v>1187</v>
      </c>
      <c r="B37" s="843" t="s">
        <v>1194</v>
      </c>
      <c r="C37" s="778">
        <f t="shared" si="14"/>
        <v>0.31666666666666665</v>
      </c>
      <c r="D37" s="844">
        <v>3</v>
      </c>
      <c r="E37" s="779" t="s">
        <v>1182</v>
      </c>
      <c r="F37" s="845">
        <v>43191</v>
      </c>
      <c r="G37" s="845">
        <v>43191</v>
      </c>
      <c r="H37" s="781">
        <f t="shared" si="15"/>
        <v>44286</v>
      </c>
      <c r="I37" s="795">
        <v>57482.5</v>
      </c>
      <c r="J37" s="783">
        <f t="shared" si="16"/>
        <v>2874.125</v>
      </c>
      <c r="K37" s="784"/>
      <c r="L37" s="846"/>
      <c r="M37" s="790">
        <f t="shared" si="17"/>
        <v>57482.5</v>
      </c>
      <c r="N37" s="791">
        <f t="shared" si="47"/>
        <v>365</v>
      </c>
      <c r="O37" s="791">
        <f t="shared" si="48"/>
        <v>18203</v>
      </c>
      <c r="P37" s="790">
        <f t="shared" si="49"/>
        <v>18203</v>
      </c>
      <c r="Q37" s="847">
        <f t="shared" si="50"/>
        <v>39279.5</v>
      </c>
      <c r="R37" s="789">
        <f t="shared" si="18"/>
        <v>39279.5</v>
      </c>
      <c r="S37" s="790">
        <f t="shared" si="19"/>
        <v>57482.5</v>
      </c>
      <c r="T37" s="791">
        <f t="shared" si="20"/>
        <v>366</v>
      </c>
      <c r="U37" s="791">
        <f t="shared" si="21"/>
        <v>18203</v>
      </c>
      <c r="V37" s="790">
        <f t="shared" si="22"/>
        <v>36406</v>
      </c>
      <c r="W37" s="847">
        <f t="shared" si="23"/>
        <v>21076.5</v>
      </c>
      <c r="X37" s="846">
        <f t="shared" si="24"/>
        <v>21076.5</v>
      </c>
      <c r="Y37" s="783">
        <f t="shared" si="25"/>
        <v>57482.5</v>
      </c>
      <c r="Z37" s="783">
        <f t="shared" si="26"/>
        <v>365</v>
      </c>
      <c r="AA37" s="783">
        <f t="shared" si="27"/>
        <v>18203</v>
      </c>
      <c r="AB37" s="783">
        <f t="shared" si="28"/>
        <v>54609</v>
      </c>
      <c r="AC37" s="848">
        <f t="shared" si="29"/>
        <v>2873.5</v>
      </c>
      <c r="AD37" s="789">
        <f t="shared" si="30"/>
        <v>2873.5</v>
      </c>
      <c r="AE37" s="790">
        <f t="shared" si="31"/>
        <v>57482.5</v>
      </c>
      <c r="AF37" s="791">
        <f t="shared" si="32"/>
        <v>0</v>
      </c>
      <c r="AG37" s="791">
        <f t="shared" si="33"/>
        <v>0</v>
      </c>
      <c r="AH37" s="783">
        <f t="shared" si="34"/>
        <v>54609</v>
      </c>
      <c r="AI37" s="783">
        <f t="shared" si="35"/>
        <v>2873.5</v>
      </c>
      <c r="AJ37" s="790">
        <f t="shared" si="51"/>
        <v>2873.5</v>
      </c>
      <c r="AK37" s="790">
        <f t="shared" si="36"/>
        <v>57482.5</v>
      </c>
      <c r="AL37" s="791">
        <f t="shared" si="37"/>
        <v>0</v>
      </c>
      <c r="AM37" s="791">
        <f t="shared" si="38"/>
        <v>0</v>
      </c>
      <c r="AN37" s="783">
        <f t="shared" si="39"/>
        <v>54609</v>
      </c>
      <c r="AO37" s="783">
        <f t="shared" si="40"/>
        <v>2873.5</v>
      </c>
      <c r="AP37" s="793">
        <f t="shared" si="41"/>
        <v>2873.5</v>
      </c>
      <c r="AQ37" s="793">
        <f t="shared" si="42"/>
        <v>57482.5</v>
      </c>
      <c r="AR37" s="793">
        <f t="shared" si="43"/>
        <v>0</v>
      </c>
      <c r="AS37" s="793">
        <f t="shared" si="44"/>
        <v>0</v>
      </c>
      <c r="AT37" s="793">
        <f t="shared" si="45"/>
        <v>54609</v>
      </c>
      <c r="AU37" s="793">
        <f t="shared" si="46"/>
        <v>2873.5</v>
      </c>
    </row>
    <row r="38" spans="1:47" ht="15" customHeight="1" x14ac:dyDescent="0.25">
      <c r="A38" s="842" t="s">
        <v>1187</v>
      </c>
      <c r="B38" s="843" t="s">
        <v>1194</v>
      </c>
      <c r="C38" s="778">
        <f t="shared" si="14"/>
        <v>0.31666666666666665</v>
      </c>
      <c r="D38" s="844">
        <v>3</v>
      </c>
      <c r="E38" s="779" t="s">
        <v>1182</v>
      </c>
      <c r="F38" s="845">
        <v>43191</v>
      </c>
      <c r="G38" s="845">
        <v>43191</v>
      </c>
      <c r="H38" s="781">
        <f t="shared" si="15"/>
        <v>44286</v>
      </c>
      <c r="I38" s="795">
        <v>8700</v>
      </c>
      <c r="J38" s="783">
        <f t="shared" si="16"/>
        <v>435</v>
      </c>
      <c r="K38" s="784"/>
      <c r="L38" s="846"/>
      <c r="M38" s="790">
        <f t="shared" si="17"/>
        <v>8700</v>
      </c>
      <c r="N38" s="791">
        <f t="shared" si="47"/>
        <v>365</v>
      </c>
      <c r="O38" s="791">
        <f t="shared" si="48"/>
        <v>2755</v>
      </c>
      <c r="P38" s="790">
        <f t="shared" si="49"/>
        <v>2755</v>
      </c>
      <c r="Q38" s="847">
        <f t="shared" si="50"/>
        <v>5945</v>
      </c>
      <c r="R38" s="789">
        <f t="shared" si="18"/>
        <v>5945</v>
      </c>
      <c r="S38" s="790">
        <f t="shared" si="19"/>
        <v>8700</v>
      </c>
      <c r="T38" s="791">
        <f t="shared" si="20"/>
        <v>366</v>
      </c>
      <c r="U38" s="791">
        <f t="shared" si="21"/>
        <v>2755</v>
      </c>
      <c r="V38" s="790">
        <f t="shared" si="22"/>
        <v>5510</v>
      </c>
      <c r="W38" s="847">
        <f t="shared" si="23"/>
        <v>3190</v>
      </c>
      <c r="X38" s="846">
        <f t="shared" si="24"/>
        <v>3190</v>
      </c>
      <c r="Y38" s="783">
        <f t="shared" si="25"/>
        <v>8700</v>
      </c>
      <c r="Z38" s="783">
        <f t="shared" si="26"/>
        <v>365</v>
      </c>
      <c r="AA38" s="783">
        <f t="shared" si="27"/>
        <v>2755</v>
      </c>
      <c r="AB38" s="783">
        <f t="shared" si="28"/>
        <v>8265</v>
      </c>
      <c r="AC38" s="848">
        <f t="shared" si="29"/>
        <v>435</v>
      </c>
      <c r="AD38" s="789">
        <f t="shared" si="30"/>
        <v>435</v>
      </c>
      <c r="AE38" s="790">
        <f t="shared" si="31"/>
        <v>8700</v>
      </c>
      <c r="AF38" s="791">
        <f t="shared" si="32"/>
        <v>0</v>
      </c>
      <c r="AG38" s="791">
        <f t="shared" si="33"/>
        <v>0</v>
      </c>
      <c r="AH38" s="783">
        <f t="shared" si="34"/>
        <v>8265</v>
      </c>
      <c r="AI38" s="783">
        <f t="shared" si="35"/>
        <v>435</v>
      </c>
      <c r="AJ38" s="790">
        <f t="shared" si="51"/>
        <v>435</v>
      </c>
      <c r="AK38" s="790">
        <f t="shared" si="36"/>
        <v>8700</v>
      </c>
      <c r="AL38" s="791">
        <f t="shared" si="37"/>
        <v>0</v>
      </c>
      <c r="AM38" s="791">
        <f t="shared" si="38"/>
        <v>0</v>
      </c>
      <c r="AN38" s="783">
        <f t="shared" si="39"/>
        <v>8265</v>
      </c>
      <c r="AO38" s="783">
        <f t="shared" si="40"/>
        <v>435</v>
      </c>
      <c r="AP38" s="793">
        <f t="shared" si="41"/>
        <v>435</v>
      </c>
      <c r="AQ38" s="793">
        <f t="shared" si="42"/>
        <v>8700</v>
      </c>
      <c r="AR38" s="793">
        <f t="shared" si="43"/>
        <v>0</v>
      </c>
      <c r="AS38" s="793">
        <f t="shared" si="44"/>
        <v>0</v>
      </c>
      <c r="AT38" s="793">
        <f t="shared" si="45"/>
        <v>8265</v>
      </c>
      <c r="AU38" s="793">
        <f t="shared" si="46"/>
        <v>435</v>
      </c>
    </row>
    <row r="39" spans="1:47" ht="15" customHeight="1" x14ac:dyDescent="0.25">
      <c r="A39" s="842" t="s">
        <v>1187</v>
      </c>
      <c r="B39" s="843" t="s">
        <v>1194</v>
      </c>
      <c r="C39" s="778">
        <f t="shared" si="14"/>
        <v>0.31666666666666665</v>
      </c>
      <c r="D39" s="844">
        <v>3</v>
      </c>
      <c r="E39" s="779" t="s">
        <v>1182</v>
      </c>
      <c r="F39" s="845">
        <v>43191</v>
      </c>
      <c r="G39" s="845">
        <v>43191</v>
      </c>
      <c r="H39" s="781">
        <f t="shared" si="15"/>
        <v>44286</v>
      </c>
      <c r="I39" s="795">
        <v>74602.5</v>
      </c>
      <c r="J39" s="783">
        <f t="shared" si="16"/>
        <v>3730.125</v>
      </c>
      <c r="K39" s="784"/>
      <c r="L39" s="846"/>
      <c r="M39" s="790">
        <f t="shared" si="17"/>
        <v>74602.5</v>
      </c>
      <c r="N39" s="791">
        <f t="shared" si="47"/>
        <v>365</v>
      </c>
      <c r="O39" s="791">
        <f t="shared" si="48"/>
        <v>23624</v>
      </c>
      <c r="P39" s="790">
        <f t="shared" si="49"/>
        <v>23624</v>
      </c>
      <c r="Q39" s="847">
        <f t="shared" si="50"/>
        <v>50978.5</v>
      </c>
      <c r="R39" s="789">
        <f t="shared" si="18"/>
        <v>50978.5</v>
      </c>
      <c r="S39" s="790">
        <f t="shared" si="19"/>
        <v>74602.5</v>
      </c>
      <c r="T39" s="791">
        <f t="shared" si="20"/>
        <v>366</v>
      </c>
      <c r="U39" s="791">
        <f t="shared" si="21"/>
        <v>23624</v>
      </c>
      <c r="V39" s="790">
        <f t="shared" si="22"/>
        <v>47248</v>
      </c>
      <c r="W39" s="847">
        <f t="shared" si="23"/>
        <v>27354.5</v>
      </c>
      <c r="X39" s="846">
        <f t="shared" si="24"/>
        <v>27354.5</v>
      </c>
      <c r="Y39" s="783">
        <f t="shared" si="25"/>
        <v>74602.5</v>
      </c>
      <c r="Z39" s="783">
        <f t="shared" si="26"/>
        <v>365</v>
      </c>
      <c r="AA39" s="783">
        <f t="shared" si="27"/>
        <v>23624</v>
      </c>
      <c r="AB39" s="783">
        <f t="shared" si="28"/>
        <v>70872</v>
      </c>
      <c r="AC39" s="848">
        <f t="shared" si="29"/>
        <v>3730.5</v>
      </c>
      <c r="AD39" s="789">
        <f t="shared" si="30"/>
        <v>3730.5</v>
      </c>
      <c r="AE39" s="790">
        <f t="shared" si="31"/>
        <v>74602.5</v>
      </c>
      <c r="AF39" s="791">
        <f t="shared" si="32"/>
        <v>0</v>
      </c>
      <c r="AG39" s="791">
        <f t="shared" si="33"/>
        <v>0</v>
      </c>
      <c r="AH39" s="783">
        <f t="shared" si="34"/>
        <v>70872</v>
      </c>
      <c r="AI39" s="783">
        <f t="shared" si="35"/>
        <v>3730.5</v>
      </c>
      <c r="AJ39" s="790">
        <f t="shared" si="51"/>
        <v>3730.5</v>
      </c>
      <c r="AK39" s="790">
        <f t="shared" si="36"/>
        <v>74602.5</v>
      </c>
      <c r="AL39" s="791">
        <f t="shared" si="37"/>
        <v>0</v>
      </c>
      <c r="AM39" s="791">
        <f t="shared" si="38"/>
        <v>0</v>
      </c>
      <c r="AN39" s="783">
        <f t="shared" si="39"/>
        <v>70872</v>
      </c>
      <c r="AO39" s="783">
        <f t="shared" si="40"/>
        <v>3730.5</v>
      </c>
      <c r="AP39" s="793">
        <f t="shared" si="41"/>
        <v>3730.5</v>
      </c>
      <c r="AQ39" s="793">
        <f t="shared" si="42"/>
        <v>74602.5</v>
      </c>
      <c r="AR39" s="793">
        <f t="shared" si="43"/>
        <v>0</v>
      </c>
      <c r="AS39" s="793">
        <f t="shared" si="44"/>
        <v>0</v>
      </c>
      <c r="AT39" s="793">
        <f t="shared" si="45"/>
        <v>70872</v>
      </c>
      <c r="AU39" s="793">
        <f t="shared" si="46"/>
        <v>3730.5</v>
      </c>
    </row>
    <row r="40" spans="1:47" ht="15" customHeight="1" x14ac:dyDescent="0.25">
      <c r="A40" s="842" t="s">
        <v>1187</v>
      </c>
      <c r="B40" s="843" t="s">
        <v>1194</v>
      </c>
      <c r="C40" s="778">
        <f t="shared" si="14"/>
        <v>0.31666666666666665</v>
      </c>
      <c r="D40" s="844">
        <v>3</v>
      </c>
      <c r="E40" s="779" t="s">
        <v>1182</v>
      </c>
      <c r="F40" s="845">
        <v>43191</v>
      </c>
      <c r="G40" s="845">
        <v>43191</v>
      </c>
      <c r="H40" s="781">
        <f t="shared" si="15"/>
        <v>44286</v>
      </c>
      <c r="I40" s="795">
        <v>53960</v>
      </c>
      <c r="J40" s="783">
        <f t="shared" si="16"/>
        <v>2698</v>
      </c>
      <c r="K40" s="784"/>
      <c r="L40" s="846"/>
      <c r="M40" s="790">
        <f t="shared" si="17"/>
        <v>53960</v>
      </c>
      <c r="N40" s="791">
        <f t="shared" si="47"/>
        <v>365</v>
      </c>
      <c r="O40" s="791">
        <f t="shared" si="48"/>
        <v>17087</v>
      </c>
      <c r="P40" s="790">
        <f t="shared" si="49"/>
        <v>17087</v>
      </c>
      <c r="Q40" s="847">
        <f t="shared" si="50"/>
        <v>36873</v>
      </c>
      <c r="R40" s="789">
        <f t="shared" si="18"/>
        <v>36873</v>
      </c>
      <c r="S40" s="790">
        <f t="shared" si="19"/>
        <v>53960</v>
      </c>
      <c r="T40" s="791">
        <f t="shared" si="20"/>
        <v>366</v>
      </c>
      <c r="U40" s="791">
        <f t="shared" si="21"/>
        <v>17087</v>
      </c>
      <c r="V40" s="790">
        <f t="shared" si="22"/>
        <v>34174</v>
      </c>
      <c r="W40" s="847">
        <f t="shared" si="23"/>
        <v>19786</v>
      </c>
      <c r="X40" s="846">
        <f t="shared" si="24"/>
        <v>19786</v>
      </c>
      <c r="Y40" s="783">
        <f t="shared" si="25"/>
        <v>53960</v>
      </c>
      <c r="Z40" s="783">
        <f t="shared" si="26"/>
        <v>365</v>
      </c>
      <c r="AA40" s="783">
        <f t="shared" si="27"/>
        <v>17087</v>
      </c>
      <c r="AB40" s="783">
        <f t="shared" si="28"/>
        <v>51261</v>
      </c>
      <c r="AC40" s="848">
        <f t="shared" si="29"/>
        <v>2699</v>
      </c>
      <c r="AD40" s="789">
        <f t="shared" si="30"/>
        <v>2699</v>
      </c>
      <c r="AE40" s="790">
        <f t="shared" si="31"/>
        <v>53960</v>
      </c>
      <c r="AF40" s="791">
        <f t="shared" si="32"/>
        <v>0</v>
      </c>
      <c r="AG40" s="791">
        <f t="shared" si="33"/>
        <v>0</v>
      </c>
      <c r="AH40" s="783">
        <f t="shared" si="34"/>
        <v>51261</v>
      </c>
      <c r="AI40" s="783">
        <f t="shared" si="35"/>
        <v>2699</v>
      </c>
      <c r="AJ40" s="790">
        <f t="shared" si="51"/>
        <v>2699</v>
      </c>
      <c r="AK40" s="790">
        <f t="shared" si="36"/>
        <v>53960</v>
      </c>
      <c r="AL40" s="791">
        <f t="shared" si="37"/>
        <v>0</v>
      </c>
      <c r="AM40" s="791">
        <f t="shared" si="38"/>
        <v>0</v>
      </c>
      <c r="AN40" s="783">
        <f t="shared" si="39"/>
        <v>51261</v>
      </c>
      <c r="AO40" s="783">
        <f t="shared" si="40"/>
        <v>2699</v>
      </c>
      <c r="AP40" s="793">
        <f t="shared" si="41"/>
        <v>2699</v>
      </c>
      <c r="AQ40" s="793">
        <f t="shared" si="42"/>
        <v>53960</v>
      </c>
      <c r="AR40" s="793">
        <f t="shared" si="43"/>
        <v>0</v>
      </c>
      <c r="AS40" s="793">
        <f t="shared" si="44"/>
        <v>0</v>
      </c>
      <c r="AT40" s="793">
        <f t="shared" si="45"/>
        <v>51261</v>
      </c>
      <c r="AU40" s="793">
        <f t="shared" si="46"/>
        <v>2699</v>
      </c>
    </row>
    <row r="41" spans="1:47" ht="15" customHeight="1" x14ac:dyDescent="0.25">
      <c r="A41" s="842" t="s">
        <v>1187</v>
      </c>
      <c r="B41" s="843" t="s">
        <v>1194</v>
      </c>
      <c r="C41" s="778">
        <f t="shared" si="14"/>
        <v>0.31666666666666665</v>
      </c>
      <c r="D41" s="844">
        <v>3</v>
      </c>
      <c r="E41" s="779" t="s">
        <v>1182</v>
      </c>
      <c r="F41" s="845">
        <v>43191</v>
      </c>
      <c r="G41" s="845">
        <v>43191</v>
      </c>
      <c r="H41" s="781">
        <f t="shared" si="15"/>
        <v>44286</v>
      </c>
      <c r="I41" s="795">
        <v>10400</v>
      </c>
      <c r="J41" s="783">
        <f t="shared" si="16"/>
        <v>520</v>
      </c>
      <c r="K41" s="784"/>
      <c r="L41" s="846"/>
      <c r="M41" s="790">
        <f t="shared" si="17"/>
        <v>10400</v>
      </c>
      <c r="N41" s="791">
        <f t="shared" si="47"/>
        <v>365</v>
      </c>
      <c r="O41" s="791">
        <f t="shared" si="48"/>
        <v>3293</v>
      </c>
      <c r="P41" s="790">
        <f t="shared" si="49"/>
        <v>3293</v>
      </c>
      <c r="Q41" s="847">
        <f t="shared" si="50"/>
        <v>7107</v>
      </c>
      <c r="R41" s="789">
        <f t="shared" si="18"/>
        <v>7107</v>
      </c>
      <c r="S41" s="790">
        <f t="shared" si="19"/>
        <v>10400</v>
      </c>
      <c r="T41" s="791">
        <f t="shared" si="20"/>
        <v>366</v>
      </c>
      <c r="U41" s="791">
        <f t="shared" si="21"/>
        <v>3293</v>
      </c>
      <c r="V41" s="790">
        <f t="shared" si="22"/>
        <v>6586</v>
      </c>
      <c r="W41" s="847">
        <f t="shared" si="23"/>
        <v>3814</v>
      </c>
      <c r="X41" s="846">
        <f t="shared" si="24"/>
        <v>3814</v>
      </c>
      <c r="Y41" s="783">
        <f t="shared" si="25"/>
        <v>10400</v>
      </c>
      <c r="Z41" s="783">
        <f t="shared" si="26"/>
        <v>365</v>
      </c>
      <c r="AA41" s="783">
        <f t="shared" si="27"/>
        <v>3293</v>
      </c>
      <c r="AB41" s="783">
        <f t="shared" si="28"/>
        <v>9879</v>
      </c>
      <c r="AC41" s="848">
        <f t="shared" si="29"/>
        <v>521</v>
      </c>
      <c r="AD41" s="789">
        <f t="shared" si="30"/>
        <v>521</v>
      </c>
      <c r="AE41" s="790">
        <f t="shared" si="31"/>
        <v>10400</v>
      </c>
      <c r="AF41" s="791">
        <f t="shared" si="32"/>
        <v>0</v>
      </c>
      <c r="AG41" s="791">
        <f t="shared" si="33"/>
        <v>0</v>
      </c>
      <c r="AH41" s="783">
        <f t="shared" si="34"/>
        <v>9879</v>
      </c>
      <c r="AI41" s="783">
        <f t="shared" si="35"/>
        <v>521</v>
      </c>
      <c r="AJ41" s="790">
        <f t="shared" si="51"/>
        <v>521</v>
      </c>
      <c r="AK41" s="790">
        <f t="shared" si="36"/>
        <v>10400</v>
      </c>
      <c r="AL41" s="791">
        <f t="shared" si="37"/>
        <v>0</v>
      </c>
      <c r="AM41" s="791">
        <f t="shared" si="38"/>
        <v>0</v>
      </c>
      <c r="AN41" s="783">
        <f t="shared" si="39"/>
        <v>9879</v>
      </c>
      <c r="AO41" s="783">
        <f t="shared" si="40"/>
        <v>521</v>
      </c>
      <c r="AP41" s="793">
        <f t="shared" si="41"/>
        <v>521</v>
      </c>
      <c r="AQ41" s="793">
        <f t="shared" si="42"/>
        <v>10400</v>
      </c>
      <c r="AR41" s="793">
        <f t="shared" si="43"/>
        <v>0</v>
      </c>
      <c r="AS41" s="793">
        <f t="shared" si="44"/>
        <v>0</v>
      </c>
      <c r="AT41" s="793">
        <f t="shared" si="45"/>
        <v>9879</v>
      </c>
      <c r="AU41" s="793">
        <f t="shared" si="46"/>
        <v>521</v>
      </c>
    </row>
    <row r="42" spans="1:47" ht="15" customHeight="1" x14ac:dyDescent="0.25">
      <c r="A42" s="842" t="s">
        <v>1187</v>
      </c>
      <c r="B42" s="843" t="s">
        <v>1194</v>
      </c>
      <c r="C42" s="778">
        <f t="shared" si="14"/>
        <v>0.31666666666666665</v>
      </c>
      <c r="D42" s="844">
        <v>3</v>
      </c>
      <c r="E42" s="779" t="s">
        <v>1182</v>
      </c>
      <c r="F42" s="845">
        <v>43191</v>
      </c>
      <c r="G42" s="845">
        <v>43191</v>
      </c>
      <c r="H42" s="781">
        <f t="shared" si="15"/>
        <v>44286</v>
      </c>
      <c r="I42" s="795">
        <v>54943</v>
      </c>
      <c r="J42" s="783">
        <f t="shared" si="16"/>
        <v>2747.15</v>
      </c>
      <c r="K42" s="784"/>
      <c r="L42" s="846"/>
      <c r="M42" s="790">
        <f t="shared" si="17"/>
        <v>54943</v>
      </c>
      <c r="N42" s="791">
        <f t="shared" si="47"/>
        <v>365</v>
      </c>
      <c r="O42" s="791">
        <f t="shared" si="48"/>
        <v>17399</v>
      </c>
      <c r="P42" s="790">
        <f t="shared" si="49"/>
        <v>17399</v>
      </c>
      <c r="Q42" s="847">
        <f t="shared" si="50"/>
        <v>37544</v>
      </c>
      <c r="R42" s="789">
        <f t="shared" si="18"/>
        <v>37544</v>
      </c>
      <c r="S42" s="790">
        <f t="shared" si="19"/>
        <v>54943</v>
      </c>
      <c r="T42" s="791">
        <f t="shared" si="20"/>
        <v>366</v>
      </c>
      <c r="U42" s="791">
        <f t="shared" si="21"/>
        <v>17399</v>
      </c>
      <c r="V42" s="790">
        <f t="shared" si="22"/>
        <v>34798</v>
      </c>
      <c r="W42" s="847">
        <f t="shared" si="23"/>
        <v>20145</v>
      </c>
      <c r="X42" s="846">
        <f t="shared" si="24"/>
        <v>20145</v>
      </c>
      <c r="Y42" s="783">
        <f t="shared" si="25"/>
        <v>54943</v>
      </c>
      <c r="Z42" s="783">
        <f t="shared" si="26"/>
        <v>365</v>
      </c>
      <c r="AA42" s="783">
        <f t="shared" si="27"/>
        <v>17399</v>
      </c>
      <c r="AB42" s="783">
        <f t="shared" si="28"/>
        <v>52197</v>
      </c>
      <c r="AC42" s="848">
        <f t="shared" si="29"/>
        <v>2746</v>
      </c>
      <c r="AD42" s="789">
        <f t="shared" si="30"/>
        <v>2746</v>
      </c>
      <c r="AE42" s="790">
        <f t="shared" si="31"/>
        <v>54943</v>
      </c>
      <c r="AF42" s="791">
        <f t="shared" si="32"/>
        <v>0</v>
      </c>
      <c r="AG42" s="791">
        <f t="shared" si="33"/>
        <v>0</v>
      </c>
      <c r="AH42" s="783">
        <f t="shared" si="34"/>
        <v>52197</v>
      </c>
      <c r="AI42" s="783">
        <f t="shared" si="35"/>
        <v>2746</v>
      </c>
      <c r="AJ42" s="790">
        <f t="shared" si="51"/>
        <v>2746</v>
      </c>
      <c r="AK42" s="790">
        <f t="shared" si="36"/>
        <v>54943</v>
      </c>
      <c r="AL42" s="791">
        <f t="shared" si="37"/>
        <v>0</v>
      </c>
      <c r="AM42" s="791">
        <f t="shared" si="38"/>
        <v>0</v>
      </c>
      <c r="AN42" s="783">
        <f t="shared" si="39"/>
        <v>52197</v>
      </c>
      <c r="AO42" s="783">
        <f t="shared" si="40"/>
        <v>2746</v>
      </c>
      <c r="AP42" s="793">
        <f t="shared" si="41"/>
        <v>2746</v>
      </c>
      <c r="AQ42" s="793">
        <f t="shared" si="42"/>
        <v>54943</v>
      </c>
      <c r="AR42" s="793">
        <f t="shared" si="43"/>
        <v>0</v>
      </c>
      <c r="AS42" s="793">
        <f t="shared" si="44"/>
        <v>0</v>
      </c>
      <c r="AT42" s="793">
        <f t="shared" si="45"/>
        <v>52197</v>
      </c>
      <c r="AU42" s="793">
        <f t="shared" si="46"/>
        <v>2746</v>
      </c>
    </row>
    <row r="43" spans="1:47" ht="15" customHeight="1" x14ac:dyDescent="0.25">
      <c r="A43" s="842" t="s">
        <v>1187</v>
      </c>
      <c r="B43" s="843" t="s">
        <v>1194</v>
      </c>
      <c r="C43" s="778">
        <f t="shared" si="14"/>
        <v>0.31666666666666665</v>
      </c>
      <c r="D43" s="844">
        <v>3</v>
      </c>
      <c r="E43" s="779" t="s">
        <v>1182</v>
      </c>
      <c r="F43" s="845">
        <v>43191</v>
      </c>
      <c r="G43" s="845">
        <v>43191</v>
      </c>
      <c r="H43" s="781">
        <f t="shared" si="15"/>
        <v>44286</v>
      </c>
      <c r="I43" s="795">
        <v>11250</v>
      </c>
      <c r="J43" s="783">
        <f t="shared" si="16"/>
        <v>562.5</v>
      </c>
      <c r="K43" s="784"/>
      <c r="L43" s="846"/>
      <c r="M43" s="790">
        <f t="shared" si="17"/>
        <v>11250</v>
      </c>
      <c r="N43" s="791">
        <f t="shared" si="47"/>
        <v>365</v>
      </c>
      <c r="O43" s="791">
        <f t="shared" si="48"/>
        <v>3563</v>
      </c>
      <c r="P43" s="790">
        <f t="shared" si="49"/>
        <v>3563</v>
      </c>
      <c r="Q43" s="847">
        <f t="shared" si="50"/>
        <v>7687</v>
      </c>
      <c r="R43" s="789">
        <f t="shared" si="18"/>
        <v>7687</v>
      </c>
      <c r="S43" s="790">
        <f t="shared" si="19"/>
        <v>11250</v>
      </c>
      <c r="T43" s="791">
        <f t="shared" si="20"/>
        <v>366</v>
      </c>
      <c r="U43" s="791">
        <f t="shared" si="21"/>
        <v>3563</v>
      </c>
      <c r="V43" s="790">
        <f t="shared" si="22"/>
        <v>7126</v>
      </c>
      <c r="W43" s="847">
        <f t="shared" si="23"/>
        <v>4124</v>
      </c>
      <c r="X43" s="846">
        <f t="shared" si="24"/>
        <v>4124</v>
      </c>
      <c r="Y43" s="783">
        <f t="shared" si="25"/>
        <v>11250</v>
      </c>
      <c r="Z43" s="783">
        <f t="shared" si="26"/>
        <v>365</v>
      </c>
      <c r="AA43" s="783">
        <f t="shared" si="27"/>
        <v>3563</v>
      </c>
      <c r="AB43" s="783">
        <f t="shared" si="28"/>
        <v>10689</v>
      </c>
      <c r="AC43" s="848">
        <f t="shared" si="29"/>
        <v>561</v>
      </c>
      <c r="AD43" s="789">
        <f t="shared" si="30"/>
        <v>561</v>
      </c>
      <c r="AE43" s="790">
        <f t="shared" si="31"/>
        <v>11250</v>
      </c>
      <c r="AF43" s="791">
        <f t="shared" si="32"/>
        <v>0</v>
      </c>
      <c r="AG43" s="791">
        <f t="shared" si="33"/>
        <v>0</v>
      </c>
      <c r="AH43" s="783">
        <f t="shared" si="34"/>
        <v>10689</v>
      </c>
      <c r="AI43" s="783">
        <f t="shared" si="35"/>
        <v>561</v>
      </c>
      <c r="AJ43" s="790">
        <f t="shared" si="51"/>
        <v>561</v>
      </c>
      <c r="AK43" s="790">
        <f t="shared" si="36"/>
        <v>11250</v>
      </c>
      <c r="AL43" s="791">
        <f t="shared" si="37"/>
        <v>0</v>
      </c>
      <c r="AM43" s="791">
        <f t="shared" si="38"/>
        <v>0</v>
      </c>
      <c r="AN43" s="783">
        <f t="shared" si="39"/>
        <v>10689</v>
      </c>
      <c r="AO43" s="783">
        <f t="shared" si="40"/>
        <v>561</v>
      </c>
      <c r="AP43" s="793">
        <f t="shared" si="41"/>
        <v>561</v>
      </c>
      <c r="AQ43" s="793">
        <f t="shared" si="42"/>
        <v>11250</v>
      </c>
      <c r="AR43" s="793">
        <f t="shared" si="43"/>
        <v>0</v>
      </c>
      <c r="AS43" s="793">
        <f t="shared" si="44"/>
        <v>0</v>
      </c>
      <c r="AT43" s="793">
        <f t="shared" si="45"/>
        <v>10689</v>
      </c>
      <c r="AU43" s="793">
        <f t="shared" si="46"/>
        <v>561</v>
      </c>
    </row>
    <row r="44" spans="1:47" ht="15" customHeight="1" x14ac:dyDescent="0.25">
      <c r="A44" s="842" t="s">
        <v>1187</v>
      </c>
      <c r="B44" s="843" t="s">
        <v>1194</v>
      </c>
      <c r="C44" s="778">
        <f t="shared" si="14"/>
        <v>0.31666666666666665</v>
      </c>
      <c r="D44" s="844">
        <v>3</v>
      </c>
      <c r="E44" s="779" t="s">
        <v>1182</v>
      </c>
      <c r="F44" s="845">
        <v>43191</v>
      </c>
      <c r="G44" s="845">
        <v>43191</v>
      </c>
      <c r="H44" s="781">
        <f t="shared" si="15"/>
        <v>44286</v>
      </c>
      <c r="I44" s="795">
        <v>10980</v>
      </c>
      <c r="J44" s="783">
        <f t="shared" si="16"/>
        <v>549</v>
      </c>
      <c r="K44" s="784"/>
      <c r="L44" s="846"/>
      <c r="M44" s="790">
        <f t="shared" si="17"/>
        <v>10980</v>
      </c>
      <c r="N44" s="791">
        <f t="shared" si="47"/>
        <v>365</v>
      </c>
      <c r="O44" s="791">
        <f t="shared" si="48"/>
        <v>3477</v>
      </c>
      <c r="P44" s="790">
        <f t="shared" si="49"/>
        <v>3477</v>
      </c>
      <c r="Q44" s="847">
        <f t="shared" si="50"/>
        <v>7503</v>
      </c>
      <c r="R44" s="789">
        <f t="shared" si="18"/>
        <v>7503</v>
      </c>
      <c r="S44" s="790">
        <f t="shared" si="19"/>
        <v>10980</v>
      </c>
      <c r="T44" s="791">
        <f t="shared" si="20"/>
        <v>366</v>
      </c>
      <c r="U44" s="791">
        <f t="shared" si="21"/>
        <v>3477</v>
      </c>
      <c r="V44" s="790">
        <f t="shared" si="22"/>
        <v>6954</v>
      </c>
      <c r="W44" s="847">
        <f t="shared" si="23"/>
        <v>4026</v>
      </c>
      <c r="X44" s="846">
        <f t="shared" si="24"/>
        <v>4026</v>
      </c>
      <c r="Y44" s="783">
        <f t="shared" si="25"/>
        <v>10980</v>
      </c>
      <c r="Z44" s="783">
        <f t="shared" si="26"/>
        <v>365</v>
      </c>
      <c r="AA44" s="783">
        <f t="shared" si="27"/>
        <v>3477</v>
      </c>
      <c r="AB44" s="783">
        <f t="shared" si="28"/>
        <v>10431</v>
      </c>
      <c r="AC44" s="848">
        <f t="shared" si="29"/>
        <v>549</v>
      </c>
      <c r="AD44" s="789">
        <f t="shared" si="30"/>
        <v>549</v>
      </c>
      <c r="AE44" s="790">
        <f t="shared" si="31"/>
        <v>10980</v>
      </c>
      <c r="AF44" s="791">
        <f t="shared" si="32"/>
        <v>0</v>
      </c>
      <c r="AG44" s="791">
        <f t="shared" si="33"/>
        <v>0</v>
      </c>
      <c r="AH44" s="783">
        <f t="shared" si="34"/>
        <v>10431</v>
      </c>
      <c r="AI44" s="783">
        <f t="shared" si="35"/>
        <v>549</v>
      </c>
      <c r="AJ44" s="790">
        <f t="shared" si="51"/>
        <v>549</v>
      </c>
      <c r="AK44" s="790">
        <f t="shared" si="36"/>
        <v>10980</v>
      </c>
      <c r="AL44" s="791">
        <f t="shared" si="37"/>
        <v>0</v>
      </c>
      <c r="AM44" s="791">
        <f t="shared" si="38"/>
        <v>0</v>
      </c>
      <c r="AN44" s="783">
        <f t="shared" si="39"/>
        <v>10431</v>
      </c>
      <c r="AO44" s="783">
        <f t="shared" si="40"/>
        <v>549</v>
      </c>
      <c r="AP44" s="793">
        <f t="shared" si="41"/>
        <v>549</v>
      </c>
      <c r="AQ44" s="793">
        <f t="shared" si="42"/>
        <v>10980</v>
      </c>
      <c r="AR44" s="793">
        <f t="shared" si="43"/>
        <v>0</v>
      </c>
      <c r="AS44" s="793">
        <f t="shared" si="44"/>
        <v>0</v>
      </c>
      <c r="AT44" s="793">
        <f t="shared" si="45"/>
        <v>10431</v>
      </c>
      <c r="AU44" s="793">
        <f t="shared" si="46"/>
        <v>549</v>
      </c>
    </row>
    <row r="45" spans="1:47" ht="15" customHeight="1" x14ac:dyDescent="0.25">
      <c r="A45" s="842" t="s">
        <v>1187</v>
      </c>
      <c r="B45" s="843" t="s">
        <v>1194</v>
      </c>
      <c r="C45" s="778">
        <f t="shared" si="14"/>
        <v>0.31666666666666665</v>
      </c>
      <c r="D45" s="844">
        <v>3</v>
      </c>
      <c r="E45" s="779" t="s">
        <v>1182</v>
      </c>
      <c r="F45" s="845">
        <v>43191</v>
      </c>
      <c r="G45" s="845">
        <v>43191</v>
      </c>
      <c r="H45" s="781">
        <f t="shared" si="15"/>
        <v>44286</v>
      </c>
      <c r="I45" s="795">
        <v>120000</v>
      </c>
      <c r="J45" s="783">
        <f t="shared" si="16"/>
        <v>6000</v>
      </c>
      <c r="K45" s="784"/>
      <c r="L45" s="846"/>
      <c r="M45" s="790">
        <f t="shared" si="17"/>
        <v>120000</v>
      </c>
      <c r="N45" s="791">
        <f t="shared" si="47"/>
        <v>365</v>
      </c>
      <c r="O45" s="791">
        <f t="shared" si="48"/>
        <v>38000</v>
      </c>
      <c r="P45" s="790">
        <f t="shared" si="49"/>
        <v>38000</v>
      </c>
      <c r="Q45" s="847">
        <f t="shared" si="50"/>
        <v>82000</v>
      </c>
      <c r="R45" s="789">
        <f t="shared" si="18"/>
        <v>82000</v>
      </c>
      <c r="S45" s="790">
        <f t="shared" si="19"/>
        <v>120000</v>
      </c>
      <c r="T45" s="791">
        <f t="shared" si="20"/>
        <v>366</v>
      </c>
      <c r="U45" s="791">
        <f t="shared" si="21"/>
        <v>38000</v>
      </c>
      <c r="V45" s="790">
        <f t="shared" si="22"/>
        <v>76000</v>
      </c>
      <c r="W45" s="847">
        <f t="shared" si="23"/>
        <v>44000</v>
      </c>
      <c r="X45" s="846">
        <f t="shared" si="24"/>
        <v>44000</v>
      </c>
      <c r="Y45" s="783">
        <f t="shared" si="25"/>
        <v>120000</v>
      </c>
      <c r="Z45" s="783">
        <f t="shared" si="26"/>
        <v>365</v>
      </c>
      <c r="AA45" s="783">
        <f t="shared" si="27"/>
        <v>38000</v>
      </c>
      <c r="AB45" s="783">
        <f t="shared" si="28"/>
        <v>114000</v>
      </c>
      <c r="AC45" s="848">
        <f t="shared" si="29"/>
        <v>6000</v>
      </c>
      <c r="AD45" s="789">
        <f t="shared" si="30"/>
        <v>6000</v>
      </c>
      <c r="AE45" s="790">
        <f t="shared" si="31"/>
        <v>120000</v>
      </c>
      <c r="AF45" s="791">
        <f t="shared" si="32"/>
        <v>0</v>
      </c>
      <c r="AG45" s="791">
        <f t="shared" si="33"/>
        <v>0</v>
      </c>
      <c r="AH45" s="783">
        <f t="shared" si="34"/>
        <v>114000</v>
      </c>
      <c r="AI45" s="783">
        <f t="shared" si="35"/>
        <v>6000</v>
      </c>
      <c r="AJ45" s="790">
        <f t="shared" si="51"/>
        <v>6000</v>
      </c>
      <c r="AK45" s="790">
        <f t="shared" si="36"/>
        <v>120000</v>
      </c>
      <c r="AL45" s="791">
        <f t="shared" si="37"/>
        <v>0</v>
      </c>
      <c r="AM45" s="791">
        <f t="shared" si="38"/>
        <v>0</v>
      </c>
      <c r="AN45" s="783">
        <f t="shared" si="39"/>
        <v>114000</v>
      </c>
      <c r="AO45" s="783">
        <f t="shared" si="40"/>
        <v>6000</v>
      </c>
      <c r="AP45" s="793">
        <f t="shared" si="41"/>
        <v>6000</v>
      </c>
      <c r="AQ45" s="793">
        <f t="shared" si="42"/>
        <v>120000</v>
      </c>
      <c r="AR45" s="793">
        <f t="shared" si="43"/>
        <v>0</v>
      </c>
      <c r="AS45" s="793">
        <f t="shared" si="44"/>
        <v>0</v>
      </c>
      <c r="AT45" s="793">
        <f t="shared" si="45"/>
        <v>114000</v>
      </c>
      <c r="AU45" s="793">
        <f t="shared" si="46"/>
        <v>6000</v>
      </c>
    </row>
    <row r="46" spans="1:47" ht="15" customHeight="1" x14ac:dyDescent="0.25">
      <c r="A46" s="842" t="s">
        <v>1187</v>
      </c>
      <c r="B46" s="843" t="s">
        <v>1194</v>
      </c>
      <c r="C46" s="778">
        <f t="shared" si="14"/>
        <v>0.31666666666666665</v>
      </c>
      <c r="D46" s="844">
        <v>3</v>
      </c>
      <c r="E46" s="779" t="s">
        <v>1182</v>
      </c>
      <c r="F46" s="845">
        <v>43191</v>
      </c>
      <c r="G46" s="845">
        <v>43191</v>
      </c>
      <c r="H46" s="781">
        <f t="shared" si="15"/>
        <v>44286</v>
      </c>
      <c r="I46" s="795">
        <v>32940</v>
      </c>
      <c r="J46" s="783">
        <f t="shared" si="16"/>
        <v>1647</v>
      </c>
      <c r="K46" s="784"/>
      <c r="L46" s="846"/>
      <c r="M46" s="790">
        <f t="shared" si="17"/>
        <v>32940</v>
      </c>
      <c r="N46" s="791">
        <f t="shared" si="47"/>
        <v>365</v>
      </c>
      <c r="O46" s="791">
        <f t="shared" si="48"/>
        <v>10431</v>
      </c>
      <c r="P46" s="790">
        <f t="shared" si="49"/>
        <v>10431</v>
      </c>
      <c r="Q46" s="847">
        <f t="shared" si="50"/>
        <v>22509</v>
      </c>
      <c r="R46" s="789">
        <f t="shared" si="18"/>
        <v>22509</v>
      </c>
      <c r="S46" s="790">
        <f t="shared" si="19"/>
        <v>32940</v>
      </c>
      <c r="T46" s="791">
        <f t="shared" si="20"/>
        <v>366</v>
      </c>
      <c r="U46" s="791">
        <f t="shared" si="21"/>
        <v>10431</v>
      </c>
      <c r="V46" s="790">
        <f t="shared" si="22"/>
        <v>20862</v>
      </c>
      <c r="W46" s="847">
        <f t="shared" si="23"/>
        <v>12078</v>
      </c>
      <c r="X46" s="846">
        <f t="shared" si="24"/>
        <v>12078</v>
      </c>
      <c r="Y46" s="783">
        <f t="shared" si="25"/>
        <v>32940</v>
      </c>
      <c r="Z46" s="783">
        <f t="shared" si="26"/>
        <v>365</v>
      </c>
      <c r="AA46" s="783">
        <f t="shared" si="27"/>
        <v>10431</v>
      </c>
      <c r="AB46" s="783">
        <f t="shared" si="28"/>
        <v>31293</v>
      </c>
      <c r="AC46" s="848">
        <f t="shared" si="29"/>
        <v>1647</v>
      </c>
      <c r="AD46" s="789">
        <f t="shared" si="30"/>
        <v>1647</v>
      </c>
      <c r="AE46" s="790">
        <f t="shared" si="31"/>
        <v>32940</v>
      </c>
      <c r="AF46" s="791">
        <f t="shared" si="32"/>
        <v>0</v>
      </c>
      <c r="AG46" s="791">
        <f t="shared" si="33"/>
        <v>0</v>
      </c>
      <c r="AH46" s="783">
        <f t="shared" si="34"/>
        <v>31293</v>
      </c>
      <c r="AI46" s="783">
        <f t="shared" si="35"/>
        <v>1647</v>
      </c>
      <c r="AJ46" s="790">
        <f t="shared" si="51"/>
        <v>1647</v>
      </c>
      <c r="AK46" s="790">
        <f t="shared" si="36"/>
        <v>32940</v>
      </c>
      <c r="AL46" s="791">
        <f t="shared" si="37"/>
        <v>0</v>
      </c>
      <c r="AM46" s="791">
        <f t="shared" si="38"/>
        <v>0</v>
      </c>
      <c r="AN46" s="783">
        <f t="shared" si="39"/>
        <v>31293</v>
      </c>
      <c r="AO46" s="783">
        <f t="shared" si="40"/>
        <v>1647</v>
      </c>
      <c r="AP46" s="793">
        <f t="shared" si="41"/>
        <v>1647</v>
      </c>
      <c r="AQ46" s="793">
        <f t="shared" si="42"/>
        <v>32940</v>
      </c>
      <c r="AR46" s="793">
        <f t="shared" si="43"/>
        <v>0</v>
      </c>
      <c r="AS46" s="793">
        <f t="shared" si="44"/>
        <v>0</v>
      </c>
      <c r="AT46" s="793">
        <f t="shared" si="45"/>
        <v>31293</v>
      </c>
      <c r="AU46" s="793">
        <f t="shared" si="46"/>
        <v>1647</v>
      </c>
    </row>
    <row r="47" spans="1:47" ht="15" customHeight="1" x14ac:dyDescent="0.25">
      <c r="A47" s="842" t="s">
        <v>1187</v>
      </c>
      <c r="B47" s="843" t="s">
        <v>1194</v>
      </c>
      <c r="C47" s="778">
        <f t="shared" si="14"/>
        <v>0.31666666666666665</v>
      </c>
      <c r="D47" s="844">
        <v>3</v>
      </c>
      <c r="E47" s="779" t="s">
        <v>1182</v>
      </c>
      <c r="F47" s="845">
        <v>43191</v>
      </c>
      <c r="G47" s="845">
        <v>43191</v>
      </c>
      <c r="H47" s="781">
        <f t="shared" si="15"/>
        <v>44286</v>
      </c>
      <c r="I47" s="795">
        <v>68772.5</v>
      </c>
      <c r="J47" s="783">
        <f t="shared" si="16"/>
        <v>3438.625</v>
      </c>
      <c r="K47" s="784"/>
      <c r="L47" s="846"/>
      <c r="M47" s="790">
        <f t="shared" si="17"/>
        <v>68772.5</v>
      </c>
      <c r="N47" s="791">
        <f t="shared" si="47"/>
        <v>365</v>
      </c>
      <c r="O47" s="791">
        <f t="shared" si="48"/>
        <v>21778</v>
      </c>
      <c r="P47" s="790">
        <f t="shared" si="49"/>
        <v>21778</v>
      </c>
      <c r="Q47" s="847">
        <f t="shared" si="50"/>
        <v>46994.5</v>
      </c>
      <c r="R47" s="789">
        <f t="shared" si="18"/>
        <v>46994.5</v>
      </c>
      <c r="S47" s="790">
        <f t="shared" si="19"/>
        <v>68772.5</v>
      </c>
      <c r="T47" s="791">
        <f t="shared" si="20"/>
        <v>366</v>
      </c>
      <c r="U47" s="791">
        <f t="shared" si="21"/>
        <v>21778</v>
      </c>
      <c r="V47" s="790">
        <f t="shared" si="22"/>
        <v>43556</v>
      </c>
      <c r="W47" s="847">
        <f t="shared" si="23"/>
        <v>25216.5</v>
      </c>
      <c r="X47" s="846">
        <f t="shared" si="24"/>
        <v>25216.5</v>
      </c>
      <c r="Y47" s="783">
        <f t="shared" si="25"/>
        <v>68772.5</v>
      </c>
      <c r="Z47" s="783">
        <f t="shared" si="26"/>
        <v>365</v>
      </c>
      <c r="AA47" s="783">
        <f t="shared" si="27"/>
        <v>21778</v>
      </c>
      <c r="AB47" s="783">
        <f t="shared" si="28"/>
        <v>65334</v>
      </c>
      <c r="AC47" s="848">
        <f t="shared" si="29"/>
        <v>3438.5</v>
      </c>
      <c r="AD47" s="789">
        <f t="shared" si="30"/>
        <v>3438.5</v>
      </c>
      <c r="AE47" s="790">
        <f t="shared" si="31"/>
        <v>68772.5</v>
      </c>
      <c r="AF47" s="791">
        <f t="shared" si="32"/>
        <v>0</v>
      </c>
      <c r="AG47" s="791">
        <f t="shared" si="33"/>
        <v>0</v>
      </c>
      <c r="AH47" s="783">
        <f t="shared" si="34"/>
        <v>65334</v>
      </c>
      <c r="AI47" s="783">
        <f t="shared" si="35"/>
        <v>3438.5</v>
      </c>
      <c r="AJ47" s="790">
        <f t="shared" si="51"/>
        <v>3438.5</v>
      </c>
      <c r="AK47" s="790">
        <f t="shared" si="36"/>
        <v>68772.5</v>
      </c>
      <c r="AL47" s="791">
        <f t="shared" si="37"/>
        <v>0</v>
      </c>
      <c r="AM47" s="791">
        <f t="shared" si="38"/>
        <v>0</v>
      </c>
      <c r="AN47" s="783">
        <f t="shared" si="39"/>
        <v>65334</v>
      </c>
      <c r="AO47" s="783">
        <f t="shared" si="40"/>
        <v>3438.5</v>
      </c>
      <c r="AP47" s="793">
        <f t="shared" si="41"/>
        <v>3438.5</v>
      </c>
      <c r="AQ47" s="793">
        <f t="shared" si="42"/>
        <v>68772.5</v>
      </c>
      <c r="AR47" s="793">
        <f t="shared" si="43"/>
        <v>0</v>
      </c>
      <c r="AS47" s="793">
        <f t="shared" si="44"/>
        <v>0</v>
      </c>
      <c r="AT47" s="793">
        <f t="shared" si="45"/>
        <v>65334</v>
      </c>
      <c r="AU47" s="793">
        <f t="shared" si="46"/>
        <v>3438.5</v>
      </c>
    </row>
    <row r="48" spans="1:47" ht="15" customHeight="1" x14ac:dyDescent="0.25">
      <c r="A48" s="842" t="s">
        <v>1187</v>
      </c>
      <c r="B48" s="843" t="s">
        <v>1194</v>
      </c>
      <c r="C48" s="778">
        <f t="shared" si="14"/>
        <v>0.31666666666666665</v>
      </c>
      <c r="D48" s="844">
        <v>3</v>
      </c>
      <c r="E48" s="779" t="s">
        <v>1182</v>
      </c>
      <c r="F48" s="845">
        <v>43191</v>
      </c>
      <c r="G48" s="845">
        <v>43191</v>
      </c>
      <c r="H48" s="781">
        <f t="shared" si="15"/>
        <v>44286</v>
      </c>
      <c r="I48" s="795">
        <v>11805</v>
      </c>
      <c r="J48" s="783">
        <f t="shared" si="16"/>
        <v>590.25</v>
      </c>
      <c r="K48" s="784"/>
      <c r="L48" s="846"/>
      <c r="M48" s="790">
        <f t="shared" si="17"/>
        <v>11805</v>
      </c>
      <c r="N48" s="791">
        <f t="shared" si="47"/>
        <v>365</v>
      </c>
      <c r="O48" s="791">
        <f t="shared" si="48"/>
        <v>3738</v>
      </c>
      <c r="P48" s="790">
        <f t="shared" si="49"/>
        <v>3738</v>
      </c>
      <c r="Q48" s="847">
        <f t="shared" si="50"/>
        <v>8067</v>
      </c>
      <c r="R48" s="789">
        <f t="shared" si="18"/>
        <v>8067</v>
      </c>
      <c r="S48" s="790">
        <f t="shared" si="19"/>
        <v>11805</v>
      </c>
      <c r="T48" s="791">
        <f t="shared" si="20"/>
        <v>366</v>
      </c>
      <c r="U48" s="791">
        <f t="shared" si="21"/>
        <v>3738</v>
      </c>
      <c r="V48" s="790">
        <f t="shared" si="22"/>
        <v>7476</v>
      </c>
      <c r="W48" s="847">
        <f t="shared" si="23"/>
        <v>4329</v>
      </c>
      <c r="X48" s="846">
        <f t="shared" si="24"/>
        <v>4329</v>
      </c>
      <c r="Y48" s="783">
        <f t="shared" si="25"/>
        <v>11805</v>
      </c>
      <c r="Z48" s="783">
        <f t="shared" si="26"/>
        <v>365</v>
      </c>
      <c r="AA48" s="783">
        <f t="shared" si="27"/>
        <v>3738</v>
      </c>
      <c r="AB48" s="783">
        <f t="shared" si="28"/>
        <v>11214</v>
      </c>
      <c r="AC48" s="848">
        <f t="shared" si="29"/>
        <v>591</v>
      </c>
      <c r="AD48" s="789">
        <f t="shared" si="30"/>
        <v>591</v>
      </c>
      <c r="AE48" s="790">
        <f t="shared" si="31"/>
        <v>11805</v>
      </c>
      <c r="AF48" s="791">
        <f t="shared" si="32"/>
        <v>0</v>
      </c>
      <c r="AG48" s="791">
        <f t="shared" si="33"/>
        <v>0</v>
      </c>
      <c r="AH48" s="783">
        <f t="shared" si="34"/>
        <v>11214</v>
      </c>
      <c r="AI48" s="783">
        <f t="shared" si="35"/>
        <v>591</v>
      </c>
      <c r="AJ48" s="790">
        <f t="shared" si="51"/>
        <v>591</v>
      </c>
      <c r="AK48" s="790">
        <f t="shared" si="36"/>
        <v>11805</v>
      </c>
      <c r="AL48" s="791">
        <f t="shared" si="37"/>
        <v>0</v>
      </c>
      <c r="AM48" s="791">
        <f t="shared" si="38"/>
        <v>0</v>
      </c>
      <c r="AN48" s="783">
        <f t="shared" si="39"/>
        <v>11214</v>
      </c>
      <c r="AO48" s="783">
        <f t="shared" si="40"/>
        <v>591</v>
      </c>
      <c r="AP48" s="793">
        <f t="shared" si="41"/>
        <v>591</v>
      </c>
      <c r="AQ48" s="793">
        <f t="shared" si="42"/>
        <v>11805</v>
      </c>
      <c r="AR48" s="793">
        <f t="shared" si="43"/>
        <v>0</v>
      </c>
      <c r="AS48" s="793">
        <f t="shared" si="44"/>
        <v>0</v>
      </c>
      <c r="AT48" s="793">
        <f t="shared" si="45"/>
        <v>11214</v>
      </c>
      <c r="AU48" s="793">
        <f t="shared" si="46"/>
        <v>591</v>
      </c>
    </row>
    <row r="49" spans="1:47" ht="15" customHeight="1" x14ac:dyDescent="0.25">
      <c r="A49" s="842" t="s">
        <v>1187</v>
      </c>
      <c r="B49" s="843" t="s">
        <v>1194</v>
      </c>
      <c r="C49" s="778">
        <f t="shared" si="14"/>
        <v>0.31666666666666665</v>
      </c>
      <c r="D49" s="844">
        <v>3</v>
      </c>
      <c r="E49" s="779" t="s">
        <v>1182</v>
      </c>
      <c r="F49" s="845">
        <v>43191</v>
      </c>
      <c r="G49" s="845">
        <v>43191</v>
      </c>
      <c r="H49" s="781">
        <f t="shared" si="15"/>
        <v>44286</v>
      </c>
      <c r="I49" s="795">
        <v>5490</v>
      </c>
      <c r="J49" s="783">
        <f t="shared" si="16"/>
        <v>274.5</v>
      </c>
      <c r="K49" s="784"/>
      <c r="L49" s="846"/>
      <c r="M49" s="790">
        <f t="shared" si="17"/>
        <v>5490</v>
      </c>
      <c r="N49" s="791">
        <f t="shared" si="47"/>
        <v>365</v>
      </c>
      <c r="O49" s="791">
        <f t="shared" si="48"/>
        <v>1739</v>
      </c>
      <c r="P49" s="790">
        <f t="shared" si="49"/>
        <v>1739</v>
      </c>
      <c r="Q49" s="847">
        <f t="shared" si="50"/>
        <v>3751</v>
      </c>
      <c r="R49" s="789">
        <f t="shared" si="18"/>
        <v>3751</v>
      </c>
      <c r="S49" s="790">
        <f t="shared" si="19"/>
        <v>5490</v>
      </c>
      <c r="T49" s="791">
        <f t="shared" si="20"/>
        <v>366</v>
      </c>
      <c r="U49" s="791">
        <f t="shared" si="21"/>
        <v>1739</v>
      </c>
      <c r="V49" s="790">
        <f t="shared" si="22"/>
        <v>3478</v>
      </c>
      <c r="W49" s="847">
        <f t="shared" si="23"/>
        <v>2012</v>
      </c>
      <c r="X49" s="846">
        <f t="shared" si="24"/>
        <v>2012</v>
      </c>
      <c r="Y49" s="783">
        <f t="shared" si="25"/>
        <v>5490</v>
      </c>
      <c r="Z49" s="783">
        <f t="shared" si="26"/>
        <v>365</v>
      </c>
      <c r="AA49" s="783">
        <f t="shared" si="27"/>
        <v>1739</v>
      </c>
      <c r="AB49" s="783">
        <f t="shared" si="28"/>
        <v>5217</v>
      </c>
      <c r="AC49" s="848">
        <f t="shared" si="29"/>
        <v>273</v>
      </c>
      <c r="AD49" s="789">
        <f t="shared" si="30"/>
        <v>273</v>
      </c>
      <c r="AE49" s="790">
        <f t="shared" si="31"/>
        <v>5490</v>
      </c>
      <c r="AF49" s="791">
        <f t="shared" si="32"/>
        <v>0</v>
      </c>
      <c r="AG49" s="791">
        <f t="shared" si="33"/>
        <v>0</v>
      </c>
      <c r="AH49" s="783">
        <f t="shared" si="34"/>
        <v>5217</v>
      </c>
      <c r="AI49" s="783">
        <f t="shared" si="35"/>
        <v>273</v>
      </c>
      <c r="AJ49" s="790">
        <f t="shared" si="51"/>
        <v>273</v>
      </c>
      <c r="AK49" s="790">
        <f t="shared" si="36"/>
        <v>5490</v>
      </c>
      <c r="AL49" s="791">
        <f t="shared" si="37"/>
        <v>0</v>
      </c>
      <c r="AM49" s="791">
        <f t="shared" si="38"/>
        <v>0</v>
      </c>
      <c r="AN49" s="783">
        <f t="shared" si="39"/>
        <v>5217</v>
      </c>
      <c r="AO49" s="783">
        <f t="shared" si="40"/>
        <v>273</v>
      </c>
      <c r="AP49" s="793">
        <f t="shared" si="41"/>
        <v>273</v>
      </c>
      <c r="AQ49" s="793">
        <f t="shared" si="42"/>
        <v>5490</v>
      </c>
      <c r="AR49" s="793">
        <f t="shared" si="43"/>
        <v>0</v>
      </c>
      <c r="AS49" s="793">
        <f t="shared" si="44"/>
        <v>0</v>
      </c>
      <c r="AT49" s="793">
        <f t="shared" si="45"/>
        <v>5217</v>
      </c>
      <c r="AU49" s="793">
        <f t="shared" si="46"/>
        <v>273</v>
      </c>
    </row>
    <row r="50" spans="1:47" ht="15" customHeight="1" x14ac:dyDescent="0.25">
      <c r="A50" s="842" t="s">
        <v>1187</v>
      </c>
      <c r="B50" s="843" t="s">
        <v>1194</v>
      </c>
      <c r="C50" s="778">
        <f t="shared" si="14"/>
        <v>0.31666666666666665</v>
      </c>
      <c r="D50" s="844">
        <v>3</v>
      </c>
      <c r="E50" s="779" t="s">
        <v>1182</v>
      </c>
      <c r="F50" s="845">
        <v>43191</v>
      </c>
      <c r="G50" s="845">
        <v>43191</v>
      </c>
      <c r="H50" s="781">
        <f t="shared" si="15"/>
        <v>44286</v>
      </c>
      <c r="I50" s="795">
        <v>4500</v>
      </c>
      <c r="J50" s="783">
        <f t="shared" si="16"/>
        <v>225</v>
      </c>
      <c r="K50" s="784"/>
      <c r="L50" s="846"/>
      <c r="M50" s="790">
        <f t="shared" si="17"/>
        <v>4500</v>
      </c>
      <c r="N50" s="791">
        <f t="shared" si="47"/>
        <v>365</v>
      </c>
      <c r="O50" s="791">
        <f t="shared" si="48"/>
        <v>1425</v>
      </c>
      <c r="P50" s="790">
        <f t="shared" si="49"/>
        <v>1425</v>
      </c>
      <c r="Q50" s="847">
        <f t="shared" si="50"/>
        <v>3075</v>
      </c>
      <c r="R50" s="789">
        <f t="shared" si="18"/>
        <v>3075</v>
      </c>
      <c r="S50" s="790">
        <f t="shared" si="19"/>
        <v>4500</v>
      </c>
      <c r="T50" s="791">
        <f t="shared" si="20"/>
        <v>366</v>
      </c>
      <c r="U50" s="791">
        <f t="shared" si="21"/>
        <v>1425</v>
      </c>
      <c r="V50" s="790">
        <f t="shared" si="22"/>
        <v>2850</v>
      </c>
      <c r="W50" s="847">
        <f t="shared" si="23"/>
        <v>1650</v>
      </c>
      <c r="X50" s="846">
        <f t="shared" si="24"/>
        <v>1650</v>
      </c>
      <c r="Y50" s="783">
        <f t="shared" si="25"/>
        <v>4500</v>
      </c>
      <c r="Z50" s="783">
        <f t="shared" si="26"/>
        <v>365</v>
      </c>
      <c r="AA50" s="783">
        <f t="shared" si="27"/>
        <v>1425</v>
      </c>
      <c r="AB50" s="783">
        <f t="shared" si="28"/>
        <v>4275</v>
      </c>
      <c r="AC50" s="848">
        <f t="shared" si="29"/>
        <v>225</v>
      </c>
      <c r="AD50" s="789">
        <f t="shared" si="30"/>
        <v>225</v>
      </c>
      <c r="AE50" s="790">
        <f t="shared" si="31"/>
        <v>4500</v>
      </c>
      <c r="AF50" s="791">
        <f t="shared" si="32"/>
        <v>0</v>
      </c>
      <c r="AG50" s="791">
        <f t="shared" si="33"/>
        <v>0</v>
      </c>
      <c r="AH50" s="783">
        <f t="shared" si="34"/>
        <v>4275</v>
      </c>
      <c r="AI50" s="783">
        <f t="shared" si="35"/>
        <v>225</v>
      </c>
      <c r="AJ50" s="790">
        <f t="shared" si="51"/>
        <v>225</v>
      </c>
      <c r="AK50" s="790">
        <f t="shared" si="36"/>
        <v>4500</v>
      </c>
      <c r="AL50" s="791">
        <f t="shared" si="37"/>
        <v>0</v>
      </c>
      <c r="AM50" s="791">
        <f t="shared" si="38"/>
        <v>0</v>
      </c>
      <c r="AN50" s="783">
        <f t="shared" si="39"/>
        <v>4275</v>
      </c>
      <c r="AO50" s="783">
        <f t="shared" si="40"/>
        <v>225</v>
      </c>
      <c r="AP50" s="793">
        <f t="shared" si="41"/>
        <v>225</v>
      </c>
      <c r="AQ50" s="793">
        <f t="shared" si="42"/>
        <v>4500</v>
      </c>
      <c r="AR50" s="793">
        <f t="shared" si="43"/>
        <v>0</v>
      </c>
      <c r="AS50" s="793">
        <f t="shared" si="44"/>
        <v>0</v>
      </c>
      <c r="AT50" s="793">
        <f t="shared" si="45"/>
        <v>4275</v>
      </c>
      <c r="AU50" s="793">
        <f t="shared" si="46"/>
        <v>225</v>
      </c>
    </row>
    <row r="51" spans="1:47" ht="15" customHeight="1" x14ac:dyDescent="0.25">
      <c r="A51" s="842" t="s">
        <v>1187</v>
      </c>
      <c r="B51" s="843" t="s">
        <v>1194</v>
      </c>
      <c r="C51" s="778">
        <f t="shared" si="14"/>
        <v>0.31666666666666665</v>
      </c>
      <c r="D51" s="844">
        <v>3</v>
      </c>
      <c r="E51" s="779" t="s">
        <v>1182</v>
      </c>
      <c r="F51" s="845">
        <v>43191</v>
      </c>
      <c r="G51" s="845">
        <v>43191</v>
      </c>
      <c r="H51" s="781">
        <f t="shared" si="15"/>
        <v>44286</v>
      </c>
      <c r="I51" s="795">
        <v>32100</v>
      </c>
      <c r="J51" s="783">
        <f t="shared" si="16"/>
        <v>1605</v>
      </c>
      <c r="K51" s="784"/>
      <c r="L51" s="846"/>
      <c r="M51" s="790">
        <f t="shared" si="17"/>
        <v>32100</v>
      </c>
      <c r="N51" s="791">
        <f t="shared" si="47"/>
        <v>365</v>
      </c>
      <c r="O51" s="791">
        <f t="shared" si="48"/>
        <v>10165</v>
      </c>
      <c r="P51" s="790">
        <f t="shared" si="49"/>
        <v>10165</v>
      </c>
      <c r="Q51" s="847">
        <f t="shared" si="50"/>
        <v>21935</v>
      </c>
      <c r="R51" s="789">
        <f t="shared" si="18"/>
        <v>21935</v>
      </c>
      <c r="S51" s="790">
        <f t="shared" si="19"/>
        <v>32100</v>
      </c>
      <c r="T51" s="791">
        <f t="shared" si="20"/>
        <v>366</v>
      </c>
      <c r="U51" s="791">
        <f t="shared" si="21"/>
        <v>10165</v>
      </c>
      <c r="V51" s="790">
        <f t="shared" si="22"/>
        <v>20330</v>
      </c>
      <c r="W51" s="847">
        <f t="shared" si="23"/>
        <v>11770</v>
      </c>
      <c r="X51" s="846">
        <f t="shared" si="24"/>
        <v>11770</v>
      </c>
      <c r="Y51" s="783">
        <f t="shared" si="25"/>
        <v>32100</v>
      </c>
      <c r="Z51" s="783">
        <f t="shared" si="26"/>
        <v>365</v>
      </c>
      <c r="AA51" s="783">
        <f t="shared" si="27"/>
        <v>10165</v>
      </c>
      <c r="AB51" s="783">
        <f t="shared" si="28"/>
        <v>30495</v>
      </c>
      <c r="AC51" s="848">
        <f t="shared" si="29"/>
        <v>1605</v>
      </c>
      <c r="AD51" s="789">
        <f t="shared" si="30"/>
        <v>1605</v>
      </c>
      <c r="AE51" s="790">
        <f t="shared" si="31"/>
        <v>32100</v>
      </c>
      <c r="AF51" s="791">
        <f t="shared" si="32"/>
        <v>0</v>
      </c>
      <c r="AG51" s="791">
        <f t="shared" si="33"/>
        <v>0</v>
      </c>
      <c r="AH51" s="783">
        <f t="shared" si="34"/>
        <v>30495</v>
      </c>
      <c r="AI51" s="783">
        <f t="shared" si="35"/>
        <v>1605</v>
      </c>
      <c r="AJ51" s="790">
        <f t="shared" si="51"/>
        <v>1605</v>
      </c>
      <c r="AK51" s="790">
        <f t="shared" si="36"/>
        <v>32100</v>
      </c>
      <c r="AL51" s="791">
        <f t="shared" si="37"/>
        <v>0</v>
      </c>
      <c r="AM51" s="791">
        <f t="shared" si="38"/>
        <v>0</v>
      </c>
      <c r="AN51" s="783">
        <f t="shared" si="39"/>
        <v>30495</v>
      </c>
      <c r="AO51" s="783">
        <f t="shared" si="40"/>
        <v>1605</v>
      </c>
      <c r="AP51" s="793">
        <f t="shared" si="41"/>
        <v>1605</v>
      </c>
      <c r="AQ51" s="793">
        <f t="shared" si="42"/>
        <v>32100</v>
      </c>
      <c r="AR51" s="793">
        <f t="shared" si="43"/>
        <v>0</v>
      </c>
      <c r="AS51" s="793">
        <f t="shared" si="44"/>
        <v>0</v>
      </c>
      <c r="AT51" s="793">
        <f t="shared" si="45"/>
        <v>30495</v>
      </c>
      <c r="AU51" s="793">
        <f t="shared" si="46"/>
        <v>1605</v>
      </c>
    </row>
    <row r="52" spans="1:47" ht="15" customHeight="1" x14ac:dyDescent="0.25">
      <c r="A52" s="842" t="s">
        <v>1187</v>
      </c>
      <c r="B52" s="843" t="s">
        <v>1194</v>
      </c>
      <c r="C52" s="778">
        <f t="shared" si="14"/>
        <v>0.31666666666666665</v>
      </c>
      <c r="D52" s="844">
        <v>3</v>
      </c>
      <c r="E52" s="779" t="s">
        <v>1182</v>
      </c>
      <c r="F52" s="845">
        <v>43191</v>
      </c>
      <c r="G52" s="845">
        <v>43191</v>
      </c>
      <c r="H52" s="781">
        <f t="shared" si="15"/>
        <v>44286</v>
      </c>
      <c r="I52" s="795">
        <v>12180</v>
      </c>
      <c r="J52" s="783">
        <f t="shared" si="16"/>
        <v>609</v>
      </c>
      <c r="K52" s="784"/>
      <c r="L52" s="846"/>
      <c r="M52" s="790">
        <f t="shared" si="17"/>
        <v>12180</v>
      </c>
      <c r="N52" s="791">
        <f t="shared" si="47"/>
        <v>365</v>
      </c>
      <c r="O52" s="791">
        <f t="shared" si="48"/>
        <v>3857</v>
      </c>
      <c r="P52" s="790">
        <f t="shared" si="49"/>
        <v>3857</v>
      </c>
      <c r="Q52" s="847">
        <f t="shared" si="50"/>
        <v>8323</v>
      </c>
      <c r="R52" s="789">
        <f t="shared" si="18"/>
        <v>8323</v>
      </c>
      <c r="S52" s="790">
        <f t="shared" si="19"/>
        <v>12180</v>
      </c>
      <c r="T52" s="791">
        <f t="shared" si="20"/>
        <v>366</v>
      </c>
      <c r="U52" s="791">
        <f t="shared" si="21"/>
        <v>3857</v>
      </c>
      <c r="V52" s="790">
        <f t="shared" si="22"/>
        <v>7714</v>
      </c>
      <c r="W52" s="847">
        <f t="shared" si="23"/>
        <v>4466</v>
      </c>
      <c r="X52" s="846">
        <f t="shared" si="24"/>
        <v>4466</v>
      </c>
      <c r="Y52" s="783">
        <f t="shared" si="25"/>
        <v>12180</v>
      </c>
      <c r="Z52" s="783">
        <f t="shared" si="26"/>
        <v>365</v>
      </c>
      <c r="AA52" s="783">
        <f t="shared" si="27"/>
        <v>3857</v>
      </c>
      <c r="AB52" s="783">
        <f t="shared" si="28"/>
        <v>11571</v>
      </c>
      <c r="AC52" s="848">
        <f t="shared" si="29"/>
        <v>609</v>
      </c>
      <c r="AD52" s="789">
        <f t="shared" si="30"/>
        <v>609</v>
      </c>
      <c r="AE52" s="790">
        <f t="shared" si="31"/>
        <v>12180</v>
      </c>
      <c r="AF52" s="791">
        <f t="shared" si="32"/>
        <v>0</v>
      </c>
      <c r="AG52" s="791">
        <f t="shared" si="33"/>
        <v>0</v>
      </c>
      <c r="AH52" s="783">
        <f t="shared" si="34"/>
        <v>11571</v>
      </c>
      <c r="AI52" s="783">
        <f t="shared" si="35"/>
        <v>609</v>
      </c>
      <c r="AJ52" s="790">
        <f t="shared" si="51"/>
        <v>609</v>
      </c>
      <c r="AK52" s="790">
        <f t="shared" si="36"/>
        <v>12180</v>
      </c>
      <c r="AL52" s="791">
        <f t="shared" si="37"/>
        <v>0</v>
      </c>
      <c r="AM52" s="791">
        <f t="shared" si="38"/>
        <v>0</v>
      </c>
      <c r="AN52" s="783">
        <f t="shared" si="39"/>
        <v>11571</v>
      </c>
      <c r="AO52" s="783">
        <f t="shared" si="40"/>
        <v>609</v>
      </c>
      <c r="AP52" s="793">
        <f t="shared" si="41"/>
        <v>609</v>
      </c>
      <c r="AQ52" s="793">
        <f t="shared" si="42"/>
        <v>12180</v>
      </c>
      <c r="AR52" s="793">
        <f t="shared" si="43"/>
        <v>0</v>
      </c>
      <c r="AS52" s="793">
        <f t="shared" si="44"/>
        <v>0</v>
      </c>
      <c r="AT52" s="793">
        <f t="shared" si="45"/>
        <v>11571</v>
      </c>
      <c r="AU52" s="793">
        <f t="shared" si="46"/>
        <v>609</v>
      </c>
    </row>
    <row r="53" spans="1:47" ht="15" customHeight="1" x14ac:dyDescent="0.25">
      <c r="A53" s="842" t="s">
        <v>1187</v>
      </c>
      <c r="B53" s="843" t="s">
        <v>1194</v>
      </c>
      <c r="C53" s="778">
        <f t="shared" si="14"/>
        <v>0.31666666666666665</v>
      </c>
      <c r="D53" s="844">
        <v>3</v>
      </c>
      <c r="E53" s="779" t="s">
        <v>1182</v>
      </c>
      <c r="F53" s="845">
        <v>43191</v>
      </c>
      <c r="G53" s="845">
        <v>43191</v>
      </c>
      <c r="H53" s="781">
        <f t="shared" si="15"/>
        <v>44286</v>
      </c>
      <c r="I53" s="795">
        <v>58235</v>
      </c>
      <c r="J53" s="783">
        <f t="shared" si="16"/>
        <v>2911.75</v>
      </c>
      <c r="K53" s="784"/>
      <c r="L53" s="846"/>
      <c r="M53" s="790">
        <f t="shared" si="17"/>
        <v>58235</v>
      </c>
      <c r="N53" s="791">
        <f t="shared" si="47"/>
        <v>365</v>
      </c>
      <c r="O53" s="791">
        <f t="shared" si="48"/>
        <v>18441</v>
      </c>
      <c r="P53" s="790">
        <f t="shared" si="49"/>
        <v>18441</v>
      </c>
      <c r="Q53" s="847">
        <f t="shared" si="50"/>
        <v>39794</v>
      </c>
      <c r="R53" s="789">
        <f t="shared" si="18"/>
        <v>39794</v>
      </c>
      <c r="S53" s="790">
        <f t="shared" si="19"/>
        <v>58235</v>
      </c>
      <c r="T53" s="791">
        <f t="shared" si="20"/>
        <v>366</v>
      </c>
      <c r="U53" s="791">
        <f t="shared" si="21"/>
        <v>18441</v>
      </c>
      <c r="V53" s="790">
        <f t="shared" si="22"/>
        <v>36882</v>
      </c>
      <c r="W53" s="847">
        <f t="shared" si="23"/>
        <v>21353</v>
      </c>
      <c r="X53" s="846">
        <f t="shared" si="24"/>
        <v>21353</v>
      </c>
      <c r="Y53" s="783">
        <f t="shared" si="25"/>
        <v>58235</v>
      </c>
      <c r="Z53" s="783">
        <f t="shared" si="26"/>
        <v>365</v>
      </c>
      <c r="AA53" s="783">
        <f t="shared" si="27"/>
        <v>18441</v>
      </c>
      <c r="AB53" s="783">
        <f t="shared" si="28"/>
        <v>55323</v>
      </c>
      <c r="AC53" s="848">
        <f t="shared" si="29"/>
        <v>2912</v>
      </c>
      <c r="AD53" s="789">
        <f t="shared" si="30"/>
        <v>2912</v>
      </c>
      <c r="AE53" s="790">
        <f t="shared" si="31"/>
        <v>58235</v>
      </c>
      <c r="AF53" s="791">
        <f t="shared" si="32"/>
        <v>0</v>
      </c>
      <c r="AG53" s="791">
        <f t="shared" si="33"/>
        <v>0</v>
      </c>
      <c r="AH53" s="783">
        <f t="shared" si="34"/>
        <v>55323</v>
      </c>
      <c r="AI53" s="783">
        <f t="shared" si="35"/>
        <v>2912</v>
      </c>
      <c r="AJ53" s="790">
        <f t="shared" si="51"/>
        <v>2912</v>
      </c>
      <c r="AK53" s="790">
        <f t="shared" si="36"/>
        <v>58235</v>
      </c>
      <c r="AL53" s="791">
        <f t="shared" si="37"/>
        <v>0</v>
      </c>
      <c r="AM53" s="791">
        <f t="shared" si="38"/>
        <v>0</v>
      </c>
      <c r="AN53" s="783">
        <f t="shared" si="39"/>
        <v>55323</v>
      </c>
      <c r="AO53" s="783">
        <f t="shared" si="40"/>
        <v>2912</v>
      </c>
      <c r="AP53" s="793">
        <f t="shared" si="41"/>
        <v>2912</v>
      </c>
      <c r="AQ53" s="793">
        <f t="shared" si="42"/>
        <v>58235</v>
      </c>
      <c r="AR53" s="793">
        <f t="shared" si="43"/>
        <v>0</v>
      </c>
      <c r="AS53" s="793">
        <f t="shared" si="44"/>
        <v>0</v>
      </c>
      <c r="AT53" s="793">
        <f t="shared" si="45"/>
        <v>55323</v>
      </c>
      <c r="AU53" s="793">
        <f t="shared" si="46"/>
        <v>2912</v>
      </c>
    </row>
    <row r="54" spans="1:47" ht="15" customHeight="1" x14ac:dyDescent="0.25">
      <c r="A54" s="842" t="s">
        <v>1187</v>
      </c>
      <c r="B54" s="843" t="s">
        <v>1194</v>
      </c>
      <c r="C54" s="778">
        <f t="shared" si="14"/>
        <v>0.31666666666666665</v>
      </c>
      <c r="D54" s="844">
        <v>3</v>
      </c>
      <c r="E54" s="779" t="s">
        <v>1182</v>
      </c>
      <c r="F54" s="845">
        <v>43191</v>
      </c>
      <c r="G54" s="845">
        <v>43191</v>
      </c>
      <c r="H54" s="781">
        <f t="shared" si="15"/>
        <v>44286</v>
      </c>
      <c r="I54" s="795">
        <v>1622</v>
      </c>
      <c r="J54" s="783">
        <f t="shared" si="16"/>
        <v>81.100000000000009</v>
      </c>
      <c r="K54" s="784"/>
      <c r="L54" s="846"/>
      <c r="M54" s="790">
        <f t="shared" si="17"/>
        <v>1622</v>
      </c>
      <c r="N54" s="791">
        <f t="shared" si="47"/>
        <v>365</v>
      </c>
      <c r="O54" s="791">
        <f t="shared" si="48"/>
        <v>514</v>
      </c>
      <c r="P54" s="790">
        <f t="shared" si="49"/>
        <v>514</v>
      </c>
      <c r="Q54" s="847">
        <f t="shared" si="50"/>
        <v>1108</v>
      </c>
      <c r="R54" s="789">
        <f t="shared" si="18"/>
        <v>1108</v>
      </c>
      <c r="S54" s="790">
        <f t="shared" si="19"/>
        <v>1622</v>
      </c>
      <c r="T54" s="791">
        <f t="shared" si="20"/>
        <v>366</v>
      </c>
      <c r="U54" s="791">
        <f t="shared" si="21"/>
        <v>514</v>
      </c>
      <c r="V54" s="790">
        <f t="shared" si="22"/>
        <v>1028</v>
      </c>
      <c r="W54" s="847">
        <f t="shared" si="23"/>
        <v>594</v>
      </c>
      <c r="X54" s="846">
        <f t="shared" si="24"/>
        <v>594</v>
      </c>
      <c r="Y54" s="783">
        <f t="shared" si="25"/>
        <v>1622</v>
      </c>
      <c r="Z54" s="783">
        <f t="shared" si="26"/>
        <v>365</v>
      </c>
      <c r="AA54" s="783">
        <f t="shared" si="27"/>
        <v>514</v>
      </c>
      <c r="AB54" s="783">
        <f t="shared" si="28"/>
        <v>1542</v>
      </c>
      <c r="AC54" s="848">
        <f t="shared" si="29"/>
        <v>80</v>
      </c>
      <c r="AD54" s="789">
        <f t="shared" si="30"/>
        <v>80</v>
      </c>
      <c r="AE54" s="790">
        <f t="shared" si="31"/>
        <v>1622</v>
      </c>
      <c r="AF54" s="791">
        <f t="shared" si="32"/>
        <v>0</v>
      </c>
      <c r="AG54" s="791">
        <f t="shared" si="33"/>
        <v>0</v>
      </c>
      <c r="AH54" s="783">
        <f t="shared" si="34"/>
        <v>1542</v>
      </c>
      <c r="AI54" s="783">
        <f t="shared" si="35"/>
        <v>80</v>
      </c>
      <c r="AJ54" s="790">
        <f t="shared" si="51"/>
        <v>80</v>
      </c>
      <c r="AK54" s="790">
        <f t="shared" si="36"/>
        <v>1622</v>
      </c>
      <c r="AL54" s="791">
        <f t="shared" si="37"/>
        <v>0</v>
      </c>
      <c r="AM54" s="791">
        <f t="shared" si="38"/>
        <v>0</v>
      </c>
      <c r="AN54" s="783">
        <f t="shared" si="39"/>
        <v>1542</v>
      </c>
      <c r="AO54" s="783">
        <f t="shared" si="40"/>
        <v>80</v>
      </c>
      <c r="AP54" s="793">
        <f t="shared" si="41"/>
        <v>80</v>
      </c>
      <c r="AQ54" s="793">
        <f t="shared" si="42"/>
        <v>1622</v>
      </c>
      <c r="AR54" s="793">
        <f t="shared" si="43"/>
        <v>0</v>
      </c>
      <c r="AS54" s="793">
        <f t="shared" si="44"/>
        <v>0</v>
      </c>
      <c r="AT54" s="793">
        <f t="shared" si="45"/>
        <v>1542</v>
      </c>
      <c r="AU54" s="793">
        <f t="shared" si="46"/>
        <v>80</v>
      </c>
    </row>
    <row r="55" spans="1:47" ht="15" customHeight="1" x14ac:dyDescent="0.25">
      <c r="A55" s="842" t="s">
        <v>1187</v>
      </c>
      <c r="B55" s="843" t="s">
        <v>1195</v>
      </c>
      <c r="C55" s="778">
        <f t="shared" si="14"/>
        <v>0.31666666666666665</v>
      </c>
      <c r="D55" s="844">
        <v>3</v>
      </c>
      <c r="E55" s="779" t="s">
        <v>1182</v>
      </c>
      <c r="F55" s="845">
        <v>43191</v>
      </c>
      <c r="G55" s="845">
        <v>43191</v>
      </c>
      <c r="H55" s="781">
        <f t="shared" si="15"/>
        <v>44286</v>
      </c>
      <c r="I55" s="795">
        <v>1380</v>
      </c>
      <c r="J55" s="783">
        <f t="shared" si="16"/>
        <v>69</v>
      </c>
      <c r="K55" s="784"/>
      <c r="L55" s="846"/>
      <c r="M55" s="790">
        <f t="shared" si="17"/>
        <v>1380</v>
      </c>
      <c r="N55" s="791">
        <f t="shared" si="47"/>
        <v>365</v>
      </c>
      <c r="O55" s="791">
        <f t="shared" si="48"/>
        <v>437</v>
      </c>
      <c r="P55" s="790">
        <f t="shared" si="49"/>
        <v>437</v>
      </c>
      <c r="Q55" s="847">
        <f t="shared" si="50"/>
        <v>943</v>
      </c>
      <c r="R55" s="789">
        <f t="shared" si="18"/>
        <v>943</v>
      </c>
      <c r="S55" s="790">
        <f t="shared" si="19"/>
        <v>1380</v>
      </c>
      <c r="T55" s="791">
        <f t="shared" si="20"/>
        <v>366</v>
      </c>
      <c r="U55" s="791">
        <f t="shared" si="21"/>
        <v>437</v>
      </c>
      <c r="V55" s="790">
        <f t="shared" si="22"/>
        <v>874</v>
      </c>
      <c r="W55" s="847">
        <f t="shared" si="23"/>
        <v>506</v>
      </c>
      <c r="X55" s="846">
        <f t="shared" si="24"/>
        <v>506</v>
      </c>
      <c r="Y55" s="783">
        <f t="shared" si="25"/>
        <v>1380</v>
      </c>
      <c r="Z55" s="783">
        <f t="shared" si="26"/>
        <v>365</v>
      </c>
      <c r="AA55" s="783">
        <f t="shared" si="27"/>
        <v>437</v>
      </c>
      <c r="AB55" s="783">
        <f t="shared" si="28"/>
        <v>1311</v>
      </c>
      <c r="AC55" s="848">
        <f t="shared" si="29"/>
        <v>69</v>
      </c>
      <c r="AD55" s="789">
        <f t="shared" si="30"/>
        <v>69</v>
      </c>
      <c r="AE55" s="790">
        <f t="shared" si="31"/>
        <v>1380</v>
      </c>
      <c r="AF55" s="791">
        <f t="shared" si="32"/>
        <v>0</v>
      </c>
      <c r="AG55" s="791">
        <f t="shared" si="33"/>
        <v>0</v>
      </c>
      <c r="AH55" s="783">
        <f t="shared" si="34"/>
        <v>1311</v>
      </c>
      <c r="AI55" s="783">
        <f t="shared" si="35"/>
        <v>69</v>
      </c>
      <c r="AJ55" s="790">
        <f t="shared" si="51"/>
        <v>69</v>
      </c>
      <c r="AK55" s="790">
        <f t="shared" si="36"/>
        <v>1380</v>
      </c>
      <c r="AL55" s="791">
        <f t="shared" si="37"/>
        <v>0</v>
      </c>
      <c r="AM55" s="791">
        <f t="shared" si="38"/>
        <v>0</v>
      </c>
      <c r="AN55" s="783">
        <f t="shared" si="39"/>
        <v>1311</v>
      </c>
      <c r="AO55" s="783">
        <f t="shared" si="40"/>
        <v>69</v>
      </c>
      <c r="AP55" s="793">
        <f t="shared" si="41"/>
        <v>69</v>
      </c>
      <c r="AQ55" s="793">
        <f t="shared" si="42"/>
        <v>1380</v>
      </c>
      <c r="AR55" s="793">
        <f t="shared" si="43"/>
        <v>0</v>
      </c>
      <c r="AS55" s="793">
        <f t="shared" si="44"/>
        <v>0</v>
      </c>
      <c r="AT55" s="793">
        <f t="shared" si="45"/>
        <v>1311</v>
      </c>
      <c r="AU55" s="793">
        <f t="shared" si="46"/>
        <v>69</v>
      </c>
    </row>
    <row r="56" spans="1:47" ht="15" customHeight="1" x14ac:dyDescent="0.25">
      <c r="A56" s="842" t="s">
        <v>1187</v>
      </c>
      <c r="B56" s="843" t="s">
        <v>1194</v>
      </c>
      <c r="C56" s="778">
        <f t="shared" si="14"/>
        <v>0.31666666666666665</v>
      </c>
      <c r="D56" s="844">
        <v>3</v>
      </c>
      <c r="E56" s="779" t="s">
        <v>1182</v>
      </c>
      <c r="F56" s="845">
        <v>43191</v>
      </c>
      <c r="G56" s="845">
        <v>43191</v>
      </c>
      <c r="H56" s="781">
        <f t="shared" si="15"/>
        <v>44286</v>
      </c>
      <c r="I56" s="795">
        <v>69180</v>
      </c>
      <c r="J56" s="783">
        <f t="shared" si="16"/>
        <v>3459</v>
      </c>
      <c r="K56" s="784"/>
      <c r="L56" s="846"/>
      <c r="M56" s="790">
        <f t="shared" si="17"/>
        <v>69180</v>
      </c>
      <c r="N56" s="791">
        <f t="shared" si="47"/>
        <v>365</v>
      </c>
      <c r="O56" s="791">
        <f t="shared" si="48"/>
        <v>21907</v>
      </c>
      <c r="P56" s="790">
        <f t="shared" si="49"/>
        <v>21907</v>
      </c>
      <c r="Q56" s="847">
        <f t="shared" si="50"/>
        <v>47273</v>
      </c>
      <c r="R56" s="789">
        <f t="shared" si="18"/>
        <v>47273</v>
      </c>
      <c r="S56" s="790">
        <f t="shared" si="19"/>
        <v>69180</v>
      </c>
      <c r="T56" s="791">
        <f t="shared" si="20"/>
        <v>366</v>
      </c>
      <c r="U56" s="791">
        <f t="shared" si="21"/>
        <v>21907</v>
      </c>
      <c r="V56" s="790">
        <f t="shared" si="22"/>
        <v>43814</v>
      </c>
      <c r="W56" s="847">
        <f t="shared" si="23"/>
        <v>25366</v>
      </c>
      <c r="X56" s="846">
        <f t="shared" si="24"/>
        <v>25366</v>
      </c>
      <c r="Y56" s="783">
        <f t="shared" si="25"/>
        <v>69180</v>
      </c>
      <c r="Z56" s="783">
        <f t="shared" si="26"/>
        <v>365</v>
      </c>
      <c r="AA56" s="783">
        <f t="shared" si="27"/>
        <v>21907</v>
      </c>
      <c r="AB56" s="783">
        <f t="shared" si="28"/>
        <v>65721</v>
      </c>
      <c r="AC56" s="848">
        <f t="shared" si="29"/>
        <v>3459</v>
      </c>
      <c r="AD56" s="789">
        <f t="shared" si="30"/>
        <v>3459</v>
      </c>
      <c r="AE56" s="790">
        <f t="shared" si="31"/>
        <v>69180</v>
      </c>
      <c r="AF56" s="791">
        <f t="shared" si="32"/>
        <v>0</v>
      </c>
      <c r="AG56" s="791">
        <f t="shared" si="33"/>
        <v>0</v>
      </c>
      <c r="AH56" s="783">
        <f t="shared" si="34"/>
        <v>65721</v>
      </c>
      <c r="AI56" s="783">
        <f t="shared" si="35"/>
        <v>3459</v>
      </c>
      <c r="AJ56" s="790">
        <f t="shared" si="51"/>
        <v>3459</v>
      </c>
      <c r="AK56" s="790">
        <f t="shared" si="36"/>
        <v>69180</v>
      </c>
      <c r="AL56" s="791">
        <f t="shared" si="37"/>
        <v>0</v>
      </c>
      <c r="AM56" s="791">
        <f t="shared" si="38"/>
        <v>0</v>
      </c>
      <c r="AN56" s="783">
        <f t="shared" si="39"/>
        <v>65721</v>
      </c>
      <c r="AO56" s="783">
        <f t="shared" si="40"/>
        <v>3459</v>
      </c>
      <c r="AP56" s="793">
        <f t="shared" si="41"/>
        <v>3459</v>
      </c>
      <c r="AQ56" s="793">
        <f t="shared" si="42"/>
        <v>69180</v>
      </c>
      <c r="AR56" s="793">
        <f t="shared" si="43"/>
        <v>0</v>
      </c>
      <c r="AS56" s="793">
        <f t="shared" si="44"/>
        <v>0</v>
      </c>
      <c r="AT56" s="793">
        <f t="shared" si="45"/>
        <v>65721</v>
      </c>
      <c r="AU56" s="793">
        <f t="shared" si="46"/>
        <v>3459</v>
      </c>
    </row>
    <row r="57" spans="1:47" ht="15" customHeight="1" x14ac:dyDescent="0.25">
      <c r="A57" s="842" t="s">
        <v>1187</v>
      </c>
      <c r="B57" s="843" t="s">
        <v>1196</v>
      </c>
      <c r="C57" s="778">
        <f t="shared" si="14"/>
        <v>0.31666666666666665</v>
      </c>
      <c r="D57" s="844">
        <v>3</v>
      </c>
      <c r="E57" s="779" t="s">
        <v>1182</v>
      </c>
      <c r="F57" s="845">
        <v>43191</v>
      </c>
      <c r="G57" s="845">
        <v>43191</v>
      </c>
      <c r="H57" s="781">
        <f t="shared" si="15"/>
        <v>44286</v>
      </c>
      <c r="I57" s="795">
        <v>11500</v>
      </c>
      <c r="J57" s="783">
        <f t="shared" si="16"/>
        <v>575</v>
      </c>
      <c r="K57" s="784"/>
      <c r="L57" s="846"/>
      <c r="M57" s="790">
        <f t="shared" si="17"/>
        <v>11500</v>
      </c>
      <c r="N57" s="791">
        <f t="shared" si="47"/>
        <v>365</v>
      </c>
      <c r="O57" s="791">
        <f t="shared" si="48"/>
        <v>3642</v>
      </c>
      <c r="P57" s="790">
        <f t="shared" si="49"/>
        <v>3642</v>
      </c>
      <c r="Q57" s="847">
        <f t="shared" si="50"/>
        <v>7858</v>
      </c>
      <c r="R57" s="789">
        <f t="shared" si="18"/>
        <v>7858</v>
      </c>
      <c r="S57" s="790">
        <f t="shared" si="19"/>
        <v>11500</v>
      </c>
      <c r="T57" s="791">
        <f t="shared" si="20"/>
        <v>366</v>
      </c>
      <c r="U57" s="791">
        <f t="shared" si="21"/>
        <v>3642</v>
      </c>
      <c r="V57" s="790">
        <f t="shared" si="22"/>
        <v>7284</v>
      </c>
      <c r="W57" s="847">
        <f t="shared" si="23"/>
        <v>4216</v>
      </c>
      <c r="X57" s="846">
        <f t="shared" si="24"/>
        <v>4216</v>
      </c>
      <c r="Y57" s="783">
        <f t="shared" si="25"/>
        <v>11500</v>
      </c>
      <c r="Z57" s="783">
        <f t="shared" si="26"/>
        <v>365</v>
      </c>
      <c r="AA57" s="783">
        <f t="shared" si="27"/>
        <v>3642</v>
      </c>
      <c r="AB57" s="783">
        <f t="shared" si="28"/>
        <v>10926</v>
      </c>
      <c r="AC57" s="848">
        <f t="shared" si="29"/>
        <v>574</v>
      </c>
      <c r="AD57" s="789">
        <f t="shared" si="30"/>
        <v>574</v>
      </c>
      <c r="AE57" s="790">
        <f t="shared" si="31"/>
        <v>11500</v>
      </c>
      <c r="AF57" s="791">
        <f t="shared" si="32"/>
        <v>0</v>
      </c>
      <c r="AG57" s="791">
        <f t="shared" si="33"/>
        <v>0</v>
      </c>
      <c r="AH57" s="783">
        <f t="shared" si="34"/>
        <v>10926</v>
      </c>
      <c r="AI57" s="783">
        <f t="shared" si="35"/>
        <v>574</v>
      </c>
      <c r="AJ57" s="790">
        <f t="shared" si="51"/>
        <v>574</v>
      </c>
      <c r="AK57" s="790">
        <f t="shared" si="36"/>
        <v>11500</v>
      </c>
      <c r="AL57" s="791">
        <f t="shared" si="37"/>
        <v>0</v>
      </c>
      <c r="AM57" s="791">
        <f t="shared" si="38"/>
        <v>0</v>
      </c>
      <c r="AN57" s="783">
        <f t="shared" si="39"/>
        <v>10926</v>
      </c>
      <c r="AO57" s="783">
        <f t="shared" si="40"/>
        <v>574</v>
      </c>
      <c r="AP57" s="793">
        <f t="shared" si="41"/>
        <v>574</v>
      </c>
      <c r="AQ57" s="793">
        <f t="shared" si="42"/>
        <v>11500</v>
      </c>
      <c r="AR57" s="793">
        <f t="shared" si="43"/>
        <v>0</v>
      </c>
      <c r="AS57" s="793">
        <f t="shared" si="44"/>
        <v>0</v>
      </c>
      <c r="AT57" s="793">
        <f t="shared" si="45"/>
        <v>10926</v>
      </c>
      <c r="AU57" s="793">
        <f t="shared" si="46"/>
        <v>574</v>
      </c>
    </row>
    <row r="58" spans="1:47" ht="15" customHeight="1" x14ac:dyDescent="0.25">
      <c r="A58" s="842" t="s">
        <v>1187</v>
      </c>
      <c r="B58" s="843" t="s">
        <v>1196</v>
      </c>
      <c r="C58" s="778">
        <f t="shared" si="14"/>
        <v>0.31666666666666665</v>
      </c>
      <c r="D58" s="844">
        <v>3</v>
      </c>
      <c r="E58" s="779" t="s">
        <v>1182</v>
      </c>
      <c r="F58" s="845">
        <v>43191</v>
      </c>
      <c r="G58" s="845">
        <v>43191</v>
      </c>
      <c r="H58" s="781">
        <f t="shared" si="15"/>
        <v>44286</v>
      </c>
      <c r="I58" s="795">
        <v>25600</v>
      </c>
      <c r="J58" s="783">
        <f t="shared" si="16"/>
        <v>1280</v>
      </c>
      <c r="K58" s="784"/>
      <c r="L58" s="846"/>
      <c r="M58" s="790">
        <f t="shared" si="17"/>
        <v>25600</v>
      </c>
      <c r="N58" s="791">
        <f t="shared" si="47"/>
        <v>365</v>
      </c>
      <c r="O58" s="791">
        <f t="shared" si="48"/>
        <v>8107</v>
      </c>
      <c r="P58" s="790">
        <f t="shared" si="49"/>
        <v>8107</v>
      </c>
      <c r="Q58" s="847">
        <f t="shared" si="50"/>
        <v>17493</v>
      </c>
      <c r="R58" s="789">
        <f t="shared" si="18"/>
        <v>17493</v>
      </c>
      <c r="S58" s="790">
        <f t="shared" si="19"/>
        <v>25600</v>
      </c>
      <c r="T58" s="791">
        <f t="shared" si="20"/>
        <v>366</v>
      </c>
      <c r="U58" s="791">
        <f t="shared" si="21"/>
        <v>8107</v>
      </c>
      <c r="V58" s="790">
        <f t="shared" si="22"/>
        <v>16214</v>
      </c>
      <c r="W58" s="847">
        <f t="shared" si="23"/>
        <v>9386</v>
      </c>
      <c r="X58" s="846">
        <f t="shared" si="24"/>
        <v>9386</v>
      </c>
      <c r="Y58" s="783">
        <f t="shared" si="25"/>
        <v>25600</v>
      </c>
      <c r="Z58" s="783">
        <f t="shared" si="26"/>
        <v>365</v>
      </c>
      <c r="AA58" s="783">
        <f t="shared" si="27"/>
        <v>8107</v>
      </c>
      <c r="AB58" s="783">
        <f t="shared" si="28"/>
        <v>24321</v>
      </c>
      <c r="AC58" s="848">
        <f t="shared" si="29"/>
        <v>1279</v>
      </c>
      <c r="AD58" s="789">
        <f t="shared" si="30"/>
        <v>1279</v>
      </c>
      <c r="AE58" s="790">
        <f t="shared" si="31"/>
        <v>25600</v>
      </c>
      <c r="AF58" s="791">
        <f t="shared" si="32"/>
        <v>0</v>
      </c>
      <c r="AG58" s="791">
        <f t="shared" si="33"/>
        <v>0</v>
      </c>
      <c r="AH58" s="783">
        <f t="shared" si="34"/>
        <v>24321</v>
      </c>
      <c r="AI58" s="783">
        <f t="shared" si="35"/>
        <v>1279</v>
      </c>
      <c r="AJ58" s="790">
        <f t="shared" si="51"/>
        <v>1279</v>
      </c>
      <c r="AK58" s="790">
        <f t="shared" si="36"/>
        <v>25600</v>
      </c>
      <c r="AL58" s="791">
        <f t="shared" si="37"/>
        <v>0</v>
      </c>
      <c r="AM58" s="791">
        <f t="shared" si="38"/>
        <v>0</v>
      </c>
      <c r="AN58" s="783">
        <f t="shared" si="39"/>
        <v>24321</v>
      </c>
      <c r="AO58" s="783">
        <f t="shared" si="40"/>
        <v>1279</v>
      </c>
      <c r="AP58" s="793">
        <f t="shared" si="41"/>
        <v>1279</v>
      </c>
      <c r="AQ58" s="793">
        <f t="shared" si="42"/>
        <v>25600</v>
      </c>
      <c r="AR58" s="793">
        <f t="shared" si="43"/>
        <v>0</v>
      </c>
      <c r="AS58" s="793">
        <f t="shared" si="44"/>
        <v>0</v>
      </c>
      <c r="AT58" s="793">
        <f t="shared" si="45"/>
        <v>24321</v>
      </c>
      <c r="AU58" s="793">
        <f t="shared" si="46"/>
        <v>1279</v>
      </c>
    </row>
    <row r="59" spans="1:47" ht="15" customHeight="1" x14ac:dyDescent="0.25">
      <c r="A59" s="842" t="s">
        <v>1187</v>
      </c>
      <c r="B59" s="843" t="s">
        <v>1196</v>
      </c>
      <c r="C59" s="778">
        <f t="shared" si="14"/>
        <v>0.31666666666666665</v>
      </c>
      <c r="D59" s="844">
        <v>3</v>
      </c>
      <c r="E59" s="779" t="s">
        <v>1182</v>
      </c>
      <c r="F59" s="845">
        <v>43191</v>
      </c>
      <c r="G59" s="845">
        <v>43191</v>
      </c>
      <c r="H59" s="781">
        <f t="shared" si="15"/>
        <v>44286</v>
      </c>
      <c r="I59" s="795">
        <v>375000</v>
      </c>
      <c r="J59" s="783">
        <f t="shared" si="16"/>
        <v>18750</v>
      </c>
      <c r="K59" s="784"/>
      <c r="L59" s="846"/>
      <c r="M59" s="790">
        <f t="shared" si="17"/>
        <v>375000</v>
      </c>
      <c r="N59" s="791">
        <f t="shared" si="47"/>
        <v>365</v>
      </c>
      <c r="O59" s="791">
        <f t="shared" si="48"/>
        <v>118750</v>
      </c>
      <c r="P59" s="790">
        <f t="shared" si="49"/>
        <v>118750</v>
      </c>
      <c r="Q59" s="847">
        <f t="shared" si="50"/>
        <v>256250</v>
      </c>
      <c r="R59" s="789">
        <f t="shared" si="18"/>
        <v>256250</v>
      </c>
      <c r="S59" s="790">
        <f t="shared" si="19"/>
        <v>375000</v>
      </c>
      <c r="T59" s="791">
        <f t="shared" si="20"/>
        <v>366</v>
      </c>
      <c r="U59" s="791">
        <f t="shared" si="21"/>
        <v>118750</v>
      </c>
      <c r="V59" s="790">
        <f t="shared" si="22"/>
        <v>237500</v>
      </c>
      <c r="W59" s="847">
        <f t="shared" si="23"/>
        <v>137500</v>
      </c>
      <c r="X59" s="846">
        <f t="shared" si="24"/>
        <v>137500</v>
      </c>
      <c r="Y59" s="783">
        <f t="shared" si="25"/>
        <v>375000</v>
      </c>
      <c r="Z59" s="783">
        <f t="shared" si="26"/>
        <v>365</v>
      </c>
      <c r="AA59" s="783">
        <f t="shared" si="27"/>
        <v>118750</v>
      </c>
      <c r="AB59" s="783">
        <f t="shared" si="28"/>
        <v>356250</v>
      </c>
      <c r="AC59" s="848">
        <f t="shared" si="29"/>
        <v>18750</v>
      </c>
      <c r="AD59" s="789">
        <f t="shared" si="30"/>
        <v>18750</v>
      </c>
      <c r="AE59" s="790">
        <f t="shared" si="31"/>
        <v>375000</v>
      </c>
      <c r="AF59" s="791">
        <f t="shared" si="32"/>
        <v>0</v>
      </c>
      <c r="AG59" s="791">
        <f t="shared" si="33"/>
        <v>0</v>
      </c>
      <c r="AH59" s="783">
        <f t="shared" si="34"/>
        <v>356250</v>
      </c>
      <c r="AI59" s="783">
        <f t="shared" si="35"/>
        <v>18750</v>
      </c>
      <c r="AJ59" s="790">
        <f t="shared" si="51"/>
        <v>18750</v>
      </c>
      <c r="AK59" s="790">
        <f t="shared" si="36"/>
        <v>375000</v>
      </c>
      <c r="AL59" s="791">
        <f t="shared" si="37"/>
        <v>0</v>
      </c>
      <c r="AM59" s="791">
        <f t="shared" si="38"/>
        <v>0</v>
      </c>
      <c r="AN59" s="783">
        <f t="shared" si="39"/>
        <v>356250</v>
      </c>
      <c r="AO59" s="783">
        <f t="shared" si="40"/>
        <v>18750</v>
      </c>
      <c r="AP59" s="793">
        <f t="shared" si="41"/>
        <v>18750</v>
      </c>
      <c r="AQ59" s="793">
        <f t="shared" si="42"/>
        <v>375000</v>
      </c>
      <c r="AR59" s="793">
        <f t="shared" si="43"/>
        <v>0</v>
      </c>
      <c r="AS59" s="793">
        <f t="shared" si="44"/>
        <v>0</v>
      </c>
      <c r="AT59" s="793">
        <f t="shared" si="45"/>
        <v>356250</v>
      </c>
      <c r="AU59" s="793">
        <f t="shared" si="46"/>
        <v>18750</v>
      </c>
    </row>
    <row r="60" spans="1:47" ht="15" customHeight="1" x14ac:dyDescent="0.25">
      <c r="A60" s="842" t="s">
        <v>1187</v>
      </c>
      <c r="B60" s="843" t="s">
        <v>1196</v>
      </c>
      <c r="C60" s="778">
        <f t="shared" si="14"/>
        <v>0.31666666666666665</v>
      </c>
      <c r="D60" s="844">
        <v>3</v>
      </c>
      <c r="E60" s="779" t="s">
        <v>1182</v>
      </c>
      <c r="F60" s="845">
        <v>43191</v>
      </c>
      <c r="G60" s="845">
        <v>43191</v>
      </c>
      <c r="H60" s="781">
        <f t="shared" si="15"/>
        <v>44286</v>
      </c>
      <c r="I60" s="795">
        <v>4700</v>
      </c>
      <c r="J60" s="783">
        <f t="shared" si="16"/>
        <v>235</v>
      </c>
      <c r="K60" s="784"/>
      <c r="L60" s="846"/>
      <c r="M60" s="790">
        <f t="shared" si="17"/>
        <v>4700</v>
      </c>
      <c r="N60" s="791">
        <f t="shared" si="47"/>
        <v>365</v>
      </c>
      <c r="O60" s="791">
        <f t="shared" si="48"/>
        <v>1488</v>
      </c>
      <c r="P60" s="790">
        <f t="shared" si="49"/>
        <v>1488</v>
      </c>
      <c r="Q60" s="847">
        <f t="shared" si="50"/>
        <v>3212</v>
      </c>
      <c r="R60" s="789">
        <f t="shared" si="18"/>
        <v>3212</v>
      </c>
      <c r="S60" s="790">
        <f t="shared" si="19"/>
        <v>4700</v>
      </c>
      <c r="T60" s="791">
        <f t="shared" si="20"/>
        <v>366</v>
      </c>
      <c r="U60" s="791">
        <f t="shared" si="21"/>
        <v>1488</v>
      </c>
      <c r="V60" s="790">
        <f t="shared" si="22"/>
        <v>2976</v>
      </c>
      <c r="W60" s="847">
        <f t="shared" si="23"/>
        <v>1724</v>
      </c>
      <c r="X60" s="846">
        <f t="shared" si="24"/>
        <v>1724</v>
      </c>
      <c r="Y60" s="783">
        <f t="shared" si="25"/>
        <v>4700</v>
      </c>
      <c r="Z60" s="783">
        <f t="shared" si="26"/>
        <v>365</v>
      </c>
      <c r="AA60" s="783">
        <f t="shared" si="27"/>
        <v>1488</v>
      </c>
      <c r="AB60" s="783">
        <f t="shared" si="28"/>
        <v>4464</v>
      </c>
      <c r="AC60" s="848">
        <f t="shared" si="29"/>
        <v>236</v>
      </c>
      <c r="AD60" s="789">
        <f t="shared" si="30"/>
        <v>236</v>
      </c>
      <c r="AE60" s="790">
        <f t="shared" si="31"/>
        <v>4700</v>
      </c>
      <c r="AF60" s="791">
        <f t="shared" si="32"/>
        <v>0</v>
      </c>
      <c r="AG60" s="791">
        <f t="shared" si="33"/>
        <v>0</v>
      </c>
      <c r="AH60" s="783">
        <f t="shared" si="34"/>
        <v>4464</v>
      </c>
      <c r="AI60" s="783">
        <f t="shared" si="35"/>
        <v>236</v>
      </c>
      <c r="AJ60" s="790">
        <f t="shared" si="51"/>
        <v>236</v>
      </c>
      <c r="AK60" s="790">
        <f t="shared" si="36"/>
        <v>4700</v>
      </c>
      <c r="AL60" s="791">
        <f t="shared" si="37"/>
        <v>0</v>
      </c>
      <c r="AM60" s="791">
        <f t="shared" si="38"/>
        <v>0</v>
      </c>
      <c r="AN60" s="783">
        <f t="shared" si="39"/>
        <v>4464</v>
      </c>
      <c r="AO60" s="783">
        <f t="shared" si="40"/>
        <v>236</v>
      </c>
      <c r="AP60" s="793">
        <f t="shared" si="41"/>
        <v>236</v>
      </c>
      <c r="AQ60" s="793">
        <f t="shared" si="42"/>
        <v>4700</v>
      </c>
      <c r="AR60" s="793">
        <f t="shared" si="43"/>
        <v>0</v>
      </c>
      <c r="AS60" s="793">
        <f t="shared" si="44"/>
        <v>0</v>
      </c>
      <c r="AT60" s="793">
        <f t="shared" si="45"/>
        <v>4464</v>
      </c>
      <c r="AU60" s="793">
        <f t="shared" si="46"/>
        <v>236</v>
      </c>
    </row>
    <row r="61" spans="1:47" ht="15" customHeight="1" x14ac:dyDescent="0.25">
      <c r="A61" s="842" t="s">
        <v>1187</v>
      </c>
      <c r="B61" s="843" t="s">
        <v>1197</v>
      </c>
      <c r="C61" s="778">
        <f t="shared" si="14"/>
        <v>0.31666666666666665</v>
      </c>
      <c r="D61" s="844">
        <v>3</v>
      </c>
      <c r="E61" s="779" t="s">
        <v>1182</v>
      </c>
      <c r="F61" s="845">
        <v>43191</v>
      </c>
      <c r="G61" s="845">
        <v>43191</v>
      </c>
      <c r="H61" s="781">
        <f t="shared" si="15"/>
        <v>44286</v>
      </c>
      <c r="I61" s="795">
        <v>41500</v>
      </c>
      <c r="J61" s="783">
        <f t="shared" si="16"/>
        <v>2075</v>
      </c>
      <c r="K61" s="784"/>
      <c r="L61" s="846"/>
      <c r="M61" s="790">
        <f t="shared" si="17"/>
        <v>41500</v>
      </c>
      <c r="N61" s="791">
        <f t="shared" si="47"/>
        <v>365</v>
      </c>
      <c r="O61" s="791">
        <f t="shared" si="48"/>
        <v>13142</v>
      </c>
      <c r="P61" s="790">
        <f t="shared" si="49"/>
        <v>13142</v>
      </c>
      <c r="Q61" s="847">
        <f t="shared" si="50"/>
        <v>28358</v>
      </c>
      <c r="R61" s="789">
        <f t="shared" si="18"/>
        <v>28358</v>
      </c>
      <c r="S61" s="790">
        <f t="shared" si="19"/>
        <v>41500</v>
      </c>
      <c r="T61" s="791">
        <f t="shared" si="20"/>
        <v>366</v>
      </c>
      <c r="U61" s="791">
        <f t="shared" si="21"/>
        <v>13142</v>
      </c>
      <c r="V61" s="790">
        <f t="shared" si="22"/>
        <v>26284</v>
      </c>
      <c r="W61" s="847">
        <f t="shared" si="23"/>
        <v>15216</v>
      </c>
      <c r="X61" s="846">
        <f t="shared" si="24"/>
        <v>15216</v>
      </c>
      <c r="Y61" s="783">
        <f t="shared" si="25"/>
        <v>41500</v>
      </c>
      <c r="Z61" s="783">
        <f t="shared" si="26"/>
        <v>365</v>
      </c>
      <c r="AA61" s="783">
        <f t="shared" si="27"/>
        <v>13142</v>
      </c>
      <c r="AB61" s="783">
        <f t="shared" si="28"/>
        <v>39426</v>
      </c>
      <c r="AC61" s="848">
        <f t="shared" si="29"/>
        <v>2074</v>
      </c>
      <c r="AD61" s="789">
        <f t="shared" si="30"/>
        <v>2074</v>
      </c>
      <c r="AE61" s="790">
        <f t="shared" si="31"/>
        <v>41500</v>
      </c>
      <c r="AF61" s="791">
        <f t="shared" si="32"/>
        <v>0</v>
      </c>
      <c r="AG61" s="791">
        <f t="shared" si="33"/>
        <v>0</v>
      </c>
      <c r="AH61" s="783">
        <f t="shared" si="34"/>
        <v>39426</v>
      </c>
      <c r="AI61" s="783">
        <f t="shared" si="35"/>
        <v>2074</v>
      </c>
      <c r="AJ61" s="790">
        <f t="shared" si="51"/>
        <v>2074</v>
      </c>
      <c r="AK61" s="790">
        <f t="shared" si="36"/>
        <v>41500</v>
      </c>
      <c r="AL61" s="791">
        <f t="shared" si="37"/>
        <v>0</v>
      </c>
      <c r="AM61" s="791">
        <f t="shared" si="38"/>
        <v>0</v>
      </c>
      <c r="AN61" s="783">
        <f t="shared" si="39"/>
        <v>39426</v>
      </c>
      <c r="AO61" s="783">
        <f t="shared" si="40"/>
        <v>2074</v>
      </c>
      <c r="AP61" s="793">
        <f t="shared" si="41"/>
        <v>2074</v>
      </c>
      <c r="AQ61" s="793">
        <f t="shared" si="42"/>
        <v>41500</v>
      </c>
      <c r="AR61" s="793">
        <f t="shared" si="43"/>
        <v>0</v>
      </c>
      <c r="AS61" s="793">
        <f t="shared" si="44"/>
        <v>0</v>
      </c>
      <c r="AT61" s="793">
        <f t="shared" si="45"/>
        <v>39426</v>
      </c>
      <c r="AU61" s="793">
        <f t="shared" si="46"/>
        <v>2074</v>
      </c>
    </row>
    <row r="62" spans="1:47" ht="15" customHeight="1" x14ac:dyDescent="0.25">
      <c r="A62" s="842" t="s">
        <v>1187</v>
      </c>
      <c r="B62" s="843" t="s">
        <v>1197</v>
      </c>
      <c r="C62" s="778">
        <f t="shared" si="14"/>
        <v>0.31666666666666665</v>
      </c>
      <c r="D62" s="844">
        <v>3</v>
      </c>
      <c r="E62" s="779" t="s">
        <v>1182</v>
      </c>
      <c r="F62" s="845">
        <v>43191</v>
      </c>
      <c r="G62" s="845">
        <v>43191</v>
      </c>
      <c r="H62" s="781">
        <f t="shared" si="15"/>
        <v>44286</v>
      </c>
      <c r="I62" s="795">
        <v>11000</v>
      </c>
      <c r="J62" s="783">
        <f t="shared" si="16"/>
        <v>550</v>
      </c>
      <c r="K62" s="784"/>
      <c r="L62" s="846"/>
      <c r="M62" s="790">
        <f t="shared" si="17"/>
        <v>11000</v>
      </c>
      <c r="N62" s="791">
        <f t="shared" si="47"/>
        <v>365</v>
      </c>
      <c r="O62" s="791">
        <f t="shared" si="48"/>
        <v>3483</v>
      </c>
      <c r="P62" s="790">
        <f t="shared" si="49"/>
        <v>3483</v>
      </c>
      <c r="Q62" s="847">
        <f t="shared" si="50"/>
        <v>7517</v>
      </c>
      <c r="R62" s="789">
        <f t="shared" si="18"/>
        <v>7517</v>
      </c>
      <c r="S62" s="790">
        <f t="shared" si="19"/>
        <v>11000</v>
      </c>
      <c r="T62" s="791">
        <f t="shared" si="20"/>
        <v>366</v>
      </c>
      <c r="U62" s="791">
        <f t="shared" si="21"/>
        <v>3483</v>
      </c>
      <c r="V62" s="790">
        <f t="shared" si="22"/>
        <v>6966</v>
      </c>
      <c r="W62" s="847">
        <f t="shared" si="23"/>
        <v>4034</v>
      </c>
      <c r="X62" s="846">
        <f t="shared" si="24"/>
        <v>4034</v>
      </c>
      <c r="Y62" s="783">
        <f t="shared" si="25"/>
        <v>11000</v>
      </c>
      <c r="Z62" s="783">
        <f t="shared" si="26"/>
        <v>365</v>
      </c>
      <c r="AA62" s="783">
        <f t="shared" si="27"/>
        <v>3483</v>
      </c>
      <c r="AB62" s="783">
        <f t="shared" si="28"/>
        <v>10449</v>
      </c>
      <c r="AC62" s="848">
        <f t="shared" si="29"/>
        <v>551</v>
      </c>
      <c r="AD62" s="789">
        <f t="shared" si="30"/>
        <v>551</v>
      </c>
      <c r="AE62" s="790">
        <f t="shared" si="31"/>
        <v>11000</v>
      </c>
      <c r="AF62" s="791">
        <f t="shared" si="32"/>
        <v>0</v>
      </c>
      <c r="AG62" s="791">
        <f t="shared" si="33"/>
        <v>0</v>
      </c>
      <c r="AH62" s="783">
        <f t="shared" si="34"/>
        <v>10449</v>
      </c>
      <c r="AI62" s="783">
        <f t="shared" si="35"/>
        <v>551</v>
      </c>
      <c r="AJ62" s="790">
        <f t="shared" si="51"/>
        <v>551</v>
      </c>
      <c r="AK62" s="790">
        <f t="shared" si="36"/>
        <v>11000</v>
      </c>
      <c r="AL62" s="791">
        <f t="shared" si="37"/>
        <v>0</v>
      </c>
      <c r="AM62" s="791">
        <f t="shared" si="38"/>
        <v>0</v>
      </c>
      <c r="AN62" s="783">
        <f t="shared" si="39"/>
        <v>10449</v>
      </c>
      <c r="AO62" s="783">
        <f t="shared" si="40"/>
        <v>551</v>
      </c>
      <c r="AP62" s="793">
        <f t="shared" si="41"/>
        <v>551</v>
      </c>
      <c r="AQ62" s="793">
        <f t="shared" si="42"/>
        <v>11000</v>
      </c>
      <c r="AR62" s="793">
        <f t="shared" si="43"/>
        <v>0</v>
      </c>
      <c r="AS62" s="793">
        <f t="shared" si="44"/>
        <v>0</v>
      </c>
      <c r="AT62" s="793">
        <f t="shared" si="45"/>
        <v>10449</v>
      </c>
      <c r="AU62" s="793">
        <f t="shared" si="46"/>
        <v>551</v>
      </c>
    </row>
    <row r="63" spans="1:47" ht="15" customHeight="1" x14ac:dyDescent="0.25">
      <c r="A63" s="842" t="s">
        <v>1187</v>
      </c>
      <c r="B63" s="843" t="s">
        <v>1198</v>
      </c>
      <c r="C63" s="778">
        <f t="shared" si="14"/>
        <v>0.31666666666666665</v>
      </c>
      <c r="D63" s="844">
        <v>3</v>
      </c>
      <c r="E63" s="779" t="s">
        <v>1182</v>
      </c>
      <c r="F63" s="845">
        <v>43191</v>
      </c>
      <c r="G63" s="845">
        <v>43191</v>
      </c>
      <c r="H63" s="781">
        <f t="shared" si="15"/>
        <v>44286</v>
      </c>
      <c r="I63" s="795">
        <v>2499</v>
      </c>
      <c r="J63" s="783">
        <f t="shared" si="16"/>
        <v>124.95</v>
      </c>
      <c r="K63" s="784"/>
      <c r="L63" s="846"/>
      <c r="M63" s="790">
        <f t="shared" si="17"/>
        <v>2499</v>
      </c>
      <c r="N63" s="791">
        <f t="shared" si="47"/>
        <v>365</v>
      </c>
      <c r="O63" s="791">
        <f t="shared" si="48"/>
        <v>791</v>
      </c>
      <c r="P63" s="790">
        <f t="shared" si="49"/>
        <v>791</v>
      </c>
      <c r="Q63" s="847">
        <f t="shared" si="50"/>
        <v>1708</v>
      </c>
      <c r="R63" s="789">
        <f t="shared" si="18"/>
        <v>1708</v>
      </c>
      <c r="S63" s="790">
        <f t="shared" si="19"/>
        <v>2499</v>
      </c>
      <c r="T63" s="791">
        <f t="shared" si="20"/>
        <v>366</v>
      </c>
      <c r="U63" s="791">
        <f t="shared" si="21"/>
        <v>791</v>
      </c>
      <c r="V63" s="790">
        <f t="shared" si="22"/>
        <v>1582</v>
      </c>
      <c r="W63" s="847">
        <f t="shared" si="23"/>
        <v>917</v>
      </c>
      <c r="X63" s="846">
        <f t="shared" si="24"/>
        <v>917</v>
      </c>
      <c r="Y63" s="783">
        <f t="shared" si="25"/>
        <v>2499</v>
      </c>
      <c r="Z63" s="783">
        <f t="shared" si="26"/>
        <v>365</v>
      </c>
      <c r="AA63" s="783">
        <f t="shared" si="27"/>
        <v>791</v>
      </c>
      <c r="AB63" s="783">
        <f t="shared" si="28"/>
        <v>2373</v>
      </c>
      <c r="AC63" s="848">
        <f t="shared" si="29"/>
        <v>126</v>
      </c>
      <c r="AD63" s="789">
        <f t="shared" si="30"/>
        <v>126</v>
      </c>
      <c r="AE63" s="790">
        <f t="shared" si="31"/>
        <v>2499</v>
      </c>
      <c r="AF63" s="791">
        <f t="shared" si="32"/>
        <v>0</v>
      </c>
      <c r="AG63" s="791">
        <f t="shared" si="33"/>
        <v>0</v>
      </c>
      <c r="AH63" s="783">
        <f t="shared" si="34"/>
        <v>2373</v>
      </c>
      <c r="AI63" s="783">
        <f t="shared" si="35"/>
        <v>126</v>
      </c>
      <c r="AJ63" s="790">
        <f t="shared" si="51"/>
        <v>126</v>
      </c>
      <c r="AK63" s="790">
        <f t="shared" si="36"/>
        <v>2499</v>
      </c>
      <c r="AL63" s="791">
        <f t="shared" si="37"/>
        <v>0</v>
      </c>
      <c r="AM63" s="791">
        <f t="shared" si="38"/>
        <v>0</v>
      </c>
      <c r="AN63" s="783">
        <f t="shared" si="39"/>
        <v>2373</v>
      </c>
      <c r="AO63" s="783">
        <f t="shared" si="40"/>
        <v>126</v>
      </c>
      <c r="AP63" s="793">
        <f t="shared" si="41"/>
        <v>126</v>
      </c>
      <c r="AQ63" s="793">
        <f t="shared" si="42"/>
        <v>2499</v>
      </c>
      <c r="AR63" s="793">
        <f t="shared" si="43"/>
        <v>0</v>
      </c>
      <c r="AS63" s="793">
        <f t="shared" si="44"/>
        <v>0</v>
      </c>
      <c r="AT63" s="793">
        <f t="shared" si="45"/>
        <v>2373</v>
      </c>
      <c r="AU63" s="793">
        <f t="shared" si="46"/>
        <v>126</v>
      </c>
    </row>
    <row r="64" spans="1:47" ht="15" customHeight="1" x14ac:dyDescent="0.25">
      <c r="A64" s="842" t="s">
        <v>1187</v>
      </c>
      <c r="B64" s="843" t="s">
        <v>1199</v>
      </c>
      <c r="C64" s="778">
        <f t="shared" si="14"/>
        <v>0.31666666666666665</v>
      </c>
      <c r="D64" s="844">
        <v>3</v>
      </c>
      <c r="E64" s="779" t="s">
        <v>1182</v>
      </c>
      <c r="F64" s="845">
        <v>43191</v>
      </c>
      <c r="G64" s="845">
        <v>43191</v>
      </c>
      <c r="H64" s="781">
        <f t="shared" si="15"/>
        <v>44286</v>
      </c>
      <c r="I64" s="795">
        <v>28420</v>
      </c>
      <c r="J64" s="783">
        <f t="shared" si="16"/>
        <v>1421</v>
      </c>
      <c r="K64" s="784"/>
      <c r="L64" s="846"/>
      <c r="M64" s="790">
        <f t="shared" si="17"/>
        <v>28420</v>
      </c>
      <c r="N64" s="791">
        <f t="shared" si="47"/>
        <v>365</v>
      </c>
      <c r="O64" s="791">
        <f t="shared" si="48"/>
        <v>9000</v>
      </c>
      <c r="P64" s="790">
        <f t="shared" si="49"/>
        <v>9000</v>
      </c>
      <c r="Q64" s="847">
        <f t="shared" si="50"/>
        <v>19420</v>
      </c>
      <c r="R64" s="789">
        <f t="shared" si="18"/>
        <v>19420</v>
      </c>
      <c r="S64" s="790">
        <f t="shared" si="19"/>
        <v>28420</v>
      </c>
      <c r="T64" s="791">
        <f t="shared" si="20"/>
        <v>366</v>
      </c>
      <c r="U64" s="791">
        <f t="shared" si="21"/>
        <v>9000</v>
      </c>
      <c r="V64" s="790">
        <f t="shared" si="22"/>
        <v>18000</v>
      </c>
      <c r="W64" s="847">
        <f t="shared" si="23"/>
        <v>10420</v>
      </c>
      <c r="X64" s="846">
        <f t="shared" si="24"/>
        <v>10420</v>
      </c>
      <c r="Y64" s="783">
        <f t="shared" si="25"/>
        <v>28420</v>
      </c>
      <c r="Z64" s="783">
        <f t="shared" si="26"/>
        <v>365</v>
      </c>
      <c r="AA64" s="783">
        <f t="shared" si="27"/>
        <v>9000</v>
      </c>
      <c r="AB64" s="783">
        <f t="shared" si="28"/>
        <v>27000</v>
      </c>
      <c r="AC64" s="848">
        <f t="shared" si="29"/>
        <v>1420</v>
      </c>
      <c r="AD64" s="789">
        <f t="shared" si="30"/>
        <v>1420</v>
      </c>
      <c r="AE64" s="790">
        <f t="shared" si="31"/>
        <v>28420</v>
      </c>
      <c r="AF64" s="791">
        <f t="shared" si="32"/>
        <v>0</v>
      </c>
      <c r="AG64" s="791">
        <f t="shared" si="33"/>
        <v>0</v>
      </c>
      <c r="AH64" s="783">
        <f t="shared" si="34"/>
        <v>27000</v>
      </c>
      <c r="AI64" s="783">
        <f t="shared" si="35"/>
        <v>1420</v>
      </c>
      <c r="AJ64" s="790">
        <f t="shared" si="51"/>
        <v>1420</v>
      </c>
      <c r="AK64" s="790">
        <f t="shared" si="36"/>
        <v>28420</v>
      </c>
      <c r="AL64" s="791">
        <f t="shared" si="37"/>
        <v>0</v>
      </c>
      <c r="AM64" s="791">
        <f t="shared" si="38"/>
        <v>0</v>
      </c>
      <c r="AN64" s="783">
        <f t="shared" si="39"/>
        <v>27000</v>
      </c>
      <c r="AO64" s="783">
        <f t="shared" si="40"/>
        <v>1420</v>
      </c>
      <c r="AP64" s="793">
        <f t="shared" si="41"/>
        <v>1420</v>
      </c>
      <c r="AQ64" s="793">
        <f t="shared" si="42"/>
        <v>28420</v>
      </c>
      <c r="AR64" s="793">
        <f t="shared" si="43"/>
        <v>0</v>
      </c>
      <c r="AS64" s="793">
        <f t="shared" si="44"/>
        <v>0</v>
      </c>
      <c r="AT64" s="793">
        <f t="shared" si="45"/>
        <v>27000</v>
      </c>
      <c r="AU64" s="793">
        <f t="shared" si="46"/>
        <v>1420</v>
      </c>
    </row>
    <row r="65" spans="1:47" ht="15" customHeight="1" x14ac:dyDescent="0.25">
      <c r="A65" s="842" t="s">
        <v>1187</v>
      </c>
      <c r="B65" s="843" t="s">
        <v>1199</v>
      </c>
      <c r="C65" s="778">
        <f t="shared" si="14"/>
        <v>0.31666666666666665</v>
      </c>
      <c r="D65" s="844">
        <v>3</v>
      </c>
      <c r="E65" s="779" t="s">
        <v>1182</v>
      </c>
      <c r="F65" s="845">
        <v>43191</v>
      </c>
      <c r="G65" s="845">
        <v>43191</v>
      </c>
      <c r="H65" s="781">
        <f t="shared" si="15"/>
        <v>44286</v>
      </c>
      <c r="I65" s="795">
        <v>6380</v>
      </c>
      <c r="J65" s="783">
        <f t="shared" si="16"/>
        <v>319</v>
      </c>
      <c r="K65" s="784"/>
      <c r="L65" s="846"/>
      <c r="M65" s="790">
        <f t="shared" si="17"/>
        <v>6380</v>
      </c>
      <c r="N65" s="791">
        <f t="shared" si="47"/>
        <v>365</v>
      </c>
      <c r="O65" s="791">
        <f t="shared" si="48"/>
        <v>2020</v>
      </c>
      <c r="P65" s="790">
        <f t="shared" si="49"/>
        <v>2020</v>
      </c>
      <c r="Q65" s="847">
        <f t="shared" si="50"/>
        <v>4360</v>
      </c>
      <c r="R65" s="789">
        <f t="shared" si="18"/>
        <v>4360</v>
      </c>
      <c r="S65" s="790">
        <f t="shared" si="19"/>
        <v>6380</v>
      </c>
      <c r="T65" s="791">
        <f t="shared" si="20"/>
        <v>366</v>
      </c>
      <c r="U65" s="791">
        <f t="shared" si="21"/>
        <v>2020</v>
      </c>
      <c r="V65" s="790">
        <f t="shared" si="22"/>
        <v>4040</v>
      </c>
      <c r="W65" s="847">
        <f t="shared" si="23"/>
        <v>2340</v>
      </c>
      <c r="X65" s="846">
        <f t="shared" si="24"/>
        <v>2340</v>
      </c>
      <c r="Y65" s="783">
        <f t="shared" si="25"/>
        <v>6380</v>
      </c>
      <c r="Z65" s="783">
        <f t="shared" si="26"/>
        <v>365</v>
      </c>
      <c r="AA65" s="783">
        <f t="shared" si="27"/>
        <v>2020</v>
      </c>
      <c r="AB65" s="783">
        <f t="shared" si="28"/>
        <v>6060</v>
      </c>
      <c r="AC65" s="848">
        <f t="shared" si="29"/>
        <v>320</v>
      </c>
      <c r="AD65" s="789">
        <f t="shared" si="30"/>
        <v>320</v>
      </c>
      <c r="AE65" s="790">
        <f t="shared" si="31"/>
        <v>6380</v>
      </c>
      <c r="AF65" s="791">
        <f t="shared" si="32"/>
        <v>0</v>
      </c>
      <c r="AG65" s="791">
        <f t="shared" si="33"/>
        <v>0</v>
      </c>
      <c r="AH65" s="783">
        <f t="shared" si="34"/>
        <v>6060</v>
      </c>
      <c r="AI65" s="783">
        <f t="shared" si="35"/>
        <v>320</v>
      </c>
      <c r="AJ65" s="790">
        <f t="shared" si="51"/>
        <v>320</v>
      </c>
      <c r="AK65" s="790">
        <f t="shared" si="36"/>
        <v>6380</v>
      </c>
      <c r="AL65" s="791">
        <f t="shared" si="37"/>
        <v>0</v>
      </c>
      <c r="AM65" s="791">
        <f t="shared" si="38"/>
        <v>0</v>
      </c>
      <c r="AN65" s="783">
        <f t="shared" si="39"/>
        <v>6060</v>
      </c>
      <c r="AO65" s="783">
        <f t="shared" si="40"/>
        <v>320</v>
      </c>
      <c r="AP65" s="793">
        <f t="shared" si="41"/>
        <v>320</v>
      </c>
      <c r="AQ65" s="793">
        <f t="shared" si="42"/>
        <v>6380</v>
      </c>
      <c r="AR65" s="793">
        <f t="shared" si="43"/>
        <v>0</v>
      </c>
      <c r="AS65" s="793">
        <f t="shared" si="44"/>
        <v>0</v>
      </c>
      <c r="AT65" s="793">
        <f t="shared" si="45"/>
        <v>6060</v>
      </c>
      <c r="AU65" s="793">
        <f t="shared" si="46"/>
        <v>320</v>
      </c>
    </row>
    <row r="66" spans="1:47" ht="15" customHeight="1" x14ac:dyDescent="0.25">
      <c r="A66" s="842" t="s">
        <v>1187</v>
      </c>
      <c r="B66" s="843" t="s">
        <v>1200</v>
      </c>
      <c r="C66" s="778">
        <f t="shared" si="14"/>
        <v>0.31666666666666665</v>
      </c>
      <c r="D66" s="844">
        <v>3</v>
      </c>
      <c r="E66" s="779" t="s">
        <v>1182</v>
      </c>
      <c r="F66" s="845">
        <v>43245</v>
      </c>
      <c r="G66" s="845">
        <v>43245</v>
      </c>
      <c r="H66" s="781">
        <f t="shared" si="15"/>
        <v>44340</v>
      </c>
      <c r="I66" s="795">
        <v>58917.75</v>
      </c>
      <c r="J66" s="783">
        <f t="shared" si="16"/>
        <v>2945.8875000000003</v>
      </c>
      <c r="K66" s="784"/>
      <c r="L66" s="846"/>
      <c r="M66" s="790">
        <f t="shared" si="17"/>
        <v>58917.75</v>
      </c>
      <c r="N66" s="791">
        <f t="shared" si="47"/>
        <v>311</v>
      </c>
      <c r="O66" s="791">
        <f t="shared" si="48"/>
        <v>15897</v>
      </c>
      <c r="P66" s="790">
        <f t="shared" si="49"/>
        <v>15897</v>
      </c>
      <c r="Q66" s="847">
        <f t="shared" si="50"/>
        <v>43020.75</v>
      </c>
      <c r="R66" s="789">
        <f t="shared" si="18"/>
        <v>43020.75</v>
      </c>
      <c r="S66" s="790">
        <f t="shared" si="19"/>
        <v>58917.75</v>
      </c>
      <c r="T66" s="791">
        <f t="shared" si="20"/>
        <v>366</v>
      </c>
      <c r="U66" s="791">
        <f t="shared" si="21"/>
        <v>18657</v>
      </c>
      <c r="V66" s="790">
        <f t="shared" si="22"/>
        <v>34554</v>
      </c>
      <c r="W66" s="847">
        <f t="shared" si="23"/>
        <v>24363.75</v>
      </c>
      <c r="X66" s="846">
        <f t="shared" si="24"/>
        <v>24363.75</v>
      </c>
      <c r="Y66" s="783">
        <f t="shared" si="25"/>
        <v>58917.75</v>
      </c>
      <c r="Z66" s="783">
        <f t="shared" si="26"/>
        <v>365</v>
      </c>
      <c r="AA66" s="783">
        <f t="shared" si="27"/>
        <v>18657</v>
      </c>
      <c r="AB66" s="783">
        <f t="shared" si="28"/>
        <v>53211</v>
      </c>
      <c r="AC66" s="848">
        <f t="shared" si="29"/>
        <v>5706.75</v>
      </c>
      <c r="AD66" s="789">
        <f t="shared" si="30"/>
        <v>5706.75</v>
      </c>
      <c r="AE66" s="790">
        <f t="shared" si="31"/>
        <v>58917.75</v>
      </c>
      <c r="AF66" s="791">
        <f t="shared" si="32"/>
        <v>54</v>
      </c>
      <c r="AG66" s="791">
        <f t="shared" si="33"/>
        <v>2760</v>
      </c>
      <c r="AH66" s="783">
        <f t="shared" si="34"/>
        <v>55971</v>
      </c>
      <c r="AI66" s="783">
        <f t="shared" si="35"/>
        <v>2946.75</v>
      </c>
      <c r="AJ66" s="790">
        <f t="shared" si="51"/>
        <v>2946.75</v>
      </c>
      <c r="AK66" s="790">
        <f t="shared" si="36"/>
        <v>58917.75</v>
      </c>
      <c r="AL66" s="791">
        <f t="shared" si="37"/>
        <v>0</v>
      </c>
      <c r="AM66" s="791">
        <f t="shared" si="38"/>
        <v>0</v>
      </c>
      <c r="AN66" s="783">
        <f t="shared" si="39"/>
        <v>55971</v>
      </c>
      <c r="AO66" s="783">
        <f t="shared" si="40"/>
        <v>2946.75</v>
      </c>
      <c r="AP66" s="793">
        <f t="shared" si="41"/>
        <v>2946.75</v>
      </c>
      <c r="AQ66" s="793">
        <f t="shared" si="42"/>
        <v>58917.75</v>
      </c>
      <c r="AR66" s="793">
        <f t="shared" si="43"/>
        <v>0</v>
      </c>
      <c r="AS66" s="793">
        <f t="shared" si="44"/>
        <v>0</v>
      </c>
      <c r="AT66" s="793">
        <f t="shared" si="45"/>
        <v>55971</v>
      </c>
      <c r="AU66" s="793">
        <f t="shared" si="46"/>
        <v>2946.75</v>
      </c>
    </row>
    <row r="67" spans="1:47" ht="15" customHeight="1" x14ac:dyDescent="0.25">
      <c r="A67" s="842" t="s">
        <v>1187</v>
      </c>
      <c r="B67" s="843" t="s">
        <v>1201</v>
      </c>
      <c r="C67" s="778">
        <f t="shared" si="14"/>
        <v>0.31666666666666665</v>
      </c>
      <c r="D67" s="844">
        <v>3</v>
      </c>
      <c r="E67" s="779" t="s">
        <v>1182</v>
      </c>
      <c r="F67" s="845">
        <v>43295</v>
      </c>
      <c r="G67" s="845">
        <v>43295</v>
      </c>
      <c r="H67" s="781">
        <f t="shared" si="15"/>
        <v>44390</v>
      </c>
      <c r="I67" s="795">
        <v>47861.05</v>
      </c>
      <c r="J67" s="783">
        <f t="shared" si="16"/>
        <v>2393.0525000000002</v>
      </c>
      <c r="K67" s="784"/>
      <c r="L67" s="846"/>
      <c r="M67" s="790">
        <f t="shared" si="17"/>
        <v>47861.05</v>
      </c>
      <c r="N67" s="791">
        <f t="shared" si="47"/>
        <v>261</v>
      </c>
      <c r="O67" s="791">
        <f t="shared" si="48"/>
        <v>10838</v>
      </c>
      <c r="P67" s="790">
        <f t="shared" si="49"/>
        <v>10838</v>
      </c>
      <c r="Q67" s="847">
        <f t="shared" si="50"/>
        <v>37023.050000000003</v>
      </c>
      <c r="R67" s="789">
        <f t="shared" si="18"/>
        <v>37023.050000000003</v>
      </c>
      <c r="S67" s="790">
        <f t="shared" si="19"/>
        <v>47861.05</v>
      </c>
      <c r="T67" s="791">
        <f t="shared" si="20"/>
        <v>366</v>
      </c>
      <c r="U67" s="791">
        <f t="shared" si="21"/>
        <v>15156</v>
      </c>
      <c r="V67" s="790">
        <f t="shared" si="22"/>
        <v>25994</v>
      </c>
      <c r="W67" s="847">
        <f t="shared" si="23"/>
        <v>21867.050000000003</v>
      </c>
      <c r="X67" s="846">
        <f t="shared" si="24"/>
        <v>21867.050000000003</v>
      </c>
      <c r="Y67" s="783">
        <f t="shared" si="25"/>
        <v>47861.05</v>
      </c>
      <c r="Z67" s="783">
        <f t="shared" si="26"/>
        <v>365</v>
      </c>
      <c r="AA67" s="783">
        <f t="shared" si="27"/>
        <v>15156</v>
      </c>
      <c r="AB67" s="783">
        <f t="shared" si="28"/>
        <v>41150</v>
      </c>
      <c r="AC67" s="848">
        <f t="shared" si="29"/>
        <v>6711.0500000000029</v>
      </c>
      <c r="AD67" s="789">
        <f t="shared" si="30"/>
        <v>6711.0500000000029</v>
      </c>
      <c r="AE67" s="790">
        <f t="shared" si="31"/>
        <v>47861.05</v>
      </c>
      <c r="AF67" s="791">
        <f t="shared" si="32"/>
        <v>104</v>
      </c>
      <c r="AG67" s="791">
        <f t="shared" si="33"/>
        <v>4318</v>
      </c>
      <c r="AH67" s="783">
        <f t="shared" si="34"/>
        <v>45468</v>
      </c>
      <c r="AI67" s="783">
        <f t="shared" si="35"/>
        <v>2393.0500000000029</v>
      </c>
      <c r="AJ67" s="790">
        <f t="shared" si="51"/>
        <v>2393.0500000000029</v>
      </c>
      <c r="AK67" s="790">
        <f t="shared" si="36"/>
        <v>47861.05</v>
      </c>
      <c r="AL67" s="791">
        <f t="shared" si="37"/>
        <v>0</v>
      </c>
      <c r="AM67" s="791">
        <f t="shared" si="38"/>
        <v>0</v>
      </c>
      <c r="AN67" s="783">
        <f t="shared" si="39"/>
        <v>45468</v>
      </c>
      <c r="AO67" s="783">
        <f t="shared" si="40"/>
        <v>2393.0500000000029</v>
      </c>
      <c r="AP67" s="793">
        <f t="shared" si="41"/>
        <v>2393.0500000000029</v>
      </c>
      <c r="AQ67" s="793">
        <f t="shared" si="42"/>
        <v>47861.05</v>
      </c>
      <c r="AR67" s="793">
        <f t="shared" si="43"/>
        <v>0</v>
      </c>
      <c r="AS67" s="793">
        <f t="shared" si="44"/>
        <v>0</v>
      </c>
      <c r="AT67" s="793">
        <f t="shared" si="45"/>
        <v>45468</v>
      </c>
      <c r="AU67" s="793">
        <f t="shared" si="46"/>
        <v>2393.0500000000029</v>
      </c>
    </row>
    <row r="68" spans="1:47" ht="15" customHeight="1" x14ac:dyDescent="0.25">
      <c r="A68" s="842" t="s">
        <v>1187</v>
      </c>
      <c r="B68" s="843" t="s">
        <v>1202</v>
      </c>
      <c r="C68" s="778">
        <f t="shared" si="14"/>
        <v>0.31666666666666665</v>
      </c>
      <c r="D68" s="844">
        <v>3</v>
      </c>
      <c r="E68" s="779" t="s">
        <v>1182</v>
      </c>
      <c r="F68" s="845">
        <v>43438</v>
      </c>
      <c r="G68" s="845">
        <v>43438</v>
      </c>
      <c r="H68" s="781">
        <f t="shared" si="15"/>
        <v>44533</v>
      </c>
      <c r="I68" s="795">
        <v>36440</v>
      </c>
      <c r="J68" s="783">
        <f t="shared" si="16"/>
        <v>1822</v>
      </c>
      <c r="K68" s="784"/>
      <c r="L68" s="846"/>
      <c r="M68" s="790">
        <f t="shared" si="17"/>
        <v>36440</v>
      </c>
      <c r="N68" s="791">
        <f t="shared" si="47"/>
        <v>118</v>
      </c>
      <c r="O68" s="791">
        <f t="shared" si="48"/>
        <v>3731</v>
      </c>
      <c r="P68" s="790">
        <f t="shared" si="49"/>
        <v>3731</v>
      </c>
      <c r="Q68" s="847">
        <f t="shared" si="50"/>
        <v>32709</v>
      </c>
      <c r="R68" s="789">
        <f t="shared" si="18"/>
        <v>32709</v>
      </c>
      <c r="S68" s="790">
        <f t="shared" si="19"/>
        <v>36440</v>
      </c>
      <c r="T68" s="791">
        <f t="shared" si="20"/>
        <v>366</v>
      </c>
      <c r="U68" s="791">
        <f t="shared" si="21"/>
        <v>11539</v>
      </c>
      <c r="V68" s="790">
        <f t="shared" si="22"/>
        <v>15270</v>
      </c>
      <c r="W68" s="847">
        <f t="shared" si="23"/>
        <v>21170</v>
      </c>
      <c r="X68" s="846">
        <f t="shared" si="24"/>
        <v>21170</v>
      </c>
      <c r="Y68" s="783">
        <f t="shared" si="25"/>
        <v>36440</v>
      </c>
      <c r="Z68" s="783">
        <f t="shared" si="26"/>
        <v>365</v>
      </c>
      <c r="AA68" s="783">
        <f t="shared" si="27"/>
        <v>11539</v>
      </c>
      <c r="AB68" s="783">
        <f t="shared" si="28"/>
        <v>26809</v>
      </c>
      <c r="AC68" s="848">
        <f t="shared" si="29"/>
        <v>9631</v>
      </c>
      <c r="AD68" s="789">
        <f t="shared" si="30"/>
        <v>9631</v>
      </c>
      <c r="AE68" s="790">
        <f t="shared" si="31"/>
        <v>36440</v>
      </c>
      <c r="AF68" s="791">
        <f t="shared" si="32"/>
        <v>247</v>
      </c>
      <c r="AG68" s="791">
        <f t="shared" si="33"/>
        <v>7809</v>
      </c>
      <c r="AH68" s="783">
        <f t="shared" si="34"/>
        <v>34618</v>
      </c>
      <c r="AI68" s="783">
        <f t="shared" si="35"/>
        <v>1822</v>
      </c>
      <c r="AJ68" s="790">
        <f t="shared" si="51"/>
        <v>1822</v>
      </c>
      <c r="AK68" s="790">
        <f t="shared" si="36"/>
        <v>36440</v>
      </c>
      <c r="AL68" s="791">
        <f t="shared" si="37"/>
        <v>0</v>
      </c>
      <c r="AM68" s="791">
        <f t="shared" si="38"/>
        <v>0</v>
      </c>
      <c r="AN68" s="783">
        <f t="shared" si="39"/>
        <v>34618</v>
      </c>
      <c r="AO68" s="783">
        <f t="shared" si="40"/>
        <v>1822</v>
      </c>
      <c r="AP68" s="793">
        <f t="shared" si="41"/>
        <v>1822</v>
      </c>
      <c r="AQ68" s="793">
        <f t="shared" si="42"/>
        <v>36440</v>
      </c>
      <c r="AR68" s="793">
        <f t="shared" si="43"/>
        <v>0</v>
      </c>
      <c r="AS68" s="793">
        <f t="shared" si="44"/>
        <v>0</v>
      </c>
      <c r="AT68" s="793">
        <f t="shared" si="45"/>
        <v>34618</v>
      </c>
      <c r="AU68" s="793">
        <f t="shared" si="46"/>
        <v>1822</v>
      </c>
    </row>
    <row r="69" spans="1:47" ht="15" customHeight="1" x14ac:dyDescent="0.25">
      <c r="A69" s="842" t="s">
        <v>1187</v>
      </c>
      <c r="B69" s="843" t="s">
        <v>1202</v>
      </c>
      <c r="C69" s="778">
        <f t="shared" si="14"/>
        <v>0.31666666666666665</v>
      </c>
      <c r="D69" s="844">
        <v>3</v>
      </c>
      <c r="E69" s="779" t="s">
        <v>1182</v>
      </c>
      <c r="F69" s="845">
        <v>43554</v>
      </c>
      <c r="G69" s="845">
        <v>43554</v>
      </c>
      <c r="H69" s="781">
        <f t="shared" si="15"/>
        <v>44649</v>
      </c>
      <c r="I69" s="795">
        <v>30508.48</v>
      </c>
      <c r="J69" s="783">
        <f t="shared" si="16"/>
        <v>1525.424</v>
      </c>
      <c r="K69" s="784"/>
      <c r="L69" s="846"/>
      <c r="M69" s="790">
        <f t="shared" si="17"/>
        <v>30508.48</v>
      </c>
      <c r="N69" s="791">
        <f t="shared" si="47"/>
        <v>2</v>
      </c>
      <c r="O69" s="791">
        <f t="shared" si="48"/>
        <v>53</v>
      </c>
      <c r="P69" s="790">
        <f t="shared" si="49"/>
        <v>53</v>
      </c>
      <c r="Q69" s="847">
        <f t="shared" si="50"/>
        <v>30455.48</v>
      </c>
      <c r="R69" s="789">
        <f t="shared" si="18"/>
        <v>30455.48</v>
      </c>
      <c r="S69" s="790">
        <f t="shared" si="19"/>
        <v>30508.48</v>
      </c>
      <c r="T69" s="791">
        <f t="shared" si="20"/>
        <v>366</v>
      </c>
      <c r="U69" s="791">
        <f t="shared" si="21"/>
        <v>9661</v>
      </c>
      <c r="V69" s="790">
        <f t="shared" si="22"/>
        <v>9714</v>
      </c>
      <c r="W69" s="847">
        <f t="shared" si="23"/>
        <v>20794.48</v>
      </c>
      <c r="X69" s="846">
        <f t="shared" si="24"/>
        <v>20794.48</v>
      </c>
      <c r="Y69" s="783">
        <f t="shared" si="25"/>
        <v>30508.48</v>
      </c>
      <c r="Z69" s="783">
        <f t="shared" si="26"/>
        <v>365</v>
      </c>
      <c r="AA69" s="783">
        <f t="shared" si="27"/>
        <v>9661</v>
      </c>
      <c r="AB69" s="783">
        <f t="shared" si="28"/>
        <v>19375</v>
      </c>
      <c r="AC69" s="848">
        <f t="shared" si="29"/>
        <v>11133.48</v>
      </c>
      <c r="AD69" s="789">
        <f t="shared" si="30"/>
        <v>11133.48</v>
      </c>
      <c r="AE69" s="790">
        <f t="shared" si="31"/>
        <v>30508.48</v>
      </c>
      <c r="AF69" s="791">
        <f t="shared" si="32"/>
        <v>363</v>
      </c>
      <c r="AG69" s="791">
        <f t="shared" si="33"/>
        <v>9608</v>
      </c>
      <c r="AH69" s="783">
        <f t="shared" si="34"/>
        <v>28983</v>
      </c>
      <c r="AI69" s="783">
        <f t="shared" si="35"/>
        <v>1525.4799999999996</v>
      </c>
      <c r="AJ69" s="790">
        <f t="shared" si="51"/>
        <v>1525.4799999999996</v>
      </c>
      <c r="AK69" s="790">
        <f t="shared" si="36"/>
        <v>30508.48</v>
      </c>
      <c r="AL69" s="791">
        <f t="shared" si="37"/>
        <v>0</v>
      </c>
      <c r="AM69" s="791">
        <f t="shared" si="38"/>
        <v>0</v>
      </c>
      <c r="AN69" s="783">
        <f t="shared" si="39"/>
        <v>28983</v>
      </c>
      <c r="AO69" s="783">
        <f t="shared" si="40"/>
        <v>1525.4799999999996</v>
      </c>
      <c r="AP69" s="793">
        <f t="shared" si="41"/>
        <v>1525.4799999999996</v>
      </c>
      <c r="AQ69" s="793">
        <f t="shared" si="42"/>
        <v>30508.48</v>
      </c>
      <c r="AR69" s="793">
        <f t="shared" si="43"/>
        <v>0</v>
      </c>
      <c r="AS69" s="793">
        <f t="shared" si="44"/>
        <v>0</v>
      </c>
      <c r="AT69" s="793">
        <f t="shared" si="45"/>
        <v>28983</v>
      </c>
      <c r="AU69" s="793">
        <f t="shared" si="46"/>
        <v>1525.4799999999996</v>
      </c>
    </row>
    <row r="70" spans="1:47" ht="15" customHeight="1" x14ac:dyDescent="0.25">
      <c r="A70" s="842" t="s">
        <v>1187</v>
      </c>
      <c r="B70" s="843" t="s">
        <v>1202</v>
      </c>
      <c r="C70" s="778">
        <f t="shared" si="14"/>
        <v>0.31666666666666665</v>
      </c>
      <c r="D70" s="844">
        <v>3</v>
      </c>
      <c r="E70" s="779" t="s">
        <v>1182</v>
      </c>
      <c r="F70" s="845">
        <v>43554</v>
      </c>
      <c r="G70" s="845">
        <v>43554</v>
      </c>
      <c r="H70" s="781">
        <f t="shared" si="15"/>
        <v>44649</v>
      </c>
      <c r="I70" s="795">
        <v>30508.48</v>
      </c>
      <c r="J70" s="783">
        <f t="shared" si="16"/>
        <v>1525.424</v>
      </c>
      <c r="K70" s="784"/>
      <c r="L70" s="846"/>
      <c r="M70" s="790">
        <f t="shared" si="17"/>
        <v>30508.48</v>
      </c>
      <c r="N70" s="791">
        <f t="shared" si="47"/>
        <v>2</v>
      </c>
      <c r="O70" s="791">
        <f t="shared" si="48"/>
        <v>53</v>
      </c>
      <c r="P70" s="790">
        <f t="shared" si="49"/>
        <v>53</v>
      </c>
      <c r="Q70" s="847">
        <f t="shared" si="50"/>
        <v>30455.48</v>
      </c>
      <c r="R70" s="789">
        <f t="shared" si="18"/>
        <v>30455.48</v>
      </c>
      <c r="S70" s="790">
        <f t="shared" si="19"/>
        <v>30508.48</v>
      </c>
      <c r="T70" s="791">
        <f t="shared" si="20"/>
        <v>366</v>
      </c>
      <c r="U70" s="791">
        <f t="shared" si="21"/>
        <v>9661</v>
      </c>
      <c r="V70" s="790">
        <f t="shared" si="22"/>
        <v>9714</v>
      </c>
      <c r="W70" s="847">
        <f t="shared" si="23"/>
        <v>20794.48</v>
      </c>
      <c r="X70" s="846">
        <f t="shared" si="24"/>
        <v>20794.48</v>
      </c>
      <c r="Y70" s="783">
        <f t="shared" si="25"/>
        <v>30508.48</v>
      </c>
      <c r="Z70" s="783">
        <f t="shared" si="26"/>
        <v>365</v>
      </c>
      <c r="AA70" s="783">
        <f t="shared" si="27"/>
        <v>9661</v>
      </c>
      <c r="AB70" s="783">
        <f t="shared" si="28"/>
        <v>19375</v>
      </c>
      <c r="AC70" s="848">
        <f t="shared" si="29"/>
        <v>11133.48</v>
      </c>
      <c r="AD70" s="789">
        <f t="shared" si="30"/>
        <v>11133.48</v>
      </c>
      <c r="AE70" s="790">
        <f t="shared" si="31"/>
        <v>30508.48</v>
      </c>
      <c r="AF70" s="791">
        <f t="shared" si="32"/>
        <v>363</v>
      </c>
      <c r="AG70" s="791">
        <f t="shared" si="33"/>
        <v>9608</v>
      </c>
      <c r="AH70" s="783">
        <f t="shared" si="34"/>
        <v>28983</v>
      </c>
      <c r="AI70" s="783">
        <f t="shared" si="35"/>
        <v>1525.4799999999996</v>
      </c>
      <c r="AJ70" s="790">
        <f t="shared" si="51"/>
        <v>1525.4799999999996</v>
      </c>
      <c r="AK70" s="790">
        <f t="shared" si="36"/>
        <v>30508.48</v>
      </c>
      <c r="AL70" s="791">
        <f t="shared" si="37"/>
        <v>0</v>
      </c>
      <c r="AM70" s="791">
        <f t="shared" si="38"/>
        <v>0</v>
      </c>
      <c r="AN70" s="783">
        <f t="shared" si="39"/>
        <v>28983</v>
      </c>
      <c r="AO70" s="783">
        <f t="shared" si="40"/>
        <v>1525.4799999999996</v>
      </c>
      <c r="AP70" s="793">
        <f t="shared" si="41"/>
        <v>1525.4799999999996</v>
      </c>
      <c r="AQ70" s="793">
        <f t="shared" si="42"/>
        <v>30508.48</v>
      </c>
      <c r="AR70" s="793">
        <f t="shared" si="43"/>
        <v>0</v>
      </c>
      <c r="AS70" s="793">
        <f t="shared" si="44"/>
        <v>0</v>
      </c>
      <c r="AT70" s="793">
        <f t="shared" si="45"/>
        <v>28983</v>
      </c>
      <c r="AU70" s="793">
        <f t="shared" si="46"/>
        <v>1525.4799999999996</v>
      </c>
    </row>
    <row r="71" spans="1:47" ht="15" customHeight="1" x14ac:dyDescent="0.25">
      <c r="A71" s="842" t="s">
        <v>1187</v>
      </c>
      <c r="B71" s="843" t="s">
        <v>1203</v>
      </c>
      <c r="C71" s="778">
        <f t="shared" si="14"/>
        <v>0.31666666666666665</v>
      </c>
      <c r="D71" s="844">
        <v>3</v>
      </c>
      <c r="E71" s="779" t="s">
        <v>1182</v>
      </c>
      <c r="F71" s="845">
        <v>43426</v>
      </c>
      <c r="G71" s="845">
        <v>43426</v>
      </c>
      <c r="H71" s="781">
        <f t="shared" si="15"/>
        <v>44521</v>
      </c>
      <c r="I71" s="795">
        <v>8814</v>
      </c>
      <c r="J71" s="783">
        <f t="shared" si="16"/>
        <v>440.70000000000005</v>
      </c>
      <c r="K71" s="784"/>
      <c r="L71" s="846"/>
      <c r="M71" s="790">
        <f t="shared" si="17"/>
        <v>8814</v>
      </c>
      <c r="N71" s="791">
        <f t="shared" si="47"/>
        <v>130</v>
      </c>
      <c r="O71" s="791">
        <f t="shared" si="48"/>
        <v>994</v>
      </c>
      <c r="P71" s="790">
        <f t="shared" si="49"/>
        <v>994</v>
      </c>
      <c r="Q71" s="847">
        <f t="shared" si="50"/>
        <v>7820</v>
      </c>
      <c r="R71" s="789">
        <f t="shared" si="18"/>
        <v>7820</v>
      </c>
      <c r="S71" s="790">
        <f t="shared" si="19"/>
        <v>8814</v>
      </c>
      <c r="T71" s="791">
        <f t="shared" si="20"/>
        <v>366</v>
      </c>
      <c r="U71" s="791">
        <f t="shared" si="21"/>
        <v>2791</v>
      </c>
      <c r="V71" s="790">
        <f t="shared" si="22"/>
        <v>3785</v>
      </c>
      <c r="W71" s="847">
        <f t="shared" si="23"/>
        <v>5029</v>
      </c>
      <c r="X71" s="846">
        <f t="shared" si="24"/>
        <v>5029</v>
      </c>
      <c r="Y71" s="783">
        <f t="shared" si="25"/>
        <v>8814</v>
      </c>
      <c r="Z71" s="783">
        <f t="shared" si="26"/>
        <v>365</v>
      </c>
      <c r="AA71" s="783">
        <f t="shared" si="27"/>
        <v>2791</v>
      </c>
      <c r="AB71" s="783">
        <f t="shared" si="28"/>
        <v>6576</v>
      </c>
      <c r="AC71" s="848">
        <f t="shared" si="29"/>
        <v>2238</v>
      </c>
      <c r="AD71" s="789">
        <f t="shared" si="30"/>
        <v>2238</v>
      </c>
      <c r="AE71" s="790">
        <f t="shared" si="31"/>
        <v>8814</v>
      </c>
      <c r="AF71" s="791">
        <f t="shared" si="32"/>
        <v>235</v>
      </c>
      <c r="AG71" s="791">
        <f t="shared" si="33"/>
        <v>1797</v>
      </c>
      <c r="AH71" s="783">
        <f t="shared" si="34"/>
        <v>8373</v>
      </c>
      <c r="AI71" s="783">
        <f t="shared" si="35"/>
        <v>441</v>
      </c>
      <c r="AJ71" s="790">
        <f t="shared" si="51"/>
        <v>441</v>
      </c>
      <c r="AK71" s="790">
        <f t="shared" si="36"/>
        <v>8814</v>
      </c>
      <c r="AL71" s="791">
        <f t="shared" si="37"/>
        <v>0</v>
      </c>
      <c r="AM71" s="791">
        <f t="shared" si="38"/>
        <v>0</v>
      </c>
      <c r="AN71" s="783">
        <f t="shared" si="39"/>
        <v>8373</v>
      </c>
      <c r="AO71" s="783">
        <f t="shared" si="40"/>
        <v>441</v>
      </c>
      <c r="AP71" s="793">
        <f t="shared" si="41"/>
        <v>441</v>
      </c>
      <c r="AQ71" s="793">
        <f t="shared" si="42"/>
        <v>8814</v>
      </c>
      <c r="AR71" s="793">
        <f t="shared" si="43"/>
        <v>0</v>
      </c>
      <c r="AS71" s="793">
        <f t="shared" si="44"/>
        <v>0</v>
      </c>
      <c r="AT71" s="793">
        <f t="shared" si="45"/>
        <v>8373</v>
      </c>
      <c r="AU71" s="793">
        <f t="shared" si="46"/>
        <v>441</v>
      </c>
    </row>
    <row r="72" spans="1:47" ht="15" customHeight="1" x14ac:dyDescent="0.25">
      <c r="A72" s="842" t="s">
        <v>1187</v>
      </c>
      <c r="B72" s="843" t="s">
        <v>1203</v>
      </c>
      <c r="C72" s="778">
        <f t="shared" si="14"/>
        <v>0.31666666666666665</v>
      </c>
      <c r="D72" s="844">
        <v>3</v>
      </c>
      <c r="E72" s="779" t="s">
        <v>1182</v>
      </c>
      <c r="F72" s="845">
        <v>43501</v>
      </c>
      <c r="G72" s="845">
        <v>43501</v>
      </c>
      <c r="H72" s="781">
        <f t="shared" si="15"/>
        <v>44596</v>
      </c>
      <c r="I72" s="795">
        <v>10593</v>
      </c>
      <c r="J72" s="783">
        <f t="shared" si="16"/>
        <v>529.65</v>
      </c>
      <c r="K72" s="784"/>
      <c r="L72" s="846"/>
      <c r="M72" s="790">
        <f t="shared" si="17"/>
        <v>10593</v>
      </c>
      <c r="N72" s="791">
        <f t="shared" si="47"/>
        <v>55</v>
      </c>
      <c r="O72" s="791">
        <f t="shared" si="48"/>
        <v>505</v>
      </c>
      <c r="P72" s="790">
        <f t="shared" si="49"/>
        <v>505</v>
      </c>
      <c r="Q72" s="847">
        <f t="shared" si="50"/>
        <v>10088</v>
      </c>
      <c r="R72" s="789">
        <f t="shared" si="18"/>
        <v>10088</v>
      </c>
      <c r="S72" s="790">
        <f t="shared" si="19"/>
        <v>10593</v>
      </c>
      <c r="T72" s="791">
        <f t="shared" si="20"/>
        <v>366</v>
      </c>
      <c r="U72" s="791">
        <f t="shared" si="21"/>
        <v>3354</v>
      </c>
      <c r="V72" s="790">
        <f t="shared" si="22"/>
        <v>3859</v>
      </c>
      <c r="W72" s="847">
        <f t="shared" si="23"/>
        <v>6734</v>
      </c>
      <c r="X72" s="846">
        <f t="shared" si="24"/>
        <v>6734</v>
      </c>
      <c r="Y72" s="783">
        <f t="shared" si="25"/>
        <v>10593</v>
      </c>
      <c r="Z72" s="783">
        <f t="shared" si="26"/>
        <v>365</v>
      </c>
      <c r="AA72" s="783">
        <f t="shared" si="27"/>
        <v>3354</v>
      </c>
      <c r="AB72" s="783">
        <f t="shared" si="28"/>
        <v>7213</v>
      </c>
      <c r="AC72" s="848">
        <f t="shared" si="29"/>
        <v>3380</v>
      </c>
      <c r="AD72" s="789">
        <f t="shared" si="30"/>
        <v>3380</v>
      </c>
      <c r="AE72" s="790">
        <f t="shared" si="31"/>
        <v>10593</v>
      </c>
      <c r="AF72" s="791">
        <f t="shared" si="32"/>
        <v>310</v>
      </c>
      <c r="AG72" s="791">
        <f t="shared" si="33"/>
        <v>2849</v>
      </c>
      <c r="AH72" s="783">
        <f t="shared" si="34"/>
        <v>10062</v>
      </c>
      <c r="AI72" s="783">
        <f t="shared" si="35"/>
        <v>531</v>
      </c>
      <c r="AJ72" s="790">
        <f t="shared" si="51"/>
        <v>531</v>
      </c>
      <c r="AK72" s="790">
        <f t="shared" si="36"/>
        <v>10593</v>
      </c>
      <c r="AL72" s="791">
        <f t="shared" si="37"/>
        <v>0</v>
      </c>
      <c r="AM72" s="791">
        <f t="shared" si="38"/>
        <v>0</v>
      </c>
      <c r="AN72" s="783">
        <f t="shared" si="39"/>
        <v>10062</v>
      </c>
      <c r="AO72" s="783">
        <f t="shared" si="40"/>
        <v>531</v>
      </c>
      <c r="AP72" s="793">
        <f t="shared" si="41"/>
        <v>531</v>
      </c>
      <c r="AQ72" s="793">
        <f t="shared" si="42"/>
        <v>10593</v>
      </c>
      <c r="AR72" s="793">
        <f t="shared" si="43"/>
        <v>0</v>
      </c>
      <c r="AS72" s="793">
        <f t="shared" si="44"/>
        <v>0</v>
      </c>
      <c r="AT72" s="793">
        <f t="shared" si="45"/>
        <v>10062</v>
      </c>
      <c r="AU72" s="793">
        <f t="shared" si="46"/>
        <v>531</v>
      </c>
    </row>
    <row r="73" spans="1:47" ht="15" customHeight="1" x14ac:dyDescent="0.25">
      <c r="A73" s="842" t="s">
        <v>1187</v>
      </c>
      <c r="B73" s="843" t="s">
        <v>1204</v>
      </c>
      <c r="C73" s="778">
        <f t="shared" si="14"/>
        <v>0.31666666666666665</v>
      </c>
      <c r="D73" s="844">
        <v>3</v>
      </c>
      <c r="E73" s="779" t="s">
        <v>1182</v>
      </c>
      <c r="F73" s="845">
        <v>43501</v>
      </c>
      <c r="G73" s="845">
        <v>43501</v>
      </c>
      <c r="H73" s="781">
        <f t="shared" si="15"/>
        <v>44596</v>
      </c>
      <c r="I73" s="795">
        <v>900</v>
      </c>
      <c r="J73" s="783">
        <f t="shared" si="16"/>
        <v>45</v>
      </c>
      <c r="K73" s="784"/>
      <c r="L73" s="849"/>
      <c r="M73" s="808">
        <f t="shared" si="17"/>
        <v>900</v>
      </c>
      <c r="N73" s="809">
        <f t="shared" si="47"/>
        <v>55</v>
      </c>
      <c r="O73" s="809">
        <f t="shared" si="48"/>
        <v>43</v>
      </c>
      <c r="P73" s="808">
        <f t="shared" si="49"/>
        <v>43</v>
      </c>
      <c r="Q73" s="850">
        <f t="shared" si="50"/>
        <v>857</v>
      </c>
      <c r="R73" s="807">
        <f t="shared" si="18"/>
        <v>857</v>
      </c>
      <c r="S73" s="808">
        <f t="shared" si="19"/>
        <v>900</v>
      </c>
      <c r="T73" s="809">
        <f t="shared" si="20"/>
        <v>366</v>
      </c>
      <c r="U73" s="809">
        <f t="shared" si="21"/>
        <v>285</v>
      </c>
      <c r="V73" s="808">
        <f t="shared" si="22"/>
        <v>328</v>
      </c>
      <c r="W73" s="850">
        <f t="shared" si="23"/>
        <v>572</v>
      </c>
      <c r="X73" s="849">
        <f t="shared" si="24"/>
        <v>572</v>
      </c>
      <c r="Y73" s="812">
        <f t="shared" si="25"/>
        <v>900</v>
      </c>
      <c r="Z73" s="812">
        <f t="shared" si="26"/>
        <v>365</v>
      </c>
      <c r="AA73" s="812">
        <f t="shared" si="27"/>
        <v>285</v>
      </c>
      <c r="AB73" s="812">
        <f t="shared" si="28"/>
        <v>613</v>
      </c>
      <c r="AC73" s="851">
        <f t="shared" si="29"/>
        <v>287</v>
      </c>
      <c r="AD73" s="807">
        <f t="shared" si="30"/>
        <v>287</v>
      </c>
      <c r="AE73" s="808">
        <f t="shared" si="31"/>
        <v>900</v>
      </c>
      <c r="AF73" s="809">
        <f t="shared" si="32"/>
        <v>310</v>
      </c>
      <c r="AG73" s="809">
        <f t="shared" si="33"/>
        <v>242</v>
      </c>
      <c r="AH73" s="812">
        <f t="shared" si="34"/>
        <v>855</v>
      </c>
      <c r="AI73" s="812">
        <f t="shared" si="35"/>
        <v>45</v>
      </c>
      <c r="AJ73" s="808">
        <f t="shared" si="51"/>
        <v>45</v>
      </c>
      <c r="AK73" s="808">
        <f t="shared" si="36"/>
        <v>900</v>
      </c>
      <c r="AL73" s="809">
        <f t="shared" si="37"/>
        <v>0</v>
      </c>
      <c r="AM73" s="809">
        <f t="shared" si="38"/>
        <v>0</v>
      </c>
      <c r="AN73" s="812">
        <f t="shared" si="39"/>
        <v>855</v>
      </c>
      <c r="AO73" s="812">
        <f t="shared" si="40"/>
        <v>45</v>
      </c>
      <c r="AP73" s="793">
        <f t="shared" si="41"/>
        <v>45</v>
      </c>
      <c r="AQ73" s="793">
        <f t="shared" si="42"/>
        <v>900</v>
      </c>
      <c r="AR73" s="793">
        <f t="shared" si="43"/>
        <v>0</v>
      </c>
      <c r="AS73" s="793">
        <f t="shared" si="44"/>
        <v>0</v>
      </c>
      <c r="AT73" s="793">
        <f t="shared" si="45"/>
        <v>855</v>
      </c>
      <c r="AU73" s="793">
        <f t="shared" si="46"/>
        <v>45</v>
      </c>
    </row>
    <row r="74" spans="1:47" ht="15" customHeight="1" x14ac:dyDescent="0.25">
      <c r="A74" s="842" t="s">
        <v>1187</v>
      </c>
      <c r="B74" s="843" t="s">
        <v>1189</v>
      </c>
      <c r="C74" s="778">
        <f t="shared" si="14"/>
        <v>0.31666666666666665</v>
      </c>
      <c r="D74" s="844">
        <v>3</v>
      </c>
      <c r="E74" s="844" t="s">
        <v>1205</v>
      </c>
      <c r="F74" s="845">
        <v>43903</v>
      </c>
      <c r="G74" s="845">
        <v>43903</v>
      </c>
      <c r="H74" s="781">
        <f t="shared" si="15"/>
        <v>44998</v>
      </c>
      <c r="I74" s="795">
        <f>26000+1072</f>
        <v>27072</v>
      </c>
      <c r="J74" s="783">
        <f t="shared" si="16"/>
        <v>1353.6000000000001</v>
      </c>
      <c r="K74" s="784"/>
      <c r="L74" s="790">
        <v>0</v>
      </c>
      <c r="M74" s="790">
        <v>0</v>
      </c>
      <c r="N74" s="790">
        <v>0</v>
      </c>
      <c r="O74" s="790">
        <v>0</v>
      </c>
      <c r="P74" s="790">
        <v>0</v>
      </c>
      <c r="Q74" s="790">
        <v>0</v>
      </c>
      <c r="R74" s="790">
        <f t="shared" si="18"/>
        <v>0</v>
      </c>
      <c r="S74" s="790">
        <f t="shared" si="19"/>
        <v>27072</v>
      </c>
      <c r="T74" s="792">
        <f t="shared" si="20"/>
        <v>19</v>
      </c>
      <c r="U74" s="792">
        <f t="shared" si="21"/>
        <v>445</v>
      </c>
      <c r="V74" s="790">
        <f t="shared" si="22"/>
        <v>445</v>
      </c>
      <c r="W74" s="790">
        <f t="shared" si="23"/>
        <v>26627</v>
      </c>
      <c r="X74" s="790">
        <f t="shared" si="24"/>
        <v>26627</v>
      </c>
      <c r="Y74" s="783">
        <f t="shared" si="25"/>
        <v>27072</v>
      </c>
      <c r="Z74" s="783">
        <f t="shared" si="26"/>
        <v>365</v>
      </c>
      <c r="AA74" s="783">
        <f t="shared" si="27"/>
        <v>8573</v>
      </c>
      <c r="AB74" s="783">
        <f t="shared" si="28"/>
        <v>9018</v>
      </c>
      <c r="AC74" s="783">
        <f t="shared" si="29"/>
        <v>18054</v>
      </c>
      <c r="AD74" s="790">
        <f t="shared" si="30"/>
        <v>18054</v>
      </c>
      <c r="AE74" s="790">
        <f t="shared" si="31"/>
        <v>27072</v>
      </c>
      <c r="AF74" s="791">
        <f t="shared" si="32"/>
        <v>365</v>
      </c>
      <c r="AG74" s="791">
        <f t="shared" si="33"/>
        <v>8573</v>
      </c>
      <c r="AH74" s="783">
        <f t="shared" si="34"/>
        <v>17591</v>
      </c>
      <c r="AI74" s="783">
        <f t="shared" si="35"/>
        <v>9481</v>
      </c>
      <c r="AJ74" s="790">
        <f t="shared" si="51"/>
        <v>9481</v>
      </c>
      <c r="AK74" s="790">
        <f t="shared" si="36"/>
        <v>27072</v>
      </c>
      <c r="AL74" s="791">
        <f t="shared" si="37"/>
        <v>347</v>
      </c>
      <c r="AM74" s="791">
        <f t="shared" si="38"/>
        <v>8150</v>
      </c>
      <c r="AN74" s="783">
        <f t="shared" si="39"/>
        <v>25741</v>
      </c>
      <c r="AO74" s="783">
        <f t="shared" si="40"/>
        <v>1331</v>
      </c>
      <c r="AP74" s="793">
        <f t="shared" si="41"/>
        <v>1331</v>
      </c>
      <c r="AQ74" s="793">
        <f t="shared" si="42"/>
        <v>27072</v>
      </c>
      <c r="AR74" s="793">
        <f t="shared" si="43"/>
        <v>0</v>
      </c>
      <c r="AS74" s="793">
        <f t="shared" si="44"/>
        <v>0</v>
      </c>
      <c r="AT74" s="793">
        <f t="shared" si="45"/>
        <v>25741</v>
      </c>
      <c r="AU74" s="793">
        <f t="shared" si="46"/>
        <v>1331</v>
      </c>
    </row>
    <row r="75" spans="1:47" ht="15" customHeight="1" x14ac:dyDescent="0.25">
      <c r="A75" s="842" t="s">
        <v>1187</v>
      </c>
      <c r="B75" s="843" t="s">
        <v>1206</v>
      </c>
      <c r="C75" s="778">
        <f t="shared" si="14"/>
        <v>0.31666666666666665</v>
      </c>
      <c r="D75" s="844">
        <v>3</v>
      </c>
      <c r="E75" s="844" t="s">
        <v>1207</v>
      </c>
      <c r="F75" s="845">
        <v>44034</v>
      </c>
      <c r="G75" s="845">
        <v>44034</v>
      </c>
      <c r="H75" s="781">
        <f t="shared" si="15"/>
        <v>45129</v>
      </c>
      <c r="I75" s="795">
        <v>14280</v>
      </c>
      <c r="J75" s="783">
        <f t="shared" si="16"/>
        <v>714</v>
      </c>
      <c r="K75" s="784"/>
      <c r="L75" s="846">
        <v>0</v>
      </c>
      <c r="M75" s="846">
        <v>0</v>
      </c>
      <c r="N75" s="846">
        <v>0</v>
      </c>
      <c r="O75" s="846">
        <v>0</v>
      </c>
      <c r="P75" s="846">
        <v>0</v>
      </c>
      <c r="Q75" s="846">
        <v>0</v>
      </c>
      <c r="R75" s="846">
        <v>0</v>
      </c>
      <c r="S75" s="846">
        <v>0</v>
      </c>
      <c r="T75" s="846">
        <v>0</v>
      </c>
      <c r="U75" s="846">
        <v>0</v>
      </c>
      <c r="V75" s="846">
        <v>0</v>
      </c>
      <c r="W75" s="846">
        <v>0</v>
      </c>
      <c r="X75" s="846">
        <f t="shared" si="24"/>
        <v>0</v>
      </c>
      <c r="Y75" s="783">
        <f t="shared" si="25"/>
        <v>14280</v>
      </c>
      <c r="Z75" s="783">
        <f t="shared" si="26"/>
        <v>253</v>
      </c>
      <c r="AA75" s="783">
        <f t="shared" si="27"/>
        <v>3134</v>
      </c>
      <c r="AB75" s="783">
        <f t="shared" si="28"/>
        <v>3134</v>
      </c>
      <c r="AC75" s="848">
        <f t="shared" si="29"/>
        <v>11146</v>
      </c>
      <c r="AD75" s="789">
        <f t="shared" si="30"/>
        <v>11146</v>
      </c>
      <c r="AE75" s="790">
        <f t="shared" si="31"/>
        <v>14280</v>
      </c>
      <c r="AF75" s="791">
        <f t="shared" si="32"/>
        <v>365</v>
      </c>
      <c r="AG75" s="791">
        <f t="shared" si="33"/>
        <v>4522</v>
      </c>
      <c r="AH75" s="783">
        <f t="shared" si="34"/>
        <v>7656</v>
      </c>
      <c r="AI75" s="783">
        <f t="shared" si="35"/>
        <v>6624</v>
      </c>
      <c r="AJ75" s="790">
        <f t="shared" si="51"/>
        <v>6624</v>
      </c>
      <c r="AK75" s="790">
        <f t="shared" si="36"/>
        <v>14280</v>
      </c>
      <c r="AL75" s="791">
        <f t="shared" si="37"/>
        <v>365</v>
      </c>
      <c r="AM75" s="791">
        <f t="shared" si="38"/>
        <v>4522</v>
      </c>
      <c r="AN75" s="783">
        <f t="shared" si="39"/>
        <v>12178</v>
      </c>
      <c r="AO75" s="783">
        <f t="shared" si="40"/>
        <v>2102</v>
      </c>
      <c r="AP75" s="793">
        <f t="shared" si="41"/>
        <v>2102</v>
      </c>
      <c r="AQ75" s="793">
        <f t="shared" si="42"/>
        <v>14280</v>
      </c>
      <c r="AR75" s="793">
        <f t="shared" si="43"/>
        <v>113</v>
      </c>
      <c r="AS75" s="793">
        <f t="shared" si="44"/>
        <v>1400</v>
      </c>
      <c r="AT75" s="793">
        <f t="shared" si="45"/>
        <v>13578</v>
      </c>
      <c r="AU75" s="793">
        <f t="shared" si="46"/>
        <v>702</v>
      </c>
    </row>
    <row r="76" spans="1:47" ht="15" customHeight="1" x14ac:dyDescent="0.25">
      <c r="A76" s="842" t="s">
        <v>1187</v>
      </c>
      <c r="B76" s="843" t="s">
        <v>1208</v>
      </c>
      <c r="C76" s="778">
        <f t="shared" si="14"/>
        <v>0.31666666666666665</v>
      </c>
      <c r="D76" s="844">
        <v>3</v>
      </c>
      <c r="E76" s="844" t="s">
        <v>1207</v>
      </c>
      <c r="F76" s="845">
        <v>44112</v>
      </c>
      <c r="G76" s="845">
        <v>44112</v>
      </c>
      <c r="H76" s="781">
        <f t="shared" si="15"/>
        <v>45207</v>
      </c>
      <c r="I76" s="795">
        <v>55990</v>
      </c>
      <c r="J76" s="783">
        <f t="shared" si="16"/>
        <v>2799.5</v>
      </c>
      <c r="K76" s="784"/>
      <c r="L76" s="846">
        <v>0</v>
      </c>
      <c r="M76" s="846">
        <v>0</v>
      </c>
      <c r="N76" s="846">
        <v>0</v>
      </c>
      <c r="O76" s="846">
        <v>0</v>
      </c>
      <c r="P76" s="846">
        <v>0</v>
      </c>
      <c r="Q76" s="846">
        <v>0</v>
      </c>
      <c r="R76" s="846">
        <v>0</v>
      </c>
      <c r="S76" s="846">
        <v>0</v>
      </c>
      <c r="T76" s="846">
        <v>0</v>
      </c>
      <c r="U76" s="846">
        <v>0</v>
      </c>
      <c r="V76" s="846">
        <v>0</v>
      </c>
      <c r="W76" s="846">
        <v>0</v>
      </c>
      <c r="X76" s="846">
        <f t="shared" si="24"/>
        <v>0</v>
      </c>
      <c r="Y76" s="783">
        <f t="shared" si="25"/>
        <v>55990</v>
      </c>
      <c r="Z76" s="783">
        <f t="shared" si="26"/>
        <v>175</v>
      </c>
      <c r="AA76" s="783">
        <f t="shared" si="27"/>
        <v>8501</v>
      </c>
      <c r="AB76" s="783">
        <f t="shared" si="28"/>
        <v>8501</v>
      </c>
      <c r="AC76" s="848">
        <f t="shared" si="29"/>
        <v>47489</v>
      </c>
      <c r="AD76" s="789">
        <f t="shared" si="30"/>
        <v>47489</v>
      </c>
      <c r="AE76" s="790">
        <f t="shared" si="31"/>
        <v>55990</v>
      </c>
      <c r="AF76" s="791">
        <f t="shared" si="32"/>
        <v>365</v>
      </c>
      <c r="AG76" s="791">
        <f t="shared" si="33"/>
        <v>17730</v>
      </c>
      <c r="AH76" s="783">
        <f t="shared" si="34"/>
        <v>26231</v>
      </c>
      <c r="AI76" s="783">
        <f t="shared" si="35"/>
        <v>29759</v>
      </c>
      <c r="AJ76" s="790">
        <f t="shared" si="51"/>
        <v>29759</v>
      </c>
      <c r="AK76" s="790">
        <f t="shared" si="36"/>
        <v>55990</v>
      </c>
      <c r="AL76" s="791">
        <f t="shared" si="37"/>
        <v>365</v>
      </c>
      <c r="AM76" s="791">
        <f t="shared" si="38"/>
        <v>17730</v>
      </c>
      <c r="AN76" s="783">
        <f t="shared" si="39"/>
        <v>43961</v>
      </c>
      <c r="AO76" s="783">
        <f t="shared" si="40"/>
        <v>12029</v>
      </c>
      <c r="AP76" s="793">
        <f t="shared" si="41"/>
        <v>12029</v>
      </c>
      <c r="AQ76" s="793">
        <f t="shared" si="42"/>
        <v>55990</v>
      </c>
      <c r="AR76" s="793">
        <f t="shared" si="43"/>
        <v>191</v>
      </c>
      <c r="AS76" s="793">
        <f t="shared" si="44"/>
        <v>9278</v>
      </c>
      <c r="AT76" s="793">
        <f t="shared" si="45"/>
        <v>53239</v>
      </c>
      <c r="AU76" s="793">
        <f t="shared" si="46"/>
        <v>2751</v>
      </c>
    </row>
    <row r="77" spans="1:47" ht="15" customHeight="1" x14ac:dyDescent="0.25">
      <c r="A77" s="842" t="s">
        <v>1187</v>
      </c>
      <c r="B77" s="843" t="s">
        <v>1209</v>
      </c>
      <c r="C77" s="778">
        <f t="shared" si="14"/>
        <v>0.31666666666666665</v>
      </c>
      <c r="D77" s="844">
        <v>3</v>
      </c>
      <c r="E77" s="844" t="s">
        <v>1207</v>
      </c>
      <c r="F77" s="845">
        <v>44161</v>
      </c>
      <c r="G77" s="845">
        <v>44161</v>
      </c>
      <c r="H77" s="781">
        <f t="shared" si="15"/>
        <v>45256</v>
      </c>
      <c r="I77" s="795">
        <v>25480</v>
      </c>
      <c r="J77" s="783">
        <f t="shared" si="16"/>
        <v>1274</v>
      </c>
      <c r="K77" s="784"/>
      <c r="L77" s="846">
        <v>0</v>
      </c>
      <c r="M77" s="846">
        <v>0</v>
      </c>
      <c r="N77" s="846">
        <v>0</v>
      </c>
      <c r="O77" s="846">
        <v>0</v>
      </c>
      <c r="P77" s="846">
        <v>0</v>
      </c>
      <c r="Q77" s="846">
        <v>0</v>
      </c>
      <c r="R77" s="846">
        <v>0</v>
      </c>
      <c r="S77" s="846">
        <v>0</v>
      </c>
      <c r="T77" s="846">
        <v>0</v>
      </c>
      <c r="U77" s="846">
        <v>0</v>
      </c>
      <c r="V77" s="846">
        <v>0</v>
      </c>
      <c r="W77" s="846">
        <v>0</v>
      </c>
      <c r="X77" s="846">
        <f t="shared" si="24"/>
        <v>0</v>
      </c>
      <c r="Y77" s="783">
        <f t="shared" si="25"/>
        <v>25480</v>
      </c>
      <c r="Z77" s="783">
        <f t="shared" si="26"/>
        <v>126</v>
      </c>
      <c r="AA77" s="783">
        <f t="shared" si="27"/>
        <v>2785</v>
      </c>
      <c r="AB77" s="783">
        <f t="shared" si="28"/>
        <v>2785</v>
      </c>
      <c r="AC77" s="848">
        <f t="shared" si="29"/>
        <v>22695</v>
      </c>
      <c r="AD77" s="789">
        <f t="shared" si="30"/>
        <v>22695</v>
      </c>
      <c r="AE77" s="790">
        <f t="shared" si="31"/>
        <v>25480</v>
      </c>
      <c r="AF77" s="791">
        <f t="shared" si="32"/>
        <v>365</v>
      </c>
      <c r="AG77" s="791">
        <f t="shared" si="33"/>
        <v>8069</v>
      </c>
      <c r="AH77" s="783">
        <f t="shared" si="34"/>
        <v>10854</v>
      </c>
      <c r="AI77" s="783">
        <f t="shared" si="35"/>
        <v>14626</v>
      </c>
      <c r="AJ77" s="790">
        <f t="shared" si="51"/>
        <v>14626</v>
      </c>
      <c r="AK77" s="790">
        <f t="shared" si="36"/>
        <v>25480</v>
      </c>
      <c r="AL77" s="791">
        <f t="shared" si="37"/>
        <v>365</v>
      </c>
      <c r="AM77" s="791">
        <f t="shared" si="38"/>
        <v>8069</v>
      </c>
      <c r="AN77" s="783">
        <f t="shared" si="39"/>
        <v>18923</v>
      </c>
      <c r="AO77" s="783">
        <f t="shared" si="40"/>
        <v>6557</v>
      </c>
      <c r="AP77" s="793">
        <f t="shared" si="41"/>
        <v>6557</v>
      </c>
      <c r="AQ77" s="793">
        <f t="shared" si="42"/>
        <v>25480</v>
      </c>
      <c r="AR77" s="793">
        <f t="shared" si="43"/>
        <v>240</v>
      </c>
      <c r="AS77" s="793">
        <f t="shared" si="44"/>
        <v>5305</v>
      </c>
      <c r="AT77" s="793">
        <f t="shared" si="45"/>
        <v>24228</v>
      </c>
      <c r="AU77" s="793">
        <f t="shared" si="46"/>
        <v>1252</v>
      </c>
    </row>
    <row r="78" spans="1:47" ht="15" customHeight="1" x14ac:dyDescent="0.25">
      <c r="A78" s="842" t="s">
        <v>1187</v>
      </c>
      <c r="B78" s="843" t="s">
        <v>1210</v>
      </c>
      <c r="C78" s="778">
        <f t="shared" ref="C78:C106" si="52">(95/D78)/100</f>
        <v>0.31666666666666665</v>
      </c>
      <c r="D78" s="844">
        <v>3</v>
      </c>
      <c r="E78" s="844" t="s">
        <v>1207</v>
      </c>
      <c r="F78" s="845">
        <v>44188</v>
      </c>
      <c r="G78" s="845">
        <v>44188</v>
      </c>
      <c r="H78" s="781">
        <f t="shared" ref="H78:H120" si="53">G78+(365*D78)</f>
        <v>45283</v>
      </c>
      <c r="I78" s="795">
        <v>19500</v>
      </c>
      <c r="J78" s="783">
        <f t="shared" ref="J78:J119" si="54">I78*5%</f>
        <v>975</v>
      </c>
      <c r="K78" s="784"/>
      <c r="L78" s="846">
        <v>0</v>
      </c>
      <c r="M78" s="846">
        <v>0</v>
      </c>
      <c r="N78" s="846">
        <v>0</v>
      </c>
      <c r="O78" s="846">
        <v>0</v>
      </c>
      <c r="P78" s="846">
        <v>0</v>
      </c>
      <c r="Q78" s="846">
        <v>0</v>
      </c>
      <c r="R78" s="846">
        <v>0</v>
      </c>
      <c r="S78" s="846">
        <v>0</v>
      </c>
      <c r="T78" s="846">
        <v>0</v>
      </c>
      <c r="U78" s="846">
        <v>0</v>
      </c>
      <c r="V78" s="846">
        <v>0</v>
      </c>
      <c r="W78" s="846">
        <v>0</v>
      </c>
      <c r="X78" s="846">
        <f t="shared" ref="X78:X81" si="55">W78</f>
        <v>0</v>
      </c>
      <c r="Y78" s="783">
        <f t="shared" ref="Y78:Y81" si="56">I78</f>
        <v>19500</v>
      </c>
      <c r="Z78" s="783">
        <f t="shared" ref="Z78:Z81" si="57">IF(AND(F78&gt;$R$3,F78&lt;$X$3),$X$3-F78+1,IF(H78&lt;=$R$3,0,IF(H78&gt;$X$3,$X$3-$R$3,H78-$R$3)))</f>
        <v>99</v>
      </c>
      <c r="AA78" s="783">
        <f t="shared" ref="AA78:AA81" si="58">ROUND(Y78*C78*Z78/365,0)</f>
        <v>1675</v>
      </c>
      <c r="AB78" s="783">
        <f t="shared" ref="AB78:AB81" si="59">+V78+AA78</f>
        <v>1675</v>
      </c>
      <c r="AC78" s="848">
        <f t="shared" ref="AC78:AC81" si="60">Y78-AB78</f>
        <v>17825</v>
      </c>
      <c r="AD78" s="789">
        <f t="shared" ref="AD78:AD106" si="61">AC78</f>
        <v>17825</v>
      </c>
      <c r="AE78" s="790">
        <f t="shared" ref="AE78:AE90" si="62">I78</f>
        <v>19500</v>
      </c>
      <c r="AF78" s="791">
        <f t="shared" ref="AF78:AF90" si="63">IF(AND(F78&gt;$X$3,F78&lt;$AD$3),$AD$3-F78+1,IF(H78&lt;=$X$3,0,IF(H78&gt;$AD$3,$AD$3-$X$3,H78-$X$3)))</f>
        <v>365</v>
      </c>
      <c r="AG78" s="791">
        <f t="shared" ref="AG78:AG90" si="64">ROUND(AE78*C78*AF78/365,0)</f>
        <v>6175</v>
      </c>
      <c r="AH78" s="783">
        <f t="shared" ref="AH78:AH90" si="65">+AB78+AG78</f>
        <v>7850</v>
      </c>
      <c r="AI78" s="783">
        <f t="shared" ref="AI78:AI90" si="66">AE78-AH78</f>
        <v>11650</v>
      </c>
      <c r="AJ78" s="790">
        <f t="shared" si="51"/>
        <v>11650</v>
      </c>
      <c r="AK78" s="790">
        <f t="shared" ref="AK78:AK106" si="67">I78</f>
        <v>19500</v>
      </c>
      <c r="AL78" s="791">
        <f t="shared" ref="AL78:AL106" si="68">IF(AND(F78&gt;$AD$3,F78&lt;$AJ$3),$AJ$3-F78+1,IF(H78&lt;=$AD$3,0,IF(H78&gt;$AJ$3,$AJ$3-$AD$3,H78-$AD$3)))</f>
        <v>365</v>
      </c>
      <c r="AM78" s="791">
        <f t="shared" ref="AM78:AM106" si="69">ROUND(AK78*C78*AL78/365,0)</f>
        <v>6175</v>
      </c>
      <c r="AN78" s="783">
        <f t="shared" ref="AN78:AN106" si="70">+AH78+AM78</f>
        <v>14025</v>
      </c>
      <c r="AO78" s="783">
        <f t="shared" ref="AO78:AO106" si="71">AK78-AN78</f>
        <v>5475</v>
      </c>
      <c r="AP78" s="793">
        <f t="shared" ref="AP78:AP120" si="72">+AO78</f>
        <v>5475</v>
      </c>
      <c r="AQ78" s="793">
        <f t="shared" ref="AQ78:AQ120" si="73">I78</f>
        <v>19500</v>
      </c>
      <c r="AR78" s="793">
        <f t="shared" ref="AR78:AR120" si="74">IF(AND(F78&gt;$AJ$3,F78&lt;$AP$3),$AP$3-F78+1,IF(H78&lt;=$AJ$3,0,IF(H78&gt;$AP$3,$AP$3-$AJ$3,H78-$AJ$3)))</f>
        <v>267</v>
      </c>
      <c r="AS78" s="793">
        <f t="shared" ref="AS78:AS120" si="75">ROUND(AQ78*C78*AR78/365,0)</f>
        <v>4517</v>
      </c>
      <c r="AT78" s="793">
        <f t="shared" ref="AT78:AT120" si="76">+AN78+AS78</f>
        <v>18542</v>
      </c>
      <c r="AU78" s="793">
        <f t="shared" ref="AU78:AU120" si="77">+AQ78-AT78</f>
        <v>958</v>
      </c>
    </row>
    <row r="79" spans="1:47" ht="15" customHeight="1" x14ac:dyDescent="0.25">
      <c r="A79" s="842" t="s">
        <v>1187</v>
      </c>
      <c r="B79" s="843" t="s">
        <v>1211</v>
      </c>
      <c r="C79" s="778">
        <f t="shared" si="52"/>
        <v>0.31666666666666665</v>
      </c>
      <c r="D79" s="844">
        <v>3</v>
      </c>
      <c r="E79" s="844" t="s">
        <v>1207</v>
      </c>
      <c r="F79" s="845">
        <v>44219</v>
      </c>
      <c r="G79" s="845">
        <v>44219</v>
      </c>
      <c r="H79" s="781">
        <f t="shared" si="53"/>
        <v>45314</v>
      </c>
      <c r="I79" s="795">
        <v>59000</v>
      </c>
      <c r="J79" s="783">
        <f t="shared" si="54"/>
        <v>2950</v>
      </c>
      <c r="K79" s="784"/>
      <c r="L79" s="846">
        <v>0</v>
      </c>
      <c r="M79" s="846">
        <v>0</v>
      </c>
      <c r="N79" s="846">
        <v>0</v>
      </c>
      <c r="O79" s="846">
        <v>0</v>
      </c>
      <c r="P79" s="846">
        <v>0</v>
      </c>
      <c r="Q79" s="846">
        <v>0</v>
      </c>
      <c r="R79" s="846">
        <v>0</v>
      </c>
      <c r="S79" s="846">
        <v>0</v>
      </c>
      <c r="T79" s="846">
        <v>0</v>
      </c>
      <c r="U79" s="846">
        <v>0</v>
      </c>
      <c r="V79" s="846">
        <v>0</v>
      </c>
      <c r="W79" s="846">
        <v>0</v>
      </c>
      <c r="X79" s="846">
        <f t="shared" si="55"/>
        <v>0</v>
      </c>
      <c r="Y79" s="783">
        <f t="shared" si="56"/>
        <v>59000</v>
      </c>
      <c r="Z79" s="783">
        <f t="shared" si="57"/>
        <v>68</v>
      </c>
      <c r="AA79" s="783">
        <f t="shared" si="58"/>
        <v>3481</v>
      </c>
      <c r="AB79" s="783">
        <f t="shared" si="59"/>
        <v>3481</v>
      </c>
      <c r="AC79" s="848">
        <f t="shared" si="60"/>
        <v>55519</v>
      </c>
      <c r="AD79" s="789">
        <f t="shared" si="61"/>
        <v>55519</v>
      </c>
      <c r="AE79" s="790">
        <f t="shared" si="62"/>
        <v>59000</v>
      </c>
      <c r="AF79" s="791">
        <f t="shared" si="63"/>
        <v>365</v>
      </c>
      <c r="AG79" s="791">
        <f t="shared" si="64"/>
        <v>18683</v>
      </c>
      <c r="AH79" s="783">
        <f t="shared" si="65"/>
        <v>22164</v>
      </c>
      <c r="AI79" s="783">
        <f t="shared" si="66"/>
        <v>36836</v>
      </c>
      <c r="AJ79" s="790">
        <f t="shared" si="51"/>
        <v>36836</v>
      </c>
      <c r="AK79" s="790">
        <f t="shared" si="67"/>
        <v>59000</v>
      </c>
      <c r="AL79" s="791">
        <f t="shared" si="68"/>
        <v>365</v>
      </c>
      <c r="AM79" s="791">
        <f t="shared" si="69"/>
        <v>18683</v>
      </c>
      <c r="AN79" s="783">
        <f t="shared" si="70"/>
        <v>40847</v>
      </c>
      <c r="AO79" s="783">
        <f t="shared" si="71"/>
        <v>18153</v>
      </c>
      <c r="AP79" s="793">
        <f t="shared" si="72"/>
        <v>18153</v>
      </c>
      <c r="AQ79" s="793">
        <f t="shared" si="73"/>
        <v>59000</v>
      </c>
      <c r="AR79" s="793">
        <f t="shared" si="74"/>
        <v>298</v>
      </c>
      <c r="AS79" s="793">
        <f t="shared" si="75"/>
        <v>15254</v>
      </c>
      <c r="AT79" s="793">
        <f t="shared" si="76"/>
        <v>56101</v>
      </c>
      <c r="AU79" s="793">
        <f t="shared" si="77"/>
        <v>2899</v>
      </c>
    </row>
    <row r="80" spans="1:47" ht="15" customHeight="1" x14ac:dyDescent="0.25">
      <c r="A80" s="842" t="s">
        <v>1187</v>
      </c>
      <c r="B80" s="843" t="s">
        <v>1210</v>
      </c>
      <c r="C80" s="778">
        <f t="shared" si="52"/>
        <v>0.31666666666666665</v>
      </c>
      <c r="D80" s="844">
        <v>3</v>
      </c>
      <c r="E80" s="844" t="s">
        <v>1207</v>
      </c>
      <c r="F80" s="845">
        <v>44250</v>
      </c>
      <c r="G80" s="845">
        <v>44250</v>
      </c>
      <c r="H80" s="781">
        <f t="shared" si="53"/>
        <v>45345</v>
      </c>
      <c r="I80" s="795">
        <v>28560</v>
      </c>
      <c r="J80" s="783">
        <f t="shared" si="54"/>
        <v>1428</v>
      </c>
      <c r="K80" s="784"/>
      <c r="L80" s="846">
        <v>0</v>
      </c>
      <c r="M80" s="846">
        <v>0</v>
      </c>
      <c r="N80" s="846">
        <v>0</v>
      </c>
      <c r="O80" s="846">
        <v>0</v>
      </c>
      <c r="P80" s="846">
        <v>0</v>
      </c>
      <c r="Q80" s="846">
        <v>0</v>
      </c>
      <c r="R80" s="846">
        <v>0</v>
      </c>
      <c r="S80" s="846">
        <v>0</v>
      </c>
      <c r="T80" s="846">
        <v>0</v>
      </c>
      <c r="U80" s="846">
        <v>0</v>
      </c>
      <c r="V80" s="846">
        <v>0</v>
      </c>
      <c r="W80" s="846">
        <v>0</v>
      </c>
      <c r="X80" s="846">
        <f t="shared" si="55"/>
        <v>0</v>
      </c>
      <c r="Y80" s="783">
        <f t="shared" si="56"/>
        <v>28560</v>
      </c>
      <c r="Z80" s="783">
        <f t="shared" si="57"/>
        <v>37</v>
      </c>
      <c r="AA80" s="783">
        <f t="shared" si="58"/>
        <v>917</v>
      </c>
      <c r="AB80" s="783">
        <f t="shared" si="59"/>
        <v>917</v>
      </c>
      <c r="AC80" s="848">
        <f t="shared" si="60"/>
        <v>27643</v>
      </c>
      <c r="AD80" s="789">
        <f t="shared" si="61"/>
        <v>27643</v>
      </c>
      <c r="AE80" s="790">
        <f t="shared" si="62"/>
        <v>28560</v>
      </c>
      <c r="AF80" s="791">
        <f t="shared" si="63"/>
        <v>365</v>
      </c>
      <c r="AG80" s="791">
        <f t="shared" si="64"/>
        <v>9044</v>
      </c>
      <c r="AH80" s="783">
        <f t="shared" si="65"/>
        <v>9961</v>
      </c>
      <c r="AI80" s="783">
        <f t="shared" si="66"/>
        <v>18599</v>
      </c>
      <c r="AJ80" s="790">
        <f t="shared" ref="AJ80:AJ106" si="78">AI80</f>
        <v>18599</v>
      </c>
      <c r="AK80" s="790">
        <f t="shared" si="67"/>
        <v>28560</v>
      </c>
      <c r="AL80" s="791">
        <f t="shared" si="68"/>
        <v>365</v>
      </c>
      <c r="AM80" s="791">
        <f t="shared" si="69"/>
        <v>9044</v>
      </c>
      <c r="AN80" s="783">
        <f t="shared" si="70"/>
        <v>19005</v>
      </c>
      <c r="AO80" s="783">
        <f t="shared" si="71"/>
        <v>9555</v>
      </c>
      <c r="AP80" s="793">
        <f t="shared" si="72"/>
        <v>9555</v>
      </c>
      <c r="AQ80" s="793">
        <f t="shared" si="73"/>
        <v>28560</v>
      </c>
      <c r="AR80" s="793">
        <f t="shared" si="74"/>
        <v>329</v>
      </c>
      <c r="AS80" s="793">
        <f t="shared" si="75"/>
        <v>8152</v>
      </c>
      <c r="AT80" s="793">
        <f t="shared" si="76"/>
        <v>27157</v>
      </c>
      <c r="AU80" s="793">
        <f t="shared" si="77"/>
        <v>1403</v>
      </c>
    </row>
    <row r="81" spans="1:47" ht="15" customHeight="1" x14ac:dyDescent="0.25">
      <c r="A81" s="842" t="s">
        <v>1187</v>
      </c>
      <c r="B81" s="843" t="s">
        <v>1210</v>
      </c>
      <c r="C81" s="778">
        <f t="shared" si="52"/>
        <v>0.31666666666666665</v>
      </c>
      <c r="D81" s="844">
        <v>3</v>
      </c>
      <c r="E81" s="844" t="s">
        <v>1207</v>
      </c>
      <c r="F81" s="845">
        <v>44258</v>
      </c>
      <c r="G81" s="845">
        <v>44258</v>
      </c>
      <c r="H81" s="781">
        <f t="shared" si="53"/>
        <v>45353</v>
      </c>
      <c r="I81" s="795">
        <v>28560</v>
      </c>
      <c r="J81" s="783">
        <f t="shared" si="54"/>
        <v>1428</v>
      </c>
      <c r="K81" s="784"/>
      <c r="L81" s="846">
        <v>0</v>
      </c>
      <c r="M81" s="846">
        <v>0</v>
      </c>
      <c r="N81" s="846">
        <v>0</v>
      </c>
      <c r="O81" s="846">
        <v>0</v>
      </c>
      <c r="P81" s="846">
        <v>0</v>
      </c>
      <c r="Q81" s="846">
        <v>0</v>
      </c>
      <c r="R81" s="846">
        <v>0</v>
      </c>
      <c r="S81" s="846">
        <v>0</v>
      </c>
      <c r="T81" s="846">
        <v>0</v>
      </c>
      <c r="U81" s="846">
        <v>0</v>
      </c>
      <c r="V81" s="846">
        <v>0</v>
      </c>
      <c r="W81" s="846">
        <v>0</v>
      </c>
      <c r="X81" s="846">
        <f t="shared" si="55"/>
        <v>0</v>
      </c>
      <c r="Y81" s="783">
        <f t="shared" si="56"/>
        <v>28560</v>
      </c>
      <c r="Z81" s="783">
        <f t="shared" si="57"/>
        <v>29</v>
      </c>
      <c r="AA81" s="783">
        <f t="shared" si="58"/>
        <v>719</v>
      </c>
      <c r="AB81" s="783">
        <f t="shared" si="59"/>
        <v>719</v>
      </c>
      <c r="AC81" s="848">
        <f t="shared" si="60"/>
        <v>27841</v>
      </c>
      <c r="AD81" s="789">
        <f t="shared" si="61"/>
        <v>27841</v>
      </c>
      <c r="AE81" s="790">
        <f t="shared" si="62"/>
        <v>28560</v>
      </c>
      <c r="AF81" s="791">
        <f t="shared" si="63"/>
        <v>365</v>
      </c>
      <c r="AG81" s="791">
        <f t="shared" si="64"/>
        <v>9044</v>
      </c>
      <c r="AH81" s="783">
        <f t="shared" si="65"/>
        <v>9763</v>
      </c>
      <c r="AI81" s="783">
        <f t="shared" si="66"/>
        <v>18797</v>
      </c>
      <c r="AJ81" s="790">
        <f t="shared" si="78"/>
        <v>18797</v>
      </c>
      <c r="AK81" s="790">
        <f t="shared" si="67"/>
        <v>28560</v>
      </c>
      <c r="AL81" s="791">
        <f t="shared" si="68"/>
        <v>365</v>
      </c>
      <c r="AM81" s="791">
        <f t="shared" si="69"/>
        <v>9044</v>
      </c>
      <c r="AN81" s="783">
        <f t="shared" si="70"/>
        <v>18807</v>
      </c>
      <c r="AO81" s="783">
        <f t="shared" si="71"/>
        <v>9753</v>
      </c>
      <c r="AP81" s="793">
        <f t="shared" si="72"/>
        <v>9753</v>
      </c>
      <c r="AQ81" s="793">
        <f t="shared" si="73"/>
        <v>28560</v>
      </c>
      <c r="AR81" s="793">
        <f t="shared" si="74"/>
        <v>337</v>
      </c>
      <c r="AS81" s="793">
        <f t="shared" si="75"/>
        <v>8350</v>
      </c>
      <c r="AT81" s="793">
        <f t="shared" si="76"/>
        <v>27157</v>
      </c>
      <c r="AU81" s="793">
        <f t="shared" si="77"/>
        <v>1403</v>
      </c>
    </row>
    <row r="82" spans="1:47" ht="15" customHeight="1" x14ac:dyDescent="0.25">
      <c r="A82" s="842" t="s">
        <v>1187</v>
      </c>
      <c r="B82" s="843" t="s">
        <v>1212</v>
      </c>
      <c r="C82" s="778">
        <f t="shared" si="52"/>
        <v>0.31666666666666665</v>
      </c>
      <c r="D82" s="844">
        <v>3</v>
      </c>
      <c r="E82" s="844" t="s">
        <v>723</v>
      </c>
      <c r="F82" s="845">
        <v>44361</v>
      </c>
      <c r="G82" s="845">
        <v>44361</v>
      </c>
      <c r="H82" s="781">
        <f t="shared" si="53"/>
        <v>45456</v>
      </c>
      <c r="I82" s="795">
        <f>18660+5720.34</f>
        <v>24380.34</v>
      </c>
      <c r="J82" s="783">
        <f t="shared" si="54"/>
        <v>1219.0170000000001</v>
      </c>
      <c r="K82" s="784"/>
      <c r="L82" s="846">
        <v>0</v>
      </c>
      <c r="M82" s="846">
        <v>0</v>
      </c>
      <c r="N82" s="846">
        <v>0</v>
      </c>
      <c r="O82" s="846">
        <v>0</v>
      </c>
      <c r="P82" s="846">
        <v>0</v>
      </c>
      <c r="Q82" s="846">
        <v>0</v>
      </c>
      <c r="R82" s="846">
        <v>0</v>
      </c>
      <c r="S82" s="846">
        <v>0</v>
      </c>
      <c r="T82" s="846">
        <v>0</v>
      </c>
      <c r="U82" s="846">
        <v>0</v>
      </c>
      <c r="V82" s="846">
        <v>0</v>
      </c>
      <c r="W82" s="846">
        <v>0</v>
      </c>
      <c r="X82" s="846">
        <v>0</v>
      </c>
      <c r="Y82" s="846">
        <v>0</v>
      </c>
      <c r="Z82" s="846">
        <v>0</v>
      </c>
      <c r="AA82" s="846">
        <v>0</v>
      </c>
      <c r="AB82" s="846">
        <v>0</v>
      </c>
      <c r="AC82" s="846">
        <v>0</v>
      </c>
      <c r="AD82" s="789">
        <f t="shared" si="61"/>
        <v>0</v>
      </c>
      <c r="AE82" s="790">
        <f t="shared" si="62"/>
        <v>24380.34</v>
      </c>
      <c r="AF82" s="791">
        <f t="shared" si="63"/>
        <v>291</v>
      </c>
      <c r="AG82" s="791">
        <f t="shared" si="64"/>
        <v>6155</v>
      </c>
      <c r="AH82" s="783">
        <f t="shared" si="65"/>
        <v>6155</v>
      </c>
      <c r="AI82" s="783">
        <f t="shared" si="66"/>
        <v>18225.34</v>
      </c>
      <c r="AJ82" s="790">
        <f t="shared" si="78"/>
        <v>18225.34</v>
      </c>
      <c r="AK82" s="790">
        <f t="shared" si="67"/>
        <v>24380.34</v>
      </c>
      <c r="AL82" s="791">
        <f t="shared" si="68"/>
        <v>365</v>
      </c>
      <c r="AM82" s="791">
        <f t="shared" si="69"/>
        <v>7720</v>
      </c>
      <c r="AN82" s="783">
        <f t="shared" si="70"/>
        <v>13875</v>
      </c>
      <c r="AO82" s="783">
        <f t="shared" si="71"/>
        <v>10505.34</v>
      </c>
      <c r="AP82" s="793">
        <f t="shared" si="72"/>
        <v>10505.34</v>
      </c>
      <c r="AQ82" s="793">
        <f t="shared" si="73"/>
        <v>24380.34</v>
      </c>
      <c r="AR82" s="793">
        <f t="shared" si="74"/>
        <v>366</v>
      </c>
      <c r="AS82" s="793">
        <f t="shared" si="75"/>
        <v>7742</v>
      </c>
      <c r="AT82" s="793">
        <f t="shared" si="76"/>
        <v>21617</v>
      </c>
      <c r="AU82" s="793">
        <f t="shared" si="77"/>
        <v>2763.34</v>
      </c>
    </row>
    <row r="83" spans="1:47" ht="15" customHeight="1" x14ac:dyDescent="0.25">
      <c r="A83" s="842" t="s">
        <v>1187</v>
      </c>
      <c r="B83" s="843" t="s">
        <v>1213</v>
      </c>
      <c r="C83" s="778">
        <f t="shared" si="52"/>
        <v>0.31666666666666665</v>
      </c>
      <c r="D83" s="844">
        <v>3</v>
      </c>
      <c r="E83" s="844" t="s">
        <v>723</v>
      </c>
      <c r="F83" s="845">
        <v>44298</v>
      </c>
      <c r="G83" s="845">
        <v>44298</v>
      </c>
      <c r="H83" s="781">
        <f t="shared" si="53"/>
        <v>45393</v>
      </c>
      <c r="I83" s="795">
        <f>9745.76</f>
        <v>9745.76</v>
      </c>
      <c r="J83" s="783">
        <f t="shared" si="54"/>
        <v>487.28800000000001</v>
      </c>
      <c r="K83" s="784"/>
      <c r="L83" s="846">
        <v>0</v>
      </c>
      <c r="M83" s="846">
        <v>0</v>
      </c>
      <c r="N83" s="846">
        <v>0</v>
      </c>
      <c r="O83" s="846">
        <v>0</v>
      </c>
      <c r="P83" s="846">
        <v>0</v>
      </c>
      <c r="Q83" s="846">
        <v>0</v>
      </c>
      <c r="R83" s="846">
        <v>0</v>
      </c>
      <c r="S83" s="846">
        <v>0</v>
      </c>
      <c r="T83" s="846">
        <v>0</v>
      </c>
      <c r="U83" s="846">
        <v>0</v>
      </c>
      <c r="V83" s="846">
        <v>0</v>
      </c>
      <c r="W83" s="846">
        <v>0</v>
      </c>
      <c r="X83" s="846">
        <v>0</v>
      </c>
      <c r="Y83" s="846">
        <v>0</v>
      </c>
      <c r="Z83" s="846">
        <v>0</v>
      </c>
      <c r="AA83" s="846">
        <v>0</v>
      </c>
      <c r="AB83" s="846">
        <v>0</v>
      </c>
      <c r="AC83" s="846">
        <v>0</v>
      </c>
      <c r="AD83" s="789">
        <f t="shared" si="61"/>
        <v>0</v>
      </c>
      <c r="AE83" s="790">
        <f t="shared" si="62"/>
        <v>9745.76</v>
      </c>
      <c r="AF83" s="791">
        <f t="shared" si="63"/>
        <v>354</v>
      </c>
      <c r="AG83" s="791">
        <f t="shared" si="64"/>
        <v>2993</v>
      </c>
      <c r="AH83" s="783">
        <f t="shared" si="65"/>
        <v>2993</v>
      </c>
      <c r="AI83" s="783">
        <f t="shared" si="66"/>
        <v>6752.76</v>
      </c>
      <c r="AJ83" s="790">
        <f t="shared" si="78"/>
        <v>6752.76</v>
      </c>
      <c r="AK83" s="790">
        <f t="shared" si="67"/>
        <v>9745.76</v>
      </c>
      <c r="AL83" s="791">
        <f t="shared" si="68"/>
        <v>365</v>
      </c>
      <c r="AM83" s="791">
        <f t="shared" si="69"/>
        <v>3086</v>
      </c>
      <c r="AN83" s="783">
        <f t="shared" si="70"/>
        <v>6079</v>
      </c>
      <c r="AO83" s="783">
        <f t="shared" si="71"/>
        <v>3666.76</v>
      </c>
      <c r="AP83" s="793">
        <f t="shared" si="72"/>
        <v>3666.76</v>
      </c>
      <c r="AQ83" s="793">
        <f t="shared" si="73"/>
        <v>9745.76</v>
      </c>
      <c r="AR83" s="793">
        <f t="shared" si="74"/>
        <v>366</v>
      </c>
      <c r="AS83" s="793">
        <f t="shared" si="75"/>
        <v>3095</v>
      </c>
      <c r="AT83" s="793">
        <f t="shared" si="76"/>
        <v>9174</v>
      </c>
      <c r="AU83" s="793">
        <f t="shared" si="77"/>
        <v>571.76000000000022</v>
      </c>
    </row>
    <row r="84" spans="1:47" ht="15" customHeight="1" x14ac:dyDescent="0.25">
      <c r="A84" s="842" t="s">
        <v>1187</v>
      </c>
      <c r="B84" s="843" t="s">
        <v>1213</v>
      </c>
      <c r="C84" s="778">
        <f t="shared" si="52"/>
        <v>0.31666666666666665</v>
      </c>
      <c r="D84" s="844">
        <v>3</v>
      </c>
      <c r="E84" s="844" t="s">
        <v>723</v>
      </c>
      <c r="F84" s="845">
        <v>44364</v>
      </c>
      <c r="G84" s="845">
        <v>44364</v>
      </c>
      <c r="H84" s="781">
        <f t="shared" si="53"/>
        <v>45459</v>
      </c>
      <c r="I84" s="795">
        <v>8898</v>
      </c>
      <c r="J84" s="783">
        <f t="shared" si="54"/>
        <v>444.90000000000003</v>
      </c>
      <c r="K84" s="784"/>
      <c r="L84" s="846">
        <v>0</v>
      </c>
      <c r="M84" s="846">
        <v>0</v>
      </c>
      <c r="N84" s="846">
        <v>0</v>
      </c>
      <c r="O84" s="846">
        <v>0</v>
      </c>
      <c r="P84" s="846">
        <v>0</v>
      </c>
      <c r="Q84" s="846">
        <v>0</v>
      </c>
      <c r="R84" s="846">
        <v>0</v>
      </c>
      <c r="S84" s="846">
        <v>0</v>
      </c>
      <c r="T84" s="846">
        <v>0</v>
      </c>
      <c r="U84" s="846">
        <v>0</v>
      </c>
      <c r="V84" s="846">
        <v>0</v>
      </c>
      <c r="W84" s="846">
        <v>0</v>
      </c>
      <c r="X84" s="846">
        <v>0</v>
      </c>
      <c r="Y84" s="846">
        <v>0</v>
      </c>
      <c r="Z84" s="846">
        <v>0</v>
      </c>
      <c r="AA84" s="846">
        <v>0</v>
      </c>
      <c r="AB84" s="846">
        <v>0</v>
      </c>
      <c r="AC84" s="846">
        <v>0</v>
      </c>
      <c r="AD84" s="789">
        <f t="shared" si="61"/>
        <v>0</v>
      </c>
      <c r="AE84" s="790">
        <f t="shared" si="62"/>
        <v>8898</v>
      </c>
      <c r="AF84" s="791">
        <f t="shared" si="63"/>
        <v>288</v>
      </c>
      <c r="AG84" s="791">
        <f t="shared" si="64"/>
        <v>2223</v>
      </c>
      <c r="AH84" s="783">
        <f t="shared" si="65"/>
        <v>2223</v>
      </c>
      <c r="AI84" s="783">
        <f t="shared" si="66"/>
        <v>6675</v>
      </c>
      <c r="AJ84" s="790">
        <f t="shared" si="78"/>
        <v>6675</v>
      </c>
      <c r="AK84" s="790">
        <f t="shared" si="67"/>
        <v>8898</v>
      </c>
      <c r="AL84" s="791">
        <f t="shared" si="68"/>
        <v>365</v>
      </c>
      <c r="AM84" s="791">
        <f t="shared" si="69"/>
        <v>2818</v>
      </c>
      <c r="AN84" s="783">
        <f t="shared" si="70"/>
        <v>5041</v>
      </c>
      <c r="AO84" s="783">
        <f t="shared" si="71"/>
        <v>3857</v>
      </c>
      <c r="AP84" s="793">
        <f t="shared" si="72"/>
        <v>3857</v>
      </c>
      <c r="AQ84" s="793">
        <f t="shared" si="73"/>
        <v>8898</v>
      </c>
      <c r="AR84" s="793">
        <f t="shared" si="74"/>
        <v>366</v>
      </c>
      <c r="AS84" s="793">
        <f t="shared" si="75"/>
        <v>2825</v>
      </c>
      <c r="AT84" s="793">
        <f t="shared" si="76"/>
        <v>7866</v>
      </c>
      <c r="AU84" s="793">
        <f t="shared" si="77"/>
        <v>1032</v>
      </c>
    </row>
    <row r="85" spans="1:47" ht="15" customHeight="1" x14ac:dyDescent="0.25">
      <c r="A85" s="842" t="s">
        <v>1187</v>
      </c>
      <c r="B85" s="843" t="s">
        <v>1214</v>
      </c>
      <c r="C85" s="778">
        <f t="shared" si="52"/>
        <v>0.31666666666666665</v>
      </c>
      <c r="D85" s="844">
        <v>3</v>
      </c>
      <c r="E85" s="844" t="s">
        <v>723</v>
      </c>
      <c r="F85" s="845">
        <v>44413</v>
      </c>
      <c r="G85" s="845">
        <v>44413</v>
      </c>
      <c r="H85" s="781">
        <f t="shared" si="53"/>
        <v>45508</v>
      </c>
      <c r="I85" s="795">
        <f>28560+1300</f>
        <v>29860</v>
      </c>
      <c r="J85" s="783">
        <f t="shared" si="54"/>
        <v>1493</v>
      </c>
      <c r="K85" s="784"/>
      <c r="L85" s="846">
        <v>0</v>
      </c>
      <c r="M85" s="846">
        <v>0</v>
      </c>
      <c r="N85" s="846">
        <v>0</v>
      </c>
      <c r="O85" s="846">
        <v>0</v>
      </c>
      <c r="P85" s="846">
        <v>0</v>
      </c>
      <c r="Q85" s="846">
        <v>0</v>
      </c>
      <c r="R85" s="846">
        <v>0</v>
      </c>
      <c r="S85" s="846">
        <v>0</v>
      </c>
      <c r="T85" s="846">
        <v>0</v>
      </c>
      <c r="U85" s="846">
        <v>0</v>
      </c>
      <c r="V85" s="846">
        <v>0</v>
      </c>
      <c r="W85" s="846">
        <v>0</v>
      </c>
      <c r="X85" s="846">
        <v>0</v>
      </c>
      <c r="Y85" s="846">
        <v>0</v>
      </c>
      <c r="Z85" s="846">
        <v>0</v>
      </c>
      <c r="AA85" s="846">
        <v>0</v>
      </c>
      <c r="AB85" s="846">
        <v>0</v>
      </c>
      <c r="AC85" s="846">
        <v>0</v>
      </c>
      <c r="AD85" s="789">
        <f t="shared" si="61"/>
        <v>0</v>
      </c>
      <c r="AE85" s="790">
        <f t="shared" si="62"/>
        <v>29860</v>
      </c>
      <c r="AF85" s="791">
        <f t="shared" si="63"/>
        <v>239</v>
      </c>
      <c r="AG85" s="791">
        <f t="shared" si="64"/>
        <v>6192</v>
      </c>
      <c r="AH85" s="783">
        <f t="shared" si="65"/>
        <v>6192</v>
      </c>
      <c r="AI85" s="783">
        <f t="shared" si="66"/>
        <v>23668</v>
      </c>
      <c r="AJ85" s="790">
        <f t="shared" si="78"/>
        <v>23668</v>
      </c>
      <c r="AK85" s="790">
        <f t="shared" si="67"/>
        <v>29860</v>
      </c>
      <c r="AL85" s="791">
        <f t="shared" si="68"/>
        <v>365</v>
      </c>
      <c r="AM85" s="791">
        <f t="shared" si="69"/>
        <v>9456</v>
      </c>
      <c r="AN85" s="783">
        <f t="shared" si="70"/>
        <v>15648</v>
      </c>
      <c r="AO85" s="783">
        <f t="shared" si="71"/>
        <v>14212</v>
      </c>
      <c r="AP85" s="793">
        <f t="shared" si="72"/>
        <v>14212</v>
      </c>
      <c r="AQ85" s="793">
        <f t="shared" si="73"/>
        <v>29860</v>
      </c>
      <c r="AR85" s="793">
        <f t="shared" si="74"/>
        <v>366</v>
      </c>
      <c r="AS85" s="793">
        <f t="shared" si="75"/>
        <v>9482</v>
      </c>
      <c r="AT85" s="793">
        <f t="shared" si="76"/>
        <v>25130</v>
      </c>
      <c r="AU85" s="793">
        <f t="shared" si="77"/>
        <v>4730</v>
      </c>
    </row>
    <row r="86" spans="1:47" ht="15" customHeight="1" x14ac:dyDescent="0.25">
      <c r="A86" s="842" t="s">
        <v>1187</v>
      </c>
      <c r="B86" s="843" t="s">
        <v>1214</v>
      </c>
      <c r="C86" s="778">
        <f t="shared" si="52"/>
        <v>0.31666666666666665</v>
      </c>
      <c r="D86" s="844">
        <v>3</v>
      </c>
      <c r="E86" s="844" t="s">
        <v>723</v>
      </c>
      <c r="F86" s="845">
        <v>44456</v>
      </c>
      <c r="G86" s="845">
        <v>44456</v>
      </c>
      <c r="H86" s="781">
        <f t="shared" si="53"/>
        <v>45551</v>
      </c>
      <c r="I86" s="795">
        <f>28560+38228.82</f>
        <v>66788.820000000007</v>
      </c>
      <c r="J86" s="783">
        <f t="shared" si="54"/>
        <v>3339.4410000000007</v>
      </c>
      <c r="K86" s="784"/>
      <c r="L86" s="846">
        <v>0</v>
      </c>
      <c r="M86" s="846">
        <v>0</v>
      </c>
      <c r="N86" s="846">
        <v>0</v>
      </c>
      <c r="O86" s="846">
        <v>0</v>
      </c>
      <c r="P86" s="846">
        <v>0</v>
      </c>
      <c r="Q86" s="846">
        <v>0</v>
      </c>
      <c r="R86" s="846">
        <v>0</v>
      </c>
      <c r="S86" s="846">
        <v>0</v>
      </c>
      <c r="T86" s="846">
        <v>0</v>
      </c>
      <c r="U86" s="846">
        <v>0</v>
      </c>
      <c r="V86" s="846">
        <v>0</v>
      </c>
      <c r="W86" s="846">
        <v>0</v>
      </c>
      <c r="X86" s="846">
        <v>0</v>
      </c>
      <c r="Y86" s="846">
        <v>0</v>
      </c>
      <c r="Z86" s="846">
        <v>0</v>
      </c>
      <c r="AA86" s="846">
        <v>0</v>
      </c>
      <c r="AB86" s="846">
        <v>0</v>
      </c>
      <c r="AC86" s="846">
        <v>0</v>
      </c>
      <c r="AD86" s="789">
        <f t="shared" si="61"/>
        <v>0</v>
      </c>
      <c r="AE86" s="790">
        <f t="shared" si="62"/>
        <v>66788.820000000007</v>
      </c>
      <c r="AF86" s="791">
        <f t="shared" si="63"/>
        <v>196</v>
      </c>
      <c r="AG86" s="791">
        <f t="shared" si="64"/>
        <v>11357</v>
      </c>
      <c r="AH86" s="783">
        <f t="shared" si="65"/>
        <v>11357</v>
      </c>
      <c r="AI86" s="783">
        <f t="shared" si="66"/>
        <v>55431.820000000007</v>
      </c>
      <c r="AJ86" s="790">
        <f t="shared" si="78"/>
        <v>55431.820000000007</v>
      </c>
      <c r="AK86" s="790">
        <f t="shared" si="67"/>
        <v>66788.820000000007</v>
      </c>
      <c r="AL86" s="791">
        <f t="shared" si="68"/>
        <v>365</v>
      </c>
      <c r="AM86" s="791">
        <f t="shared" si="69"/>
        <v>21150</v>
      </c>
      <c r="AN86" s="783">
        <f t="shared" si="70"/>
        <v>32507</v>
      </c>
      <c r="AO86" s="783">
        <f t="shared" si="71"/>
        <v>34281.820000000007</v>
      </c>
      <c r="AP86" s="793">
        <f t="shared" si="72"/>
        <v>34281.820000000007</v>
      </c>
      <c r="AQ86" s="793">
        <f t="shared" si="73"/>
        <v>66788.820000000007</v>
      </c>
      <c r="AR86" s="793">
        <f t="shared" si="74"/>
        <v>366</v>
      </c>
      <c r="AS86" s="793">
        <f t="shared" si="75"/>
        <v>21208</v>
      </c>
      <c r="AT86" s="793">
        <f t="shared" si="76"/>
        <v>53715</v>
      </c>
      <c r="AU86" s="793">
        <f t="shared" si="77"/>
        <v>13073.820000000007</v>
      </c>
    </row>
    <row r="87" spans="1:47" ht="15" customHeight="1" x14ac:dyDescent="0.25">
      <c r="A87" s="842" t="s">
        <v>1187</v>
      </c>
      <c r="B87" s="843" t="s">
        <v>1215</v>
      </c>
      <c r="C87" s="778">
        <f t="shared" si="52"/>
        <v>0.31666666666666665</v>
      </c>
      <c r="D87" s="844">
        <v>3</v>
      </c>
      <c r="E87" s="844" t="s">
        <v>723</v>
      </c>
      <c r="F87" s="845">
        <v>44492</v>
      </c>
      <c r="G87" s="845">
        <v>44492</v>
      </c>
      <c r="H87" s="781">
        <f t="shared" si="53"/>
        <v>45587</v>
      </c>
      <c r="I87" s="795">
        <f>82500+678500+19100-500</f>
        <v>779600</v>
      </c>
      <c r="J87" s="783">
        <f t="shared" si="54"/>
        <v>38980</v>
      </c>
      <c r="K87" s="784"/>
      <c r="L87" s="846">
        <v>0</v>
      </c>
      <c r="M87" s="846">
        <v>0</v>
      </c>
      <c r="N87" s="846">
        <v>0</v>
      </c>
      <c r="O87" s="846">
        <v>0</v>
      </c>
      <c r="P87" s="846">
        <v>0</v>
      </c>
      <c r="Q87" s="846">
        <v>0</v>
      </c>
      <c r="R87" s="846">
        <v>0</v>
      </c>
      <c r="S87" s="846">
        <v>0</v>
      </c>
      <c r="T87" s="846">
        <v>0</v>
      </c>
      <c r="U87" s="846">
        <v>0</v>
      </c>
      <c r="V87" s="846">
        <v>0</v>
      </c>
      <c r="W87" s="846">
        <v>0</v>
      </c>
      <c r="X87" s="846">
        <v>0</v>
      </c>
      <c r="Y87" s="846">
        <v>0</v>
      </c>
      <c r="Z87" s="846">
        <v>0</v>
      </c>
      <c r="AA87" s="846">
        <v>0</v>
      </c>
      <c r="AB87" s="846">
        <v>0</v>
      </c>
      <c r="AC87" s="846">
        <v>0</v>
      </c>
      <c r="AD87" s="789">
        <f t="shared" si="61"/>
        <v>0</v>
      </c>
      <c r="AE87" s="790">
        <f t="shared" si="62"/>
        <v>779600</v>
      </c>
      <c r="AF87" s="791">
        <f t="shared" si="63"/>
        <v>160</v>
      </c>
      <c r="AG87" s="791">
        <f t="shared" si="64"/>
        <v>108218</v>
      </c>
      <c r="AH87" s="783">
        <f t="shared" si="65"/>
        <v>108218</v>
      </c>
      <c r="AI87" s="783">
        <f t="shared" si="66"/>
        <v>671382</v>
      </c>
      <c r="AJ87" s="790">
        <f t="shared" si="78"/>
        <v>671382</v>
      </c>
      <c r="AK87" s="790">
        <f t="shared" si="67"/>
        <v>779600</v>
      </c>
      <c r="AL87" s="791">
        <f t="shared" si="68"/>
        <v>365</v>
      </c>
      <c r="AM87" s="791">
        <f t="shared" si="69"/>
        <v>246873</v>
      </c>
      <c r="AN87" s="783">
        <f t="shared" si="70"/>
        <v>355091</v>
      </c>
      <c r="AO87" s="783">
        <f t="shared" si="71"/>
        <v>424509</v>
      </c>
      <c r="AP87" s="793">
        <f t="shared" si="72"/>
        <v>424509</v>
      </c>
      <c r="AQ87" s="793">
        <f t="shared" si="73"/>
        <v>779600</v>
      </c>
      <c r="AR87" s="793">
        <f t="shared" si="74"/>
        <v>366</v>
      </c>
      <c r="AS87" s="793">
        <f t="shared" si="75"/>
        <v>247550</v>
      </c>
      <c r="AT87" s="793">
        <f t="shared" si="76"/>
        <v>602641</v>
      </c>
      <c r="AU87" s="793">
        <f t="shared" si="77"/>
        <v>176959</v>
      </c>
    </row>
    <row r="88" spans="1:47" ht="15" customHeight="1" x14ac:dyDescent="0.25">
      <c r="A88" s="842" t="s">
        <v>1187</v>
      </c>
      <c r="B88" s="843" t="s">
        <v>1216</v>
      </c>
      <c r="C88" s="778">
        <f t="shared" si="52"/>
        <v>0.31666666666666665</v>
      </c>
      <c r="D88" s="844">
        <v>3</v>
      </c>
      <c r="E88" s="844" t="s">
        <v>723</v>
      </c>
      <c r="F88" s="845">
        <v>44501</v>
      </c>
      <c r="G88" s="845">
        <v>44501</v>
      </c>
      <c r="H88" s="781">
        <f t="shared" si="53"/>
        <v>45596</v>
      </c>
      <c r="I88" s="795">
        <f>82500+2700</f>
        <v>85200</v>
      </c>
      <c r="J88" s="783">
        <f t="shared" si="54"/>
        <v>4260</v>
      </c>
      <c r="K88" s="784"/>
      <c r="L88" s="846">
        <v>0</v>
      </c>
      <c r="M88" s="846">
        <v>0</v>
      </c>
      <c r="N88" s="846">
        <v>0</v>
      </c>
      <c r="O88" s="846">
        <v>0</v>
      </c>
      <c r="P88" s="846">
        <v>0</v>
      </c>
      <c r="Q88" s="846">
        <v>0</v>
      </c>
      <c r="R88" s="846">
        <v>0</v>
      </c>
      <c r="S88" s="846">
        <v>0</v>
      </c>
      <c r="T88" s="846">
        <v>0</v>
      </c>
      <c r="U88" s="846">
        <v>0</v>
      </c>
      <c r="V88" s="846">
        <v>0</v>
      </c>
      <c r="W88" s="846">
        <v>0</v>
      </c>
      <c r="X88" s="846">
        <v>0</v>
      </c>
      <c r="Y88" s="846">
        <v>0</v>
      </c>
      <c r="Z88" s="846">
        <v>0</v>
      </c>
      <c r="AA88" s="846">
        <v>0</v>
      </c>
      <c r="AB88" s="846">
        <v>0</v>
      </c>
      <c r="AC88" s="846">
        <v>0</v>
      </c>
      <c r="AD88" s="789">
        <f t="shared" si="61"/>
        <v>0</v>
      </c>
      <c r="AE88" s="790">
        <f t="shared" si="62"/>
        <v>85200</v>
      </c>
      <c r="AF88" s="791">
        <f t="shared" si="63"/>
        <v>151</v>
      </c>
      <c r="AG88" s="791">
        <f t="shared" si="64"/>
        <v>11162</v>
      </c>
      <c r="AH88" s="783">
        <f t="shared" si="65"/>
        <v>11162</v>
      </c>
      <c r="AI88" s="783">
        <f t="shared" si="66"/>
        <v>74038</v>
      </c>
      <c r="AJ88" s="790">
        <f t="shared" si="78"/>
        <v>74038</v>
      </c>
      <c r="AK88" s="790">
        <f t="shared" si="67"/>
        <v>85200</v>
      </c>
      <c r="AL88" s="791">
        <f t="shared" si="68"/>
        <v>365</v>
      </c>
      <c r="AM88" s="791">
        <f t="shared" si="69"/>
        <v>26980</v>
      </c>
      <c r="AN88" s="783">
        <f t="shared" si="70"/>
        <v>38142</v>
      </c>
      <c r="AO88" s="783">
        <f t="shared" si="71"/>
        <v>47058</v>
      </c>
      <c r="AP88" s="793">
        <f t="shared" si="72"/>
        <v>47058</v>
      </c>
      <c r="AQ88" s="793">
        <f t="shared" si="73"/>
        <v>85200</v>
      </c>
      <c r="AR88" s="793">
        <f t="shared" si="74"/>
        <v>366</v>
      </c>
      <c r="AS88" s="793">
        <f t="shared" si="75"/>
        <v>27054</v>
      </c>
      <c r="AT88" s="793">
        <f t="shared" si="76"/>
        <v>65196</v>
      </c>
      <c r="AU88" s="793">
        <f t="shared" si="77"/>
        <v>20004</v>
      </c>
    </row>
    <row r="89" spans="1:47" ht="15" customHeight="1" x14ac:dyDescent="0.25">
      <c r="A89" s="842" t="s">
        <v>1187</v>
      </c>
      <c r="B89" s="843" t="s">
        <v>1216</v>
      </c>
      <c r="C89" s="778">
        <f t="shared" si="52"/>
        <v>0.31666666666666665</v>
      </c>
      <c r="D89" s="844">
        <v>3</v>
      </c>
      <c r="E89" s="844" t="s">
        <v>723</v>
      </c>
      <c r="F89" s="845">
        <v>44608</v>
      </c>
      <c r="G89" s="845">
        <v>44608</v>
      </c>
      <c r="H89" s="781">
        <f t="shared" si="53"/>
        <v>45703</v>
      </c>
      <c r="I89" s="795">
        <f>18930+590+8050+300+300+900</f>
        <v>29070</v>
      </c>
      <c r="J89" s="783">
        <f t="shared" si="54"/>
        <v>1453.5</v>
      </c>
      <c r="K89" s="784"/>
      <c r="L89" s="846">
        <v>0</v>
      </c>
      <c r="M89" s="846">
        <v>0</v>
      </c>
      <c r="N89" s="846">
        <v>0</v>
      </c>
      <c r="O89" s="846">
        <v>0</v>
      </c>
      <c r="P89" s="846">
        <v>0</v>
      </c>
      <c r="Q89" s="846">
        <v>0</v>
      </c>
      <c r="R89" s="846">
        <v>0</v>
      </c>
      <c r="S89" s="846">
        <v>0</v>
      </c>
      <c r="T89" s="846">
        <v>0</v>
      </c>
      <c r="U89" s="846">
        <v>0</v>
      </c>
      <c r="V89" s="846">
        <v>0</v>
      </c>
      <c r="W89" s="846">
        <v>0</v>
      </c>
      <c r="X89" s="846">
        <v>0</v>
      </c>
      <c r="Y89" s="846">
        <v>0</v>
      </c>
      <c r="Z89" s="846">
        <v>0</v>
      </c>
      <c r="AA89" s="846">
        <v>0</v>
      </c>
      <c r="AB89" s="846">
        <v>0</v>
      </c>
      <c r="AC89" s="846">
        <v>0</v>
      </c>
      <c r="AD89" s="789">
        <f t="shared" si="61"/>
        <v>0</v>
      </c>
      <c r="AE89" s="790">
        <f t="shared" si="62"/>
        <v>29070</v>
      </c>
      <c r="AF89" s="791">
        <f t="shared" si="63"/>
        <v>44</v>
      </c>
      <c r="AG89" s="791">
        <f t="shared" si="64"/>
        <v>1110</v>
      </c>
      <c r="AH89" s="783">
        <f t="shared" si="65"/>
        <v>1110</v>
      </c>
      <c r="AI89" s="783">
        <f t="shared" si="66"/>
        <v>27960</v>
      </c>
      <c r="AJ89" s="790">
        <f t="shared" si="78"/>
        <v>27960</v>
      </c>
      <c r="AK89" s="790">
        <f t="shared" si="67"/>
        <v>29070</v>
      </c>
      <c r="AL89" s="791">
        <f t="shared" si="68"/>
        <v>365</v>
      </c>
      <c r="AM89" s="791">
        <f t="shared" si="69"/>
        <v>9206</v>
      </c>
      <c r="AN89" s="783">
        <f t="shared" si="70"/>
        <v>10316</v>
      </c>
      <c r="AO89" s="783">
        <f t="shared" si="71"/>
        <v>18754</v>
      </c>
      <c r="AP89" s="793">
        <f t="shared" si="72"/>
        <v>18754</v>
      </c>
      <c r="AQ89" s="793">
        <f t="shared" si="73"/>
        <v>29070</v>
      </c>
      <c r="AR89" s="793">
        <f t="shared" si="74"/>
        <v>366</v>
      </c>
      <c r="AS89" s="793">
        <f t="shared" si="75"/>
        <v>9231</v>
      </c>
      <c r="AT89" s="793">
        <f t="shared" si="76"/>
        <v>19547</v>
      </c>
      <c r="AU89" s="793">
        <f t="shared" si="77"/>
        <v>9523</v>
      </c>
    </row>
    <row r="90" spans="1:47" ht="15" customHeight="1" x14ac:dyDescent="0.25">
      <c r="A90" s="842" t="s">
        <v>1187</v>
      </c>
      <c r="B90" s="843" t="s">
        <v>1217</v>
      </c>
      <c r="C90" s="778">
        <f t="shared" si="52"/>
        <v>0.31666666666666665</v>
      </c>
      <c r="D90" s="844">
        <v>3</v>
      </c>
      <c r="E90" s="844" t="s">
        <v>723</v>
      </c>
      <c r="F90" s="845">
        <v>44641</v>
      </c>
      <c r="G90" s="845">
        <v>44641</v>
      </c>
      <c r="H90" s="781">
        <f t="shared" si="53"/>
        <v>45736</v>
      </c>
      <c r="I90" s="795">
        <v>19038.12</v>
      </c>
      <c r="J90" s="783">
        <f t="shared" si="54"/>
        <v>951.90599999999995</v>
      </c>
      <c r="K90" s="784"/>
      <c r="L90" s="849">
        <v>0</v>
      </c>
      <c r="M90" s="849">
        <v>0</v>
      </c>
      <c r="N90" s="849">
        <v>0</v>
      </c>
      <c r="O90" s="849">
        <v>0</v>
      </c>
      <c r="P90" s="849">
        <v>0</v>
      </c>
      <c r="Q90" s="849">
        <v>0</v>
      </c>
      <c r="R90" s="849">
        <v>0</v>
      </c>
      <c r="S90" s="849">
        <v>0</v>
      </c>
      <c r="T90" s="849">
        <v>0</v>
      </c>
      <c r="U90" s="849">
        <v>0</v>
      </c>
      <c r="V90" s="849">
        <v>0</v>
      </c>
      <c r="W90" s="849">
        <v>0</v>
      </c>
      <c r="X90" s="849">
        <v>0</v>
      </c>
      <c r="Y90" s="849">
        <v>0</v>
      </c>
      <c r="Z90" s="849">
        <v>0</v>
      </c>
      <c r="AA90" s="849">
        <v>0</v>
      </c>
      <c r="AB90" s="849">
        <v>0</v>
      </c>
      <c r="AC90" s="849">
        <v>0</v>
      </c>
      <c r="AD90" s="807">
        <f t="shared" si="61"/>
        <v>0</v>
      </c>
      <c r="AE90" s="808">
        <f t="shared" si="62"/>
        <v>19038.12</v>
      </c>
      <c r="AF90" s="809">
        <f t="shared" si="63"/>
        <v>11</v>
      </c>
      <c r="AG90" s="809">
        <f t="shared" si="64"/>
        <v>182</v>
      </c>
      <c r="AH90" s="812">
        <f t="shared" si="65"/>
        <v>182</v>
      </c>
      <c r="AI90" s="812">
        <f t="shared" si="66"/>
        <v>18856.12</v>
      </c>
      <c r="AJ90" s="808">
        <f t="shared" si="78"/>
        <v>18856.12</v>
      </c>
      <c r="AK90" s="808">
        <f t="shared" si="67"/>
        <v>19038.12</v>
      </c>
      <c r="AL90" s="809">
        <f t="shared" si="68"/>
        <v>365</v>
      </c>
      <c r="AM90" s="809">
        <f t="shared" si="69"/>
        <v>6029</v>
      </c>
      <c r="AN90" s="812">
        <f t="shared" si="70"/>
        <v>6211</v>
      </c>
      <c r="AO90" s="812">
        <f t="shared" si="71"/>
        <v>12827.119999999999</v>
      </c>
      <c r="AP90" s="793">
        <f t="shared" si="72"/>
        <v>12827.119999999999</v>
      </c>
      <c r="AQ90" s="793">
        <f t="shared" si="73"/>
        <v>19038.12</v>
      </c>
      <c r="AR90" s="793">
        <f t="shared" si="74"/>
        <v>366</v>
      </c>
      <c r="AS90" s="793">
        <f t="shared" si="75"/>
        <v>6045</v>
      </c>
      <c r="AT90" s="793">
        <f t="shared" si="76"/>
        <v>12256</v>
      </c>
      <c r="AU90" s="793">
        <f t="shared" si="77"/>
        <v>6782.119999999999</v>
      </c>
    </row>
    <row r="91" spans="1:47" ht="15" customHeight="1" x14ac:dyDescent="0.25">
      <c r="A91" s="842" t="s">
        <v>1187</v>
      </c>
      <c r="B91" s="852" t="s">
        <v>1218</v>
      </c>
      <c r="C91" s="778">
        <f t="shared" si="52"/>
        <v>0.31666666666666665</v>
      </c>
      <c r="D91" s="844">
        <v>3</v>
      </c>
      <c r="E91" s="844" t="s">
        <v>677</v>
      </c>
      <c r="F91" s="853">
        <v>44790</v>
      </c>
      <c r="G91" s="845">
        <f>F91</f>
        <v>44790</v>
      </c>
      <c r="H91" s="781">
        <f t="shared" si="53"/>
        <v>45885</v>
      </c>
      <c r="I91" s="854">
        <v>11101.75</v>
      </c>
      <c r="J91" s="783">
        <f t="shared" si="54"/>
        <v>555.08749999999998</v>
      </c>
      <c r="K91" s="855"/>
      <c r="L91" s="790">
        <v>0</v>
      </c>
      <c r="M91" s="790">
        <v>0</v>
      </c>
      <c r="N91" s="790">
        <v>0</v>
      </c>
      <c r="O91" s="790">
        <v>0</v>
      </c>
      <c r="P91" s="790">
        <v>0</v>
      </c>
      <c r="Q91" s="790">
        <v>0</v>
      </c>
      <c r="R91" s="790">
        <v>0</v>
      </c>
      <c r="S91" s="790">
        <v>0</v>
      </c>
      <c r="T91" s="790">
        <v>0</v>
      </c>
      <c r="U91" s="790">
        <v>0</v>
      </c>
      <c r="V91" s="790">
        <v>0</v>
      </c>
      <c r="W91" s="790">
        <v>0</v>
      </c>
      <c r="X91" s="790">
        <v>0</v>
      </c>
      <c r="Y91" s="790">
        <v>0</v>
      </c>
      <c r="Z91" s="790">
        <v>0</v>
      </c>
      <c r="AA91" s="790">
        <v>0</v>
      </c>
      <c r="AB91" s="790">
        <v>0</v>
      </c>
      <c r="AC91" s="790">
        <v>0</v>
      </c>
      <c r="AD91" s="790">
        <f t="shared" si="61"/>
        <v>0</v>
      </c>
      <c r="AE91" s="790"/>
      <c r="AF91" s="791"/>
      <c r="AG91" s="791"/>
      <c r="AH91" s="783"/>
      <c r="AI91" s="783"/>
      <c r="AJ91" s="790">
        <f t="shared" si="78"/>
        <v>0</v>
      </c>
      <c r="AK91" s="790">
        <f t="shared" si="67"/>
        <v>11101.75</v>
      </c>
      <c r="AL91" s="791">
        <f t="shared" si="68"/>
        <v>227</v>
      </c>
      <c r="AM91" s="791">
        <f t="shared" si="69"/>
        <v>2186</v>
      </c>
      <c r="AN91" s="783">
        <f t="shared" si="70"/>
        <v>2186</v>
      </c>
      <c r="AO91" s="783">
        <f t="shared" si="71"/>
        <v>8915.75</v>
      </c>
      <c r="AP91" s="793">
        <f t="shared" si="72"/>
        <v>8915.75</v>
      </c>
      <c r="AQ91" s="793">
        <f t="shared" si="73"/>
        <v>11101.75</v>
      </c>
      <c r="AR91" s="793">
        <f t="shared" si="74"/>
        <v>366</v>
      </c>
      <c r="AS91" s="793">
        <f t="shared" si="75"/>
        <v>3525</v>
      </c>
      <c r="AT91" s="793">
        <f t="shared" si="76"/>
        <v>5711</v>
      </c>
      <c r="AU91" s="793">
        <f t="shared" si="77"/>
        <v>5390.75</v>
      </c>
    </row>
    <row r="92" spans="1:47" ht="15" customHeight="1" x14ac:dyDescent="0.25">
      <c r="A92" s="842" t="s">
        <v>1187</v>
      </c>
      <c r="B92" s="852" t="s">
        <v>1219</v>
      </c>
      <c r="C92" s="778">
        <f t="shared" si="52"/>
        <v>0.31666666666666665</v>
      </c>
      <c r="D92" s="844">
        <v>3</v>
      </c>
      <c r="E92" s="844" t="s">
        <v>677</v>
      </c>
      <c r="F92" s="853">
        <v>44707</v>
      </c>
      <c r="G92" s="845">
        <f t="shared" ref="G92:G106" si="79">F92</f>
        <v>44707</v>
      </c>
      <c r="H92" s="781">
        <f t="shared" si="53"/>
        <v>45802</v>
      </c>
      <c r="I92" s="854">
        <v>56808</v>
      </c>
      <c r="J92" s="783">
        <f t="shared" si="54"/>
        <v>2840.4</v>
      </c>
      <c r="K92" s="855"/>
      <c r="L92" s="790">
        <v>0</v>
      </c>
      <c r="M92" s="790">
        <v>0</v>
      </c>
      <c r="N92" s="790">
        <v>0</v>
      </c>
      <c r="O92" s="790">
        <v>0</v>
      </c>
      <c r="P92" s="790">
        <v>0</v>
      </c>
      <c r="Q92" s="790">
        <v>0</v>
      </c>
      <c r="R92" s="790">
        <v>0</v>
      </c>
      <c r="S92" s="790">
        <v>0</v>
      </c>
      <c r="T92" s="790">
        <v>0</v>
      </c>
      <c r="U92" s="790">
        <v>0</v>
      </c>
      <c r="V92" s="790">
        <v>0</v>
      </c>
      <c r="W92" s="790">
        <v>0</v>
      </c>
      <c r="X92" s="790">
        <v>0</v>
      </c>
      <c r="Y92" s="790">
        <v>0</v>
      </c>
      <c r="Z92" s="790">
        <v>0</v>
      </c>
      <c r="AA92" s="790">
        <v>0</v>
      </c>
      <c r="AB92" s="790">
        <v>0</v>
      </c>
      <c r="AC92" s="790">
        <v>0</v>
      </c>
      <c r="AD92" s="790">
        <f t="shared" si="61"/>
        <v>0</v>
      </c>
      <c r="AE92" s="790"/>
      <c r="AF92" s="791"/>
      <c r="AG92" s="791"/>
      <c r="AH92" s="783"/>
      <c r="AI92" s="783"/>
      <c r="AJ92" s="790">
        <f t="shared" si="78"/>
        <v>0</v>
      </c>
      <c r="AK92" s="790">
        <f t="shared" si="67"/>
        <v>56808</v>
      </c>
      <c r="AL92" s="791">
        <f t="shared" si="68"/>
        <v>310</v>
      </c>
      <c r="AM92" s="791">
        <f t="shared" si="69"/>
        <v>15278</v>
      </c>
      <c r="AN92" s="783">
        <f t="shared" si="70"/>
        <v>15278</v>
      </c>
      <c r="AO92" s="783">
        <f t="shared" si="71"/>
        <v>41530</v>
      </c>
      <c r="AP92" s="793">
        <f t="shared" si="72"/>
        <v>41530</v>
      </c>
      <c r="AQ92" s="793">
        <f t="shared" si="73"/>
        <v>56808</v>
      </c>
      <c r="AR92" s="793">
        <f t="shared" si="74"/>
        <v>366</v>
      </c>
      <c r="AS92" s="793">
        <f t="shared" si="75"/>
        <v>18038</v>
      </c>
      <c r="AT92" s="793">
        <f t="shared" si="76"/>
        <v>33316</v>
      </c>
      <c r="AU92" s="793">
        <f t="shared" si="77"/>
        <v>23492</v>
      </c>
    </row>
    <row r="93" spans="1:47" ht="15" customHeight="1" x14ac:dyDescent="0.25">
      <c r="A93" s="842" t="s">
        <v>1187</v>
      </c>
      <c r="B93" s="852" t="s">
        <v>1219</v>
      </c>
      <c r="C93" s="778">
        <f t="shared" si="52"/>
        <v>0.31666666666666665</v>
      </c>
      <c r="D93" s="844">
        <v>3</v>
      </c>
      <c r="E93" s="844" t="s">
        <v>677</v>
      </c>
      <c r="F93" s="853">
        <v>44726</v>
      </c>
      <c r="G93" s="845">
        <f t="shared" si="79"/>
        <v>44726</v>
      </c>
      <c r="H93" s="781">
        <f t="shared" si="53"/>
        <v>45821</v>
      </c>
      <c r="I93" s="854">
        <v>12280</v>
      </c>
      <c r="J93" s="783">
        <f t="shared" si="54"/>
        <v>614</v>
      </c>
      <c r="K93" s="855"/>
      <c r="L93" s="790">
        <v>0</v>
      </c>
      <c r="M93" s="790">
        <v>0</v>
      </c>
      <c r="N93" s="790">
        <v>0</v>
      </c>
      <c r="O93" s="790">
        <v>0</v>
      </c>
      <c r="P93" s="790">
        <v>0</v>
      </c>
      <c r="Q93" s="790">
        <v>0</v>
      </c>
      <c r="R93" s="790">
        <v>0</v>
      </c>
      <c r="S93" s="790">
        <v>0</v>
      </c>
      <c r="T93" s="790">
        <v>0</v>
      </c>
      <c r="U93" s="790">
        <v>0</v>
      </c>
      <c r="V93" s="790">
        <v>0</v>
      </c>
      <c r="W93" s="790">
        <v>0</v>
      </c>
      <c r="X93" s="790">
        <v>0</v>
      </c>
      <c r="Y93" s="790">
        <v>0</v>
      </c>
      <c r="Z93" s="790">
        <v>0</v>
      </c>
      <c r="AA93" s="790">
        <v>0</v>
      </c>
      <c r="AB93" s="790">
        <v>0</v>
      </c>
      <c r="AC93" s="790">
        <v>0</v>
      </c>
      <c r="AD93" s="790">
        <f t="shared" si="61"/>
        <v>0</v>
      </c>
      <c r="AE93" s="790"/>
      <c r="AF93" s="791"/>
      <c r="AG93" s="791"/>
      <c r="AH93" s="783"/>
      <c r="AI93" s="783"/>
      <c r="AJ93" s="790">
        <f t="shared" si="78"/>
        <v>0</v>
      </c>
      <c r="AK93" s="790">
        <f t="shared" si="67"/>
        <v>12280</v>
      </c>
      <c r="AL93" s="791">
        <f t="shared" si="68"/>
        <v>291</v>
      </c>
      <c r="AM93" s="791">
        <f t="shared" si="69"/>
        <v>3100</v>
      </c>
      <c r="AN93" s="783">
        <f t="shared" si="70"/>
        <v>3100</v>
      </c>
      <c r="AO93" s="783">
        <f t="shared" si="71"/>
        <v>9180</v>
      </c>
      <c r="AP93" s="793">
        <f t="shared" si="72"/>
        <v>9180</v>
      </c>
      <c r="AQ93" s="793">
        <f t="shared" si="73"/>
        <v>12280</v>
      </c>
      <c r="AR93" s="793">
        <f t="shared" si="74"/>
        <v>366</v>
      </c>
      <c r="AS93" s="793">
        <f t="shared" si="75"/>
        <v>3899</v>
      </c>
      <c r="AT93" s="793">
        <f t="shared" si="76"/>
        <v>6999</v>
      </c>
      <c r="AU93" s="793">
        <f t="shared" si="77"/>
        <v>5281</v>
      </c>
    </row>
    <row r="94" spans="1:47" ht="15" customHeight="1" x14ac:dyDescent="0.25">
      <c r="A94" s="842" t="s">
        <v>1187</v>
      </c>
      <c r="B94" s="852" t="s">
        <v>1219</v>
      </c>
      <c r="C94" s="778">
        <f t="shared" si="52"/>
        <v>0.31666666666666665</v>
      </c>
      <c r="D94" s="844">
        <v>3</v>
      </c>
      <c r="E94" s="844" t="s">
        <v>677</v>
      </c>
      <c r="F94" s="853">
        <v>44831</v>
      </c>
      <c r="G94" s="845">
        <f t="shared" si="79"/>
        <v>44831</v>
      </c>
      <c r="H94" s="781">
        <f t="shared" si="53"/>
        <v>45926</v>
      </c>
      <c r="I94" s="854">
        <v>30506.76</v>
      </c>
      <c r="J94" s="783">
        <f t="shared" si="54"/>
        <v>1525.338</v>
      </c>
      <c r="K94" s="855"/>
      <c r="L94" s="790">
        <v>0</v>
      </c>
      <c r="M94" s="790">
        <v>0</v>
      </c>
      <c r="N94" s="790">
        <v>0</v>
      </c>
      <c r="O94" s="790">
        <v>0</v>
      </c>
      <c r="P94" s="790">
        <v>0</v>
      </c>
      <c r="Q94" s="790">
        <v>0</v>
      </c>
      <c r="R94" s="790">
        <v>0</v>
      </c>
      <c r="S94" s="790">
        <v>0</v>
      </c>
      <c r="T94" s="790">
        <v>0</v>
      </c>
      <c r="U94" s="790">
        <v>0</v>
      </c>
      <c r="V94" s="790">
        <v>0</v>
      </c>
      <c r="W94" s="790">
        <v>0</v>
      </c>
      <c r="X94" s="790">
        <v>0</v>
      </c>
      <c r="Y94" s="790">
        <v>0</v>
      </c>
      <c r="Z94" s="790">
        <v>0</v>
      </c>
      <c r="AA94" s="790">
        <v>0</v>
      </c>
      <c r="AB94" s="790">
        <v>0</v>
      </c>
      <c r="AC94" s="790">
        <v>0</v>
      </c>
      <c r="AD94" s="790">
        <f t="shared" si="61"/>
        <v>0</v>
      </c>
      <c r="AE94" s="790"/>
      <c r="AF94" s="791"/>
      <c r="AG94" s="791"/>
      <c r="AH94" s="783"/>
      <c r="AI94" s="783"/>
      <c r="AJ94" s="790">
        <f t="shared" si="78"/>
        <v>0</v>
      </c>
      <c r="AK94" s="790">
        <f t="shared" si="67"/>
        <v>30506.76</v>
      </c>
      <c r="AL94" s="791">
        <f t="shared" si="68"/>
        <v>186</v>
      </c>
      <c r="AM94" s="791">
        <f t="shared" si="69"/>
        <v>4923</v>
      </c>
      <c r="AN94" s="783">
        <f t="shared" si="70"/>
        <v>4923</v>
      </c>
      <c r="AO94" s="783">
        <f t="shared" si="71"/>
        <v>25583.759999999998</v>
      </c>
      <c r="AP94" s="793">
        <f t="shared" si="72"/>
        <v>25583.759999999998</v>
      </c>
      <c r="AQ94" s="793">
        <f t="shared" si="73"/>
        <v>30506.76</v>
      </c>
      <c r="AR94" s="793">
        <f t="shared" si="74"/>
        <v>366</v>
      </c>
      <c r="AS94" s="793">
        <f t="shared" si="75"/>
        <v>9687</v>
      </c>
      <c r="AT94" s="793">
        <f t="shared" si="76"/>
        <v>14610</v>
      </c>
      <c r="AU94" s="793">
        <f t="shared" si="77"/>
        <v>15896.759999999998</v>
      </c>
    </row>
    <row r="95" spans="1:47" ht="15" customHeight="1" x14ac:dyDescent="0.25">
      <c r="A95" s="842" t="s">
        <v>1187</v>
      </c>
      <c r="B95" s="852" t="s">
        <v>1219</v>
      </c>
      <c r="C95" s="778">
        <f t="shared" si="52"/>
        <v>0.31666666666666665</v>
      </c>
      <c r="D95" s="844">
        <v>3</v>
      </c>
      <c r="E95" s="844" t="s">
        <v>677</v>
      </c>
      <c r="F95" s="853">
        <v>44833</v>
      </c>
      <c r="G95" s="845">
        <f t="shared" si="79"/>
        <v>44833</v>
      </c>
      <c r="H95" s="781">
        <f t="shared" si="53"/>
        <v>45928</v>
      </c>
      <c r="I95" s="854">
        <v>16900</v>
      </c>
      <c r="J95" s="783">
        <f t="shared" si="54"/>
        <v>845</v>
      </c>
      <c r="K95" s="855"/>
      <c r="L95" s="790">
        <v>0</v>
      </c>
      <c r="M95" s="790">
        <v>0</v>
      </c>
      <c r="N95" s="790">
        <v>0</v>
      </c>
      <c r="O95" s="790">
        <v>0</v>
      </c>
      <c r="P95" s="790">
        <v>0</v>
      </c>
      <c r="Q95" s="790">
        <v>0</v>
      </c>
      <c r="R95" s="790">
        <v>0</v>
      </c>
      <c r="S95" s="790">
        <v>0</v>
      </c>
      <c r="T95" s="790">
        <v>0</v>
      </c>
      <c r="U95" s="790">
        <v>0</v>
      </c>
      <c r="V95" s="790">
        <v>0</v>
      </c>
      <c r="W95" s="790">
        <v>0</v>
      </c>
      <c r="X95" s="790">
        <v>0</v>
      </c>
      <c r="Y95" s="790">
        <v>0</v>
      </c>
      <c r="Z95" s="790">
        <v>0</v>
      </c>
      <c r="AA95" s="790">
        <v>0</v>
      </c>
      <c r="AB95" s="790">
        <v>0</v>
      </c>
      <c r="AC95" s="790">
        <v>0</v>
      </c>
      <c r="AD95" s="790">
        <f t="shared" si="61"/>
        <v>0</v>
      </c>
      <c r="AE95" s="790"/>
      <c r="AF95" s="791"/>
      <c r="AG95" s="791"/>
      <c r="AH95" s="783"/>
      <c r="AI95" s="783"/>
      <c r="AJ95" s="790">
        <f t="shared" si="78"/>
        <v>0</v>
      </c>
      <c r="AK95" s="790">
        <f t="shared" si="67"/>
        <v>16900</v>
      </c>
      <c r="AL95" s="791">
        <f t="shared" si="68"/>
        <v>184</v>
      </c>
      <c r="AM95" s="791">
        <f t="shared" si="69"/>
        <v>2698</v>
      </c>
      <c r="AN95" s="783">
        <f t="shared" si="70"/>
        <v>2698</v>
      </c>
      <c r="AO95" s="783">
        <f t="shared" si="71"/>
        <v>14202</v>
      </c>
      <c r="AP95" s="793">
        <f t="shared" si="72"/>
        <v>14202</v>
      </c>
      <c r="AQ95" s="793">
        <f t="shared" si="73"/>
        <v>16900</v>
      </c>
      <c r="AR95" s="793">
        <f t="shared" si="74"/>
        <v>366</v>
      </c>
      <c r="AS95" s="793">
        <f t="shared" si="75"/>
        <v>5366</v>
      </c>
      <c r="AT95" s="793">
        <f t="shared" si="76"/>
        <v>8064</v>
      </c>
      <c r="AU95" s="793">
        <f t="shared" si="77"/>
        <v>8836</v>
      </c>
    </row>
    <row r="96" spans="1:47" ht="15" customHeight="1" x14ac:dyDescent="0.25">
      <c r="A96" s="842" t="s">
        <v>1187</v>
      </c>
      <c r="B96" s="852" t="s">
        <v>1219</v>
      </c>
      <c r="C96" s="778">
        <f t="shared" si="52"/>
        <v>0.31666666666666665</v>
      </c>
      <c r="D96" s="844">
        <v>3</v>
      </c>
      <c r="E96" s="844" t="s">
        <v>677</v>
      </c>
      <c r="F96" s="853">
        <v>44872</v>
      </c>
      <c r="G96" s="845">
        <f t="shared" si="79"/>
        <v>44872</v>
      </c>
      <c r="H96" s="781">
        <f t="shared" si="53"/>
        <v>45967</v>
      </c>
      <c r="I96" s="854">
        <v>22440</v>
      </c>
      <c r="J96" s="783">
        <f t="shared" si="54"/>
        <v>1122</v>
      </c>
      <c r="K96" s="855"/>
      <c r="L96" s="790">
        <v>0</v>
      </c>
      <c r="M96" s="790">
        <v>0</v>
      </c>
      <c r="N96" s="790">
        <v>0</v>
      </c>
      <c r="O96" s="790">
        <v>0</v>
      </c>
      <c r="P96" s="790">
        <v>0</v>
      </c>
      <c r="Q96" s="790">
        <v>0</v>
      </c>
      <c r="R96" s="790">
        <v>0</v>
      </c>
      <c r="S96" s="790">
        <v>0</v>
      </c>
      <c r="T96" s="790">
        <v>0</v>
      </c>
      <c r="U96" s="790">
        <v>0</v>
      </c>
      <c r="V96" s="790">
        <v>0</v>
      </c>
      <c r="W96" s="790">
        <v>0</v>
      </c>
      <c r="X96" s="790">
        <v>0</v>
      </c>
      <c r="Y96" s="790">
        <v>0</v>
      </c>
      <c r="Z96" s="790">
        <v>0</v>
      </c>
      <c r="AA96" s="790">
        <v>0</v>
      </c>
      <c r="AB96" s="790">
        <v>0</v>
      </c>
      <c r="AC96" s="790">
        <v>0</v>
      </c>
      <c r="AD96" s="790">
        <f t="shared" si="61"/>
        <v>0</v>
      </c>
      <c r="AE96" s="790"/>
      <c r="AF96" s="791"/>
      <c r="AG96" s="791"/>
      <c r="AH96" s="783"/>
      <c r="AI96" s="783"/>
      <c r="AJ96" s="790">
        <f t="shared" si="78"/>
        <v>0</v>
      </c>
      <c r="AK96" s="790">
        <f t="shared" si="67"/>
        <v>22440</v>
      </c>
      <c r="AL96" s="791">
        <f t="shared" si="68"/>
        <v>145</v>
      </c>
      <c r="AM96" s="791">
        <f t="shared" si="69"/>
        <v>2823</v>
      </c>
      <c r="AN96" s="783">
        <f t="shared" si="70"/>
        <v>2823</v>
      </c>
      <c r="AO96" s="783">
        <f t="shared" si="71"/>
        <v>19617</v>
      </c>
      <c r="AP96" s="793">
        <f t="shared" si="72"/>
        <v>19617</v>
      </c>
      <c r="AQ96" s="793">
        <f t="shared" si="73"/>
        <v>22440</v>
      </c>
      <c r="AR96" s="793">
        <f t="shared" si="74"/>
        <v>366</v>
      </c>
      <c r="AS96" s="793">
        <f t="shared" si="75"/>
        <v>7125</v>
      </c>
      <c r="AT96" s="793">
        <f t="shared" si="76"/>
        <v>9948</v>
      </c>
      <c r="AU96" s="793">
        <f t="shared" si="77"/>
        <v>12492</v>
      </c>
    </row>
    <row r="97" spans="1:47" ht="15" customHeight="1" x14ac:dyDescent="0.25">
      <c r="A97" s="842" t="s">
        <v>1187</v>
      </c>
      <c r="B97" s="852" t="s">
        <v>1219</v>
      </c>
      <c r="C97" s="778">
        <f t="shared" si="52"/>
        <v>0.31666666666666665</v>
      </c>
      <c r="D97" s="844">
        <v>3</v>
      </c>
      <c r="E97" s="844" t="s">
        <v>677</v>
      </c>
      <c r="F97" s="853">
        <v>44900</v>
      </c>
      <c r="G97" s="845">
        <f t="shared" si="79"/>
        <v>44900</v>
      </c>
      <c r="H97" s="781">
        <f t="shared" si="53"/>
        <v>45995</v>
      </c>
      <c r="I97" s="854">
        <v>18400</v>
      </c>
      <c r="J97" s="783">
        <f t="shared" si="54"/>
        <v>920</v>
      </c>
      <c r="K97" s="855"/>
      <c r="L97" s="790">
        <v>0</v>
      </c>
      <c r="M97" s="790">
        <v>0</v>
      </c>
      <c r="N97" s="790">
        <v>0</v>
      </c>
      <c r="O97" s="790">
        <v>0</v>
      </c>
      <c r="P97" s="790">
        <v>0</v>
      </c>
      <c r="Q97" s="790">
        <v>0</v>
      </c>
      <c r="R97" s="790">
        <v>0</v>
      </c>
      <c r="S97" s="790">
        <v>0</v>
      </c>
      <c r="T97" s="790">
        <v>0</v>
      </c>
      <c r="U97" s="790">
        <v>0</v>
      </c>
      <c r="V97" s="790">
        <v>0</v>
      </c>
      <c r="W97" s="790">
        <v>0</v>
      </c>
      <c r="X97" s="790">
        <v>0</v>
      </c>
      <c r="Y97" s="790">
        <v>0</v>
      </c>
      <c r="Z97" s="790">
        <v>0</v>
      </c>
      <c r="AA97" s="790">
        <v>0</v>
      </c>
      <c r="AB97" s="790">
        <v>0</v>
      </c>
      <c r="AC97" s="790">
        <v>0</v>
      </c>
      <c r="AD97" s="790">
        <f t="shared" si="61"/>
        <v>0</v>
      </c>
      <c r="AE97" s="790"/>
      <c r="AF97" s="791"/>
      <c r="AG97" s="791"/>
      <c r="AH97" s="783"/>
      <c r="AI97" s="783"/>
      <c r="AJ97" s="790">
        <f t="shared" si="78"/>
        <v>0</v>
      </c>
      <c r="AK97" s="790">
        <f t="shared" si="67"/>
        <v>18400</v>
      </c>
      <c r="AL97" s="791">
        <f t="shared" si="68"/>
        <v>117</v>
      </c>
      <c r="AM97" s="791">
        <f t="shared" si="69"/>
        <v>1868</v>
      </c>
      <c r="AN97" s="783">
        <f t="shared" si="70"/>
        <v>1868</v>
      </c>
      <c r="AO97" s="783">
        <f t="shared" si="71"/>
        <v>16532</v>
      </c>
      <c r="AP97" s="793">
        <f t="shared" si="72"/>
        <v>16532</v>
      </c>
      <c r="AQ97" s="793">
        <f t="shared" si="73"/>
        <v>18400</v>
      </c>
      <c r="AR97" s="793">
        <f t="shared" si="74"/>
        <v>366</v>
      </c>
      <c r="AS97" s="793">
        <f t="shared" si="75"/>
        <v>5843</v>
      </c>
      <c r="AT97" s="793">
        <f t="shared" si="76"/>
        <v>7711</v>
      </c>
      <c r="AU97" s="793">
        <f t="shared" si="77"/>
        <v>10689</v>
      </c>
    </row>
    <row r="98" spans="1:47" ht="15" customHeight="1" x14ac:dyDescent="0.25">
      <c r="A98" s="842" t="s">
        <v>1187</v>
      </c>
      <c r="B98" s="852" t="s">
        <v>1219</v>
      </c>
      <c r="C98" s="778">
        <f t="shared" si="52"/>
        <v>0.31666666666666665</v>
      </c>
      <c r="D98" s="844">
        <v>3</v>
      </c>
      <c r="E98" s="844" t="s">
        <v>677</v>
      </c>
      <c r="F98" s="853">
        <v>44928</v>
      </c>
      <c r="G98" s="845">
        <f t="shared" si="79"/>
        <v>44928</v>
      </c>
      <c r="H98" s="781">
        <f t="shared" si="53"/>
        <v>46023</v>
      </c>
      <c r="I98" s="854">
        <v>22000</v>
      </c>
      <c r="J98" s="783">
        <f t="shared" si="54"/>
        <v>1100</v>
      </c>
      <c r="K98" s="855"/>
      <c r="L98" s="790">
        <v>0</v>
      </c>
      <c r="M98" s="790">
        <v>0</v>
      </c>
      <c r="N98" s="790">
        <v>0</v>
      </c>
      <c r="O98" s="790">
        <v>0</v>
      </c>
      <c r="P98" s="790">
        <v>0</v>
      </c>
      <c r="Q98" s="790">
        <v>0</v>
      </c>
      <c r="R98" s="790">
        <v>0</v>
      </c>
      <c r="S98" s="790">
        <v>0</v>
      </c>
      <c r="T98" s="790">
        <v>0</v>
      </c>
      <c r="U98" s="790">
        <v>0</v>
      </c>
      <c r="V98" s="790">
        <v>0</v>
      </c>
      <c r="W98" s="790">
        <v>0</v>
      </c>
      <c r="X98" s="790">
        <v>0</v>
      </c>
      <c r="Y98" s="790">
        <v>0</v>
      </c>
      <c r="Z98" s="790">
        <v>0</v>
      </c>
      <c r="AA98" s="790">
        <v>0</v>
      </c>
      <c r="AB98" s="790">
        <v>0</v>
      </c>
      <c r="AC98" s="790">
        <v>0</v>
      </c>
      <c r="AD98" s="790">
        <f t="shared" si="61"/>
        <v>0</v>
      </c>
      <c r="AE98" s="790"/>
      <c r="AF98" s="791"/>
      <c r="AG98" s="791"/>
      <c r="AH98" s="783"/>
      <c r="AI98" s="783"/>
      <c r="AJ98" s="790">
        <f t="shared" si="78"/>
        <v>0</v>
      </c>
      <c r="AK98" s="790">
        <f t="shared" si="67"/>
        <v>22000</v>
      </c>
      <c r="AL98" s="791">
        <f t="shared" si="68"/>
        <v>89</v>
      </c>
      <c r="AM98" s="791">
        <f t="shared" si="69"/>
        <v>1699</v>
      </c>
      <c r="AN98" s="783">
        <f t="shared" si="70"/>
        <v>1699</v>
      </c>
      <c r="AO98" s="783">
        <f t="shared" si="71"/>
        <v>20301</v>
      </c>
      <c r="AP98" s="793">
        <f t="shared" si="72"/>
        <v>20301</v>
      </c>
      <c r="AQ98" s="793">
        <f t="shared" si="73"/>
        <v>22000</v>
      </c>
      <c r="AR98" s="793">
        <f t="shared" si="74"/>
        <v>366</v>
      </c>
      <c r="AS98" s="793">
        <f t="shared" si="75"/>
        <v>6986</v>
      </c>
      <c r="AT98" s="793">
        <f t="shared" si="76"/>
        <v>8685</v>
      </c>
      <c r="AU98" s="793">
        <f t="shared" si="77"/>
        <v>13315</v>
      </c>
    </row>
    <row r="99" spans="1:47" ht="15" customHeight="1" x14ac:dyDescent="0.25">
      <c r="A99" s="842" t="s">
        <v>1187</v>
      </c>
      <c r="B99" s="852" t="s">
        <v>1219</v>
      </c>
      <c r="C99" s="778">
        <f t="shared" si="52"/>
        <v>0.31666666666666665</v>
      </c>
      <c r="D99" s="844">
        <v>3</v>
      </c>
      <c r="E99" s="844" t="s">
        <v>677</v>
      </c>
      <c r="F99" s="853">
        <v>44933</v>
      </c>
      <c r="G99" s="845">
        <f t="shared" si="79"/>
        <v>44933</v>
      </c>
      <c r="H99" s="781">
        <f t="shared" si="53"/>
        <v>46028</v>
      </c>
      <c r="I99" s="854">
        <v>22000</v>
      </c>
      <c r="J99" s="783">
        <f t="shared" si="54"/>
        <v>1100</v>
      </c>
      <c r="K99" s="855"/>
      <c r="L99" s="790">
        <v>0</v>
      </c>
      <c r="M99" s="790">
        <v>0</v>
      </c>
      <c r="N99" s="790">
        <v>0</v>
      </c>
      <c r="O99" s="790">
        <v>0</v>
      </c>
      <c r="P99" s="790">
        <v>0</v>
      </c>
      <c r="Q99" s="790">
        <v>0</v>
      </c>
      <c r="R99" s="790">
        <v>0</v>
      </c>
      <c r="S99" s="790">
        <v>0</v>
      </c>
      <c r="T99" s="790">
        <v>0</v>
      </c>
      <c r="U99" s="790">
        <v>0</v>
      </c>
      <c r="V99" s="790">
        <v>0</v>
      </c>
      <c r="W99" s="790">
        <v>0</v>
      </c>
      <c r="X99" s="790">
        <v>0</v>
      </c>
      <c r="Y99" s="790">
        <v>0</v>
      </c>
      <c r="Z99" s="790">
        <v>0</v>
      </c>
      <c r="AA99" s="790">
        <v>0</v>
      </c>
      <c r="AB99" s="790">
        <v>0</v>
      </c>
      <c r="AC99" s="790">
        <v>0</v>
      </c>
      <c r="AD99" s="790">
        <f t="shared" si="61"/>
        <v>0</v>
      </c>
      <c r="AE99" s="790"/>
      <c r="AF99" s="791"/>
      <c r="AG99" s="791"/>
      <c r="AH99" s="783"/>
      <c r="AI99" s="783"/>
      <c r="AJ99" s="790">
        <f t="shared" si="78"/>
        <v>0</v>
      </c>
      <c r="AK99" s="790">
        <f t="shared" si="67"/>
        <v>22000</v>
      </c>
      <c r="AL99" s="791">
        <f t="shared" si="68"/>
        <v>84</v>
      </c>
      <c r="AM99" s="791">
        <f t="shared" si="69"/>
        <v>1603</v>
      </c>
      <c r="AN99" s="783">
        <f t="shared" si="70"/>
        <v>1603</v>
      </c>
      <c r="AO99" s="783">
        <f t="shared" si="71"/>
        <v>20397</v>
      </c>
      <c r="AP99" s="793">
        <f t="shared" si="72"/>
        <v>20397</v>
      </c>
      <c r="AQ99" s="793">
        <f t="shared" si="73"/>
        <v>22000</v>
      </c>
      <c r="AR99" s="793">
        <f t="shared" si="74"/>
        <v>366</v>
      </c>
      <c r="AS99" s="793">
        <f t="shared" si="75"/>
        <v>6986</v>
      </c>
      <c r="AT99" s="793">
        <f t="shared" si="76"/>
        <v>8589</v>
      </c>
      <c r="AU99" s="793">
        <f t="shared" si="77"/>
        <v>13411</v>
      </c>
    </row>
    <row r="100" spans="1:47" ht="15" customHeight="1" x14ac:dyDescent="0.25">
      <c r="A100" s="842" t="s">
        <v>1187</v>
      </c>
      <c r="B100" s="852" t="s">
        <v>1219</v>
      </c>
      <c r="C100" s="778">
        <f t="shared" si="52"/>
        <v>0.31666666666666665</v>
      </c>
      <c r="D100" s="844">
        <v>3</v>
      </c>
      <c r="E100" s="844" t="s">
        <v>677</v>
      </c>
      <c r="F100" s="853">
        <v>44947</v>
      </c>
      <c r="G100" s="845">
        <f t="shared" si="79"/>
        <v>44947</v>
      </c>
      <c r="H100" s="781">
        <f t="shared" si="53"/>
        <v>46042</v>
      </c>
      <c r="I100" s="854">
        <v>98000</v>
      </c>
      <c r="J100" s="783">
        <f t="shared" si="54"/>
        <v>4900</v>
      </c>
      <c r="K100" s="855"/>
      <c r="L100" s="790">
        <v>0</v>
      </c>
      <c r="M100" s="790">
        <v>0</v>
      </c>
      <c r="N100" s="790">
        <v>0</v>
      </c>
      <c r="O100" s="790">
        <v>0</v>
      </c>
      <c r="P100" s="790">
        <v>0</v>
      </c>
      <c r="Q100" s="790">
        <v>0</v>
      </c>
      <c r="R100" s="790">
        <v>0</v>
      </c>
      <c r="S100" s="790">
        <v>0</v>
      </c>
      <c r="T100" s="790">
        <v>0</v>
      </c>
      <c r="U100" s="790">
        <v>0</v>
      </c>
      <c r="V100" s="790">
        <v>0</v>
      </c>
      <c r="W100" s="790">
        <v>0</v>
      </c>
      <c r="X100" s="790">
        <v>0</v>
      </c>
      <c r="Y100" s="790">
        <v>0</v>
      </c>
      <c r="Z100" s="790">
        <v>0</v>
      </c>
      <c r="AA100" s="790">
        <v>0</v>
      </c>
      <c r="AB100" s="790">
        <v>0</v>
      </c>
      <c r="AC100" s="790">
        <v>0</v>
      </c>
      <c r="AD100" s="790">
        <f t="shared" si="61"/>
        <v>0</v>
      </c>
      <c r="AE100" s="790"/>
      <c r="AF100" s="791"/>
      <c r="AG100" s="791"/>
      <c r="AH100" s="783"/>
      <c r="AI100" s="783"/>
      <c r="AJ100" s="790">
        <f t="shared" si="78"/>
        <v>0</v>
      </c>
      <c r="AK100" s="790">
        <f t="shared" si="67"/>
        <v>98000</v>
      </c>
      <c r="AL100" s="791">
        <f t="shared" si="68"/>
        <v>70</v>
      </c>
      <c r="AM100" s="791">
        <f t="shared" si="69"/>
        <v>5952</v>
      </c>
      <c r="AN100" s="783">
        <f t="shared" si="70"/>
        <v>5952</v>
      </c>
      <c r="AO100" s="783">
        <f t="shared" si="71"/>
        <v>92048</v>
      </c>
      <c r="AP100" s="793">
        <f t="shared" si="72"/>
        <v>92048</v>
      </c>
      <c r="AQ100" s="793">
        <f t="shared" si="73"/>
        <v>98000</v>
      </c>
      <c r="AR100" s="793">
        <f t="shared" si="74"/>
        <v>366</v>
      </c>
      <c r="AS100" s="793">
        <f t="shared" si="75"/>
        <v>31118</v>
      </c>
      <c r="AT100" s="793">
        <f t="shared" si="76"/>
        <v>37070</v>
      </c>
      <c r="AU100" s="793">
        <f t="shared" si="77"/>
        <v>60930</v>
      </c>
    </row>
    <row r="101" spans="1:47" ht="15" customHeight="1" x14ac:dyDescent="0.25">
      <c r="A101" s="842" t="s">
        <v>1187</v>
      </c>
      <c r="B101" s="852" t="s">
        <v>1219</v>
      </c>
      <c r="C101" s="778">
        <f t="shared" si="52"/>
        <v>0.31666666666666665</v>
      </c>
      <c r="D101" s="844">
        <v>3</v>
      </c>
      <c r="E101" s="844" t="s">
        <v>677</v>
      </c>
      <c r="F101" s="853">
        <v>44954</v>
      </c>
      <c r="G101" s="845">
        <f t="shared" si="79"/>
        <v>44954</v>
      </c>
      <c r="H101" s="781">
        <f t="shared" si="53"/>
        <v>46049</v>
      </c>
      <c r="I101" s="854">
        <v>23500</v>
      </c>
      <c r="J101" s="783">
        <f t="shared" si="54"/>
        <v>1175</v>
      </c>
      <c r="K101" s="855"/>
      <c r="L101" s="790">
        <v>0</v>
      </c>
      <c r="M101" s="790">
        <v>0</v>
      </c>
      <c r="N101" s="790">
        <v>0</v>
      </c>
      <c r="O101" s="790">
        <v>0</v>
      </c>
      <c r="P101" s="790">
        <v>0</v>
      </c>
      <c r="Q101" s="790">
        <v>0</v>
      </c>
      <c r="R101" s="790">
        <v>0</v>
      </c>
      <c r="S101" s="790">
        <v>0</v>
      </c>
      <c r="T101" s="790">
        <v>0</v>
      </c>
      <c r="U101" s="790">
        <v>0</v>
      </c>
      <c r="V101" s="790">
        <v>0</v>
      </c>
      <c r="W101" s="790">
        <v>0</v>
      </c>
      <c r="X101" s="790">
        <v>0</v>
      </c>
      <c r="Y101" s="790">
        <v>0</v>
      </c>
      <c r="Z101" s="790">
        <v>0</v>
      </c>
      <c r="AA101" s="790">
        <v>0</v>
      </c>
      <c r="AB101" s="790">
        <v>0</v>
      </c>
      <c r="AC101" s="790">
        <v>0</v>
      </c>
      <c r="AD101" s="790">
        <f t="shared" si="61"/>
        <v>0</v>
      </c>
      <c r="AE101" s="790"/>
      <c r="AF101" s="791"/>
      <c r="AG101" s="791"/>
      <c r="AH101" s="783"/>
      <c r="AI101" s="783"/>
      <c r="AJ101" s="790">
        <f t="shared" si="78"/>
        <v>0</v>
      </c>
      <c r="AK101" s="790">
        <f t="shared" si="67"/>
        <v>23500</v>
      </c>
      <c r="AL101" s="791">
        <f t="shared" si="68"/>
        <v>63</v>
      </c>
      <c r="AM101" s="791">
        <f t="shared" si="69"/>
        <v>1284</v>
      </c>
      <c r="AN101" s="783">
        <f t="shared" si="70"/>
        <v>1284</v>
      </c>
      <c r="AO101" s="783">
        <f t="shared" si="71"/>
        <v>22216</v>
      </c>
      <c r="AP101" s="793">
        <f t="shared" si="72"/>
        <v>22216</v>
      </c>
      <c r="AQ101" s="793">
        <f t="shared" si="73"/>
        <v>23500</v>
      </c>
      <c r="AR101" s="793">
        <f t="shared" si="74"/>
        <v>366</v>
      </c>
      <c r="AS101" s="793">
        <f t="shared" si="75"/>
        <v>7462</v>
      </c>
      <c r="AT101" s="793">
        <f t="shared" si="76"/>
        <v>8746</v>
      </c>
      <c r="AU101" s="793">
        <f t="shared" si="77"/>
        <v>14754</v>
      </c>
    </row>
    <row r="102" spans="1:47" ht="15" customHeight="1" x14ac:dyDescent="0.25">
      <c r="A102" s="842" t="s">
        <v>1187</v>
      </c>
      <c r="B102" s="852" t="s">
        <v>1219</v>
      </c>
      <c r="C102" s="778">
        <f t="shared" si="52"/>
        <v>0.31666666666666665</v>
      </c>
      <c r="D102" s="844">
        <v>3</v>
      </c>
      <c r="E102" s="844" t="s">
        <v>677</v>
      </c>
      <c r="F102" s="853">
        <v>44985</v>
      </c>
      <c r="G102" s="845">
        <f t="shared" si="79"/>
        <v>44985</v>
      </c>
      <c r="H102" s="781">
        <f t="shared" si="53"/>
        <v>46080</v>
      </c>
      <c r="I102" s="854">
        <v>22000</v>
      </c>
      <c r="J102" s="783">
        <f t="shared" si="54"/>
        <v>1100</v>
      </c>
      <c r="K102" s="855"/>
      <c r="L102" s="790">
        <v>0</v>
      </c>
      <c r="M102" s="790">
        <v>0</v>
      </c>
      <c r="N102" s="790">
        <v>0</v>
      </c>
      <c r="O102" s="790">
        <v>0</v>
      </c>
      <c r="P102" s="790">
        <v>0</v>
      </c>
      <c r="Q102" s="790">
        <v>0</v>
      </c>
      <c r="R102" s="790">
        <v>0</v>
      </c>
      <c r="S102" s="790">
        <v>0</v>
      </c>
      <c r="T102" s="790">
        <v>0</v>
      </c>
      <c r="U102" s="790">
        <v>0</v>
      </c>
      <c r="V102" s="790">
        <v>0</v>
      </c>
      <c r="W102" s="790">
        <v>0</v>
      </c>
      <c r="X102" s="790">
        <v>0</v>
      </c>
      <c r="Y102" s="790">
        <v>0</v>
      </c>
      <c r="Z102" s="790">
        <v>0</v>
      </c>
      <c r="AA102" s="790">
        <v>0</v>
      </c>
      <c r="AB102" s="790">
        <v>0</v>
      </c>
      <c r="AC102" s="790">
        <v>0</v>
      </c>
      <c r="AD102" s="790">
        <f t="shared" si="61"/>
        <v>0</v>
      </c>
      <c r="AE102" s="790"/>
      <c r="AF102" s="791"/>
      <c r="AG102" s="791"/>
      <c r="AH102" s="783"/>
      <c r="AI102" s="783"/>
      <c r="AJ102" s="790">
        <f t="shared" si="78"/>
        <v>0</v>
      </c>
      <c r="AK102" s="790">
        <f t="shared" si="67"/>
        <v>22000</v>
      </c>
      <c r="AL102" s="791">
        <f t="shared" si="68"/>
        <v>32</v>
      </c>
      <c r="AM102" s="791">
        <f t="shared" si="69"/>
        <v>611</v>
      </c>
      <c r="AN102" s="783">
        <f t="shared" si="70"/>
        <v>611</v>
      </c>
      <c r="AO102" s="783">
        <f t="shared" si="71"/>
        <v>21389</v>
      </c>
      <c r="AP102" s="793">
        <f t="shared" si="72"/>
        <v>21389</v>
      </c>
      <c r="AQ102" s="793">
        <f t="shared" si="73"/>
        <v>22000</v>
      </c>
      <c r="AR102" s="793">
        <f t="shared" si="74"/>
        <v>366</v>
      </c>
      <c r="AS102" s="793">
        <f t="shared" si="75"/>
        <v>6986</v>
      </c>
      <c r="AT102" s="793">
        <f t="shared" si="76"/>
        <v>7597</v>
      </c>
      <c r="AU102" s="793">
        <f t="shared" si="77"/>
        <v>14403</v>
      </c>
    </row>
    <row r="103" spans="1:47" ht="15" customHeight="1" x14ac:dyDescent="0.25">
      <c r="A103" s="842" t="s">
        <v>1187</v>
      </c>
      <c r="B103" s="852" t="s">
        <v>291</v>
      </c>
      <c r="C103" s="778">
        <f t="shared" si="52"/>
        <v>0.31666666666666665</v>
      </c>
      <c r="D103" s="844">
        <v>3</v>
      </c>
      <c r="E103" s="844" t="s">
        <v>677</v>
      </c>
      <c r="F103" s="853">
        <v>44798</v>
      </c>
      <c r="G103" s="845">
        <f t="shared" si="79"/>
        <v>44798</v>
      </c>
      <c r="H103" s="781">
        <f t="shared" si="53"/>
        <v>45893</v>
      </c>
      <c r="I103" s="854">
        <v>3559.32</v>
      </c>
      <c r="J103" s="783">
        <f t="shared" si="54"/>
        <v>177.96600000000001</v>
      </c>
      <c r="K103" s="855"/>
      <c r="L103" s="790">
        <v>0</v>
      </c>
      <c r="M103" s="790">
        <v>0</v>
      </c>
      <c r="N103" s="790">
        <v>0</v>
      </c>
      <c r="O103" s="790">
        <v>0</v>
      </c>
      <c r="P103" s="790">
        <v>0</v>
      </c>
      <c r="Q103" s="790">
        <v>0</v>
      </c>
      <c r="R103" s="790">
        <v>0</v>
      </c>
      <c r="S103" s="790">
        <v>0</v>
      </c>
      <c r="T103" s="790">
        <v>0</v>
      </c>
      <c r="U103" s="790">
        <v>0</v>
      </c>
      <c r="V103" s="790">
        <v>0</v>
      </c>
      <c r="W103" s="790">
        <v>0</v>
      </c>
      <c r="X103" s="790">
        <v>0</v>
      </c>
      <c r="Y103" s="790">
        <v>0</v>
      </c>
      <c r="Z103" s="790">
        <v>0</v>
      </c>
      <c r="AA103" s="790">
        <v>0</v>
      </c>
      <c r="AB103" s="790">
        <v>0</v>
      </c>
      <c r="AC103" s="790">
        <v>0</v>
      </c>
      <c r="AD103" s="790">
        <f t="shared" si="61"/>
        <v>0</v>
      </c>
      <c r="AE103" s="790"/>
      <c r="AF103" s="791"/>
      <c r="AG103" s="791"/>
      <c r="AH103" s="783"/>
      <c r="AI103" s="783"/>
      <c r="AJ103" s="790">
        <f t="shared" si="78"/>
        <v>0</v>
      </c>
      <c r="AK103" s="790">
        <f t="shared" si="67"/>
        <v>3559.32</v>
      </c>
      <c r="AL103" s="791">
        <f t="shared" si="68"/>
        <v>219</v>
      </c>
      <c r="AM103" s="791">
        <f t="shared" si="69"/>
        <v>676</v>
      </c>
      <c r="AN103" s="783">
        <f t="shared" si="70"/>
        <v>676</v>
      </c>
      <c r="AO103" s="783">
        <f t="shared" si="71"/>
        <v>2883.32</v>
      </c>
      <c r="AP103" s="793">
        <f t="shared" si="72"/>
        <v>2883.32</v>
      </c>
      <c r="AQ103" s="793">
        <f t="shared" si="73"/>
        <v>3559.32</v>
      </c>
      <c r="AR103" s="793">
        <f t="shared" si="74"/>
        <v>366</v>
      </c>
      <c r="AS103" s="793">
        <f t="shared" si="75"/>
        <v>1130</v>
      </c>
      <c r="AT103" s="793">
        <f t="shared" si="76"/>
        <v>1806</v>
      </c>
      <c r="AU103" s="793">
        <f t="shared" si="77"/>
        <v>1753.3200000000002</v>
      </c>
    </row>
    <row r="104" spans="1:47" ht="15" customHeight="1" x14ac:dyDescent="0.25">
      <c r="A104" s="842" t="s">
        <v>1187</v>
      </c>
      <c r="B104" s="852" t="s">
        <v>291</v>
      </c>
      <c r="C104" s="778">
        <f t="shared" si="52"/>
        <v>0.31666666666666665</v>
      </c>
      <c r="D104" s="844">
        <v>3</v>
      </c>
      <c r="E104" s="844" t="s">
        <v>677</v>
      </c>
      <c r="F104" s="853">
        <v>44799</v>
      </c>
      <c r="G104" s="845">
        <f t="shared" si="79"/>
        <v>44799</v>
      </c>
      <c r="H104" s="781">
        <f t="shared" si="53"/>
        <v>45894</v>
      </c>
      <c r="I104" s="854">
        <v>5559.32</v>
      </c>
      <c r="J104" s="783">
        <f t="shared" si="54"/>
        <v>277.96600000000001</v>
      </c>
      <c r="K104" s="855"/>
      <c r="L104" s="790">
        <v>0</v>
      </c>
      <c r="M104" s="790">
        <v>0</v>
      </c>
      <c r="N104" s="790">
        <v>0</v>
      </c>
      <c r="O104" s="790">
        <v>0</v>
      </c>
      <c r="P104" s="790">
        <v>0</v>
      </c>
      <c r="Q104" s="790">
        <v>0</v>
      </c>
      <c r="R104" s="790">
        <v>0</v>
      </c>
      <c r="S104" s="790">
        <v>0</v>
      </c>
      <c r="T104" s="790">
        <v>0</v>
      </c>
      <c r="U104" s="790">
        <v>0</v>
      </c>
      <c r="V104" s="790">
        <v>0</v>
      </c>
      <c r="W104" s="790">
        <v>0</v>
      </c>
      <c r="X104" s="790">
        <v>0</v>
      </c>
      <c r="Y104" s="790">
        <v>0</v>
      </c>
      <c r="Z104" s="790">
        <v>0</v>
      </c>
      <c r="AA104" s="790">
        <v>0</v>
      </c>
      <c r="AB104" s="790">
        <v>0</v>
      </c>
      <c r="AC104" s="790">
        <v>0</v>
      </c>
      <c r="AD104" s="790">
        <f t="shared" si="61"/>
        <v>0</v>
      </c>
      <c r="AE104" s="790"/>
      <c r="AF104" s="791"/>
      <c r="AG104" s="791"/>
      <c r="AH104" s="783"/>
      <c r="AI104" s="783"/>
      <c r="AJ104" s="790">
        <f t="shared" si="78"/>
        <v>0</v>
      </c>
      <c r="AK104" s="790">
        <f t="shared" si="67"/>
        <v>5559.32</v>
      </c>
      <c r="AL104" s="791">
        <f t="shared" si="68"/>
        <v>218</v>
      </c>
      <c r="AM104" s="791">
        <f t="shared" si="69"/>
        <v>1051</v>
      </c>
      <c r="AN104" s="783">
        <f t="shared" si="70"/>
        <v>1051</v>
      </c>
      <c r="AO104" s="783">
        <f t="shared" si="71"/>
        <v>4508.32</v>
      </c>
      <c r="AP104" s="793">
        <f t="shared" si="72"/>
        <v>4508.32</v>
      </c>
      <c r="AQ104" s="793">
        <f t="shared" si="73"/>
        <v>5559.32</v>
      </c>
      <c r="AR104" s="793">
        <f t="shared" si="74"/>
        <v>366</v>
      </c>
      <c r="AS104" s="793">
        <f t="shared" si="75"/>
        <v>1765</v>
      </c>
      <c r="AT104" s="793">
        <f t="shared" si="76"/>
        <v>2816</v>
      </c>
      <c r="AU104" s="793">
        <f t="shared" si="77"/>
        <v>2743.3199999999997</v>
      </c>
    </row>
    <row r="105" spans="1:47" ht="15" customHeight="1" x14ac:dyDescent="0.25">
      <c r="A105" s="842" t="s">
        <v>1187</v>
      </c>
      <c r="B105" s="852" t="s">
        <v>1220</v>
      </c>
      <c r="C105" s="778">
        <f t="shared" si="52"/>
        <v>0.31666666666666665</v>
      </c>
      <c r="D105" s="844">
        <v>3</v>
      </c>
      <c r="E105" s="844" t="s">
        <v>677</v>
      </c>
      <c r="F105" s="853">
        <v>44680</v>
      </c>
      <c r="G105" s="845">
        <f t="shared" si="79"/>
        <v>44680</v>
      </c>
      <c r="H105" s="781">
        <f t="shared" si="53"/>
        <v>45775</v>
      </c>
      <c r="I105" s="854">
        <v>24000</v>
      </c>
      <c r="J105" s="783">
        <f t="shared" si="54"/>
        <v>1200</v>
      </c>
      <c r="K105" s="855"/>
      <c r="L105" s="790">
        <v>0</v>
      </c>
      <c r="M105" s="790">
        <v>0</v>
      </c>
      <c r="N105" s="790">
        <v>0</v>
      </c>
      <c r="O105" s="790">
        <v>0</v>
      </c>
      <c r="P105" s="790">
        <v>0</v>
      </c>
      <c r="Q105" s="790">
        <v>0</v>
      </c>
      <c r="R105" s="790">
        <v>0</v>
      </c>
      <c r="S105" s="790">
        <v>0</v>
      </c>
      <c r="T105" s="790">
        <v>0</v>
      </c>
      <c r="U105" s="790">
        <v>0</v>
      </c>
      <c r="V105" s="790">
        <v>0</v>
      </c>
      <c r="W105" s="790">
        <v>0</v>
      </c>
      <c r="X105" s="790">
        <v>0</v>
      </c>
      <c r="Y105" s="790">
        <v>0</v>
      </c>
      <c r="Z105" s="790">
        <v>0</v>
      </c>
      <c r="AA105" s="790">
        <v>0</v>
      </c>
      <c r="AB105" s="790">
        <v>0</v>
      </c>
      <c r="AC105" s="790">
        <v>0</v>
      </c>
      <c r="AD105" s="790">
        <f t="shared" si="61"/>
        <v>0</v>
      </c>
      <c r="AE105" s="790"/>
      <c r="AF105" s="791"/>
      <c r="AG105" s="791"/>
      <c r="AH105" s="783"/>
      <c r="AI105" s="783"/>
      <c r="AJ105" s="790">
        <f t="shared" si="78"/>
        <v>0</v>
      </c>
      <c r="AK105" s="790">
        <f t="shared" si="67"/>
        <v>24000</v>
      </c>
      <c r="AL105" s="791">
        <f t="shared" si="68"/>
        <v>337</v>
      </c>
      <c r="AM105" s="791">
        <f t="shared" si="69"/>
        <v>7017</v>
      </c>
      <c r="AN105" s="783">
        <f t="shared" si="70"/>
        <v>7017</v>
      </c>
      <c r="AO105" s="783">
        <f t="shared" si="71"/>
        <v>16983</v>
      </c>
      <c r="AP105" s="793">
        <f t="shared" si="72"/>
        <v>16983</v>
      </c>
      <c r="AQ105" s="793">
        <f t="shared" si="73"/>
        <v>24000</v>
      </c>
      <c r="AR105" s="793">
        <f t="shared" si="74"/>
        <v>366</v>
      </c>
      <c r="AS105" s="793">
        <f t="shared" si="75"/>
        <v>7621</v>
      </c>
      <c r="AT105" s="793">
        <f t="shared" si="76"/>
        <v>14638</v>
      </c>
      <c r="AU105" s="793">
        <f t="shared" si="77"/>
        <v>9362</v>
      </c>
    </row>
    <row r="106" spans="1:47" ht="15" customHeight="1" x14ac:dyDescent="0.25">
      <c r="A106" s="856" t="s">
        <v>1187</v>
      </c>
      <c r="B106" s="857" t="s">
        <v>972</v>
      </c>
      <c r="C106" s="826">
        <f t="shared" si="52"/>
        <v>0.31666666666666665</v>
      </c>
      <c r="D106" s="858">
        <v>3</v>
      </c>
      <c r="E106" s="858" t="s">
        <v>677</v>
      </c>
      <c r="F106" s="859">
        <v>44846</v>
      </c>
      <c r="G106" s="860">
        <f t="shared" si="79"/>
        <v>44846</v>
      </c>
      <c r="H106" s="828">
        <f t="shared" si="53"/>
        <v>45941</v>
      </c>
      <c r="I106" s="861">
        <v>190000</v>
      </c>
      <c r="J106" s="812">
        <f t="shared" si="54"/>
        <v>9500</v>
      </c>
      <c r="K106" s="855"/>
      <c r="L106" s="808">
        <v>0</v>
      </c>
      <c r="M106" s="808">
        <v>0</v>
      </c>
      <c r="N106" s="808">
        <v>0</v>
      </c>
      <c r="O106" s="808">
        <v>0</v>
      </c>
      <c r="P106" s="808">
        <v>0</v>
      </c>
      <c r="Q106" s="808">
        <v>0</v>
      </c>
      <c r="R106" s="808">
        <v>0</v>
      </c>
      <c r="S106" s="808">
        <v>0</v>
      </c>
      <c r="T106" s="808">
        <v>0</v>
      </c>
      <c r="U106" s="808">
        <v>0</v>
      </c>
      <c r="V106" s="808">
        <v>0</v>
      </c>
      <c r="W106" s="808">
        <v>0</v>
      </c>
      <c r="X106" s="808">
        <v>0</v>
      </c>
      <c r="Y106" s="808">
        <v>0</v>
      </c>
      <c r="Z106" s="808">
        <v>0</v>
      </c>
      <c r="AA106" s="808">
        <v>0</v>
      </c>
      <c r="AB106" s="808">
        <v>0</v>
      </c>
      <c r="AC106" s="808">
        <v>0</v>
      </c>
      <c r="AD106" s="808">
        <f t="shared" si="61"/>
        <v>0</v>
      </c>
      <c r="AE106" s="808"/>
      <c r="AF106" s="809"/>
      <c r="AG106" s="809"/>
      <c r="AH106" s="812"/>
      <c r="AI106" s="812"/>
      <c r="AJ106" s="808">
        <f t="shared" si="78"/>
        <v>0</v>
      </c>
      <c r="AK106" s="808">
        <f t="shared" si="67"/>
        <v>190000</v>
      </c>
      <c r="AL106" s="809">
        <f t="shared" si="68"/>
        <v>171</v>
      </c>
      <c r="AM106" s="809">
        <f t="shared" si="69"/>
        <v>28188</v>
      </c>
      <c r="AN106" s="812">
        <f t="shared" si="70"/>
        <v>28188</v>
      </c>
      <c r="AO106" s="812">
        <f t="shared" si="71"/>
        <v>161812</v>
      </c>
      <c r="AP106" s="793">
        <f t="shared" si="72"/>
        <v>161812</v>
      </c>
      <c r="AQ106" s="793">
        <f t="shared" si="73"/>
        <v>190000</v>
      </c>
      <c r="AR106" s="793">
        <f t="shared" si="74"/>
        <v>366</v>
      </c>
      <c r="AS106" s="793">
        <f t="shared" si="75"/>
        <v>60332</v>
      </c>
      <c r="AT106" s="793">
        <f t="shared" si="76"/>
        <v>88520</v>
      </c>
      <c r="AU106" s="793">
        <f t="shared" si="77"/>
        <v>101480</v>
      </c>
    </row>
    <row r="107" spans="1:47" ht="15" customHeight="1" x14ac:dyDescent="0.25">
      <c r="A107" s="842" t="s">
        <v>1187</v>
      </c>
      <c r="B107" s="822" t="s">
        <v>285</v>
      </c>
      <c r="C107" s="778">
        <f>(95/D107)/100</f>
        <v>0.31666666666666665</v>
      </c>
      <c r="D107" s="844">
        <v>3</v>
      </c>
      <c r="E107" s="844" t="s">
        <v>884</v>
      </c>
      <c r="F107" s="862">
        <v>45026</v>
      </c>
      <c r="G107" s="862">
        <v>45026</v>
      </c>
      <c r="H107" s="781">
        <f t="shared" si="53"/>
        <v>46121</v>
      </c>
      <c r="I107" s="815">
        <v>59313</v>
      </c>
      <c r="J107" s="805">
        <f t="shared" si="54"/>
        <v>2965.65</v>
      </c>
      <c r="K107" s="805"/>
      <c r="L107" s="793"/>
      <c r="M107" s="793"/>
      <c r="N107" s="793"/>
      <c r="O107" s="793"/>
      <c r="P107" s="793"/>
      <c r="Q107" s="793"/>
      <c r="R107" s="793"/>
      <c r="S107" s="793"/>
      <c r="T107" s="793"/>
      <c r="U107" s="793"/>
      <c r="V107" s="793"/>
      <c r="W107" s="793"/>
      <c r="X107" s="793"/>
      <c r="Y107" s="793"/>
      <c r="Z107" s="793"/>
      <c r="AA107" s="793"/>
      <c r="AB107" s="793"/>
      <c r="AC107" s="793"/>
      <c r="AD107" s="793"/>
      <c r="AE107" s="793"/>
      <c r="AF107" s="793"/>
      <c r="AG107" s="793"/>
      <c r="AH107" s="805"/>
      <c r="AI107" s="805"/>
      <c r="AJ107" s="793"/>
      <c r="AK107" s="793"/>
      <c r="AL107" s="793"/>
      <c r="AM107" s="793"/>
      <c r="AN107" s="805"/>
      <c r="AO107" s="805"/>
      <c r="AP107" s="793">
        <f t="shared" si="72"/>
        <v>0</v>
      </c>
      <c r="AQ107" s="793">
        <f t="shared" si="73"/>
        <v>59313</v>
      </c>
      <c r="AR107" s="793">
        <f t="shared" si="74"/>
        <v>357</v>
      </c>
      <c r="AS107" s="793">
        <f t="shared" si="75"/>
        <v>18371</v>
      </c>
      <c r="AT107" s="793">
        <f t="shared" si="76"/>
        <v>18371</v>
      </c>
      <c r="AU107" s="793">
        <f t="shared" si="77"/>
        <v>40942</v>
      </c>
    </row>
    <row r="108" spans="1:47" ht="15" customHeight="1" x14ac:dyDescent="0.25">
      <c r="A108" s="842" t="s">
        <v>1187</v>
      </c>
      <c r="B108" s="822" t="s">
        <v>285</v>
      </c>
      <c r="C108" s="778">
        <f t="shared" ref="C108:C120" si="80">(95/D108)/100</f>
        <v>0.31666666666666665</v>
      </c>
      <c r="D108" s="844">
        <v>3</v>
      </c>
      <c r="E108" s="844" t="s">
        <v>884</v>
      </c>
      <c r="F108" s="862">
        <v>45026</v>
      </c>
      <c r="G108" s="862">
        <v>45026</v>
      </c>
      <c r="H108" s="781">
        <f t="shared" si="53"/>
        <v>46121</v>
      </c>
      <c r="I108" s="815">
        <v>22000</v>
      </c>
      <c r="J108" s="805">
        <f t="shared" si="54"/>
        <v>1100</v>
      </c>
      <c r="K108" s="805"/>
      <c r="L108" s="793"/>
      <c r="M108" s="793"/>
      <c r="N108" s="793"/>
      <c r="O108" s="793"/>
      <c r="P108" s="793"/>
      <c r="Q108" s="793"/>
      <c r="R108" s="793"/>
      <c r="S108" s="793"/>
      <c r="T108" s="793"/>
      <c r="U108" s="793"/>
      <c r="V108" s="793"/>
      <c r="W108" s="793"/>
      <c r="X108" s="793"/>
      <c r="Y108" s="793"/>
      <c r="Z108" s="793"/>
      <c r="AA108" s="793"/>
      <c r="AB108" s="793"/>
      <c r="AC108" s="793"/>
      <c r="AD108" s="793"/>
      <c r="AE108" s="793"/>
      <c r="AF108" s="793"/>
      <c r="AG108" s="793"/>
      <c r="AH108" s="805"/>
      <c r="AI108" s="805"/>
      <c r="AJ108" s="793"/>
      <c r="AK108" s="793"/>
      <c r="AL108" s="793"/>
      <c r="AM108" s="793"/>
      <c r="AN108" s="805"/>
      <c r="AO108" s="805"/>
      <c r="AP108" s="793">
        <f t="shared" si="72"/>
        <v>0</v>
      </c>
      <c r="AQ108" s="793">
        <f t="shared" si="73"/>
        <v>22000</v>
      </c>
      <c r="AR108" s="793">
        <f t="shared" si="74"/>
        <v>357</v>
      </c>
      <c r="AS108" s="793">
        <f t="shared" si="75"/>
        <v>6814</v>
      </c>
      <c r="AT108" s="793">
        <f t="shared" si="76"/>
        <v>6814</v>
      </c>
      <c r="AU108" s="793">
        <f t="shared" si="77"/>
        <v>15186</v>
      </c>
    </row>
    <row r="109" spans="1:47" ht="15" customHeight="1" x14ac:dyDescent="0.25">
      <c r="A109" s="842" t="s">
        <v>1187</v>
      </c>
      <c r="B109" s="822" t="s">
        <v>285</v>
      </c>
      <c r="C109" s="778">
        <f t="shared" si="80"/>
        <v>0.31666666666666665</v>
      </c>
      <c r="D109" s="844">
        <v>3</v>
      </c>
      <c r="E109" s="844" t="s">
        <v>884</v>
      </c>
      <c r="F109" s="862">
        <v>45100</v>
      </c>
      <c r="G109" s="862">
        <v>45100</v>
      </c>
      <c r="H109" s="781">
        <f t="shared" si="53"/>
        <v>46195</v>
      </c>
      <c r="I109" s="815">
        <v>22000</v>
      </c>
      <c r="J109" s="805">
        <f t="shared" si="54"/>
        <v>1100</v>
      </c>
      <c r="K109" s="805"/>
      <c r="L109" s="793"/>
      <c r="M109" s="793"/>
      <c r="N109" s="793"/>
      <c r="O109" s="793"/>
      <c r="P109" s="793"/>
      <c r="Q109" s="793"/>
      <c r="R109" s="793"/>
      <c r="S109" s="793"/>
      <c r="T109" s="793"/>
      <c r="U109" s="793"/>
      <c r="V109" s="793"/>
      <c r="W109" s="793"/>
      <c r="X109" s="793"/>
      <c r="Y109" s="793"/>
      <c r="Z109" s="793"/>
      <c r="AA109" s="793"/>
      <c r="AB109" s="793"/>
      <c r="AC109" s="793"/>
      <c r="AD109" s="793"/>
      <c r="AE109" s="793"/>
      <c r="AF109" s="793"/>
      <c r="AG109" s="793"/>
      <c r="AH109" s="805"/>
      <c r="AI109" s="805"/>
      <c r="AJ109" s="793"/>
      <c r="AK109" s="793"/>
      <c r="AL109" s="793"/>
      <c r="AM109" s="793"/>
      <c r="AN109" s="805"/>
      <c r="AO109" s="805"/>
      <c r="AP109" s="793">
        <f t="shared" si="72"/>
        <v>0</v>
      </c>
      <c r="AQ109" s="793">
        <f t="shared" si="73"/>
        <v>22000</v>
      </c>
      <c r="AR109" s="793">
        <f t="shared" si="74"/>
        <v>283</v>
      </c>
      <c r="AS109" s="793">
        <f t="shared" si="75"/>
        <v>5402</v>
      </c>
      <c r="AT109" s="793">
        <f t="shared" si="76"/>
        <v>5402</v>
      </c>
      <c r="AU109" s="793">
        <f t="shared" si="77"/>
        <v>16598</v>
      </c>
    </row>
    <row r="110" spans="1:47" ht="15" customHeight="1" x14ac:dyDescent="0.25">
      <c r="A110" s="842" t="s">
        <v>1187</v>
      </c>
      <c r="B110" s="863" t="s">
        <v>1221</v>
      </c>
      <c r="C110" s="778">
        <f t="shared" si="80"/>
        <v>0.31666666666666665</v>
      </c>
      <c r="D110" s="844">
        <v>3</v>
      </c>
      <c r="E110" s="844" t="s">
        <v>884</v>
      </c>
      <c r="F110" s="862">
        <v>45175</v>
      </c>
      <c r="G110" s="862">
        <v>45175</v>
      </c>
      <c r="H110" s="781">
        <f t="shared" si="53"/>
        <v>46270</v>
      </c>
      <c r="I110" s="815">
        <v>39404</v>
      </c>
      <c r="J110" s="805">
        <f t="shared" si="54"/>
        <v>1970.2</v>
      </c>
      <c r="K110" s="805"/>
      <c r="L110" s="793"/>
      <c r="M110" s="793"/>
      <c r="N110" s="793"/>
      <c r="O110" s="793"/>
      <c r="P110" s="793"/>
      <c r="Q110" s="793"/>
      <c r="R110" s="793"/>
      <c r="S110" s="793"/>
      <c r="T110" s="793"/>
      <c r="U110" s="793"/>
      <c r="V110" s="793"/>
      <c r="W110" s="793"/>
      <c r="X110" s="793"/>
      <c r="Y110" s="793"/>
      <c r="Z110" s="793"/>
      <c r="AA110" s="793"/>
      <c r="AB110" s="793"/>
      <c r="AC110" s="793"/>
      <c r="AD110" s="793"/>
      <c r="AE110" s="793"/>
      <c r="AF110" s="793"/>
      <c r="AG110" s="793"/>
      <c r="AH110" s="805"/>
      <c r="AI110" s="805"/>
      <c r="AJ110" s="793"/>
      <c r="AK110" s="793"/>
      <c r="AL110" s="793"/>
      <c r="AM110" s="793"/>
      <c r="AN110" s="805"/>
      <c r="AO110" s="805"/>
      <c r="AP110" s="793">
        <f t="shared" si="72"/>
        <v>0</v>
      </c>
      <c r="AQ110" s="793">
        <f t="shared" si="73"/>
        <v>39404</v>
      </c>
      <c r="AR110" s="793">
        <f t="shared" si="74"/>
        <v>208</v>
      </c>
      <c r="AS110" s="793">
        <f t="shared" si="75"/>
        <v>7111</v>
      </c>
      <c r="AT110" s="793">
        <f t="shared" si="76"/>
        <v>7111</v>
      </c>
      <c r="AU110" s="793">
        <f t="shared" si="77"/>
        <v>32293</v>
      </c>
    </row>
    <row r="111" spans="1:47" ht="15" customHeight="1" x14ac:dyDescent="0.25">
      <c r="A111" s="842" t="s">
        <v>1187</v>
      </c>
      <c r="B111" s="822" t="s">
        <v>404</v>
      </c>
      <c r="C111" s="778">
        <f t="shared" si="80"/>
        <v>0.31666666666666665</v>
      </c>
      <c r="D111" s="844">
        <v>3</v>
      </c>
      <c r="E111" s="844" t="s">
        <v>884</v>
      </c>
      <c r="F111" s="862">
        <v>45264</v>
      </c>
      <c r="G111" s="862">
        <v>45264</v>
      </c>
      <c r="H111" s="781">
        <f t="shared" si="53"/>
        <v>46359</v>
      </c>
      <c r="I111" s="815">
        <v>9915</v>
      </c>
      <c r="J111" s="805">
        <f t="shared" si="54"/>
        <v>495.75</v>
      </c>
      <c r="K111" s="805"/>
      <c r="L111" s="793"/>
      <c r="M111" s="793"/>
      <c r="N111" s="793"/>
      <c r="O111" s="793"/>
      <c r="P111" s="793"/>
      <c r="Q111" s="793"/>
      <c r="R111" s="793"/>
      <c r="S111" s="793"/>
      <c r="T111" s="793"/>
      <c r="U111" s="793"/>
      <c r="V111" s="793"/>
      <c r="W111" s="793"/>
      <c r="X111" s="793"/>
      <c r="Y111" s="793"/>
      <c r="Z111" s="793"/>
      <c r="AA111" s="793"/>
      <c r="AB111" s="793"/>
      <c r="AC111" s="793"/>
      <c r="AD111" s="793"/>
      <c r="AE111" s="793"/>
      <c r="AF111" s="793"/>
      <c r="AG111" s="793"/>
      <c r="AH111" s="805"/>
      <c r="AI111" s="805"/>
      <c r="AJ111" s="793"/>
      <c r="AK111" s="793"/>
      <c r="AL111" s="793"/>
      <c r="AM111" s="793"/>
      <c r="AN111" s="805"/>
      <c r="AO111" s="805"/>
      <c r="AP111" s="793">
        <f t="shared" si="72"/>
        <v>0</v>
      </c>
      <c r="AQ111" s="793">
        <f t="shared" si="73"/>
        <v>9915</v>
      </c>
      <c r="AR111" s="793">
        <f t="shared" si="74"/>
        <v>119</v>
      </c>
      <c r="AS111" s="793">
        <f t="shared" si="75"/>
        <v>1024</v>
      </c>
      <c r="AT111" s="793">
        <f t="shared" si="76"/>
        <v>1024</v>
      </c>
      <c r="AU111" s="793">
        <f t="shared" si="77"/>
        <v>8891</v>
      </c>
    </row>
    <row r="112" spans="1:47" ht="15" customHeight="1" x14ac:dyDescent="0.25">
      <c r="A112" s="842" t="s">
        <v>1187</v>
      </c>
      <c r="B112" s="822" t="s">
        <v>291</v>
      </c>
      <c r="C112" s="778">
        <f t="shared" si="80"/>
        <v>0.31666666666666665</v>
      </c>
      <c r="D112" s="844">
        <v>3</v>
      </c>
      <c r="E112" s="844" t="s">
        <v>884</v>
      </c>
      <c r="F112" s="862">
        <v>45264</v>
      </c>
      <c r="G112" s="862">
        <v>45264</v>
      </c>
      <c r="H112" s="781">
        <f t="shared" si="53"/>
        <v>46359</v>
      </c>
      <c r="I112" s="815">
        <v>7627</v>
      </c>
      <c r="J112" s="805">
        <f t="shared" si="54"/>
        <v>381.35</v>
      </c>
      <c r="K112" s="805"/>
      <c r="L112" s="793"/>
      <c r="M112" s="793"/>
      <c r="N112" s="793"/>
      <c r="O112" s="793"/>
      <c r="P112" s="793"/>
      <c r="Q112" s="793"/>
      <c r="R112" s="793"/>
      <c r="S112" s="793"/>
      <c r="T112" s="793"/>
      <c r="U112" s="793"/>
      <c r="V112" s="793"/>
      <c r="W112" s="793"/>
      <c r="X112" s="793"/>
      <c r="Y112" s="793"/>
      <c r="Z112" s="793"/>
      <c r="AA112" s="793"/>
      <c r="AB112" s="793"/>
      <c r="AC112" s="793"/>
      <c r="AD112" s="793"/>
      <c r="AE112" s="793"/>
      <c r="AF112" s="793"/>
      <c r="AG112" s="793"/>
      <c r="AH112" s="805"/>
      <c r="AI112" s="805"/>
      <c r="AJ112" s="793"/>
      <c r="AK112" s="793"/>
      <c r="AL112" s="793"/>
      <c r="AM112" s="793"/>
      <c r="AN112" s="805"/>
      <c r="AO112" s="805"/>
      <c r="AP112" s="793">
        <f t="shared" si="72"/>
        <v>0</v>
      </c>
      <c r="AQ112" s="793">
        <f t="shared" si="73"/>
        <v>7627</v>
      </c>
      <c r="AR112" s="793">
        <f t="shared" si="74"/>
        <v>119</v>
      </c>
      <c r="AS112" s="793">
        <f t="shared" si="75"/>
        <v>787</v>
      </c>
      <c r="AT112" s="793">
        <f t="shared" si="76"/>
        <v>787</v>
      </c>
      <c r="AU112" s="793">
        <f t="shared" si="77"/>
        <v>6840</v>
      </c>
    </row>
    <row r="113" spans="1:48" ht="15" customHeight="1" x14ac:dyDescent="0.25">
      <c r="A113" s="842" t="s">
        <v>1187</v>
      </c>
      <c r="B113" s="863" t="s">
        <v>1221</v>
      </c>
      <c r="C113" s="778">
        <f t="shared" si="80"/>
        <v>0.31666666666666665</v>
      </c>
      <c r="D113" s="844">
        <v>3</v>
      </c>
      <c r="E113" s="844" t="s">
        <v>884</v>
      </c>
      <c r="F113" s="862">
        <v>45300</v>
      </c>
      <c r="G113" s="862">
        <v>45300</v>
      </c>
      <c r="H113" s="781">
        <f t="shared" si="53"/>
        <v>46395</v>
      </c>
      <c r="I113" s="815">
        <v>81000</v>
      </c>
      <c r="J113" s="805">
        <f t="shared" si="54"/>
        <v>4050</v>
      </c>
      <c r="K113" s="805"/>
      <c r="L113" s="793"/>
      <c r="M113" s="793"/>
      <c r="N113" s="793"/>
      <c r="O113" s="793"/>
      <c r="P113" s="793"/>
      <c r="Q113" s="793"/>
      <c r="R113" s="793"/>
      <c r="S113" s="793"/>
      <c r="T113" s="793"/>
      <c r="U113" s="793"/>
      <c r="V113" s="793"/>
      <c r="W113" s="793"/>
      <c r="X113" s="793"/>
      <c r="Y113" s="793"/>
      <c r="Z113" s="793"/>
      <c r="AA113" s="793"/>
      <c r="AB113" s="793"/>
      <c r="AC113" s="793"/>
      <c r="AD113" s="793"/>
      <c r="AE113" s="793"/>
      <c r="AF113" s="793"/>
      <c r="AG113" s="793"/>
      <c r="AH113" s="805"/>
      <c r="AI113" s="805"/>
      <c r="AJ113" s="793"/>
      <c r="AK113" s="793"/>
      <c r="AL113" s="793"/>
      <c r="AM113" s="793"/>
      <c r="AN113" s="805"/>
      <c r="AO113" s="805"/>
      <c r="AP113" s="793">
        <f t="shared" si="72"/>
        <v>0</v>
      </c>
      <c r="AQ113" s="793">
        <f t="shared" si="73"/>
        <v>81000</v>
      </c>
      <c r="AR113" s="793">
        <f t="shared" si="74"/>
        <v>83</v>
      </c>
      <c r="AS113" s="793">
        <f t="shared" si="75"/>
        <v>5833</v>
      </c>
      <c r="AT113" s="793">
        <f t="shared" si="76"/>
        <v>5833</v>
      </c>
      <c r="AU113" s="793">
        <f t="shared" si="77"/>
        <v>75167</v>
      </c>
    </row>
    <row r="114" spans="1:48" ht="15" customHeight="1" x14ac:dyDescent="0.25">
      <c r="A114" s="842" t="s">
        <v>1187</v>
      </c>
      <c r="B114" s="863" t="s">
        <v>1221</v>
      </c>
      <c r="C114" s="778">
        <f t="shared" si="80"/>
        <v>0.31666666666666665</v>
      </c>
      <c r="D114" s="844">
        <v>3</v>
      </c>
      <c r="E114" s="844" t="s">
        <v>884</v>
      </c>
      <c r="F114" s="814">
        <v>45323</v>
      </c>
      <c r="G114" s="814">
        <v>45323</v>
      </c>
      <c r="H114" s="781">
        <f t="shared" si="53"/>
        <v>46418</v>
      </c>
      <c r="I114" s="823">
        <v>21500</v>
      </c>
      <c r="J114" s="805">
        <f t="shared" si="54"/>
        <v>1075</v>
      </c>
      <c r="K114" s="805"/>
      <c r="L114" s="793"/>
      <c r="M114" s="793"/>
      <c r="N114" s="793"/>
      <c r="O114" s="793"/>
      <c r="P114" s="793"/>
      <c r="Q114" s="793"/>
      <c r="R114" s="793"/>
      <c r="S114" s="793"/>
      <c r="T114" s="793"/>
      <c r="U114" s="793"/>
      <c r="V114" s="793"/>
      <c r="W114" s="793"/>
      <c r="X114" s="793"/>
      <c r="Y114" s="793"/>
      <c r="Z114" s="793"/>
      <c r="AA114" s="793"/>
      <c r="AB114" s="793"/>
      <c r="AC114" s="793"/>
      <c r="AD114" s="793"/>
      <c r="AE114" s="793"/>
      <c r="AF114" s="793"/>
      <c r="AG114" s="793"/>
      <c r="AH114" s="805"/>
      <c r="AI114" s="805"/>
      <c r="AJ114" s="793"/>
      <c r="AK114" s="793"/>
      <c r="AL114" s="793"/>
      <c r="AM114" s="793"/>
      <c r="AN114" s="805"/>
      <c r="AO114" s="805"/>
      <c r="AP114" s="793">
        <f t="shared" si="72"/>
        <v>0</v>
      </c>
      <c r="AQ114" s="793">
        <f t="shared" si="73"/>
        <v>21500</v>
      </c>
      <c r="AR114" s="793">
        <f t="shared" si="74"/>
        <v>60</v>
      </c>
      <c r="AS114" s="793">
        <f t="shared" si="75"/>
        <v>1119</v>
      </c>
      <c r="AT114" s="793">
        <f t="shared" si="76"/>
        <v>1119</v>
      </c>
      <c r="AU114" s="793">
        <f t="shared" si="77"/>
        <v>20381</v>
      </c>
    </row>
    <row r="115" spans="1:48" ht="15" customHeight="1" x14ac:dyDescent="0.25">
      <c r="A115" s="842" t="s">
        <v>1187</v>
      </c>
      <c r="B115" s="822" t="s">
        <v>291</v>
      </c>
      <c r="C115" s="778">
        <f t="shared" si="80"/>
        <v>0.31666666666666665</v>
      </c>
      <c r="D115" s="844">
        <v>3</v>
      </c>
      <c r="E115" s="844" t="s">
        <v>884</v>
      </c>
      <c r="F115" s="814">
        <v>45324</v>
      </c>
      <c r="G115" s="814">
        <v>45324</v>
      </c>
      <c r="H115" s="781">
        <f t="shared" si="53"/>
        <v>46419</v>
      </c>
      <c r="I115" s="815">
        <v>47034</v>
      </c>
      <c r="J115" s="805">
        <f t="shared" si="54"/>
        <v>2351.7000000000003</v>
      </c>
      <c r="K115" s="805"/>
      <c r="L115" s="793"/>
      <c r="M115" s="793"/>
      <c r="N115" s="793"/>
      <c r="O115" s="793"/>
      <c r="P115" s="793"/>
      <c r="Q115" s="793"/>
      <c r="R115" s="793"/>
      <c r="S115" s="793"/>
      <c r="T115" s="793"/>
      <c r="U115" s="793"/>
      <c r="V115" s="793"/>
      <c r="W115" s="793"/>
      <c r="X115" s="793"/>
      <c r="Y115" s="793"/>
      <c r="Z115" s="793"/>
      <c r="AA115" s="793"/>
      <c r="AB115" s="793"/>
      <c r="AC115" s="793"/>
      <c r="AD115" s="793"/>
      <c r="AE115" s="793"/>
      <c r="AF115" s="793"/>
      <c r="AG115" s="793"/>
      <c r="AH115" s="805"/>
      <c r="AI115" s="805"/>
      <c r="AJ115" s="793"/>
      <c r="AK115" s="793"/>
      <c r="AL115" s="793"/>
      <c r="AM115" s="793"/>
      <c r="AN115" s="805"/>
      <c r="AO115" s="805"/>
      <c r="AP115" s="793">
        <f t="shared" si="72"/>
        <v>0</v>
      </c>
      <c r="AQ115" s="793">
        <f t="shared" si="73"/>
        <v>47034</v>
      </c>
      <c r="AR115" s="793">
        <f t="shared" si="74"/>
        <v>59</v>
      </c>
      <c r="AS115" s="793">
        <f t="shared" si="75"/>
        <v>2408</v>
      </c>
      <c r="AT115" s="793">
        <f t="shared" si="76"/>
        <v>2408</v>
      </c>
      <c r="AU115" s="793">
        <f t="shared" si="77"/>
        <v>44626</v>
      </c>
    </row>
    <row r="116" spans="1:48" ht="15" customHeight="1" x14ac:dyDescent="0.25">
      <c r="A116" s="842" t="s">
        <v>1187</v>
      </c>
      <c r="B116" s="822" t="s">
        <v>291</v>
      </c>
      <c r="C116" s="778">
        <f t="shared" si="80"/>
        <v>0.31666666666666665</v>
      </c>
      <c r="D116" s="844">
        <v>3</v>
      </c>
      <c r="E116" s="844" t="s">
        <v>884</v>
      </c>
      <c r="F116" s="814">
        <v>45324</v>
      </c>
      <c r="G116" s="814">
        <v>45324</v>
      </c>
      <c r="H116" s="781">
        <f t="shared" si="53"/>
        <v>46419</v>
      </c>
      <c r="I116" s="815">
        <v>5720</v>
      </c>
      <c r="J116" s="805">
        <f t="shared" si="54"/>
        <v>286</v>
      </c>
      <c r="K116" s="805"/>
      <c r="L116" s="793"/>
      <c r="M116" s="793"/>
      <c r="N116" s="793"/>
      <c r="O116" s="793"/>
      <c r="P116" s="793"/>
      <c r="Q116" s="793"/>
      <c r="R116" s="793"/>
      <c r="S116" s="793"/>
      <c r="T116" s="793"/>
      <c r="U116" s="793"/>
      <c r="V116" s="793"/>
      <c r="W116" s="793"/>
      <c r="X116" s="793"/>
      <c r="Y116" s="793"/>
      <c r="Z116" s="793"/>
      <c r="AA116" s="793"/>
      <c r="AB116" s="793"/>
      <c r="AC116" s="793"/>
      <c r="AD116" s="793"/>
      <c r="AE116" s="793"/>
      <c r="AF116" s="793"/>
      <c r="AG116" s="793"/>
      <c r="AH116" s="805"/>
      <c r="AI116" s="805"/>
      <c r="AJ116" s="793"/>
      <c r="AK116" s="793"/>
      <c r="AL116" s="793"/>
      <c r="AM116" s="793"/>
      <c r="AN116" s="805"/>
      <c r="AO116" s="805"/>
      <c r="AP116" s="793">
        <f t="shared" si="72"/>
        <v>0</v>
      </c>
      <c r="AQ116" s="793">
        <f t="shared" si="73"/>
        <v>5720</v>
      </c>
      <c r="AR116" s="793">
        <f t="shared" si="74"/>
        <v>59</v>
      </c>
      <c r="AS116" s="793">
        <f t="shared" si="75"/>
        <v>293</v>
      </c>
      <c r="AT116" s="793">
        <f t="shared" si="76"/>
        <v>293</v>
      </c>
      <c r="AU116" s="793">
        <f t="shared" si="77"/>
        <v>5427</v>
      </c>
    </row>
    <row r="117" spans="1:48" ht="15" customHeight="1" x14ac:dyDescent="0.25">
      <c r="A117" s="842" t="s">
        <v>1187</v>
      </c>
      <c r="B117" s="822" t="s">
        <v>291</v>
      </c>
      <c r="C117" s="778">
        <f t="shared" si="80"/>
        <v>0.31666666666666665</v>
      </c>
      <c r="D117" s="844">
        <v>3</v>
      </c>
      <c r="E117" s="844" t="s">
        <v>884</v>
      </c>
      <c r="F117" s="814">
        <v>45324</v>
      </c>
      <c r="G117" s="814">
        <v>45324</v>
      </c>
      <c r="H117" s="781">
        <f t="shared" si="53"/>
        <v>46419</v>
      </c>
      <c r="I117" s="815">
        <v>3305</v>
      </c>
      <c r="J117" s="805">
        <f t="shared" si="54"/>
        <v>165.25</v>
      </c>
      <c r="K117" s="805"/>
      <c r="L117" s="793"/>
      <c r="M117" s="793"/>
      <c r="N117" s="793"/>
      <c r="O117" s="793"/>
      <c r="P117" s="793"/>
      <c r="Q117" s="793"/>
      <c r="R117" s="793"/>
      <c r="S117" s="793"/>
      <c r="T117" s="793"/>
      <c r="U117" s="793"/>
      <c r="V117" s="793"/>
      <c r="W117" s="793"/>
      <c r="X117" s="793"/>
      <c r="Y117" s="793"/>
      <c r="Z117" s="793"/>
      <c r="AA117" s="793"/>
      <c r="AB117" s="793"/>
      <c r="AC117" s="793"/>
      <c r="AD117" s="793"/>
      <c r="AE117" s="793"/>
      <c r="AF117" s="793"/>
      <c r="AG117" s="793"/>
      <c r="AH117" s="805"/>
      <c r="AI117" s="805"/>
      <c r="AJ117" s="793"/>
      <c r="AK117" s="793"/>
      <c r="AL117" s="793"/>
      <c r="AM117" s="793"/>
      <c r="AN117" s="805"/>
      <c r="AO117" s="805"/>
      <c r="AP117" s="793">
        <f t="shared" si="72"/>
        <v>0</v>
      </c>
      <c r="AQ117" s="793">
        <f t="shared" si="73"/>
        <v>3305</v>
      </c>
      <c r="AR117" s="793">
        <f t="shared" si="74"/>
        <v>59</v>
      </c>
      <c r="AS117" s="793">
        <f t="shared" si="75"/>
        <v>169</v>
      </c>
      <c r="AT117" s="793">
        <f t="shared" si="76"/>
        <v>169</v>
      </c>
      <c r="AU117" s="793">
        <f t="shared" si="77"/>
        <v>3136</v>
      </c>
    </row>
    <row r="118" spans="1:48" ht="15" customHeight="1" x14ac:dyDescent="0.25">
      <c r="A118" s="842" t="s">
        <v>1187</v>
      </c>
      <c r="B118" s="863" t="s">
        <v>1221</v>
      </c>
      <c r="C118" s="778">
        <f t="shared" si="80"/>
        <v>0.31666666666666665</v>
      </c>
      <c r="D118" s="844">
        <v>3</v>
      </c>
      <c r="E118" s="844" t="s">
        <v>884</v>
      </c>
      <c r="F118" s="814">
        <v>45334</v>
      </c>
      <c r="G118" s="814">
        <v>45334</v>
      </c>
      <c r="H118" s="781">
        <f t="shared" si="53"/>
        <v>46429</v>
      </c>
      <c r="I118" s="815">
        <v>57890</v>
      </c>
      <c r="J118" s="805">
        <f t="shared" si="54"/>
        <v>2894.5</v>
      </c>
      <c r="K118" s="805"/>
      <c r="L118" s="793"/>
      <c r="M118" s="793"/>
      <c r="N118" s="793"/>
      <c r="O118" s="793"/>
      <c r="P118" s="793"/>
      <c r="Q118" s="793"/>
      <c r="R118" s="793"/>
      <c r="S118" s="793"/>
      <c r="T118" s="793"/>
      <c r="U118" s="793"/>
      <c r="V118" s="793"/>
      <c r="W118" s="793"/>
      <c r="X118" s="793"/>
      <c r="Y118" s="793"/>
      <c r="Z118" s="793"/>
      <c r="AA118" s="793"/>
      <c r="AB118" s="793"/>
      <c r="AC118" s="793"/>
      <c r="AD118" s="793"/>
      <c r="AE118" s="793"/>
      <c r="AF118" s="793"/>
      <c r="AG118" s="793"/>
      <c r="AH118" s="805"/>
      <c r="AI118" s="805"/>
      <c r="AJ118" s="793"/>
      <c r="AK118" s="793"/>
      <c r="AL118" s="793"/>
      <c r="AM118" s="793"/>
      <c r="AN118" s="805"/>
      <c r="AO118" s="805"/>
      <c r="AP118" s="793">
        <f t="shared" si="72"/>
        <v>0</v>
      </c>
      <c r="AQ118" s="793">
        <f t="shared" si="73"/>
        <v>57890</v>
      </c>
      <c r="AR118" s="793">
        <f t="shared" si="74"/>
        <v>49</v>
      </c>
      <c r="AS118" s="793">
        <f t="shared" si="75"/>
        <v>2461</v>
      </c>
      <c r="AT118" s="793">
        <f t="shared" si="76"/>
        <v>2461</v>
      </c>
      <c r="AU118" s="793">
        <f t="shared" si="77"/>
        <v>55429</v>
      </c>
    </row>
    <row r="119" spans="1:48" ht="15" customHeight="1" x14ac:dyDescent="0.25">
      <c r="A119" s="856" t="s">
        <v>1187</v>
      </c>
      <c r="B119" s="825" t="s">
        <v>1222</v>
      </c>
      <c r="C119" s="826">
        <f t="shared" si="80"/>
        <v>0.31666666666666665</v>
      </c>
      <c r="D119" s="858">
        <v>3</v>
      </c>
      <c r="E119" s="858" t="s">
        <v>884</v>
      </c>
      <c r="F119" s="827">
        <v>45376</v>
      </c>
      <c r="G119" s="827">
        <v>45376</v>
      </c>
      <c r="H119" s="828">
        <f t="shared" si="53"/>
        <v>46471</v>
      </c>
      <c r="I119" s="829">
        <v>2999</v>
      </c>
      <c r="J119" s="821">
        <f t="shared" si="54"/>
        <v>149.95000000000002</v>
      </c>
      <c r="K119" s="821"/>
      <c r="L119" s="818"/>
      <c r="M119" s="818"/>
      <c r="N119" s="818"/>
      <c r="O119" s="818"/>
      <c r="P119" s="818"/>
      <c r="Q119" s="818"/>
      <c r="R119" s="818"/>
      <c r="S119" s="818"/>
      <c r="T119" s="818"/>
      <c r="U119" s="818"/>
      <c r="V119" s="818"/>
      <c r="W119" s="818"/>
      <c r="X119" s="818"/>
      <c r="Y119" s="818"/>
      <c r="Z119" s="818"/>
      <c r="AA119" s="818"/>
      <c r="AB119" s="818"/>
      <c r="AC119" s="818"/>
      <c r="AD119" s="818"/>
      <c r="AE119" s="818"/>
      <c r="AF119" s="818"/>
      <c r="AG119" s="818"/>
      <c r="AH119" s="821"/>
      <c r="AI119" s="821"/>
      <c r="AJ119" s="818"/>
      <c r="AK119" s="818"/>
      <c r="AL119" s="818"/>
      <c r="AM119" s="818"/>
      <c r="AN119" s="821"/>
      <c r="AO119" s="821"/>
      <c r="AP119" s="818">
        <f t="shared" si="72"/>
        <v>0</v>
      </c>
      <c r="AQ119" s="818">
        <f t="shared" si="73"/>
        <v>2999</v>
      </c>
      <c r="AR119" s="818">
        <f t="shared" si="74"/>
        <v>7</v>
      </c>
      <c r="AS119" s="818">
        <f t="shared" si="75"/>
        <v>18</v>
      </c>
      <c r="AT119" s="818">
        <f t="shared" si="76"/>
        <v>18</v>
      </c>
      <c r="AU119" s="818">
        <f t="shared" si="77"/>
        <v>2981</v>
      </c>
    </row>
    <row r="120" spans="1:48" ht="15" customHeight="1" thickBot="1" x14ac:dyDescent="0.3">
      <c r="A120" s="864" t="s">
        <v>1187</v>
      </c>
      <c r="B120" s="865" t="s">
        <v>1221</v>
      </c>
      <c r="C120" s="866">
        <f t="shared" si="80"/>
        <v>0.31666666666666665</v>
      </c>
      <c r="D120" s="867">
        <v>3</v>
      </c>
      <c r="E120" s="867" t="s">
        <v>884</v>
      </c>
      <c r="F120" s="868">
        <v>45290</v>
      </c>
      <c r="G120" s="868">
        <v>45290</v>
      </c>
      <c r="H120" s="781">
        <f t="shared" si="53"/>
        <v>46385</v>
      </c>
      <c r="I120" s="869">
        <v>15000</v>
      </c>
      <c r="J120" s="805">
        <f>I120*5%</f>
        <v>750</v>
      </c>
      <c r="K120" s="805"/>
      <c r="L120" s="793"/>
      <c r="M120" s="793"/>
      <c r="N120" s="793"/>
      <c r="O120" s="793"/>
      <c r="P120" s="793"/>
      <c r="Q120" s="793"/>
      <c r="R120" s="793"/>
      <c r="S120" s="793"/>
      <c r="T120" s="793"/>
      <c r="U120" s="793"/>
      <c r="V120" s="793"/>
      <c r="W120" s="793"/>
      <c r="X120" s="793"/>
      <c r="Y120" s="793"/>
      <c r="Z120" s="793"/>
      <c r="AA120" s="793"/>
      <c r="AB120" s="793"/>
      <c r="AC120" s="793"/>
      <c r="AD120" s="793"/>
      <c r="AE120" s="793"/>
      <c r="AF120" s="793"/>
      <c r="AG120" s="793"/>
      <c r="AH120" s="805"/>
      <c r="AI120" s="805"/>
      <c r="AJ120" s="793"/>
      <c r="AK120" s="793"/>
      <c r="AL120" s="793"/>
      <c r="AM120" s="793"/>
      <c r="AN120" s="805"/>
      <c r="AO120" s="805"/>
      <c r="AP120" s="870">
        <f t="shared" si="72"/>
        <v>0</v>
      </c>
      <c r="AQ120" s="870">
        <f t="shared" si="73"/>
        <v>15000</v>
      </c>
      <c r="AR120" s="870">
        <f t="shared" si="74"/>
        <v>93</v>
      </c>
      <c r="AS120" s="870">
        <f t="shared" si="75"/>
        <v>1210</v>
      </c>
      <c r="AT120" s="870">
        <f t="shared" si="76"/>
        <v>1210</v>
      </c>
      <c r="AU120" s="870">
        <f t="shared" si="77"/>
        <v>13790</v>
      </c>
    </row>
    <row r="121" spans="1:48" ht="15.75" customHeight="1" thickBot="1" x14ac:dyDescent="0.3">
      <c r="A121" s="830" t="s">
        <v>1223</v>
      </c>
      <c r="B121" s="831"/>
      <c r="C121" s="832"/>
      <c r="D121" s="833"/>
      <c r="E121" s="833"/>
      <c r="F121" s="871"/>
      <c r="G121" s="871"/>
      <c r="H121" s="872"/>
      <c r="I121" s="834">
        <f>SUM(I14:I119)-I120</f>
        <v>5026782.4499999993</v>
      </c>
      <c r="J121" s="834">
        <f>SUM(J14:J119)-J120</f>
        <v>251339.12249999994</v>
      </c>
      <c r="K121" s="834">
        <f t="shared" ref="K121:AM121" si="81">SUM(K14:K120)</f>
        <v>0</v>
      </c>
      <c r="L121" s="834">
        <f t="shared" si="81"/>
        <v>0</v>
      </c>
      <c r="M121" s="834">
        <f t="shared" si="81"/>
        <v>2771997.26</v>
      </c>
      <c r="N121" s="834">
        <f t="shared" si="81"/>
        <v>19914</v>
      </c>
      <c r="O121" s="834">
        <f t="shared" si="81"/>
        <v>838811</v>
      </c>
      <c r="P121" s="834">
        <f t="shared" si="81"/>
        <v>838811</v>
      </c>
      <c r="Q121" s="834">
        <f t="shared" si="81"/>
        <v>1933186.26</v>
      </c>
      <c r="R121" s="834">
        <f t="shared" si="81"/>
        <v>1933186.26</v>
      </c>
      <c r="S121" s="834">
        <f t="shared" si="81"/>
        <v>2799069.26</v>
      </c>
      <c r="T121" s="834">
        <f t="shared" si="81"/>
        <v>21979</v>
      </c>
      <c r="U121" s="834">
        <f t="shared" si="81"/>
        <v>878246</v>
      </c>
      <c r="V121" s="834">
        <f t="shared" si="81"/>
        <v>1717057</v>
      </c>
      <c r="W121" s="834">
        <f t="shared" si="81"/>
        <v>1082012.26</v>
      </c>
      <c r="X121" s="834">
        <f t="shared" si="81"/>
        <v>1082012.26</v>
      </c>
      <c r="Y121" s="834">
        <f t="shared" si="81"/>
        <v>3030439.26</v>
      </c>
      <c r="Z121" s="834">
        <f t="shared" si="81"/>
        <v>23052</v>
      </c>
      <c r="AA121" s="834">
        <f t="shared" si="81"/>
        <v>907586</v>
      </c>
      <c r="AB121" s="834">
        <f t="shared" si="81"/>
        <v>2624643</v>
      </c>
      <c r="AC121" s="834">
        <f t="shared" si="81"/>
        <v>405796.26</v>
      </c>
      <c r="AD121" s="834">
        <f t="shared" si="81"/>
        <v>405796.26</v>
      </c>
      <c r="AE121" s="834">
        <f t="shared" si="81"/>
        <v>4083020.2999999993</v>
      </c>
      <c r="AF121" s="834">
        <f t="shared" si="81"/>
        <v>6640</v>
      </c>
      <c r="AG121" s="834">
        <f t="shared" si="81"/>
        <v>270423</v>
      </c>
      <c r="AH121" s="834">
        <f t="shared" si="81"/>
        <v>2895066</v>
      </c>
      <c r="AI121" s="834">
        <f t="shared" si="81"/>
        <v>1187954.3000000003</v>
      </c>
      <c r="AJ121" s="834">
        <f t="shared" si="81"/>
        <v>1187954.3000000003</v>
      </c>
      <c r="AK121" s="834">
        <f t="shared" si="81"/>
        <v>4662075.4499999993</v>
      </c>
      <c r="AL121" s="834">
        <f t="shared" si="81"/>
        <v>8930</v>
      </c>
      <c r="AM121" s="834">
        <f t="shared" si="81"/>
        <v>495692</v>
      </c>
      <c r="AN121" s="834">
        <f>SUM(AN14:AN120)+258826</f>
        <v>3649584</v>
      </c>
      <c r="AO121" s="834">
        <f>+AK121-AN121</f>
        <v>1012491.4499999993</v>
      </c>
      <c r="AP121" s="834">
        <f>+AO121</f>
        <v>1012491.4499999993</v>
      </c>
      <c r="AQ121" s="834">
        <f>SUM(AQ14:AQ119)-AQ120</f>
        <v>5026782.4499999993</v>
      </c>
      <c r="AR121" s="834">
        <f t="shared" ref="AR121:AS121" si="82">SUM(AR14:AR119)-AR120</f>
        <v>12651</v>
      </c>
      <c r="AS121" s="834">
        <f t="shared" si="82"/>
        <v>620957</v>
      </c>
      <c r="AT121" s="834">
        <f>SUM(AT14:AT119)-AT120+258826</f>
        <v>4270541</v>
      </c>
      <c r="AU121" s="873">
        <f>+AQ121-AT121</f>
        <v>756241.44999999925</v>
      </c>
      <c r="AV121" s="841"/>
    </row>
    <row r="122" spans="1:48" ht="15" customHeight="1" x14ac:dyDescent="0.25">
      <c r="C122" s="838"/>
      <c r="D122" s="839"/>
      <c r="E122" s="839"/>
      <c r="I122" s="874"/>
      <c r="J122" s="875"/>
      <c r="K122" s="875"/>
      <c r="M122" s="841"/>
      <c r="AO122" s="841"/>
      <c r="AP122" s="841"/>
    </row>
    <row r="123" spans="1:48" ht="15" customHeight="1" x14ac:dyDescent="0.25">
      <c r="C123" s="838"/>
      <c r="D123" s="839"/>
      <c r="E123" s="839"/>
      <c r="I123" s="840"/>
      <c r="K123" s="841"/>
      <c r="M123" s="841"/>
    </row>
    <row r="124" spans="1:48" ht="15" customHeight="1" x14ac:dyDescent="0.25">
      <c r="A124" s="876" t="s">
        <v>1224</v>
      </c>
      <c r="B124" s="843" t="s">
        <v>1225</v>
      </c>
      <c r="C124" s="778">
        <f t="shared" ref="C124:C184" si="83">(95/D124)/100</f>
        <v>9.5000000000000001E-2</v>
      </c>
      <c r="D124" s="844">
        <v>10</v>
      </c>
      <c r="E124" s="779" t="s">
        <v>1182</v>
      </c>
      <c r="F124" s="877">
        <v>43191</v>
      </c>
      <c r="G124" s="781">
        <f>F124</f>
        <v>43191</v>
      </c>
      <c r="H124" s="781">
        <f t="shared" ref="H124:H184" si="84">G124+(365*D124)</f>
        <v>46841</v>
      </c>
      <c r="I124" s="795">
        <v>1724000</v>
      </c>
      <c r="J124" s="783">
        <f t="shared" ref="J124:J184" si="85">I124*5%</f>
        <v>86200</v>
      </c>
      <c r="K124" s="790"/>
      <c r="L124" s="790"/>
      <c r="M124" s="790">
        <f t="shared" ref="M124:M157" si="86">I124</f>
        <v>1724000</v>
      </c>
      <c r="N124" s="791">
        <f t="shared" ref="N124:N137" si="87">IF(AND(F124&gt;$K$3,F124&lt;$L$3),$L$3-F124+1,IF(H124&lt;=$K$3,0,IF(H124&gt;$L$3,$L$3-$K$3,H124-$K$3)))</f>
        <v>365</v>
      </c>
      <c r="O124" s="791">
        <f t="shared" ref="O124:O157" si="88">ROUND(M124*C124*N124/365,0)</f>
        <v>163780</v>
      </c>
      <c r="P124" s="790">
        <f>O124</f>
        <v>163780</v>
      </c>
      <c r="Q124" s="790">
        <f t="shared" ref="Q124:Q157" si="89">+M124-P124</f>
        <v>1560220</v>
      </c>
      <c r="R124" s="790">
        <f t="shared" ref="R124:R157" si="90">+Q124</f>
        <v>1560220</v>
      </c>
      <c r="S124" s="790">
        <f t="shared" ref="S124:S157" si="91">I124</f>
        <v>1724000</v>
      </c>
      <c r="T124" s="791">
        <f t="shared" ref="T124:T157" si="92">IF(AND(F124&gt;$L$3,F124&lt;$R$3),$R$3-F124+1,IF(H124&lt;=$L$3,0,IF(H124&gt;$R$3,$R$3-$L$3,H124-$L$3)))</f>
        <v>366</v>
      </c>
      <c r="U124" s="791">
        <f t="shared" ref="U124:U139" si="93">ROUND(S124*C124*T124/366,0)</f>
        <v>163780</v>
      </c>
      <c r="V124" s="790">
        <f t="shared" ref="V124:V157" si="94">+P124+U124</f>
        <v>327560</v>
      </c>
      <c r="W124" s="790">
        <f t="shared" ref="W124:W157" si="95">+S124-V124</f>
        <v>1396440</v>
      </c>
      <c r="X124" s="790">
        <f t="shared" ref="X124:X159" si="96">W124</f>
        <v>1396440</v>
      </c>
      <c r="Y124" s="783">
        <f t="shared" ref="Y124:Y159" si="97">I124</f>
        <v>1724000</v>
      </c>
      <c r="Z124" s="783">
        <f t="shared" ref="Z124:Z159" si="98">IF(AND(F124&gt;$R$3,F124&lt;$X$3),$X$3-F124+1,IF(H124&lt;=$R$3,0,IF(H124&gt;$X$3,$X$3-$R$3,H124-$R$3)))</f>
        <v>365</v>
      </c>
      <c r="AA124" s="783">
        <f t="shared" ref="AA124:AA159" si="99">ROUND(Y124*C124*Z124/365,0)</f>
        <v>163780</v>
      </c>
      <c r="AB124" s="783">
        <f t="shared" ref="AB124:AB159" si="100">+V124+AA124</f>
        <v>491340</v>
      </c>
      <c r="AC124" s="783">
        <f t="shared" ref="AC124:AC159" si="101">Y124-AB124</f>
        <v>1232660</v>
      </c>
      <c r="AD124" s="790">
        <f t="shared" ref="AD124:AD167" si="102">AC124</f>
        <v>1232660</v>
      </c>
      <c r="AE124" s="790">
        <f t="shared" ref="AE124:AE164" si="103">I124</f>
        <v>1724000</v>
      </c>
      <c r="AF124" s="791">
        <f t="shared" ref="AF124:AF164" si="104">IF(AND(F124&gt;$X$3,F124&lt;$AD$3),$AD$3-F124+1,IF(H124&lt;=$X$3,0,IF(H124&gt;$AD$3,$AD$3-$X$3,H124-$X$3)))</f>
        <v>365</v>
      </c>
      <c r="AG124" s="791">
        <f t="shared" ref="AG124:AG167" si="105">ROUND(AE124*C124*AF124/365,0)</f>
        <v>163780</v>
      </c>
      <c r="AH124" s="783">
        <f t="shared" ref="AH124:AH167" si="106">+AB124+AG124</f>
        <v>655120</v>
      </c>
      <c r="AI124" s="783">
        <f t="shared" ref="AI124:AI167" si="107">AE124-AH124</f>
        <v>1068880</v>
      </c>
      <c r="AJ124" s="790">
        <f t="shared" ref="AJ124:AJ167" si="108">AI124</f>
        <v>1068880</v>
      </c>
      <c r="AK124" s="790">
        <f t="shared" ref="AK124:AK167" si="109">I124</f>
        <v>1724000</v>
      </c>
      <c r="AL124" s="791">
        <f t="shared" ref="AL124:AL167" si="110">IF(AND(F124&gt;$AD$3,F124&lt;$AJ$3),$AJ$3-F124+1,IF(H124&lt;=$AD$3,0,IF(H124&gt;$AJ$3,$AJ$3-$AD$3,H124-$AD$3)))</f>
        <v>365</v>
      </c>
      <c r="AM124" s="791">
        <f t="shared" ref="AM124:AM167" si="111">ROUND(AK124*C124*AL124/365,0)</f>
        <v>163780</v>
      </c>
      <c r="AN124" s="783">
        <f t="shared" ref="AN124:AN167" si="112">+AH124+AM124</f>
        <v>818900</v>
      </c>
      <c r="AO124" s="783">
        <f t="shared" ref="AO124:AO167" si="113">AK124-AN124</f>
        <v>905100</v>
      </c>
      <c r="AP124" s="790">
        <f t="shared" ref="AP124:AP184" si="114">+AO124</f>
        <v>905100</v>
      </c>
      <c r="AQ124" s="808">
        <f t="shared" ref="AQ124:AQ184" si="115">I124</f>
        <v>1724000</v>
      </c>
      <c r="AR124" s="809">
        <f t="shared" ref="AR124:AR184" si="116">IF(AND(F124&gt;$AJ$3,F124&lt;$AP$3),$AP$3-F124+1,IF(H124&lt;=$AJ$3,0,IF(H124&gt;$AP$3,$AP$3-$AJ$3,H124-$AJ$3)))</f>
        <v>366</v>
      </c>
      <c r="AS124" s="809">
        <f t="shared" ref="AS124:AS184" si="117">ROUND(AQ124*C124*AR124/365,0)</f>
        <v>164229</v>
      </c>
      <c r="AT124" s="808">
        <f t="shared" ref="AT124:AT184" si="118">+AN124+AS124</f>
        <v>983129</v>
      </c>
      <c r="AU124" s="790">
        <f t="shared" ref="AU124:AU184" si="119">+AQ124-AT124</f>
        <v>740871</v>
      </c>
    </row>
    <row r="125" spans="1:48" ht="15" customHeight="1" x14ac:dyDescent="0.25">
      <c r="A125" s="878" t="s">
        <v>1224</v>
      </c>
      <c r="B125" s="879" t="s">
        <v>1225</v>
      </c>
      <c r="C125" s="880">
        <f t="shared" si="83"/>
        <v>9.5000000000000001E-2</v>
      </c>
      <c r="D125" s="881">
        <v>10</v>
      </c>
      <c r="E125" s="882" t="s">
        <v>1182</v>
      </c>
      <c r="F125" s="883">
        <v>43191</v>
      </c>
      <c r="G125" s="884">
        <f t="shared" ref="G125:G167" si="120">F125</f>
        <v>43191</v>
      </c>
      <c r="H125" s="884">
        <f t="shared" si="84"/>
        <v>46841</v>
      </c>
      <c r="I125" s="885">
        <v>342500</v>
      </c>
      <c r="J125" s="886">
        <f t="shared" si="85"/>
        <v>17125</v>
      </c>
      <c r="K125" s="887"/>
      <c r="L125" s="888"/>
      <c r="M125" s="889">
        <f t="shared" si="86"/>
        <v>342500</v>
      </c>
      <c r="N125" s="890">
        <f t="shared" si="87"/>
        <v>365</v>
      </c>
      <c r="O125" s="890">
        <f t="shared" si="88"/>
        <v>32538</v>
      </c>
      <c r="P125" s="889">
        <f t="shared" ref="P125:P157" si="121">O125</f>
        <v>32538</v>
      </c>
      <c r="Q125" s="891">
        <f t="shared" si="89"/>
        <v>309962</v>
      </c>
      <c r="R125" s="892">
        <f t="shared" si="90"/>
        <v>309962</v>
      </c>
      <c r="S125" s="889">
        <f t="shared" si="91"/>
        <v>342500</v>
      </c>
      <c r="T125" s="890">
        <f t="shared" si="92"/>
        <v>366</v>
      </c>
      <c r="U125" s="890">
        <f t="shared" si="93"/>
        <v>32538</v>
      </c>
      <c r="V125" s="889">
        <f t="shared" si="94"/>
        <v>65076</v>
      </c>
      <c r="W125" s="891">
        <f t="shared" si="95"/>
        <v>277424</v>
      </c>
      <c r="X125" s="888">
        <f t="shared" si="96"/>
        <v>277424</v>
      </c>
      <c r="Y125" s="886">
        <f t="shared" si="97"/>
        <v>342500</v>
      </c>
      <c r="Z125" s="886">
        <f t="shared" si="98"/>
        <v>365</v>
      </c>
      <c r="AA125" s="886">
        <f t="shared" si="99"/>
        <v>32538</v>
      </c>
      <c r="AB125" s="886">
        <f t="shared" si="100"/>
        <v>97614</v>
      </c>
      <c r="AC125" s="893">
        <f t="shared" si="101"/>
        <v>244886</v>
      </c>
      <c r="AD125" s="892">
        <f t="shared" si="102"/>
        <v>244886</v>
      </c>
      <c r="AE125" s="889">
        <f t="shared" si="103"/>
        <v>342500</v>
      </c>
      <c r="AF125" s="890">
        <f t="shared" si="104"/>
        <v>365</v>
      </c>
      <c r="AG125" s="890">
        <f t="shared" si="105"/>
        <v>32538</v>
      </c>
      <c r="AH125" s="886">
        <f t="shared" si="106"/>
        <v>130152</v>
      </c>
      <c r="AI125" s="886">
        <f t="shared" si="107"/>
        <v>212348</v>
      </c>
      <c r="AJ125" s="889">
        <f t="shared" si="108"/>
        <v>212348</v>
      </c>
      <c r="AK125" s="889">
        <f t="shared" si="109"/>
        <v>342500</v>
      </c>
      <c r="AL125" s="890">
        <f t="shared" si="110"/>
        <v>365</v>
      </c>
      <c r="AM125" s="890">
        <f t="shared" si="111"/>
        <v>32538</v>
      </c>
      <c r="AN125" s="886">
        <f t="shared" si="112"/>
        <v>162690</v>
      </c>
      <c r="AO125" s="886">
        <f t="shared" si="113"/>
        <v>179810</v>
      </c>
      <c r="AP125" s="894">
        <f t="shared" si="114"/>
        <v>179810</v>
      </c>
      <c r="AQ125" s="808">
        <f t="shared" si="115"/>
        <v>342500</v>
      </c>
      <c r="AR125" s="809">
        <f t="shared" si="116"/>
        <v>366</v>
      </c>
      <c r="AS125" s="809">
        <f t="shared" si="117"/>
        <v>32627</v>
      </c>
      <c r="AT125" s="808">
        <f t="shared" si="118"/>
        <v>195317</v>
      </c>
      <c r="AU125" s="790">
        <f t="shared" si="119"/>
        <v>147183</v>
      </c>
    </row>
    <row r="126" spans="1:48" ht="15" customHeight="1" x14ac:dyDescent="0.25">
      <c r="A126" s="876" t="s">
        <v>1224</v>
      </c>
      <c r="B126" s="843" t="s">
        <v>1226</v>
      </c>
      <c r="C126" s="778">
        <f t="shared" si="83"/>
        <v>9.5000000000000001E-2</v>
      </c>
      <c r="D126" s="844">
        <v>10</v>
      </c>
      <c r="E126" s="779" t="s">
        <v>1182</v>
      </c>
      <c r="F126" s="877">
        <v>43191</v>
      </c>
      <c r="G126" s="781">
        <f t="shared" si="120"/>
        <v>43191</v>
      </c>
      <c r="H126" s="781">
        <f t="shared" si="84"/>
        <v>46841</v>
      </c>
      <c r="I126" s="795">
        <v>1255000</v>
      </c>
      <c r="J126" s="783">
        <f t="shared" si="85"/>
        <v>62750</v>
      </c>
      <c r="K126" s="887"/>
      <c r="L126" s="846"/>
      <c r="M126" s="790">
        <f t="shared" si="86"/>
        <v>1255000</v>
      </c>
      <c r="N126" s="791">
        <f t="shared" si="87"/>
        <v>365</v>
      </c>
      <c r="O126" s="791">
        <f t="shared" si="88"/>
        <v>119225</v>
      </c>
      <c r="P126" s="790">
        <f t="shared" si="121"/>
        <v>119225</v>
      </c>
      <c r="Q126" s="847">
        <f t="shared" si="89"/>
        <v>1135775</v>
      </c>
      <c r="R126" s="789">
        <f t="shared" si="90"/>
        <v>1135775</v>
      </c>
      <c r="S126" s="790">
        <f t="shared" si="91"/>
        <v>1255000</v>
      </c>
      <c r="T126" s="791">
        <f t="shared" si="92"/>
        <v>366</v>
      </c>
      <c r="U126" s="791">
        <f t="shared" si="93"/>
        <v>119225</v>
      </c>
      <c r="V126" s="790">
        <f t="shared" si="94"/>
        <v>238450</v>
      </c>
      <c r="W126" s="847">
        <f t="shared" si="95"/>
        <v>1016550</v>
      </c>
      <c r="X126" s="846">
        <f t="shared" si="96"/>
        <v>1016550</v>
      </c>
      <c r="Y126" s="783">
        <f t="shared" si="97"/>
        <v>1255000</v>
      </c>
      <c r="Z126" s="783">
        <f t="shared" si="98"/>
        <v>365</v>
      </c>
      <c r="AA126" s="783">
        <f t="shared" si="99"/>
        <v>119225</v>
      </c>
      <c r="AB126" s="783">
        <f t="shared" si="100"/>
        <v>357675</v>
      </c>
      <c r="AC126" s="848">
        <f t="shared" si="101"/>
        <v>897325</v>
      </c>
      <c r="AD126" s="789">
        <f t="shared" si="102"/>
        <v>897325</v>
      </c>
      <c r="AE126" s="790">
        <f t="shared" si="103"/>
        <v>1255000</v>
      </c>
      <c r="AF126" s="791">
        <f t="shared" si="104"/>
        <v>365</v>
      </c>
      <c r="AG126" s="791">
        <f t="shared" si="105"/>
        <v>119225</v>
      </c>
      <c r="AH126" s="783">
        <f t="shared" si="106"/>
        <v>476900</v>
      </c>
      <c r="AI126" s="783">
        <f t="shared" si="107"/>
        <v>778100</v>
      </c>
      <c r="AJ126" s="790">
        <f t="shared" si="108"/>
        <v>778100</v>
      </c>
      <c r="AK126" s="790">
        <f t="shared" si="109"/>
        <v>1255000</v>
      </c>
      <c r="AL126" s="791">
        <f t="shared" si="110"/>
        <v>365</v>
      </c>
      <c r="AM126" s="791">
        <f t="shared" si="111"/>
        <v>119225</v>
      </c>
      <c r="AN126" s="783">
        <f t="shared" si="112"/>
        <v>596125</v>
      </c>
      <c r="AO126" s="783">
        <f t="shared" si="113"/>
        <v>658875</v>
      </c>
      <c r="AP126" s="808">
        <f t="shared" si="114"/>
        <v>658875</v>
      </c>
      <c r="AQ126" s="808">
        <f t="shared" si="115"/>
        <v>1255000</v>
      </c>
      <c r="AR126" s="809">
        <f t="shared" si="116"/>
        <v>366</v>
      </c>
      <c r="AS126" s="809">
        <f t="shared" si="117"/>
        <v>119552</v>
      </c>
      <c r="AT126" s="808">
        <f t="shared" si="118"/>
        <v>715677</v>
      </c>
      <c r="AU126" s="790">
        <f t="shared" si="119"/>
        <v>539323</v>
      </c>
    </row>
    <row r="127" spans="1:48" ht="15" customHeight="1" x14ac:dyDescent="0.25">
      <c r="A127" s="876" t="s">
        <v>1224</v>
      </c>
      <c r="B127" s="843" t="s">
        <v>1227</v>
      </c>
      <c r="C127" s="778">
        <f t="shared" si="83"/>
        <v>9.5000000000000001E-2</v>
      </c>
      <c r="D127" s="844">
        <v>10</v>
      </c>
      <c r="E127" s="779" t="s">
        <v>1182</v>
      </c>
      <c r="F127" s="877">
        <v>43191</v>
      </c>
      <c r="G127" s="781">
        <f t="shared" si="120"/>
        <v>43191</v>
      </c>
      <c r="H127" s="781">
        <f t="shared" si="84"/>
        <v>46841</v>
      </c>
      <c r="I127" s="795">
        <v>700847.5</v>
      </c>
      <c r="J127" s="783">
        <f t="shared" si="85"/>
        <v>35042.375</v>
      </c>
      <c r="K127" s="887"/>
      <c r="L127" s="846"/>
      <c r="M127" s="790">
        <f t="shared" si="86"/>
        <v>700847.5</v>
      </c>
      <c r="N127" s="791">
        <f t="shared" si="87"/>
        <v>365</v>
      </c>
      <c r="O127" s="791">
        <f t="shared" si="88"/>
        <v>66581</v>
      </c>
      <c r="P127" s="790">
        <f t="shared" si="121"/>
        <v>66581</v>
      </c>
      <c r="Q127" s="847">
        <f t="shared" si="89"/>
        <v>634266.5</v>
      </c>
      <c r="R127" s="789">
        <f t="shared" si="90"/>
        <v>634266.5</v>
      </c>
      <c r="S127" s="790">
        <f t="shared" si="91"/>
        <v>700847.5</v>
      </c>
      <c r="T127" s="791">
        <f t="shared" si="92"/>
        <v>366</v>
      </c>
      <c r="U127" s="791">
        <f t="shared" si="93"/>
        <v>66581</v>
      </c>
      <c r="V127" s="790">
        <f t="shared" si="94"/>
        <v>133162</v>
      </c>
      <c r="W127" s="847">
        <f t="shared" si="95"/>
        <v>567685.5</v>
      </c>
      <c r="X127" s="846">
        <f t="shared" si="96"/>
        <v>567685.5</v>
      </c>
      <c r="Y127" s="783">
        <f t="shared" si="97"/>
        <v>700847.5</v>
      </c>
      <c r="Z127" s="783">
        <f t="shared" si="98"/>
        <v>365</v>
      </c>
      <c r="AA127" s="783">
        <f t="shared" si="99"/>
        <v>66581</v>
      </c>
      <c r="AB127" s="783">
        <f t="shared" si="100"/>
        <v>199743</v>
      </c>
      <c r="AC127" s="848">
        <f t="shared" si="101"/>
        <v>501104.5</v>
      </c>
      <c r="AD127" s="789">
        <f t="shared" si="102"/>
        <v>501104.5</v>
      </c>
      <c r="AE127" s="790">
        <f t="shared" si="103"/>
        <v>700847.5</v>
      </c>
      <c r="AF127" s="791">
        <f t="shared" si="104"/>
        <v>365</v>
      </c>
      <c r="AG127" s="791">
        <f t="shared" si="105"/>
        <v>66581</v>
      </c>
      <c r="AH127" s="783">
        <f t="shared" si="106"/>
        <v>266324</v>
      </c>
      <c r="AI127" s="783">
        <f t="shared" si="107"/>
        <v>434523.5</v>
      </c>
      <c r="AJ127" s="790">
        <f t="shared" si="108"/>
        <v>434523.5</v>
      </c>
      <c r="AK127" s="790">
        <f t="shared" si="109"/>
        <v>700847.5</v>
      </c>
      <c r="AL127" s="791">
        <f t="shared" si="110"/>
        <v>365</v>
      </c>
      <c r="AM127" s="791">
        <f t="shared" si="111"/>
        <v>66581</v>
      </c>
      <c r="AN127" s="783">
        <f t="shared" si="112"/>
        <v>332905</v>
      </c>
      <c r="AO127" s="783">
        <f t="shared" si="113"/>
        <v>367942.5</v>
      </c>
      <c r="AP127" s="808">
        <f t="shared" si="114"/>
        <v>367942.5</v>
      </c>
      <c r="AQ127" s="808">
        <f t="shared" si="115"/>
        <v>700847.5</v>
      </c>
      <c r="AR127" s="809">
        <f t="shared" si="116"/>
        <v>366</v>
      </c>
      <c r="AS127" s="809">
        <f t="shared" si="117"/>
        <v>66763</v>
      </c>
      <c r="AT127" s="808">
        <f t="shared" si="118"/>
        <v>399668</v>
      </c>
      <c r="AU127" s="790">
        <f t="shared" si="119"/>
        <v>301179.5</v>
      </c>
    </row>
    <row r="128" spans="1:48" ht="15" customHeight="1" x14ac:dyDescent="0.25">
      <c r="A128" s="876" t="s">
        <v>1224</v>
      </c>
      <c r="B128" s="843" t="s">
        <v>1228</v>
      </c>
      <c r="C128" s="778">
        <f t="shared" si="83"/>
        <v>9.5000000000000001E-2</v>
      </c>
      <c r="D128" s="844">
        <v>10</v>
      </c>
      <c r="E128" s="779" t="s">
        <v>1182</v>
      </c>
      <c r="F128" s="877">
        <v>43191</v>
      </c>
      <c r="G128" s="781">
        <f t="shared" si="120"/>
        <v>43191</v>
      </c>
      <c r="H128" s="781">
        <f t="shared" si="84"/>
        <v>46841</v>
      </c>
      <c r="I128" s="795">
        <v>46893</v>
      </c>
      <c r="J128" s="783">
        <f t="shared" si="85"/>
        <v>2344.65</v>
      </c>
      <c r="K128" s="887"/>
      <c r="L128" s="846"/>
      <c r="M128" s="790">
        <f t="shared" si="86"/>
        <v>46893</v>
      </c>
      <c r="N128" s="791">
        <f t="shared" si="87"/>
        <v>365</v>
      </c>
      <c r="O128" s="791">
        <f t="shared" si="88"/>
        <v>4455</v>
      </c>
      <c r="P128" s="790">
        <f t="shared" si="121"/>
        <v>4455</v>
      </c>
      <c r="Q128" s="847">
        <f t="shared" si="89"/>
        <v>42438</v>
      </c>
      <c r="R128" s="789">
        <f t="shared" si="90"/>
        <v>42438</v>
      </c>
      <c r="S128" s="790">
        <f t="shared" si="91"/>
        <v>46893</v>
      </c>
      <c r="T128" s="791">
        <f t="shared" si="92"/>
        <v>366</v>
      </c>
      <c r="U128" s="791">
        <f t="shared" si="93"/>
        <v>4455</v>
      </c>
      <c r="V128" s="790">
        <f t="shared" si="94"/>
        <v>8910</v>
      </c>
      <c r="W128" s="847">
        <f t="shared" si="95"/>
        <v>37983</v>
      </c>
      <c r="X128" s="846">
        <f t="shared" si="96"/>
        <v>37983</v>
      </c>
      <c r="Y128" s="783">
        <f t="shared" si="97"/>
        <v>46893</v>
      </c>
      <c r="Z128" s="783">
        <f t="shared" si="98"/>
        <v>365</v>
      </c>
      <c r="AA128" s="783">
        <f t="shared" si="99"/>
        <v>4455</v>
      </c>
      <c r="AB128" s="783">
        <f t="shared" si="100"/>
        <v>13365</v>
      </c>
      <c r="AC128" s="848">
        <f t="shared" si="101"/>
        <v>33528</v>
      </c>
      <c r="AD128" s="789">
        <f t="shared" si="102"/>
        <v>33528</v>
      </c>
      <c r="AE128" s="790">
        <f t="shared" si="103"/>
        <v>46893</v>
      </c>
      <c r="AF128" s="791">
        <f t="shared" si="104"/>
        <v>365</v>
      </c>
      <c r="AG128" s="791">
        <f t="shared" si="105"/>
        <v>4455</v>
      </c>
      <c r="AH128" s="783">
        <f t="shared" si="106"/>
        <v>17820</v>
      </c>
      <c r="AI128" s="783">
        <f t="shared" si="107"/>
        <v>29073</v>
      </c>
      <c r="AJ128" s="790">
        <f t="shared" si="108"/>
        <v>29073</v>
      </c>
      <c r="AK128" s="790">
        <f t="shared" si="109"/>
        <v>46893</v>
      </c>
      <c r="AL128" s="791">
        <f t="shared" si="110"/>
        <v>365</v>
      </c>
      <c r="AM128" s="791">
        <f t="shared" si="111"/>
        <v>4455</v>
      </c>
      <c r="AN128" s="783">
        <f t="shared" si="112"/>
        <v>22275</v>
      </c>
      <c r="AO128" s="783">
        <f t="shared" si="113"/>
        <v>24618</v>
      </c>
      <c r="AP128" s="808">
        <f t="shared" si="114"/>
        <v>24618</v>
      </c>
      <c r="AQ128" s="808">
        <f t="shared" si="115"/>
        <v>46893</v>
      </c>
      <c r="AR128" s="809">
        <f t="shared" si="116"/>
        <v>366</v>
      </c>
      <c r="AS128" s="809">
        <f t="shared" si="117"/>
        <v>4467</v>
      </c>
      <c r="AT128" s="808">
        <f t="shared" si="118"/>
        <v>26742</v>
      </c>
      <c r="AU128" s="790">
        <f t="shared" si="119"/>
        <v>20151</v>
      </c>
    </row>
    <row r="129" spans="1:47" ht="15" customHeight="1" x14ac:dyDescent="0.25">
      <c r="A129" s="876" t="s">
        <v>1224</v>
      </c>
      <c r="B129" s="843" t="s">
        <v>1229</v>
      </c>
      <c r="C129" s="778">
        <f t="shared" si="83"/>
        <v>9.5000000000000001E-2</v>
      </c>
      <c r="D129" s="844">
        <v>10</v>
      </c>
      <c r="E129" s="779" t="s">
        <v>1182</v>
      </c>
      <c r="F129" s="877">
        <v>43191</v>
      </c>
      <c r="G129" s="781">
        <f t="shared" si="120"/>
        <v>43191</v>
      </c>
      <c r="H129" s="781">
        <f t="shared" si="84"/>
        <v>46841</v>
      </c>
      <c r="I129" s="795">
        <v>8162</v>
      </c>
      <c r="J129" s="783">
        <f t="shared" si="85"/>
        <v>408.1</v>
      </c>
      <c r="K129" s="887"/>
      <c r="L129" s="846"/>
      <c r="M129" s="790">
        <f t="shared" si="86"/>
        <v>8162</v>
      </c>
      <c r="N129" s="791">
        <f t="shared" si="87"/>
        <v>365</v>
      </c>
      <c r="O129" s="791">
        <f t="shared" si="88"/>
        <v>775</v>
      </c>
      <c r="P129" s="790">
        <f t="shared" si="121"/>
        <v>775</v>
      </c>
      <c r="Q129" s="847">
        <f t="shared" si="89"/>
        <v>7387</v>
      </c>
      <c r="R129" s="789">
        <f t="shared" si="90"/>
        <v>7387</v>
      </c>
      <c r="S129" s="790">
        <f t="shared" si="91"/>
        <v>8162</v>
      </c>
      <c r="T129" s="791">
        <f t="shared" si="92"/>
        <v>366</v>
      </c>
      <c r="U129" s="791">
        <f t="shared" si="93"/>
        <v>775</v>
      </c>
      <c r="V129" s="790">
        <f t="shared" si="94"/>
        <v>1550</v>
      </c>
      <c r="W129" s="847">
        <f t="shared" si="95"/>
        <v>6612</v>
      </c>
      <c r="X129" s="846">
        <f t="shared" si="96"/>
        <v>6612</v>
      </c>
      <c r="Y129" s="783">
        <f t="shared" si="97"/>
        <v>8162</v>
      </c>
      <c r="Z129" s="783">
        <f t="shared" si="98"/>
        <v>365</v>
      </c>
      <c r="AA129" s="783">
        <f t="shared" si="99"/>
        <v>775</v>
      </c>
      <c r="AB129" s="783">
        <f t="shared" si="100"/>
        <v>2325</v>
      </c>
      <c r="AC129" s="848">
        <f t="shared" si="101"/>
        <v>5837</v>
      </c>
      <c r="AD129" s="789">
        <f t="shared" si="102"/>
        <v>5837</v>
      </c>
      <c r="AE129" s="790">
        <f t="shared" si="103"/>
        <v>8162</v>
      </c>
      <c r="AF129" s="791">
        <f t="shared" si="104"/>
        <v>365</v>
      </c>
      <c r="AG129" s="791">
        <f t="shared" si="105"/>
        <v>775</v>
      </c>
      <c r="AH129" s="783">
        <f t="shared" si="106"/>
        <v>3100</v>
      </c>
      <c r="AI129" s="783">
        <f t="shared" si="107"/>
        <v>5062</v>
      </c>
      <c r="AJ129" s="790">
        <f t="shared" si="108"/>
        <v>5062</v>
      </c>
      <c r="AK129" s="790">
        <f t="shared" si="109"/>
        <v>8162</v>
      </c>
      <c r="AL129" s="791">
        <f t="shared" si="110"/>
        <v>365</v>
      </c>
      <c r="AM129" s="791">
        <f t="shared" si="111"/>
        <v>775</v>
      </c>
      <c r="AN129" s="783">
        <f t="shared" si="112"/>
        <v>3875</v>
      </c>
      <c r="AO129" s="783">
        <f t="shared" si="113"/>
        <v>4287</v>
      </c>
      <c r="AP129" s="808">
        <f t="shared" si="114"/>
        <v>4287</v>
      </c>
      <c r="AQ129" s="808">
        <f t="shared" si="115"/>
        <v>8162</v>
      </c>
      <c r="AR129" s="809">
        <f t="shared" si="116"/>
        <v>366</v>
      </c>
      <c r="AS129" s="809">
        <f t="shared" si="117"/>
        <v>778</v>
      </c>
      <c r="AT129" s="808">
        <f t="shared" si="118"/>
        <v>4653</v>
      </c>
      <c r="AU129" s="790">
        <f t="shared" si="119"/>
        <v>3509</v>
      </c>
    </row>
    <row r="130" spans="1:47" ht="15" customHeight="1" x14ac:dyDescent="0.25">
      <c r="A130" s="876" t="s">
        <v>1224</v>
      </c>
      <c r="B130" s="843" t="s">
        <v>1229</v>
      </c>
      <c r="C130" s="778">
        <f t="shared" si="83"/>
        <v>9.5000000000000001E-2</v>
      </c>
      <c r="D130" s="844">
        <v>10</v>
      </c>
      <c r="E130" s="779" t="s">
        <v>1182</v>
      </c>
      <c r="F130" s="877">
        <v>43191</v>
      </c>
      <c r="G130" s="781">
        <f t="shared" si="120"/>
        <v>43191</v>
      </c>
      <c r="H130" s="781">
        <f t="shared" si="84"/>
        <v>46841</v>
      </c>
      <c r="I130" s="795">
        <v>24703</v>
      </c>
      <c r="J130" s="783">
        <f t="shared" si="85"/>
        <v>1235.1500000000001</v>
      </c>
      <c r="K130" s="887"/>
      <c r="L130" s="846"/>
      <c r="M130" s="790">
        <f t="shared" si="86"/>
        <v>24703</v>
      </c>
      <c r="N130" s="791">
        <f t="shared" si="87"/>
        <v>365</v>
      </c>
      <c r="O130" s="791">
        <f t="shared" si="88"/>
        <v>2347</v>
      </c>
      <c r="P130" s="790">
        <f t="shared" si="121"/>
        <v>2347</v>
      </c>
      <c r="Q130" s="847">
        <f t="shared" si="89"/>
        <v>22356</v>
      </c>
      <c r="R130" s="789">
        <f t="shared" si="90"/>
        <v>22356</v>
      </c>
      <c r="S130" s="790">
        <f t="shared" si="91"/>
        <v>24703</v>
      </c>
      <c r="T130" s="791">
        <f t="shared" si="92"/>
        <v>366</v>
      </c>
      <c r="U130" s="791">
        <f t="shared" si="93"/>
        <v>2347</v>
      </c>
      <c r="V130" s="790">
        <f t="shared" si="94"/>
        <v>4694</v>
      </c>
      <c r="W130" s="847">
        <f t="shared" si="95"/>
        <v>20009</v>
      </c>
      <c r="X130" s="846">
        <f t="shared" si="96"/>
        <v>20009</v>
      </c>
      <c r="Y130" s="783">
        <f t="shared" si="97"/>
        <v>24703</v>
      </c>
      <c r="Z130" s="783">
        <f t="shared" si="98"/>
        <v>365</v>
      </c>
      <c r="AA130" s="783">
        <f t="shared" si="99"/>
        <v>2347</v>
      </c>
      <c r="AB130" s="783">
        <f t="shared" si="100"/>
        <v>7041</v>
      </c>
      <c r="AC130" s="848">
        <f t="shared" si="101"/>
        <v>17662</v>
      </c>
      <c r="AD130" s="789">
        <f t="shared" si="102"/>
        <v>17662</v>
      </c>
      <c r="AE130" s="790">
        <f t="shared" si="103"/>
        <v>24703</v>
      </c>
      <c r="AF130" s="791">
        <f t="shared" si="104"/>
        <v>365</v>
      </c>
      <c r="AG130" s="791">
        <f t="shared" si="105"/>
        <v>2347</v>
      </c>
      <c r="AH130" s="783">
        <f t="shared" si="106"/>
        <v>9388</v>
      </c>
      <c r="AI130" s="783">
        <f t="shared" si="107"/>
        <v>15315</v>
      </c>
      <c r="AJ130" s="790">
        <f t="shared" si="108"/>
        <v>15315</v>
      </c>
      <c r="AK130" s="790">
        <f t="shared" si="109"/>
        <v>24703</v>
      </c>
      <c r="AL130" s="791">
        <f t="shared" si="110"/>
        <v>365</v>
      </c>
      <c r="AM130" s="791">
        <f t="shared" si="111"/>
        <v>2347</v>
      </c>
      <c r="AN130" s="783">
        <f t="shared" si="112"/>
        <v>11735</v>
      </c>
      <c r="AO130" s="783">
        <f t="shared" si="113"/>
        <v>12968</v>
      </c>
      <c r="AP130" s="808">
        <f t="shared" si="114"/>
        <v>12968</v>
      </c>
      <c r="AQ130" s="808">
        <f t="shared" si="115"/>
        <v>24703</v>
      </c>
      <c r="AR130" s="809">
        <f t="shared" si="116"/>
        <v>366</v>
      </c>
      <c r="AS130" s="809">
        <f t="shared" si="117"/>
        <v>2353</v>
      </c>
      <c r="AT130" s="808">
        <f t="shared" si="118"/>
        <v>14088</v>
      </c>
      <c r="AU130" s="790">
        <f t="shared" si="119"/>
        <v>10615</v>
      </c>
    </row>
    <row r="131" spans="1:47" ht="15" customHeight="1" x14ac:dyDescent="0.25">
      <c r="A131" s="876" t="s">
        <v>1224</v>
      </c>
      <c r="B131" s="843" t="s">
        <v>1230</v>
      </c>
      <c r="C131" s="778">
        <f t="shared" si="83"/>
        <v>9.5000000000000001E-2</v>
      </c>
      <c r="D131" s="844">
        <v>10</v>
      </c>
      <c r="E131" s="779" t="s">
        <v>1182</v>
      </c>
      <c r="F131" s="877">
        <v>43191</v>
      </c>
      <c r="G131" s="781">
        <f t="shared" si="120"/>
        <v>43191</v>
      </c>
      <c r="H131" s="781">
        <f t="shared" si="84"/>
        <v>46841</v>
      </c>
      <c r="I131" s="795">
        <v>79110</v>
      </c>
      <c r="J131" s="783">
        <f t="shared" si="85"/>
        <v>3955.5</v>
      </c>
      <c r="K131" s="887"/>
      <c r="L131" s="846"/>
      <c r="M131" s="790">
        <f t="shared" si="86"/>
        <v>79110</v>
      </c>
      <c r="N131" s="791">
        <f t="shared" si="87"/>
        <v>365</v>
      </c>
      <c r="O131" s="791">
        <f t="shared" si="88"/>
        <v>7515</v>
      </c>
      <c r="P131" s="790">
        <f t="shared" si="121"/>
        <v>7515</v>
      </c>
      <c r="Q131" s="847">
        <f t="shared" si="89"/>
        <v>71595</v>
      </c>
      <c r="R131" s="789">
        <f t="shared" si="90"/>
        <v>71595</v>
      </c>
      <c r="S131" s="790">
        <f t="shared" si="91"/>
        <v>79110</v>
      </c>
      <c r="T131" s="791">
        <f t="shared" si="92"/>
        <v>366</v>
      </c>
      <c r="U131" s="791">
        <f t="shared" si="93"/>
        <v>7515</v>
      </c>
      <c r="V131" s="790">
        <f t="shared" si="94"/>
        <v>15030</v>
      </c>
      <c r="W131" s="847">
        <f t="shared" si="95"/>
        <v>64080</v>
      </c>
      <c r="X131" s="846">
        <f t="shared" si="96"/>
        <v>64080</v>
      </c>
      <c r="Y131" s="783">
        <f t="shared" si="97"/>
        <v>79110</v>
      </c>
      <c r="Z131" s="783">
        <f t="shared" si="98"/>
        <v>365</v>
      </c>
      <c r="AA131" s="783">
        <f t="shared" si="99"/>
        <v>7515</v>
      </c>
      <c r="AB131" s="783">
        <f t="shared" si="100"/>
        <v>22545</v>
      </c>
      <c r="AC131" s="848">
        <f t="shared" si="101"/>
        <v>56565</v>
      </c>
      <c r="AD131" s="789">
        <f t="shared" si="102"/>
        <v>56565</v>
      </c>
      <c r="AE131" s="790">
        <f t="shared" si="103"/>
        <v>79110</v>
      </c>
      <c r="AF131" s="791">
        <f t="shared" si="104"/>
        <v>365</v>
      </c>
      <c r="AG131" s="791">
        <f t="shared" si="105"/>
        <v>7515</v>
      </c>
      <c r="AH131" s="783">
        <f t="shared" si="106"/>
        <v>30060</v>
      </c>
      <c r="AI131" s="783">
        <f t="shared" si="107"/>
        <v>49050</v>
      </c>
      <c r="AJ131" s="790">
        <f t="shared" si="108"/>
        <v>49050</v>
      </c>
      <c r="AK131" s="790">
        <f t="shared" si="109"/>
        <v>79110</v>
      </c>
      <c r="AL131" s="791">
        <f t="shared" si="110"/>
        <v>365</v>
      </c>
      <c r="AM131" s="791">
        <f t="shared" si="111"/>
        <v>7515</v>
      </c>
      <c r="AN131" s="783">
        <f t="shared" si="112"/>
        <v>37575</v>
      </c>
      <c r="AO131" s="783">
        <f t="shared" si="113"/>
        <v>41535</v>
      </c>
      <c r="AP131" s="808">
        <f t="shared" si="114"/>
        <v>41535</v>
      </c>
      <c r="AQ131" s="808">
        <f t="shared" si="115"/>
        <v>79110</v>
      </c>
      <c r="AR131" s="809">
        <f t="shared" si="116"/>
        <v>366</v>
      </c>
      <c r="AS131" s="809">
        <f t="shared" si="117"/>
        <v>7536</v>
      </c>
      <c r="AT131" s="808">
        <f t="shared" si="118"/>
        <v>45111</v>
      </c>
      <c r="AU131" s="790">
        <f t="shared" si="119"/>
        <v>33999</v>
      </c>
    </row>
    <row r="132" spans="1:47" ht="15" customHeight="1" x14ac:dyDescent="0.25">
      <c r="A132" s="876" t="s">
        <v>1224</v>
      </c>
      <c r="B132" s="843" t="s">
        <v>1230</v>
      </c>
      <c r="C132" s="778">
        <f t="shared" si="83"/>
        <v>9.5000000000000001E-2</v>
      </c>
      <c r="D132" s="844">
        <v>10</v>
      </c>
      <c r="E132" s="779" t="s">
        <v>1182</v>
      </c>
      <c r="F132" s="877">
        <v>43191</v>
      </c>
      <c r="G132" s="781">
        <f t="shared" si="120"/>
        <v>43191</v>
      </c>
      <c r="H132" s="781">
        <f t="shared" si="84"/>
        <v>46841</v>
      </c>
      <c r="I132" s="795">
        <v>13860</v>
      </c>
      <c r="J132" s="783">
        <f t="shared" si="85"/>
        <v>693</v>
      </c>
      <c r="K132" s="887"/>
      <c r="L132" s="846"/>
      <c r="M132" s="790">
        <f t="shared" si="86"/>
        <v>13860</v>
      </c>
      <c r="N132" s="791">
        <f t="shared" si="87"/>
        <v>365</v>
      </c>
      <c r="O132" s="791">
        <f t="shared" si="88"/>
        <v>1317</v>
      </c>
      <c r="P132" s="790">
        <f t="shared" si="121"/>
        <v>1317</v>
      </c>
      <c r="Q132" s="847">
        <f t="shared" si="89"/>
        <v>12543</v>
      </c>
      <c r="R132" s="789">
        <f t="shared" si="90"/>
        <v>12543</v>
      </c>
      <c r="S132" s="790">
        <f t="shared" si="91"/>
        <v>13860</v>
      </c>
      <c r="T132" s="791">
        <f t="shared" si="92"/>
        <v>366</v>
      </c>
      <c r="U132" s="791">
        <f t="shared" si="93"/>
        <v>1317</v>
      </c>
      <c r="V132" s="790">
        <f t="shared" si="94"/>
        <v>2634</v>
      </c>
      <c r="W132" s="847">
        <f t="shared" si="95"/>
        <v>11226</v>
      </c>
      <c r="X132" s="846">
        <f t="shared" si="96"/>
        <v>11226</v>
      </c>
      <c r="Y132" s="783">
        <f t="shared" si="97"/>
        <v>13860</v>
      </c>
      <c r="Z132" s="783">
        <f t="shared" si="98"/>
        <v>365</v>
      </c>
      <c r="AA132" s="783">
        <f t="shared" si="99"/>
        <v>1317</v>
      </c>
      <c r="AB132" s="783">
        <f t="shared" si="100"/>
        <v>3951</v>
      </c>
      <c r="AC132" s="848">
        <f t="shared" si="101"/>
        <v>9909</v>
      </c>
      <c r="AD132" s="789">
        <f t="shared" si="102"/>
        <v>9909</v>
      </c>
      <c r="AE132" s="790">
        <f t="shared" si="103"/>
        <v>13860</v>
      </c>
      <c r="AF132" s="791">
        <f t="shared" si="104"/>
        <v>365</v>
      </c>
      <c r="AG132" s="791">
        <f t="shared" si="105"/>
        <v>1317</v>
      </c>
      <c r="AH132" s="783">
        <f t="shared" si="106"/>
        <v>5268</v>
      </c>
      <c r="AI132" s="783">
        <f t="shared" si="107"/>
        <v>8592</v>
      </c>
      <c r="AJ132" s="790">
        <f t="shared" si="108"/>
        <v>8592</v>
      </c>
      <c r="AK132" s="790">
        <f t="shared" si="109"/>
        <v>13860</v>
      </c>
      <c r="AL132" s="791">
        <f t="shared" si="110"/>
        <v>365</v>
      </c>
      <c r="AM132" s="791">
        <f t="shared" si="111"/>
        <v>1317</v>
      </c>
      <c r="AN132" s="783">
        <f t="shared" si="112"/>
        <v>6585</v>
      </c>
      <c r="AO132" s="783">
        <f t="shared" si="113"/>
        <v>7275</v>
      </c>
      <c r="AP132" s="808">
        <f t="shared" si="114"/>
        <v>7275</v>
      </c>
      <c r="AQ132" s="808">
        <f t="shared" si="115"/>
        <v>13860</v>
      </c>
      <c r="AR132" s="809">
        <f t="shared" si="116"/>
        <v>366</v>
      </c>
      <c r="AS132" s="809">
        <f t="shared" si="117"/>
        <v>1320</v>
      </c>
      <c r="AT132" s="808">
        <f t="shared" si="118"/>
        <v>7905</v>
      </c>
      <c r="AU132" s="790">
        <f t="shared" si="119"/>
        <v>5955</v>
      </c>
    </row>
    <row r="133" spans="1:47" ht="15" customHeight="1" x14ac:dyDescent="0.25">
      <c r="A133" s="876" t="s">
        <v>1224</v>
      </c>
      <c r="B133" s="843" t="s">
        <v>1230</v>
      </c>
      <c r="C133" s="778">
        <f t="shared" si="83"/>
        <v>9.5000000000000001E-2</v>
      </c>
      <c r="D133" s="844">
        <v>10</v>
      </c>
      <c r="E133" s="779" t="s">
        <v>1182</v>
      </c>
      <c r="F133" s="877">
        <v>43191</v>
      </c>
      <c r="G133" s="781">
        <f t="shared" si="120"/>
        <v>43191</v>
      </c>
      <c r="H133" s="781">
        <f t="shared" si="84"/>
        <v>46841</v>
      </c>
      <c r="I133" s="795">
        <v>53535</v>
      </c>
      <c r="J133" s="783">
        <f t="shared" si="85"/>
        <v>2676.75</v>
      </c>
      <c r="K133" s="887"/>
      <c r="L133" s="846"/>
      <c r="M133" s="790">
        <f t="shared" si="86"/>
        <v>53535</v>
      </c>
      <c r="N133" s="791">
        <f t="shared" si="87"/>
        <v>365</v>
      </c>
      <c r="O133" s="791">
        <f t="shared" si="88"/>
        <v>5086</v>
      </c>
      <c r="P133" s="790">
        <f t="shared" si="121"/>
        <v>5086</v>
      </c>
      <c r="Q133" s="847">
        <f t="shared" si="89"/>
        <v>48449</v>
      </c>
      <c r="R133" s="789">
        <f t="shared" si="90"/>
        <v>48449</v>
      </c>
      <c r="S133" s="790">
        <f t="shared" si="91"/>
        <v>53535</v>
      </c>
      <c r="T133" s="791">
        <f t="shared" si="92"/>
        <v>366</v>
      </c>
      <c r="U133" s="791">
        <f t="shared" si="93"/>
        <v>5086</v>
      </c>
      <c r="V133" s="790">
        <f t="shared" si="94"/>
        <v>10172</v>
      </c>
      <c r="W133" s="847">
        <f t="shared" si="95"/>
        <v>43363</v>
      </c>
      <c r="X133" s="846">
        <f t="shared" si="96"/>
        <v>43363</v>
      </c>
      <c r="Y133" s="783">
        <f t="shared" si="97"/>
        <v>53535</v>
      </c>
      <c r="Z133" s="783">
        <f t="shared" si="98"/>
        <v>365</v>
      </c>
      <c r="AA133" s="783">
        <f t="shared" si="99"/>
        <v>5086</v>
      </c>
      <c r="AB133" s="783">
        <f t="shared" si="100"/>
        <v>15258</v>
      </c>
      <c r="AC133" s="848">
        <f t="shared" si="101"/>
        <v>38277</v>
      </c>
      <c r="AD133" s="789">
        <f t="shared" si="102"/>
        <v>38277</v>
      </c>
      <c r="AE133" s="790">
        <f t="shared" si="103"/>
        <v>53535</v>
      </c>
      <c r="AF133" s="791">
        <f t="shared" si="104"/>
        <v>365</v>
      </c>
      <c r="AG133" s="791">
        <f t="shared" si="105"/>
        <v>5086</v>
      </c>
      <c r="AH133" s="783">
        <f t="shared" si="106"/>
        <v>20344</v>
      </c>
      <c r="AI133" s="783">
        <f t="shared" si="107"/>
        <v>33191</v>
      </c>
      <c r="AJ133" s="790">
        <f t="shared" si="108"/>
        <v>33191</v>
      </c>
      <c r="AK133" s="790">
        <f t="shared" si="109"/>
        <v>53535</v>
      </c>
      <c r="AL133" s="791">
        <f t="shared" si="110"/>
        <v>365</v>
      </c>
      <c r="AM133" s="791">
        <f t="shared" si="111"/>
        <v>5086</v>
      </c>
      <c r="AN133" s="783">
        <f t="shared" si="112"/>
        <v>25430</v>
      </c>
      <c r="AO133" s="783">
        <f t="shared" si="113"/>
        <v>28105</v>
      </c>
      <c r="AP133" s="808">
        <f t="shared" si="114"/>
        <v>28105</v>
      </c>
      <c r="AQ133" s="808">
        <f t="shared" si="115"/>
        <v>53535</v>
      </c>
      <c r="AR133" s="809">
        <f t="shared" si="116"/>
        <v>366</v>
      </c>
      <c r="AS133" s="809">
        <f t="shared" si="117"/>
        <v>5100</v>
      </c>
      <c r="AT133" s="808">
        <f t="shared" si="118"/>
        <v>30530</v>
      </c>
      <c r="AU133" s="790">
        <f t="shared" si="119"/>
        <v>23005</v>
      </c>
    </row>
    <row r="134" spans="1:47" ht="15" customHeight="1" x14ac:dyDescent="0.25">
      <c r="A134" s="876" t="s">
        <v>1224</v>
      </c>
      <c r="B134" s="843" t="s">
        <v>1230</v>
      </c>
      <c r="C134" s="778">
        <f t="shared" si="83"/>
        <v>9.5000000000000001E-2</v>
      </c>
      <c r="D134" s="844">
        <v>10</v>
      </c>
      <c r="E134" s="779" t="s">
        <v>1182</v>
      </c>
      <c r="F134" s="877">
        <v>43191</v>
      </c>
      <c r="G134" s="781">
        <f t="shared" si="120"/>
        <v>43191</v>
      </c>
      <c r="H134" s="781">
        <f t="shared" si="84"/>
        <v>46841</v>
      </c>
      <c r="I134" s="795">
        <v>207056</v>
      </c>
      <c r="J134" s="783">
        <f t="shared" si="85"/>
        <v>10352.800000000001</v>
      </c>
      <c r="K134" s="887"/>
      <c r="L134" s="846"/>
      <c r="M134" s="790">
        <f t="shared" si="86"/>
        <v>207056</v>
      </c>
      <c r="N134" s="791">
        <f t="shared" si="87"/>
        <v>365</v>
      </c>
      <c r="O134" s="791">
        <f t="shared" si="88"/>
        <v>19670</v>
      </c>
      <c r="P134" s="790">
        <f t="shared" si="121"/>
        <v>19670</v>
      </c>
      <c r="Q134" s="847">
        <f t="shared" si="89"/>
        <v>187386</v>
      </c>
      <c r="R134" s="789">
        <f t="shared" si="90"/>
        <v>187386</v>
      </c>
      <c r="S134" s="790">
        <f t="shared" si="91"/>
        <v>207056</v>
      </c>
      <c r="T134" s="791">
        <f t="shared" si="92"/>
        <v>366</v>
      </c>
      <c r="U134" s="791">
        <f t="shared" si="93"/>
        <v>19670</v>
      </c>
      <c r="V134" s="790">
        <f t="shared" si="94"/>
        <v>39340</v>
      </c>
      <c r="W134" s="847">
        <f t="shared" si="95"/>
        <v>167716</v>
      </c>
      <c r="X134" s="846">
        <f t="shared" si="96"/>
        <v>167716</v>
      </c>
      <c r="Y134" s="783">
        <f t="shared" si="97"/>
        <v>207056</v>
      </c>
      <c r="Z134" s="783">
        <f t="shared" si="98"/>
        <v>365</v>
      </c>
      <c r="AA134" s="783">
        <f t="shared" si="99"/>
        <v>19670</v>
      </c>
      <c r="AB134" s="783">
        <f t="shared" si="100"/>
        <v>59010</v>
      </c>
      <c r="AC134" s="848">
        <f t="shared" si="101"/>
        <v>148046</v>
      </c>
      <c r="AD134" s="789">
        <f t="shared" si="102"/>
        <v>148046</v>
      </c>
      <c r="AE134" s="790">
        <f t="shared" si="103"/>
        <v>207056</v>
      </c>
      <c r="AF134" s="791">
        <f t="shared" si="104"/>
        <v>365</v>
      </c>
      <c r="AG134" s="791">
        <f t="shared" si="105"/>
        <v>19670</v>
      </c>
      <c r="AH134" s="783">
        <f t="shared" si="106"/>
        <v>78680</v>
      </c>
      <c r="AI134" s="783">
        <f t="shared" si="107"/>
        <v>128376</v>
      </c>
      <c r="AJ134" s="790">
        <f t="shared" si="108"/>
        <v>128376</v>
      </c>
      <c r="AK134" s="790">
        <f t="shared" si="109"/>
        <v>207056</v>
      </c>
      <c r="AL134" s="791">
        <f t="shared" si="110"/>
        <v>365</v>
      </c>
      <c r="AM134" s="791">
        <f t="shared" si="111"/>
        <v>19670</v>
      </c>
      <c r="AN134" s="783">
        <f t="shared" si="112"/>
        <v>98350</v>
      </c>
      <c r="AO134" s="783">
        <f t="shared" si="113"/>
        <v>108706</v>
      </c>
      <c r="AP134" s="808">
        <f t="shared" si="114"/>
        <v>108706</v>
      </c>
      <c r="AQ134" s="808">
        <f t="shared" si="115"/>
        <v>207056</v>
      </c>
      <c r="AR134" s="809">
        <f t="shared" si="116"/>
        <v>366</v>
      </c>
      <c r="AS134" s="809">
        <f t="shared" si="117"/>
        <v>19724</v>
      </c>
      <c r="AT134" s="808">
        <f t="shared" si="118"/>
        <v>118074</v>
      </c>
      <c r="AU134" s="790">
        <f t="shared" si="119"/>
        <v>88982</v>
      </c>
    </row>
    <row r="135" spans="1:47" ht="15" customHeight="1" x14ac:dyDescent="0.25">
      <c r="A135" s="876" t="s">
        <v>1224</v>
      </c>
      <c r="B135" s="843" t="s">
        <v>1230</v>
      </c>
      <c r="C135" s="778">
        <f t="shared" si="83"/>
        <v>9.5000000000000001E-2</v>
      </c>
      <c r="D135" s="844">
        <v>10</v>
      </c>
      <c r="E135" s="779" t="s">
        <v>1182</v>
      </c>
      <c r="F135" s="877">
        <v>43191</v>
      </c>
      <c r="G135" s="781">
        <f t="shared" si="120"/>
        <v>43191</v>
      </c>
      <c r="H135" s="781">
        <f t="shared" si="84"/>
        <v>46841</v>
      </c>
      <c r="I135" s="795">
        <v>44550</v>
      </c>
      <c r="J135" s="783">
        <f t="shared" si="85"/>
        <v>2227.5</v>
      </c>
      <c r="K135" s="887"/>
      <c r="L135" s="846"/>
      <c r="M135" s="790">
        <f t="shared" si="86"/>
        <v>44550</v>
      </c>
      <c r="N135" s="791">
        <f t="shared" si="87"/>
        <v>365</v>
      </c>
      <c r="O135" s="791">
        <f t="shared" si="88"/>
        <v>4232</v>
      </c>
      <c r="P135" s="790">
        <f t="shared" si="121"/>
        <v>4232</v>
      </c>
      <c r="Q135" s="847">
        <f t="shared" si="89"/>
        <v>40318</v>
      </c>
      <c r="R135" s="789">
        <f t="shared" si="90"/>
        <v>40318</v>
      </c>
      <c r="S135" s="790">
        <f t="shared" si="91"/>
        <v>44550</v>
      </c>
      <c r="T135" s="791">
        <f t="shared" si="92"/>
        <v>366</v>
      </c>
      <c r="U135" s="791">
        <f t="shared" si="93"/>
        <v>4232</v>
      </c>
      <c r="V135" s="790">
        <f t="shared" si="94"/>
        <v>8464</v>
      </c>
      <c r="W135" s="847">
        <f t="shared" si="95"/>
        <v>36086</v>
      </c>
      <c r="X135" s="846">
        <f t="shared" si="96"/>
        <v>36086</v>
      </c>
      <c r="Y135" s="783">
        <f t="shared" si="97"/>
        <v>44550</v>
      </c>
      <c r="Z135" s="783">
        <f t="shared" si="98"/>
        <v>365</v>
      </c>
      <c r="AA135" s="783">
        <f t="shared" si="99"/>
        <v>4232</v>
      </c>
      <c r="AB135" s="783">
        <f t="shared" si="100"/>
        <v>12696</v>
      </c>
      <c r="AC135" s="848">
        <f t="shared" si="101"/>
        <v>31854</v>
      </c>
      <c r="AD135" s="789">
        <f t="shared" si="102"/>
        <v>31854</v>
      </c>
      <c r="AE135" s="790">
        <f t="shared" si="103"/>
        <v>44550</v>
      </c>
      <c r="AF135" s="791">
        <f t="shared" si="104"/>
        <v>365</v>
      </c>
      <c r="AG135" s="791">
        <f t="shared" si="105"/>
        <v>4232</v>
      </c>
      <c r="AH135" s="783">
        <f t="shared" si="106"/>
        <v>16928</v>
      </c>
      <c r="AI135" s="783">
        <f t="shared" si="107"/>
        <v>27622</v>
      </c>
      <c r="AJ135" s="790">
        <f t="shared" si="108"/>
        <v>27622</v>
      </c>
      <c r="AK135" s="790">
        <f t="shared" si="109"/>
        <v>44550</v>
      </c>
      <c r="AL135" s="791">
        <f t="shared" si="110"/>
        <v>365</v>
      </c>
      <c r="AM135" s="791">
        <f t="shared" si="111"/>
        <v>4232</v>
      </c>
      <c r="AN135" s="783">
        <f t="shared" si="112"/>
        <v>21160</v>
      </c>
      <c r="AO135" s="783">
        <f t="shared" si="113"/>
        <v>23390</v>
      </c>
      <c r="AP135" s="808">
        <f t="shared" si="114"/>
        <v>23390</v>
      </c>
      <c r="AQ135" s="808">
        <f t="shared" si="115"/>
        <v>44550</v>
      </c>
      <c r="AR135" s="809">
        <f t="shared" si="116"/>
        <v>366</v>
      </c>
      <c r="AS135" s="809">
        <f t="shared" si="117"/>
        <v>4244</v>
      </c>
      <c r="AT135" s="808">
        <f t="shared" si="118"/>
        <v>25404</v>
      </c>
      <c r="AU135" s="790">
        <f t="shared" si="119"/>
        <v>19146</v>
      </c>
    </row>
    <row r="136" spans="1:47" ht="15" customHeight="1" x14ac:dyDescent="0.25">
      <c r="A136" s="876" t="s">
        <v>1224</v>
      </c>
      <c r="B136" s="843" t="s">
        <v>1230</v>
      </c>
      <c r="C136" s="778">
        <f t="shared" si="83"/>
        <v>9.5000000000000001E-2</v>
      </c>
      <c r="D136" s="844">
        <v>10</v>
      </c>
      <c r="E136" s="779" t="s">
        <v>1182</v>
      </c>
      <c r="F136" s="877">
        <v>43191</v>
      </c>
      <c r="G136" s="781">
        <f t="shared" si="120"/>
        <v>43191</v>
      </c>
      <c r="H136" s="781">
        <f t="shared" si="84"/>
        <v>46841</v>
      </c>
      <c r="I136" s="795">
        <v>226860</v>
      </c>
      <c r="J136" s="783">
        <f t="shared" si="85"/>
        <v>11343</v>
      </c>
      <c r="K136" s="887"/>
      <c r="L136" s="846"/>
      <c r="M136" s="790">
        <f t="shared" si="86"/>
        <v>226860</v>
      </c>
      <c r="N136" s="791">
        <f t="shared" si="87"/>
        <v>365</v>
      </c>
      <c r="O136" s="791">
        <f t="shared" si="88"/>
        <v>21552</v>
      </c>
      <c r="P136" s="790">
        <f t="shared" si="121"/>
        <v>21552</v>
      </c>
      <c r="Q136" s="847">
        <f t="shared" si="89"/>
        <v>205308</v>
      </c>
      <c r="R136" s="789">
        <f t="shared" si="90"/>
        <v>205308</v>
      </c>
      <c r="S136" s="790">
        <f t="shared" si="91"/>
        <v>226860</v>
      </c>
      <c r="T136" s="791">
        <f t="shared" si="92"/>
        <v>366</v>
      </c>
      <c r="U136" s="791">
        <f t="shared" si="93"/>
        <v>21552</v>
      </c>
      <c r="V136" s="790">
        <f t="shared" si="94"/>
        <v>43104</v>
      </c>
      <c r="W136" s="847">
        <f t="shared" si="95"/>
        <v>183756</v>
      </c>
      <c r="X136" s="846">
        <f t="shared" si="96"/>
        <v>183756</v>
      </c>
      <c r="Y136" s="783">
        <f t="shared" si="97"/>
        <v>226860</v>
      </c>
      <c r="Z136" s="783">
        <f t="shared" si="98"/>
        <v>365</v>
      </c>
      <c r="AA136" s="783">
        <f t="shared" si="99"/>
        <v>21552</v>
      </c>
      <c r="AB136" s="783">
        <f t="shared" si="100"/>
        <v>64656</v>
      </c>
      <c r="AC136" s="848">
        <f t="shared" si="101"/>
        <v>162204</v>
      </c>
      <c r="AD136" s="789">
        <f t="shared" si="102"/>
        <v>162204</v>
      </c>
      <c r="AE136" s="790">
        <f t="shared" si="103"/>
        <v>226860</v>
      </c>
      <c r="AF136" s="791">
        <f t="shared" si="104"/>
        <v>365</v>
      </c>
      <c r="AG136" s="791">
        <f t="shared" si="105"/>
        <v>21552</v>
      </c>
      <c r="AH136" s="783">
        <f t="shared" si="106"/>
        <v>86208</v>
      </c>
      <c r="AI136" s="783">
        <f t="shared" si="107"/>
        <v>140652</v>
      </c>
      <c r="AJ136" s="790">
        <f t="shared" si="108"/>
        <v>140652</v>
      </c>
      <c r="AK136" s="790">
        <f t="shared" si="109"/>
        <v>226860</v>
      </c>
      <c r="AL136" s="791">
        <f t="shared" si="110"/>
        <v>365</v>
      </c>
      <c r="AM136" s="791">
        <f t="shared" si="111"/>
        <v>21552</v>
      </c>
      <c r="AN136" s="783">
        <f t="shared" si="112"/>
        <v>107760</v>
      </c>
      <c r="AO136" s="783">
        <f t="shared" si="113"/>
        <v>119100</v>
      </c>
      <c r="AP136" s="808">
        <f t="shared" si="114"/>
        <v>119100</v>
      </c>
      <c r="AQ136" s="808">
        <f t="shared" si="115"/>
        <v>226860</v>
      </c>
      <c r="AR136" s="809">
        <f t="shared" si="116"/>
        <v>366</v>
      </c>
      <c r="AS136" s="809">
        <f t="shared" si="117"/>
        <v>21611</v>
      </c>
      <c r="AT136" s="808">
        <f t="shared" si="118"/>
        <v>129371</v>
      </c>
      <c r="AU136" s="790">
        <f t="shared" si="119"/>
        <v>97489</v>
      </c>
    </row>
    <row r="137" spans="1:47" ht="15" customHeight="1" x14ac:dyDescent="0.25">
      <c r="A137" s="876" t="s">
        <v>1224</v>
      </c>
      <c r="B137" s="843" t="s">
        <v>1230</v>
      </c>
      <c r="C137" s="778">
        <f t="shared" si="83"/>
        <v>9.5000000000000001E-2</v>
      </c>
      <c r="D137" s="844">
        <v>10</v>
      </c>
      <c r="E137" s="779" t="s">
        <v>1182</v>
      </c>
      <c r="F137" s="877">
        <v>43191</v>
      </c>
      <c r="G137" s="781">
        <f t="shared" si="120"/>
        <v>43191</v>
      </c>
      <c r="H137" s="781">
        <f t="shared" si="84"/>
        <v>46841</v>
      </c>
      <c r="I137" s="795">
        <v>226860</v>
      </c>
      <c r="J137" s="783">
        <f t="shared" si="85"/>
        <v>11343</v>
      </c>
      <c r="K137" s="887"/>
      <c r="L137" s="846"/>
      <c r="M137" s="790">
        <f t="shared" si="86"/>
        <v>226860</v>
      </c>
      <c r="N137" s="791">
        <f t="shared" si="87"/>
        <v>365</v>
      </c>
      <c r="O137" s="791">
        <f t="shared" si="88"/>
        <v>21552</v>
      </c>
      <c r="P137" s="790">
        <f t="shared" si="121"/>
        <v>21552</v>
      </c>
      <c r="Q137" s="847">
        <f t="shared" si="89"/>
        <v>205308</v>
      </c>
      <c r="R137" s="789">
        <f t="shared" si="90"/>
        <v>205308</v>
      </c>
      <c r="S137" s="790">
        <f t="shared" si="91"/>
        <v>226860</v>
      </c>
      <c r="T137" s="791">
        <f t="shared" si="92"/>
        <v>366</v>
      </c>
      <c r="U137" s="791">
        <f t="shared" si="93"/>
        <v>21552</v>
      </c>
      <c r="V137" s="790">
        <f t="shared" si="94"/>
        <v>43104</v>
      </c>
      <c r="W137" s="847">
        <f t="shared" si="95"/>
        <v>183756</v>
      </c>
      <c r="X137" s="846">
        <f t="shared" si="96"/>
        <v>183756</v>
      </c>
      <c r="Y137" s="783">
        <f t="shared" si="97"/>
        <v>226860</v>
      </c>
      <c r="Z137" s="783">
        <f t="shared" si="98"/>
        <v>365</v>
      </c>
      <c r="AA137" s="783">
        <f t="shared" si="99"/>
        <v>21552</v>
      </c>
      <c r="AB137" s="783">
        <f t="shared" si="100"/>
        <v>64656</v>
      </c>
      <c r="AC137" s="848">
        <f t="shared" si="101"/>
        <v>162204</v>
      </c>
      <c r="AD137" s="789">
        <f t="shared" si="102"/>
        <v>162204</v>
      </c>
      <c r="AE137" s="790">
        <f t="shared" si="103"/>
        <v>226860</v>
      </c>
      <c r="AF137" s="791">
        <f t="shared" si="104"/>
        <v>365</v>
      </c>
      <c r="AG137" s="791">
        <f t="shared" si="105"/>
        <v>21552</v>
      </c>
      <c r="AH137" s="783">
        <f t="shared" si="106"/>
        <v>86208</v>
      </c>
      <c r="AI137" s="783">
        <f t="shared" si="107"/>
        <v>140652</v>
      </c>
      <c r="AJ137" s="790">
        <f t="shared" si="108"/>
        <v>140652</v>
      </c>
      <c r="AK137" s="790">
        <f t="shared" si="109"/>
        <v>226860</v>
      </c>
      <c r="AL137" s="791">
        <f t="shared" si="110"/>
        <v>365</v>
      </c>
      <c r="AM137" s="791">
        <f t="shared" si="111"/>
        <v>21552</v>
      </c>
      <c r="AN137" s="783">
        <f t="shared" si="112"/>
        <v>107760</v>
      </c>
      <c r="AO137" s="783">
        <f t="shared" si="113"/>
        <v>119100</v>
      </c>
      <c r="AP137" s="808">
        <f t="shared" si="114"/>
        <v>119100</v>
      </c>
      <c r="AQ137" s="808">
        <f t="shared" si="115"/>
        <v>226860</v>
      </c>
      <c r="AR137" s="809">
        <f t="shared" si="116"/>
        <v>366</v>
      </c>
      <c r="AS137" s="809">
        <f t="shared" si="117"/>
        <v>21611</v>
      </c>
      <c r="AT137" s="808">
        <f t="shared" si="118"/>
        <v>129371</v>
      </c>
      <c r="AU137" s="790">
        <f t="shared" si="119"/>
        <v>97489</v>
      </c>
    </row>
    <row r="138" spans="1:47" ht="15" customHeight="1" x14ac:dyDescent="0.25">
      <c r="A138" s="876" t="s">
        <v>1224</v>
      </c>
      <c r="B138" s="843" t="s">
        <v>1230</v>
      </c>
      <c r="C138" s="778">
        <f t="shared" si="83"/>
        <v>9.5000000000000001E-2</v>
      </c>
      <c r="D138" s="844">
        <v>10</v>
      </c>
      <c r="E138" s="779" t="s">
        <v>1182</v>
      </c>
      <c r="F138" s="877">
        <v>43191</v>
      </c>
      <c r="G138" s="781">
        <f t="shared" si="120"/>
        <v>43191</v>
      </c>
      <c r="H138" s="781">
        <f t="shared" si="84"/>
        <v>46841</v>
      </c>
      <c r="I138" s="795">
        <v>81756</v>
      </c>
      <c r="J138" s="783">
        <f t="shared" si="85"/>
        <v>4087.8</v>
      </c>
      <c r="K138" s="887"/>
      <c r="L138" s="846"/>
      <c r="M138" s="790">
        <f t="shared" si="86"/>
        <v>81756</v>
      </c>
      <c r="N138" s="791">
        <v>0</v>
      </c>
      <c r="O138" s="791">
        <f t="shared" si="88"/>
        <v>0</v>
      </c>
      <c r="P138" s="790">
        <f t="shared" si="121"/>
        <v>0</v>
      </c>
      <c r="Q138" s="847">
        <f t="shared" si="89"/>
        <v>81756</v>
      </c>
      <c r="R138" s="789">
        <f t="shared" si="90"/>
        <v>81756</v>
      </c>
      <c r="S138" s="790">
        <f t="shared" si="91"/>
        <v>81756</v>
      </c>
      <c r="T138" s="791">
        <f t="shared" si="92"/>
        <v>366</v>
      </c>
      <c r="U138" s="791">
        <f t="shared" si="93"/>
        <v>7767</v>
      </c>
      <c r="V138" s="790">
        <f t="shared" si="94"/>
        <v>7767</v>
      </c>
      <c r="W138" s="847">
        <f t="shared" si="95"/>
        <v>73989</v>
      </c>
      <c r="X138" s="846">
        <f t="shared" si="96"/>
        <v>73989</v>
      </c>
      <c r="Y138" s="783">
        <f t="shared" si="97"/>
        <v>81756</v>
      </c>
      <c r="Z138" s="783">
        <f t="shared" si="98"/>
        <v>365</v>
      </c>
      <c r="AA138" s="783">
        <f t="shared" si="99"/>
        <v>7767</v>
      </c>
      <c r="AB138" s="783">
        <f t="shared" si="100"/>
        <v>15534</v>
      </c>
      <c r="AC138" s="848">
        <f t="shared" si="101"/>
        <v>66222</v>
      </c>
      <c r="AD138" s="789">
        <f t="shared" si="102"/>
        <v>66222</v>
      </c>
      <c r="AE138" s="790">
        <f t="shared" si="103"/>
        <v>81756</v>
      </c>
      <c r="AF138" s="791">
        <f t="shared" si="104"/>
        <v>365</v>
      </c>
      <c r="AG138" s="791">
        <f t="shared" si="105"/>
        <v>7767</v>
      </c>
      <c r="AH138" s="783">
        <f t="shared" si="106"/>
        <v>23301</v>
      </c>
      <c r="AI138" s="783">
        <f t="shared" si="107"/>
        <v>58455</v>
      </c>
      <c r="AJ138" s="790">
        <f t="shared" si="108"/>
        <v>58455</v>
      </c>
      <c r="AK138" s="790">
        <f t="shared" si="109"/>
        <v>81756</v>
      </c>
      <c r="AL138" s="791">
        <f t="shared" si="110"/>
        <v>365</v>
      </c>
      <c r="AM138" s="791">
        <f t="shared" si="111"/>
        <v>7767</v>
      </c>
      <c r="AN138" s="783">
        <f t="shared" si="112"/>
        <v>31068</v>
      </c>
      <c r="AO138" s="783">
        <f t="shared" si="113"/>
        <v>50688</v>
      </c>
      <c r="AP138" s="808">
        <f t="shared" si="114"/>
        <v>50688</v>
      </c>
      <c r="AQ138" s="808">
        <f t="shared" si="115"/>
        <v>81756</v>
      </c>
      <c r="AR138" s="809">
        <f t="shared" si="116"/>
        <v>366</v>
      </c>
      <c r="AS138" s="809">
        <f t="shared" si="117"/>
        <v>7788</v>
      </c>
      <c r="AT138" s="808">
        <f t="shared" si="118"/>
        <v>38856</v>
      </c>
      <c r="AU138" s="790">
        <f t="shared" si="119"/>
        <v>42900</v>
      </c>
    </row>
    <row r="139" spans="1:47" ht="15" customHeight="1" x14ac:dyDescent="0.25">
      <c r="A139" s="876" t="s">
        <v>1224</v>
      </c>
      <c r="B139" s="843" t="s">
        <v>1230</v>
      </c>
      <c r="C139" s="778">
        <f t="shared" si="83"/>
        <v>9.5000000000000001E-2</v>
      </c>
      <c r="D139" s="844">
        <v>10</v>
      </c>
      <c r="E139" s="779" t="s">
        <v>1182</v>
      </c>
      <c r="F139" s="877">
        <v>43191</v>
      </c>
      <c r="G139" s="781">
        <f t="shared" si="120"/>
        <v>43191</v>
      </c>
      <c r="H139" s="781">
        <f t="shared" si="84"/>
        <v>46841</v>
      </c>
      <c r="I139" s="795">
        <v>2339789</v>
      </c>
      <c r="J139" s="783">
        <f t="shared" si="85"/>
        <v>116989.45000000001</v>
      </c>
      <c r="K139" s="887"/>
      <c r="L139" s="846"/>
      <c r="M139" s="790">
        <f t="shared" si="86"/>
        <v>2339789</v>
      </c>
      <c r="N139" s="791">
        <v>0</v>
      </c>
      <c r="O139" s="791">
        <f t="shared" si="88"/>
        <v>0</v>
      </c>
      <c r="P139" s="790">
        <f t="shared" si="121"/>
        <v>0</v>
      </c>
      <c r="Q139" s="847">
        <f t="shared" si="89"/>
        <v>2339789</v>
      </c>
      <c r="R139" s="789">
        <f t="shared" si="90"/>
        <v>2339789</v>
      </c>
      <c r="S139" s="790">
        <f t="shared" si="91"/>
        <v>2339789</v>
      </c>
      <c r="T139" s="791">
        <f t="shared" si="92"/>
        <v>366</v>
      </c>
      <c r="U139" s="791">
        <f t="shared" si="93"/>
        <v>222280</v>
      </c>
      <c r="V139" s="790">
        <f t="shared" si="94"/>
        <v>222280</v>
      </c>
      <c r="W139" s="847">
        <f t="shared" si="95"/>
        <v>2117509</v>
      </c>
      <c r="X139" s="846">
        <f t="shared" si="96"/>
        <v>2117509</v>
      </c>
      <c r="Y139" s="783">
        <f t="shared" si="97"/>
        <v>2339789</v>
      </c>
      <c r="Z139" s="783">
        <f t="shared" si="98"/>
        <v>365</v>
      </c>
      <c r="AA139" s="783">
        <f t="shared" si="99"/>
        <v>222280</v>
      </c>
      <c r="AB139" s="783">
        <f t="shared" si="100"/>
        <v>444560</v>
      </c>
      <c r="AC139" s="848">
        <f t="shared" si="101"/>
        <v>1895229</v>
      </c>
      <c r="AD139" s="789">
        <f t="shared" si="102"/>
        <v>1895229</v>
      </c>
      <c r="AE139" s="790">
        <f t="shared" si="103"/>
        <v>2339789</v>
      </c>
      <c r="AF139" s="791">
        <f t="shared" si="104"/>
        <v>365</v>
      </c>
      <c r="AG139" s="791">
        <f t="shared" si="105"/>
        <v>222280</v>
      </c>
      <c r="AH139" s="783">
        <f t="shared" si="106"/>
        <v>666840</v>
      </c>
      <c r="AI139" s="783">
        <f t="shared" si="107"/>
        <v>1672949</v>
      </c>
      <c r="AJ139" s="790">
        <f t="shared" si="108"/>
        <v>1672949</v>
      </c>
      <c r="AK139" s="790">
        <f t="shared" si="109"/>
        <v>2339789</v>
      </c>
      <c r="AL139" s="791">
        <f t="shared" si="110"/>
        <v>365</v>
      </c>
      <c r="AM139" s="791">
        <f t="shared" si="111"/>
        <v>222280</v>
      </c>
      <c r="AN139" s="783">
        <f t="shared" si="112"/>
        <v>889120</v>
      </c>
      <c r="AO139" s="783">
        <f t="shared" si="113"/>
        <v>1450669</v>
      </c>
      <c r="AP139" s="808">
        <f t="shared" si="114"/>
        <v>1450669</v>
      </c>
      <c r="AQ139" s="808">
        <f t="shared" si="115"/>
        <v>2339789</v>
      </c>
      <c r="AR139" s="809">
        <f t="shared" si="116"/>
        <v>366</v>
      </c>
      <c r="AS139" s="809">
        <f t="shared" si="117"/>
        <v>222889</v>
      </c>
      <c r="AT139" s="808">
        <f t="shared" si="118"/>
        <v>1112009</v>
      </c>
      <c r="AU139" s="790">
        <f t="shared" si="119"/>
        <v>1227780</v>
      </c>
    </row>
    <row r="140" spans="1:47" ht="15" customHeight="1" x14ac:dyDescent="0.25">
      <c r="A140" s="876" t="s">
        <v>1224</v>
      </c>
      <c r="B140" s="843" t="s">
        <v>1230</v>
      </c>
      <c r="C140" s="778">
        <f t="shared" si="83"/>
        <v>9.5000000000000001E-2</v>
      </c>
      <c r="D140" s="844">
        <v>10</v>
      </c>
      <c r="E140" s="779" t="s">
        <v>1182</v>
      </c>
      <c r="F140" s="877">
        <v>43191</v>
      </c>
      <c r="G140" s="781">
        <f t="shared" si="120"/>
        <v>43191</v>
      </c>
      <c r="H140" s="781">
        <f t="shared" si="84"/>
        <v>46841</v>
      </c>
      <c r="I140" s="795">
        <v>2602071</v>
      </c>
      <c r="J140" s="783">
        <f t="shared" si="85"/>
        <v>130103.55</v>
      </c>
      <c r="K140" s="887"/>
      <c r="L140" s="846"/>
      <c r="M140" s="790">
        <f t="shared" si="86"/>
        <v>2602071</v>
      </c>
      <c r="N140" s="791">
        <f t="shared" ref="N140:N157" si="122">IF(AND(F140&gt;$K$3,F140&lt;$L$3),$L$3-F140+1,IF(H140&lt;=$K$3,0,IF(H140&gt;$L$3,$L$3-$K$3,H140-$K$3)))</f>
        <v>365</v>
      </c>
      <c r="O140" s="791">
        <f t="shared" si="88"/>
        <v>247197</v>
      </c>
      <c r="P140" s="790">
        <f t="shared" si="121"/>
        <v>247197</v>
      </c>
      <c r="Q140" s="847">
        <f t="shared" si="89"/>
        <v>2354874</v>
      </c>
      <c r="R140" s="789">
        <f t="shared" si="90"/>
        <v>2354874</v>
      </c>
      <c r="S140" s="790">
        <f t="shared" si="91"/>
        <v>2602071</v>
      </c>
      <c r="T140" s="791">
        <f t="shared" si="92"/>
        <v>366</v>
      </c>
      <c r="U140" s="791">
        <v>-276</v>
      </c>
      <c r="V140" s="790">
        <f t="shared" si="94"/>
        <v>246921</v>
      </c>
      <c r="W140" s="847">
        <f t="shared" si="95"/>
        <v>2355150</v>
      </c>
      <c r="X140" s="846">
        <f t="shared" si="96"/>
        <v>2355150</v>
      </c>
      <c r="Y140" s="783">
        <f t="shared" si="97"/>
        <v>2602071</v>
      </c>
      <c r="Z140" s="783">
        <f t="shared" si="98"/>
        <v>365</v>
      </c>
      <c r="AA140" s="783">
        <f t="shared" si="99"/>
        <v>247197</v>
      </c>
      <c r="AB140" s="783">
        <f t="shared" si="100"/>
        <v>494118</v>
      </c>
      <c r="AC140" s="848">
        <f t="shared" si="101"/>
        <v>2107953</v>
      </c>
      <c r="AD140" s="789">
        <f t="shared" si="102"/>
        <v>2107953</v>
      </c>
      <c r="AE140" s="790">
        <f t="shared" si="103"/>
        <v>2602071</v>
      </c>
      <c r="AF140" s="791">
        <f t="shared" si="104"/>
        <v>365</v>
      </c>
      <c r="AG140" s="791">
        <f t="shared" si="105"/>
        <v>247197</v>
      </c>
      <c r="AH140" s="783">
        <f t="shared" si="106"/>
        <v>741315</v>
      </c>
      <c r="AI140" s="783">
        <f t="shared" si="107"/>
        <v>1860756</v>
      </c>
      <c r="AJ140" s="790">
        <f t="shared" si="108"/>
        <v>1860756</v>
      </c>
      <c r="AK140" s="790">
        <f t="shared" si="109"/>
        <v>2602071</v>
      </c>
      <c r="AL140" s="791">
        <f t="shared" si="110"/>
        <v>365</v>
      </c>
      <c r="AM140" s="791">
        <f t="shared" si="111"/>
        <v>247197</v>
      </c>
      <c r="AN140" s="783">
        <f t="shared" si="112"/>
        <v>988512</v>
      </c>
      <c r="AO140" s="783">
        <f t="shared" si="113"/>
        <v>1613559</v>
      </c>
      <c r="AP140" s="808">
        <f t="shared" si="114"/>
        <v>1613559</v>
      </c>
      <c r="AQ140" s="808">
        <f t="shared" si="115"/>
        <v>2602071</v>
      </c>
      <c r="AR140" s="809">
        <f t="shared" si="116"/>
        <v>366</v>
      </c>
      <c r="AS140" s="809">
        <f t="shared" si="117"/>
        <v>247874</v>
      </c>
      <c r="AT140" s="808">
        <f t="shared" si="118"/>
        <v>1236386</v>
      </c>
      <c r="AU140" s="790">
        <f t="shared" si="119"/>
        <v>1365685</v>
      </c>
    </row>
    <row r="141" spans="1:47" ht="15" customHeight="1" x14ac:dyDescent="0.25">
      <c r="A141" s="876" t="s">
        <v>1224</v>
      </c>
      <c r="B141" s="843" t="s">
        <v>1230</v>
      </c>
      <c r="C141" s="778">
        <f t="shared" si="83"/>
        <v>9.5000000000000001E-2</v>
      </c>
      <c r="D141" s="844">
        <v>10</v>
      </c>
      <c r="E141" s="779" t="s">
        <v>1182</v>
      </c>
      <c r="F141" s="877">
        <v>43191</v>
      </c>
      <c r="G141" s="781">
        <f t="shared" si="120"/>
        <v>43191</v>
      </c>
      <c r="H141" s="781">
        <f t="shared" si="84"/>
        <v>46841</v>
      </c>
      <c r="I141" s="795">
        <v>2654562</v>
      </c>
      <c r="J141" s="783">
        <f t="shared" si="85"/>
        <v>132728.1</v>
      </c>
      <c r="K141" s="895"/>
      <c r="L141" s="846"/>
      <c r="M141" s="790">
        <f t="shared" si="86"/>
        <v>2654562</v>
      </c>
      <c r="N141" s="791">
        <f t="shared" si="122"/>
        <v>365</v>
      </c>
      <c r="O141" s="791">
        <f t="shared" si="88"/>
        <v>252183</v>
      </c>
      <c r="P141" s="790">
        <f t="shared" si="121"/>
        <v>252183</v>
      </c>
      <c r="Q141" s="847">
        <f t="shared" si="89"/>
        <v>2402379</v>
      </c>
      <c r="R141" s="789">
        <f t="shared" si="90"/>
        <v>2402379</v>
      </c>
      <c r="S141" s="790">
        <f t="shared" si="91"/>
        <v>2654562</v>
      </c>
      <c r="T141" s="791">
        <f t="shared" si="92"/>
        <v>366</v>
      </c>
      <c r="U141" s="896">
        <f>ROUND(S141*C141*T141/366,0)-643</f>
        <v>251540</v>
      </c>
      <c r="V141" s="790">
        <f t="shared" si="94"/>
        <v>503723</v>
      </c>
      <c r="W141" s="847">
        <f t="shared" si="95"/>
        <v>2150839</v>
      </c>
      <c r="X141" s="846">
        <f t="shared" si="96"/>
        <v>2150839</v>
      </c>
      <c r="Y141" s="783">
        <f t="shared" si="97"/>
        <v>2654562</v>
      </c>
      <c r="Z141" s="783">
        <f t="shared" si="98"/>
        <v>365</v>
      </c>
      <c r="AA141" s="783">
        <f t="shared" si="99"/>
        <v>252183</v>
      </c>
      <c r="AB141" s="783">
        <f t="shared" si="100"/>
        <v>755906</v>
      </c>
      <c r="AC141" s="848">
        <f t="shared" si="101"/>
        <v>1898656</v>
      </c>
      <c r="AD141" s="789">
        <f t="shared" si="102"/>
        <v>1898656</v>
      </c>
      <c r="AE141" s="790">
        <f t="shared" si="103"/>
        <v>2654562</v>
      </c>
      <c r="AF141" s="791">
        <f t="shared" si="104"/>
        <v>365</v>
      </c>
      <c r="AG141" s="791">
        <f t="shared" si="105"/>
        <v>252183</v>
      </c>
      <c r="AH141" s="783">
        <f t="shared" si="106"/>
        <v>1008089</v>
      </c>
      <c r="AI141" s="783">
        <f t="shared" si="107"/>
        <v>1646473</v>
      </c>
      <c r="AJ141" s="790">
        <f t="shared" si="108"/>
        <v>1646473</v>
      </c>
      <c r="AK141" s="790">
        <f t="shared" si="109"/>
        <v>2654562</v>
      </c>
      <c r="AL141" s="791">
        <f t="shared" si="110"/>
        <v>365</v>
      </c>
      <c r="AM141" s="791">
        <f t="shared" si="111"/>
        <v>252183</v>
      </c>
      <c r="AN141" s="783">
        <f t="shared" si="112"/>
        <v>1260272</v>
      </c>
      <c r="AO141" s="783">
        <f t="shared" si="113"/>
        <v>1394290</v>
      </c>
      <c r="AP141" s="808">
        <f t="shared" si="114"/>
        <v>1394290</v>
      </c>
      <c r="AQ141" s="808">
        <f t="shared" si="115"/>
        <v>2654562</v>
      </c>
      <c r="AR141" s="809">
        <f t="shared" si="116"/>
        <v>366</v>
      </c>
      <c r="AS141" s="809">
        <f t="shared" si="117"/>
        <v>252874</v>
      </c>
      <c r="AT141" s="808">
        <f t="shared" si="118"/>
        <v>1513146</v>
      </c>
      <c r="AU141" s="790">
        <f t="shared" si="119"/>
        <v>1141416</v>
      </c>
    </row>
    <row r="142" spans="1:47" ht="15" customHeight="1" x14ac:dyDescent="0.25">
      <c r="A142" s="876" t="s">
        <v>1224</v>
      </c>
      <c r="B142" s="843" t="s">
        <v>1230</v>
      </c>
      <c r="C142" s="778">
        <f t="shared" si="83"/>
        <v>9.5000000000000001E-2</v>
      </c>
      <c r="D142" s="844">
        <v>10</v>
      </c>
      <c r="E142" s="779" t="s">
        <v>1182</v>
      </c>
      <c r="F142" s="877">
        <v>43191</v>
      </c>
      <c r="G142" s="781">
        <f t="shared" si="120"/>
        <v>43191</v>
      </c>
      <c r="H142" s="781">
        <f t="shared" si="84"/>
        <v>46841</v>
      </c>
      <c r="I142" s="795">
        <v>498590</v>
      </c>
      <c r="J142" s="783">
        <f t="shared" si="85"/>
        <v>24929.5</v>
      </c>
      <c r="K142" s="895"/>
      <c r="L142" s="846"/>
      <c r="M142" s="790">
        <f t="shared" si="86"/>
        <v>498590</v>
      </c>
      <c r="N142" s="791">
        <f t="shared" si="122"/>
        <v>365</v>
      </c>
      <c r="O142" s="791">
        <f t="shared" si="88"/>
        <v>47366</v>
      </c>
      <c r="P142" s="790">
        <f t="shared" si="121"/>
        <v>47366</v>
      </c>
      <c r="Q142" s="847">
        <f t="shared" si="89"/>
        <v>451224</v>
      </c>
      <c r="R142" s="789">
        <f t="shared" si="90"/>
        <v>451224</v>
      </c>
      <c r="S142" s="790">
        <f t="shared" si="91"/>
        <v>498590</v>
      </c>
      <c r="T142" s="791">
        <f t="shared" si="92"/>
        <v>366</v>
      </c>
      <c r="U142" s="896">
        <f t="shared" ref="U142:U157" si="123">ROUND(S142*C142*T142/366,0)-643</f>
        <v>46723</v>
      </c>
      <c r="V142" s="790">
        <f t="shared" si="94"/>
        <v>94089</v>
      </c>
      <c r="W142" s="847">
        <f t="shared" si="95"/>
        <v>404501</v>
      </c>
      <c r="X142" s="846">
        <f t="shared" si="96"/>
        <v>404501</v>
      </c>
      <c r="Y142" s="783">
        <f t="shared" si="97"/>
        <v>498590</v>
      </c>
      <c r="Z142" s="783">
        <f t="shared" si="98"/>
        <v>365</v>
      </c>
      <c r="AA142" s="783">
        <f t="shared" si="99"/>
        <v>47366</v>
      </c>
      <c r="AB142" s="783">
        <f t="shared" si="100"/>
        <v>141455</v>
      </c>
      <c r="AC142" s="848">
        <f t="shared" si="101"/>
        <v>357135</v>
      </c>
      <c r="AD142" s="789">
        <f t="shared" si="102"/>
        <v>357135</v>
      </c>
      <c r="AE142" s="790">
        <f t="shared" si="103"/>
        <v>498590</v>
      </c>
      <c r="AF142" s="791">
        <f t="shared" si="104"/>
        <v>365</v>
      </c>
      <c r="AG142" s="791">
        <f t="shared" si="105"/>
        <v>47366</v>
      </c>
      <c r="AH142" s="783">
        <f t="shared" si="106"/>
        <v>188821</v>
      </c>
      <c r="AI142" s="783">
        <f t="shared" si="107"/>
        <v>309769</v>
      </c>
      <c r="AJ142" s="790">
        <f t="shared" si="108"/>
        <v>309769</v>
      </c>
      <c r="AK142" s="790">
        <f t="shared" si="109"/>
        <v>498590</v>
      </c>
      <c r="AL142" s="791">
        <f t="shared" si="110"/>
        <v>365</v>
      </c>
      <c r="AM142" s="791">
        <f t="shared" si="111"/>
        <v>47366</v>
      </c>
      <c r="AN142" s="783">
        <f t="shared" si="112"/>
        <v>236187</v>
      </c>
      <c r="AO142" s="783">
        <f t="shared" si="113"/>
        <v>262403</v>
      </c>
      <c r="AP142" s="808">
        <f t="shared" si="114"/>
        <v>262403</v>
      </c>
      <c r="AQ142" s="808">
        <f t="shared" si="115"/>
        <v>498590</v>
      </c>
      <c r="AR142" s="809">
        <f t="shared" si="116"/>
        <v>366</v>
      </c>
      <c r="AS142" s="809">
        <f t="shared" si="117"/>
        <v>47496</v>
      </c>
      <c r="AT142" s="808">
        <f t="shared" si="118"/>
        <v>283683</v>
      </c>
      <c r="AU142" s="790">
        <f t="shared" si="119"/>
        <v>214907</v>
      </c>
    </row>
    <row r="143" spans="1:47" ht="15" customHeight="1" x14ac:dyDescent="0.25">
      <c r="A143" s="876" t="s">
        <v>1224</v>
      </c>
      <c r="B143" s="843" t="s">
        <v>1230</v>
      </c>
      <c r="C143" s="778">
        <f t="shared" si="83"/>
        <v>9.5000000000000001E-2</v>
      </c>
      <c r="D143" s="844">
        <v>10</v>
      </c>
      <c r="E143" s="779" t="s">
        <v>1182</v>
      </c>
      <c r="F143" s="877">
        <v>43191</v>
      </c>
      <c r="G143" s="781">
        <f t="shared" si="120"/>
        <v>43191</v>
      </c>
      <c r="H143" s="781">
        <f t="shared" si="84"/>
        <v>46841</v>
      </c>
      <c r="I143" s="795">
        <v>764750</v>
      </c>
      <c r="J143" s="783">
        <f t="shared" si="85"/>
        <v>38237.5</v>
      </c>
      <c r="K143" s="895"/>
      <c r="L143" s="846"/>
      <c r="M143" s="790">
        <f t="shared" si="86"/>
        <v>764750</v>
      </c>
      <c r="N143" s="791">
        <f t="shared" si="122"/>
        <v>365</v>
      </c>
      <c r="O143" s="791">
        <f t="shared" si="88"/>
        <v>72651</v>
      </c>
      <c r="P143" s="790">
        <f t="shared" si="121"/>
        <v>72651</v>
      </c>
      <c r="Q143" s="847">
        <f t="shared" si="89"/>
        <v>692099</v>
      </c>
      <c r="R143" s="789">
        <f t="shared" si="90"/>
        <v>692099</v>
      </c>
      <c r="S143" s="790">
        <f t="shared" si="91"/>
        <v>764750</v>
      </c>
      <c r="T143" s="791">
        <f t="shared" si="92"/>
        <v>366</v>
      </c>
      <c r="U143" s="896">
        <f t="shared" si="123"/>
        <v>72008</v>
      </c>
      <c r="V143" s="790">
        <f t="shared" si="94"/>
        <v>144659</v>
      </c>
      <c r="W143" s="847">
        <f t="shared" si="95"/>
        <v>620091</v>
      </c>
      <c r="X143" s="846">
        <f t="shared" si="96"/>
        <v>620091</v>
      </c>
      <c r="Y143" s="783">
        <f t="shared" si="97"/>
        <v>764750</v>
      </c>
      <c r="Z143" s="783">
        <f t="shared" si="98"/>
        <v>365</v>
      </c>
      <c r="AA143" s="783">
        <f t="shared" si="99"/>
        <v>72651</v>
      </c>
      <c r="AB143" s="783">
        <f t="shared" si="100"/>
        <v>217310</v>
      </c>
      <c r="AC143" s="848">
        <f t="shared" si="101"/>
        <v>547440</v>
      </c>
      <c r="AD143" s="789">
        <f t="shared" si="102"/>
        <v>547440</v>
      </c>
      <c r="AE143" s="790">
        <f t="shared" si="103"/>
        <v>764750</v>
      </c>
      <c r="AF143" s="791">
        <f t="shared" si="104"/>
        <v>365</v>
      </c>
      <c r="AG143" s="791">
        <f t="shared" si="105"/>
        <v>72651</v>
      </c>
      <c r="AH143" s="783">
        <f t="shared" si="106"/>
        <v>289961</v>
      </c>
      <c r="AI143" s="783">
        <f t="shared" si="107"/>
        <v>474789</v>
      </c>
      <c r="AJ143" s="790">
        <f t="shared" si="108"/>
        <v>474789</v>
      </c>
      <c r="AK143" s="790">
        <f t="shared" si="109"/>
        <v>764750</v>
      </c>
      <c r="AL143" s="791">
        <f t="shared" si="110"/>
        <v>365</v>
      </c>
      <c r="AM143" s="791">
        <f t="shared" si="111"/>
        <v>72651</v>
      </c>
      <c r="AN143" s="783">
        <f t="shared" si="112"/>
        <v>362612</v>
      </c>
      <c r="AO143" s="783">
        <f t="shared" si="113"/>
        <v>402138</v>
      </c>
      <c r="AP143" s="808">
        <f t="shared" si="114"/>
        <v>402138</v>
      </c>
      <c r="AQ143" s="808">
        <f t="shared" si="115"/>
        <v>764750</v>
      </c>
      <c r="AR143" s="809">
        <f t="shared" si="116"/>
        <v>366</v>
      </c>
      <c r="AS143" s="809">
        <f t="shared" si="117"/>
        <v>72850</v>
      </c>
      <c r="AT143" s="808">
        <f t="shared" si="118"/>
        <v>435462</v>
      </c>
      <c r="AU143" s="790">
        <f t="shared" si="119"/>
        <v>329288</v>
      </c>
    </row>
    <row r="144" spans="1:47" ht="15" customHeight="1" x14ac:dyDescent="0.25">
      <c r="A144" s="876" t="s">
        <v>1224</v>
      </c>
      <c r="B144" s="843" t="s">
        <v>1230</v>
      </c>
      <c r="C144" s="778">
        <f t="shared" si="83"/>
        <v>9.5000000000000001E-2</v>
      </c>
      <c r="D144" s="844">
        <v>10</v>
      </c>
      <c r="E144" s="779" t="s">
        <v>1182</v>
      </c>
      <c r="F144" s="877">
        <v>43191</v>
      </c>
      <c r="G144" s="781">
        <f t="shared" si="120"/>
        <v>43191</v>
      </c>
      <c r="H144" s="781">
        <f t="shared" si="84"/>
        <v>46841</v>
      </c>
      <c r="I144" s="795">
        <v>13810</v>
      </c>
      <c r="J144" s="783">
        <f t="shared" si="85"/>
        <v>690.5</v>
      </c>
      <c r="K144" s="895"/>
      <c r="L144" s="846"/>
      <c r="M144" s="790">
        <f t="shared" si="86"/>
        <v>13810</v>
      </c>
      <c r="N144" s="791">
        <f t="shared" si="122"/>
        <v>365</v>
      </c>
      <c r="O144" s="791">
        <f t="shared" si="88"/>
        <v>1312</v>
      </c>
      <c r="P144" s="790">
        <f t="shared" si="121"/>
        <v>1312</v>
      </c>
      <c r="Q144" s="847">
        <f t="shared" si="89"/>
        <v>12498</v>
      </c>
      <c r="R144" s="789">
        <f t="shared" si="90"/>
        <v>12498</v>
      </c>
      <c r="S144" s="790">
        <f t="shared" si="91"/>
        <v>13810</v>
      </c>
      <c r="T144" s="791">
        <f t="shared" si="92"/>
        <v>366</v>
      </c>
      <c r="U144" s="896">
        <f t="shared" si="123"/>
        <v>669</v>
      </c>
      <c r="V144" s="790">
        <f t="shared" si="94"/>
        <v>1981</v>
      </c>
      <c r="W144" s="847">
        <f t="shared" si="95"/>
        <v>11829</v>
      </c>
      <c r="X144" s="846">
        <f t="shared" si="96"/>
        <v>11829</v>
      </c>
      <c r="Y144" s="783">
        <f t="shared" si="97"/>
        <v>13810</v>
      </c>
      <c r="Z144" s="783">
        <f t="shared" si="98"/>
        <v>365</v>
      </c>
      <c r="AA144" s="783">
        <f t="shared" si="99"/>
        <v>1312</v>
      </c>
      <c r="AB144" s="783">
        <f t="shared" si="100"/>
        <v>3293</v>
      </c>
      <c r="AC144" s="848">
        <f t="shared" si="101"/>
        <v>10517</v>
      </c>
      <c r="AD144" s="789">
        <f t="shared" si="102"/>
        <v>10517</v>
      </c>
      <c r="AE144" s="790">
        <f t="shared" si="103"/>
        <v>13810</v>
      </c>
      <c r="AF144" s="791">
        <f t="shared" si="104"/>
        <v>365</v>
      </c>
      <c r="AG144" s="791">
        <f t="shared" si="105"/>
        <v>1312</v>
      </c>
      <c r="AH144" s="783">
        <f t="shared" si="106"/>
        <v>4605</v>
      </c>
      <c r="AI144" s="783">
        <f t="shared" si="107"/>
        <v>9205</v>
      </c>
      <c r="AJ144" s="790">
        <f t="shared" si="108"/>
        <v>9205</v>
      </c>
      <c r="AK144" s="790">
        <f t="shared" si="109"/>
        <v>13810</v>
      </c>
      <c r="AL144" s="791">
        <f t="shared" si="110"/>
        <v>365</v>
      </c>
      <c r="AM144" s="791">
        <f t="shared" si="111"/>
        <v>1312</v>
      </c>
      <c r="AN144" s="783">
        <f t="shared" si="112"/>
        <v>5917</v>
      </c>
      <c r="AO144" s="783">
        <f t="shared" si="113"/>
        <v>7893</v>
      </c>
      <c r="AP144" s="808">
        <f t="shared" si="114"/>
        <v>7893</v>
      </c>
      <c r="AQ144" s="808">
        <f t="shared" si="115"/>
        <v>13810</v>
      </c>
      <c r="AR144" s="809">
        <f t="shared" si="116"/>
        <v>366</v>
      </c>
      <c r="AS144" s="809">
        <f t="shared" si="117"/>
        <v>1316</v>
      </c>
      <c r="AT144" s="808">
        <f t="shared" si="118"/>
        <v>7233</v>
      </c>
      <c r="AU144" s="790">
        <f t="shared" si="119"/>
        <v>6577</v>
      </c>
    </row>
    <row r="145" spans="1:47" ht="15" customHeight="1" x14ac:dyDescent="0.25">
      <c r="A145" s="876" t="s">
        <v>1224</v>
      </c>
      <c r="B145" s="843" t="s">
        <v>1230</v>
      </c>
      <c r="C145" s="778">
        <f t="shared" si="83"/>
        <v>9.5000000000000001E-2</v>
      </c>
      <c r="D145" s="844">
        <v>10</v>
      </c>
      <c r="E145" s="779" t="s">
        <v>1182</v>
      </c>
      <c r="F145" s="877">
        <v>43191</v>
      </c>
      <c r="G145" s="781">
        <f t="shared" si="120"/>
        <v>43191</v>
      </c>
      <c r="H145" s="781">
        <f t="shared" si="84"/>
        <v>46841</v>
      </c>
      <c r="I145" s="795">
        <v>200150</v>
      </c>
      <c r="J145" s="783">
        <f t="shared" si="85"/>
        <v>10007.5</v>
      </c>
      <c r="K145" s="895"/>
      <c r="L145" s="846"/>
      <c r="M145" s="790">
        <f t="shared" si="86"/>
        <v>200150</v>
      </c>
      <c r="N145" s="791">
        <f t="shared" si="122"/>
        <v>365</v>
      </c>
      <c r="O145" s="791">
        <f t="shared" si="88"/>
        <v>19014</v>
      </c>
      <c r="P145" s="790">
        <f t="shared" si="121"/>
        <v>19014</v>
      </c>
      <c r="Q145" s="847">
        <f t="shared" si="89"/>
        <v>181136</v>
      </c>
      <c r="R145" s="789">
        <f t="shared" si="90"/>
        <v>181136</v>
      </c>
      <c r="S145" s="790">
        <f t="shared" si="91"/>
        <v>200150</v>
      </c>
      <c r="T145" s="791">
        <f t="shared" si="92"/>
        <v>366</v>
      </c>
      <c r="U145" s="896">
        <f t="shared" si="123"/>
        <v>18371</v>
      </c>
      <c r="V145" s="790">
        <f t="shared" si="94"/>
        <v>37385</v>
      </c>
      <c r="W145" s="847">
        <f t="shared" si="95"/>
        <v>162765</v>
      </c>
      <c r="X145" s="846">
        <f t="shared" si="96"/>
        <v>162765</v>
      </c>
      <c r="Y145" s="783">
        <f t="shared" si="97"/>
        <v>200150</v>
      </c>
      <c r="Z145" s="783">
        <f t="shared" si="98"/>
        <v>365</v>
      </c>
      <c r="AA145" s="783">
        <f t="shared" si="99"/>
        <v>19014</v>
      </c>
      <c r="AB145" s="783">
        <f t="shared" si="100"/>
        <v>56399</v>
      </c>
      <c r="AC145" s="848">
        <f t="shared" si="101"/>
        <v>143751</v>
      </c>
      <c r="AD145" s="789">
        <f t="shared" si="102"/>
        <v>143751</v>
      </c>
      <c r="AE145" s="790">
        <f t="shared" si="103"/>
        <v>200150</v>
      </c>
      <c r="AF145" s="791">
        <f t="shared" si="104"/>
        <v>365</v>
      </c>
      <c r="AG145" s="791">
        <f t="shared" si="105"/>
        <v>19014</v>
      </c>
      <c r="AH145" s="783">
        <f t="shared" si="106"/>
        <v>75413</v>
      </c>
      <c r="AI145" s="783">
        <f t="shared" si="107"/>
        <v>124737</v>
      </c>
      <c r="AJ145" s="790">
        <f t="shared" si="108"/>
        <v>124737</v>
      </c>
      <c r="AK145" s="790">
        <f t="shared" si="109"/>
        <v>200150</v>
      </c>
      <c r="AL145" s="791">
        <f t="shared" si="110"/>
        <v>365</v>
      </c>
      <c r="AM145" s="791">
        <f t="shared" si="111"/>
        <v>19014</v>
      </c>
      <c r="AN145" s="783">
        <f t="shared" si="112"/>
        <v>94427</v>
      </c>
      <c r="AO145" s="783">
        <f t="shared" si="113"/>
        <v>105723</v>
      </c>
      <c r="AP145" s="808">
        <f t="shared" si="114"/>
        <v>105723</v>
      </c>
      <c r="AQ145" s="808">
        <f t="shared" si="115"/>
        <v>200150</v>
      </c>
      <c r="AR145" s="809">
        <f t="shared" si="116"/>
        <v>366</v>
      </c>
      <c r="AS145" s="809">
        <f t="shared" si="117"/>
        <v>19066</v>
      </c>
      <c r="AT145" s="808">
        <f t="shared" si="118"/>
        <v>113493</v>
      </c>
      <c r="AU145" s="790">
        <f t="shared" si="119"/>
        <v>86657</v>
      </c>
    </row>
    <row r="146" spans="1:47" ht="15" customHeight="1" x14ac:dyDescent="0.25">
      <c r="A146" s="876" t="s">
        <v>1224</v>
      </c>
      <c r="B146" s="843" t="s">
        <v>1231</v>
      </c>
      <c r="C146" s="778">
        <f t="shared" si="83"/>
        <v>9.5000000000000001E-2</v>
      </c>
      <c r="D146" s="844">
        <v>10</v>
      </c>
      <c r="E146" s="779" t="s">
        <v>1182</v>
      </c>
      <c r="F146" s="877">
        <v>43191</v>
      </c>
      <c r="G146" s="781">
        <f t="shared" si="120"/>
        <v>43191</v>
      </c>
      <c r="H146" s="781">
        <f t="shared" si="84"/>
        <v>46841</v>
      </c>
      <c r="I146" s="795">
        <v>95500</v>
      </c>
      <c r="J146" s="783">
        <f t="shared" si="85"/>
        <v>4775</v>
      </c>
      <c r="K146" s="895"/>
      <c r="L146" s="846"/>
      <c r="M146" s="790">
        <f t="shared" si="86"/>
        <v>95500</v>
      </c>
      <c r="N146" s="791">
        <f t="shared" si="122"/>
        <v>365</v>
      </c>
      <c r="O146" s="791">
        <f t="shared" si="88"/>
        <v>9073</v>
      </c>
      <c r="P146" s="790">
        <f t="shared" si="121"/>
        <v>9073</v>
      </c>
      <c r="Q146" s="847">
        <f t="shared" si="89"/>
        <v>86427</v>
      </c>
      <c r="R146" s="789">
        <f t="shared" si="90"/>
        <v>86427</v>
      </c>
      <c r="S146" s="790">
        <f t="shared" si="91"/>
        <v>95500</v>
      </c>
      <c r="T146" s="791">
        <f t="shared" si="92"/>
        <v>366</v>
      </c>
      <c r="U146" s="896">
        <f t="shared" si="123"/>
        <v>8430</v>
      </c>
      <c r="V146" s="790">
        <f t="shared" si="94"/>
        <v>17503</v>
      </c>
      <c r="W146" s="847">
        <f t="shared" si="95"/>
        <v>77997</v>
      </c>
      <c r="X146" s="846">
        <f t="shared" si="96"/>
        <v>77997</v>
      </c>
      <c r="Y146" s="783">
        <f t="shared" si="97"/>
        <v>95500</v>
      </c>
      <c r="Z146" s="783">
        <f t="shared" si="98"/>
        <v>365</v>
      </c>
      <c r="AA146" s="783">
        <f t="shared" si="99"/>
        <v>9073</v>
      </c>
      <c r="AB146" s="783">
        <f t="shared" si="100"/>
        <v>26576</v>
      </c>
      <c r="AC146" s="848">
        <f t="shared" si="101"/>
        <v>68924</v>
      </c>
      <c r="AD146" s="789">
        <f t="shared" si="102"/>
        <v>68924</v>
      </c>
      <c r="AE146" s="790">
        <f t="shared" si="103"/>
        <v>95500</v>
      </c>
      <c r="AF146" s="791">
        <f t="shared" si="104"/>
        <v>365</v>
      </c>
      <c r="AG146" s="791">
        <f t="shared" si="105"/>
        <v>9073</v>
      </c>
      <c r="AH146" s="783">
        <f t="shared" si="106"/>
        <v>35649</v>
      </c>
      <c r="AI146" s="783">
        <f t="shared" si="107"/>
        <v>59851</v>
      </c>
      <c r="AJ146" s="790">
        <f t="shared" si="108"/>
        <v>59851</v>
      </c>
      <c r="AK146" s="790">
        <f t="shared" si="109"/>
        <v>95500</v>
      </c>
      <c r="AL146" s="791">
        <f t="shared" si="110"/>
        <v>365</v>
      </c>
      <c r="AM146" s="791">
        <f t="shared" si="111"/>
        <v>9073</v>
      </c>
      <c r="AN146" s="783">
        <f t="shared" si="112"/>
        <v>44722</v>
      </c>
      <c r="AO146" s="783">
        <f t="shared" si="113"/>
        <v>50778</v>
      </c>
      <c r="AP146" s="808">
        <f t="shared" si="114"/>
        <v>50778</v>
      </c>
      <c r="AQ146" s="808">
        <f t="shared" si="115"/>
        <v>95500</v>
      </c>
      <c r="AR146" s="809">
        <f t="shared" si="116"/>
        <v>366</v>
      </c>
      <c r="AS146" s="809">
        <f t="shared" si="117"/>
        <v>9097</v>
      </c>
      <c r="AT146" s="808">
        <f t="shared" si="118"/>
        <v>53819</v>
      </c>
      <c r="AU146" s="790">
        <f t="shared" si="119"/>
        <v>41681</v>
      </c>
    </row>
    <row r="147" spans="1:47" ht="15" customHeight="1" x14ac:dyDescent="0.25">
      <c r="A147" s="876" t="s">
        <v>1224</v>
      </c>
      <c r="B147" s="843" t="s">
        <v>1231</v>
      </c>
      <c r="C147" s="778">
        <f t="shared" si="83"/>
        <v>9.5000000000000001E-2</v>
      </c>
      <c r="D147" s="844">
        <v>10</v>
      </c>
      <c r="E147" s="779" t="s">
        <v>1182</v>
      </c>
      <c r="F147" s="877">
        <v>43191</v>
      </c>
      <c r="G147" s="781">
        <f t="shared" si="120"/>
        <v>43191</v>
      </c>
      <c r="H147" s="781">
        <f t="shared" si="84"/>
        <v>46841</v>
      </c>
      <c r="I147" s="795">
        <v>95500</v>
      </c>
      <c r="J147" s="783">
        <f t="shared" si="85"/>
        <v>4775</v>
      </c>
      <c r="K147" s="895"/>
      <c r="L147" s="846"/>
      <c r="M147" s="790">
        <f t="shared" si="86"/>
        <v>95500</v>
      </c>
      <c r="N147" s="791">
        <f t="shared" si="122"/>
        <v>365</v>
      </c>
      <c r="O147" s="791">
        <f t="shared" si="88"/>
        <v>9073</v>
      </c>
      <c r="P147" s="790">
        <f t="shared" si="121"/>
        <v>9073</v>
      </c>
      <c r="Q147" s="847">
        <f t="shared" si="89"/>
        <v>86427</v>
      </c>
      <c r="R147" s="789">
        <f t="shared" si="90"/>
        <v>86427</v>
      </c>
      <c r="S147" s="790">
        <f t="shared" si="91"/>
        <v>95500</v>
      </c>
      <c r="T147" s="791">
        <f t="shared" si="92"/>
        <v>366</v>
      </c>
      <c r="U147" s="896">
        <f t="shared" si="123"/>
        <v>8430</v>
      </c>
      <c r="V147" s="790">
        <f t="shared" si="94"/>
        <v>17503</v>
      </c>
      <c r="W147" s="847">
        <f t="shared" si="95"/>
        <v>77997</v>
      </c>
      <c r="X147" s="846">
        <f t="shared" si="96"/>
        <v>77997</v>
      </c>
      <c r="Y147" s="783">
        <f t="shared" si="97"/>
        <v>95500</v>
      </c>
      <c r="Z147" s="783">
        <f t="shared" si="98"/>
        <v>365</v>
      </c>
      <c r="AA147" s="783">
        <f t="shared" si="99"/>
        <v>9073</v>
      </c>
      <c r="AB147" s="783">
        <f t="shared" si="100"/>
        <v>26576</v>
      </c>
      <c r="AC147" s="848">
        <f t="shared" si="101"/>
        <v>68924</v>
      </c>
      <c r="AD147" s="789">
        <f t="shared" si="102"/>
        <v>68924</v>
      </c>
      <c r="AE147" s="790">
        <f t="shared" si="103"/>
        <v>95500</v>
      </c>
      <c r="AF147" s="791">
        <f t="shared" si="104"/>
        <v>365</v>
      </c>
      <c r="AG147" s="791">
        <f t="shared" si="105"/>
        <v>9073</v>
      </c>
      <c r="AH147" s="783">
        <f t="shared" si="106"/>
        <v>35649</v>
      </c>
      <c r="AI147" s="783">
        <f t="shared" si="107"/>
        <v>59851</v>
      </c>
      <c r="AJ147" s="790">
        <f t="shared" si="108"/>
        <v>59851</v>
      </c>
      <c r="AK147" s="790">
        <f t="shared" si="109"/>
        <v>95500</v>
      </c>
      <c r="AL147" s="791">
        <f t="shared" si="110"/>
        <v>365</v>
      </c>
      <c r="AM147" s="791">
        <f t="shared" si="111"/>
        <v>9073</v>
      </c>
      <c r="AN147" s="783">
        <f t="shared" si="112"/>
        <v>44722</v>
      </c>
      <c r="AO147" s="783">
        <f t="shared" si="113"/>
        <v>50778</v>
      </c>
      <c r="AP147" s="808">
        <f t="shared" si="114"/>
        <v>50778</v>
      </c>
      <c r="AQ147" s="808">
        <f t="shared" si="115"/>
        <v>95500</v>
      </c>
      <c r="AR147" s="809">
        <f t="shared" si="116"/>
        <v>366</v>
      </c>
      <c r="AS147" s="809">
        <f t="shared" si="117"/>
        <v>9097</v>
      </c>
      <c r="AT147" s="808">
        <f t="shared" si="118"/>
        <v>53819</v>
      </c>
      <c r="AU147" s="790">
        <f t="shared" si="119"/>
        <v>41681</v>
      </c>
    </row>
    <row r="148" spans="1:47" ht="15" customHeight="1" x14ac:dyDescent="0.25">
      <c r="A148" s="876" t="s">
        <v>1224</v>
      </c>
      <c r="B148" s="843" t="s">
        <v>1231</v>
      </c>
      <c r="C148" s="778">
        <f t="shared" si="83"/>
        <v>9.5000000000000001E-2</v>
      </c>
      <c r="D148" s="844">
        <v>10</v>
      </c>
      <c r="E148" s="779" t="s">
        <v>1182</v>
      </c>
      <c r="F148" s="877">
        <v>43191</v>
      </c>
      <c r="G148" s="781">
        <f t="shared" si="120"/>
        <v>43191</v>
      </c>
      <c r="H148" s="781">
        <f t="shared" si="84"/>
        <v>46841</v>
      </c>
      <c r="I148" s="795">
        <v>95500</v>
      </c>
      <c r="J148" s="783">
        <f t="shared" si="85"/>
        <v>4775</v>
      </c>
      <c r="K148" s="895"/>
      <c r="L148" s="846"/>
      <c r="M148" s="790">
        <f t="shared" si="86"/>
        <v>95500</v>
      </c>
      <c r="N148" s="791">
        <f t="shared" si="122"/>
        <v>365</v>
      </c>
      <c r="O148" s="791">
        <f t="shared" si="88"/>
        <v>9073</v>
      </c>
      <c r="P148" s="790">
        <f t="shared" si="121"/>
        <v>9073</v>
      </c>
      <c r="Q148" s="847">
        <f t="shared" si="89"/>
        <v>86427</v>
      </c>
      <c r="R148" s="789">
        <f t="shared" si="90"/>
        <v>86427</v>
      </c>
      <c r="S148" s="790">
        <f t="shared" si="91"/>
        <v>95500</v>
      </c>
      <c r="T148" s="791">
        <f t="shared" si="92"/>
        <v>366</v>
      </c>
      <c r="U148" s="896">
        <f t="shared" si="123"/>
        <v>8430</v>
      </c>
      <c r="V148" s="790">
        <f t="shared" si="94"/>
        <v>17503</v>
      </c>
      <c r="W148" s="847">
        <f t="shared" si="95"/>
        <v>77997</v>
      </c>
      <c r="X148" s="846">
        <f t="shared" si="96"/>
        <v>77997</v>
      </c>
      <c r="Y148" s="783">
        <f t="shared" si="97"/>
        <v>95500</v>
      </c>
      <c r="Z148" s="783">
        <f t="shared" si="98"/>
        <v>365</v>
      </c>
      <c r="AA148" s="783">
        <f t="shared" si="99"/>
        <v>9073</v>
      </c>
      <c r="AB148" s="783">
        <f t="shared" si="100"/>
        <v>26576</v>
      </c>
      <c r="AC148" s="848">
        <f t="shared" si="101"/>
        <v>68924</v>
      </c>
      <c r="AD148" s="789">
        <f t="shared" si="102"/>
        <v>68924</v>
      </c>
      <c r="AE148" s="790">
        <f t="shared" si="103"/>
        <v>95500</v>
      </c>
      <c r="AF148" s="791">
        <f t="shared" si="104"/>
        <v>365</v>
      </c>
      <c r="AG148" s="791">
        <f t="shared" si="105"/>
        <v>9073</v>
      </c>
      <c r="AH148" s="783">
        <f t="shared" si="106"/>
        <v>35649</v>
      </c>
      <c r="AI148" s="783">
        <f t="shared" si="107"/>
        <v>59851</v>
      </c>
      <c r="AJ148" s="790">
        <f t="shared" si="108"/>
        <v>59851</v>
      </c>
      <c r="AK148" s="790">
        <f t="shared" si="109"/>
        <v>95500</v>
      </c>
      <c r="AL148" s="791">
        <f t="shared" si="110"/>
        <v>365</v>
      </c>
      <c r="AM148" s="791">
        <f t="shared" si="111"/>
        <v>9073</v>
      </c>
      <c r="AN148" s="783">
        <f t="shared" si="112"/>
        <v>44722</v>
      </c>
      <c r="AO148" s="783">
        <f t="shared" si="113"/>
        <v>50778</v>
      </c>
      <c r="AP148" s="808">
        <f t="shared" si="114"/>
        <v>50778</v>
      </c>
      <c r="AQ148" s="808">
        <f t="shared" si="115"/>
        <v>95500</v>
      </c>
      <c r="AR148" s="809">
        <f t="shared" si="116"/>
        <v>366</v>
      </c>
      <c r="AS148" s="809">
        <f t="shared" si="117"/>
        <v>9097</v>
      </c>
      <c r="AT148" s="808">
        <f t="shared" si="118"/>
        <v>53819</v>
      </c>
      <c r="AU148" s="790">
        <f t="shared" si="119"/>
        <v>41681</v>
      </c>
    </row>
    <row r="149" spans="1:47" ht="15" customHeight="1" x14ac:dyDescent="0.25">
      <c r="A149" s="876" t="s">
        <v>1224</v>
      </c>
      <c r="B149" s="843" t="s">
        <v>1231</v>
      </c>
      <c r="C149" s="778">
        <f t="shared" si="83"/>
        <v>9.5000000000000001E-2</v>
      </c>
      <c r="D149" s="844">
        <v>10</v>
      </c>
      <c r="E149" s="779" t="s">
        <v>1182</v>
      </c>
      <c r="F149" s="877">
        <v>43191</v>
      </c>
      <c r="G149" s="781">
        <f t="shared" si="120"/>
        <v>43191</v>
      </c>
      <c r="H149" s="781">
        <f t="shared" si="84"/>
        <v>46841</v>
      </c>
      <c r="I149" s="795">
        <v>95500</v>
      </c>
      <c r="J149" s="783">
        <f t="shared" si="85"/>
        <v>4775</v>
      </c>
      <c r="K149" s="895"/>
      <c r="L149" s="846"/>
      <c r="M149" s="790">
        <f t="shared" si="86"/>
        <v>95500</v>
      </c>
      <c r="N149" s="791">
        <f t="shared" si="122"/>
        <v>365</v>
      </c>
      <c r="O149" s="791">
        <f t="shared" si="88"/>
        <v>9073</v>
      </c>
      <c r="P149" s="790">
        <f t="shared" si="121"/>
        <v>9073</v>
      </c>
      <c r="Q149" s="847">
        <f t="shared" si="89"/>
        <v>86427</v>
      </c>
      <c r="R149" s="789">
        <f t="shared" si="90"/>
        <v>86427</v>
      </c>
      <c r="S149" s="790">
        <f t="shared" si="91"/>
        <v>95500</v>
      </c>
      <c r="T149" s="791">
        <f t="shared" si="92"/>
        <v>366</v>
      </c>
      <c r="U149" s="896">
        <f t="shared" si="123"/>
        <v>8430</v>
      </c>
      <c r="V149" s="790">
        <f t="shared" si="94"/>
        <v>17503</v>
      </c>
      <c r="W149" s="847">
        <f t="shared" si="95"/>
        <v>77997</v>
      </c>
      <c r="X149" s="846">
        <f t="shared" si="96"/>
        <v>77997</v>
      </c>
      <c r="Y149" s="783">
        <f t="shared" si="97"/>
        <v>95500</v>
      </c>
      <c r="Z149" s="783">
        <f t="shared" si="98"/>
        <v>365</v>
      </c>
      <c r="AA149" s="783">
        <f t="shared" si="99"/>
        <v>9073</v>
      </c>
      <c r="AB149" s="783">
        <f t="shared" si="100"/>
        <v>26576</v>
      </c>
      <c r="AC149" s="848">
        <f t="shared" si="101"/>
        <v>68924</v>
      </c>
      <c r="AD149" s="789">
        <f t="shared" si="102"/>
        <v>68924</v>
      </c>
      <c r="AE149" s="790">
        <f t="shared" si="103"/>
        <v>95500</v>
      </c>
      <c r="AF149" s="791">
        <f t="shared" si="104"/>
        <v>365</v>
      </c>
      <c r="AG149" s="791">
        <f t="shared" si="105"/>
        <v>9073</v>
      </c>
      <c r="AH149" s="783">
        <f t="shared" si="106"/>
        <v>35649</v>
      </c>
      <c r="AI149" s="783">
        <f t="shared" si="107"/>
        <v>59851</v>
      </c>
      <c r="AJ149" s="790">
        <f t="shared" si="108"/>
        <v>59851</v>
      </c>
      <c r="AK149" s="790">
        <f t="shared" si="109"/>
        <v>95500</v>
      </c>
      <c r="AL149" s="791">
        <f t="shared" si="110"/>
        <v>365</v>
      </c>
      <c r="AM149" s="791">
        <f t="shared" si="111"/>
        <v>9073</v>
      </c>
      <c r="AN149" s="783">
        <f t="shared" si="112"/>
        <v>44722</v>
      </c>
      <c r="AO149" s="783">
        <f t="shared" si="113"/>
        <v>50778</v>
      </c>
      <c r="AP149" s="808">
        <f t="shared" si="114"/>
        <v>50778</v>
      </c>
      <c r="AQ149" s="808">
        <f t="shared" si="115"/>
        <v>95500</v>
      </c>
      <c r="AR149" s="809">
        <f t="shared" si="116"/>
        <v>366</v>
      </c>
      <c r="AS149" s="809">
        <f t="shared" si="117"/>
        <v>9097</v>
      </c>
      <c r="AT149" s="808">
        <f t="shared" si="118"/>
        <v>53819</v>
      </c>
      <c r="AU149" s="790">
        <f t="shared" si="119"/>
        <v>41681</v>
      </c>
    </row>
    <row r="150" spans="1:47" ht="15" customHeight="1" x14ac:dyDescent="0.25">
      <c r="A150" s="876" t="s">
        <v>1224</v>
      </c>
      <c r="B150" s="843" t="s">
        <v>1232</v>
      </c>
      <c r="C150" s="778">
        <f t="shared" si="83"/>
        <v>9.5000000000000001E-2</v>
      </c>
      <c r="D150" s="844">
        <v>10</v>
      </c>
      <c r="E150" s="779" t="s">
        <v>1182</v>
      </c>
      <c r="F150" s="877">
        <v>43191</v>
      </c>
      <c r="G150" s="781">
        <f t="shared" si="120"/>
        <v>43191</v>
      </c>
      <c r="H150" s="781">
        <f t="shared" si="84"/>
        <v>46841</v>
      </c>
      <c r="I150" s="795">
        <v>26000</v>
      </c>
      <c r="J150" s="783">
        <f t="shared" si="85"/>
        <v>1300</v>
      </c>
      <c r="K150" s="895"/>
      <c r="L150" s="846"/>
      <c r="M150" s="790">
        <f t="shared" si="86"/>
        <v>26000</v>
      </c>
      <c r="N150" s="791">
        <f t="shared" si="122"/>
        <v>365</v>
      </c>
      <c r="O150" s="791">
        <f t="shared" si="88"/>
        <v>2470</v>
      </c>
      <c r="P150" s="790">
        <f t="shared" si="121"/>
        <v>2470</v>
      </c>
      <c r="Q150" s="847">
        <f t="shared" si="89"/>
        <v>23530</v>
      </c>
      <c r="R150" s="789">
        <f t="shared" si="90"/>
        <v>23530</v>
      </c>
      <c r="S150" s="790">
        <f t="shared" si="91"/>
        <v>26000</v>
      </c>
      <c r="T150" s="791">
        <f t="shared" si="92"/>
        <v>366</v>
      </c>
      <c r="U150" s="896">
        <f t="shared" si="123"/>
        <v>1827</v>
      </c>
      <c r="V150" s="790">
        <f t="shared" si="94"/>
        <v>4297</v>
      </c>
      <c r="W150" s="847">
        <f t="shared" si="95"/>
        <v>21703</v>
      </c>
      <c r="X150" s="846">
        <f t="shared" si="96"/>
        <v>21703</v>
      </c>
      <c r="Y150" s="783">
        <f t="shared" si="97"/>
        <v>26000</v>
      </c>
      <c r="Z150" s="783">
        <f t="shared" si="98"/>
        <v>365</v>
      </c>
      <c r="AA150" s="783">
        <f t="shared" si="99"/>
        <v>2470</v>
      </c>
      <c r="AB150" s="783">
        <f t="shared" si="100"/>
        <v>6767</v>
      </c>
      <c r="AC150" s="848">
        <f t="shared" si="101"/>
        <v>19233</v>
      </c>
      <c r="AD150" s="789">
        <f t="shared" si="102"/>
        <v>19233</v>
      </c>
      <c r="AE150" s="790">
        <f t="shared" si="103"/>
        <v>26000</v>
      </c>
      <c r="AF150" s="791">
        <f t="shared" si="104"/>
        <v>365</v>
      </c>
      <c r="AG150" s="791">
        <f t="shared" si="105"/>
        <v>2470</v>
      </c>
      <c r="AH150" s="783">
        <f t="shared" si="106"/>
        <v>9237</v>
      </c>
      <c r="AI150" s="783">
        <f t="shared" si="107"/>
        <v>16763</v>
      </c>
      <c r="AJ150" s="790">
        <f t="shared" si="108"/>
        <v>16763</v>
      </c>
      <c r="AK150" s="790">
        <f t="shared" si="109"/>
        <v>26000</v>
      </c>
      <c r="AL150" s="791">
        <f t="shared" si="110"/>
        <v>365</v>
      </c>
      <c r="AM150" s="791">
        <f t="shared" si="111"/>
        <v>2470</v>
      </c>
      <c r="AN150" s="783">
        <f t="shared" si="112"/>
        <v>11707</v>
      </c>
      <c r="AO150" s="783">
        <f t="shared" si="113"/>
        <v>14293</v>
      </c>
      <c r="AP150" s="808">
        <f t="shared" si="114"/>
        <v>14293</v>
      </c>
      <c r="AQ150" s="808">
        <f t="shared" si="115"/>
        <v>26000</v>
      </c>
      <c r="AR150" s="809">
        <f t="shared" si="116"/>
        <v>366</v>
      </c>
      <c r="AS150" s="809">
        <f t="shared" si="117"/>
        <v>2477</v>
      </c>
      <c r="AT150" s="808">
        <f t="shared" si="118"/>
        <v>14184</v>
      </c>
      <c r="AU150" s="790">
        <f t="shared" si="119"/>
        <v>11816</v>
      </c>
    </row>
    <row r="151" spans="1:47" ht="15" customHeight="1" x14ac:dyDescent="0.25">
      <c r="A151" s="876" t="s">
        <v>1224</v>
      </c>
      <c r="B151" s="843" t="s">
        <v>1233</v>
      </c>
      <c r="C151" s="778">
        <f t="shared" si="83"/>
        <v>9.5000000000000001E-2</v>
      </c>
      <c r="D151" s="844">
        <v>10</v>
      </c>
      <c r="E151" s="779" t="s">
        <v>1182</v>
      </c>
      <c r="F151" s="877">
        <v>43191</v>
      </c>
      <c r="G151" s="781">
        <f t="shared" si="120"/>
        <v>43191</v>
      </c>
      <c r="H151" s="781">
        <f t="shared" si="84"/>
        <v>46841</v>
      </c>
      <c r="I151" s="795">
        <v>57500</v>
      </c>
      <c r="J151" s="783">
        <f t="shared" si="85"/>
        <v>2875</v>
      </c>
      <c r="K151" s="895"/>
      <c r="L151" s="846"/>
      <c r="M151" s="790">
        <f t="shared" si="86"/>
        <v>57500</v>
      </c>
      <c r="N151" s="791">
        <f t="shared" si="122"/>
        <v>365</v>
      </c>
      <c r="O151" s="791">
        <f t="shared" si="88"/>
        <v>5463</v>
      </c>
      <c r="P151" s="790">
        <f t="shared" si="121"/>
        <v>5463</v>
      </c>
      <c r="Q151" s="847">
        <f t="shared" si="89"/>
        <v>52037</v>
      </c>
      <c r="R151" s="789">
        <f t="shared" si="90"/>
        <v>52037</v>
      </c>
      <c r="S151" s="790">
        <f t="shared" si="91"/>
        <v>57500</v>
      </c>
      <c r="T151" s="791">
        <f t="shared" si="92"/>
        <v>366</v>
      </c>
      <c r="U151" s="896">
        <f t="shared" si="123"/>
        <v>4820</v>
      </c>
      <c r="V151" s="790">
        <f t="shared" si="94"/>
        <v>10283</v>
      </c>
      <c r="W151" s="847">
        <f t="shared" si="95"/>
        <v>47217</v>
      </c>
      <c r="X151" s="846">
        <f t="shared" si="96"/>
        <v>47217</v>
      </c>
      <c r="Y151" s="783">
        <f t="shared" si="97"/>
        <v>57500</v>
      </c>
      <c r="Z151" s="783">
        <f t="shared" si="98"/>
        <v>365</v>
      </c>
      <c r="AA151" s="783">
        <f t="shared" si="99"/>
        <v>5463</v>
      </c>
      <c r="AB151" s="783">
        <f t="shared" si="100"/>
        <v>15746</v>
      </c>
      <c r="AC151" s="848">
        <f t="shared" si="101"/>
        <v>41754</v>
      </c>
      <c r="AD151" s="789">
        <f t="shared" si="102"/>
        <v>41754</v>
      </c>
      <c r="AE151" s="790">
        <f t="shared" si="103"/>
        <v>57500</v>
      </c>
      <c r="AF151" s="791">
        <f t="shared" si="104"/>
        <v>365</v>
      </c>
      <c r="AG151" s="791">
        <f t="shared" si="105"/>
        <v>5463</v>
      </c>
      <c r="AH151" s="783">
        <f t="shared" si="106"/>
        <v>21209</v>
      </c>
      <c r="AI151" s="783">
        <f t="shared" si="107"/>
        <v>36291</v>
      </c>
      <c r="AJ151" s="790">
        <f t="shared" si="108"/>
        <v>36291</v>
      </c>
      <c r="AK151" s="790">
        <f t="shared" si="109"/>
        <v>57500</v>
      </c>
      <c r="AL151" s="791">
        <f t="shared" si="110"/>
        <v>365</v>
      </c>
      <c r="AM151" s="791">
        <f t="shared" si="111"/>
        <v>5463</v>
      </c>
      <c r="AN151" s="783">
        <f t="shared" si="112"/>
        <v>26672</v>
      </c>
      <c r="AO151" s="783">
        <f t="shared" si="113"/>
        <v>30828</v>
      </c>
      <c r="AP151" s="808">
        <f t="shared" si="114"/>
        <v>30828</v>
      </c>
      <c r="AQ151" s="808">
        <f t="shared" si="115"/>
        <v>57500</v>
      </c>
      <c r="AR151" s="809">
        <f t="shared" si="116"/>
        <v>366</v>
      </c>
      <c r="AS151" s="809">
        <f t="shared" si="117"/>
        <v>5477</v>
      </c>
      <c r="AT151" s="808">
        <f t="shared" si="118"/>
        <v>32149</v>
      </c>
      <c r="AU151" s="790">
        <f t="shared" si="119"/>
        <v>25351</v>
      </c>
    </row>
    <row r="152" spans="1:47" ht="15" customHeight="1" x14ac:dyDescent="0.25">
      <c r="A152" s="876" t="s">
        <v>1224</v>
      </c>
      <c r="B152" s="843" t="s">
        <v>1234</v>
      </c>
      <c r="C152" s="778">
        <f t="shared" si="83"/>
        <v>9.5000000000000001E-2</v>
      </c>
      <c r="D152" s="844">
        <v>10</v>
      </c>
      <c r="E152" s="779" t="s">
        <v>1182</v>
      </c>
      <c r="F152" s="877">
        <v>43191</v>
      </c>
      <c r="G152" s="781">
        <f t="shared" si="120"/>
        <v>43191</v>
      </c>
      <c r="H152" s="781">
        <f t="shared" si="84"/>
        <v>46841</v>
      </c>
      <c r="I152" s="795">
        <v>4375</v>
      </c>
      <c r="J152" s="783">
        <f t="shared" si="85"/>
        <v>218.75</v>
      </c>
      <c r="K152" s="895"/>
      <c r="L152" s="846"/>
      <c r="M152" s="790">
        <f t="shared" si="86"/>
        <v>4375</v>
      </c>
      <c r="N152" s="791">
        <f t="shared" si="122"/>
        <v>365</v>
      </c>
      <c r="O152" s="791">
        <f t="shared" si="88"/>
        <v>416</v>
      </c>
      <c r="P152" s="790">
        <f t="shared" si="121"/>
        <v>416</v>
      </c>
      <c r="Q152" s="847">
        <f t="shared" si="89"/>
        <v>3959</v>
      </c>
      <c r="R152" s="789">
        <f t="shared" si="90"/>
        <v>3959</v>
      </c>
      <c r="S152" s="790">
        <f t="shared" si="91"/>
        <v>4375</v>
      </c>
      <c r="T152" s="791">
        <f t="shared" si="92"/>
        <v>366</v>
      </c>
      <c r="U152" s="896">
        <f t="shared" si="123"/>
        <v>-227</v>
      </c>
      <c r="V152" s="790">
        <f t="shared" si="94"/>
        <v>189</v>
      </c>
      <c r="W152" s="847">
        <f t="shared" si="95"/>
        <v>4186</v>
      </c>
      <c r="X152" s="846">
        <f t="shared" si="96"/>
        <v>4186</v>
      </c>
      <c r="Y152" s="783">
        <f t="shared" si="97"/>
        <v>4375</v>
      </c>
      <c r="Z152" s="783">
        <f t="shared" si="98"/>
        <v>365</v>
      </c>
      <c r="AA152" s="783">
        <f t="shared" si="99"/>
        <v>416</v>
      </c>
      <c r="AB152" s="783">
        <f t="shared" si="100"/>
        <v>605</v>
      </c>
      <c r="AC152" s="848">
        <f t="shared" si="101"/>
        <v>3770</v>
      </c>
      <c r="AD152" s="789">
        <f t="shared" si="102"/>
        <v>3770</v>
      </c>
      <c r="AE152" s="790">
        <f t="shared" si="103"/>
        <v>4375</v>
      </c>
      <c r="AF152" s="791">
        <f t="shared" si="104"/>
        <v>365</v>
      </c>
      <c r="AG152" s="791">
        <f t="shared" si="105"/>
        <v>416</v>
      </c>
      <c r="AH152" s="783">
        <f t="shared" si="106"/>
        <v>1021</v>
      </c>
      <c r="AI152" s="783">
        <f t="shared" si="107"/>
        <v>3354</v>
      </c>
      <c r="AJ152" s="790">
        <f t="shared" si="108"/>
        <v>3354</v>
      </c>
      <c r="AK152" s="790">
        <f t="shared" si="109"/>
        <v>4375</v>
      </c>
      <c r="AL152" s="791">
        <f t="shared" si="110"/>
        <v>365</v>
      </c>
      <c r="AM152" s="791">
        <f t="shared" si="111"/>
        <v>416</v>
      </c>
      <c r="AN152" s="783">
        <f t="shared" si="112"/>
        <v>1437</v>
      </c>
      <c r="AO152" s="783">
        <f t="shared" si="113"/>
        <v>2938</v>
      </c>
      <c r="AP152" s="808">
        <f t="shared" si="114"/>
        <v>2938</v>
      </c>
      <c r="AQ152" s="808">
        <f t="shared" si="115"/>
        <v>4375</v>
      </c>
      <c r="AR152" s="809">
        <f t="shared" si="116"/>
        <v>366</v>
      </c>
      <c r="AS152" s="809">
        <f t="shared" si="117"/>
        <v>417</v>
      </c>
      <c r="AT152" s="808">
        <f t="shared" si="118"/>
        <v>1854</v>
      </c>
      <c r="AU152" s="790">
        <f t="shared" si="119"/>
        <v>2521</v>
      </c>
    </row>
    <row r="153" spans="1:47" ht="15" customHeight="1" x14ac:dyDescent="0.25">
      <c r="A153" s="876" t="s">
        <v>1224</v>
      </c>
      <c r="B153" s="843" t="s">
        <v>1235</v>
      </c>
      <c r="C153" s="778">
        <f t="shared" si="83"/>
        <v>9.5000000000000001E-2</v>
      </c>
      <c r="D153" s="844">
        <v>10</v>
      </c>
      <c r="E153" s="779" t="s">
        <v>1182</v>
      </c>
      <c r="F153" s="877">
        <v>43191</v>
      </c>
      <c r="G153" s="781">
        <f t="shared" si="120"/>
        <v>43191</v>
      </c>
      <c r="H153" s="781">
        <f t="shared" si="84"/>
        <v>46841</v>
      </c>
      <c r="I153" s="795">
        <v>2542.36</v>
      </c>
      <c r="J153" s="783">
        <f t="shared" si="85"/>
        <v>127.11800000000001</v>
      </c>
      <c r="K153" s="895"/>
      <c r="L153" s="846"/>
      <c r="M153" s="790">
        <f t="shared" si="86"/>
        <v>2542.36</v>
      </c>
      <c r="N153" s="791">
        <f t="shared" si="122"/>
        <v>365</v>
      </c>
      <c r="O153" s="791">
        <f t="shared" si="88"/>
        <v>242</v>
      </c>
      <c r="P153" s="790">
        <f t="shared" si="121"/>
        <v>242</v>
      </c>
      <c r="Q153" s="847">
        <f t="shared" si="89"/>
        <v>2300.36</v>
      </c>
      <c r="R153" s="789">
        <f t="shared" si="90"/>
        <v>2300.36</v>
      </c>
      <c r="S153" s="790">
        <f t="shared" si="91"/>
        <v>2542.36</v>
      </c>
      <c r="T153" s="791">
        <f t="shared" si="92"/>
        <v>366</v>
      </c>
      <c r="U153" s="896">
        <f t="shared" si="123"/>
        <v>-401</v>
      </c>
      <c r="V153" s="790">
        <f t="shared" si="94"/>
        <v>-159</v>
      </c>
      <c r="W153" s="847">
        <f t="shared" si="95"/>
        <v>2701.36</v>
      </c>
      <c r="X153" s="846">
        <f t="shared" si="96"/>
        <v>2701.36</v>
      </c>
      <c r="Y153" s="783">
        <f t="shared" si="97"/>
        <v>2542.36</v>
      </c>
      <c r="Z153" s="783">
        <f t="shared" si="98"/>
        <v>365</v>
      </c>
      <c r="AA153" s="783">
        <f t="shared" si="99"/>
        <v>242</v>
      </c>
      <c r="AB153" s="783">
        <f t="shared" si="100"/>
        <v>83</v>
      </c>
      <c r="AC153" s="848">
        <f t="shared" si="101"/>
        <v>2459.36</v>
      </c>
      <c r="AD153" s="789">
        <f t="shared" si="102"/>
        <v>2459.36</v>
      </c>
      <c r="AE153" s="790">
        <f t="shared" si="103"/>
        <v>2542.36</v>
      </c>
      <c r="AF153" s="791">
        <f t="shared" si="104"/>
        <v>365</v>
      </c>
      <c r="AG153" s="791">
        <f t="shared" si="105"/>
        <v>242</v>
      </c>
      <c r="AH153" s="783">
        <f t="shared" si="106"/>
        <v>325</v>
      </c>
      <c r="AI153" s="783">
        <f t="shared" si="107"/>
        <v>2217.36</v>
      </c>
      <c r="AJ153" s="790">
        <f t="shared" si="108"/>
        <v>2217.36</v>
      </c>
      <c r="AK153" s="790">
        <f t="shared" si="109"/>
        <v>2542.36</v>
      </c>
      <c r="AL153" s="791">
        <f t="shared" si="110"/>
        <v>365</v>
      </c>
      <c r="AM153" s="791">
        <f t="shared" si="111"/>
        <v>242</v>
      </c>
      <c r="AN153" s="783">
        <f t="shared" si="112"/>
        <v>567</v>
      </c>
      <c r="AO153" s="783">
        <f t="shared" si="113"/>
        <v>1975.3600000000001</v>
      </c>
      <c r="AP153" s="808">
        <f t="shared" si="114"/>
        <v>1975.3600000000001</v>
      </c>
      <c r="AQ153" s="808">
        <f t="shared" si="115"/>
        <v>2542.36</v>
      </c>
      <c r="AR153" s="809">
        <f t="shared" si="116"/>
        <v>366</v>
      </c>
      <c r="AS153" s="809">
        <f t="shared" si="117"/>
        <v>242</v>
      </c>
      <c r="AT153" s="808">
        <f t="shared" si="118"/>
        <v>809</v>
      </c>
      <c r="AU153" s="790">
        <f t="shared" si="119"/>
        <v>1733.3600000000001</v>
      </c>
    </row>
    <row r="154" spans="1:47" ht="15" customHeight="1" x14ac:dyDescent="0.25">
      <c r="A154" s="876" t="s">
        <v>1224</v>
      </c>
      <c r="B154" s="843" t="s">
        <v>1236</v>
      </c>
      <c r="C154" s="778">
        <f t="shared" si="83"/>
        <v>9.5000000000000001E-2</v>
      </c>
      <c r="D154" s="844">
        <v>10</v>
      </c>
      <c r="E154" s="779" t="s">
        <v>1182</v>
      </c>
      <c r="F154" s="877">
        <v>43191</v>
      </c>
      <c r="G154" s="781">
        <f t="shared" si="120"/>
        <v>43191</v>
      </c>
      <c r="H154" s="781">
        <f t="shared" si="84"/>
        <v>46841</v>
      </c>
      <c r="I154" s="795">
        <v>15322.04</v>
      </c>
      <c r="J154" s="783">
        <f t="shared" si="85"/>
        <v>766.10200000000009</v>
      </c>
      <c r="K154" s="895"/>
      <c r="L154" s="846"/>
      <c r="M154" s="790">
        <f t="shared" si="86"/>
        <v>15322.04</v>
      </c>
      <c r="N154" s="791">
        <f t="shared" si="122"/>
        <v>365</v>
      </c>
      <c r="O154" s="791">
        <f t="shared" si="88"/>
        <v>1456</v>
      </c>
      <c r="P154" s="790">
        <f t="shared" si="121"/>
        <v>1456</v>
      </c>
      <c r="Q154" s="847">
        <f t="shared" si="89"/>
        <v>13866.04</v>
      </c>
      <c r="R154" s="789">
        <f t="shared" si="90"/>
        <v>13866.04</v>
      </c>
      <c r="S154" s="790">
        <f t="shared" si="91"/>
        <v>15322.04</v>
      </c>
      <c r="T154" s="791">
        <f t="shared" si="92"/>
        <v>366</v>
      </c>
      <c r="U154" s="896">
        <f t="shared" si="123"/>
        <v>813</v>
      </c>
      <c r="V154" s="790">
        <f t="shared" si="94"/>
        <v>2269</v>
      </c>
      <c r="W154" s="847">
        <f t="shared" si="95"/>
        <v>13053.04</v>
      </c>
      <c r="X154" s="846">
        <f t="shared" si="96"/>
        <v>13053.04</v>
      </c>
      <c r="Y154" s="783">
        <f t="shared" si="97"/>
        <v>15322.04</v>
      </c>
      <c r="Z154" s="783">
        <f t="shared" si="98"/>
        <v>365</v>
      </c>
      <c r="AA154" s="783">
        <f t="shared" si="99"/>
        <v>1456</v>
      </c>
      <c r="AB154" s="783">
        <f t="shared" si="100"/>
        <v>3725</v>
      </c>
      <c r="AC154" s="848">
        <f t="shared" si="101"/>
        <v>11597.04</v>
      </c>
      <c r="AD154" s="789">
        <f t="shared" si="102"/>
        <v>11597.04</v>
      </c>
      <c r="AE154" s="790">
        <f t="shared" si="103"/>
        <v>15322.04</v>
      </c>
      <c r="AF154" s="791">
        <f t="shared" si="104"/>
        <v>365</v>
      </c>
      <c r="AG154" s="791">
        <f t="shared" si="105"/>
        <v>1456</v>
      </c>
      <c r="AH154" s="783">
        <f t="shared" si="106"/>
        <v>5181</v>
      </c>
      <c r="AI154" s="783">
        <f t="shared" si="107"/>
        <v>10141.040000000001</v>
      </c>
      <c r="AJ154" s="790">
        <f t="shared" si="108"/>
        <v>10141.040000000001</v>
      </c>
      <c r="AK154" s="790">
        <f t="shared" si="109"/>
        <v>15322.04</v>
      </c>
      <c r="AL154" s="791">
        <f t="shared" si="110"/>
        <v>365</v>
      </c>
      <c r="AM154" s="791">
        <f t="shared" si="111"/>
        <v>1456</v>
      </c>
      <c r="AN154" s="783">
        <f t="shared" si="112"/>
        <v>6637</v>
      </c>
      <c r="AO154" s="783">
        <f t="shared" si="113"/>
        <v>8685.0400000000009</v>
      </c>
      <c r="AP154" s="808">
        <f t="shared" si="114"/>
        <v>8685.0400000000009</v>
      </c>
      <c r="AQ154" s="808">
        <f t="shared" si="115"/>
        <v>15322.04</v>
      </c>
      <c r="AR154" s="809">
        <f t="shared" si="116"/>
        <v>366</v>
      </c>
      <c r="AS154" s="809">
        <f t="shared" si="117"/>
        <v>1460</v>
      </c>
      <c r="AT154" s="808">
        <f t="shared" si="118"/>
        <v>8097</v>
      </c>
      <c r="AU154" s="790">
        <f t="shared" si="119"/>
        <v>7225.0400000000009</v>
      </c>
    </row>
    <row r="155" spans="1:47" ht="15" customHeight="1" x14ac:dyDescent="0.25">
      <c r="A155" s="876" t="s">
        <v>1224</v>
      </c>
      <c r="B155" s="843" t="s">
        <v>1237</v>
      </c>
      <c r="C155" s="778">
        <f t="shared" si="83"/>
        <v>9.5000000000000001E-2</v>
      </c>
      <c r="D155" s="844">
        <v>10</v>
      </c>
      <c r="E155" s="779" t="s">
        <v>1182</v>
      </c>
      <c r="F155" s="877">
        <v>43201</v>
      </c>
      <c r="G155" s="781">
        <f t="shared" si="120"/>
        <v>43201</v>
      </c>
      <c r="H155" s="781">
        <f t="shared" si="84"/>
        <v>46851</v>
      </c>
      <c r="I155" s="795">
        <v>160000</v>
      </c>
      <c r="J155" s="783">
        <f t="shared" si="85"/>
        <v>8000</v>
      </c>
      <c r="K155" s="895"/>
      <c r="L155" s="846"/>
      <c r="M155" s="790">
        <f t="shared" si="86"/>
        <v>160000</v>
      </c>
      <c r="N155" s="791">
        <f t="shared" si="122"/>
        <v>355</v>
      </c>
      <c r="O155" s="791">
        <f t="shared" si="88"/>
        <v>14784</v>
      </c>
      <c r="P155" s="790">
        <f t="shared" si="121"/>
        <v>14784</v>
      </c>
      <c r="Q155" s="847">
        <f t="shared" si="89"/>
        <v>145216</v>
      </c>
      <c r="R155" s="789">
        <f t="shared" si="90"/>
        <v>145216</v>
      </c>
      <c r="S155" s="790">
        <f t="shared" si="91"/>
        <v>160000</v>
      </c>
      <c r="T155" s="791">
        <f t="shared" si="92"/>
        <v>366</v>
      </c>
      <c r="U155" s="896">
        <f t="shared" si="123"/>
        <v>14557</v>
      </c>
      <c r="V155" s="790">
        <f t="shared" si="94"/>
        <v>29341</v>
      </c>
      <c r="W155" s="847">
        <f t="shared" si="95"/>
        <v>130659</v>
      </c>
      <c r="X155" s="846">
        <f t="shared" si="96"/>
        <v>130659</v>
      </c>
      <c r="Y155" s="783">
        <f t="shared" si="97"/>
        <v>160000</v>
      </c>
      <c r="Z155" s="783">
        <f t="shared" si="98"/>
        <v>365</v>
      </c>
      <c r="AA155" s="783">
        <f t="shared" si="99"/>
        <v>15200</v>
      </c>
      <c r="AB155" s="783">
        <f t="shared" si="100"/>
        <v>44541</v>
      </c>
      <c r="AC155" s="848">
        <f t="shared" si="101"/>
        <v>115459</v>
      </c>
      <c r="AD155" s="789">
        <f t="shared" si="102"/>
        <v>115459</v>
      </c>
      <c r="AE155" s="790">
        <f t="shared" si="103"/>
        <v>160000</v>
      </c>
      <c r="AF155" s="791">
        <f t="shared" si="104"/>
        <v>365</v>
      </c>
      <c r="AG155" s="791">
        <f t="shared" si="105"/>
        <v>15200</v>
      </c>
      <c r="AH155" s="783">
        <f t="shared" si="106"/>
        <v>59741</v>
      </c>
      <c r="AI155" s="783">
        <f t="shared" si="107"/>
        <v>100259</v>
      </c>
      <c r="AJ155" s="790">
        <f t="shared" si="108"/>
        <v>100259</v>
      </c>
      <c r="AK155" s="790">
        <f t="shared" si="109"/>
        <v>160000</v>
      </c>
      <c r="AL155" s="791">
        <f t="shared" si="110"/>
        <v>365</v>
      </c>
      <c r="AM155" s="791">
        <f t="shared" si="111"/>
        <v>15200</v>
      </c>
      <c r="AN155" s="783">
        <f t="shared" si="112"/>
        <v>74941</v>
      </c>
      <c r="AO155" s="783">
        <f t="shared" si="113"/>
        <v>85059</v>
      </c>
      <c r="AP155" s="808">
        <f t="shared" si="114"/>
        <v>85059</v>
      </c>
      <c r="AQ155" s="808">
        <f t="shared" si="115"/>
        <v>160000</v>
      </c>
      <c r="AR155" s="809">
        <f t="shared" si="116"/>
        <v>366</v>
      </c>
      <c r="AS155" s="809">
        <f t="shared" si="117"/>
        <v>15242</v>
      </c>
      <c r="AT155" s="808">
        <f t="shared" si="118"/>
        <v>90183</v>
      </c>
      <c r="AU155" s="790">
        <f t="shared" si="119"/>
        <v>69817</v>
      </c>
    </row>
    <row r="156" spans="1:47" ht="15" customHeight="1" x14ac:dyDescent="0.25">
      <c r="A156" s="876" t="s">
        <v>1224</v>
      </c>
      <c r="B156" s="843" t="s">
        <v>1238</v>
      </c>
      <c r="C156" s="778">
        <f t="shared" si="83"/>
        <v>9.5000000000000001E-2</v>
      </c>
      <c r="D156" s="844">
        <v>10</v>
      </c>
      <c r="E156" s="779" t="s">
        <v>1182</v>
      </c>
      <c r="F156" s="877">
        <v>43325</v>
      </c>
      <c r="G156" s="781">
        <f t="shared" si="120"/>
        <v>43325</v>
      </c>
      <c r="H156" s="781">
        <f t="shared" si="84"/>
        <v>46975</v>
      </c>
      <c r="I156" s="795">
        <v>29500</v>
      </c>
      <c r="J156" s="783">
        <f t="shared" si="85"/>
        <v>1475</v>
      </c>
      <c r="K156" s="895"/>
      <c r="L156" s="846"/>
      <c r="M156" s="790">
        <f t="shared" si="86"/>
        <v>29500</v>
      </c>
      <c r="N156" s="791">
        <f t="shared" si="122"/>
        <v>231</v>
      </c>
      <c r="O156" s="791">
        <f t="shared" si="88"/>
        <v>1774</v>
      </c>
      <c r="P156" s="790">
        <f t="shared" si="121"/>
        <v>1774</v>
      </c>
      <c r="Q156" s="847">
        <f t="shared" si="89"/>
        <v>27726</v>
      </c>
      <c r="R156" s="789">
        <f t="shared" si="90"/>
        <v>27726</v>
      </c>
      <c r="S156" s="790">
        <f t="shared" si="91"/>
        <v>29500</v>
      </c>
      <c r="T156" s="791">
        <f t="shared" si="92"/>
        <v>366</v>
      </c>
      <c r="U156" s="896">
        <f t="shared" si="123"/>
        <v>2160</v>
      </c>
      <c r="V156" s="790">
        <f t="shared" si="94"/>
        <v>3934</v>
      </c>
      <c r="W156" s="847">
        <f t="shared" si="95"/>
        <v>25566</v>
      </c>
      <c r="X156" s="846">
        <f t="shared" si="96"/>
        <v>25566</v>
      </c>
      <c r="Y156" s="783">
        <f t="shared" si="97"/>
        <v>29500</v>
      </c>
      <c r="Z156" s="783">
        <f t="shared" si="98"/>
        <v>365</v>
      </c>
      <c r="AA156" s="783">
        <f t="shared" si="99"/>
        <v>2803</v>
      </c>
      <c r="AB156" s="783">
        <f t="shared" si="100"/>
        <v>6737</v>
      </c>
      <c r="AC156" s="848">
        <f t="shared" si="101"/>
        <v>22763</v>
      </c>
      <c r="AD156" s="789">
        <f t="shared" si="102"/>
        <v>22763</v>
      </c>
      <c r="AE156" s="790">
        <f t="shared" si="103"/>
        <v>29500</v>
      </c>
      <c r="AF156" s="791">
        <f t="shared" si="104"/>
        <v>365</v>
      </c>
      <c r="AG156" s="791">
        <f t="shared" si="105"/>
        <v>2803</v>
      </c>
      <c r="AH156" s="783">
        <f t="shared" si="106"/>
        <v>9540</v>
      </c>
      <c r="AI156" s="783">
        <f t="shared" si="107"/>
        <v>19960</v>
      </c>
      <c r="AJ156" s="790">
        <f t="shared" si="108"/>
        <v>19960</v>
      </c>
      <c r="AK156" s="790">
        <f t="shared" si="109"/>
        <v>29500</v>
      </c>
      <c r="AL156" s="791">
        <f t="shared" si="110"/>
        <v>365</v>
      </c>
      <c r="AM156" s="791">
        <f t="shared" si="111"/>
        <v>2803</v>
      </c>
      <c r="AN156" s="783">
        <f t="shared" si="112"/>
        <v>12343</v>
      </c>
      <c r="AO156" s="783">
        <f t="shared" si="113"/>
        <v>17157</v>
      </c>
      <c r="AP156" s="808">
        <f t="shared" si="114"/>
        <v>17157</v>
      </c>
      <c r="AQ156" s="808">
        <f t="shared" si="115"/>
        <v>29500</v>
      </c>
      <c r="AR156" s="809">
        <f t="shared" si="116"/>
        <v>366</v>
      </c>
      <c r="AS156" s="809">
        <f t="shared" si="117"/>
        <v>2810</v>
      </c>
      <c r="AT156" s="808">
        <f t="shared" si="118"/>
        <v>15153</v>
      </c>
      <c r="AU156" s="790">
        <f t="shared" si="119"/>
        <v>14347</v>
      </c>
    </row>
    <row r="157" spans="1:47" ht="15" customHeight="1" thickBot="1" x14ac:dyDescent="0.3">
      <c r="A157" s="876" t="s">
        <v>1224</v>
      </c>
      <c r="B157" s="843" t="s">
        <v>1239</v>
      </c>
      <c r="C157" s="778">
        <f t="shared" si="83"/>
        <v>9.5000000000000001E-2</v>
      </c>
      <c r="D157" s="844">
        <v>10</v>
      </c>
      <c r="E157" s="779" t="s">
        <v>1182</v>
      </c>
      <c r="F157" s="877">
        <v>43479</v>
      </c>
      <c r="G157" s="781">
        <f t="shared" si="120"/>
        <v>43479</v>
      </c>
      <c r="H157" s="781">
        <f t="shared" si="84"/>
        <v>47129</v>
      </c>
      <c r="I157" s="795">
        <v>3135</v>
      </c>
      <c r="J157" s="783">
        <f t="shared" si="85"/>
        <v>156.75</v>
      </c>
      <c r="K157" s="895"/>
      <c r="L157" s="796"/>
      <c r="M157" s="797">
        <f t="shared" si="86"/>
        <v>3135</v>
      </c>
      <c r="N157" s="798">
        <f t="shared" si="122"/>
        <v>77</v>
      </c>
      <c r="O157" s="798">
        <f t="shared" si="88"/>
        <v>63</v>
      </c>
      <c r="P157" s="797">
        <f t="shared" si="121"/>
        <v>63</v>
      </c>
      <c r="Q157" s="799">
        <f t="shared" si="89"/>
        <v>3072</v>
      </c>
      <c r="R157" s="789">
        <f t="shared" si="90"/>
        <v>3072</v>
      </c>
      <c r="S157" s="790">
        <f t="shared" si="91"/>
        <v>3135</v>
      </c>
      <c r="T157" s="791">
        <f t="shared" si="92"/>
        <v>366</v>
      </c>
      <c r="U157" s="896">
        <f t="shared" si="123"/>
        <v>-345</v>
      </c>
      <c r="V157" s="790">
        <f t="shared" si="94"/>
        <v>-282</v>
      </c>
      <c r="W157" s="847">
        <f t="shared" si="95"/>
        <v>3417</v>
      </c>
      <c r="X157" s="846">
        <f t="shared" si="96"/>
        <v>3417</v>
      </c>
      <c r="Y157" s="783">
        <f t="shared" si="97"/>
        <v>3135</v>
      </c>
      <c r="Z157" s="783">
        <f t="shared" si="98"/>
        <v>365</v>
      </c>
      <c r="AA157" s="783">
        <f t="shared" si="99"/>
        <v>298</v>
      </c>
      <c r="AB157" s="783">
        <f t="shared" si="100"/>
        <v>16</v>
      </c>
      <c r="AC157" s="848">
        <f t="shared" si="101"/>
        <v>3119</v>
      </c>
      <c r="AD157" s="789">
        <f t="shared" si="102"/>
        <v>3119</v>
      </c>
      <c r="AE157" s="790">
        <f t="shared" si="103"/>
        <v>3135</v>
      </c>
      <c r="AF157" s="791">
        <f t="shared" si="104"/>
        <v>365</v>
      </c>
      <c r="AG157" s="791">
        <f t="shared" si="105"/>
        <v>298</v>
      </c>
      <c r="AH157" s="783">
        <f t="shared" si="106"/>
        <v>314</v>
      </c>
      <c r="AI157" s="783">
        <f t="shared" si="107"/>
        <v>2821</v>
      </c>
      <c r="AJ157" s="790">
        <f t="shared" si="108"/>
        <v>2821</v>
      </c>
      <c r="AK157" s="790">
        <f t="shared" si="109"/>
        <v>3135</v>
      </c>
      <c r="AL157" s="791">
        <f t="shared" si="110"/>
        <v>365</v>
      </c>
      <c r="AM157" s="791">
        <f t="shared" si="111"/>
        <v>298</v>
      </c>
      <c r="AN157" s="783">
        <f t="shared" si="112"/>
        <v>612</v>
      </c>
      <c r="AO157" s="783">
        <f t="shared" si="113"/>
        <v>2523</v>
      </c>
      <c r="AP157" s="808">
        <f t="shared" si="114"/>
        <v>2523</v>
      </c>
      <c r="AQ157" s="808">
        <f t="shared" si="115"/>
        <v>3135</v>
      </c>
      <c r="AR157" s="809">
        <f t="shared" si="116"/>
        <v>366</v>
      </c>
      <c r="AS157" s="809">
        <f t="shared" si="117"/>
        <v>299</v>
      </c>
      <c r="AT157" s="808">
        <f t="shared" si="118"/>
        <v>911</v>
      </c>
      <c r="AU157" s="790">
        <f t="shared" si="119"/>
        <v>2224</v>
      </c>
    </row>
    <row r="158" spans="1:47" ht="15" customHeight="1" x14ac:dyDescent="0.25">
      <c r="A158" s="876" t="s">
        <v>1224</v>
      </c>
      <c r="B158" s="843" t="s">
        <v>1230</v>
      </c>
      <c r="C158" s="778">
        <f t="shared" si="83"/>
        <v>9.5000000000000001E-2</v>
      </c>
      <c r="D158" s="844">
        <v>10</v>
      </c>
      <c r="E158" s="844" t="s">
        <v>1207</v>
      </c>
      <c r="F158" s="877">
        <v>44205</v>
      </c>
      <c r="G158" s="781">
        <f t="shared" si="120"/>
        <v>44205</v>
      </c>
      <c r="H158" s="781">
        <f t="shared" si="84"/>
        <v>47855</v>
      </c>
      <c r="I158" s="795">
        <v>4310</v>
      </c>
      <c r="J158" s="783">
        <f t="shared" si="85"/>
        <v>215.5</v>
      </c>
      <c r="K158" s="895"/>
      <c r="L158" s="888">
        <v>0</v>
      </c>
      <c r="M158" s="888">
        <v>0</v>
      </c>
      <c r="N158" s="888">
        <v>0</v>
      </c>
      <c r="O158" s="888">
        <v>0</v>
      </c>
      <c r="P158" s="888">
        <v>0</v>
      </c>
      <c r="Q158" s="888">
        <v>0</v>
      </c>
      <c r="R158" s="846">
        <v>0</v>
      </c>
      <c r="S158" s="846">
        <v>0</v>
      </c>
      <c r="T158" s="846">
        <v>0</v>
      </c>
      <c r="U158" s="846">
        <v>0</v>
      </c>
      <c r="V158" s="846">
        <v>0</v>
      </c>
      <c r="W158" s="846">
        <v>0</v>
      </c>
      <c r="X158" s="846">
        <f t="shared" si="96"/>
        <v>0</v>
      </c>
      <c r="Y158" s="783">
        <f t="shared" si="97"/>
        <v>4310</v>
      </c>
      <c r="Z158" s="783">
        <f t="shared" si="98"/>
        <v>82</v>
      </c>
      <c r="AA158" s="783">
        <f t="shared" si="99"/>
        <v>92</v>
      </c>
      <c r="AB158" s="783">
        <f t="shared" si="100"/>
        <v>92</v>
      </c>
      <c r="AC158" s="848">
        <f t="shared" si="101"/>
        <v>4218</v>
      </c>
      <c r="AD158" s="789">
        <f t="shared" si="102"/>
        <v>4218</v>
      </c>
      <c r="AE158" s="790">
        <f t="shared" si="103"/>
        <v>4310</v>
      </c>
      <c r="AF158" s="791">
        <f t="shared" si="104"/>
        <v>365</v>
      </c>
      <c r="AG158" s="791">
        <f t="shared" si="105"/>
        <v>409</v>
      </c>
      <c r="AH158" s="783">
        <f t="shared" si="106"/>
        <v>501</v>
      </c>
      <c r="AI158" s="783">
        <f t="shared" si="107"/>
        <v>3809</v>
      </c>
      <c r="AJ158" s="790">
        <f t="shared" si="108"/>
        <v>3809</v>
      </c>
      <c r="AK158" s="790">
        <f t="shared" si="109"/>
        <v>4310</v>
      </c>
      <c r="AL158" s="791">
        <f t="shared" si="110"/>
        <v>365</v>
      </c>
      <c r="AM158" s="791">
        <f t="shared" si="111"/>
        <v>409</v>
      </c>
      <c r="AN158" s="783">
        <f t="shared" si="112"/>
        <v>910</v>
      </c>
      <c r="AO158" s="783">
        <f t="shared" si="113"/>
        <v>3400</v>
      </c>
      <c r="AP158" s="808">
        <f t="shared" si="114"/>
        <v>3400</v>
      </c>
      <c r="AQ158" s="808">
        <f t="shared" si="115"/>
        <v>4310</v>
      </c>
      <c r="AR158" s="809">
        <f t="shared" si="116"/>
        <v>366</v>
      </c>
      <c r="AS158" s="809">
        <f t="shared" si="117"/>
        <v>411</v>
      </c>
      <c r="AT158" s="808">
        <f t="shared" si="118"/>
        <v>1321</v>
      </c>
      <c r="AU158" s="790">
        <f t="shared" si="119"/>
        <v>2989</v>
      </c>
    </row>
    <row r="159" spans="1:47" ht="15" customHeight="1" x14ac:dyDescent="0.25">
      <c r="A159" s="876" t="s">
        <v>1224</v>
      </c>
      <c r="B159" s="843" t="s">
        <v>1230</v>
      </c>
      <c r="C159" s="778">
        <f t="shared" si="83"/>
        <v>9.5000000000000001E-2</v>
      </c>
      <c r="D159" s="844">
        <v>10</v>
      </c>
      <c r="E159" s="844" t="s">
        <v>1207</v>
      </c>
      <c r="F159" s="877">
        <v>44235</v>
      </c>
      <c r="G159" s="781">
        <f t="shared" si="120"/>
        <v>44235</v>
      </c>
      <c r="H159" s="781">
        <f t="shared" si="84"/>
        <v>47885</v>
      </c>
      <c r="I159" s="795">
        <v>940</v>
      </c>
      <c r="J159" s="783">
        <f t="shared" si="85"/>
        <v>47</v>
      </c>
      <c r="K159" s="895"/>
      <c r="L159" s="846">
        <v>0</v>
      </c>
      <c r="M159" s="846">
        <v>0</v>
      </c>
      <c r="N159" s="846">
        <v>0</v>
      </c>
      <c r="O159" s="846">
        <v>0</v>
      </c>
      <c r="P159" s="846">
        <v>0</v>
      </c>
      <c r="Q159" s="846">
        <v>0</v>
      </c>
      <c r="R159" s="846">
        <v>0</v>
      </c>
      <c r="S159" s="846">
        <v>0</v>
      </c>
      <c r="T159" s="846">
        <v>0</v>
      </c>
      <c r="U159" s="846">
        <v>0</v>
      </c>
      <c r="V159" s="846">
        <v>0</v>
      </c>
      <c r="W159" s="846">
        <v>0</v>
      </c>
      <c r="X159" s="846">
        <f t="shared" si="96"/>
        <v>0</v>
      </c>
      <c r="Y159" s="783">
        <f t="shared" si="97"/>
        <v>940</v>
      </c>
      <c r="Z159" s="783">
        <f t="shared" si="98"/>
        <v>52</v>
      </c>
      <c r="AA159" s="783">
        <f t="shared" si="99"/>
        <v>13</v>
      </c>
      <c r="AB159" s="783">
        <f t="shared" si="100"/>
        <v>13</v>
      </c>
      <c r="AC159" s="848">
        <f t="shared" si="101"/>
        <v>927</v>
      </c>
      <c r="AD159" s="789">
        <f t="shared" si="102"/>
        <v>927</v>
      </c>
      <c r="AE159" s="790">
        <f t="shared" si="103"/>
        <v>940</v>
      </c>
      <c r="AF159" s="791">
        <f t="shared" si="104"/>
        <v>365</v>
      </c>
      <c r="AG159" s="791">
        <f t="shared" si="105"/>
        <v>89</v>
      </c>
      <c r="AH159" s="783">
        <f t="shared" si="106"/>
        <v>102</v>
      </c>
      <c r="AI159" s="783">
        <f t="shared" si="107"/>
        <v>838</v>
      </c>
      <c r="AJ159" s="790">
        <f t="shared" si="108"/>
        <v>838</v>
      </c>
      <c r="AK159" s="790">
        <f t="shared" si="109"/>
        <v>940</v>
      </c>
      <c r="AL159" s="791">
        <f t="shared" si="110"/>
        <v>365</v>
      </c>
      <c r="AM159" s="791">
        <f t="shared" si="111"/>
        <v>89</v>
      </c>
      <c r="AN159" s="783">
        <f t="shared" si="112"/>
        <v>191</v>
      </c>
      <c r="AO159" s="783">
        <f t="shared" si="113"/>
        <v>749</v>
      </c>
      <c r="AP159" s="808">
        <f t="shared" si="114"/>
        <v>749</v>
      </c>
      <c r="AQ159" s="808">
        <f t="shared" si="115"/>
        <v>940</v>
      </c>
      <c r="AR159" s="809">
        <f t="shared" si="116"/>
        <v>366</v>
      </c>
      <c r="AS159" s="809">
        <f t="shared" si="117"/>
        <v>90</v>
      </c>
      <c r="AT159" s="808">
        <f t="shared" si="118"/>
        <v>281</v>
      </c>
      <c r="AU159" s="790">
        <f t="shared" si="119"/>
        <v>659</v>
      </c>
    </row>
    <row r="160" spans="1:47" ht="15" customHeight="1" x14ac:dyDescent="0.25">
      <c r="A160" s="876" t="s">
        <v>1224</v>
      </c>
      <c r="B160" s="843" t="s">
        <v>1240</v>
      </c>
      <c r="C160" s="778">
        <f t="shared" si="83"/>
        <v>9.5000000000000001E-2</v>
      </c>
      <c r="D160" s="844">
        <v>10</v>
      </c>
      <c r="E160" s="844" t="s">
        <v>723</v>
      </c>
      <c r="F160" s="877">
        <v>44363</v>
      </c>
      <c r="G160" s="781">
        <f t="shared" si="120"/>
        <v>44363</v>
      </c>
      <c r="H160" s="781">
        <f t="shared" si="84"/>
        <v>48013</v>
      </c>
      <c r="I160" s="795">
        <v>7458</v>
      </c>
      <c r="J160" s="783">
        <f t="shared" si="85"/>
        <v>372.90000000000003</v>
      </c>
      <c r="K160" s="895"/>
      <c r="L160" s="846">
        <v>0</v>
      </c>
      <c r="M160" s="846">
        <v>0</v>
      </c>
      <c r="N160" s="846">
        <v>0</v>
      </c>
      <c r="O160" s="846">
        <v>0</v>
      </c>
      <c r="P160" s="846">
        <v>0</v>
      </c>
      <c r="Q160" s="846">
        <v>0</v>
      </c>
      <c r="R160" s="846">
        <v>0</v>
      </c>
      <c r="S160" s="846">
        <v>0</v>
      </c>
      <c r="T160" s="846">
        <v>0</v>
      </c>
      <c r="U160" s="846">
        <v>0</v>
      </c>
      <c r="V160" s="846">
        <v>0</v>
      </c>
      <c r="W160" s="846">
        <v>0</v>
      </c>
      <c r="X160" s="846">
        <v>0</v>
      </c>
      <c r="Y160" s="846">
        <v>0</v>
      </c>
      <c r="Z160" s="846">
        <v>0</v>
      </c>
      <c r="AA160" s="846">
        <v>0</v>
      </c>
      <c r="AB160" s="846">
        <v>0</v>
      </c>
      <c r="AC160" s="846">
        <v>0</v>
      </c>
      <c r="AD160" s="789">
        <f t="shared" si="102"/>
        <v>0</v>
      </c>
      <c r="AE160" s="790">
        <f t="shared" si="103"/>
        <v>7458</v>
      </c>
      <c r="AF160" s="791">
        <f t="shared" si="104"/>
        <v>289</v>
      </c>
      <c r="AG160" s="791">
        <f t="shared" si="105"/>
        <v>561</v>
      </c>
      <c r="AH160" s="783">
        <f t="shared" si="106"/>
        <v>561</v>
      </c>
      <c r="AI160" s="783">
        <f t="shared" si="107"/>
        <v>6897</v>
      </c>
      <c r="AJ160" s="790">
        <f t="shared" si="108"/>
        <v>6897</v>
      </c>
      <c r="AK160" s="790">
        <f t="shared" si="109"/>
        <v>7458</v>
      </c>
      <c r="AL160" s="791">
        <f t="shared" si="110"/>
        <v>365</v>
      </c>
      <c r="AM160" s="791">
        <f t="shared" si="111"/>
        <v>709</v>
      </c>
      <c r="AN160" s="783">
        <f t="shared" si="112"/>
        <v>1270</v>
      </c>
      <c r="AO160" s="783">
        <f t="shared" si="113"/>
        <v>6188</v>
      </c>
      <c r="AP160" s="808">
        <f t="shared" si="114"/>
        <v>6188</v>
      </c>
      <c r="AQ160" s="808">
        <f t="shared" si="115"/>
        <v>7458</v>
      </c>
      <c r="AR160" s="809">
        <f t="shared" si="116"/>
        <v>366</v>
      </c>
      <c r="AS160" s="809">
        <f t="shared" si="117"/>
        <v>710</v>
      </c>
      <c r="AT160" s="808">
        <f t="shared" si="118"/>
        <v>1980</v>
      </c>
      <c r="AU160" s="790">
        <f t="shared" si="119"/>
        <v>5478</v>
      </c>
    </row>
    <row r="161" spans="1:170" ht="15" customHeight="1" x14ac:dyDescent="0.25">
      <c r="A161" s="876" t="s">
        <v>1224</v>
      </c>
      <c r="B161" s="843" t="s">
        <v>1240</v>
      </c>
      <c r="C161" s="778">
        <f t="shared" si="83"/>
        <v>9.5000000000000001E-2</v>
      </c>
      <c r="D161" s="844">
        <v>10</v>
      </c>
      <c r="E161" s="844" t="s">
        <v>723</v>
      </c>
      <c r="F161" s="877">
        <v>44399</v>
      </c>
      <c r="G161" s="781">
        <f t="shared" si="120"/>
        <v>44399</v>
      </c>
      <c r="H161" s="781">
        <f t="shared" si="84"/>
        <v>48049</v>
      </c>
      <c r="I161" s="795">
        <v>4190</v>
      </c>
      <c r="J161" s="783">
        <f t="shared" si="85"/>
        <v>209.5</v>
      </c>
      <c r="K161" s="895"/>
      <c r="L161" s="846">
        <v>0</v>
      </c>
      <c r="M161" s="846">
        <v>0</v>
      </c>
      <c r="N161" s="846">
        <v>0</v>
      </c>
      <c r="O161" s="846">
        <v>0</v>
      </c>
      <c r="P161" s="846">
        <v>0</v>
      </c>
      <c r="Q161" s="846">
        <v>0</v>
      </c>
      <c r="R161" s="846">
        <v>0</v>
      </c>
      <c r="S161" s="846">
        <v>0</v>
      </c>
      <c r="T161" s="846">
        <v>0</v>
      </c>
      <c r="U161" s="846">
        <v>0</v>
      </c>
      <c r="V161" s="846">
        <v>0</v>
      </c>
      <c r="W161" s="846">
        <v>0</v>
      </c>
      <c r="X161" s="846">
        <v>0</v>
      </c>
      <c r="Y161" s="846">
        <v>0</v>
      </c>
      <c r="Z161" s="846">
        <v>0</v>
      </c>
      <c r="AA161" s="846">
        <v>0</v>
      </c>
      <c r="AB161" s="846">
        <v>0</v>
      </c>
      <c r="AC161" s="846">
        <v>0</v>
      </c>
      <c r="AD161" s="789">
        <f t="shared" si="102"/>
        <v>0</v>
      </c>
      <c r="AE161" s="790">
        <f t="shared" si="103"/>
        <v>4190</v>
      </c>
      <c r="AF161" s="791">
        <f t="shared" si="104"/>
        <v>253</v>
      </c>
      <c r="AG161" s="791">
        <f t="shared" si="105"/>
        <v>276</v>
      </c>
      <c r="AH161" s="783">
        <f t="shared" si="106"/>
        <v>276</v>
      </c>
      <c r="AI161" s="783">
        <f t="shared" si="107"/>
        <v>3914</v>
      </c>
      <c r="AJ161" s="790">
        <f t="shared" si="108"/>
        <v>3914</v>
      </c>
      <c r="AK161" s="790">
        <f t="shared" si="109"/>
        <v>4190</v>
      </c>
      <c r="AL161" s="791">
        <f t="shared" si="110"/>
        <v>365</v>
      </c>
      <c r="AM161" s="791">
        <f t="shared" si="111"/>
        <v>398</v>
      </c>
      <c r="AN161" s="783">
        <f t="shared" si="112"/>
        <v>674</v>
      </c>
      <c r="AO161" s="783">
        <f t="shared" si="113"/>
        <v>3516</v>
      </c>
      <c r="AP161" s="808">
        <f t="shared" si="114"/>
        <v>3516</v>
      </c>
      <c r="AQ161" s="808">
        <f t="shared" si="115"/>
        <v>4190</v>
      </c>
      <c r="AR161" s="809">
        <f t="shared" si="116"/>
        <v>366</v>
      </c>
      <c r="AS161" s="809">
        <f t="shared" si="117"/>
        <v>399</v>
      </c>
      <c r="AT161" s="808">
        <f t="shared" si="118"/>
        <v>1073</v>
      </c>
      <c r="AU161" s="790">
        <f t="shared" si="119"/>
        <v>3117</v>
      </c>
    </row>
    <row r="162" spans="1:170" ht="15" customHeight="1" x14ac:dyDescent="0.25">
      <c r="A162" s="876" t="s">
        <v>1224</v>
      </c>
      <c r="B162" s="843" t="s">
        <v>1230</v>
      </c>
      <c r="C162" s="778">
        <f t="shared" si="83"/>
        <v>9.5000000000000001E-2</v>
      </c>
      <c r="D162" s="844">
        <v>10</v>
      </c>
      <c r="E162" s="844" t="s">
        <v>723</v>
      </c>
      <c r="F162" s="877">
        <v>44495</v>
      </c>
      <c r="G162" s="781">
        <f t="shared" si="120"/>
        <v>44495</v>
      </c>
      <c r="H162" s="781">
        <f t="shared" si="84"/>
        <v>48145</v>
      </c>
      <c r="I162" s="795">
        <v>231005.1</v>
      </c>
      <c r="J162" s="783">
        <f t="shared" si="85"/>
        <v>11550.255000000001</v>
      </c>
      <c r="K162" s="895"/>
      <c r="L162" s="846">
        <v>0</v>
      </c>
      <c r="M162" s="846">
        <v>0</v>
      </c>
      <c r="N162" s="846">
        <v>0</v>
      </c>
      <c r="O162" s="846">
        <v>0</v>
      </c>
      <c r="P162" s="846">
        <v>0</v>
      </c>
      <c r="Q162" s="846">
        <v>0</v>
      </c>
      <c r="R162" s="846">
        <v>0</v>
      </c>
      <c r="S162" s="846">
        <v>0</v>
      </c>
      <c r="T162" s="846">
        <v>0</v>
      </c>
      <c r="U162" s="846">
        <v>0</v>
      </c>
      <c r="V162" s="846">
        <v>0</v>
      </c>
      <c r="W162" s="846">
        <v>0</v>
      </c>
      <c r="X162" s="846">
        <v>0</v>
      </c>
      <c r="Y162" s="846">
        <v>0</v>
      </c>
      <c r="Z162" s="846">
        <v>0</v>
      </c>
      <c r="AA162" s="846">
        <v>0</v>
      </c>
      <c r="AB162" s="846">
        <v>0</v>
      </c>
      <c r="AC162" s="846">
        <v>0</v>
      </c>
      <c r="AD162" s="789">
        <f t="shared" si="102"/>
        <v>0</v>
      </c>
      <c r="AE162" s="790">
        <f t="shared" si="103"/>
        <v>231005.1</v>
      </c>
      <c r="AF162" s="791">
        <f t="shared" si="104"/>
        <v>157</v>
      </c>
      <c r="AG162" s="791">
        <f t="shared" si="105"/>
        <v>9440</v>
      </c>
      <c r="AH162" s="783">
        <f t="shared" si="106"/>
        <v>9440</v>
      </c>
      <c r="AI162" s="783">
        <f t="shared" si="107"/>
        <v>221565.1</v>
      </c>
      <c r="AJ162" s="790">
        <f t="shared" si="108"/>
        <v>221565.1</v>
      </c>
      <c r="AK162" s="790">
        <f t="shared" si="109"/>
        <v>231005.1</v>
      </c>
      <c r="AL162" s="791">
        <f t="shared" si="110"/>
        <v>365</v>
      </c>
      <c r="AM162" s="791">
        <f t="shared" si="111"/>
        <v>21945</v>
      </c>
      <c r="AN162" s="783">
        <f t="shared" si="112"/>
        <v>31385</v>
      </c>
      <c r="AO162" s="783">
        <f t="shared" si="113"/>
        <v>199620.1</v>
      </c>
      <c r="AP162" s="808">
        <f t="shared" si="114"/>
        <v>199620.1</v>
      </c>
      <c r="AQ162" s="808">
        <f t="shared" si="115"/>
        <v>231005.1</v>
      </c>
      <c r="AR162" s="809">
        <f t="shared" si="116"/>
        <v>366</v>
      </c>
      <c r="AS162" s="809">
        <f t="shared" si="117"/>
        <v>22006</v>
      </c>
      <c r="AT162" s="808">
        <f t="shared" si="118"/>
        <v>53391</v>
      </c>
      <c r="AU162" s="790">
        <f t="shared" si="119"/>
        <v>177614.1</v>
      </c>
    </row>
    <row r="163" spans="1:170" ht="15" customHeight="1" x14ac:dyDescent="0.25">
      <c r="A163" s="876" t="s">
        <v>1224</v>
      </c>
      <c r="B163" s="843" t="s">
        <v>1240</v>
      </c>
      <c r="C163" s="778">
        <f t="shared" si="83"/>
        <v>9.5000000000000001E-2</v>
      </c>
      <c r="D163" s="844">
        <v>10</v>
      </c>
      <c r="E163" s="844" t="s">
        <v>723</v>
      </c>
      <c r="F163" s="877">
        <v>44577</v>
      </c>
      <c r="G163" s="781">
        <f t="shared" si="120"/>
        <v>44577</v>
      </c>
      <c r="H163" s="781">
        <f t="shared" si="84"/>
        <v>48227</v>
      </c>
      <c r="I163" s="795">
        <v>5609.32</v>
      </c>
      <c r="J163" s="783">
        <f t="shared" si="85"/>
        <v>280.46600000000001</v>
      </c>
      <c r="K163" s="895"/>
      <c r="L163" s="846">
        <v>0</v>
      </c>
      <c r="M163" s="846">
        <v>0</v>
      </c>
      <c r="N163" s="846">
        <v>0</v>
      </c>
      <c r="O163" s="846">
        <v>0</v>
      </c>
      <c r="P163" s="846">
        <v>0</v>
      </c>
      <c r="Q163" s="846">
        <v>0</v>
      </c>
      <c r="R163" s="846">
        <v>0</v>
      </c>
      <c r="S163" s="846">
        <v>0</v>
      </c>
      <c r="T163" s="846">
        <v>0</v>
      </c>
      <c r="U163" s="846">
        <v>0</v>
      </c>
      <c r="V163" s="846">
        <v>0</v>
      </c>
      <c r="W163" s="846">
        <v>0</v>
      </c>
      <c r="X163" s="846">
        <v>0</v>
      </c>
      <c r="Y163" s="846">
        <v>0</v>
      </c>
      <c r="Z163" s="846">
        <v>0</v>
      </c>
      <c r="AA163" s="846">
        <v>0</v>
      </c>
      <c r="AB163" s="846">
        <v>0</v>
      </c>
      <c r="AC163" s="846">
        <v>0</v>
      </c>
      <c r="AD163" s="789">
        <f t="shared" si="102"/>
        <v>0</v>
      </c>
      <c r="AE163" s="790">
        <f t="shared" si="103"/>
        <v>5609.32</v>
      </c>
      <c r="AF163" s="791">
        <f t="shared" si="104"/>
        <v>75</v>
      </c>
      <c r="AG163" s="791">
        <f t="shared" si="105"/>
        <v>109</v>
      </c>
      <c r="AH163" s="783">
        <f t="shared" si="106"/>
        <v>109</v>
      </c>
      <c r="AI163" s="783">
        <f t="shared" si="107"/>
        <v>5500.32</v>
      </c>
      <c r="AJ163" s="790">
        <f t="shared" si="108"/>
        <v>5500.32</v>
      </c>
      <c r="AK163" s="790">
        <f t="shared" si="109"/>
        <v>5609.32</v>
      </c>
      <c r="AL163" s="791">
        <f t="shared" si="110"/>
        <v>365</v>
      </c>
      <c r="AM163" s="791">
        <f t="shared" si="111"/>
        <v>533</v>
      </c>
      <c r="AN163" s="783">
        <f t="shared" si="112"/>
        <v>642</v>
      </c>
      <c r="AO163" s="783">
        <f t="shared" si="113"/>
        <v>4967.32</v>
      </c>
      <c r="AP163" s="808">
        <f t="shared" si="114"/>
        <v>4967.32</v>
      </c>
      <c r="AQ163" s="808">
        <f t="shared" si="115"/>
        <v>5609.32</v>
      </c>
      <c r="AR163" s="809">
        <f t="shared" si="116"/>
        <v>366</v>
      </c>
      <c r="AS163" s="809">
        <f t="shared" si="117"/>
        <v>534</v>
      </c>
      <c r="AT163" s="808">
        <f t="shared" si="118"/>
        <v>1176</v>
      </c>
      <c r="AU163" s="790">
        <f t="shared" si="119"/>
        <v>4433.32</v>
      </c>
    </row>
    <row r="164" spans="1:170" ht="15" customHeight="1" x14ac:dyDescent="0.25">
      <c r="A164" s="876" t="s">
        <v>1224</v>
      </c>
      <c r="B164" s="843" t="s">
        <v>1227</v>
      </c>
      <c r="C164" s="778">
        <f t="shared" si="83"/>
        <v>9.5000000000000001E-2</v>
      </c>
      <c r="D164" s="844">
        <v>10</v>
      </c>
      <c r="E164" s="844" t="s">
        <v>723</v>
      </c>
      <c r="F164" s="877">
        <v>44618</v>
      </c>
      <c r="G164" s="781">
        <f t="shared" si="120"/>
        <v>44618</v>
      </c>
      <c r="H164" s="781">
        <f t="shared" si="84"/>
        <v>48268</v>
      </c>
      <c r="I164" s="795">
        <v>22000</v>
      </c>
      <c r="J164" s="783">
        <f t="shared" si="85"/>
        <v>1100</v>
      </c>
      <c r="K164" s="895"/>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07">
        <f t="shared" si="102"/>
        <v>0</v>
      </c>
      <c r="AE164" s="808">
        <f t="shared" si="103"/>
        <v>22000</v>
      </c>
      <c r="AF164" s="809">
        <f t="shared" si="104"/>
        <v>34</v>
      </c>
      <c r="AG164" s="809">
        <f t="shared" si="105"/>
        <v>195</v>
      </c>
      <c r="AH164" s="812">
        <f t="shared" si="106"/>
        <v>195</v>
      </c>
      <c r="AI164" s="812">
        <f t="shared" si="107"/>
        <v>21805</v>
      </c>
      <c r="AJ164" s="808">
        <f t="shared" si="108"/>
        <v>21805</v>
      </c>
      <c r="AK164" s="808">
        <f t="shared" si="109"/>
        <v>22000</v>
      </c>
      <c r="AL164" s="809">
        <f t="shared" si="110"/>
        <v>365</v>
      </c>
      <c r="AM164" s="809">
        <f t="shared" si="111"/>
        <v>2090</v>
      </c>
      <c r="AN164" s="812">
        <f t="shared" si="112"/>
        <v>2285</v>
      </c>
      <c r="AO164" s="812">
        <f t="shared" si="113"/>
        <v>19715</v>
      </c>
      <c r="AP164" s="808">
        <f t="shared" si="114"/>
        <v>19715</v>
      </c>
      <c r="AQ164" s="808">
        <f t="shared" si="115"/>
        <v>22000</v>
      </c>
      <c r="AR164" s="809">
        <f t="shared" si="116"/>
        <v>366</v>
      </c>
      <c r="AS164" s="809">
        <f t="shared" si="117"/>
        <v>2096</v>
      </c>
      <c r="AT164" s="808">
        <f t="shared" si="118"/>
        <v>4381</v>
      </c>
      <c r="AU164" s="790">
        <f t="shared" si="119"/>
        <v>17619</v>
      </c>
    </row>
    <row r="165" spans="1:170" ht="15" customHeight="1" x14ac:dyDescent="0.25">
      <c r="A165" s="876" t="s">
        <v>1224</v>
      </c>
      <c r="B165" s="852" t="s">
        <v>1241</v>
      </c>
      <c r="C165" s="778">
        <f t="shared" si="83"/>
        <v>9.5000000000000001E-2</v>
      </c>
      <c r="D165" s="844">
        <v>10</v>
      </c>
      <c r="E165" s="844" t="s">
        <v>677</v>
      </c>
      <c r="F165" s="853">
        <v>44789</v>
      </c>
      <c r="G165" s="781">
        <f t="shared" si="120"/>
        <v>44789</v>
      </c>
      <c r="H165" s="781">
        <f t="shared" si="84"/>
        <v>48439</v>
      </c>
      <c r="I165" s="897">
        <v>11496.6</v>
      </c>
      <c r="J165" s="783">
        <f t="shared" si="85"/>
        <v>574.83000000000004</v>
      </c>
      <c r="K165" s="887"/>
      <c r="L165" s="790">
        <v>0</v>
      </c>
      <c r="M165" s="790">
        <v>0</v>
      </c>
      <c r="N165" s="790">
        <v>0</v>
      </c>
      <c r="O165" s="790">
        <v>0</v>
      </c>
      <c r="P165" s="790">
        <v>0</v>
      </c>
      <c r="Q165" s="790">
        <v>0</v>
      </c>
      <c r="R165" s="790">
        <v>0</v>
      </c>
      <c r="S165" s="790">
        <v>0</v>
      </c>
      <c r="T165" s="790">
        <v>0</v>
      </c>
      <c r="U165" s="790">
        <v>0</v>
      </c>
      <c r="V165" s="790">
        <v>0</v>
      </c>
      <c r="W165" s="790">
        <v>0</v>
      </c>
      <c r="X165" s="790">
        <v>0</v>
      </c>
      <c r="Y165" s="790">
        <v>0</v>
      </c>
      <c r="Z165" s="790">
        <v>0</v>
      </c>
      <c r="AA165" s="790">
        <v>0</v>
      </c>
      <c r="AB165" s="790">
        <v>0</v>
      </c>
      <c r="AC165" s="790">
        <v>0</v>
      </c>
      <c r="AD165" s="790">
        <f t="shared" si="102"/>
        <v>0</v>
      </c>
      <c r="AE165" s="790">
        <v>0</v>
      </c>
      <c r="AF165" s="791">
        <v>0</v>
      </c>
      <c r="AG165" s="791">
        <f t="shared" si="105"/>
        <v>0</v>
      </c>
      <c r="AH165" s="783">
        <f t="shared" si="106"/>
        <v>0</v>
      </c>
      <c r="AI165" s="783">
        <f t="shared" si="107"/>
        <v>0</v>
      </c>
      <c r="AJ165" s="790">
        <f t="shared" si="108"/>
        <v>0</v>
      </c>
      <c r="AK165" s="790">
        <f t="shared" si="109"/>
        <v>11496.6</v>
      </c>
      <c r="AL165" s="791">
        <f t="shared" si="110"/>
        <v>228</v>
      </c>
      <c r="AM165" s="791">
        <f t="shared" si="111"/>
        <v>682</v>
      </c>
      <c r="AN165" s="783">
        <f t="shared" si="112"/>
        <v>682</v>
      </c>
      <c r="AO165" s="783">
        <f t="shared" si="113"/>
        <v>10814.6</v>
      </c>
      <c r="AP165" s="808">
        <f t="shared" si="114"/>
        <v>10814.6</v>
      </c>
      <c r="AQ165" s="808">
        <f t="shared" si="115"/>
        <v>11496.6</v>
      </c>
      <c r="AR165" s="809">
        <f t="shared" si="116"/>
        <v>366</v>
      </c>
      <c r="AS165" s="809">
        <f t="shared" si="117"/>
        <v>1095</v>
      </c>
      <c r="AT165" s="808">
        <f t="shared" si="118"/>
        <v>1777</v>
      </c>
      <c r="AU165" s="790">
        <f t="shared" si="119"/>
        <v>9719.6</v>
      </c>
    </row>
    <row r="166" spans="1:170" ht="15" customHeight="1" x14ac:dyDescent="0.25">
      <c r="A166" s="876" t="s">
        <v>1224</v>
      </c>
      <c r="B166" s="852" t="s">
        <v>1242</v>
      </c>
      <c r="C166" s="778">
        <f t="shared" si="83"/>
        <v>9.5000000000000001E-2</v>
      </c>
      <c r="D166" s="844">
        <v>10</v>
      </c>
      <c r="E166" s="844" t="s">
        <v>677</v>
      </c>
      <c r="F166" s="853">
        <v>44988</v>
      </c>
      <c r="G166" s="781">
        <f t="shared" si="120"/>
        <v>44988</v>
      </c>
      <c r="H166" s="781">
        <f t="shared" si="84"/>
        <v>48638</v>
      </c>
      <c r="I166" s="897">
        <v>10416.24</v>
      </c>
      <c r="J166" s="783">
        <f t="shared" si="85"/>
        <v>520.81200000000001</v>
      </c>
      <c r="K166" s="887"/>
      <c r="L166" s="790">
        <v>0</v>
      </c>
      <c r="M166" s="790">
        <v>0</v>
      </c>
      <c r="N166" s="790">
        <v>0</v>
      </c>
      <c r="O166" s="790">
        <v>0</v>
      </c>
      <c r="P166" s="790">
        <v>0</v>
      </c>
      <c r="Q166" s="790">
        <v>0</v>
      </c>
      <c r="R166" s="790">
        <v>0</v>
      </c>
      <c r="S166" s="790">
        <v>0</v>
      </c>
      <c r="T166" s="790">
        <v>0</v>
      </c>
      <c r="U166" s="790">
        <v>0</v>
      </c>
      <c r="V166" s="790">
        <v>0</v>
      </c>
      <c r="W166" s="790">
        <v>0</v>
      </c>
      <c r="X166" s="790">
        <v>0</v>
      </c>
      <c r="Y166" s="790">
        <v>0</v>
      </c>
      <c r="Z166" s="790">
        <v>0</v>
      </c>
      <c r="AA166" s="790">
        <v>0</v>
      </c>
      <c r="AB166" s="790">
        <v>0</v>
      </c>
      <c r="AC166" s="790">
        <v>0</v>
      </c>
      <c r="AD166" s="790">
        <f t="shared" si="102"/>
        <v>0</v>
      </c>
      <c r="AE166" s="790">
        <v>0</v>
      </c>
      <c r="AF166" s="791">
        <v>0</v>
      </c>
      <c r="AG166" s="791">
        <f t="shared" si="105"/>
        <v>0</v>
      </c>
      <c r="AH166" s="783">
        <f t="shared" si="106"/>
        <v>0</v>
      </c>
      <c r="AI166" s="783">
        <f t="shared" si="107"/>
        <v>0</v>
      </c>
      <c r="AJ166" s="790">
        <f t="shared" si="108"/>
        <v>0</v>
      </c>
      <c r="AK166" s="790">
        <f t="shared" si="109"/>
        <v>10416.24</v>
      </c>
      <c r="AL166" s="791">
        <f t="shared" si="110"/>
        <v>29</v>
      </c>
      <c r="AM166" s="791">
        <f t="shared" si="111"/>
        <v>79</v>
      </c>
      <c r="AN166" s="783">
        <f t="shared" si="112"/>
        <v>79</v>
      </c>
      <c r="AO166" s="783">
        <f t="shared" si="113"/>
        <v>10337.24</v>
      </c>
      <c r="AP166" s="808">
        <f t="shared" si="114"/>
        <v>10337.24</v>
      </c>
      <c r="AQ166" s="808">
        <f t="shared" si="115"/>
        <v>10416.24</v>
      </c>
      <c r="AR166" s="809">
        <f t="shared" si="116"/>
        <v>366</v>
      </c>
      <c r="AS166" s="809">
        <f t="shared" si="117"/>
        <v>992</v>
      </c>
      <c r="AT166" s="808">
        <f t="shared" si="118"/>
        <v>1071</v>
      </c>
      <c r="AU166" s="790">
        <f t="shared" si="119"/>
        <v>9345.24</v>
      </c>
    </row>
    <row r="167" spans="1:170" ht="15" customHeight="1" x14ac:dyDescent="0.25">
      <c r="A167" s="898" t="s">
        <v>1224</v>
      </c>
      <c r="B167" s="899" t="s">
        <v>1242</v>
      </c>
      <c r="C167" s="826">
        <f t="shared" si="83"/>
        <v>9.5000000000000001E-2</v>
      </c>
      <c r="D167" s="858">
        <v>10</v>
      </c>
      <c r="E167" s="858" t="s">
        <v>677</v>
      </c>
      <c r="F167" s="859">
        <v>44991</v>
      </c>
      <c r="G167" s="828">
        <f t="shared" si="120"/>
        <v>44991</v>
      </c>
      <c r="H167" s="828">
        <f t="shared" si="84"/>
        <v>48641</v>
      </c>
      <c r="I167" s="900">
        <v>3500</v>
      </c>
      <c r="J167" s="812">
        <f t="shared" si="85"/>
        <v>175</v>
      </c>
      <c r="K167" s="887"/>
      <c r="L167" s="808">
        <v>0</v>
      </c>
      <c r="M167" s="808">
        <v>0</v>
      </c>
      <c r="N167" s="808">
        <v>0</v>
      </c>
      <c r="O167" s="808">
        <v>0</v>
      </c>
      <c r="P167" s="808">
        <v>0</v>
      </c>
      <c r="Q167" s="808">
        <v>0</v>
      </c>
      <c r="R167" s="808">
        <v>0</v>
      </c>
      <c r="S167" s="808">
        <v>0</v>
      </c>
      <c r="T167" s="808">
        <v>0</v>
      </c>
      <c r="U167" s="808">
        <v>0</v>
      </c>
      <c r="V167" s="808">
        <v>0</v>
      </c>
      <c r="W167" s="808">
        <v>0</v>
      </c>
      <c r="X167" s="808">
        <v>0</v>
      </c>
      <c r="Y167" s="808">
        <v>0</v>
      </c>
      <c r="Z167" s="808">
        <v>0</v>
      </c>
      <c r="AA167" s="808">
        <v>0</v>
      </c>
      <c r="AB167" s="808">
        <v>0</v>
      </c>
      <c r="AC167" s="808">
        <v>0</v>
      </c>
      <c r="AD167" s="808">
        <f t="shared" si="102"/>
        <v>0</v>
      </c>
      <c r="AE167" s="808">
        <v>0</v>
      </c>
      <c r="AF167" s="809">
        <v>0</v>
      </c>
      <c r="AG167" s="809">
        <f t="shared" si="105"/>
        <v>0</v>
      </c>
      <c r="AH167" s="812">
        <f t="shared" si="106"/>
        <v>0</v>
      </c>
      <c r="AI167" s="812">
        <f t="shared" si="107"/>
        <v>0</v>
      </c>
      <c r="AJ167" s="808">
        <f t="shared" si="108"/>
        <v>0</v>
      </c>
      <c r="AK167" s="808">
        <f t="shared" si="109"/>
        <v>3500</v>
      </c>
      <c r="AL167" s="809">
        <f t="shared" si="110"/>
        <v>26</v>
      </c>
      <c r="AM167" s="809">
        <f t="shared" si="111"/>
        <v>24</v>
      </c>
      <c r="AN167" s="812">
        <f t="shared" si="112"/>
        <v>24</v>
      </c>
      <c r="AO167" s="812">
        <f t="shared" si="113"/>
        <v>3476</v>
      </c>
      <c r="AP167" s="808">
        <f t="shared" si="114"/>
        <v>3476</v>
      </c>
      <c r="AQ167" s="808">
        <f t="shared" si="115"/>
        <v>3500</v>
      </c>
      <c r="AR167" s="809">
        <f t="shared" si="116"/>
        <v>366</v>
      </c>
      <c r="AS167" s="809">
        <f t="shared" si="117"/>
        <v>333</v>
      </c>
      <c r="AT167" s="808">
        <f t="shared" si="118"/>
        <v>357</v>
      </c>
      <c r="AU167" s="790">
        <f t="shared" si="119"/>
        <v>3143</v>
      </c>
    </row>
    <row r="168" spans="1:170" s="791" customFormat="1" ht="15" customHeight="1" x14ac:dyDescent="0.25">
      <c r="A168" s="898" t="s">
        <v>1224</v>
      </c>
      <c r="B168" s="822" t="s">
        <v>298</v>
      </c>
      <c r="C168" s="826">
        <f t="shared" si="83"/>
        <v>9.5000000000000001E-2</v>
      </c>
      <c r="D168" s="858">
        <v>10</v>
      </c>
      <c r="E168" s="858" t="s">
        <v>884</v>
      </c>
      <c r="F168" s="862">
        <v>45071</v>
      </c>
      <c r="G168" s="862">
        <v>45071</v>
      </c>
      <c r="H168" s="828">
        <f t="shared" si="84"/>
        <v>48721</v>
      </c>
      <c r="I168" s="901">
        <v>120000</v>
      </c>
      <c r="J168" s="812">
        <f t="shared" si="85"/>
        <v>6000</v>
      </c>
      <c r="K168" s="790"/>
      <c r="L168" s="790"/>
      <c r="M168" s="790"/>
      <c r="N168" s="790"/>
      <c r="O168" s="790"/>
      <c r="P168" s="790"/>
      <c r="Q168" s="790"/>
      <c r="R168" s="790"/>
      <c r="S168" s="790"/>
      <c r="T168" s="790"/>
      <c r="U168" s="790"/>
      <c r="V168" s="790"/>
      <c r="W168" s="790"/>
      <c r="X168" s="790"/>
      <c r="Y168" s="790"/>
      <c r="Z168" s="790"/>
      <c r="AA168" s="790"/>
      <c r="AB168" s="790"/>
      <c r="AC168" s="790"/>
      <c r="AD168" s="790"/>
      <c r="AE168" s="790"/>
      <c r="AH168" s="783"/>
      <c r="AI168" s="783"/>
      <c r="AJ168" s="790"/>
      <c r="AK168" s="790"/>
      <c r="AN168" s="783"/>
      <c r="AO168" s="783"/>
      <c r="AP168" s="808">
        <f t="shared" si="114"/>
        <v>0</v>
      </c>
      <c r="AQ168" s="808">
        <f t="shared" si="115"/>
        <v>120000</v>
      </c>
      <c r="AR168" s="809">
        <f t="shared" si="116"/>
        <v>312</v>
      </c>
      <c r="AS168" s="809">
        <f t="shared" si="117"/>
        <v>9745</v>
      </c>
      <c r="AT168" s="808">
        <f t="shared" si="118"/>
        <v>9745</v>
      </c>
      <c r="AU168" s="790">
        <f t="shared" si="119"/>
        <v>110255</v>
      </c>
      <c r="AV168" s="738"/>
      <c r="AW168" s="738"/>
      <c r="AX168" s="738"/>
      <c r="AY168" s="738"/>
      <c r="AZ168" s="738"/>
      <c r="BA168" s="738"/>
      <c r="BB168" s="738"/>
      <c r="BC168" s="738"/>
      <c r="BD168" s="738"/>
      <c r="BE168" s="738"/>
      <c r="BF168" s="738"/>
      <c r="BG168" s="738"/>
      <c r="BH168" s="738"/>
      <c r="BI168" s="738"/>
      <c r="BJ168" s="738"/>
      <c r="BK168" s="738"/>
      <c r="BL168" s="738"/>
      <c r="BM168" s="738"/>
      <c r="BN168" s="738"/>
      <c r="BO168" s="738"/>
      <c r="BP168" s="738"/>
      <c r="BQ168" s="738"/>
      <c r="BR168" s="738"/>
      <c r="BS168" s="738"/>
      <c r="BT168" s="738"/>
      <c r="BU168" s="738"/>
      <c r="BV168" s="738"/>
      <c r="BW168" s="738"/>
      <c r="BX168" s="738"/>
      <c r="BY168" s="738"/>
      <c r="BZ168" s="738"/>
      <c r="CA168" s="738"/>
      <c r="CB168" s="738"/>
      <c r="CC168" s="738"/>
      <c r="CD168" s="738"/>
      <c r="CE168" s="738"/>
      <c r="CF168" s="738"/>
      <c r="CG168" s="738"/>
      <c r="CH168" s="738"/>
      <c r="CI168" s="738"/>
      <c r="CJ168" s="738"/>
      <c r="CK168" s="738"/>
      <c r="CL168" s="738"/>
      <c r="CM168" s="738"/>
      <c r="CN168" s="738"/>
      <c r="CO168" s="738"/>
      <c r="CP168" s="738"/>
      <c r="CQ168" s="738"/>
      <c r="CR168" s="738"/>
      <c r="CS168" s="738"/>
      <c r="CT168" s="738"/>
      <c r="CU168" s="738"/>
      <c r="CV168" s="738"/>
      <c r="CW168" s="738"/>
      <c r="CX168" s="738"/>
      <c r="CY168" s="738"/>
      <c r="CZ168" s="738"/>
      <c r="DA168" s="738"/>
      <c r="DB168" s="738"/>
      <c r="DC168" s="738"/>
      <c r="DD168" s="738"/>
      <c r="DE168" s="738"/>
      <c r="DF168" s="738"/>
      <c r="DG168" s="738"/>
      <c r="DH168" s="738"/>
      <c r="DI168" s="738"/>
      <c r="DJ168" s="738"/>
      <c r="DK168" s="738"/>
      <c r="DL168" s="738"/>
      <c r="DM168" s="738"/>
      <c r="DN168" s="738"/>
      <c r="DO168" s="738"/>
      <c r="DP168" s="738"/>
      <c r="DQ168" s="738"/>
      <c r="DR168" s="738"/>
      <c r="DS168" s="738"/>
      <c r="DT168" s="738"/>
      <c r="DU168" s="738"/>
      <c r="DV168" s="738"/>
      <c r="DW168" s="738"/>
      <c r="DX168" s="738"/>
      <c r="DY168" s="738"/>
      <c r="DZ168" s="738"/>
      <c r="EA168" s="738"/>
      <c r="EB168" s="738"/>
      <c r="EC168" s="738"/>
      <c r="ED168" s="738"/>
      <c r="EE168" s="738"/>
      <c r="EF168" s="738"/>
      <c r="EG168" s="738"/>
      <c r="EH168" s="738"/>
      <c r="EI168" s="738"/>
      <c r="EJ168" s="738"/>
      <c r="EK168" s="738"/>
      <c r="EL168" s="738"/>
      <c r="EM168" s="738"/>
      <c r="EN168" s="738"/>
      <c r="EO168" s="738"/>
      <c r="EP168" s="738"/>
      <c r="EQ168" s="738"/>
      <c r="ER168" s="738"/>
      <c r="ES168" s="738"/>
      <c r="ET168" s="738"/>
      <c r="EU168" s="738"/>
      <c r="EV168" s="738"/>
      <c r="EW168" s="738"/>
      <c r="EX168" s="738"/>
      <c r="EY168" s="738"/>
      <c r="EZ168" s="738"/>
      <c r="FA168" s="738"/>
      <c r="FB168" s="738"/>
      <c r="FC168" s="738"/>
      <c r="FD168" s="738"/>
      <c r="FE168" s="738"/>
      <c r="FF168" s="738"/>
      <c r="FG168" s="738"/>
      <c r="FH168" s="738"/>
      <c r="FI168" s="738"/>
      <c r="FJ168" s="738"/>
      <c r="FK168" s="738"/>
      <c r="FL168" s="738"/>
      <c r="FM168" s="738"/>
      <c r="FN168" s="902"/>
    </row>
    <row r="169" spans="1:170" s="791" customFormat="1" ht="15" customHeight="1" x14ac:dyDescent="0.25">
      <c r="A169" s="898" t="s">
        <v>1224</v>
      </c>
      <c r="B169" s="822" t="s">
        <v>521</v>
      </c>
      <c r="C169" s="826">
        <f t="shared" si="83"/>
        <v>9.5000000000000001E-2</v>
      </c>
      <c r="D169" s="858">
        <v>10</v>
      </c>
      <c r="E169" s="858" t="s">
        <v>884</v>
      </c>
      <c r="F169" s="862">
        <v>45122</v>
      </c>
      <c r="G169" s="862">
        <v>45122</v>
      </c>
      <c r="H169" s="828">
        <f t="shared" si="84"/>
        <v>48772</v>
      </c>
      <c r="I169" s="901">
        <v>12375</v>
      </c>
      <c r="J169" s="812">
        <f t="shared" si="85"/>
        <v>618.75</v>
      </c>
      <c r="K169" s="790"/>
      <c r="L169" s="790"/>
      <c r="M169" s="790"/>
      <c r="N169" s="790"/>
      <c r="O169" s="790"/>
      <c r="P169" s="790"/>
      <c r="Q169" s="790"/>
      <c r="R169" s="790"/>
      <c r="S169" s="790"/>
      <c r="T169" s="790"/>
      <c r="U169" s="790"/>
      <c r="V169" s="790"/>
      <c r="W169" s="790"/>
      <c r="X169" s="790"/>
      <c r="Y169" s="790"/>
      <c r="Z169" s="790"/>
      <c r="AA169" s="790"/>
      <c r="AB169" s="790"/>
      <c r="AC169" s="790"/>
      <c r="AD169" s="790"/>
      <c r="AE169" s="790"/>
      <c r="AH169" s="783"/>
      <c r="AI169" s="783"/>
      <c r="AJ169" s="790"/>
      <c r="AK169" s="790"/>
      <c r="AN169" s="783"/>
      <c r="AO169" s="783"/>
      <c r="AP169" s="808">
        <f t="shared" si="114"/>
        <v>0</v>
      </c>
      <c r="AQ169" s="808">
        <f t="shared" si="115"/>
        <v>12375</v>
      </c>
      <c r="AR169" s="809">
        <f t="shared" si="116"/>
        <v>261</v>
      </c>
      <c r="AS169" s="809">
        <f t="shared" si="117"/>
        <v>841</v>
      </c>
      <c r="AT169" s="808">
        <f t="shared" si="118"/>
        <v>841</v>
      </c>
      <c r="AU169" s="790">
        <f t="shared" si="119"/>
        <v>11534</v>
      </c>
      <c r="AV169" s="738"/>
      <c r="AW169" s="738"/>
      <c r="AX169" s="738"/>
      <c r="AY169" s="738"/>
      <c r="AZ169" s="738"/>
      <c r="BA169" s="738"/>
      <c r="BB169" s="738"/>
      <c r="BC169" s="738"/>
      <c r="BD169" s="738"/>
      <c r="BE169" s="738"/>
      <c r="BF169" s="738"/>
      <c r="BG169" s="738"/>
      <c r="BH169" s="738"/>
      <c r="BI169" s="738"/>
      <c r="BJ169" s="738"/>
      <c r="BK169" s="738"/>
      <c r="BL169" s="738"/>
      <c r="BM169" s="738"/>
      <c r="BN169" s="738"/>
      <c r="BO169" s="738"/>
      <c r="BP169" s="738"/>
      <c r="BQ169" s="738"/>
      <c r="BR169" s="738"/>
      <c r="BS169" s="738"/>
      <c r="BT169" s="738"/>
      <c r="BU169" s="738"/>
      <c r="BV169" s="738"/>
      <c r="BW169" s="738"/>
      <c r="BX169" s="738"/>
      <c r="BY169" s="738"/>
      <c r="BZ169" s="738"/>
      <c r="CA169" s="738"/>
      <c r="CB169" s="738"/>
      <c r="CC169" s="738"/>
      <c r="CD169" s="738"/>
      <c r="CE169" s="738"/>
      <c r="CF169" s="738"/>
      <c r="CG169" s="738"/>
      <c r="CH169" s="738"/>
      <c r="CI169" s="738"/>
      <c r="CJ169" s="738"/>
      <c r="CK169" s="738"/>
      <c r="CL169" s="738"/>
      <c r="CM169" s="738"/>
      <c r="CN169" s="738"/>
      <c r="CO169" s="738"/>
      <c r="CP169" s="738"/>
      <c r="CQ169" s="738"/>
      <c r="CR169" s="738"/>
      <c r="CS169" s="738"/>
      <c r="CT169" s="738"/>
      <c r="CU169" s="738"/>
      <c r="CV169" s="738"/>
      <c r="CW169" s="738"/>
      <c r="CX169" s="738"/>
      <c r="CY169" s="738"/>
      <c r="CZ169" s="738"/>
      <c r="DA169" s="738"/>
      <c r="DB169" s="738"/>
      <c r="DC169" s="738"/>
      <c r="DD169" s="738"/>
      <c r="DE169" s="738"/>
      <c r="DF169" s="738"/>
      <c r="DG169" s="738"/>
      <c r="DH169" s="738"/>
      <c r="DI169" s="738"/>
      <c r="DJ169" s="738"/>
      <c r="DK169" s="738"/>
      <c r="DL169" s="738"/>
      <c r="DM169" s="738"/>
      <c r="DN169" s="738"/>
      <c r="DO169" s="738"/>
      <c r="DP169" s="738"/>
      <c r="DQ169" s="738"/>
      <c r="DR169" s="738"/>
      <c r="DS169" s="738"/>
      <c r="DT169" s="738"/>
      <c r="DU169" s="738"/>
      <c r="DV169" s="738"/>
      <c r="DW169" s="738"/>
      <c r="DX169" s="738"/>
      <c r="DY169" s="738"/>
      <c r="DZ169" s="738"/>
      <c r="EA169" s="738"/>
      <c r="EB169" s="738"/>
      <c r="EC169" s="738"/>
      <c r="ED169" s="738"/>
      <c r="EE169" s="738"/>
      <c r="EF169" s="738"/>
      <c r="EG169" s="738"/>
      <c r="EH169" s="738"/>
      <c r="EI169" s="738"/>
      <c r="EJ169" s="738"/>
      <c r="EK169" s="738"/>
      <c r="EL169" s="738"/>
      <c r="EM169" s="738"/>
      <c r="EN169" s="738"/>
      <c r="EO169" s="738"/>
      <c r="EP169" s="738"/>
      <c r="EQ169" s="738"/>
      <c r="ER169" s="738"/>
      <c r="ES169" s="738"/>
      <c r="ET169" s="738"/>
      <c r="EU169" s="738"/>
      <c r="EV169" s="738"/>
      <c r="EW169" s="738"/>
      <c r="EX169" s="738"/>
      <c r="EY169" s="738"/>
      <c r="EZ169" s="738"/>
      <c r="FA169" s="738"/>
      <c r="FB169" s="738"/>
      <c r="FC169" s="738"/>
      <c r="FD169" s="738"/>
      <c r="FE169" s="738"/>
      <c r="FF169" s="738"/>
      <c r="FG169" s="738"/>
      <c r="FH169" s="738"/>
      <c r="FI169" s="738"/>
      <c r="FJ169" s="738"/>
      <c r="FK169" s="738"/>
      <c r="FL169" s="738"/>
      <c r="FM169" s="738"/>
      <c r="FN169" s="902"/>
    </row>
    <row r="170" spans="1:170" s="791" customFormat="1" ht="15" customHeight="1" x14ac:dyDescent="0.25">
      <c r="A170" s="898" t="s">
        <v>1224</v>
      </c>
      <c r="B170" s="822" t="s">
        <v>316</v>
      </c>
      <c r="C170" s="826">
        <f t="shared" si="83"/>
        <v>9.5000000000000001E-2</v>
      </c>
      <c r="D170" s="858">
        <v>10</v>
      </c>
      <c r="E170" s="858" t="s">
        <v>884</v>
      </c>
      <c r="F170" s="862">
        <v>45138</v>
      </c>
      <c r="G170" s="862">
        <v>45138</v>
      </c>
      <c r="H170" s="828">
        <f t="shared" si="84"/>
        <v>48788</v>
      </c>
      <c r="I170" s="901">
        <v>29400</v>
      </c>
      <c r="J170" s="812">
        <f t="shared" si="85"/>
        <v>1470</v>
      </c>
      <c r="K170" s="790"/>
      <c r="L170" s="790"/>
      <c r="M170" s="790"/>
      <c r="N170" s="790"/>
      <c r="O170" s="790"/>
      <c r="P170" s="790"/>
      <c r="Q170" s="790"/>
      <c r="R170" s="790"/>
      <c r="S170" s="790"/>
      <c r="T170" s="790"/>
      <c r="U170" s="790"/>
      <c r="V170" s="790"/>
      <c r="W170" s="790"/>
      <c r="X170" s="790"/>
      <c r="Y170" s="790"/>
      <c r="Z170" s="790"/>
      <c r="AA170" s="790"/>
      <c r="AB170" s="790"/>
      <c r="AC170" s="790"/>
      <c r="AD170" s="790"/>
      <c r="AE170" s="790"/>
      <c r="AH170" s="783"/>
      <c r="AI170" s="783"/>
      <c r="AJ170" s="790"/>
      <c r="AK170" s="790"/>
      <c r="AN170" s="783"/>
      <c r="AO170" s="783"/>
      <c r="AP170" s="808">
        <f t="shared" si="114"/>
        <v>0</v>
      </c>
      <c r="AQ170" s="808">
        <f t="shared" si="115"/>
        <v>29400</v>
      </c>
      <c r="AR170" s="809">
        <f t="shared" si="116"/>
        <v>245</v>
      </c>
      <c r="AS170" s="809">
        <f t="shared" si="117"/>
        <v>1875</v>
      </c>
      <c r="AT170" s="808">
        <f t="shared" si="118"/>
        <v>1875</v>
      </c>
      <c r="AU170" s="790">
        <f t="shared" si="119"/>
        <v>27525</v>
      </c>
      <c r="AV170" s="738"/>
      <c r="AW170" s="738"/>
      <c r="AX170" s="738"/>
      <c r="AY170" s="738"/>
      <c r="AZ170" s="738"/>
      <c r="BA170" s="738"/>
      <c r="BB170" s="738"/>
      <c r="BC170" s="738"/>
      <c r="BD170" s="738"/>
      <c r="BE170" s="738"/>
      <c r="BF170" s="738"/>
      <c r="BG170" s="738"/>
      <c r="BH170" s="738"/>
      <c r="BI170" s="738"/>
      <c r="BJ170" s="738"/>
      <c r="BK170" s="738"/>
      <c r="BL170" s="738"/>
      <c r="BM170" s="738"/>
      <c r="BN170" s="738"/>
      <c r="BO170" s="738"/>
      <c r="BP170" s="738"/>
      <c r="BQ170" s="738"/>
      <c r="BR170" s="738"/>
      <c r="BS170" s="738"/>
      <c r="BT170" s="738"/>
      <c r="BU170" s="738"/>
      <c r="BV170" s="738"/>
      <c r="BW170" s="738"/>
      <c r="BX170" s="738"/>
      <c r="BY170" s="738"/>
      <c r="BZ170" s="738"/>
      <c r="CA170" s="738"/>
      <c r="CB170" s="738"/>
      <c r="CC170" s="738"/>
      <c r="CD170" s="738"/>
      <c r="CE170" s="738"/>
      <c r="CF170" s="738"/>
      <c r="CG170" s="738"/>
      <c r="CH170" s="738"/>
      <c r="CI170" s="738"/>
      <c r="CJ170" s="738"/>
      <c r="CK170" s="738"/>
      <c r="CL170" s="738"/>
      <c r="CM170" s="738"/>
      <c r="CN170" s="738"/>
      <c r="CO170" s="738"/>
      <c r="CP170" s="738"/>
      <c r="CQ170" s="738"/>
      <c r="CR170" s="738"/>
      <c r="CS170" s="738"/>
      <c r="CT170" s="738"/>
      <c r="CU170" s="738"/>
      <c r="CV170" s="738"/>
      <c r="CW170" s="738"/>
      <c r="CX170" s="738"/>
      <c r="CY170" s="738"/>
      <c r="CZ170" s="738"/>
      <c r="DA170" s="738"/>
      <c r="DB170" s="738"/>
      <c r="DC170" s="738"/>
      <c r="DD170" s="738"/>
      <c r="DE170" s="738"/>
      <c r="DF170" s="738"/>
      <c r="DG170" s="738"/>
      <c r="DH170" s="738"/>
      <c r="DI170" s="738"/>
      <c r="DJ170" s="738"/>
      <c r="DK170" s="738"/>
      <c r="DL170" s="738"/>
      <c r="DM170" s="738"/>
      <c r="DN170" s="738"/>
      <c r="DO170" s="738"/>
      <c r="DP170" s="738"/>
      <c r="DQ170" s="738"/>
      <c r="DR170" s="738"/>
      <c r="DS170" s="738"/>
      <c r="DT170" s="738"/>
      <c r="DU170" s="738"/>
      <c r="DV170" s="738"/>
      <c r="DW170" s="738"/>
      <c r="DX170" s="738"/>
      <c r="DY170" s="738"/>
      <c r="DZ170" s="738"/>
      <c r="EA170" s="738"/>
      <c r="EB170" s="738"/>
      <c r="EC170" s="738"/>
      <c r="ED170" s="738"/>
      <c r="EE170" s="738"/>
      <c r="EF170" s="738"/>
      <c r="EG170" s="738"/>
      <c r="EH170" s="738"/>
      <c r="EI170" s="738"/>
      <c r="EJ170" s="738"/>
      <c r="EK170" s="738"/>
      <c r="EL170" s="738"/>
      <c r="EM170" s="738"/>
      <c r="EN170" s="738"/>
      <c r="EO170" s="738"/>
      <c r="EP170" s="738"/>
      <c r="EQ170" s="738"/>
      <c r="ER170" s="738"/>
      <c r="ES170" s="738"/>
      <c r="ET170" s="738"/>
      <c r="EU170" s="738"/>
      <c r="EV170" s="738"/>
      <c r="EW170" s="738"/>
      <c r="EX170" s="738"/>
      <c r="EY170" s="738"/>
      <c r="EZ170" s="738"/>
      <c r="FA170" s="738"/>
      <c r="FB170" s="738"/>
      <c r="FC170" s="738"/>
      <c r="FD170" s="738"/>
      <c r="FE170" s="738"/>
      <c r="FF170" s="738"/>
      <c r="FG170" s="738"/>
      <c r="FH170" s="738"/>
      <c r="FI170" s="738"/>
      <c r="FJ170" s="738"/>
      <c r="FK170" s="738"/>
      <c r="FL170" s="738"/>
      <c r="FM170" s="738"/>
      <c r="FN170" s="902"/>
    </row>
    <row r="171" spans="1:170" s="791" customFormat="1" ht="15" customHeight="1" x14ac:dyDescent="0.25">
      <c r="A171" s="898" t="s">
        <v>1224</v>
      </c>
      <c r="B171" s="822" t="s">
        <v>294</v>
      </c>
      <c r="C171" s="826">
        <f t="shared" si="83"/>
        <v>9.5000000000000001E-2</v>
      </c>
      <c r="D171" s="858">
        <v>10</v>
      </c>
      <c r="E171" s="858" t="s">
        <v>884</v>
      </c>
      <c r="F171" s="862">
        <v>45283</v>
      </c>
      <c r="G171" s="862">
        <v>45283</v>
      </c>
      <c r="H171" s="828">
        <f t="shared" si="84"/>
        <v>48933</v>
      </c>
      <c r="I171" s="901">
        <v>233811</v>
      </c>
      <c r="J171" s="812">
        <f t="shared" si="85"/>
        <v>11690.550000000001</v>
      </c>
      <c r="K171" s="790"/>
      <c r="L171" s="790"/>
      <c r="M171" s="790"/>
      <c r="N171" s="790"/>
      <c r="O171" s="790"/>
      <c r="P171" s="790"/>
      <c r="Q171" s="790"/>
      <c r="R171" s="790"/>
      <c r="S171" s="790"/>
      <c r="T171" s="790"/>
      <c r="U171" s="790"/>
      <c r="V171" s="790"/>
      <c r="W171" s="790"/>
      <c r="X171" s="790"/>
      <c r="Y171" s="790"/>
      <c r="Z171" s="790"/>
      <c r="AA171" s="790"/>
      <c r="AB171" s="790"/>
      <c r="AC171" s="790"/>
      <c r="AD171" s="790"/>
      <c r="AE171" s="790"/>
      <c r="AH171" s="783"/>
      <c r="AI171" s="783"/>
      <c r="AJ171" s="790"/>
      <c r="AK171" s="790"/>
      <c r="AN171" s="783"/>
      <c r="AO171" s="783"/>
      <c r="AP171" s="808">
        <f t="shared" si="114"/>
        <v>0</v>
      </c>
      <c r="AQ171" s="808">
        <f t="shared" si="115"/>
        <v>233811</v>
      </c>
      <c r="AR171" s="809">
        <f t="shared" si="116"/>
        <v>100</v>
      </c>
      <c r="AS171" s="809">
        <f t="shared" si="117"/>
        <v>6085</v>
      </c>
      <c r="AT171" s="808">
        <f t="shared" si="118"/>
        <v>6085</v>
      </c>
      <c r="AU171" s="790">
        <f t="shared" si="119"/>
        <v>227726</v>
      </c>
      <c r="AV171" s="738"/>
      <c r="AW171" s="738"/>
      <c r="AX171" s="738"/>
      <c r="AY171" s="738"/>
      <c r="AZ171" s="738"/>
      <c r="BA171" s="738"/>
      <c r="BB171" s="738"/>
      <c r="BC171" s="738"/>
      <c r="BD171" s="738"/>
      <c r="BE171" s="738"/>
      <c r="BF171" s="738"/>
      <c r="BG171" s="738"/>
      <c r="BH171" s="738"/>
      <c r="BI171" s="738"/>
      <c r="BJ171" s="738"/>
      <c r="BK171" s="738"/>
      <c r="BL171" s="738"/>
      <c r="BM171" s="738"/>
      <c r="BN171" s="738"/>
      <c r="BO171" s="738"/>
      <c r="BP171" s="738"/>
      <c r="BQ171" s="738"/>
      <c r="BR171" s="738"/>
      <c r="BS171" s="738"/>
      <c r="BT171" s="738"/>
      <c r="BU171" s="738"/>
      <c r="BV171" s="738"/>
      <c r="BW171" s="738"/>
      <c r="BX171" s="738"/>
      <c r="BY171" s="738"/>
      <c r="BZ171" s="738"/>
      <c r="CA171" s="738"/>
      <c r="CB171" s="738"/>
      <c r="CC171" s="738"/>
      <c r="CD171" s="738"/>
      <c r="CE171" s="738"/>
      <c r="CF171" s="738"/>
      <c r="CG171" s="738"/>
      <c r="CH171" s="738"/>
      <c r="CI171" s="738"/>
      <c r="CJ171" s="738"/>
      <c r="CK171" s="738"/>
      <c r="CL171" s="738"/>
      <c r="CM171" s="738"/>
      <c r="CN171" s="738"/>
      <c r="CO171" s="738"/>
      <c r="CP171" s="738"/>
      <c r="CQ171" s="738"/>
      <c r="CR171" s="738"/>
      <c r="CS171" s="738"/>
      <c r="CT171" s="738"/>
      <c r="CU171" s="738"/>
      <c r="CV171" s="738"/>
      <c r="CW171" s="738"/>
      <c r="CX171" s="738"/>
      <c r="CY171" s="738"/>
      <c r="CZ171" s="738"/>
      <c r="DA171" s="738"/>
      <c r="DB171" s="738"/>
      <c r="DC171" s="738"/>
      <c r="DD171" s="738"/>
      <c r="DE171" s="738"/>
      <c r="DF171" s="738"/>
      <c r="DG171" s="738"/>
      <c r="DH171" s="738"/>
      <c r="DI171" s="738"/>
      <c r="DJ171" s="738"/>
      <c r="DK171" s="738"/>
      <c r="DL171" s="738"/>
      <c r="DM171" s="738"/>
      <c r="DN171" s="738"/>
      <c r="DO171" s="738"/>
      <c r="DP171" s="738"/>
      <c r="DQ171" s="738"/>
      <c r="DR171" s="738"/>
      <c r="DS171" s="738"/>
      <c r="DT171" s="738"/>
      <c r="DU171" s="738"/>
      <c r="DV171" s="738"/>
      <c r="DW171" s="738"/>
      <c r="DX171" s="738"/>
      <c r="DY171" s="738"/>
      <c r="DZ171" s="738"/>
      <c r="EA171" s="738"/>
      <c r="EB171" s="738"/>
      <c r="EC171" s="738"/>
      <c r="ED171" s="738"/>
      <c r="EE171" s="738"/>
      <c r="EF171" s="738"/>
      <c r="EG171" s="738"/>
      <c r="EH171" s="738"/>
      <c r="EI171" s="738"/>
      <c r="EJ171" s="738"/>
      <c r="EK171" s="738"/>
      <c r="EL171" s="738"/>
      <c r="EM171" s="738"/>
      <c r="EN171" s="738"/>
      <c r="EO171" s="738"/>
      <c r="EP171" s="738"/>
      <c r="EQ171" s="738"/>
      <c r="ER171" s="738"/>
      <c r="ES171" s="738"/>
      <c r="ET171" s="738"/>
      <c r="EU171" s="738"/>
      <c r="EV171" s="738"/>
      <c r="EW171" s="738"/>
      <c r="EX171" s="738"/>
      <c r="EY171" s="738"/>
      <c r="EZ171" s="738"/>
      <c r="FA171" s="738"/>
      <c r="FB171" s="738"/>
      <c r="FC171" s="738"/>
      <c r="FD171" s="738"/>
      <c r="FE171" s="738"/>
      <c r="FF171" s="738"/>
      <c r="FG171" s="738"/>
      <c r="FH171" s="738"/>
      <c r="FI171" s="738"/>
      <c r="FJ171" s="738"/>
      <c r="FK171" s="738"/>
      <c r="FL171" s="738"/>
      <c r="FM171" s="738"/>
      <c r="FN171" s="902"/>
    </row>
    <row r="172" spans="1:170" s="791" customFormat="1" ht="15" customHeight="1" x14ac:dyDescent="0.25">
      <c r="A172" s="898" t="s">
        <v>1224</v>
      </c>
      <c r="B172" s="863" t="s">
        <v>507</v>
      </c>
      <c r="C172" s="826">
        <f t="shared" si="83"/>
        <v>9.5000000000000001E-2</v>
      </c>
      <c r="D172" s="858">
        <v>10</v>
      </c>
      <c r="E172" s="858" t="s">
        <v>884</v>
      </c>
      <c r="F172" s="862">
        <v>45285</v>
      </c>
      <c r="G172" s="862">
        <v>45285</v>
      </c>
      <c r="H172" s="828">
        <f t="shared" si="84"/>
        <v>48935</v>
      </c>
      <c r="I172" s="901">
        <v>817900</v>
      </c>
      <c r="J172" s="812">
        <f t="shared" si="85"/>
        <v>40895</v>
      </c>
      <c r="K172" s="790"/>
      <c r="L172" s="790"/>
      <c r="M172" s="790"/>
      <c r="N172" s="790"/>
      <c r="O172" s="790"/>
      <c r="P172" s="790"/>
      <c r="Q172" s="790"/>
      <c r="R172" s="790"/>
      <c r="S172" s="790"/>
      <c r="T172" s="790"/>
      <c r="U172" s="790"/>
      <c r="V172" s="790"/>
      <c r="W172" s="790"/>
      <c r="X172" s="790"/>
      <c r="Y172" s="790"/>
      <c r="Z172" s="790"/>
      <c r="AA172" s="790"/>
      <c r="AB172" s="790"/>
      <c r="AC172" s="790"/>
      <c r="AD172" s="790"/>
      <c r="AE172" s="790"/>
      <c r="AH172" s="783"/>
      <c r="AI172" s="783"/>
      <c r="AJ172" s="790"/>
      <c r="AK172" s="790"/>
      <c r="AN172" s="783"/>
      <c r="AO172" s="783"/>
      <c r="AP172" s="808">
        <f t="shared" si="114"/>
        <v>0</v>
      </c>
      <c r="AQ172" s="808">
        <f t="shared" si="115"/>
        <v>817900</v>
      </c>
      <c r="AR172" s="809">
        <f t="shared" si="116"/>
        <v>98</v>
      </c>
      <c r="AS172" s="809">
        <f t="shared" si="117"/>
        <v>20862</v>
      </c>
      <c r="AT172" s="808">
        <f t="shared" si="118"/>
        <v>20862</v>
      </c>
      <c r="AU172" s="790">
        <f t="shared" si="119"/>
        <v>797038</v>
      </c>
      <c r="AV172" s="738"/>
      <c r="AW172" s="738"/>
      <c r="AX172" s="738"/>
      <c r="AY172" s="738"/>
      <c r="AZ172" s="738"/>
      <c r="BA172" s="738"/>
      <c r="BB172" s="738"/>
      <c r="BC172" s="738"/>
      <c r="BD172" s="738"/>
      <c r="BE172" s="738"/>
      <c r="BF172" s="738"/>
      <c r="BG172" s="738"/>
      <c r="BH172" s="738"/>
      <c r="BI172" s="738"/>
      <c r="BJ172" s="738"/>
      <c r="BK172" s="738"/>
      <c r="BL172" s="738"/>
      <c r="BM172" s="738"/>
      <c r="BN172" s="738"/>
      <c r="BO172" s="738"/>
      <c r="BP172" s="738"/>
      <c r="BQ172" s="738"/>
      <c r="BR172" s="738"/>
      <c r="BS172" s="738"/>
      <c r="BT172" s="738"/>
      <c r="BU172" s="738"/>
      <c r="BV172" s="738"/>
      <c r="BW172" s="738"/>
      <c r="BX172" s="738"/>
      <c r="BY172" s="738"/>
      <c r="BZ172" s="738"/>
      <c r="CA172" s="738"/>
      <c r="CB172" s="738"/>
      <c r="CC172" s="738"/>
      <c r="CD172" s="738"/>
      <c r="CE172" s="738"/>
      <c r="CF172" s="738"/>
      <c r="CG172" s="738"/>
      <c r="CH172" s="738"/>
      <c r="CI172" s="738"/>
      <c r="CJ172" s="738"/>
      <c r="CK172" s="738"/>
      <c r="CL172" s="738"/>
      <c r="CM172" s="738"/>
      <c r="CN172" s="738"/>
      <c r="CO172" s="738"/>
      <c r="CP172" s="738"/>
      <c r="CQ172" s="738"/>
      <c r="CR172" s="738"/>
      <c r="CS172" s="738"/>
      <c r="CT172" s="738"/>
      <c r="CU172" s="738"/>
      <c r="CV172" s="738"/>
      <c r="CW172" s="738"/>
      <c r="CX172" s="738"/>
      <c r="CY172" s="738"/>
      <c r="CZ172" s="738"/>
      <c r="DA172" s="738"/>
      <c r="DB172" s="738"/>
      <c r="DC172" s="738"/>
      <c r="DD172" s="738"/>
      <c r="DE172" s="738"/>
      <c r="DF172" s="738"/>
      <c r="DG172" s="738"/>
      <c r="DH172" s="738"/>
      <c r="DI172" s="738"/>
      <c r="DJ172" s="738"/>
      <c r="DK172" s="738"/>
      <c r="DL172" s="738"/>
      <c r="DM172" s="738"/>
      <c r="DN172" s="738"/>
      <c r="DO172" s="738"/>
      <c r="DP172" s="738"/>
      <c r="DQ172" s="738"/>
      <c r="DR172" s="738"/>
      <c r="DS172" s="738"/>
      <c r="DT172" s="738"/>
      <c r="DU172" s="738"/>
      <c r="DV172" s="738"/>
      <c r="DW172" s="738"/>
      <c r="DX172" s="738"/>
      <c r="DY172" s="738"/>
      <c r="DZ172" s="738"/>
      <c r="EA172" s="738"/>
      <c r="EB172" s="738"/>
      <c r="EC172" s="738"/>
      <c r="ED172" s="738"/>
      <c r="EE172" s="738"/>
      <c r="EF172" s="738"/>
      <c r="EG172" s="738"/>
      <c r="EH172" s="738"/>
      <c r="EI172" s="738"/>
      <c r="EJ172" s="738"/>
      <c r="EK172" s="738"/>
      <c r="EL172" s="738"/>
      <c r="EM172" s="738"/>
      <c r="EN172" s="738"/>
      <c r="EO172" s="738"/>
      <c r="EP172" s="738"/>
      <c r="EQ172" s="738"/>
      <c r="ER172" s="738"/>
      <c r="ES172" s="738"/>
      <c r="ET172" s="738"/>
      <c r="EU172" s="738"/>
      <c r="EV172" s="738"/>
      <c r="EW172" s="738"/>
      <c r="EX172" s="738"/>
      <c r="EY172" s="738"/>
      <c r="EZ172" s="738"/>
      <c r="FA172" s="738"/>
      <c r="FB172" s="738"/>
      <c r="FC172" s="738"/>
      <c r="FD172" s="738"/>
      <c r="FE172" s="738"/>
      <c r="FF172" s="738"/>
      <c r="FG172" s="738"/>
      <c r="FH172" s="738"/>
      <c r="FI172" s="738"/>
      <c r="FJ172" s="738"/>
      <c r="FK172" s="738"/>
      <c r="FL172" s="738"/>
      <c r="FM172" s="738"/>
      <c r="FN172" s="902"/>
    </row>
    <row r="173" spans="1:170" s="791" customFormat="1" ht="15" customHeight="1" x14ac:dyDescent="0.25">
      <c r="A173" s="898" t="s">
        <v>1224</v>
      </c>
      <c r="B173" s="822" t="s">
        <v>316</v>
      </c>
      <c r="C173" s="826">
        <f t="shared" si="83"/>
        <v>9.5000000000000001E-2</v>
      </c>
      <c r="D173" s="858">
        <v>10</v>
      </c>
      <c r="E173" s="858" t="s">
        <v>884</v>
      </c>
      <c r="F173" s="862">
        <v>45290</v>
      </c>
      <c r="G173" s="862">
        <v>45290</v>
      </c>
      <c r="H173" s="828">
        <f t="shared" si="84"/>
        <v>48940</v>
      </c>
      <c r="I173" s="901">
        <v>1530000</v>
      </c>
      <c r="J173" s="812">
        <f t="shared" si="85"/>
        <v>76500</v>
      </c>
      <c r="K173" s="790"/>
      <c r="L173" s="790"/>
      <c r="M173" s="790"/>
      <c r="N173" s="790"/>
      <c r="O173" s="790"/>
      <c r="P173" s="790"/>
      <c r="Q173" s="790"/>
      <c r="R173" s="790"/>
      <c r="S173" s="790"/>
      <c r="T173" s="790"/>
      <c r="U173" s="790"/>
      <c r="V173" s="790"/>
      <c r="W173" s="790"/>
      <c r="X173" s="790"/>
      <c r="Y173" s="790"/>
      <c r="Z173" s="790"/>
      <c r="AA173" s="790"/>
      <c r="AB173" s="790"/>
      <c r="AC173" s="790"/>
      <c r="AD173" s="790"/>
      <c r="AE173" s="790"/>
      <c r="AH173" s="783"/>
      <c r="AI173" s="783"/>
      <c r="AJ173" s="790"/>
      <c r="AK173" s="790"/>
      <c r="AN173" s="783"/>
      <c r="AO173" s="783"/>
      <c r="AP173" s="808">
        <f t="shared" si="114"/>
        <v>0</v>
      </c>
      <c r="AQ173" s="808">
        <f t="shared" si="115"/>
        <v>1530000</v>
      </c>
      <c r="AR173" s="809">
        <f t="shared" si="116"/>
        <v>93</v>
      </c>
      <c r="AS173" s="809">
        <f t="shared" si="117"/>
        <v>37034</v>
      </c>
      <c r="AT173" s="808">
        <f t="shared" si="118"/>
        <v>37034</v>
      </c>
      <c r="AU173" s="790">
        <f t="shared" si="119"/>
        <v>1492966</v>
      </c>
      <c r="AV173" s="738"/>
      <c r="AW173" s="738"/>
      <c r="AX173" s="738"/>
      <c r="AY173" s="738"/>
      <c r="AZ173" s="738"/>
      <c r="BA173" s="738"/>
      <c r="BB173" s="738"/>
      <c r="BC173" s="738"/>
      <c r="BD173" s="738"/>
      <c r="BE173" s="738"/>
      <c r="BF173" s="738"/>
      <c r="BG173" s="738"/>
      <c r="BH173" s="738"/>
      <c r="BI173" s="738"/>
      <c r="BJ173" s="738"/>
      <c r="BK173" s="738"/>
      <c r="BL173" s="738"/>
      <c r="BM173" s="738"/>
      <c r="BN173" s="738"/>
      <c r="BO173" s="738"/>
      <c r="BP173" s="738"/>
      <c r="BQ173" s="738"/>
      <c r="BR173" s="738"/>
      <c r="BS173" s="738"/>
      <c r="BT173" s="738"/>
      <c r="BU173" s="738"/>
      <c r="BV173" s="738"/>
      <c r="BW173" s="738"/>
      <c r="BX173" s="738"/>
      <c r="BY173" s="738"/>
      <c r="BZ173" s="738"/>
      <c r="CA173" s="738"/>
      <c r="CB173" s="738"/>
      <c r="CC173" s="738"/>
      <c r="CD173" s="738"/>
      <c r="CE173" s="738"/>
      <c r="CF173" s="738"/>
      <c r="CG173" s="738"/>
      <c r="CH173" s="738"/>
      <c r="CI173" s="738"/>
      <c r="CJ173" s="738"/>
      <c r="CK173" s="738"/>
      <c r="CL173" s="738"/>
      <c r="CM173" s="738"/>
      <c r="CN173" s="738"/>
      <c r="CO173" s="738"/>
      <c r="CP173" s="738"/>
      <c r="CQ173" s="738"/>
      <c r="CR173" s="738"/>
      <c r="CS173" s="738"/>
      <c r="CT173" s="738"/>
      <c r="CU173" s="738"/>
      <c r="CV173" s="738"/>
      <c r="CW173" s="738"/>
      <c r="CX173" s="738"/>
      <c r="CY173" s="738"/>
      <c r="CZ173" s="738"/>
      <c r="DA173" s="738"/>
      <c r="DB173" s="738"/>
      <c r="DC173" s="738"/>
      <c r="DD173" s="738"/>
      <c r="DE173" s="738"/>
      <c r="DF173" s="738"/>
      <c r="DG173" s="738"/>
      <c r="DH173" s="738"/>
      <c r="DI173" s="738"/>
      <c r="DJ173" s="738"/>
      <c r="DK173" s="738"/>
      <c r="DL173" s="738"/>
      <c r="DM173" s="738"/>
      <c r="DN173" s="738"/>
      <c r="DO173" s="738"/>
      <c r="DP173" s="738"/>
      <c r="DQ173" s="738"/>
      <c r="DR173" s="738"/>
      <c r="DS173" s="738"/>
      <c r="DT173" s="738"/>
      <c r="DU173" s="738"/>
      <c r="DV173" s="738"/>
      <c r="DW173" s="738"/>
      <c r="DX173" s="738"/>
      <c r="DY173" s="738"/>
      <c r="DZ173" s="738"/>
      <c r="EA173" s="738"/>
      <c r="EB173" s="738"/>
      <c r="EC173" s="738"/>
      <c r="ED173" s="738"/>
      <c r="EE173" s="738"/>
      <c r="EF173" s="738"/>
      <c r="EG173" s="738"/>
      <c r="EH173" s="738"/>
      <c r="EI173" s="738"/>
      <c r="EJ173" s="738"/>
      <c r="EK173" s="738"/>
      <c r="EL173" s="738"/>
      <c r="EM173" s="738"/>
      <c r="EN173" s="738"/>
      <c r="EO173" s="738"/>
      <c r="EP173" s="738"/>
      <c r="EQ173" s="738"/>
      <c r="ER173" s="738"/>
      <c r="ES173" s="738"/>
      <c r="ET173" s="738"/>
      <c r="EU173" s="738"/>
      <c r="EV173" s="738"/>
      <c r="EW173" s="738"/>
      <c r="EX173" s="738"/>
      <c r="EY173" s="738"/>
      <c r="EZ173" s="738"/>
      <c r="FA173" s="738"/>
      <c r="FB173" s="738"/>
      <c r="FC173" s="738"/>
      <c r="FD173" s="738"/>
      <c r="FE173" s="738"/>
      <c r="FF173" s="738"/>
      <c r="FG173" s="738"/>
      <c r="FH173" s="738"/>
      <c r="FI173" s="738"/>
      <c r="FJ173" s="738"/>
      <c r="FK173" s="738"/>
      <c r="FL173" s="738"/>
      <c r="FM173" s="738"/>
      <c r="FN173" s="902"/>
    </row>
    <row r="174" spans="1:170" s="791" customFormat="1" ht="15" customHeight="1" x14ac:dyDescent="0.25">
      <c r="A174" s="898" t="s">
        <v>1224</v>
      </c>
      <c r="B174" s="822" t="s">
        <v>294</v>
      </c>
      <c r="C174" s="826">
        <f t="shared" si="83"/>
        <v>9.5000000000000001E-2</v>
      </c>
      <c r="D174" s="858">
        <v>10</v>
      </c>
      <c r="E174" s="858" t="s">
        <v>884</v>
      </c>
      <c r="F174" s="862">
        <v>45292</v>
      </c>
      <c r="G174" s="862">
        <v>45292</v>
      </c>
      <c r="H174" s="828">
        <f t="shared" si="84"/>
        <v>48942</v>
      </c>
      <c r="I174" s="901">
        <v>64375</v>
      </c>
      <c r="J174" s="812">
        <f t="shared" si="85"/>
        <v>3218.75</v>
      </c>
      <c r="K174" s="790"/>
      <c r="L174" s="790"/>
      <c r="M174" s="790"/>
      <c r="N174" s="790"/>
      <c r="O174" s="790"/>
      <c r="P174" s="790"/>
      <c r="Q174" s="790"/>
      <c r="R174" s="790"/>
      <c r="S174" s="790"/>
      <c r="T174" s="790"/>
      <c r="U174" s="790"/>
      <c r="V174" s="790"/>
      <c r="W174" s="790"/>
      <c r="X174" s="790"/>
      <c r="Y174" s="790"/>
      <c r="Z174" s="790"/>
      <c r="AA174" s="790"/>
      <c r="AB174" s="790"/>
      <c r="AC174" s="790"/>
      <c r="AD174" s="790"/>
      <c r="AE174" s="790"/>
      <c r="AH174" s="783"/>
      <c r="AI174" s="783"/>
      <c r="AJ174" s="790"/>
      <c r="AK174" s="790"/>
      <c r="AN174" s="783"/>
      <c r="AO174" s="783"/>
      <c r="AP174" s="808">
        <f t="shared" si="114"/>
        <v>0</v>
      </c>
      <c r="AQ174" s="808">
        <f t="shared" si="115"/>
        <v>64375</v>
      </c>
      <c r="AR174" s="809">
        <f t="shared" si="116"/>
        <v>91</v>
      </c>
      <c r="AS174" s="809">
        <f t="shared" si="117"/>
        <v>1525</v>
      </c>
      <c r="AT174" s="808">
        <f t="shared" si="118"/>
        <v>1525</v>
      </c>
      <c r="AU174" s="790">
        <f t="shared" si="119"/>
        <v>62850</v>
      </c>
      <c r="AV174" s="738"/>
      <c r="AW174" s="738"/>
      <c r="AX174" s="738"/>
      <c r="AY174" s="738"/>
      <c r="AZ174" s="738"/>
      <c r="BA174" s="738"/>
      <c r="BB174" s="738"/>
      <c r="BC174" s="738"/>
      <c r="BD174" s="738"/>
      <c r="BE174" s="738"/>
      <c r="BF174" s="738"/>
      <c r="BG174" s="738"/>
      <c r="BH174" s="738"/>
      <c r="BI174" s="738"/>
      <c r="BJ174" s="738"/>
      <c r="BK174" s="738"/>
      <c r="BL174" s="738"/>
      <c r="BM174" s="738"/>
      <c r="BN174" s="738"/>
      <c r="BO174" s="738"/>
      <c r="BP174" s="738"/>
      <c r="BQ174" s="738"/>
      <c r="BR174" s="738"/>
      <c r="BS174" s="738"/>
      <c r="BT174" s="738"/>
      <c r="BU174" s="738"/>
      <c r="BV174" s="738"/>
      <c r="BW174" s="738"/>
      <c r="BX174" s="738"/>
      <c r="BY174" s="738"/>
      <c r="BZ174" s="738"/>
      <c r="CA174" s="738"/>
      <c r="CB174" s="738"/>
      <c r="CC174" s="738"/>
      <c r="CD174" s="738"/>
      <c r="CE174" s="738"/>
      <c r="CF174" s="738"/>
      <c r="CG174" s="738"/>
      <c r="CH174" s="738"/>
      <c r="CI174" s="738"/>
      <c r="CJ174" s="738"/>
      <c r="CK174" s="738"/>
      <c r="CL174" s="738"/>
      <c r="CM174" s="738"/>
      <c r="CN174" s="738"/>
      <c r="CO174" s="738"/>
      <c r="CP174" s="738"/>
      <c r="CQ174" s="738"/>
      <c r="CR174" s="738"/>
      <c r="CS174" s="738"/>
      <c r="CT174" s="738"/>
      <c r="CU174" s="738"/>
      <c r="CV174" s="738"/>
      <c r="CW174" s="738"/>
      <c r="CX174" s="738"/>
      <c r="CY174" s="738"/>
      <c r="CZ174" s="738"/>
      <c r="DA174" s="738"/>
      <c r="DB174" s="738"/>
      <c r="DC174" s="738"/>
      <c r="DD174" s="738"/>
      <c r="DE174" s="738"/>
      <c r="DF174" s="738"/>
      <c r="DG174" s="738"/>
      <c r="DH174" s="738"/>
      <c r="DI174" s="738"/>
      <c r="DJ174" s="738"/>
      <c r="DK174" s="738"/>
      <c r="DL174" s="738"/>
      <c r="DM174" s="738"/>
      <c r="DN174" s="738"/>
      <c r="DO174" s="738"/>
      <c r="DP174" s="738"/>
      <c r="DQ174" s="738"/>
      <c r="DR174" s="738"/>
      <c r="DS174" s="738"/>
      <c r="DT174" s="738"/>
      <c r="DU174" s="738"/>
      <c r="DV174" s="738"/>
      <c r="DW174" s="738"/>
      <c r="DX174" s="738"/>
      <c r="DY174" s="738"/>
      <c r="DZ174" s="738"/>
      <c r="EA174" s="738"/>
      <c r="EB174" s="738"/>
      <c r="EC174" s="738"/>
      <c r="ED174" s="738"/>
      <c r="EE174" s="738"/>
      <c r="EF174" s="738"/>
      <c r="EG174" s="738"/>
      <c r="EH174" s="738"/>
      <c r="EI174" s="738"/>
      <c r="EJ174" s="738"/>
      <c r="EK174" s="738"/>
      <c r="EL174" s="738"/>
      <c r="EM174" s="738"/>
      <c r="EN174" s="738"/>
      <c r="EO174" s="738"/>
      <c r="EP174" s="738"/>
      <c r="EQ174" s="738"/>
      <c r="ER174" s="738"/>
      <c r="ES174" s="738"/>
      <c r="ET174" s="738"/>
      <c r="EU174" s="738"/>
      <c r="EV174" s="738"/>
      <c r="EW174" s="738"/>
      <c r="EX174" s="738"/>
      <c r="EY174" s="738"/>
      <c r="EZ174" s="738"/>
      <c r="FA174" s="738"/>
      <c r="FB174" s="738"/>
      <c r="FC174" s="738"/>
      <c r="FD174" s="738"/>
      <c r="FE174" s="738"/>
      <c r="FF174" s="738"/>
      <c r="FG174" s="738"/>
      <c r="FH174" s="738"/>
      <c r="FI174" s="738"/>
      <c r="FJ174" s="738"/>
      <c r="FK174" s="738"/>
      <c r="FL174" s="738"/>
      <c r="FM174" s="738"/>
      <c r="FN174" s="902"/>
    </row>
    <row r="175" spans="1:170" s="791" customFormat="1" ht="15" customHeight="1" x14ac:dyDescent="0.25">
      <c r="A175" s="898" t="s">
        <v>1224</v>
      </c>
      <c r="B175" s="822" t="s">
        <v>298</v>
      </c>
      <c r="C175" s="826">
        <f t="shared" si="83"/>
        <v>9.5000000000000001E-2</v>
      </c>
      <c r="D175" s="858">
        <v>10</v>
      </c>
      <c r="E175" s="858" t="s">
        <v>884</v>
      </c>
      <c r="F175" s="862">
        <v>45295</v>
      </c>
      <c r="G175" s="862">
        <v>45295</v>
      </c>
      <c r="H175" s="828">
        <f t="shared" si="84"/>
        <v>48945</v>
      </c>
      <c r="I175" s="901">
        <v>892335</v>
      </c>
      <c r="J175" s="812">
        <f t="shared" si="85"/>
        <v>44616.75</v>
      </c>
      <c r="K175" s="790"/>
      <c r="L175" s="790"/>
      <c r="M175" s="790"/>
      <c r="N175" s="790"/>
      <c r="O175" s="790"/>
      <c r="P175" s="790"/>
      <c r="Q175" s="790"/>
      <c r="R175" s="790"/>
      <c r="S175" s="790"/>
      <c r="T175" s="790"/>
      <c r="U175" s="790"/>
      <c r="V175" s="790"/>
      <c r="W175" s="790"/>
      <c r="X175" s="790"/>
      <c r="Y175" s="790"/>
      <c r="Z175" s="790"/>
      <c r="AA175" s="790"/>
      <c r="AB175" s="790"/>
      <c r="AC175" s="790"/>
      <c r="AD175" s="790"/>
      <c r="AE175" s="790"/>
      <c r="AH175" s="783"/>
      <c r="AI175" s="783"/>
      <c r="AJ175" s="790"/>
      <c r="AK175" s="790"/>
      <c r="AN175" s="783"/>
      <c r="AO175" s="783"/>
      <c r="AP175" s="808">
        <f t="shared" si="114"/>
        <v>0</v>
      </c>
      <c r="AQ175" s="808">
        <f t="shared" si="115"/>
        <v>892335</v>
      </c>
      <c r="AR175" s="809">
        <f t="shared" si="116"/>
        <v>88</v>
      </c>
      <c r="AS175" s="809">
        <f t="shared" si="117"/>
        <v>20438</v>
      </c>
      <c r="AT175" s="808">
        <f t="shared" si="118"/>
        <v>20438</v>
      </c>
      <c r="AU175" s="790">
        <f t="shared" si="119"/>
        <v>871897</v>
      </c>
      <c r="AV175" s="738"/>
      <c r="AW175" s="738"/>
      <c r="AX175" s="738"/>
      <c r="AY175" s="738"/>
      <c r="AZ175" s="738"/>
      <c r="BA175" s="738"/>
      <c r="BB175" s="738"/>
      <c r="BC175" s="738"/>
      <c r="BD175" s="738"/>
      <c r="BE175" s="738"/>
      <c r="BF175" s="738"/>
      <c r="BG175" s="738"/>
      <c r="BH175" s="738"/>
      <c r="BI175" s="738"/>
      <c r="BJ175" s="738"/>
      <c r="BK175" s="738"/>
      <c r="BL175" s="738"/>
      <c r="BM175" s="738"/>
      <c r="BN175" s="738"/>
      <c r="BO175" s="738"/>
      <c r="BP175" s="738"/>
      <c r="BQ175" s="738"/>
      <c r="BR175" s="738"/>
      <c r="BS175" s="738"/>
      <c r="BT175" s="738"/>
      <c r="BU175" s="738"/>
      <c r="BV175" s="738"/>
      <c r="BW175" s="738"/>
      <c r="BX175" s="738"/>
      <c r="BY175" s="738"/>
      <c r="BZ175" s="738"/>
      <c r="CA175" s="738"/>
      <c r="CB175" s="738"/>
      <c r="CC175" s="738"/>
      <c r="CD175" s="738"/>
      <c r="CE175" s="738"/>
      <c r="CF175" s="738"/>
      <c r="CG175" s="738"/>
      <c r="CH175" s="738"/>
      <c r="CI175" s="738"/>
      <c r="CJ175" s="738"/>
      <c r="CK175" s="738"/>
      <c r="CL175" s="738"/>
      <c r="CM175" s="738"/>
      <c r="CN175" s="738"/>
      <c r="CO175" s="738"/>
      <c r="CP175" s="738"/>
      <c r="CQ175" s="738"/>
      <c r="CR175" s="738"/>
      <c r="CS175" s="738"/>
      <c r="CT175" s="738"/>
      <c r="CU175" s="738"/>
      <c r="CV175" s="738"/>
      <c r="CW175" s="738"/>
      <c r="CX175" s="738"/>
      <c r="CY175" s="738"/>
      <c r="CZ175" s="738"/>
      <c r="DA175" s="738"/>
      <c r="DB175" s="738"/>
      <c r="DC175" s="738"/>
      <c r="DD175" s="738"/>
      <c r="DE175" s="738"/>
      <c r="DF175" s="738"/>
      <c r="DG175" s="738"/>
      <c r="DH175" s="738"/>
      <c r="DI175" s="738"/>
      <c r="DJ175" s="738"/>
      <c r="DK175" s="738"/>
      <c r="DL175" s="738"/>
      <c r="DM175" s="738"/>
      <c r="DN175" s="738"/>
      <c r="DO175" s="738"/>
      <c r="DP175" s="738"/>
      <c r="DQ175" s="738"/>
      <c r="DR175" s="738"/>
      <c r="DS175" s="738"/>
      <c r="DT175" s="738"/>
      <c r="DU175" s="738"/>
      <c r="DV175" s="738"/>
      <c r="DW175" s="738"/>
      <c r="DX175" s="738"/>
      <c r="DY175" s="738"/>
      <c r="DZ175" s="738"/>
      <c r="EA175" s="738"/>
      <c r="EB175" s="738"/>
      <c r="EC175" s="738"/>
      <c r="ED175" s="738"/>
      <c r="EE175" s="738"/>
      <c r="EF175" s="738"/>
      <c r="EG175" s="738"/>
      <c r="EH175" s="738"/>
      <c r="EI175" s="738"/>
      <c r="EJ175" s="738"/>
      <c r="EK175" s="738"/>
      <c r="EL175" s="738"/>
      <c r="EM175" s="738"/>
      <c r="EN175" s="738"/>
      <c r="EO175" s="738"/>
      <c r="EP175" s="738"/>
      <c r="EQ175" s="738"/>
      <c r="ER175" s="738"/>
      <c r="ES175" s="738"/>
      <c r="ET175" s="738"/>
      <c r="EU175" s="738"/>
      <c r="EV175" s="738"/>
      <c r="EW175" s="738"/>
      <c r="EX175" s="738"/>
      <c r="EY175" s="738"/>
      <c r="EZ175" s="738"/>
      <c r="FA175" s="738"/>
      <c r="FB175" s="738"/>
      <c r="FC175" s="738"/>
      <c r="FD175" s="738"/>
      <c r="FE175" s="738"/>
      <c r="FF175" s="738"/>
      <c r="FG175" s="738"/>
      <c r="FH175" s="738"/>
      <c r="FI175" s="738"/>
      <c r="FJ175" s="738"/>
      <c r="FK175" s="738"/>
      <c r="FL175" s="738"/>
      <c r="FM175" s="738"/>
      <c r="FN175" s="902"/>
    </row>
    <row r="176" spans="1:170" s="791" customFormat="1" ht="15" customHeight="1" x14ac:dyDescent="0.25">
      <c r="A176" s="898" t="s">
        <v>1224</v>
      </c>
      <c r="B176" s="822" t="s">
        <v>294</v>
      </c>
      <c r="C176" s="826">
        <f t="shared" si="83"/>
        <v>9.5000000000000001E-2</v>
      </c>
      <c r="D176" s="858">
        <v>10</v>
      </c>
      <c r="E176" s="858" t="s">
        <v>884</v>
      </c>
      <c r="F176" s="862">
        <v>45296</v>
      </c>
      <c r="G176" s="862">
        <v>45296</v>
      </c>
      <c r="H176" s="828">
        <f t="shared" si="84"/>
        <v>48946</v>
      </c>
      <c r="I176" s="901">
        <v>397666</v>
      </c>
      <c r="J176" s="812">
        <f t="shared" si="85"/>
        <v>19883.300000000003</v>
      </c>
      <c r="K176" s="790"/>
      <c r="L176" s="790"/>
      <c r="M176" s="790"/>
      <c r="N176" s="790"/>
      <c r="O176" s="790"/>
      <c r="P176" s="790"/>
      <c r="Q176" s="790"/>
      <c r="R176" s="790"/>
      <c r="S176" s="790"/>
      <c r="T176" s="790"/>
      <c r="U176" s="790"/>
      <c r="V176" s="790"/>
      <c r="W176" s="790"/>
      <c r="X176" s="790"/>
      <c r="Y176" s="790"/>
      <c r="Z176" s="790"/>
      <c r="AA176" s="790"/>
      <c r="AB176" s="790"/>
      <c r="AC176" s="790"/>
      <c r="AD176" s="790"/>
      <c r="AE176" s="790"/>
      <c r="AH176" s="783"/>
      <c r="AI176" s="783"/>
      <c r="AJ176" s="790"/>
      <c r="AK176" s="790"/>
      <c r="AN176" s="783"/>
      <c r="AO176" s="783"/>
      <c r="AP176" s="808">
        <f t="shared" si="114"/>
        <v>0</v>
      </c>
      <c r="AQ176" s="808">
        <f t="shared" si="115"/>
        <v>397666</v>
      </c>
      <c r="AR176" s="809">
        <f t="shared" si="116"/>
        <v>87</v>
      </c>
      <c r="AS176" s="809">
        <f t="shared" si="117"/>
        <v>9005</v>
      </c>
      <c r="AT176" s="808">
        <f t="shared" si="118"/>
        <v>9005</v>
      </c>
      <c r="AU176" s="790">
        <f t="shared" si="119"/>
        <v>388661</v>
      </c>
      <c r="AV176" s="738"/>
      <c r="AW176" s="738"/>
      <c r="AX176" s="738"/>
      <c r="AY176" s="738"/>
      <c r="AZ176" s="738"/>
      <c r="BA176" s="738"/>
      <c r="BB176" s="738"/>
      <c r="BC176" s="738"/>
      <c r="BD176" s="738"/>
      <c r="BE176" s="738"/>
      <c r="BF176" s="738"/>
      <c r="BG176" s="738"/>
      <c r="BH176" s="738"/>
      <c r="BI176" s="738"/>
      <c r="BJ176" s="738"/>
      <c r="BK176" s="738"/>
      <c r="BL176" s="738"/>
      <c r="BM176" s="738"/>
      <c r="BN176" s="738"/>
      <c r="BO176" s="738"/>
      <c r="BP176" s="738"/>
      <c r="BQ176" s="738"/>
      <c r="BR176" s="738"/>
      <c r="BS176" s="738"/>
      <c r="BT176" s="738"/>
      <c r="BU176" s="738"/>
      <c r="BV176" s="738"/>
      <c r="BW176" s="738"/>
      <c r="BX176" s="738"/>
      <c r="BY176" s="738"/>
      <c r="BZ176" s="738"/>
      <c r="CA176" s="738"/>
      <c r="CB176" s="738"/>
      <c r="CC176" s="738"/>
      <c r="CD176" s="738"/>
      <c r="CE176" s="738"/>
      <c r="CF176" s="738"/>
      <c r="CG176" s="738"/>
      <c r="CH176" s="738"/>
      <c r="CI176" s="738"/>
      <c r="CJ176" s="738"/>
      <c r="CK176" s="738"/>
      <c r="CL176" s="738"/>
      <c r="CM176" s="738"/>
      <c r="CN176" s="738"/>
      <c r="CO176" s="738"/>
      <c r="CP176" s="738"/>
      <c r="CQ176" s="738"/>
      <c r="CR176" s="738"/>
      <c r="CS176" s="738"/>
      <c r="CT176" s="738"/>
      <c r="CU176" s="738"/>
      <c r="CV176" s="738"/>
      <c r="CW176" s="738"/>
      <c r="CX176" s="738"/>
      <c r="CY176" s="738"/>
      <c r="CZ176" s="738"/>
      <c r="DA176" s="738"/>
      <c r="DB176" s="738"/>
      <c r="DC176" s="738"/>
      <c r="DD176" s="738"/>
      <c r="DE176" s="738"/>
      <c r="DF176" s="738"/>
      <c r="DG176" s="738"/>
      <c r="DH176" s="738"/>
      <c r="DI176" s="738"/>
      <c r="DJ176" s="738"/>
      <c r="DK176" s="738"/>
      <c r="DL176" s="738"/>
      <c r="DM176" s="738"/>
      <c r="DN176" s="738"/>
      <c r="DO176" s="738"/>
      <c r="DP176" s="738"/>
      <c r="DQ176" s="738"/>
      <c r="DR176" s="738"/>
      <c r="DS176" s="738"/>
      <c r="DT176" s="738"/>
      <c r="DU176" s="738"/>
      <c r="DV176" s="738"/>
      <c r="DW176" s="738"/>
      <c r="DX176" s="738"/>
      <c r="DY176" s="738"/>
      <c r="DZ176" s="738"/>
      <c r="EA176" s="738"/>
      <c r="EB176" s="738"/>
      <c r="EC176" s="738"/>
      <c r="ED176" s="738"/>
      <c r="EE176" s="738"/>
      <c r="EF176" s="738"/>
      <c r="EG176" s="738"/>
      <c r="EH176" s="738"/>
      <c r="EI176" s="738"/>
      <c r="EJ176" s="738"/>
      <c r="EK176" s="738"/>
      <c r="EL176" s="738"/>
      <c r="EM176" s="738"/>
      <c r="EN176" s="738"/>
      <c r="EO176" s="738"/>
      <c r="EP176" s="738"/>
      <c r="EQ176" s="738"/>
      <c r="ER176" s="738"/>
      <c r="ES176" s="738"/>
      <c r="ET176" s="738"/>
      <c r="EU176" s="738"/>
      <c r="EV176" s="738"/>
      <c r="EW176" s="738"/>
      <c r="EX176" s="738"/>
      <c r="EY176" s="738"/>
      <c r="EZ176" s="738"/>
      <c r="FA176" s="738"/>
      <c r="FB176" s="738"/>
      <c r="FC176" s="738"/>
      <c r="FD176" s="738"/>
      <c r="FE176" s="738"/>
      <c r="FF176" s="738"/>
      <c r="FG176" s="738"/>
      <c r="FH176" s="738"/>
      <c r="FI176" s="738"/>
      <c r="FJ176" s="738"/>
      <c r="FK176" s="738"/>
      <c r="FL176" s="738"/>
      <c r="FM176" s="738"/>
      <c r="FN176" s="902"/>
    </row>
    <row r="177" spans="1:270" s="791" customFormat="1" ht="15" customHeight="1" x14ac:dyDescent="0.25">
      <c r="A177" s="898" t="s">
        <v>1224</v>
      </c>
      <c r="B177" s="822" t="s">
        <v>294</v>
      </c>
      <c r="C177" s="826">
        <f t="shared" si="83"/>
        <v>9.5000000000000001E-2</v>
      </c>
      <c r="D177" s="858">
        <v>10</v>
      </c>
      <c r="E177" s="858" t="s">
        <v>884</v>
      </c>
      <c r="F177" s="862">
        <v>45300</v>
      </c>
      <c r="G177" s="862">
        <v>45300</v>
      </c>
      <c r="H177" s="828">
        <f t="shared" si="84"/>
        <v>48950</v>
      </c>
      <c r="I177" s="901">
        <v>295000</v>
      </c>
      <c r="J177" s="812">
        <f t="shared" si="85"/>
        <v>14750</v>
      </c>
      <c r="K177" s="790"/>
      <c r="L177" s="790"/>
      <c r="M177" s="790"/>
      <c r="N177" s="790"/>
      <c r="O177" s="790"/>
      <c r="P177" s="790"/>
      <c r="Q177" s="790"/>
      <c r="R177" s="790"/>
      <c r="S177" s="790"/>
      <c r="T177" s="790"/>
      <c r="U177" s="790"/>
      <c r="V177" s="790"/>
      <c r="W177" s="790"/>
      <c r="X177" s="790"/>
      <c r="Y177" s="790"/>
      <c r="Z177" s="790"/>
      <c r="AA177" s="790"/>
      <c r="AB177" s="790"/>
      <c r="AC177" s="790"/>
      <c r="AD177" s="790"/>
      <c r="AE177" s="790"/>
      <c r="AH177" s="783"/>
      <c r="AI177" s="783"/>
      <c r="AJ177" s="790"/>
      <c r="AK177" s="790"/>
      <c r="AN177" s="783"/>
      <c r="AO177" s="783"/>
      <c r="AP177" s="808">
        <f t="shared" si="114"/>
        <v>0</v>
      </c>
      <c r="AQ177" s="808">
        <f t="shared" si="115"/>
        <v>295000</v>
      </c>
      <c r="AR177" s="809">
        <f t="shared" si="116"/>
        <v>83</v>
      </c>
      <c r="AS177" s="809">
        <f t="shared" si="117"/>
        <v>6373</v>
      </c>
      <c r="AT177" s="808">
        <f t="shared" si="118"/>
        <v>6373</v>
      </c>
      <c r="AU177" s="790">
        <f t="shared" si="119"/>
        <v>288627</v>
      </c>
      <c r="AV177" s="738"/>
      <c r="AW177" s="738"/>
      <c r="AX177" s="738"/>
      <c r="AY177" s="738"/>
      <c r="AZ177" s="738"/>
      <c r="BA177" s="738"/>
      <c r="BB177" s="738"/>
      <c r="BC177" s="738"/>
      <c r="BD177" s="738"/>
      <c r="BE177" s="738"/>
      <c r="BF177" s="738"/>
      <c r="BG177" s="738"/>
      <c r="BH177" s="738"/>
      <c r="BI177" s="738"/>
      <c r="BJ177" s="738"/>
      <c r="BK177" s="738"/>
      <c r="BL177" s="738"/>
      <c r="BM177" s="738"/>
      <c r="BN177" s="738"/>
      <c r="BO177" s="738"/>
      <c r="BP177" s="738"/>
      <c r="BQ177" s="738"/>
      <c r="BR177" s="738"/>
      <c r="BS177" s="738"/>
      <c r="BT177" s="738"/>
      <c r="BU177" s="738"/>
      <c r="BV177" s="738"/>
      <c r="BW177" s="738"/>
      <c r="BX177" s="738"/>
      <c r="BY177" s="738"/>
      <c r="BZ177" s="738"/>
      <c r="CA177" s="738"/>
      <c r="CB177" s="738"/>
      <c r="CC177" s="738"/>
      <c r="CD177" s="738"/>
      <c r="CE177" s="738"/>
      <c r="CF177" s="738"/>
      <c r="CG177" s="738"/>
      <c r="CH177" s="738"/>
      <c r="CI177" s="738"/>
      <c r="CJ177" s="738"/>
      <c r="CK177" s="738"/>
      <c r="CL177" s="738"/>
      <c r="CM177" s="738"/>
      <c r="CN177" s="738"/>
      <c r="CO177" s="738"/>
      <c r="CP177" s="738"/>
      <c r="CQ177" s="738"/>
      <c r="CR177" s="738"/>
      <c r="CS177" s="738"/>
      <c r="CT177" s="738"/>
      <c r="CU177" s="738"/>
      <c r="CV177" s="738"/>
      <c r="CW177" s="738"/>
      <c r="CX177" s="738"/>
      <c r="CY177" s="738"/>
      <c r="CZ177" s="738"/>
      <c r="DA177" s="738"/>
      <c r="DB177" s="738"/>
      <c r="DC177" s="738"/>
      <c r="DD177" s="738"/>
      <c r="DE177" s="738"/>
      <c r="DF177" s="738"/>
      <c r="DG177" s="738"/>
      <c r="DH177" s="738"/>
      <c r="DI177" s="738"/>
      <c r="DJ177" s="738"/>
      <c r="DK177" s="738"/>
      <c r="DL177" s="738"/>
      <c r="DM177" s="738"/>
      <c r="DN177" s="738"/>
      <c r="DO177" s="738"/>
      <c r="DP177" s="738"/>
      <c r="DQ177" s="738"/>
      <c r="DR177" s="738"/>
      <c r="DS177" s="738"/>
      <c r="DT177" s="738"/>
      <c r="DU177" s="738"/>
      <c r="DV177" s="738"/>
      <c r="DW177" s="738"/>
      <c r="DX177" s="738"/>
      <c r="DY177" s="738"/>
      <c r="DZ177" s="738"/>
      <c r="EA177" s="738"/>
      <c r="EB177" s="738"/>
      <c r="EC177" s="738"/>
      <c r="ED177" s="738"/>
      <c r="EE177" s="738"/>
      <c r="EF177" s="738"/>
      <c r="EG177" s="738"/>
      <c r="EH177" s="738"/>
      <c r="EI177" s="738"/>
      <c r="EJ177" s="738"/>
      <c r="EK177" s="738"/>
      <c r="EL177" s="738"/>
      <c r="EM177" s="738"/>
      <c r="EN177" s="738"/>
      <c r="EO177" s="738"/>
      <c r="EP177" s="738"/>
      <c r="EQ177" s="738"/>
      <c r="ER177" s="738"/>
      <c r="ES177" s="738"/>
      <c r="ET177" s="738"/>
      <c r="EU177" s="738"/>
      <c r="EV177" s="738"/>
      <c r="EW177" s="738"/>
      <c r="EX177" s="738"/>
      <c r="EY177" s="738"/>
      <c r="EZ177" s="738"/>
      <c r="FA177" s="738"/>
      <c r="FB177" s="738"/>
      <c r="FC177" s="738"/>
      <c r="FD177" s="738"/>
      <c r="FE177" s="738"/>
      <c r="FF177" s="738"/>
      <c r="FG177" s="738"/>
      <c r="FH177" s="738"/>
      <c r="FI177" s="738"/>
      <c r="FJ177" s="738"/>
      <c r="FK177" s="738"/>
      <c r="FL177" s="738"/>
      <c r="FM177" s="738"/>
      <c r="FN177" s="902"/>
    </row>
    <row r="178" spans="1:270" s="791" customFormat="1" ht="15" customHeight="1" x14ac:dyDescent="0.25">
      <c r="A178" s="898" t="s">
        <v>1224</v>
      </c>
      <c r="B178" s="822" t="s">
        <v>294</v>
      </c>
      <c r="C178" s="826">
        <f t="shared" si="83"/>
        <v>9.5000000000000001E-2</v>
      </c>
      <c r="D178" s="858">
        <v>10</v>
      </c>
      <c r="E178" s="858" t="s">
        <v>884</v>
      </c>
      <c r="F178" s="862">
        <v>45304</v>
      </c>
      <c r="G178" s="862">
        <v>45304</v>
      </c>
      <c r="H178" s="828">
        <f t="shared" si="84"/>
        <v>48954</v>
      </c>
      <c r="I178" s="901">
        <v>272402</v>
      </c>
      <c r="J178" s="812">
        <f t="shared" si="85"/>
        <v>13620.1</v>
      </c>
      <c r="K178" s="790"/>
      <c r="L178" s="790"/>
      <c r="M178" s="790"/>
      <c r="N178" s="790"/>
      <c r="O178" s="790"/>
      <c r="P178" s="790"/>
      <c r="Q178" s="790"/>
      <c r="R178" s="790"/>
      <c r="S178" s="790"/>
      <c r="T178" s="790"/>
      <c r="U178" s="790"/>
      <c r="V178" s="790"/>
      <c r="W178" s="790"/>
      <c r="X178" s="790"/>
      <c r="Y178" s="790"/>
      <c r="Z178" s="790"/>
      <c r="AA178" s="790"/>
      <c r="AB178" s="790"/>
      <c r="AC178" s="790"/>
      <c r="AD178" s="790"/>
      <c r="AE178" s="790"/>
      <c r="AH178" s="783"/>
      <c r="AI178" s="783"/>
      <c r="AJ178" s="790"/>
      <c r="AK178" s="790"/>
      <c r="AN178" s="783"/>
      <c r="AO178" s="783"/>
      <c r="AP178" s="808">
        <f t="shared" si="114"/>
        <v>0</v>
      </c>
      <c r="AQ178" s="808">
        <f t="shared" si="115"/>
        <v>272402</v>
      </c>
      <c r="AR178" s="809">
        <f t="shared" si="116"/>
        <v>79</v>
      </c>
      <c r="AS178" s="809">
        <f t="shared" si="117"/>
        <v>5601</v>
      </c>
      <c r="AT178" s="808">
        <f t="shared" si="118"/>
        <v>5601</v>
      </c>
      <c r="AU178" s="790">
        <f t="shared" si="119"/>
        <v>266801</v>
      </c>
      <c r="AV178" s="738"/>
      <c r="AW178" s="738"/>
      <c r="AX178" s="738"/>
      <c r="AY178" s="738"/>
      <c r="AZ178" s="738"/>
      <c r="BA178" s="738"/>
      <c r="BB178" s="738"/>
      <c r="BC178" s="738"/>
      <c r="BD178" s="738"/>
      <c r="BE178" s="738"/>
      <c r="BF178" s="738"/>
      <c r="BG178" s="738"/>
      <c r="BH178" s="738"/>
      <c r="BI178" s="738"/>
      <c r="BJ178" s="738"/>
      <c r="BK178" s="738"/>
      <c r="BL178" s="738"/>
      <c r="BM178" s="738"/>
      <c r="BN178" s="738"/>
      <c r="BO178" s="738"/>
      <c r="BP178" s="738"/>
      <c r="BQ178" s="738"/>
      <c r="BR178" s="738"/>
      <c r="BS178" s="738"/>
      <c r="BT178" s="738"/>
      <c r="BU178" s="738"/>
      <c r="BV178" s="738"/>
      <c r="BW178" s="738"/>
      <c r="BX178" s="738"/>
      <c r="BY178" s="738"/>
      <c r="BZ178" s="738"/>
      <c r="CA178" s="738"/>
      <c r="CB178" s="738"/>
      <c r="CC178" s="738"/>
      <c r="CD178" s="738"/>
      <c r="CE178" s="738"/>
      <c r="CF178" s="738"/>
      <c r="CG178" s="738"/>
      <c r="CH178" s="738"/>
      <c r="CI178" s="738"/>
      <c r="CJ178" s="738"/>
      <c r="CK178" s="738"/>
      <c r="CL178" s="738"/>
      <c r="CM178" s="738"/>
      <c r="CN178" s="738"/>
      <c r="CO178" s="738"/>
      <c r="CP178" s="738"/>
      <c r="CQ178" s="738"/>
      <c r="CR178" s="738"/>
      <c r="CS178" s="738"/>
      <c r="CT178" s="738"/>
      <c r="CU178" s="738"/>
      <c r="CV178" s="738"/>
      <c r="CW178" s="738"/>
      <c r="CX178" s="738"/>
      <c r="CY178" s="738"/>
      <c r="CZ178" s="738"/>
      <c r="DA178" s="738"/>
      <c r="DB178" s="738"/>
      <c r="DC178" s="738"/>
      <c r="DD178" s="738"/>
      <c r="DE178" s="738"/>
      <c r="DF178" s="738"/>
      <c r="DG178" s="738"/>
      <c r="DH178" s="738"/>
      <c r="DI178" s="738"/>
      <c r="DJ178" s="738"/>
      <c r="DK178" s="738"/>
      <c r="DL178" s="738"/>
      <c r="DM178" s="738"/>
      <c r="DN178" s="738"/>
      <c r="DO178" s="738"/>
      <c r="DP178" s="738"/>
      <c r="DQ178" s="738"/>
      <c r="DR178" s="738"/>
      <c r="DS178" s="738"/>
      <c r="DT178" s="738"/>
      <c r="DU178" s="738"/>
      <c r="DV178" s="738"/>
      <c r="DW178" s="738"/>
      <c r="DX178" s="738"/>
      <c r="DY178" s="738"/>
      <c r="DZ178" s="738"/>
      <c r="EA178" s="738"/>
      <c r="EB178" s="738"/>
      <c r="EC178" s="738"/>
      <c r="ED178" s="738"/>
      <c r="EE178" s="738"/>
      <c r="EF178" s="738"/>
      <c r="EG178" s="738"/>
      <c r="EH178" s="738"/>
      <c r="EI178" s="738"/>
      <c r="EJ178" s="738"/>
      <c r="EK178" s="738"/>
      <c r="EL178" s="738"/>
      <c r="EM178" s="738"/>
      <c r="EN178" s="738"/>
      <c r="EO178" s="738"/>
      <c r="EP178" s="738"/>
      <c r="EQ178" s="738"/>
      <c r="ER178" s="738"/>
      <c r="ES178" s="738"/>
      <c r="ET178" s="738"/>
      <c r="EU178" s="738"/>
      <c r="EV178" s="738"/>
      <c r="EW178" s="738"/>
      <c r="EX178" s="738"/>
      <c r="EY178" s="738"/>
      <c r="EZ178" s="738"/>
      <c r="FA178" s="738"/>
      <c r="FB178" s="738"/>
      <c r="FC178" s="738"/>
      <c r="FD178" s="738"/>
      <c r="FE178" s="738"/>
      <c r="FF178" s="738"/>
      <c r="FG178" s="738"/>
      <c r="FH178" s="738"/>
      <c r="FI178" s="738"/>
      <c r="FJ178" s="738"/>
      <c r="FK178" s="738"/>
      <c r="FL178" s="738"/>
      <c r="FM178" s="738"/>
      <c r="FN178" s="903"/>
      <c r="FO178" s="809"/>
      <c r="FP178" s="809"/>
      <c r="FQ178" s="809"/>
      <c r="FR178" s="809"/>
      <c r="FS178" s="809"/>
      <c r="FT178" s="809"/>
      <c r="FU178" s="809"/>
      <c r="FV178" s="809"/>
      <c r="FW178" s="809"/>
      <c r="FX178" s="809"/>
      <c r="FY178" s="809"/>
      <c r="FZ178" s="809"/>
      <c r="GA178" s="809"/>
      <c r="GB178" s="809"/>
      <c r="GC178" s="809"/>
      <c r="GD178" s="809"/>
      <c r="GE178" s="809"/>
      <c r="GF178" s="809"/>
      <c r="GG178" s="809"/>
      <c r="GH178" s="809"/>
      <c r="GI178" s="809"/>
      <c r="GJ178" s="809"/>
      <c r="GK178" s="809"/>
      <c r="GL178" s="809"/>
      <c r="GM178" s="809"/>
      <c r="GN178" s="809"/>
      <c r="GO178" s="809"/>
      <c r="GP178" s="809"/>
      <c r="GQ178" s="809"/>
      <c r="GR178" s="809"/>
      <c r="GS178" s="809"/>
      <c r="GT178" s="809"/>
      <c r="GU178" s="809"/>
      <c r="GV178" s="809"/>
      <c r="GW178" s="809"/>
      <c r="GX178" s="809"/>
      <c r="GY178" s="809"/>
      <c r="GZ178" s="809"/>
      <c r="HA178" s="809"/>
      <c r="HB178" s="809"/>
      <c r="HC178" s="809"/>
      <c r="HD178" s="809"/>
      <c r="HE178" s="809"/>
      <c r="HF178" s="809"/>
      <c r="HG178" s="809"/>
      <c r="HH178" s="809"/>
      <c r="HI178" s="809"/>
      <c r="HJ178" s="809"/>
      <c r="HK178" s="809"/>
      <c r="HL178" s="809"/>
      <c r="HM178" s="809"/>
      <c r="HN178" s="809"/>
      <c r="HO178" s="809"/>
      <c r="HP178" s="809"/>
      <c r="HQ178" s="809"/>
      <c r="HR178" s="809"/>
      <c r="HS178" s="809"/>
      <c r="HT178" s="809"/>
      <c r="HU178" s="809"/>
      <c r="HV178" s="809"/>
      <c r="HW178" s="809"/>
      <c r="HX178" s="809"/>
      <c r="HY178" s="809"/>
      <c r="HZ178" s="809"/>
      <c r="IA178" s="809"/>
      <c r="IB178" s="809"/>
      <c r="IC178" s="809"/>
      <c r="ID178" s="809"/>
      <c r="IE178" s="809"/>
      <c r="IF178" s="809"/>
      <c r="IG178" s="809"/>
      <c r="IH178" s="809"/>
      <c r="II178" s="809"/>
      <c r="IJ178" s="809"/>
      <c r="IK178" s="809"/>
      <c r="IL178" s="809"/>
      <c r="IM178" s="809"/>
      <c r="IN178" s="809"/>
      <c r="IO178" s="809"/>
      <c r="IP178" s="809"/>
      <c r="IQ178" s="809"/>
      <c r="IR178" s="809"/>
      <c r="IS178" s="809"/>
      <c r="IT178" s="809"/>
      <c r="IU178" s="809"/>
      <c r="IV178" s="809"/>
      <c r="IW178" s="809"/>
      <c r="IX178" s="809"/>
      <c r="IY178" s="809"/>
      <c r="IZ178" s="809"/>
      <c r="JA178" s="809"/>
      <c r="JB178" s="809"/>
      <c r="JC178" s="809"/>
      <c r="JD178" s="809"/>
      <c r="JE178" s="809"/>
      <c r="JF178" s="809"/>
      <c r="JG178" s="809"/>
      <c r="JH178" s="809"/>
      <c r="JI178" s="809"/>
      <c r="JJ178" s="809"/>
    </row>
    <row r="179" spans="1:270" s="791" customFormat="1" ht="15" customHeight="1" x14ac:dyDescent="0.25">
      <c r="A179" s="898" t="s">
        <v>1224</v>
      </c>
      <c r="B179" s="822" t="s">
        <v>298</v>
      </c>
      <c r="C179" s="826">
        <f t="shared" si="83"/>
        <v>9.5000000000000001E-2</v>
      </c>
      <c r="D179" s="858">
        <v>10</v>
      </c>
      <c r="E179" s="858" t="s">
        <v>884</v>
      </c>
      <c r="F179" s="862">
        <v>45310</v>
      </c>
      <c r="G179" s="862">
        <v>45310</v>
      </c>
      <c r="H179" s="828">
        <f t="shared" si="84"/>
        <v>48960</v>
      </c>
      <c r="I179" s="901">
        <v>62000</v>
      </c>
      <c r="J179" s="812">
        <f t="shared" si="85"/>
        <v>3100</v>
      </c>
      <c r="K179" s="790"/>
      <c r="L179" s="790"/>
      <c r="M179" s="790"/>
      <c r="N179" s="790"/>
      <c r="O179" s="790"/>
      <c r="P179" s="790"/>
      <c r="Q179" s="790"/>
      <c r="R179" s="790"/>
      <c r="S179" s="790"/>
      <c r="T179" s="790"/>
      <c r="U179" s="790"/>
      <c r="V179" s="790"/>
      <c r="W179" s="790"/>
      <c r="X179" s="790"/>
      <c r="Y179" s="790"/>
      <c r="Z179" s="790"/>
      <c r="AA179" s="790"/>
      <c r="AB179" s="790"/>
      <c r="AC179" s="790"/>
      <c r="AD179" s="790"/>
      <c r="AE179" s="790"/>
      <c r="AH179" s="783"/>
      <c r="AI179" s="783"/>
      <c r="AJ179" s="790"/>
      <c r="AK179" s="790"/>
      <c r="AN179" s="783"/>
      <c r="AO179" s="783"/>
      <c r="AP179" s="808">
        <f t="shared" si="114"/>
        <v>0</v>
      </c>
      <c r="AQ179" s="808">
        <f t="shared" si="115"/>
        <v>62000</v>
      </c>
      <c r="AR179" s="809">
        <f t="shared" si="116"/>
        <v>73</v>
      </c>
      <c r="AS179" s="809">
        <f t="shared" si="117"/>
        <v>1178</v>
      </c>
      <c r="AT179" s="808">
        <f t="shared" si="118"/>
        <v>1178</v>
      </c>
      <c r="AU179" s="790">
        <f t="shared" si="119"/>
        <v>60822</v>
      </c>
      <c r="AV179" s="738"/>
      <c r="AW179" s="738"/>
      <c r="AX179" s="738"/>
      <c r="AY179" s="738"/>
      <c r="AZ179" s="738"/>
      <c r="BA179" s="738"/>
      <c r="BB179" s="738"/>
      <c r="BC179" s="738"/>
      <c r="BD179" s="738"/>
      <c r="BE179" s="738"/>
      <c r="BF179" s="738"/>
      <c r="BG179" s="738"/>
      <c r="BH179" s="738"/>
      <c r="BI179" s="738"/>
      <c r="BJ179" s="738"/>
      <c r="BK179" s="738"/>
      <c r="BL179" s="738"/>
      <c r="BM179" s="738"/>
      <c r="BN179" s="738"/>
      <c r="BO179" s="738"/>
      <c r="BP179" s="738"/>
      <c r="BQ179" s="738"/>
      <c r="BR179" s="738"/>
      <c r="BS179" s="738"/>
      <c r="BT179" s="738"/>
      <c r="BU179" s="738"/>
      <c r="BV179" s="738"/>
      <c r="BW179" s="738"/>
      <c r="BX179" s="738"/>
      <c r="BY179" s="738"/>
      <c r="BZ179" s="738"/>
      <c r="CA179" s="738"/>
      <c r="CB179" s="738"/>
      <c r="CC179" s="738"/>
      <c r="CD179" s="738"/>
      <c r="CE179" s="738"/>
      <c r="CF179" s="738"/>
      <c r="CG179" s="738"/>
      <c r="CH179" s="738"/>
      <c r="CI179" s="738"/>
      <c r="CJ179" s="738"/>
      <c r="CK179" s="738"/>
      <c r="CL179" s="738"/>
      <c r="CM179" s="738"/>
      <c r="CN179" s="738"/>
      <c r="CO179" s="738"/>
      <c r="CP179" s="738"/>
      <c r="CQ179" s="738"/>
      <c r="CR179" s="738"/>
      <c r="CS179" s="738"/>
      <c r="CT179" s="738"/>
      <c r="CU179" s="738"/>
      <c r="CV179" s="738"/>
      <c r="CW179" s="738"/>
      <c r="CX179" s="738"/>
      <c r="CY179" s="738"/>
      <c r="CZ179" s="738"/>
      <c r="DA179" s="738"/>
      <c r="DB179" s="738"/>
      <c r="DC179" s="738"/>
      <c r="DD179" s="738"/>
      <c r="DE179" s="738"/>
      <c r="DF179" s="738"/>
      <c r="DG179" s="738"/>
      <c r="DH179" s="738"/>
      <c r="DI179" s="738"/>
      <c r="DJ179" s="738"/>
      <c r="DK179" s="738"/>
      <c r="DL179" s="738"/>
      <c r="DM179" s="738"/>
      <c r="DN179" s="738"/>
      <c r="DO179" s="738"/>
      <c r="DP179" s="738"/>
      <c r="DQ179" s="738"/>
      <c r="DR179" s="738"/>
      <c r="DS179" s="738"/>
      <c r="DT179" s="738"/>
      <c r="DU179" s="738"/>
      <c r="DV179" s="738"/>
      <c r="DW179" s="738"/>
      <c r="DX179" s="738"/>
      <c r="DY179" s="738"/>
      <c r="DZ179" s="738"/>
      <c r="EA179" s="738"/>
      <c r="EB179" s="738"/>
      <c r="EC179" s="738"/>
      <c r="ED179" s="738"/>
      <c r="EE179" s="738"/>
      <c r="EF179" s="738"/>
      <c r="EG179" s="738"/>
      <c r="EH179" s="738"/>
      <c r="EI179" s="738"/>
      <c r="EJ179" s="738"/>
      <c r="EK179" s="738"/>
      <c r="EL179" s="738"/>
      <c r="EM179" s="738"/>
      <c r="EN179" s="738"/>
      <c r="EO179" s="738"/>
      <c r="EP179" s="738"/>
      <c r="EQ179" s="738"/>
      <c r="ER179" s="738"/>
      <c r="ES179" s="738"/>
      <c r="ET179" s="738"/>
      <c r="EU179" s="738"/>
      <c r="EV179" s="738"/>
      <c r="EW179" s="738"/>
      <c r="EX179" s="738"/>
      <c r="EY179" s="738"/>
      <c r="EZ179" s="738"/>
      <c r="FA179" s="738"/>
      <c r="FB179" s="738"/>
      <c r="FC179" s="738"/>
      <c r="FD179" s="738"/>
      <c r="FE179" s="738"/>
      <c r="FF179" s="738"/>
      <c r="FG179" s="738"/>
      <c r="FH179" s="738"/>
      <c r="FI179" s="738"/>
      <c r="FJ179" s="738"/>
      <c r="FK179" s="738"/>
      <c r="FL179" s="738"/>
      <c r="FM179" s="738"/>
      <c r="FN179" s="738"/>
      <c r="FO179" s="738"/>
      <c r="FP179" s="738"/>
      <c r="FQ179" s="738"/>
      <c r="FR179" s="738"/>
      <c r="FS179" s="738"/>
      <c r="FT179" s="738"/>
      <c r="FU179" s="738"/>
      <c r="FV179" s="738"/>
      <c r="FW179" s="738"/>
      <c r="FX179" s="738"/>
      <c r="FY179" s="738"/>
      <c r="FZ179" s="738"/>
      <c r="GA179" s="738"/>
      <c r="GB179" s="738"/>
      <c r="GC179" s="738"/>
      <c r="GD179" s="738"/>
      <c r="GE179" s="738"/>
      <c r="GF179" s="738"/>
      <c r="GG179" s="738"/>
      <c r="GH179" s="738"/>
      <c r="GI179" s="738"/>
      <c r="GJ179" s="738"/>
      <c r="GK179" s="738"/>
      <c r="GL179" s="738"/>
      <c r="GM179" s="738"/>
      <c r="GN179" s="738"/>
      <c r="GO179" s="738"/>
      <c r="GP179" s="738"/>
      <c r="GQ179" s="738"/>
      <c r="GR179" s="738"/>
      <c r="GS179" s="738"/>
      <c r="GT179" s="738"/>
      <c r="GU179" s="738"/>
      <c r="GV179" s="738"/>
      <c r="GW179" s="738"/>
      <c r="GX179" s="738"/>
      <c r="GY179" s="738"/>
      <c r="GZ179" s="738"/>
      <c r="HA179" s="738"/>
      <c r="HB179" s="738"/>
      <c r="HC179" s="738"/>
      <c r="HD179" s="738"/>
      <c r="HE179" s="738"/>
      <c r="HF179" s="738"/>
      <c r="HG179" s="738"/>
      <c r="HH179" s="738"/>
      <c r="HI179" s="738"/>
      <c r="HJ179" s="738"/>
      <c r="HK179" s="738"/>
      <c r="HL179" s="738"/>
      <c r="HM179" s="738"/>
      <c r="HN179" s="738"/>
      <c r="HO179" s="738"/>
      <c r="HP179" s="738"/>
      <c r="HQ179" s="738"/>
      <c r="HR179" s="738"/>
      <c r="HS179" s="738"/>
      <c r="HT179" s="738"/>
      <c r="HU179" s="738"/>
      <c r="HV179" s="738"/>
      <c r="HW179" s="738"/>
      <c r="HX179" s="738"/>
      <c r="HY179" s="738"/>
      <c r="HZ179" s="738"/>
      <c r="IA179" s="738"/>
      <c r="IB179" s="738"/>
      <c r="IC179" s="738"/>
      <c r="ID179" s="738"/>
      <c r="IE179" s="738"/>
      <c r="IF179" s="738"/>
      <c r="IG179" s="738"/>
      <c r="IH179" s="738"/>
      <c r="II179" s="738"/>
      <c r="IJ179" s="738"/>
      <c r="IK179" s="738"/>
      <c r="IL179" s="738"/>
      <c r="IM179" s="738"/>
      <c r="IN179" s="738"/>
      <c r="IO179" s="738"/>
      <c r="IP179" s="738"/>
      <c r="IQ179" s="738"/>
      <c r="IR179" s="738"/>
      <c r="IS179" s="738"/>
      <c r="IT179" s="738"/>
      <c r="IU179" s="738"/>
      <c r="IV179" s="738"/>
      <c r="IW179" s="738"/>
      <c r="IX179" s="738"/>
      <c r="IY179" s="738"/>
      <c r="IZ179" s="738"/>
      <c r="JA179" s="738"/>
      <c r="JB179" s="738"/>
      <c r="JC179" s="738"/>
      <c r="JD179" s="738"/>
      <c r="JE179" s="738"/>
      <c r="JF179" s="738"/>
      <c r="JG179" s="738"/>
      <c r="JH179" s="738"/>
      <c r="JI179" s="738"/>
      <c r="JJ179" s="738"/>
    </row>
    <row r="180" spans="1:270" s="791" customFormat="1" ht="15" customHeight="1" x14ac:dyDescent="0.25">
      <c r="A180" s="898" t="s">
        <v>1224</v>
      </c>
      <c r="B180" s="822" t="s">
        <v>298</v>
      </c>
      <c r="C180" s="826">
        <f t="shared" si="83"/>
        <v>9.5000000000000001E-2</v>
      </c>
      <c r="D180" s="858">
        <v>10</v>
      </c>
      <c r="E180" s="858" t="s">
        <v>884</v>
      </c>
      <c r="F180" s="862">
        <v>45316</v>
      </c>
      <c r="G180" s="862">
        <v>45316</v>
      </c>
      <c r="H180" s="828">
        <f t="shared" si="84"/>
        <v>48966</v>
      </c>
      <c r="I180" s="901">
        <v>940000</v>
      </c>
      <c r="J180" s="812">
        <f t="shared" si="85"/>
        <v>47000</v>
      </c>
      <c r="K180" s="790"/>
      <c r="L180" s="790"/>
      <c r="M180" s="790"/>
      <c r="N180" s="790"/>
      <c r="O180" s="790"/>
      <c r="P180" s="790"/>
      <c r="Q180" s="790"/>
      <c r="R180" s="790"/>
      <c r="S180" s="790"/>
      <c r="T180" s="790"/>
      <c r="U180" s="790"/>
      <c r="V180" s="790"/>
      <c r="W180" s="790"/>
      <c r="X180" s="790"/>
      <c r="Y180" s="790"/>
      <c r="Z180" s="790"/>
      <c r="AA180" s="790"/>
      <c r="AB180" s="790"/>
      <c r="AC180" s="790"/>
      <c r="AD180" s="790"/>
      <c r="AE180" s="790"/>
      <c r="AH180" s="783"/>
      <c r="AI180" s="783"/>
      <c r="AJ180" s="790"/>
      <c r="AK180" s="790"/>
      <c r="AN180" s="783"/>
      <c r="AO180" s="783"/>
      <c r="AP180" s="808">
        <f t="shared" si="114"/>
        <v>0</v>
      </c>
      <c r="AQ180" s="808">
        <f t="shared" si="115"/>
        <v>940000</v>
      </c>
      <c r="AR180" s="809">
        <f t="shared" si="116"/>
        <v>67</v>
      </c>
      <c r="AS180" s="809">
        <f t="shared" si="117"/>
        <v>16392</v>
      </c>
      <c r="AT180" s="808">
        <f t="shared" si="118"/>
        <v>16392</v>
      </c>
      <c r="AU180" s="790">
        <f t="shared" si="119"/>
        <v>923608</v>
      </c>
      <c r="AV180" s="738"/>
      <c r="AW180" s="738"/>
      <c r="AX180" s="738"/>
      <c r="AY180" s="738"/>
      <c r="AZ180" s="738"/>
      <c r="BA180" s="738"/>
      <c r="BB180" s="738"/>
      <c r="BC180" s="738"/>
      <c r="BD180" s="738"/>
      <c r="BE180" s="738"/>
      <c r="BF180" s="738"/>
      <c r="BG180" s="738"/>
      <c r="BH180" s="738"/>
      <c r="BI180" s="738"/>
      <c r="BJ180" s="738"/>
      <c r="BK180" s="738"/>
      <c r="BL180" s="738"/>
      <c r="BM180" s="738"/>
      <c r="BN180" s="738"/>
      <c r="BO180" s="738"/>
      <c r="BP180" s="738"/>
      <c r="BQ180" s="738"/>
      <c r="BR180" s="738"/>
      <c r="BS180" s="738"/>
      <c r="BT180" s="738"/>
      <c r="BU180" s="738"/>
      <c r="BV180" s="738"/>
      <c r="BW180" s="738"/>
      <c r="BX180" s="738"/>
      <c r="BY180" s="738"/>
      <c r="BZ180" s="738"/>
      <c r="CA180" s="738"/>
      <c r="CB180" s="738"/>
      <c r="CC180" s="738"/>
      <c r="CD180" s="738"/>
      <c r="CE180" s="738"/>
      <c r="CF180" s="738"/>
      <c r="CG180" s="738"/>
      <c r="CH180" s="738"/>
      <c r="CI180" s="738"/>
      <c r="CJ180" s="738"/>
      <c r="CK180" s="738"/>
      <c r="CL180" s="738"/>
      <c r="CM180" s="738"/>
      <c r="CN180" s="738"/>
      <c r="CO180" s="738"/>
      <c r="CP180" s="738"/>
      <c r="CQ180" s="738"/>
      <c r="CR180" s="738"/>
      <c r="CS180" s="738"/>
      <c r="CT180" s="738"/>
      <c r="CU180" s="738"/>
      <c r="CV180" s="738"/>
      <c r="CW180" s="738"/>
      <c r="CX180" s="738"/>
      <c r="CY180" s="738"/>
      <c r="CZ180" s="738"/>
      <c r="DA180" s="738"/>
      <c r="DB180" s="738"/>
      <c r="DC180" s="738"/>
      <c r="DD180" s="738"/>
      <c r="DE180" s="738"/>
      <c r="DF180" s="738"/>
      <c r="DG180" s="738"/>
      <c r="DH180" s="738"/>
      <c r="DI180" s="738"/>
      <c r="DJ180" s="738"/>
      <c r="DK180" s="738"/>
      <c r="DL180" s="738"/>
      <c r="DM180" s="738"/>
      <c r="DN180" s="738"/>
      <c r="DO180" s="738"/>
      <c r="DP180" s="738"/>
      <c r="DQ180" s="738"/>
      <c r="DR180" s="738"/>
      <c r="DS180" s="738"/>
      <c r="DT180" s="738"/>
      <c r="DU180" s="738"/>
      <c r="DV180" s="738"/>
      <c r="DW180" s="738"/>
      <c r="DX180" s="738"/>
      <c r="DY180" s="738"/>
      <c r="DZ180" s="738"/>
      <c r="EA180" s="738"/>
      <c r="EB180" s="738"/>
      <c r="EC180" s="738"/>
      <c r="ED180" s="738"/>
      <c r="EE180" s="738"/>
      <c r="EF180" s="738"/>
      <c r="EG180" s="738"/>
      <c r="EH180" s="738"/>
      <c r="EI180" s="738"/>
      <c r="EJ180" s="738"/>
      <c r="EK180" s="738"/>
      <c r="EL180" s="738"/>
      <c r="EM180" s="738"/>
      <c r="EN180" s="738"/>
      <c r="EO180" s="738"/>
      <c r="EP180" s="738"/>
      <c r="EQ180" s="738"/>
      <c r="ER180" s="738"/>
      <c r="ES180" s="738"/>
      <c r="ET180" s="738"/>
      <c r="EU180" s="738"/>
      <c r="EV180" s="738"/>
      <c r="EW180" s="738"/>
      <c r="EX180" s="738"/>
      <c r="EY180" s="738"/>
      <c r="EZ180" s="738"/>
      <c r="FA180" s="738"/>
      <c r="FB180" s="738"/>
      <c r="FC180" s="738"/>
      <c r="FD180" s="738"/>
      <c r="FE180" s="738"/>
      <c r="FF180" s="738"/>
      <c r="FG180" s="738"/>
      <c r="FH180" s="738"/>
      <c r="FI180" s="738"/>
      <c r="FJ180" s="738"/>
      <c r="FK180" s="738"/>
      <c r="FL180" s="738"/>
      <c r="FM180" s="738"/>
      <c r="FN180" s="738"/>
      <c r="FO180" s="738"/>
      <c r="FP180" s="738"/>
      <c r="FQ180" s="738"/>
      <c r="FR180" s="738"/>
      <c r="FS180" s="738"/>
      <c r="FT180" s="738"/>
      <c r="FU180" s="738"/>
      <c r="FV180" s="738"/>
      <c r="FW180" s="738"/>
      <c r="FX180" s="738"/>
      <c r="FY180" s="738"/>
      <c r="FZ180" s="738"/>
      <c r="GA180" s="738"/>
      <c r="GB180" s="738"/>
      <c r="GC180" s="738"/>
      <c r="GD180" s="738"/>
      <c r="GE180" s="738"/>
      <c r="GF180" s="738"/>
      <c r="GG180" s="738"/>
      <c r="GH180" s="738"/>
      <c r="GI180" s="738"/>
      <c r="GJ180" s="738"/>
      <c r="GK180" s="738"/>
      <c r="GL180" s="738"/>
      <c r="GM180" s="738"/>
      <c r="GN180" s="738"/>
      <c r="GO180" s="738"/>
      <c r="GP180" s="738"/>
      <c r="GQ180" s="738"/>
      <c r="GR180" s="738"/>
      <c r="GS180" s="738"/>
      <c r="GT180" s="738"/>
      <c r="GU180" s="738"/>
      <c r="GV180" s="738"/>
      <c r="GW180" s="738"/>
      <c r="GX180" s="738"/>
      <c r="GY180" s="738"/>
      <c r="GZ180" s="738"/>
      <c r="HA180" s="738"/>
      <c r="HB180" s="738"/>
      <c r="HC180" s="738"/>
      <c r="HD180" s="738"/>
      <c r="HE180" s="738"/>
      <c r="HF180" s="738"/>
      <c r="HG180" s="738"/>
      <c r="HH180" s="738"/>
      <c r="HI180" s="738"/>
      <c r="HJ180" s="738"/>
      <c r="HK180" s="738"/>
      <c r="HL180" s="738"/>
      <c r="HM180" s="738"/>
      <c r="HN180" s="738"/>
      <c r="HO180" s="738"/>
      <c r="HP180" s="738"/>
      <c r="HQ180" s="738"/>
      <c r="HR180" s="738"/>
      <c r="HS180" s="738"/>
      <c r="HT180" s="738"/>
      <c r="HU180" s="738"/>
      <c r="HV180" s="738"/>
      <c r="HW180" s="738"/>
      <c r="HX180" s="738"/>
      <c r="HY180" s="738"/>
      <c r="HZ180" s="738"/>
      <c r="IA180" s="738"/>
      <c r="IB180" s="738"/>
      <c r="IC180" s="738"/>
      <c r="ID180" s="738"/>
      <c r="IE180" s="738"/>
      <c r="IF180" s="738"/>
      <c r="IG180" s="738"/>
      <c r="IH180" s="738"/>
      <c r="II180" s="738"/>
      <c r="IJ180" s="738"/>
      <c r="IK180" s="738"/>
      <c r="IL180" s="738"/>
      <c r="IM180" s="738"/>
      <c r="IN180" s="738"/>
      <c r="IO180" s="738"/>
      <c r="IP180" s="738"/>
      <c r="IQ180" s="738"/>
      <c r="IR180" s="738"/>
      <c r="IS180" s="738"/>
      <c r="IT180" s="738"/>
      <c r="IU180" s="738"/>
      <c r="IV180" s="738"/>
      <c r="IW180" s="738"/>
      <c r="IX180" s="738"/>
      <c r="IY180" s="738"/>
      <c r="IZ180" s="738"/>
      <c r="JA180" s="738"/>
      <c r="JB180" s="738"/>
      <c r="JC180" s="738"/>
      <c r="JD180" s="738"/>
      <c r="JE180" s="738"/>
      <c r="JF180" s="738"/>
      <c r="JG180" s="738"/>
      <c r="JH180" s="738"/>
      <c r="JI180" s="738"/>
      <c r="JJ180" s="738"/>
    </row>
    <row r="181" spans="1:270" s="791" customFormat="1" ht="15" customHeight="1" x14ac:dyDescent="0.25">
      <c r="A181" s="898" t="s">
        <v>1224</v>
      </c>
      <c r="B181" s="822" t="s">
        <v>298</v>
      </c>
      <c r="C181" s="826">
        <f t="shared" si="83"/>
        <v>9.5000000000000001E-2</v>
      </c>
      <c r="D181" s="858">
        <v>10</v>
      </c>
      <c r="E181" s="858" t="s">
        <v>884</v>
      </c>
      <c r="F181" s="862">
        <v>45321</v>
      </c>
      <c r="G181" s="862">
        <v>45321</v>
      </c>
      <c r="H181" s="828">
        <f t="shared" si="84"/>
        <v>48971</v>
      </c>
      <c r="I181" s="901">
        <v>95000</v>
      </c>
      <c r="J181" s="812">
        <f t="shared" si="85"/>
        <v>4750</v>
      </c>
      <c r="K181" s="790"/>
      <c r="L181" s="790"/>
      <c r="M181" s="790"/>
      <c r="N181" s="790"/>
      <c r="O181" s="790"/>
      <c r="P181" s="790"/>
      <c r="Q181" s="790"/>
      <c r="R181" s="790"/>
      <c r="S181" s="790"/>
      <c r="T181" s="790"/>
      <c r="U181" s="790"/>
      <c r="V181" s="790"/>
      <c r="W181" s="790"/>
      <c r="X181" s="790"/>
      <c r="Y181" s="790"/>
      <c r="Z181" s="790"/>
      <c r="AA181" s="790"/>
      <c r="AB181" s="790"/>
      <c r="AC181" s="790"/>
      <c r="AD181" s="790"/>
      <c r="AE181" s="790"/>
      <c r="AH181" s="783"/>
      <c r="AI181" s="783"/>
      <c r="AJ181" s="790"/>
      <c r="AK181" s="790"/>
      <c r="AN181" s="783"/>
      <c r="AO181" s="783"/>
      <c r="AP181" s="808">
        <f t="shared" si="114"/>
        <v>0</v>
      </c>
      <c r="AQ181" s="808">
        <f t="shared" si="115"/>
        <v>95000</v>
      </c>
      <c r="AR181" s="809">
        <f t="shared" si="116"/>
        <v>62</v>
      </c>
      <c r="AS181" s="809">
        <f t="shared" si="117"/>
        <v>1533</v>
      </c>
      <c r="AT181" s="808">
        <f t="shared" si="118"/>
        <v>1533</v>
      </c>
      <c r="AU181" s="790">
        <f t="shared" si="119"/>
        <v>93467</v>
      </c>
      <c r="AV181" s="738"/>
      <c r="AW181" s="738"/>
      <c r="AX181" s="738"/>
      <c r="AY181" s="738"/>
      <c r="AZ181" s="738"/>
      <c r="BA181" s="738"/>
      <c r="BB181" s="738"/>
      <c r="BC181" s="738"/>
      <c r="BD181" s="738"/>
      <c r="BE181" s="738"/>
      <c r="BF181" s="738"/>
      <c r="BG181" s="738"/>
      <c r="BH181" s="738"/>
      <c r="BI181" s="738"/>
      <c r="BJ181" s="738"/>
      <c r="BK181" s="738"/>
      <c r="BL181" s="738"/>
      <c r="BM181" s="738"/>
      <c r="BN181" s="738"/>
      <c r="BO181" s="738"/>
      <c r="BP181" s="738"/>
      <c r="BQ181" s="738"/>
      <c r="BR181" s="738"/>
      <c r="BS181" s="738"/>
      <c r="BT181" s="738"/>
      <c r="BU181" s="738"/>
      <c r="BV181" s="738"/>
      <c r="BW181" s="738"/>
      <c r="BX181" s="738"/>
      <c r="BY181" s="738"/>
      <c r="BZ181" s="738"/>
      <c r="CA181" s="738"/>
      <c r="CB181" s="738"/>
      <c r="CC181" s="738"/>
      <c r="CD181" s="738"/>
      <c r="CE181" s="738"/>
      <c r="CF181" s="738"/>
      <c r="CG181" s="738"/>
      <c r="CH181" s="738"/>
      <c r="CI181" s="738"/>
      <c r="CJ181" s="738"/>
      <c r="CK181" s="738"/>
      <c r="CL181" s="738"/>
      <c r="CM181" s="738"/>
      <c r="CN181" s="738"/>
      <c r="CO181" s="738"/>
      <c r="CP181" s="738"/>
      <c r="CQ181" s="738"/>
      <c r="CR181" s="738"/>
      <c r="CS181" s="738"/>
      <c r="CT181" s="738"/>
      <c r="CU181" s="738"/>
      <c r="CV181" s="738"/>
      <c r="CW181" s="738"/>
      <c r="CX181" s="738"/>
      <c r="CY181" s="738"/>
      <c r="CZ181" s="738"/>
      <c r="DA181" s="738"/>
      <c r="DB181" s="738"/>
      <c r="DC181" s="738"/>
      <c r="DD181" s="738"/>
      <c r="DE181" s="738"/>
      <c r="DF181" s="738"/>
      <c r="DG181" s="738"/>
      <c r="DH181" s="738"/>
      <c r="DI181" s="738"/>
      <c r="DJ181" s="738"/>
      <c r="DK181" s="738"/>
      <c r="DL181" s="738"/>
      <c r="DM181" s="738"/>
      <c r="DN181" s="738"/>
      <c r="DO181" s="738"/>
      <c r="DP181" s="738"/>
      <c r="DQ181" s="738"/>
      <c r="DR181" s="738"/>
      <c r="DS181" s="738"/>
      <c r="DT181" s="738"/>
      <c r="DU181" s="738"/>
      <c r="DV181" s="738"/>
      <c r="DW181" s="738"/>
      <c r="DX181" s="738"/>
      <c r="DY181" s="738"/>
      <c r="DZ181" s="738"/>
      <c r="EA181" s="738"/>
      <c r="EB181" s="738"/>
      <c r="EC181" s="738"/>
      <c r="ED181" s="738"/>
      <c r="EE181" s="738"/>
      <c r="EF181" s="738"/>
      <c r="EG181" s="738"/>
      <c r="EH181" s="738"/>
      <c r="EI181" s="738"/>
      <c r="EJ181" s="738"/>
      <c r="EK181" s="738"/>
      <c r="EL181" s="738"/>
      <c r="EM181" s="738"/>
      <c r="EN181" s="738"/>
      <c r="EO181" s="738"/>
      <c r="EP181" s="738"/>
      <c r="EQ181" s="738"/>
      <c r="ER181" s="738"/>
      <c r="ES181" s="738"/>
      <c r="ET181" s="738"/>
      <c r="EU181" s="738"/>
      <c r="EV181" s="738"/>
      <c r="EW181" s="738"/>
      <c r="EX181" s="738"/>
      <c r="EY181" s="738"/>
      <c r="EZ181" s="738"/>
      <c r="FA181" s="738"/>
      <c r="FB181" s="738"/>
      <c r="FC181" s="738"/>
      <c r="FD181" s="738"/>
      <c r="FE181" s="738"/>
      <c r="FF181" s="738"/>
      <c r="FG181" s="738"/>
      <c r="FH181" s="738"/>
      <c r="FI181" s="738"/>
      <c r="FJ181" s="738"/>
      <c r="FK181" s="738"/>
      <c r="FL181" s="738"/>
      <c r="FM181" s="738"/>
      <c r="FN181" s="738"/>
      <c r="FO181" s="738"/>
      <c r="FP181" s="738"/>
      <c r="FQ181" s="738"/>
      <c r="FR181" s="738"/>
      <c r="FS181" s="738"/>
      <c r="FT181" s="738"/>
      <c r="FU181" s="738"/>
      <c r="FV181" s="738"/>
      <c r="FW181" s="738"/>
      <c r="FX181" s="738"/>
      <c r="FY181" s="738"/>
      <c r="FZ181" s="738"/>
      <c r="GA181" s="738"/>
      <c r="GB181" s="738"/>
      <c r="GC181" s="738"/>
      <c r="GD181" s="738"/>
      <c r="GE181" s="738"/>
      <c r="GF181" s="738"/>
      <c r="GG181" s="738"/>
      <c r="GH181" s="738"/>
      <c r="GI181" s="738"/>
      <c r="GJ181" s="738"/>
      <c r="GK181" s="738"/>
      <c r="GL181" s="738"/>
      <c r="GM181" s="738"/>
      <c r="GN181" s="738"/>
      <c r="GO181" s="738"/>
      <c r="GP181" s="738"/>
      <c r="GQ181" s="738"/>
      <c r="GR181" s="738"/>
      <c r="GS181" s="738"/>
      <c r="GT181" s="738"/>
      <c r="GU181" s="738"/>
      <c r="GV181" s="738"/>
      <c r="GW181" s="738"/>
      <c r="GX181" s="738"/>
      <c r="GY181" s="738"/>
      <c r="GZ181" s="738"/>
      <c r="HA181" s="738"/>
      <c r="HB181" s="738"/>
      <c r="HC181" s="738"/>
      <c r="HD181" s="738"/>
      <c r="HE181" s="738"/>
      <c r="HF181" s="738"/>
      <c r="HG181" s="738"/>
      <c r="HH181" s="738"/>
      <c r="HI181" s="738"/>
      <c r="HJ181" s="738"/>
      <c r="HK181" s="738"/>
      <c r="HL181" s="738"/>
      <c r="HM181" s="738"/>
      <c r="HN181" s="738"/>
      <c r="HO181" s="738"/>
      <c r="HP181" s="738"/>
      <c r="HQ181" s="738"/>
      <c r="HR181" s="738"/>
      <c r="HS181" s="738"/>
      <c r="HT181" s="738"/>
      <c r="HU181" s="738"/>
      <c r="HV181" s="738"/>
      <c r="HW181" s="738"/>
      <c r="HX181" s="738"/>
      <c r="HY181" s="738"/>
      <c r="HZ181" s="738"/>
      <c r="IA181" s="738"/>
      <c r="IB181" s="738"/>
      <c r="IC181" s="738"/>
      <c r="ID181" s="738"/>
      <c r="IE181" s="738"/>
      <c r="IF181" s="738"/>
      <c r="IG181" s="738"/>
      <c r="IH181" s="738"/>
      <c r="II181" s="738"/>
      <c r="IJ181" s="738"/>
      <c r="IK181" s="738"/>
      <c r="IL181" s="738"/>
      <c r="IM181" s="738"/>
      <c r="IN181" s="738"/>
      <c r="IO181" s="738"/>
      <c r="IP181" s="738"/>
      <c r="IQ181" s="738"/>
      <c r="IR181" s="738"/>
      <c r="IS181" s="738"/>
      <c r="IT181" s="738"/>
      <c r="IU181" s="738"/>
      <c r="IV181" s="738"/>
      <c r="IW181" s="738"/>
      <c r="IX181" s="738"/>
      <c r="IY181" s="738"/>
      <c r="IZ181" s="738"/>
      <c r="JA181" s="738"/>
      <c r="JB181" s="738"/>
      <c r="JC181" s="738"/>
      <c r="JD181" s="738"/>
      <c r="JE181" s="738"/>
      <c r="JF181" s="738"/>
      <c r="JG181" s="738"/>
      <c r="JH181" s="738"/>
      <c r="JI181" s="738"/>
      <c r="JJ181" s="738"/>
    </row>
    <row r="182" spans="1:270" s="791" customFormat="1" ht="15" customHeight="1" x14ac:dyDescent="0.25">
      <c r="A182" s="898" t="s">
        <v>1224</v>
      </c>
      <c r="B182" s="822" t="s">
        <v>294</v>
      </c>
      <c r="C182" s="826">
        <f>(95/D182)/100</f>
        <v>9.5000000000000001E-2</v>
      </c>
      <c r="D182" s="858">
        <v>10</v>
      </c>
      <c r="E182" s="858" t="s">
        <v>884</v>
      </c>
      <c r="F182" s="814">
        <v>45324</v>
      </c>
      <c r="G182" s="814">
        <v>45324</v>
      </c>
      <c r="H182" s="828">
        <f t="shared" si="84"/>
        <v>48974</v>
      </c>
      <c r="I182" s="901">
        <v>235528</v>
      </c>
      <c r="J182" s="812">
        <f t="shared" si="85"/>
        <v>11776.400000000001</v>
      </c>
      <c r="K182" s="790"/>
      <c r="L182" s="790"/>
      <c r="M182" s="790"/>
      <c r="N182" s="790"/>
      <c r="O182" s="790"/>
      <c r="P182" s="790"/>
      <c r="Q182" s="790"/>
      <c r="R182" s="790"/>
      <c r="S182" s="790"/>
      <c r="T182" s="790"/>
      <c r="U182" s="790"/>
      <c r="V182" s="790"/>
      <c r="W182" s="790"/>
      <c r="X182" s="790"/>
      <c r="Y182" s="790"/>
      <c r="Z182" s="790"/>
      <c r="AA182" s="790"/>
      <c r="AB182" s="790"/>
      <c r="AC182" s="790"/>
      <c r="AD182" s="790"/>
      <c r="AE182" s="790"/>
      <c r="AH182" s="783"/>
      <c r="AI182" s="783"/>
      <c r="AJ182" s="790"/>
      <c r="AK182" s="790"/>
      <c r="AN182" s="783"/>
      <c r="AO182" s="783"/>
      <c r="AP182" s="808">
        <f t="shared" si="114"/>
        <v>0</v>
      </c>
      <c r="AQ182" s="808">
        <f t="shared" si="115"/>
        <v>235528</v>
      </c>
      <c r="AR182" s="809">
        <f t="shared" si="116"/>
        <v>59</v>
      </c>
      <c r="AS182" s="809">
        <f t="shared" si="117"/>
        <v>3617</v>
      </c>
      <c r="AT182" s="808">
        <f t="shared" si="118"/>
        <v>3617</v>
      </c>
      <c r="AU182" s="790">
        <f t="shared" si="119"/>
        <v>231911</v>
      </c>
      <c r="AV182" s="738"/>
      <c r="AW182" s="738"/>
      <c r="AX182" s="738"/>
      <c r="AY182" s="738"/>
      <c r="AZ182" s="738"/>
      <c r="BA182" s="738"/>
      <c r="BB182" s="738"/>
      <c r="BC182" s="738"/>
      <c r="BD182" s="738"/>
      <c r="BE182" s="738"/>
      <c r="BF182" s="738"/>
      <c r="BG182" s="738"/>
      <c r="BH182" s="738"/>
      <c r="BI182" s="738"/>
      <c r="BJ182" s="738"/>
      <c r="BK182" s="738"/>
      <c r="BL182" s="738"/>
      <c r="BM182" s="738"/>
      <c r="BN182" s="738"/>
      <c r="BO182" s="738"/>
      <c r="BP182" s="738"/>
      <c r="BQ182" s="738"/>
      <c r="BR182" s="738"/>
      <c r="BS182" s="738"/>
      <c r="BT182" s="738"/>
      <c r="BU182" s="738"/>
      <c r="BV182" s="738"/>
      <c r="BW182" s="738"/>
      <c r="BX182" s="738"/>
      <c r="BY182" s="738"/>
      <c r="BZ182" s="738"/>
      <c r="CA182" s="738"/>
      <c r="CB182" s="738"/>
      <c r="CC182" s="738"/>
      <c r="CD182" s="738"/>
      <c r="CE182" s="738"/>
      <c r="CF182" s="738"/>
      <c r="CG182" s="738"/>
      <c r="CH182" s="738"/>
      <c r="CI182" s="738"/>
      <c r="CJ182" s="738"/>
      <c r="CK182" s="738"/>
      <c r="CL182" s="738"/>
      <c r="CM182" s="738"/>
      <c r="CN182" s="738"/>
      <c r="CO182" s="738"/>
      <c r="CP182" s="738"/>
      <c r="CQ182" s="738"/>
      <c r="CR182" s="738"/>
      <c r="CS182" s="738"/>
      <c r="CT182" s="738"/>
      <c r="CU182" s="738"/>
      <c r="CV182" s="738"/>
      <c r="CW182" s="738"/>
      <c r="CX182" s="738"/>
      <c r="CY182" s="738"/>
      <c r="CZ182" s="738"/>
      <c r="DA182" s="738"/>
      <c r="DB182" s="738"/>
      <c r="DC182" s="738"/>
      <c r="DD182" s="738"/>
      <c r="DE182" s="738"/>
      <c r="DF182" s="738"/>
      <c r="DG182" s="738"/>
      <c r="DH182" s="738"/>
      <c r="DI182" s="738"/>
      <c r="DJ182" s="738"/>
      <c r="DK182" s="738"/>
      <c r="DL182" s="738"/>
      <c r="DM182" s="738"/>
      <c r="DN182" s="738"/>
      <c r="DO182" s="738"/>
      <c r="DP182" s="738"/>
      <c r="DQ182" s="738"/>
      <c r="DR182" s="738"/>
      <c r="DS182" s="738"/>
      <c r="DT182" s="738"/>
      <c r="DU182" s="738"/>
      <c r="DV182" s="738"/>
      <c r="DW182" s="738"/>
      <c r="DX182" s="738"/>
      <c r="DY182" s="738"/>
      <c r="DZ182" s="738"/>
      <c r="EA182" s="738"/>
      <c r="EB182" s="738"/>
      <c r="EC182" s="738"/>
      <c r="ED182" s="738"/>
      <c r="EE182" s="738"/>
      <c r="EF182" s="738"/>
      <c r="EG182" s="738"/>
      <c r="EH182" s="738"/>
      <c r="EI182" s="738"/>
      <c r="EJ182" s="738"/>
      <c r="EK182" s="738"/>
      <c r="EL182" s="738"/>
      <c r="EM182" s="738"/>
      <c r="EN182" s="738"/>
      <c r="EO182" s="738"/>
      <c r="EP182" s="738"/>
      <c r="EQ182" s="738"/>
      <c r="ER182" s="738"/>
      <c r="ES182" s="738"/>
      <c r="ET182" s="738"/>
      <c r="EU182" s="738"/>
      <c r="EV182" s="738"/>
      <c r="EW182" s="738"/>
      <c r="EX182" s="738"/>
      <c r="EY182" s="738"/>
      <c r="EZ182" s="738"/>
      <c r="FA182" s="738"/>
      <c r="FB182" s="738"/>
      <c r="FC182" s="738"/>
      <c r="FD182" s="738"/>
      <c r="FE182" s="738"/>
      <c r="FF182" s="738"/>
      <c r="FG182" s="738"/>
      <c r="FH182" s="738"/>
      <c r="FI182" s="738"/>
      <c r="FJ182" s="738"/>
      <c r="FK182" s="738"/>
      <c r="FL182" s="738"/>
      <c r="FM182" s="738"/>
      <c r="FN182" s="738"/>
      <c r="FO182" s="738"/>
      <c r="FP182" s="738"/>
      <c r="FQ182" s="738"/>
      <c r="FR182" s="738"/>
      <c r="FS182" s="738"/>
      <c r="FT182" s="738"/>
      <c r="FU182" s="738"/>
      <c r="FV182" s="738"/>
      <c r="FW182" s="738"/>
      <c r="FX182" s="738"/>
      <c r="FY182" s="738"/>
      <c r="FZ182" s="738"/>
      <c r="GA182" s="738"/>
      <c r="GB182" s="738"/>
      <c r="GC182" s="738"/>
      <c r="GD182" s="738"/>
      <c r="GE182" s="738"/>
      <c r="GF182" s="738"/>
      <c r="GG182" s="738"/>
      <c r="GH182" s="738"/>
      <c r="GI182" s="738"/>
      <c r="GJ182" s="738"/>
      <c r="GK182" s="738"/>
      <c r="GL182" s="738"/>
      <c r="GM182" s="738"/>
      <c r="GN182" s="738"/>
      <c r="GO182" s="738"/>
      <c r="GP182" s="738"/>
      <c r="GQ182" s="738"/>
      <c r="GR182" s="738"/>
      <c r="GS182" s="738"/>
      <c r="GT182" s="738"/>
      <c r="GU182" s="738"/>
      <c r="GV182" s="738"/>
      <c r="GW182" s="738"/>
      <c r="GX182" s="738"/>
      <c r="GY182" s="738"/>
      <c r="GZ182" s="738"/>
      <c r="HA182" s="738"/>
      <c r="HB182" s="738"/>
      <c r="HC182" s="738"/>
      <c r="HD182" s="738"/>
      <c r="HE182" s="738"/>
      <c r="HF182" s="738"/>
      <c r="HG182" s="738"/>
      <c r="HH182" s="738"/>
      <c r="HI182" s="738"/>
      <c r="HJ182" s="738"/>
      <c r="HK182" s="738"/>
      <c r="HL182" s="738"/>
      <c r="HM182" s="738"/>
      <c r="HN182" s="738"/>
      <c r="HO182" s="738"/>
      <c r="HP182" s="738"/>
      <c r="HQ182" s="738"/>
      <c r="HR182" s="738"/>
      <c r="HS182" s="738"/>
      <c r="HT182" s="738"/>
      <c r="HU182" s="738"/>
      <c r="HV182" s="738"/>
      <c r="HW182" s="738"/>
      <c r="HX182" s="738"/>
      <c r="HY182" s="738"/>
      <c r="HZ182" s="738"/>
      <c r="IA182" s="738"/>
      <c r="IB182" s="738"/>
      <c r="IC182" s="738"/>
      <c r="ID182" s="738"/>
      <c r="IE182" s="738"/>
      <c r="IF182" s="738"/>
      <c r="IG182" s="738"/>
      <c r="IH182" s="738"/>
      <c r="II182" s="738"/>
      <c r="IJ182" s="738"/>
      <c r="IK182" s="738"/>
      <c r="IL182" s="738"/>
      <c r="IM182" s="738"/>
      <c r="IN182" s="738"/>
      <c r="IO182" s="738"/>
      <c r="IP182" s="738"/>
      <c r="IQ182" s="738"/>
      <c r="IR182" s="738"/>
      <c r="IS182" s="738"/>
      <c r="IT182" s="738"/>
      <c r="IU182" s="738"/>
      <c r="IV182" s="738"/>
      <c r="IW182" s="738"/>
      <c r="IX182" s="738"/>
      <c r="IY182" s="738"/>
      <c r="IZ182" s="738"/>
      <c r="JA182" s="738"/>
      <c r="JB182" s="738"/>
      <c r="JC182" s="738"/>
      <c r="JD182" s="738"/>
      <c r="JE182" s="738"/>
      <c r="JF182" s="738"/>
      <c r="JG182" s="738"/>
      <c r="JH182" s="738"/>
      <c r="JI182" s="738"/>
      <c r="JJ182" s="738"/>
    </row>
    <row r="183" spans="1:270" s="791" customFormat="1" ht="15" customHeight="1" x14ac:dyDescent="0.25">
      <c r="A183" s="898" t="s">
        <v>1224</v>
      </c>
      <c r="B183" s="822" t="s">
        <v>294</v>
      </c>
      <c r="C183" s="826">
        <f t="shared" si="83"/>
        <v>9.5000000000000001E-2</v>
      </c>
      <c r="D183" s="858">
        <v>10</v>
      </c>
      <c r="E183" s="858" t="s">
        <v>884</v>
      </c>
      <c r="F183" s="814">
        <v>45334</v>
      </c>
      <c r="G183" s="814">
        <v>45334</v>
      </c>
      <c r="H183" s="828">
        <f t="shared" si="84"/>
        <v>48984</v>
      </c>
      <c r="I183" s="901">
        <v>112504</v>
      </c>
      <c r="J183" s="812">
        <f t="shared" si="85"/>
        <v>5625.2000000000007</v>
      </c>
      <c r="K183" s="790"/>
      <c r="L183" s="790"/>
      <c r="M183" s="790"/>
      <c r="N183" s="790"/>
      <c r="O183" s="790"/>
      <c r="P183" s="790"/>
      <c r="Q183" s="790"/>
      <c r="R183" s="790"/>
      <c r="S183" s="790"/>
      <c r="T183" s="790"/>
      <c r="U183" s="790"/>
      <c r="V183" s="790"/>
      <c r="W183" s="790"/>
      <c r="X183" s="790"/>
      <c r="Y183" s="790"/>
      <c r="Z183" s="790"/>
      <c r="AA183" s="790"/>
      <c r="AB183" s="790"/>
      <c r="AC183" s="790"/>
      <c r="AD183" s="790"/>
      <c r="AE183" s="790"/>
      <c r="AH183" s="783"/>
      <c r="AI183" s="783"/>
      <c r="AJ183" s="790"/>
      <c r="AK183" s="790"/>
      <c r="AN183" s="783"/>
      <c r="AO183" s="783"/>
      <c r="AP183" s="808">
        <f t="shared" si="114"/>
        <v>0</v>
      </c>
      <c r="AQ183" s="808">
        <f t="shared" si="115"/>
        <v>112504</v>
      </c>
      <c r="AR183" s="809">
        <f t="shared" si="116"/>
        <v>49</v>
      </c>
      <c r="AS183" s="809">
        <f t="shared" si="117"/>
        <v>1435</v>
      </c>
      <c r="AT183" s="808">
        <f t="shared" si="118"/>
        <v>1435</v>
      </c>
      <c r="AU183" s="808">
        <f t="shared" si="119"/>
        <v>111069</v>
      </c>
      <c r="AV183" s="738"/>
      <c r="AW183" s="738"/>
      <c r="AX183" s="738"/>
      <c r="AY183" s="738"/>
      <c r="AZ183" s="738"/>
      <c r="BA183" s="738"/>
      <c r="BB183" s="738"/>
      <c r="BC183" s="738"/>
      <c r="BD183" s="738"/>
      <c r="BE183" s="738"/>
      <c r="BF183" s="738"/>
      <c r="BG183" s="738"/>
      <c r="BH183" s="738"/>
      <c r="BI183" s="738"/>
      <c r="BJ183" s="738"/>
      <c r="BK183" s="738"/>
      <c r="BL183" s="738"/>
      <c r="BM183" s="738"/>
      <c r="BN183" s="738"/>
      <c r="BO183" s="738"/>
      <c r="BP183" s="738"/>
      <c r="BQ183" s="738"/>
      <c r="BR183" s="738"/>
      <c r="BS183" s="738"/>
      <c r="BT183" s="738"/>
      <c r="BU183" s="738"/>
      <c r="BV183" s="738"/>
      <c r="BW183" s="738"/>
      <c r="BX183" s="738"/>
      <c r="BY183" s="738"/>
      <c r="BZ183" s="738"/>
      <c r="CA183" s="738"/>
      <c r="CB183" s="738"/>
      <c r="CC183" s="738"/>
      <c r="CD183" s="738"/>
      <c r="CE183" s="738"/>
      <c r="CF183" s="738"/>
      <c r="CG183" s="738"/>
      <c r="CH183" s="738"/>
      <c r="CI183" s="738"/>
      <c r="CJ183" s="738"/>
      <c r="CK183" s="738"/>
      <c r="CL183" s="738"/>
      <c r="CM183" s="738"/>
      <c r="CN183" s="738"/>
      <c r="CO183" s="738"/>
      <c r="CP183" s="738"/>
      <c r="CQ183" s="738"/>
      <c r="CR183" s="738"/>
      <c r="CS183" s="738"/>
      <c r="CT183" s="738"/>
      <c r="CU183" s="738"/>
      <c r="CV183" s="738"/>
      <c r="CW183" s="738"/>
      <c r="CX183" s="738"/>
      <c r="CY183" s="738"/>
      <c r="CZ183" s="738"/>
      <c r="DA183" s="738"/>
      <c r="DB183" s="738"/>
      <c r="DC183" s="738"/>
      <c r="DD183" s="738"/>
      <c r="DE183" s="738"/>
      <c r="DF183" s="738"/>
      <c r="DG183" s="738"/>
      <c r="DH183" s="738"/>
      <c r="DI183" s="738"/>
      <c r="DJ183" s="738"/>
      <c r="DK183" s="738"/>
      <c r="DL183" s="738"/>
      <c r="DM183" s="738"/>
      <c r="DN183" s="738"/>
      <c r="DO183" s="738"/>
      <c r="DP183" s="738"/>
      <c r="DQ183" s="738"/>
      <c r="DR183" s="738"/>
      <c r="DS183" s="738"/>
      <c r="DT183" s="738"/>
      <c r="DU183" s="738"/>
      <c r="DV183" s="738"/>
      <c r="DW183" s="738"/>
      <c r="DX183" s="738"/>
      <c r="DY183" s="738"/>
      <c r="DZ183" s="738"/>
      <c r="EA183" s="738"/>
      <c r="EB183" s="738"/>
      <c r="EC183" s="738"/>
      <c r="ED183" s="738"/>
      <c r="EE183" s="738"/>
      <c r="EF183" s="738"/>
      <c r="EG183" s="738"/>
      <c r="EH183" s="738"/>
      <c r="EI183" s="738"/>
      <c r="EJ183" s="738"/>
      <c r="EK183" s="738"/>
      <c r="EL183" s="738"/>
      <c r="EM183" s="738"/>
      <c r="EN183" s="738"/>
      <c r="EO183" s="738"/>
      <c r="EP183" s="738"/>
      <c r="EQ183" s="738"/>
      <c r="ER183" s="738"/>
      <c r="ES183" s="738"/>
      <c r="ET183" s="738"/>
      <c r="EU183" s="738"/>
      <c r="EV183" s="738"/>
      <c r="EW183" s="738"/>
      <c r="EX183" s="738"/>
      <c r="EY183" s="738"/>
      <c r="EZ183" s="738"/>
      <c r="FA183" s="738"/>
      <c r="FB183" s="738"/>
      <c r="FC183" s="738"/>
      <c r="FD183" s="738"/>
      <c r="FE183" s="738"/>
      <c r="FF183" s="738"/>
      <c r="FG183" s="738"/>
      <c r="FH183" s="738"/>
      <c r="FI183" s="738"/>
      <c r="FJ183" s="738"/>
      <c r="FK183" s="738"/>
      <c r="FL183" s="738"/>
      <c r="FM183" s="738"/>
      <c r="FN183" s="738"/>
      <c r="FO183" s="738"/>
      <c r="FP183" s="738"/>
      <c r="FQ183" s="738"/>
      <c r="FR183" s="738"/>
      <c r="FS183" s="738"/>
      <c r="FT183" s="738"/>
      <c r="FU183" s="738"/>
      <c r="FV183" s="738"/>
      <c r="FW183" s="738"/>
      <c r="FX183" s="738"/>
      <c r="FY183" s="738"/>
      <c r="FZ183" s="738"/>
      <c r="GA183" s="738"/>
      <c r="GB183" s="738"/>
      <c r="GC183" s="738"/>
      <c r="GD183" s="738"/>
      <c r="GE183" s="738"/>
      <c r="GF183" s="738"/>
      <c r="GG183" s="738"/>
      <c r="GH183" s="738"/>
      <c r="GI183" s="738"/>
      <c r="GJ183" s="738"/>
      <c r="GK183" s="738"/>
      <c r="GL183" s="738"/>
      <c r="GM183" s="738"/>
      <c r="GN183" s="738"/>
      <c r="GO183" s="738"/>
      <c r="GP183" s="738"/>
      <c r="GQ183" s="738"/>
      <c r="GR183" s="738"/>
      <c r="GS183" s="738"/>
      <c r="GT183" s="738"/>
      <c r="GU183" s="738"/>
      <c r="GV183" s="738"/>
      <c r="GW183" s="738"/>
      <c r="GX183" s="738"/>
      <c r="GY183" s="738"/>
      <c r="GZ183" s="738"/>
      <c r="HA183" s="738"/>
      <c r="HB183" s="738"/>
      <c r="HC183" s="738"/>
      <c r="HD183" s="738"/>
      <c r="HE183" s="738"/>
      <c r="HF183" s="738"/>
      <c r="HG183" s="738"/>
      <c r="HH183" s="738"/>
      <c r="HI183" s="738"/>
      <c r="HJ183" s="738"/>
      <c r="HK183" s="738"/>
      <c r="HL183" s="738"/>
      <c r="HM183" s="738"/>
      <c r="HN183" s="738"/>
      <c r="HO183" s="738"/>
      <c r="HP183" s="738"/>
      <c r="HQ183" s="738"/>
      <c r="HR183" s="738"/>
      <c r="HS183" s="738"/>
      <c r="HT183" s="738"/>
      <c r="HU183" s="738"/>
      <c r="HV183" s="738"/>
      <c r="HW183" s="738"/>
      <c r="HX183" s="738"/>
      <c r="HY183" s="738"/>
      <c r="HZ183" s="738"/>
      <c r="IA183" s="738"/>
      <c r="IB183" s="738"/>
      <c r="IC183" s="738"/>
      <c r="ID183" s="738"/>
      <c r="IE183" s="738"/>
      <c r="IF183" s="738"/>
      <c r="IG183" s="738"/>
      <c r="IH183" s="738"/>
      <c r="II183" s="738"/>
      <c r="IJ183" s="738"/>
      <c r="IK183" s="738"/>
      <c r="IL183" s="738"/>
      <c r="IM183" s="738"/>
      <c r="IN183" s="738"/>
      <c r="IO183" s="738"/>
      <c r="IP183" s="738"/>
      <c r="IQ183" s="738"/>
      <c r="IR183" s="738"/>
      <c r="IS183" s="738"/>
      <c r="IT183" s="738"/>
      <c r="IU183" s="738"/>
      <c r="IV183" s="738"/>
      <c r="IW183" s="738"/>
      <c r="IX183" s="738"/>
      <c r="IY183" s="738"/>
      <c r="IZ183" s="738"/>
      <c r="JA183" s="738"/>
      <c r="JB183" s="738"/>
      <c r="JC183" s="738"/>
      <c r="JD183" s="738"/>
      <c r="JE183" s="738"/>
      <c r="JF183" s="738"/>
      <c r="JG183" s="738"/>
      <c r="JH183" s="738"/>
      <c r="JI183" s="738"/>
      <c r="JJ183" s="738"/>
    </row>
    <row r="184" spans="1:270" s="791" customFormat="1" ht="15" customHeight="1" thickBot="1" x14ac:dyDescent="0.3">
      <c r="A184" s="898" t="s">
        <v>1224</v>
      </c>
      <c r="B184" s="822" t="s">
        <v>298</v>
      </c>
      <c r="C184" s="826">
        <f t="shared" si="83"/>
        <v>9.5000000000000001E-2</v>
      </c>
      <c r="D184" s="858">
        <v>10</v>
      </c>
      <c r="E184" s="858" t="s">
        <v>884</v>
      </c>
      <c r="F184" s="827">
        <v>45338</v>
      </c>
      <c r="G184" s="827">
        <v>45338</v>
      </c>
      <c r="H184" s="828">
        <f t="shared" si="84"/>
        <v>48988</v>
      </c>
      <c r="I184" s="904">
        <v>818700</v>
      </c>
      <c r="J184" s="812">
        <f t="shared" si="85"/>
        <v>40935</v>
      </c>
      <c r="K184" s="808"/>
      <c r="L184" s="808"/>
      <c r="M184" s="808"/>
      <c r="N184" s="808"/>
      <c r="O184" s="808"/>
      <c r="P184" s="808"/>
      <c r="Q184" s="808"/>
      <c r="R184" s="808"/>
      <c r="S184" s="808"/>
      <c r="T184" s="808"/>
      <c r="U184" s="808"/>
      <c r="V184" s="808"/>
      <c r="W184" s="808"/>
      <c r="X184" s="808"/>
      <c r="Y184" s="808"/>
      <c r="Z184" s="808"/>
      <c r="AA184" s="808"/>
      <c r="AB184" s="808"/>
      <c r="AC184" s="808"/>
      <c r="AD184" s="808"/>
      <c r="AE184" s="808"/>
      <c r="AF184" s="809"/>
      <c r="AG184" s="809"/>
      <c r="AH184" s="812"/>
      <c r="AI184" s="812"/>
      <c r="AJ184" s="808"/>
      <c r="AK184" s="808"/>
      <c r="AL184" s="809"/>
      <c r="AM184" s="809"/>
      <c r="AN184" s="812"/>
      <c r="AO184" s="812"/>
      <c r="AP184" s="808">
        <f t="shared" si="114"/>
        <v>0</v>
      </c>
      <c r="AQ184" s="808">
        <f t="shared" si="115"/>
        <v>818700</v>
      </c>
      <c r="AR184" s="809">
        <f t="shared" si="116"/>
        <v>45</v>
      </c>
      <c r="AS184" s="809">
        <f t="shared" si="117"/>
        <v>9589</v>
      </c>
      <c r="AT184" s="808">
        <f t="shared" si="118"/>
        <v>9589</v>
      </c>
      <c r="AU184" s="808">
        <f t="shared" si="119"/>
        <v>809111</v>
      </c>
      <c r="AV184" s="738"/>
      <c r="AW184" s="738"/>
      <c r="AX184" s="738"/>
      <c r="AY184" s="738"/>
      <c r="AZ184" s="738"/>
      <c r="BA184" s="738"/>
      <c r="BB184" s="738"/>
      <c r="BC184" s="738"/>
      <c r="BD184" s="738"/>
      <c r="BE184" s="738"/>
      <c r="BF184" s="738"/>
      <c r="BG184" s="738"/>
      <c r="BH184" s="738"/>
      <c r="BI184" s="738"/>
      <c r="BJ184" s="738"/>
      <c r="BK184" s="738"/>
      <c r="BL184" s="738"/>
      <c r="BM184" s="738"/>
      <c r="BN184" s="738"/>
      <c r="BO184" s="738"/>
      <c r="BP184" s="738"/>
      <c r="BQ184" s="738"/>
      <c r="BR184" s="738"/>
      <c r="BS184" s="738"/>
      <c r="BT184" s="738"/>
      <c r="BU184" s="738"/>
      <c r="BV184" s="738"/>
      <c r="BW184" s="738"/>
      <c r="BX184" s="738"/>
      <c r="BY184" s="738"/>
      <c r="BZ184" s="738"/>
      <c r="CA184" s="738"/>
      <c r="CB184" s="738"/>
      <c r="CC184" s="738"/>
      <c r="CD184" s="738"/>
      <c r="CE184" s="738"/>
      <c r="CF184" s="738"/>
      <c r="CG184" s="738"/>
      <c r="CH184" s="738"/>
      <c r="CI184" s="738"/>
      <c r="CJ184" s="738"/>
      <c r="CK184" s="738"/>
      <c r="CL184" s="738"/>
      <c r="CM184" s="738"/>
      <c r="CN184" s="738"/>
      <c r="CO184" s="738"/>
      <c r="CP184" s="738"/>
      <c r="CQ184" s="738"/>
      <c r="CR184" s="738"/>
      <c r="CS184" s="738"/>
      <c r="CT184" s="738"/>
      <c r="CU184" s="738"/>
      <c r="CV184" s="738"/>
      <c r="CW184" s="738"/>
      <c r="CX184" s="738"/>
      <c r="CY184" s="738"/>
      <c r="CZ184" s="738"/>
      <c r="DA184" s="738"/>
      <c r="DB184" s="738"/>
      <c r="DC184" s="738"/>
      <c r="DD184" s="738"/>
      <c r="DE184" s="738"/>
      <c r="DF184" s="738"/>
      <c r="DG184" s="738"/>
      <c r="DH184" s="738"/>
      <c r="DI184" s="738"/>
      <c r="DJ184" s="738"/>
      <c r="DK184" s="738"/>
      <c r="DL184" s="738"/>
      <c r="DM184" s="738"/>
      <c r="DN184" s="738"/>
      <c r="DO184" s="738"/>
      <c r="DP184" s="738"/>
      <c r="DQ184" s="738"/>
      <c r="DR184" s="738"/>
      <c r="DS184" s="738"/>
      <c r="DT184" s="738"/>
      <c r="DU184" s="738"/>
      <c r="DV184" s="738"/>
      <c r="DW184" s="738"/>
      <c r="DX184" s="738"/>
      <c r="DY184" s="738"/>
      <c r="DZ184" s="738"/>
      <c r="EA184" s="738"/>
      <c r="EB184" s="738"/>
      <c r="EC184" s="738"/>
      <c r="ED184" s="738"/>
      <c r="EE184" s="738"/>
      <c r="EF184" s="738"/>
      <c r="EG184" s="738"/>
      <c r="EH184" s="738"/>
      <c r="EI184" s="738"/>
      <c r="EJ184" s="738"/>
      <c r="EK184" s="738"/>
      <c r="EL184" s="738"/>
      <c r="EM184" s="738"/>
      <c r="EN184" s="738"/>
      <c r="EO184" s="738"/>
      <c r="EP184" s="738"/>
      <c r="EQ184" s="738"/>
      <c r="ER184" s="738"/>
      <c r="ES184" s="738"/>
      <c r="ET184" s="738"/>
      <c r="EU184" s="738"/>
      <c r="EV184" s="738"/>
      <c r="EW184" s="738"/>
      <c r="EX184" s="738"/>
      <c r="EY184" s="738"/>
      <c r="EZ184" s="738"/>
      <c r="FA184" s="738"/>
      <c r="FB184" s="738"/>
      <c r="FC184" s="738"/>
      <c r="FD184" s="738"/>
      <c r="FE184" s="738"/>
      <c r="FF184" s="738"/>
      <c r="FG184" s="738"/>
      <c r="FH184" s="738"/>
      <c r="FI184" s="738"/>
      <c r="FJ184" s="738"/>
      <c r="FK184" s="738"/>
      <c r="FL184" s="738"/>
      <c r="FM184" s="738"/>
      <c r="FN184" s="738"/>
      <c r="FO184" s="738"/>
      <c r="FP184" s="738"/>
      <c r="FQ184" s="738"/>
      <c r="FR184" s="738"/>
      <c r="FS184" s="738"/>
      <c r="FT184" s="738"/>
      <c r="FU184" s="738"/>
      <c r="FV184" s="738"/>
      <c r="FW184" s="738"/>
      <c r="FX184" s="738"/>
      <c r="FY184" s="738"/>
      <c r="FZ184" s="738"/>
      <c r="GA184" s="738"/>
      <c r="GB184" s="738"/>
      <c r="GC184" s="738"/>
      <c r="GD184" s="738"/>
      <c r="GE184" s="738"/>
      <c r="GF184" s="738"/>
      <c r="GG184" s="738"/>
      <c r="GH184" s="738"/>
      <c r="GI184" s="738"/>
      <c r="GJ184" s="738"/>
      <c r="GK184" s="738"/>
      <c r="GL184" s="738"/>
      <c r="GM184" s="738"/>
      <c r="GN184" s="738"/>
      <c r="GO184" s="738"/>
      <c r="GP184" s="738"/>
      <c r="GQ184" s="738"/>
      <c r="GR184" s="738"/>
      <c r="GS184" s="738"/>
      <c r="GT184" s="738"/>
      <c r="GU184" s="738"/>
      <c r="GV184" s="738"/>
      <c r="GW184" s="738"/>
      <c r="GX184" s="738"/>
      <c r="GY184" s="738"/>
      <c r="GZ184" s="738"/>
      <c r="HA184" s="738"/>
      <c r="HB184" s="738"/>
      <c r="HC184" s="738"/>
      <c r="HD184" s="738"/>
      <c r="HE184" s="738"/>
      <c r="HF184" s="738"/>
      <c r="HG184" s="738"/>
      <c r="HH184" s="738"/>
      <c r="HI184" s="738"/>
      <c r="HJ184" s="738"/>
      <c r="HK184" s="738"/>
      <c r="HL184" s="738"/>
      <c r="HM184" s="738"/>
      <c r="HN184" s="738"/>
      <c r="HO184" s="738"/>
      <c r="HP184" s="738"/>
      <c r="HQ184" s="738"/>
      <c r="HR184" s="738"/>
      <c r="HS184" s="738"/>
      <c r="HT184" s="738"/>
      <c r="HU184" s="738"/>
      <c r="HV184" s="738"/>
      <c r="HW184" s="738"/>
      <c r="HX184" s="738"/>
      <c r="HY184" s="738"/>
      <c r="HZ184" s="738"/>
      <c r="IA184" s="738"/>
      <c r="IB184" s="738"/>
      <c r="IC184" s="738"/>
      <c r="ID184" s="738"/>
      <c r="IE184" s="738"/>
      <c r="IF184" s="738"/>
      <c r="IG184" s="738"/>
      <c r="IH184" s="738"/>
      <c r="II184" s="738"/>
      <c r="IJ184" s="738"/>
      <c r="IK184" s="738"/>
      <c r="IL184" s="738"/>
      <c r="IM184" s="738"/>
      <c r="IN184" s="738"/>
      <c r="IO184" s="738"/>
      <c r="IP184" s="738"/>
      <c r="IQ184" s="738"/>
      <c r="IR184" s="738"/>
      <c r="IS184" s="738"/>
      <c r="IT184" s="738"/>
      <c r="IU184" s="738"/>
      <c r="IV184" s="738"/>
      <c r="IW184" s="738"/>
      <c r="IX184" s="738"/>
      <c r="IY184" s="738"/>
      <c r="IZ184" s="738"/>
      <c r="JA184" s="738"/>
      <c r="JB184" s="738"/>
      <c r="JC184" s="738"/>
      <c r="JD184" s="738"/>
      <c r="JE184" s="738"/>
      <c r="JF184" s="738"/>
      <c r="JG184" s="738"/>
      <c r="JH184" s="738"/>
      <c r="JI184" s="738"/>
      <c r="JJ184" s="738"/>
    </row>
    <row r="185" spans="1:270" ht="15.75" customHeight="1" thickBot="1" x14ac:dyDescent="0.3">
      <c r="A185" s="830" t="s">
        <v>1243</v>
      </c>
      <c r="B185" s="905"/>
      <c r="C185" s="832"/>
      <c r="D185" s="833"/>
      <c r="E185" s="833"/>
      <c r="F185" s="831"/>
      <c r="G185" s="831"/>
      <c r="H185" s="831"/>
      <c r="I185" s="834">
        <f>SUM(I124:I184)</f>
        <v>22019710.159999996</v>
      </c>
      <c r="J185" s="834">
        <f>SUM(J124:J184)</f>
        <v>1100985.5079999999</v>
      </c>
      <c r="K185" s="834">
        <f>SUM(K124:K141)</f>
        <v>0</v>
      </c>
      <c r="L185" s="834">
        <f>SUM(L124:L141)</f>
        <v>0</v>
      </c>
      <c r="M185" s="834">
        <f t="shared" ref="M185:AL185" si="124">SUM(M124:M184)</f>
        <v>14789788.899999999</v>
      </c>
      <c r="N185" s="834">
        <f t="shared" si="124"/>
        <v>11248</v>
      </c>
      <c r="O185" s="834">
        <f t="shared" si="124"/>
        <v>1173308</v>
      </c>
      <c r="P185" s="834">
        <f t="shared" si="124"/>
        <v>1173308</v>
      </c>
      <c r="Q185" s="834">
        <f t="shared" si="124"/>
        <v>13616480.899999999</v>
      </c>
      <c r="R185" s="834">
        <f t="shared" si="124"/>
        <v>13616480.899999999</v>
      </c>
      <c r="S185" s="834">
        <f t="shared" si="124"/>
        <v>14789788.899999999</v>
      </c>
      <c r="T185" s="834">
        <f t="shared" si="124"/>
        <v>12444</v>
      </c>
      <c r="U185" s="834">
        <f t="shared" si="124"/>
        <v>1146631</v>
      </c>
      <c r="V185" s="834">
        <f t="shared" si="124"/>
        <v>2319939</v>
      </c>
      <c r="W185" s="834">
        <f t="shared" si="124"/>
        <v>12469849.899999999</v>
      </c>
      <c r="X185" s="834">
        <f t="shared" si="124"/>
        <v>12469849.899999999</v>
      </c>
      <c r="Y185" s="834">
        <f t="shared" si="124"/>
        <v>14795038.899999999</v>
      </c>
      <c r="Z185" s="834">
        <f t="shared" si="124"/>
        <v>12544</v>
      </c>
      <c r="AA185" s="834">
        <f t="shared" si="124"/>
        <v>1405140</v>
      </c>
      <c r="AB185" s="834">
        <f t="shared" si="124"/>
        <v>3725079</v>
      </c>
      <c r="AC185" s="834">
        <f t="shared" si="124"/>
        <v>11069959.899999999</v>
      </c>
      <c r="AD185" s="834">
        <f t="shared" si="124"/>
        <v>11069959.899999999</v>
      </c>
      <c r="AE185" s="834">
        <f t="shared" si="124"/>
        <v>15065301.319999998</v>
      </c>
      <c r="AF185" s="834">
        <f t="shared" si="124"/>
        <v>13948</v>
      </c>
      <c r="AG185" s="834">
        <f t="shared" si="124"/>
        <v>1416114</v>
      </c>
      <c r="AH185" s="834">
        <f t="shared" si="124"/>
        <v>5141193</v>
      </c>
      <c r="AI185" s="834">
        <f t="shared" si="124"/>
        <v>9924108.3199999984</v>
      </c>
      <c r="AJ185" s="834">
        <f t="shared" si="124"/>
        <v>9924108.3199999984</v>
      </c>
      <c r="AK185" s="834">
        <f t="shared" si="124"/>
        <v>15090714.159999998</v>
      </c>
      <c r="AL185" s="834">
        <f t="shared" si="124"/>
        <v>15248</v>
      </c>
      <c r="AM185" s="834">
        <f>SUM(AM124:AM184)+117121</f>
        <v>1549114</v>
      </c>
      <c r="AN185" s="834">
        <f>SUM(AN124:AN184)-97293</f>
        <v>6475893</v>
      </c>
      <c r="AO185" s="873">
        <f>SUM(AO124:AO184)</f>
        <v>8517528.1600000001</v>
      </c>
      <c r="AP185" s="873">
        <f>SUM(AP124:AP184)</f>
        <v>8517528.1600000001</v>
      </c>
      <c r="AQ185" s="873">
        <f>SUM(AQ124:AQ184)</f>
        <v>22019710.159999996</v>
      </c>
      <c r="AR185" s="873">
        <f>SUM(AR124:AR184)</f>
        <v>17996</v>
      </c>
      <c r="AS185" s="873">
        <f>SUM(AS124:AS184)</f>
        <v>1590674</v>
      </c>
      <c r="AT185" s="873">
        <f>SUM(AT124:AT184)-97293</f>
        <v>8066567</v>
      </c>
      <c r="AU185" s="873">
        <f>+AQ185-AT185</f>
        <v>13953143.159999996</v>
      </c>
    </row>
    <row r="186" spans="1:270" ht="15.75" customHeight="1" x14ac:dyDescent="0.25">
      <c r="A186" s="906"/>
      <c r="C186" s="838"/>
      <c r="D186" s="839"/>
      <c r="E186" s="839"/>
      <c r="I186" s="874"/>
      <c r="J186" s="907"/>
      <c r="K186" s="874"/>
      <c r="L186" s="874"/>
      <c r="M186" s="874"/>
      <c r="N186" s="874"/>
      <c r="O186" s="874"/>
      <c r="P186" s="874"/>
      <c r="Q186" s="874"/>
      <c r="R186" s="874"/>
      <c r="S186" s="874"/>
      <c r="T186" s="874"/>
      <c r="U186" s="874"/>
      <c r="V186" s="874"/>
      <c r="W186" s="874"/>
      <c r="X186" s="874"/>
      <c r="Y186" s="874"/>
      <c r="Z186" s="874"/>
      <c r="AA186" s="874"/>
      <c r="AB186" s="874"/>
      <c r="AC186" s="874"/>
      <c r="AD186" s="874"/>
      <c r="AE186" s="874"/>
      <c r="AF186" s="874"/>
      <c r="AG186" s="874"/>
      <c r="AH186" s="874"/>
      <c r="AI186" s="874"/>
      <c r="AJ186" s="874"/>
      <c r="AK186" s="874"/>
      <c r="AL186" s="874"/>
      <c r="AM186" s="874"/>
      <c r="AN186" s="874"/>
      <c r="AO186" s="874"/>
    </row>
    <row r="187" spans="1:270" ht="15" customHeight="1" thickBot="1" x14ac:dyDescent="0.3">
      <c r="A187" s="908" t="s">
        <v>133</v>
      </c>
      <c r="B187" s="879" t="s">
        <v>1244</v>
      </c>
      <c r="C187" s="880">
        <f t="shared" ref="C187:C250" si="125">(95/D187)/100</f>
        <v>9.5000000000000001E-2</v>
      </c>
      <c r="D187" s="881">
        <v>10</v>
      </c>
      <c r="E187" s="882" t="s">
        <v>1182</v>
      </c>
      <c r="F187" s="909">
        <v>43191</v>
      </c>
      <c r="G187" s="884">
        <f>F187</f>
        <v>43191</v>
      </c>
      <c r="H187" s="884">
        <f t="shared" ref="H187:H305" si="126">G187+(365*D187)</f>
        <v>46841</v>
      </c>
      <c r="I187" s="885">
        <v>200000</v>
      </c>
      <c r="J187" s="886">
        <f t="shared" ref="J187:J250" si="127">I187*5%</f>
        <v>10000</v>
      </c>
      <c r="K187" s="887"/>
      <c r="L187" s="888">
        <v>0</v>
      </c>
      <c r="M187" s="889">
        <f>I187</f>
        <v>200000</v>
      </c>
      <c r="N187" s="890">
        <f>IF(AND(F187&gt;$K$3,F187&lt;$L$3),$L$3-F187+1,IF(H187&lt;=$K$3,0,IF(H187&gt;$L$3,$L$3-$K$3,H187-$K$3)))</f>
        <v>365</v>
      </c>
      <c r="O187" s="890">
        <f>ROUND(M187*C187*N187/365,0)</f>
        <v>19000</v>
      </c>
      <c r="P187" s="889">
        <f>O187</f>
        <v>19000</v>
      </c>
      <c r="Q187" s="891">
        <f t="shared" ref="Q187:Q280" si="128">+M187-P187</f>
        <v>181000</v>
      </c>
      <c r="R187" s="841">
        <f t="shared" ref="R187:R304" si="129">+Q187</f>
        <v>181000</v>
      </c>
      <c r="S187" s="894">
        <f>I187</f>
        <v>200000</v>
      </c>
      <c r="T187" s="910">
        <f>IF(AND(F187&gt;$L$3,F187&lt;$R$3),$R$3-F187+1,IF(H187&lt;=$L$3,0,IF(H187&gt;$R$3,$R$3-$L$3,H187-$L$3)))</f>
        <v>366</v>
      </c>
      <c r="U187" s="910">
        <f>ROUND(S187*C187*T187/366,0)</f>
        <v>19000</v>
      </c>
      <c r="V187" s="894">
        <f>+P187+U187</f>
        <v>38000</v>
      </c>
      <c r="W187" s="911">
        <f t="shared" ref="W187:W250" si="130">+S187-V187</f>
        <v>162000</v>
      </c>
      <c r="X187" s="888">
        <f t="shared" ref="X187:X304" si="131">W187</f>
        <v>162000</v>
      </c>
      <c r="Y187" s="886">
        <f>I187</f>
        <v>200000</v>
      </c>
      <c r="Z187" s="886">
        <f>IF(AND(F187&gt;$R$3,F187&lt;$X$3),$X$3-F187+1,IF(H187&lt;=$R$3,0,IF(H187&gt;$X$3,$X$3-$R$3,H187-$R$3)))</f>
        <v>365</v>
      </c>
      <c r="AA187" s="886">
        <f>ROUND(Y187*C187*Z187/365,0)</f>
        <v>19000</v>
      </c>
      <c r="AB187" s="886">
        <f>+V187+AA187</f>
        <v>57000</v>
      </c>
      <c r="AC187" s="893">
        <f t="shared" ref="AC187:AC250" si="132">Y187-AB187</f>
        <v>143000</v>
      </c>
      <c r="AD187" s="892">
        <f t="shared" ref="AD187:AD304" si="133">AC187</f>
        <v>143000</v>
      </c>
      <c r="AE187" s="889">
        <f>I187</f>
        <v>200000</v>
      </c>
      <c r="AF187" s="890">
        <f>IF(AND(F187&gt;$X$3,F187&lt;$AD$3),$AD$3-F187+1,IF(H187&lt;=$X$3,0,IF(H187&gt;$AD$3,$AD$3-$X$3,H187-$X$3)))</f>
        <v>365</v>
      </c>
      <c r="AG187" s="890">
        <f>ROUND(AE187*C187*AF187/365,0)</f>
        <v>19000</v>
      </c>
      <c r="AH187" s="886">
        <f>+AB187+AG187</f>
        <v>76000</v>
      </c>
      <c r="AI187" s="886">
        <f t="shared" ref="AI187:AI303" si="134">AE187-AH187</f>
        <v>124000</v>
      </c>
      <c r="AJ187" s="889">
        <f t="shared" ref="AJ187:AJ250" si="135">AI187</f>
        <v>124000</v>
      </c>
      <c r="AK187" s="889">
        <f t="shared" ref="AK187:AK250" si="136">I187</f>
        <v>200000</v>
      </c>
      <c r="AL187" s="890">
        <f t="shared" ref="AL187:AL250" si="137">IF(AND(F187&gt;$AD$3,F187&lt;$AJ$3),$AJ$3-F187+1,IF(H187&lt;=$AD$3,0,IF(H187&gt;$AJ$3,$AJ$3-$AD$3,H187-$AD$3)))</f>
        <v>365</v>
      </c>
      <c r="AM187" s="890">
        <f t="shared" ref="AM187:AM250" si="138">ROUND(AK187*C187*AL187/365,0)</f>
        <v>19000</v>
      </c>
      <c r="AN187" s="886">
        <f t="shared" ref="AN187:AN250" si="139">+AH187+AM187</f>
        <v>95000</v>
      </c>
      <c r="AO187" s="886">
        <f t="shared" ref="AO187:AO250" si="140">AK187-AN187</f>
        <v>105000</v>
      </c>
      <c r="AP187" s="808">
        <f t="shared" ref="AP187:AP250" si="141">+AO187</f>
        <v>105000</v>
      </c>
      <c r="AQ187" s="808">
        <f t="shared" ref="AQ187:AQ250" si="142">I187</f>
        <v>200000</v>
      </c>
      <c r="AR187" s="809">
        <f t="shared" ref="AR187:AR250" si="143">IF(AND(F187&gt;$AJ$3,F187&lt;$AP$3),$AP$3-F187+1,IF(H187&lt;=$AJ$3,0,IF(H187&gt;$AP$3,$AP$3-$AJ$3,H187-$AJ$3)))</f>
        <v>366</v>
      </c>
      <c r="AS187" s="809">
        <f t="shared" ref="AS187:AS250" si="144">ROUND(AQ187*C187*AR187/365,0)</f>
        <v>19052</v>
      </c>
      <c r="AT187" s="808">
        <f t="shared" ref="AT187:AT250" si="145">+AN187+AS187</f>
        <v>114052</v>
      </c>
      <c r="AU187" s="808">
        <f t="shared" ref="AU187:AU250" si="146">+AQ187-AT187</f>
        <v>85948</v>
      </c>
    </row>
    <row r="188" spans="1:270" ht="15" customHeight="1" x14ac:dyDescent="0.25">
      <c r="A188" s="842" t="s">
        <v>133</v>
      </c>
      <c r="B188" s="843" t="s">
        <v>1245</v>
      </c>
      <c r="C188" s="778">
        <f t="shared" si="125"/>
        <v>9.5000000000000001E-2</v>
      </c>
      <c r="D188" s="844">
        <v>10</v>
      </c>
      <c r="E188" s="779" t="s">
        <v>1182</v>
      </c>
      <c r="F188" s="845">
        <v>43191</v>
      </c>
      <c r="G188" s="781">
        <f t="shared" ref="G188:G251" si="147">F188</f>
        <v>43191</v>
      </c>
      <c r="H188" s="781">
        <f t="shared" si="126"/>
        <v>46841</v>
      </c>
      <c r="I188" s="795">
        <v>5084.72</v>
      </c>
      <c r="J188" s="783">
        <f t="shared" si="127"/>
        <v>254.23600000000002</v>
      </c>
      <c r="K188" s="887"/>
      <c r="L188" s="846">
        <v>0</v>
      </c>
      <c r="M188" s="790">
        <f t="shared" ref="M188:M251" si="148">I188</f>
        <v>5084.72</v>
      </c>
      <c r="N188" s="791">
        <f t="shared" ref="N188:N251" si="149">IF(AND(F188&gt;$K$3,F188&lt;$L$3),$L$3-F188+1,IF(H188&lt;=$K$3,0,IF(H188&gt;$L$3,$L$3-$K$3,H188-$K$3)))</f>
        <v>365</v>
      </c>
      <c r="O188" s="791">
        <f t="shared" ref="O188:O251" si="150">ROUND(M188*C188*N188/365,0)</f>
        <v>483</v>
      </c>
      <c r="P188" s="790">
        <f t="shared" ref="P188:P251" si="151">O188</f>
        <v>483</v>
      </c>
      <c r="Q188" s="847">
        <f t="shared" si="128"/>
        <v>4601.72</v>
      </c>
      <c r="R188" s="912">
        <f t="shared" si="129"/>
        <v>4601.72</v>
      </c>
      <c r="S188" s="786">
        <f>I188</f>
        <v>5084.72</v>
      </c>
      <c r="T188" s="913">
        <f>IF(AND(F188&gt;$L$3,F188&lt;$R$3),$R$3-F188+1,IF(H188&lt;=$L$3,0,IF(H188&gt;$R$3,$R$3-$L$3,H188-$L$3)))</f>
        <v>366</v>
      </c>
      <c r="U188" s="913">
        <f>ROUND(S188*C188*T188/366,0)</f>
        <v>483</v>
      </c>
      <c r="V188" s="786">
        <f>+P188+U188</f>
        <v>966</v>
      </c>
      <c r="W188" s="788">
        <f t="shared" si="130"/>
        <v>4118.72</v>
      </c>
      <c r="X188" s="846">
        <f t="shared" si="131"/>
        <v>4118.72</v>
      </c>
      <c r="Y188" s="783">
        <f>I188</f>
        <v>5084.72</v>
      </c>
      <c r="Z188" s="783">
        <f>IF(AND(F188&gt;$R$3,F188&lt;$X$3),$X$3-F188+1,IF(H188&lt;=$R$3,0,IF(H188&gt;$X$3,$X$3-$R$3,H188-$R$3)))</f>
        <v>365</v>
      </c>
      <c r="AA188" s="783">
        <f>ROUND(Y188*C188*Z188/365,0)</f>
        <v>483</v>
      </c>
      <c r="AB188" s="783">
        <f>+V188+AA188</f>
        <v>1449</v>
      </c>
      <c r="AC188" s="848">
        <f t="shared" si="132"/>
        <v>3635.7200000000003</v>
      </c>
      <c r="AD188" s="789">
        <f t="shared" si="133"/>
        <v>3635.7200000000003</v>
      </c>
      <c r="AE188" s="790">
        <f>I188</f>
        <v>5084.72</v>
      </c>
      <c r="AF188" s="791">
        <f>IF(AND(F188&gt;$X$3,F188&lt;$AD$3),$AD$3-F188+1,IF(H188&lt;=$X$3,0,IF(H188&gt;$AD$3,$AD$3-$X$3,H188-$X$3)))</f>
        <v>365</v>
      </c>
      <c r="AG188" s="791">
        <f>ROUND(AE188*C188*AF188/365,0)</f>
        <v>483</v>
      </c>
      <c r="AH188" s="783">
        <f>+AB188+AG188</f>
        <v>1932</v>
      </c>
      <c r="AI188" s="783">
        <f t="shared" si="134"/>
        <v>3152.7200000000003</v>
      </c>
      <c r="AJ188" s="790">
        <f t="shared" si="135"/>
        <v>3152.7200000000003</v>
      </c>
      <c r="AK188" s="790">
        <f t="shared" si="136"/>
        <v>5084.72</v>
      </c>
      <c r="AL188" s="791">
        <f t="shared" si="137"/>
        <v>365</v>
      </c>
      <c r="AM188" s="791">
        <f t="shared" si="138"/>
        <v>483</v>
      </c>
      <c r="AN188" s="783">
        <f t="shared" si="139"/>
        <v>2415</v>
      </c>
      <c r="AO188" s="783">
        <f t="shared" si="140"/>
        <v>2669.7200000000003</v>
      </c>
      <c r="AP188" s="808">
        <f t="shared" si="141"/>
        <v>2669.7200000000003</v>
      </c>
      <c r="AQ188" s="808">
        <f t="shared" si="142"/>
        <v>5084.72</v>
      </c>
      <c r="AR188" s="809">
        <f t="shared" si="143"/>
        <v>366</v>
      </c>
      <c r="AS188" s="809">
        <f t="shared" si="144"/>
        <v>484</v>
      </c>
      <c r="AT188" s="808">
        <f t="shared" si="145"/>
        <v>2899</v>
      </c>
      <c r="AU188" s="808">
        <f t="shared" si="146"/>
        <v>2185.7200000000003</v>
      </c>
    </row>
    <row r="189" spans="1:270" ht="15" customHeight="1" x14ac:dyDescent="0.25">
      <c r="A189" s="842" t="s">
        <v>133</v>
      </c>
      <c r="B189" s="843" t="s">
        <v>1246</v>
      </c>
      <c r="C189" s="778">
        <f t="shared" si="125"/>
        <v>9.5000000000000001E-2</v>
      </c>
      <c r="D189" s="844">
        <v>10</v>
      </c>
      <c r="E189" s="779" t="s">
        <v>1182</v>
      </c>
      <c r="F189" s="845">
        <v>43191</v>
      </c>
      <c r="G189" s="781">
        <f t="shared" si="147"/>
        <v>43191</v>
      </c>
      <c r="H189" s="781">
        <f t="shared" si="126"/>
        <v>46841</v>
      </c>
      <c r="I189" s="795">
        <v>512500</v>
      </c>
      <c r="J189" s="783">
        <f t="shared" si="127"/>
        <v>25625</v>
      </c>
      <c r="K189" s="887"/>
      <c r="L189" s="846">
        <v>0</v>
      </c>
      <c r="M189" s="790">
        <f t="shared" si="148"/>
        <v>512500</v>
      </c>
      <c r="N189" s="791">
        <f t="shared" si="149"/>
        <v>365</v>
      </c>
      <c r="O189" s="791">
        <f t="shared" si="150"/>
        <v>48688</v>
      </c>
      <c r="P189" s="790">
        <f t="shared" si="151"/>
        <v>48688</v>
      </c>
      <c r="Q189" s="847">
        <f t="shared" si="128"/>
        <v>463812</v>
      </c>
      <c r="R189" s="914">
        <f t="shared" si="129"/>
        <v>463812</v>
      </c>
      <c r="S189" s="790">
        <f t="shared" ref="S189:S252" si="152">I189</f>
        <v>512500</v>
      </c>
      <c r="T189" s="792">
        <f t="shared" ref="T189:T252" si="153">IF(AND(F189&gt;$L$3,F189&lt;$R$3),$R$3-F189+1,IF(H189&lt;=$L$3,0,IF(H189&gt;$R$3,$R$3-$L$3,H189-$L$3)))</f>
        <v>366</v>
      </c>
      <c r="U189" s="792">
        <f t="shared" ref="U189:U252" si="154">ROUND(S189*C189*T189/366,0)</f>
        <v>48688</v>
      </c>
      <c r="V189" s="790">
        <f t="shared" ref="V189:V252" si="155">+P189+U189</f>
        <v>97376</v>
      </c>
      <c r="W189" s="847">
        <f t="shared" si="130"/>
        <v>415124</v>
      </c>
      <c r="X189" s="846">
        <f t="shared" si="131"/>
        <v>415124</v>
      </c>
      <c r="Y189" s="783">
        <f t="shared" ref="Y189:Y252" si="156">I189</f>
        <v>512500</v>
      </c>
      <c r="Z189" s="783">
        <f t="shared" ref="Z189:Z252" si="157">IF(AND(F189&gt;$R$3,F189&lt;$X$3),$X$3-F189+1,IF(H189&lt;=$R$3,0,IF(H189&gt;$X$3,$X$3-$R$3,H189-$R$3)))</f>
        <v>365</v>
      </c>
      <c r="AA189" s="783">
        <f t="shared" ref="AA189:AA252" si="158">ROUND(Y189*C189*Z189/365,0)</f>
        <v>48688</v>
      </c>
      <c r="AB189" s="783">
        <f t="shared" ref="AB189:AB252" si="159">+V189+AA189</f>
        <v>146064</v>
      </c>
      <c r="AC189" s="848">
        <f t="shared" si="132"/>
        <v>366436</v>
      </c>
      <c r="AD189" s="789">
        <f t="shared" si="133"/>
        <v>366436</v>
      </c>
      <c r="AE189" s="790">
        <f t="shared" ref="AE189:AE252" si="160">I189</f>
        <v>512500</v>
      </c>
      <c r="AF189" s="791">
        <f t="shared" ref="AF189:AF252" si="161">IF(AND(F189&gt;$X$3,F189&lt;$AD$3),$AD$3-F189+1,IF(H189&lt;=$X$3,0,IF(H189&gt;$AD$3,$AD$3-$X$3,H189-$X$3)))</f>
        <v>365</v>
      </c>
      <c r="AG189" s="791">
        <f t="shared" ref="AG189:AG252" si="162">ROUND(AE189*C189*AF189/365,0)</f>
        <v>48688</v>
      </c>
      <c r="AH189" s="783">
        <f t="shared" ref="AH189:AH252" si="163">+AB189+AG189</f>
        <v>194752</v>
      </c>
      <c r="AI189" s="783">
        <f t="shared" si="134"/>
        <v>317748</v>
      </c>
      <c r="AJ189" s="790">
        <f t="shared" si="135"/>
        <v>317748</v>
      </c>
      <c r="AK189" s="790">
        <f t="shared" si="136"/>
        <v>512500</v>
      </c>
      <c r="AL189" s="791">
        <f t="shared" si="137"/>
        <v>365</v>
      </c>
      <c r="AM189" s="791">
        <f t="shared" si="138"/>
        <v>48688</v>
      </c>
      <c r="AN189" s="783">
        <f t="shared" si="139"/>
        <v>243440</v>
      </c>
      <c r="AO189" s="783">
        <f t="shared" si="140"/>
        <v>269060</v>
      </c>
      <c r="AP189" s="808">
        <f t="shared" si="141"/>
        <v>269060</v>
      </c>
      <c r="AQ189" s="808">
        <f t="shared" si="142"/>
        <v>512500</v>
      </c>
      <c r="AR189" s="809">
        <f t="shared" si="143"/>
        <v>366</v>
      </c>
      <c r="AS189" s="809">
        <f t="shared" si="144"/>
        <v>48821</v>
      </c>
      <c r="AT189" s="808">
        <f t="shared" si="145"/>
        <v>292261</v>
      </c>
      <c r="AU189" s="808">
        <f t="shared" si="146"/>
        <v>220239</v>
      </c>
    </row>
    <row r="190" spans="1:270" ht="15" customHeight="1" x14ac:dyDescent="0.25">
      <c r="A190" s="842" t="s">
        <v>133</v>
      </c>
      <c r="B190" s="843" t="s">
        <v>1247</v>
      </c>
      <c r="C190" s="778">
        <f t="shared" si="125"/>
        <v>9.5000000000000001E-2</v>
      </c>
      <c r="D190" s="844">
        <v>10</v>
      </c>
      <c r="E190" s="779" t="s">
        <v>1182</v>
      </c>
      <c r="F190" s="845">
        <v>43191</v>
      </c>
      <c r="G190" s="781">
        <f t="shared" si="147"/>
        <v>43191</v>
      </c>
      <c r="H190" s="781">
        <f t="shared" si="126"/>
        <v>46841</v>
      </c>
      <c r="I190" s="795">
        <v>1091000</v>
      </c>
      <c r="J190" s="783">
        <f t="shared" si="127"/>
        <v>54550</v>
      </c>
      <c r="K190" s="887"/>
      <c r="L190" s="846">
        <v>0</v>
      </c>
      <c r="M190" s="790">
        <f t="shared" si="148"/>
        <v>1091000</v>
      </c>
      <c r="N190" s="791">
        <f t="shared" si="149"/>
        <v>365</v>
      </c>
      <c r="O190" s="791">
        <f t="shared" si="150"/>
        <v>103645</v>
      </c>
      <c r="P190" s="790">
        <f t="shared" si="151"/>
        <v>103645</v>
      </c>
      <c r="Q190" s="847">
        <f t="shared" si="128"/>
        <v>987355</v>
      </c>
      <c r="R190" s="914">
        <f t="shared" si="129"/>
        <v>987355</v>
      </c>
      <c r="S190" s="790">
        <f t="shared" si="152"/>
        <v>1091000</v>
      </c>
      <c r="T190" s="792">
        <f t="shared" si="153"/>
        <v>366</v>
      </c>
      <c r="U190" s="792">
        <f t="shared" si="154"/>
        <v>103645</v>
      </c>
      <c r="V190" s="790">
        <f t="shared" si="155"/>
        <v>207290</v>
      </c>
      <c r="W190" s="847">
        <f t="shared" si="130"/>
        <v>883710</v>
      </c>
      <c r="X190" s="846">
        <f t="shared" si="131"/>
        <v>883710</v>
      </c>
      <c r="Y190" s="783">
        <f t="shared" si="156"/>
        <v>1091000</v>
      </c>
      <c r="Z190" s="783">
        <f t="shared" si="157"/>
        <v>365</v>
      </c>
      <c r="AA190" s="783">
        <f t="shared" si="158"/>
        <v>103645</v>
      </c>
      <c r="AB190" s="783">
        <f t="shared" si="159"/>
        <v>310935</v>
      </c>
      <c r="AC190" s="848">
        <f t="shared" si="132"/>
        <v>780065</v>
      </c>
      <c r="AD190" s="789">
        <f t="shared" si="133"/>
        <v>780065</v>
      </c>
      <c r="AE190" s="790">
        <f t="shared" si="160"/>
        <v>1091000</v>
      </c>
      <c r="AF190" s="791">
        <f t="shared" si="161"/>
        <v>365</v>
      </c>
      <c r="AG190" s="791">
        <f t="shared" si="162"/>
        <v>103645</v>
      </c>
      <c r="AH190" s="783">
        <f t="shared" si="163"/>
        <v>414580</v>
      </c>
      <c r="AI190" s="783">
        <f t="shared" si="134"/>
        <v>676420</v>
      </c>
      <c r="AJ190" s="790">
        <f t="shared" si="135"/>
        <v>676420</v>
      </c>
      <c r="AK190" s="790">
        <f t="shared" si="136"/>
        <v>1091000</v>
      </c>
      <c r="AL190" s="791">
        <f t="shared" si="137"/>
        <v>365</v>
      </c>
      <c r="AM190" s="791">
        <f t="shared" si="138"/>
        <v>103645</v>
      </c>
      <c r="AN190" s="783">
        <f t="shared" si="139"/>
        <v>518225</v>
      </c>
      <c r="AO190" s="783">
        <f t="shared" si="140"/>
        <v>572775</v>
      </c>
      <c r="AP190" s="808">
        <f t="shared" si="141"/>
        <v>572775</v>
      </c>
      <c r="AQ190" s="808">
        <f t="shared" si="142"/>
        <v>1091000</v>
      </c>
      <c r="AR190" s="809">
        <f t="shared" si="143"/>
        <v>366</v>
      </c>
      <c r="AS190" s="809">
        <f t="shared" si="144"/>
        <v>103929</v>
      </c>
      <c r="AT190" s="808">
        <f t="shared" si="145"/>
        <v>622154</v>
      </c>
      <c r="AU190" s="808">
        <f t="shared" si="146"/>
        <v>468846</v>
      </c>
    </row>
    <row r="191" spans="1:270" ht="15" customHeight="1" x14ac:dyDescent="0.25">
      <c r="A191" s="842" t="s">
        <v>133</v>
      </c>
      <c r="B191" s="843" t="s">
        <v>1248</v>
      </c>
      <c r="C191" s="778">
        <f t="shared" si="125"/>
        <v>9.5000000000000001E-2</v>
      </c>
      <c r="D191" s="844">
        <v>10</v>
      </c>
      <c r="E191" s="779" t="s">
        <v>1182</v>
      </c>
      <c r="F191" s="845">
        <v>43191</v>
      </c>
      <c r="G191" s="781">
        <f t="shared" si="147"/>
        <v>43191</v>
      </c>
      <c r="H191" s="781">
        <f t="shared" si="126"/>
        <v>46841</v>
      </c>
      <c r="I191" s="795">
        <v>24610</v>
      </c>
      <c r="J191" s="783">
        <f t="shared" si="127"/>
        <v>1230.5</v>
      </c>
      <c r="K191" s="887"/>
      <c r="L191" s="846">
        <v>0</v>
      </c>
      <c r="M191" s="790">
        <f t="shared" si="148"/>
        <v>24610</v>
      </c>
      <c r="N191" s="791">
        <f t="shared" si="149"/>
        <v>365</v>
      </c>
      <c r="O191" s="791">
        <f t="shared" si="150"/>
        <v>2338</v>
      </c>
      <c r="P191" s="790">
        <f t="shared" si="151"/>
        <v>2338</v>
      </c>
      <c r="Q191" s="847">
        <f t="shared" si="128"/>
        <v>22272</v>
      </c>
      <c r="R191" s="914">
        <f t="shared" si="129"/>
        <v>22272</v>
      </c>
      <c r="S191" s="790">
        <f t="shared" si="152"/>
        <v>24610</v>
      </c>
      <c r="T191" s="792">
        <f t="shared" si="153"/>
        <v>366</v>
      </c>
      <c r="U191" s="792">
        <f t="shared" si="154"/>
        <v>2338</v>
      </c>
      <c r="V191" s="790">
        <f t="shared" si="155"/>
        <v>4676</v>
      </c>
      <c r="W191" s="847">
        <f t="shared" si="130"/>
        <v>19934</v>
      </c>
      <c r="X191" s="846">
        <f t="shared" si="131"/>
        <v>19934</v>
      </c>
      <c r="Y191" s="783">
        <f t="shared" si="156"/>
        <v>24610</v>
      </c>
      <c r="Z191" s="783">
        <f t="shared" si="157"/>
        <v>365</v>
      </c>
      <c r="AA191" s="783">
        <f t="shared" si="158"/>
        <v>2338</v>
      </c>
      <c r="AB191" s="783">
        <f t="shared" si="159"/>
        <v>7014</v>
      </c>
      <c r="AC191" s="848">
        <f t="shared" si="132"/>
        <v>17596</v>
      </c>
      <c r="AD191" s="789">
        <f t="shared" si="133"/>
        <v>17596</v>
      </c>
      <c r="AE191" s="790">
        <f t="shared" si="160"/>
        <v>24610</v>
      </c>
      <c r="AF191" s="791">
        <f t="shared" si="161"/>
        <v>365</v>
      </c>
      <c r="AG191" s="791">
        <f t="shared" si="162"/>
        <v>2338</v>
      </c>
      <c r="AH191" s="783">
        <f t="shared" si="163"/>
        <v>9352</v>
      </c>
      <c r="AI191" s="783">
        <f t="shared" si="134"/>
        <v>15258</v>
      </c>
      <c r="AJ191" s="790">
        <f t="shared" si="135"/>
        <v>15258</v>
      </c>
      <c r="AK191" s="790">
        <f t="shared" si="136"/>
        <v>24610</v>
      </c>
      <c r="AL191" s="791">
        <f t="shared" si="137"/>
        <v>365</v>
      </c>
      <c r="AM191" s="791">
        <f t="shared" si="138"/>
        <v>2338</v>
      </c>
      <c r="AN191" s="783">
        <f t="shared" si="139"/>
        <v>11690</v>
      </c>
      <c r="AO191" s="783">
        <f t="shared" si="140"/>
        <v>12920</v>
      </c>
      <c r="AP191" s="808">
        <f t="shared" si="141"/>
        <v>12920</v>
      </c>
      <c r="AQ191" s="808">
        <f t="shared" si="142"/>
        <v>24610</v>
      </c>
      <c r="AR191" s="809">
        <f t="shared" si="143"/>
        <v>366</v>
      </c>
      <c r="AS191" s="809">
        <f t="shared" si="144"/>
        <v>2344</v>
      </c>
      <c r="AT191" s="808">
        <f t="shared" si="145"/>
        <v>14034</v>
      </c>
      <c r="AU191" s="808">
        <f t="shared" si="146"/>
        <v>10576</v>
      </c>
    </row>
    <row r="192" spans="1:270" ht="15" customHeight="1" x14ac:dyDescent="0.25">
      <c r="A192" s="842" t="s">
        <v>133</v>
      </c>
      <c r="B192" s="843" t="s">
        <v>1249</v>
      </c>
      <c r="C192" s="778">
        <f t="shared" si="125"/>
        <v>9.5000000000000001E-2</v>
      </c>
      <c r="D192" s="844">
        <v>10</v>
      </c>
      <c r="E192" s="779" t="s">
        <v>1182</v>
      </c>
      <c r="F192" s="845">
        <v>43191</v>
      </c>
      <c r="G192" s="781">
        <f t="shared" si="147"/>
        <v>43191</v>
      </c>
      <c r="H192" s="781">
        <f t="shared" si="126"/>
        <v>46841</v>
      </c>
      <c r="I192" s="795">
        <v>30000</v>
      </c>
      <c r="J192" s="783">
        <f t="shared" si="127"/>
        <v>1500</v>
      </c>
      <c r="K192" s="887"/>
      <c r="L192" s="846">
        <v>0</v>
      </c>
      <c r="M192" s="790">
        <f t="shared" si="148"/>
        <v>30000</v>
      </c>
      <c r="N192" s="791">
        <f t="shared" si="149"/>
        <v>365</v>
      </c>
      <c r="O192" s="791">
        <f t="shared" si="150"/>
        <v>2850</v>
      </c>
      <c r="P192" s="790">
        <f t="shared" si="151"/>
        <v>2850</v>
      </c>
      <c r="Q192" s="847">
        <f t="shared" si="128"/>
        <v>27150</v>
      </c>
      <c r="R192" s="914">
        <f t="shared" si="129"/>
        <v>27150</v>
      </c>
      <c r="S192" s="790">
        <f t="shared" si="152"/>
        <v>30000</v>
      </c>
      <c r="T192" s="792">
        <f t="shared" si="153"/>
        <v>366</v>
      </c>
      <c r="U192" s="792">
        <f t="shared" si="154"/>
        <v>2850</v>
      </c>
      <c r="V192" s="790">
        <f t="shared" si="155"/>
        <v>5700</v>
      </c>
      <c r="W192" s="847">
        <f t="shared" si="130"/>
        <v>24300</v>
      </c>
      <c r="X192" s="846">
        <f t="shared" si="131"/>
        <v>24300</v>
      </c>
      <c r="Y192" s="783">
        <f t="shared" si="156"/>
        <v>30000</v>
      </c>
      <c r="Z192" s="783">
        <f t="shared" si="157"/>
        <v>365</v>
      </c>
      <c r="AA192" s="783">
        <f t="shared" si="158"/>
        <v>2850</v>
      </c>
      <c r="AB192" s="783">
        <f t="shared" si="159"/>
        <v>8550</v>
      </c>
      <c r="AC192" s="848">
        <f t="shared" si="132"/>
        <v>21450</v>
      </c>
      <c r="AD192" s="789">
        <f t="shared" si="133"/>
        <v>21450</v>
      </c>
      <c r="AE192" s="790">
        <f t="shared" si="160"/>
        <v>30000</v>
      </c>
      <c r="AF192" s="791">
        <f t="shared" si="161"/>
        <v>365</v>
      </c>
      <c r="AG192" s="791">
        <f t="shared" si="162"/>
        <v>2850</v>
      </c>
      <c r="AH192" s="783">
        <f t="shared" si="163"/>
        <v>11400</v>
      </c>
      <c r="AI192" s="783">
        <f t="shared" si="134"/>
        <v>18600</v>
      </c>
      <c r="AJ192" s="790">
        <f t="shared" si="135"/>
        <v>18600</v>
      </c>
      <c r="AK192" s="790">
        <f t="shared" si="136"/>
        <v>30000</v>
      </c>
      <c r="AL192" s="791">
        <f t="shared" si="137"/>
        <v>365</v>
      </c>
      <c r="AM192" s="791">
        <f t="shared" si="138"/>
        <v>2850</v>
      </c>
      <c r="AN192" s="783">
        <f t="shared" si="139"/>
        <v>14250</v>
      </c>
      <c r="AO192" s="783">
        <f t="shared" si="140"/>
        <v>15750</v>
      </c>
      <c r="AP192" s="808">
        <f t="shared" si="141"/>
        <v>15750</v>
      </c>
      <c r="AQ192" s="808">
        <f t="shared" si="142"/>
        <v>30000</v>
      </c>
      <c r="AR192" s="809">
        <f t="shared" si="143"/>
        <v>366</v>
      </c>
      <c r="AS192" s="809">
        <f t="shared" si="144"/>
        <v>2858</v>
      </c>
      <c r="AT192" s="808">
        <f t="shared" si="145"/>
        <v>17108</v>
      </c>
      <c r="AU192" s="808">
        <f t="shared" si="146"/>
        <v>12892</v>
      </c>
    </row>
    <row r="193" spans="1:47" ht="15" customHeight="1" x14ac:dyDescent="0.25">
      <c r="A193" s="842" t="s">
        <v>133</v>
      </c>
      <c r="B193" s="843" t="s">
        <v>1250</v>
      </c>
      <c r="C193" s="778">
        <f t="shared" si="125"/>
        <v>9.5000000000000001E-2</v>
      </c>
      <c r="D193" s="844">
        <v>10</v>
      </c>
      <c r="E193" s="779" t="s">
        <v>1182</v>
      </c>
      <c r="F193" s="845">
        <v>43191</v>
      </c>
      <c r="G193" s="781">
        <f t="shared" si="147"/>
        <v>43191</v>
      </c>
      <c r="H193" s="781">
        <f t="shared" si="126"/>
        <v>46841</v>
      </c>
      <c r="I193" s="795">
        <v>1630500</v>
      </c>
      <c r="J193" s="783">
        <f t="shared" si="127"/>
        <v>81525</v>
      </c>
      <c r="K193" s="887"/>
      <c r="L193" s="846">
        <v>0</v>
      </c>
      <c r="M193" s="790">
        <f t="shared" si="148"/>
        <v>1630500</v>
      </c>
      <c r="N193" s="791">
        <f t="shared" si="149"/>
        <v>365</v>
      </c>
      <c r="O193" s="791">
        <f t="shared" si="150"/>
        <v>154898</v>
      </c>
      <c r="P193" s="790">
        <f t="shared" si="151"/>
        <v>154898</v>
      </c>
      <c r="Q193" s="847">
        <f t="shared" si="128"/>
        <v>1475602</v>
      </c>
      <c r="R193" s="914">
        <f t="shared" si="129"/>
        <v>1475602</v>
      </c>
      <c r="S193" s="790">
        <f t="shared" si="152"/>
        <v>1630500</v>
      </c>
      <c r="T193" s="792">
        <f t="shared" si="153"/>
        <v>366</v>
      </c>
      <c r="U193" s="792">
        <f t="shared" si="154"/>
        <v>154898</v>
      </c>
      <c r="V193" s="790">
        <f t="shared" si="155"/>
        <v>309796</v>
      </c>
      <c r="W193" s="847">
        <f t="shared" si="130"/>
        <v>1320704</v>
      </c>
      <c r="X193" s="846">
        <f t="shared" si="131"/>
        <v>1320704</v>
      </c>
      <c r="Y193" s="783">
        <f t="shared" si="156"/>
        <v>1630500</v>
      </c>
      <c r="Z193" s="783">
        <f t="shared" si="157"/>
        <v>365</v>
      </c>
      <c r="AA193" s="783">
        <f t="shared" si="158"/>
        <v>154898</v>
      </c>
      <c r="AB193" s="783">
        <f t="shared" si="159"/>
        <v>464694</v>
      </c>
      <c r="AC193" s="848">
        <f t="shared" si="132"/>
        <v>1165806</v>
      </c>
      <c r="AD193" s="789">
        <f t="shared" si="133"/>
        <v>1165806</v>
      </c>
      <c r="AE193" s="790">
        <f t="shared" si="160"/>
        <v>1630500</v>
      </c>
      <c r="AF193" s="791">
        <f t="shared" si="161"/>
        <v>365</v>
      </c>
      <c r="AG193" s="791">
        <f t="shared" si="162"/>
        <v>154898</v>
      </c>
      <c r="AH193" s="783">
        <f t="shared" si="163"/>
        <v>619592</v>
      </c>
      <c r="AI193" s="783">
        <f t="shared" si="134"/>
        <v>1010908</v>
      </c>
      <c r="AJ193" s="790">
        <f t="shared" si="135"/>
        <v>1010908</v>
      </c>
      <c r="AK193" s="790">
        <f t="shared" si="136"/>
        <v>1630500</v>
      </c>
      <c r="AL193" s="791">
        <f t="shared" si="137"/>
        <v>365</v>
      </c>
      <c r="AM193" s="791">
        <f t="shared" si="138"/>
        <v>154898</v>
      </c>
      <c r="AN193" s="783">
        <f t="shared" si="139"/>
        <v>774490</v>
      </c>
      <c r="AO193" s="783">
        <f t="shared" si="140"/>
        <v>856010</v>
      </c>
      <c r="AP193" s="808">
        <f t="shared" si="141"/>
        <v>856010</v>
      </c>
      <c r="AQ193" s="808">
        <f t="shared" si="142"/>
        <v>1630500</v>
      </c>
      <c r="AR193" s="809">
        <f t="shared" si="143"/>
        <v>366</v>
      </c>
      <c r="AS193" s="809">
        <f t="shared" si="144"/>
        <v>155322</v>
      </c>
      <c r="AT193" s="808">
        <f t="shared" si="145"/>
        <v>929812</v>
      </c>
      <c r="AU193" s="808">
        <f t="shared" si="146"/>
        <v>700688</v>
      </c>
    </row>
    <row r="194" spans="1:47" ht="15" customHeight="1" x14ac:dyDescent="0.25">
      <c r="A194" s="842" t="s">
        <v>133</v>
      </c>
      <c r="B194" s="843" t="s">
        <v>1251</v>
      </c>
      <c r="C194" s="778">
        <f t="shared" si="125"/>
        <v>9.5000000000000001E-2</v>
      </c>
      <c r="D194" s="844">
        <v>10</v>
      </c>
      <c r="E194" s="779" t="s">
        <v>1182</v>
      </c>
      <c r="F194" s="845">
        <v>43191</v>
      </c>
      <c r="G194" s="781">
        <f t="shared" si="147"/>
        <v>43191</v>
      </c>
      <c r="H194" s="781">
        <f t="shared" si="126"/>
        <v>46841</v>
      </c>
      <c r="I194" s="795">
        <v>23265</v>
      </c>
      <c r="J194" s="783">
        <f t="shared" si="127"/>
        <v>1163.25</v>
      </c>
      <c r="K194" s="887"/>
      <c r="L194" s="846">
        <v>0</v>
      </c>
      <c r="M194" s="790">
        <f t="shared" si="148"/>
        <v>23265</v>
      </c>
      <c r="N194" s="791">
        <f t="shared" si="149"/>
        <v>365</v>
      </c>
      <c r="O194" s="791">
        <f t="shared" si="150"/>
        <v>2210</v>
      </c>
      <c r="P194" s="790">
        <f t="shared" si="151"/>
        <v>2210</v>
      </c>
      <c r="Q194" s="847">
        <f t="shared" si="128"/>
        <v>21055</v>
      </c>
      <c r="R194" s="914">
        <f t="shared" si="129"/>
        <v>21055</v>
      </c>
      <c r="S194" s="790">
        <f t="shared" si="152"/>
        <v>23265</v>
      </c>
      <c r="T194" s="792">
        <f t="shared" si="153"/>
        <v>366</v>
      </c>
      <c r="U194" s="792">
        <f t="shared" si="154"/>
        <v>2210</v>
      </c>
      <c r="V194" s="790">
        <f t="shared" si="155"/>
        <v>4420</v>
      </c>
      <c r="W194" s="847">
        <f t="shared" si="130"/>
        <v>18845</v>
      </c>
      <c r="X194" s="846">
        <f t="shared" si="131"/>
        <v>18845</v>
      </c>
      <c r="Y194" s="783">
        <f t="shared" si="156"/>
        <v>23265</v>
      </c>
      <c r="Z194" s="783">
        <f t="shared" si="157"/>
        <v>365</v>
      </c>
      <c r="AA194" s="783">
        <f t="shared" si="158"/>
        <v>2210</v>
      </c>
      <c r="AB194" s="783">
        <f t="shared" si="159"/>
        <v>6630</v>
      </c>
      <c r="AC194" s="848">
        <f t="shared" si="132"/>
        <v>16635</v>
      </c>
      <c r="AD194" s="789">
        <f t="shared" si="133"/>
        <v>16635</v>
      </c>
      <c r="AE194" s="790">
        <f t="shared" si="160"/>
        <v>23265</v>
      </c>
      <c r="AF194" s="791">
        <f t="shared" si="161"/>
        <v>365</v>
      </c>
      <c r="AG194" s="791">
        <f t="shared" si="162"/>
        <v>2210</v>
      </c>
      <c r="AH194" s="783">
        <f t="shared" si="163"/>
        <v>8840</v>
      </c>
      <c r="AI194" s="783">
        <f t="shared" si="134"/>
        <v>14425</v>
      </c>
      <c r="AJ194" s="790">
        <f t="shared" si="135"/>
        <v>14425</v>
      </c>
      <c r="AK194" s="790">
        <f t="shared" si="136"/>
        <v>23265</v>
      </c>
      <c r="AL194" s="791">
        <f t="shared" si="137"/>
        <v>365</v>
      </c>
      <c r="AM194" s="791">
        <f t="shared" si="138"/>
        <v>2210</v>
      </c>
      <c r="AN194" s="783">
        <f t="shared" si="139"/>
        <v>11050</v>
      </c>
      <c r="AO194" s="783">
        <f t="shared" si="140"/>
        <v>12215</v>
      </c>
      <c r="AP194" s="808">
        <f t="shared" si="141"/>
        <v>12215</v>
      </c>
      <c r="AQ194" s="808">
        <f t="shared" si="142"/>
        <v>23265</v>
      </c>
      <c r="AR194" s="809">
        <f t="shared" si="143"/>
        <v>366</v>
      </c>
      <c r="AS194" s="809">
        <f t="shared" si="144"/>
        <v>2216</v>
      </c>
      <c r="AT194" s="808">
        <f t="shared" si="145"/>
        <v>13266</v>
      </c>
      <c r="AU194" s="808">
        <f t="shared" si="146"/>
        <v>9999</v>
      </c>
    </row>
    <row r="195" spans="1:47" ht="15" customHeight="1" x14ac:dyDescent="0.25">
      <c r="A195" s="842" t="s">
        <v>133</v>
      </c>
      <c r="B195" s="843" t="s">
        <v>1252</v>
      </c>
      <c r="C195" s="778">
        <f t="shared" si="125"/>
        <v>9.5000000000000001E-2</v>
      </c>
      <c r="D195" s="844">
        <v>10</v>
      </c>
      <c r="E195" s="779" t="s">
        <v>1182</v>
      </c>
      <c r="F195" s="845">
        <v>43191</v>
      </c>
      <c r="G195" s="781">
        <f t="shared" si="147"/>
        <v>43191</v>
      </c>
      <c r="H195" s="781">
        <f t="shared" si="126"/>
        <v>46841</v>
      </c>
      <c r="I195" s="795">
        <v>21500</v>
      </c>
      <c r="J195" s="783">
        <f t="shared" si="127"/>
        <v>1075</v>
      </c>
      <c r="K195" s="887"/>
      <c r="L195" s="846">
        <v>0</v>
      </c>
      <c r="M195" s="790">
        <f t="shared" si="148"/>
        <v>21500</v>
      </c>
      <c r="N195" s="791">
        <f t="shared" si="149"/>
        <v>365</v>
      </c>
      <c r="O195" s="791">
        <f t="shared" si="150"/>
        <v>2043</v>
      </c>
      <c r="P195" s="790">
        <f t="shared" si="151"/>
        <v>2043</v>
      </c>
      <c r="Q195" s="847">
        <f t="shared" si="128"/>
        <v>19457</v>
      </c>
      <c r="R195" s="914">
        <f t="shared" si="129"/>
        <v>19457</v>
      </c>
      <c r="S195" s="790">
        <f t="shared" si="152"/>
        <v>21500</v>
      </c>
      <c r="T195" s="792">
        <f t="shared" si="153"/>
        <v>366</v>
      </c>
      <c r="U195" s="792">
        <f t="shared" si="154"/>
        <v>2043</v>
      </c>
      <c r="V195" s="790">
        <f t="shared" si="155"/>
        <v>4086</v>
      </c>
      <c r="W195" s="847">
        <f t="shared" si="130"/>
        <v>17414</v>
      </c>
      <c r="X195" s="846">
        <f t="shared" si="131"/>
        <v>17414</v>
      </c>
      <c r="Y195" s="783">
        <f t="shared" si="156"/>
        <v>21500</v>
      </c>
      <c r="Z195" s="783">
        <f t="shared" si="157"/>
        <v>365</v>
      </c>
      <c r="AA195" s="783">
        <f t="shared" si="158"/>
        <v>2043</v>
      </c>
      <c r="AB195" s="783">
        <f t="shared" si="159"/>
        <v>6129</v>
      </c>
      <c r="AC195" s="848">
        <f t="shared" si="132"/>
        <v>15371</v>
      </c>
      <c r="AD195" s="789">
        <f t="shared" si="133"/>
        <v>15371</v>
      </c>
      <c r="AE195" s="790">
        <f t="shared" si="160"/>
        <v>21500</v>
      </c>
      <c r="AF195" s="791">
        <f t="shared" si="161"/>
        <v>365</v>
      </c>
      <c r="AG195" s="791">
        <f t="shared" si="162"/>
        <v>2043</v>
      </c>
      <c r="AH195" s="783">
        <f t="shared" si="163"/>
        <v>8172</v>
      </c>
      <c r="AI195" s="783">
        <f t="shared" si="134"/>
        <v>13328</v>
      </c>
      <c r="AJ195" s="790">
        <f t="shared" si="135"/>
        <v>13328</v>
      </c>
      <c r="AK195" s="790">
        <f t="shared" si="136"/>
        <v>21500</v>
      </c>
      <c r="AL195" s="791">
        <f t="shared" si="137"/>
        <v>365</v>
      </c>
      <c r="AM195" s="791">
        <f t="shared" si="138"/>
        <v>2043</v>
      </c>
      <c r="AN195" s="783">
        <f t="shared" si="139"/>
        <v>10215</v>
      </c>
      <c r="AO195" s="783">
        <f t="shared" si="140"/>
        <v>11285</v>
      </c>
      <c r="AP195" s="808">
        <f t="shared" si="141"/>
        <v>11285</v>
      </c>
      <c r="AQ195" s="808">
        <f t="shared" si="142"/>
        <v>21500</v>
      </c>
      <c r="AR195" s="809">
        <f t="shared" si="143"/>
        <v>366</v>
      </c>
      <c r="AS195" s="809">
        <f t="shared" si="144"/>
        <v>2048</v>
      </c>
      <c r="AT195" s="808">
        <f t="shared" si="145"/>
        <v>12263</v>
      </c>
      <c r="AU195" s="808">
        <f t="shared" si="146"/>
        <v>9237</v>
      </c>
    </row>
    <row r="196" spans="1:47" ht="15" customHeight="1" x14ac:dyDescent="0.25">
      <c r="A196" s="842" t="s">
        <v>133</v>
      </c>
      <c r="B196" s="843" t="s">
        <v>1253</v>
      </c>
      <c r="C196" s="778">
        <f t="shared" si="125"/>
        <v>9.5000000000000001E-2</v>
      </c>
      <c r="D196" s="844">
        <v>10</v>
      </c>
      <c r="E196" s="779" t="s">
        <v>1182</v>
      </c>
      <c r="F196" s="845">
        <v>43191</v>
      </c>
      <c r="G196" s="781">
        <f t="shared" si="147"/>
        <v>43191</v>
      </c>
      <c r="H196" s="781">
        <f t="shared" si="126"/>
        <v>46841</v>
      </c>
      <c r="I196" s="795">
        <v>8400</v>
      </c>
      <c r="J196" s="783">
        <f t="shared" si="127"/>
        <v>420</v>
      </c>
      <c r="K196" s="887"/>
      <c r="L196" s="846">
        <v>0</v>
      </c>
      <c r="M196" s="790">
        <f t="shared" si="148"/>
        <v>8400</v>
      </c>
      <c r="N196" s="791">
        <f t="shared" si="149"/>
        <v>365</v>
      </c>
      <c r="O196" s="791">
        <f t="shared" si="150"/>
        <v>798</v>
      </c>
      <c r="P196" s="790">
        <f t="shared" si="151"/>
        <v>798</v>
      </c>
      <c r="Q196" s="847">
        <f t="shared" si="128"/>
        <v>7602</v>
      </c>
      <c r="R196" s="914">
        <f t="shared" si="129"/>
        <v>7602</v>
      </c>
      <c r="S196" s="790">
        <f t="shared" si="152"/>
        <v>8400</v>
      </c>
      <c r="T196" s="792">
        <f t="shared" si="153"/>
        <v>366</v>
      </c>
      <c r="U196" s="792">
        <f t="shared" si="154"/>
        <v>798</v>
      </c>
      <c r="V196" s="790">
        <f t="shared" si="155"/>
        <v>1596</v>
      </c>
      <c r="W196" s="847">
        <f t="shared" si="130"/>
        <v>6804</v>
      </c>
      <c r="X196" s="846">
        <f t="shared" si="131"/>
        <v>6804</v>
      </c>
      <c r="Y196" s="783">
        <f t="shared" si="156"/>
        <v>8400</v>
      </c>
      <c r="Z196" s="783">
        <f t="shared" si="157"/>
        <v>365</v>
      </c>
      <c r="AA196" s="783">
        <f t="shared" si="158"/>
        <v>798</v>
      </c>
      <c r="AB196" s="783">
        <f t="shared" si="159"/>
        <v>2394</v>
      </c>
      <c r="AC196" s="848">
        <f t="shared" si="132"/>
        <v>6006</v>
      </c>
      <c r="AD196" s="789">
        <f t="shared" si="133"/>
        <v>6006</v>
      </c>
      <c r="AE196" s="790">
        <f t="shared" si="160"/>
        <v>8400</v>
      </c>
      <c r="AF196" s="791">
        <f t="shared" si="161"/>
        <v>365</v>
      </c>
      <c r="AG196" s="791">
        <f t="shared" si="162"/>
        <v>798</v>
      </c>
      <c r="AH196" s="783">
        <f t="shared" si="163"/>
        <v>3192</v>
      </c>
      <c r="AI196" s="783">
        <f t="shared" si="134"/>
        <v>5208</v>
      </c>
      <c r="AJ196" s="790">
        <f t="shared" si="135"/>
        <v>5208</v>
      </c>
      <c r="AK196" s="790">
        <f t="shared" si="136"/>
        <v>8400</v>
      </c>
      <c r="AL196" s="791">
        <f t="shared" si="137"/>
        <v>365</v>
      </c>
      <c r="AM196" s="791">
        <f t="shared" si="138"/>
        <v>798</v>
      </c>
      <c r="AN196" s="783">
        <f t="shared" si="139"/>
        <v>3990</v>
      </c>
      <c r="AO196" s="783">
        <f t="shared" si="140"/>
        <v>4410</v>
      </c>
      <c r="AP196" s="808">
        <f t="shared" si="141"/>
        <v>4410</v>
      </c>
      <c r="AQ196" s="808">
        <f t="shared" si="142"/>
        <v>8400</v>
      </c>
      <c r="AR196" s="809">
        <f t="shared" si="143"/>
        <v>366</v>
      </c>
      <c r="AS196" s="809">
        <f t="shared" si="144"/>
        <v>800</v>
      </c>
      <c r="AT196" s="808">
        <f t="shared" si="145"/>
        <v>4790</v>
      </c>
      <c r="AU196" s="808">
        <f t="shared" si="146"/>
        <v>3610</v>
      </c>
    </row>
    <row r="197" spans="1:47" ht="15" customHeight="1" x14ac:dyDescent="0.25">
      <c r="A197" s="842" t="s">
        <v>133</v>
      </c>
      <c r="B197" s="843" t="s">
        <v>1254</v>
      </c>
      <c r="C197" s="778">
        <f t="shared" si="125"/>
        <v>9.5000000000000001E-2</v>
      </c>
      <c r="D197" s="844">
        <v>10</v>
      </c>
      <c r="E197" s="779" t="s">
        <v>1182</v>
      </c>
      <c r="F197" s="845">
        <v>43191</v>
      </c>
      <c r="G197" s="781">
        <f t="shared" si="147"/>
        <v>43191</v>
      </c>
      <c r="H197" s="781">
        <f t="shared" si="126"/>
        <v>46841</v>
      </c>
      <c r="I197" s="795">
        <v>10169.5</v>
      </c>
      <c r="J197" s="783">
        <f t="shared" si="127"/>
        <v>508.47500000000002</v>
      </c>
      <c r="K197" s="887"/>
      <c r="L197" s="846">
        <v>0</v>
      </c>
      <c r="M197" s="790">
        <f t="shared" si="148"/>
        <v>10169.5</v>
      </c>
      <c r="N197" s="791">
        <f t="shared" si="149"/>
        <v>365</v>
      </c>
      <c r="O197" s="791">
        <f t="shared" si="150"/>
        <v>966</v>
      </c>
      <c r="P197" s="790">
        <f t="shared" si="151"/>
        <v>966</v>
      </c>
      <c r="Q197" s="847">
        <f t="shared" si="128"/>
        <v>9203.5</v>
      </c>
      <c r="R197" s="914">
        <f t="shared" si="129"/>
        <v>9203.5</v>
      </c>
      <c r="S197" s="790">
        <f t="shared" si="152"/>
        <v>10169.5</v>
      </c>
      <c r="T197" s="792">
        <f t="shared" si="153"/>
        <v>366</v>
      </c>
      <c r="U197" s="792">
        <f t="shared" si="154"/>
        <v>966</v>
      </c>
      <c r="V197" s="790">
        <f t="shared" si="155"/>
        <v>1932</v>
      </c>
      <c r="W197" s="847">
        <f t="shared" si="130"/>
        <v>8237.5</v>
      </c>
      <c r="X197" s="846">
        <f t="shared" si="131"/>
        <v>8237.5</v>
      </c>
      <c r="Y197" s="783">
        <f t="shared" si="156"/>
        <v>10169.5</v>
      </c>
      <c r="Z197" s="783">
        <f t="shared" si="157"/>
        <v>365</v>
      </c>
      <c r="AA197" s="783">
        <f t="shared" si="158"/>
        <v>966</v>
      </c>
      <c r="AB197" s="783">
        <f t="shared" si="159"/>
        <v>2898</v>
      </c>
      <c r="AC197" s="848">
        <f t="shared" si="132"/>
        <v>7271.5</v>
      </c>
      <c r="AD197" s="789">
        <f t="shared" si="133"/>
        <v>7271.5</v>
      </c>
      <c r="AE197" s="790">
        <f t="shared" si="160"/>
        <v>10169.5</v>
      </c>
      <c r="AF197" s="791">
        <f t="shared" si="161"/>
        <v>365</v>
      </c>
      <c r="AG197" s="791">
        <f t="shared" si="162"/>
        <v>966</v>
      </c>
      <c r="AH197" s="783">
        <f t="shared" si="163"/>
        <v>3864</v>
      </c>
      <c r="AI197" s="783">
        <f t="shared" si="134"/>
        <v>6305.5</v>
      </c>
      <c r="AJ197" s="790">
        <f t="shared" si="135"/>
        <v>6305.5</v>
      </c>
      <c r="AK197" s="790">
        <f t="shared" si="136"/>
        <v>10169.5</v>
      </c>
      <c r="AL197" s="791">
        <f t="shared" si="137"/>
        <v>365</v>
      </c>
      <c r="AM197" s="791">
        <f t="shared" si="138"/>
        <v>966</v>
      </c>
      <c r="AN197" s="783">
        <f t="shared" si="139"/>
        <v>4830</v>
      </c>
      <c r="AO197" s="783">
        <f t="shared" si="140"/>
        <v>5339.5</v>
      </c>
      <c r="AP197" s="808">
        <f t="shared" si="141"/>
        <v>5339.5</v>
      </c>
      <c r="AQ197" s="808">
        <f t="shared" si="142"/>
        <v>10169.5</v>
      </c>
      <c r="AR197" s="809">
        <f t="shared" si="143"/>
        <v>366</v>
      </c>
      <c r="AS197" s="809">
        <f t="shared" si="144"/>
        <v>969</v>
      </c>
      <c r="AT197" s="808">
        <f t="shared" si="145"/>
        <v>5799</v>
      </c>
      <c r="AU197" s="808">
        <f t="shared" si="146"/>
        <v>4370.5</v>
      </c>
    </row>
    <row r="198" spans="1:47" ht="15" customHeight="1" x14ac:dyDescent="0.25">
      <c r="A198" s="842" t="s">
        <v>133</v>
      </c>
      <c r="B198" s="843" t="s">
        <v>1255</v>
      </c>
      <c r="C198" s="778">
        <f t="shared" si="125"/>
        <v>9.5000000000000001E-2</v>
      </c>
      <c r="D198" s="844">
        <v>10</v>
      </c>
      <c r="E198" s="779" t="s">
        <v>1182</v>
      </c>
      <c r="F198" s="845">
        <v>43191</v>
      </c>
      <c r="G198" s="781">
        <f t="shared" si="147"/>
        <v>43191</v>
      </c>
      <c r="H198" s="781">
        <f t="shared" si="126"/>
        <v>46841</v>
      </c>
      <c r="I198" s="795">
        <v>26000</v>
      </c>
      <c r="J198" s="783">
        <f t="shared" si="127"/>
        <v>1300</v>
      </c>
      <c r="K198" s="887"/>
      <c r="L198" s="846">
        <v>0</v>
      </c>
      <c r="M198" s="790">
        <f t="shared" si="148"/>
        <v>26000</v>
      </c>
      <c r="N198" s="791">
        <f t="shared" si="149"/>
        <v>365</v>
      </c>
      <c r="O198" s="791">
        <f t="shared" si="150"/>
        <v>2470</v>
      </c>
      <c r="P198" s="790">
        <f t="shared" si="151"/>
        <v>2470</v>
      </c>
      <c r="Q198" s="847">
        <f t="shared" si="128"/>
        <v>23530</v>
      </c>
      <c r="R198" s="914">
        <f t="shared" si="129"/>
        <v>23530</v>
      </c>
      <c r="S198" s="790">
        <f t="shared" si="152"/>
        <v>26000</v>
      </c>
      <c r="T198" s="792">
        <f t="shared" si="153"/>
        <v>366</v>
      </c>
      <c r="U198" s="792">
        <f t="shared" si="154"/>
        <v>2470</v>
      </c>
      <c r="V198" s="790">
        <f t="shared" si="155"/>
        <v>4940</v>
      </c>
      <c r="W198" s="847">
        <f t="shared" si="130"/>
        <v>21060</v>
      </c>
      <c r="X198" s="846">
        <f t="shared" si="131"/>
        <v>21060</v>
      </c>
      <c r="Y198" s="783">
        <f t="shared" si="156"/>
        <v>26000</v>
      </c>
      <c r="Z198" s="783">
        <f t="shared" si="157"/>
        <v>365</v>
      </c>
      <c r="AA198" s="783">
        <f t="shared" si="158"/>
        <v>2470</v>
      </c>
      <c r="AB198" s="783">
        <f t="shared" si="159"/>
        <v>7410</v>
      </c>
      <c r="AC198" s="848">
        <f t="shared" si="132"/>
        <v>18590</v>
      </c>
      <c r="AD198" s="789">
        <f t="shared" si="133"/>
        <v>18590</v>
      </c>
      <c r="AE198" s="790">
        <f t="shared" si="160"/>
        <v>26000</v>
      </c>
      <c r="AF198" s="791">
        <f t="shared" si="161"/>
        <v>365</v>
      </c>
      <c r="AG198" s="791">
        <f t="shared" si="162"/>
        <v>2470</v>
      </c>
      <c r="AH198" s="783">
        <f t="shared" si="163"/>
        <v>9880</v>
      </c>
      <c r="AI198" s="783">
        <f t="shared" si="134"/>
        <v>16120</v>
      </c>
      <c r="AJ198" s="790">
        <f t="shared" si="135"/>
        <v>16120</v>
      </c>
      <c r="AK198" s="790">
        <f t="shared" si="136"/>
        <v>26000</v>
      </c>
      <c r="AL198" s="791">
        <f t="shared" si="137"/>
        <v>365</v>
      </c>
      <c r="AM198" s="791">
        <f t="shared" si="138"/>
        <v>2470</v>
      </c>
      <c r="AN198" s="783">
        <f t="shared" si="139"/>
        <v>12350</v>
      </c>
      <c r="AO198" s="783">
        <f t="shared" si="140"/>
        <v>13650</v>
      </c>
      <c r="AP198" s="808">
        <f t="shared" si="141"/>
        <v>13650</v>
      </c>
      <c r="AQ198" s="808">
        <f t="shared" si="142"/>
        <v>26000</v>
      </c>
      <c r="AR198" s="809">
        <f t="shared" si="143"/>
        <v>366</v>
      </c>
      <c r="AS198" s="809">
        <f t="shared" si="144"/>
        <v>2477</v>
      </c>
      <c r="AT198" s="808">
        <f t="shared" si="145"/>
        <v>14827</v>
      </c>
      <c r="AU198" s="808">
        <f t="shared" si="146"/>
        <v>11173</v>
      </c>
    </row>
    <row r="199" spans="1:47" ht="15" customHeight="1" x14ac:dyDescent="0.25">
      <c r="A199" s="842" t="s">
        <v>133</v>
      </c>
      <c r="B199" s="843" t="s">
        <v>1256</v>
      </c>
      <c r="C199" s="778">
        <f t="shared" si="125"/>
        <v>9.5000000000000001E-2</v>
      </c>
      <c r="D199" s="844">
        <v>10</v>
      </c>
      <c r="E199" s="779" t="s">
        <v>1182</v>
      </c>
      <c r="F199" s="845">
        <v>43191</v>
      </c>
      <c r="G199" s="781">
        <f t="shared" si="147"/>
        <v>43191</v>
      </c>
      <c r="H199" s="781">
        <f t="shared" si="126"/>
        <v>46841</v>
      </c>
      <c r="I199" s="795">
        <v>2768</v>
      </c>
      <c r="J199" s="783">
        <f t="shared" si="127"/>
        <v>138.4</v>
      </c>
      <c r="K199" s="887"/>
      <c r="L199" s="846">
        <v>0</v>
      </c>
      <c r="M199" s="790">
        <f t="shared" si="148"/>
        <v>2768</v>
      </c>
      <c r="N199" s="791">
        <f t="shared" si="149"/>
        <v>365</v>
      </c>
      <c r="O199" s="791">
        <f t="shared" si="150"/>
        <v>263</v>
      </c>
      <c r="P199" s="790">
        <f t="shared" si="151"/>
        <v>263</v>
      </c>
      <c r="Q199" s="847">
        <f t="shared" si="128"/>
        <v>2505</v>
      </c>
      <c r="R199" s="914">
        <f t="shared" si="129"/>
        <v>2505</v>
      </c>
      <c r="S199" s="790">
        <f t="shared" si="152"/>
        <v>2768</v>
      </c>
      <c r="T199" s="792">
        <f t="shared" si="153"/>
        <v>366</v>
      </c>
      <c r="U199" s="792">
        <f t="shared" si="154"/>
        <v>263</v>
      </c>
      <c r="V199" s="790">
        <f t="shared" si="155"/>
        <v>526</v>
      </c>
      <c r="W199" s="847">
        <f t="shared" si="130"/>
        <v>2242</v>
      </c>
      <c r="X199" s="846">
        <f t="shared" si="131"/>
        <v>2242</v>
      </c>
      <c r="Y199" s="783">
        <f t="shared" si="156"/>
        <v>2768</v>
      </c>
      <c r="Z199" s="783">
        <f t="shared" si="157"/>
        <v>365</v>
      </c>
      <c r="AA199" s="783">
        <f t="shared" si="158"/>
        <v>263</v>
      </c>
      <c r="AB199" s="783">
        <f t="shared" si="159"/>
        <v>789</v>
      </c>
      <c r="AC199" s="848">
        <f t="shared" si="132"/>
        <v>1979</v>
      </c>
      <c r="AD199" s="789">
        <f t="shared" si="133"/>
        <v>1979</v>
      </c>
      <c r="AE199" s="790">
        <f t="shared" si="160"/>
        <v>2768</v>
      </c>
      <c r="AF199" s="791">
        <f t="shared" si="161"/>
        <v>365</v>
      </c>
      <c r="AG199" s="791">
        <f t="shared" si="162"/>
        <v>263</v>
      </c>
      <c r="AH199" s="783">
        <f t="shared" si="163"/>
        <v>1052</v>
      </c>
      <c r="AI199" s="783">
        <f t="shared" si="134"/>
        <v>1716</v>
      </c>
      <c r="AJ199" s="790">
        <f t="shared" si="135"/>
        <v>1716</v>
      </c>
      <c r="AK199" s="790">
        <f t="shared" si="136"/>
        <v>2768</v>
      </c>
      <c r="AL199" s="791">
        <f t="shared" si="137"/>
        <v>365</v>
      </c>
      <c r="AM199" s="791">
        <f t="shared" si="138"/>
        <v>263</v>
      </c>
      <c r="AN199" s="783">
        <f t="shared" si="139"/>
        <v>1315</v>
      </c>
      <c r="AO199" s="783">
        <f t="shared" si="140"/>
        <v>1453</v>
      </c>
      <c r="AP199" s="808">
        <f t="shared" si="141"/>
        <v>1453</v>
      </c>
      <c r="AQ199" s="808">
        <f t="shared" si="142"/>
        <v>2768</v>
      </c>
      <c r="AR199" s="809">
        <f t="shared" si="143"/>
        <v>366</v>
      </c>
      <c r="AS199" s="809">
        <f t="shared" si="144"/>
        <v>264</v>
      </c>
      <c r="AT199" s="808">
        <f t="shared" si="145"/>
        <v>1579</v>
      </c>
      <c r="AU199" s="808">
        <f t="shared" si="146"/>
        <v>1189</v>
      </c>
    </row>
    <row r="200" spans="1:47" ht="15" customHeight="1" x14ac:dyDescent="0.25">
      <c r="A200" s="842" t="s">
        <v>133</v>
      </c>
      <c r="B200" s="843" t="s">
        <v>1257</v>
      </c>
      <c r="C200" s="778">
        <f t="shared" si="125"/>
        <v>9.5000000000000001E-2</v>
      </c>
      <c r="D200" s="844">
        <v>10</v>
      </c>
      <c r="E200" s="779" t="s">
        <v>1182</v>
      </c>
      <c r="F200" s="845">
        <v>43191</v>
      </c>
      <c r="G200" s="781">
        <f t="shared" si="147"/>
        <v>43191</v>
      </c>
      <c r="H200" s="781">
        <f t="shared" si="126"/>
        <v>46841</v>
      </c>
      <c r="I200" s="795">
        <v>5860</v>
      </c>
      <c r="J200" s="783">
        <f t="shared" si="127"/>
        <v>293</v>
      </c>
      <c r="K200" s="887"/>
      <c r="L200" s="846">
        <v>0</v>
      </c>
      <c r="M200" s="790">
        <f t="shared" si="148"/>
        <v>5860</v>
      </c>
      <c r="N200" s="791">
        <f t="shared" si="149"/>
        <v>365</v>
      </c>
      <c r="O200" s="791">
        <f t="shared" si="150"/>
        <v>557</v>
      </c>
      <c r="P200" s="790">
        <f t="shared" si="151"/>
        <v>557</v>
      </c>
      <c r="Q200" s="847">
        <f t="shared" si="128"/>
        <v>5303</v>
      </c>
      <c r="R200" s="914">
        <f t="shared" si="129"/>
        <v>5303</v>
      </c>
      <c r="S200" s="790">
        <f t="shared" si="152"/>
        <v>5860</v>
      </c>
      <c r="T200" s="792">
        <f t="shared" si="153"/>
        <v>366</v>
      </c>
      <c r="U200" s="792">
        <f t="shared" si="154"/>
        <v>557</v>
      </c>
      <c r="V200" s="790">
        <f t="shared" si="155"/>
        <v>1114</v>
      </c>
      <c r="W200" s="847">
        <f t="shared" si="130"/>
        <v>4746</v>
      </c>
      <c r="X200" s="846">
        <f t="shared" si="131"/>
        <v>4746</v>
      </c>
      <c r="Y200" s="783">
        <f t="shared" si="156"/>
        <v>5860</v>
      </c>
      <c r="Z200" s="783">
        <f t="shared" si="157"/>
        <v>365</v>
      </c>
      <c r="AA200" s="783">
        <f t="shared" si="158"/>
        <v>557</v>
      </c>
      <c r="AB200" s="783">
        <f t="shared" si="159"/>
        <v>1671</v>
      </c>
      <c r="AC200" s="848">
        <f t="shared" si="132"/>
        <v>4189</v>
      </c>
      <c r="AD200" s="789">
        <f t="shared" si="133"/>
        <v>4189</v>
      </c>
      <c r="AE200" s="790">
        <f t="shared" si="160"/>
        <v>5860</v>
      </c>
      <c r="AF200" s="791">
        <f t="shared" si="161"/>
        <v>365</v>
      </c>
      <c r="AG200" s="791">
        <f t="shared" si="162"/>
        <v>557</v>
      </c>
      <c r="AH200" s="783">
        <f t="shared" si="163"/>
        <v>2228</v>
      </c>
      <c r="AI200" s="783">
        <f t="shared" si="134"/>
        <v>3632</v>
      </c>
      <c r="AJ200" s="790">
        <f t="shared" si="135"/>
        <v>3632</v>
      </c>
      <c r="AK200" s="790">
        <f t="shared" si="136"/>
        <v>5860</v>
      </c>
      <c r="AL200" s="791">
        <f t="shared" si="137"/>
        <v>365</v>
      </c>
      <c r="AM200" s="791">
        <f t="shared" si="138"/>
        <v>557</v>
      </c>
      <c r="AN200" s="783">
        <f t="shared" si="139"/>
        <v>2785</v>
      </c>
      <c r="AO200" s="783">
        <f t="shared" si="140"/>
        <v>3075</v>
      </c>
      <c r="AP200" s="808">
        <f t="shared" si="141"/>
        <v>3075</v>
      </c>
      <c r="AQ200" s="808">
        <f t="shared" si="142"/>
        <v>5860</v>
      </c>
      <c r="AR200" s="809">
        <f t="shared" si="143"/>
        <v>366</v>
      </c>
      <c r="AS200" s="809">
        <f t="shared" si="144"/>
        <v>558</v>
      </c>
      <c r="AT200" s="808">
        <f t="shared" si="145"/>
        <v>3343</v>
      </c>
      <c r="AU200" s="808">
        <f t="shared" si="146"/>
        <v>2517</v>
      </c>
    </row>
    <row r="201" spans="1:47" ht="15" customHeight="1" x14ac:dyDescent="0.25">
      <c r="A201" s="842" t="s">
        <v>133</v>
      </c>
      <c r="B201" s="843" t="s">
        <v>1258</v>
      </c>
      <c r="C201" s="778">
        <f t="shared" si="125"/>
        <v>9.5000000000000001E-2</v>
      </c>
      <c r="D201" s="844">
        <v>10</v>
      </c>
      <c r="E201" s="779" t="s">
        <v>1182</v>
      </c>
      <c r="F201" s="845">
        <v>43191</v>
      </c>
      <c r="G201" s="781">
        <f t="shared" si="147"/>
        <v>43191</v>
      </c>
      <c r="H201" s="781">
        <f t="shared" si="126"/>
        <v>46841</v>
      </c>
      <c r="I201" s="795">
        <v>1562</v>
      </c>
      <c r="J201" s="783">
        <f t="shared" si="127"/>
        <v>78.100000000000009</v>
      </c>
      <c r="K201" s="887"/>
      <c r="L201" s="846">
        <v>0</v>
      </c>
      <c r="M201" s="790">
        <f t="shared" si="148"/>
        <v>1562</v>
      </c>
      <c r="N201" s="791">
        <f t="shared" si="149"/>
        <v>365</v>
      </c>
      <c r="O201" s="791">
        <f t="shared" si="150"/>
        <v>148</v>
      </c>
      <c r="P201" s="790">
        <f t="shared" si="151"/>
        <v>148</v>
      </c>
      <c r="Q201" s="847">
        <f t="shared" si="128"/>
        <v>1414</v>
      </c>
      <c r="R201" s="914">
        <f t="shared" si="129"/>
        <v>1414</v>
      </c>
      <c r="S201" s="790">
        <f t="shared" si="152"/>
        <v>1562</v>
      </c>
      <c r="T201" s="792">
        <f t="shared" si="153"/>
        <v>366</v>
      </c>
      <c r="U201" s="792">
        <f t="shared" si="154"/>
        <v>148</v>
      </c>
      <c r="V201" s="790">
        <f t="shared" si="155"/>
        <v>296</v>
      </c>
      <c r="W201" s="847">
        <f t="shared" si="130"/>
        <v>1266</v>
      </c>
      <c r="X201" s="846">
        <f t="shared" si="131"/>
        <v>1266</v>
      </c>
      <c r="Y201" s="783">
        <f t="shared" si="156"/>
        <v>1562</v>
      </c>
      <c r="Z201" s="783">
        <f t="shared" si="157"/>
        <v>365</v>
      </c>
      <c r="AA201" s="783">
        <f t="shared" si="158"/>
        <v>148</v>
      </c>
      <c r="AB201" s="783">
        <f t="shared" si="159"/>
        <v>444</v>
      </c>
      <c r="AC201" s="848">
        <f t="shared" si="132"/>
        <v>1118</v>
      </c>
      <c r="AD201" s="789">
        <f t="shared" si="133"/>
        <v>1118</v>
      </c>
      <c r="AE201" s="790">
        <f t="shared" si="160"/>
        <v>1562</v>
      </c>
      <c r="AF201" s="791">
        <f t="shared" si="161"/>
        <v>365</v>
      </c>
      <c r="AG201" s="791">
        <f t="shared" si="162"/>
        <v>148</v>
      </c>
      <c r="AH201" s="783">
        <f t="shared" si="163"/>
        <v>592</v>
      </c>
      <c r="AI201" s="783">
        <f t="shared" si="134"/>
        <v>970</v>
      </c>
      <c r="AJ201" s="790">
        <f t="shared" si="135"/>
        <v>970</v>
      </c>
      <c r="AK201" s="790">
        <f t="shared" si="136"/>
        <v>1562</v>
      </c>
      <c r="AL201" s="791">
        <f t="shared" si="137"/>
        <v>365</v>
      </c>
      <c r="AM201" s="791">
        <f t="shared" si="138"/>
        <v>148</v>
      </c>
      <c r="AN201" s="783">
        <f t="shared" si="139"/>
        <v>740</v>
      </c>
      <c r="AO201" s="783">
        <f t="shared" si="140"/>
        <v>822</v>
      </c>
      <c r="AP201" s="808">
        <f t="shared" si="141"/>
        <v>822</v>
      </c>
      <c r="AQ201" s="808">
        <f t="shared" si="142"/>
        <v>1562</v>
      </c>
      <c r="AR201" s="809">
        <f t="shared" si="143"/>
        <v>366</v>
      </c>
      <c r="AS201" s="809">
        <f t="shared" si="144"/>
        <v>149</v>
      </c>
      <c r="AT201" s="808">
        <f t="shared" si="145"/>
        <v>889</v>
      </c>
      <c r="AU201" s="808">
        <f t="shared" si="146"/>
        <v>673</v>
      </c>
    </row>
    <row r="202" spans="1:47" ht="15" customHeight="1" x14ac:dyDescent="0.25">
      <c r="A202" s="842" t="s">
        <v>133</v>
      </c>
      <c r="B202" s="843" t="s">
        <v>1259</v>
      </c>
      <c r="C202" s="778">
        <f t="shared" si="125"/>
        <v>9.5000000000000001E-2</v>
      </c>
      <c r="D202" s="844">
        <v>10</v>
      </c>
      <c r="E202" s="779" t="s">
        <v>1182</v>
      </c>
      <c r="F202" s="845">
        <v>43191</v>
      </c>
      <c r="G202" s="781">
        <f t="shared" si="147"/>
        <v>43191</v>
      </c>
      <c r="H202" s="781">
        <f t="shared" si="126"/>
        <v>46841</v>
      </c>
      <c r="I202" s="795">
        <v>6210</v>
      </c>
      <c r="J202" s="783">
        <f t="shared" si="127"/>
        <v>310.5</v>
      </c>
      <c r="K202" s="887"/>
      <c r="L202" s="846">
        <v>0</v>
      </c>
      <c r="M202" s="790">
        <f t="shared" si="148"/>
        <v>6210</v>
      </c>
      <c r="N202" s="791">
        <f t="shared" si="149"/>
        <v>365</v>
      </c>
      <c r="O202" s="791">
        <f t="shared" si="150"/>
        <v>590</v>
      </c>
      <c r="P202" s="790">
        <f t="shared" si="151"/>
        <v>590</v>
      </c>
      <c r="Q202" s="847">
        <f t="shared" si="128"/>
        <v>5620</v>
      </c>
      <c r="R202" s="914">
        <f t="shared" si="129"/>
        <v>5620</v>
      </c>
      <c r="S202" s="790">
        <f t="shared" si="152"/>
        <v>6210</v>
      </c>
      <c r="T202" s="792">
        <f t="shared" si="153"/>
        <v>366</v>
      </c>
      <c r="U202" s="792">
        <f t="shared" si="154"/>
        <v>590</v>
      </c>
      <c r="V202" s="790">
        <f t="shared" si="155"/>
        <v>1180</v>
      </c>
      <c r="W202" s="847">
        <f t="shared" si="130"/>
        <v>5030</v>
      </c>
      <c r="X202" s="846">
        <f t="shared" si="131"/>
        <v>5030</v>
      </c>
      <c r="Y202" s="783">
        <f t="shared" si="156"/>
        <v>6210</v>
      </c>
      <c r="Z202" s="783">
        <f t="shared" si="157"/>
        <v>365</v>
      </c>
      <c r="AA202" s="783">
        <f t="shared" si="158"/>
        <v>590</v>
      </c>
      <c r="AB202" s="783">
        <f t="shared" si="159"/>
        <v>1770</v>
      </c>
      <c r="AC202" s="848">
        <f t="shared" si="132"/>
        <v>4440</v>
      </c>
      <c r="AD202" s="789">
        <f t="shared" si="133"/>
        <v>4440</v>
      </c>
      <c r="AE202" s="790">
        <f t="shared" si="160"/>
        <v>6210</v>
      </c>
      <c r="AF202" s="791">
        <f t="shared" si="161"/>
        <v>365</v>
      </c>
      <c r="AG202" s="791">
        <f t="shared" si="162"/>
        <v>590</v>
      </c>
      <c r="AH202" s="783">
        <f t="shared" si="163"/>
        <v>2360</v>
      </c>
      <c r="AI202" s="783">
        <f t="shared" si="134"/>
        <v>3850</v>
      </c>
      <c r="AJ202" s="790">
        <f t="shared" si="135"/>
        <v>3850</v>
      </c>
      <c r="AK202" s="790">
        <f t="shared" si="136"/>
        <v>6210</v>
      </c>
      <c r="AL202" s="791">
        <f t="shared" si="137"/>
        <v>365</v>
      </c>
      <c r="AM202" s="791">
        <f t="shared" si="138"/>
        <v>590</v>
      </c>
      <c r="AN202" s="783">
        <f t="shared" si="139"/>
        <v>2950</v>
      </c>
      <c r="AO202" s="783">
        <f t="shared" si="140"/>
        <v>3260</v>
      </c>
      <c r="AP202" s="808">
        <f t="shared" si="141"/>
        <v>3260</v>
      </c>
      <c r="AQ202" s="808">
        <f t="shared" si="142"/>
        <v>6210</v>
      </c>
      <c r="AR202" s="809">
        <f t="shared" si="143"/>
        <v>366</v>
      </c>
      <c r="AS202" s="809">
        <f t="shared" si="144"/>
        <v>592</v>
      </c>
      <c r="AT202" s="808">
        <f t="shared" si="145"/>
        <v>3542</v>
      </c>
      <c r="AU202" s="808">
        <f t="shared" si="146"/>
        <v>2668</v>
      </c>
    </row>
    <row r="203" spans="1:47" ht="15" customHeight="1" x14ac:dyDescent="0.25">
      <c r="A203" s="842" t="s">
        <v>133</v>
      </c>
      <c r="B203" s="843" t="s">
        <v>1260</v>
      </c>
      <c r="C203" s="778">
        <f t="shared" si="125"/>
        <v>9.5000000000000001E-2</v>
      </c>
      <c r="D203" s="844">
        <v>10</v>
      </c>
      <c r="E203" s="779" t="s">
        <v>1182</v>
      </c>
      <c r="F203" s="845">
        <v>43191</v>
      </c>
      <c r="G203" s="781">
        <f t="shared" si="147"/>
        <v>43191</v>
      </c>
      <c r="H203" s="781">
        <f t="shared" si="126"/>
        <v>46841</v>
      </c>
      <c r="I203" s="795">
        <v>7416</v>
      </c>
      <c r="J203" s="783">
        <f t="shared" si="127"/>
        <v>370.8</v>
      </c>
      <c r="K203" s="887"/>
      <c r="L203" s="846">
        <v>0</v>
      </c>
      <c r="M203" s="790">
        <f t="shared" si="148"/>
        <v>7416</v>
      </c>
      <c r="N203" s="791">
        <f t="shared" si="149"/>
        <v>365</v>
      </c>
      <c r="O203" s="791">
        <f t="shared" si="150"/>
        <v>705</v>
      </c>
      <c r="P203" s="790">
        <f t="shared" si="151"/>
        <v>705</v>
      </c>
      <c r="Q203" s="847">
        <f t="shared" si="128"/>
        <v>6711</v>
      </c>
      <c r="R203" s="914">
        <f t="shared" si="129"/>
        <v>6711</v>
      </c>
      <c r="S203" s="790">
        <f t="shared" si="152"/>
        <v>7416</v>
      </c>
      <c r="T203" s="792">
        <f t="shared" si="153"/>
        <v>366</v>
      </c>
      <c r="U203" s="792">
        <f t="shared" si="154"/>
        <v>705</v>
      </c>
      <c r="V203" s="790">
        <f t="shared" si="155"/>
        <v>1410</v>
      </c>
      <c r="W203" s="847">
        <f t="shared" si="130"/>
        <v>6006</v>
      </c>
      <c r="X203" s="846">
        <f t="shared" si="131"/>
        <v>6006</v>
      </c>
      <c r="Y203" s="783">
        <f t="shared" si="156"/>
        <v>7416</v>
      </c>
      <c r="Z203" s="783">
        <f t="shared" si="157"/>
        <v>365</v>
      </c>
      <c r="AA203" s="783">
        <f t="shared" si="158"/>
        <v>705</v>
      </c>
      <c r="AB203" s="783">
        <f t="shared" si="159"/>
        <v>2115</v>
      </c>
      <c r="AC203" s="848">
        <f t="shared" si="132"/>
        <v>5301</v>
      </c>
      <c r="AD203" s="789">
        <f t="shared" si="133"/>
        <v>5301</v>
      </c>
      <c r="AE203" s="790">
        <f t="shared" si="160"/>
        <v>7416</v>
      </c>
      <c r="AF203" s="791">
        <f t="shared" si="161"/>
        <v>365</v>
      </c>
      <c r="AG203" s="791">
        <f t="shared" si="162"/>
        <v>705</v>
      </c>
      <c r="AH203" s="783">
        <f t="shared" si="163"/>
        <v>2820</v>
      </c>
      <c r="AI203" s="783">
        <f t="shared" si="134"/>
        <v>4596</v>
      </c>
      <c r="AJ203" s="790">
        <f t="shared" si="135"/>
        <v>4596</v>
      </c>
      <c r="AK203" s="790">
        <f t="shared" si="136"/>
        <v>7416</v>
      </c>
      <c r="AL203" s="791">
        <f t="shared" si="137"/>
        <v>365</v>
      </c>
      <c r="AM203" s="791">
        <f t="shared" si="138"/>
        <v>705</v>
      </c>
      <c r="AN203" s="783">
        <f t="shared" si="139"/>
        <v>3525</v>
      </c>
      <c r="AO203" s="783">
        <f t="shared" si="140"/>
        <v>3891</v>
      </c>
      <c r="AP203" s="808">
        <f t="shared" si="141"/>
        <v>3891</v>
      </c>
      <c r="AQ203" s="808">
        <f t="shared" si="142"/>
        <v>7416</v>
      </c>
      <c r="AR203" s="809">
        <f t="shared" si="143"/>
        <v>366</v>
      </c>
      <c r="AS203" s="809">
        <f t="shared" si="144"/>
        <v>706</v>
      </c>
      <c r="AT203" s="808">
        <f t="shared" si="145"/>
        <v>4231</v>
      </c>
      <c r="AU203" s="808">
        <f t="shared" si="146"/>
        <v>3185</v>
      </c>
    </row>
    <row r="204" spans="1:47" ht="15" customHeight="1" x14ac:dyDescent="0.25">
      <c r="A204" s="842" t="s">
        <v>133</v>
      </c>
      <c r="B204" s="843" t="s">
        <v>1261</v>
      </c>
      <c r="C204" s="778">
        <f t="shared" si="125"/>
        <v>9.5000000000000001E-2</v>
      </c>
      <c r="D204" s="844">
        <v>10</v>
      </c>
      <c r="E204" s="779" t="s">
        <v>1182</v>
      </c>
      <c r="F204" s="845">
        <v>43191</v>
      </c>
      <c r="G204" s="781">
        <f t="shared" si="147"/>
        <v>43191</v>
      </c>
      <c r="H204" s="781">
        <f t="shared" si="126"/>
        <v>46841</v>
      </c>
      <c r="I204" s="795">
        <v>16314</v>
      </c>
      <c r="J204" s="783">
        <f t="shared" si="127"/>
        <v>815.7</v>
      </c>
      <c r="K204" s="887"/>
      <c r="L204" s="846">
        <v>0</v>
      </c>
      <c r="M204" s="790">
        <f t="shared" si="148"/>
        <v>16314</v>
      </c>
      <c r="N204" s="791">
        <f t="shared" si="149"/>
        <v>365</v>
      </c>
      <c r="O204" s="791">
        <f t="shared" si="150"/>
        <v>1550</v>
      </c>
      <c r="P204" s="790">
        <f t="shared" si="151"/>
        <v>1550</v>
      </c>
      <c r="Q204" s="847">
        <f t="shared" si="128"/>
        <v>14764</v>
      </c>
      <c r="R204" s="914">
        <f t="shared" si="129"/>
        <v>14764</v>
      </c>
      <c r="S204" s="790">
        <f t="shared" si="152"/>
        <v>16314</v>
      </c>
      <c r="T204" s="792">
        <f t="shared" si="153"/>
        <v>366</v>
      </c>
      <c r="U204" s="792">
        <f t="shared" si="154"/>
        <v>1550</v>
      </c>
      <c r="V204" s="790">
        <f t="shared" si="155"/>
        <v>3100</v>
      </c>
      <c r="W204" s="847">
        <f t="shared" si="130"/>
        <v>13214</v>
      </c>
      <c r="X204" s="846">
        <f t="shared" si="131"/>
        <v>13214</v>
      </c>
      <c r="Y204" s="783">
        <f t="shared" si="156"/>
        <v>16314</v>
      </c>
      <c r="Z204" s="783">
        <f t="shared" si="157"/>
        <v>365</v>
      </c>
      <c r="AA204" s="783">
        <f t="shared" si="158"/>
        <v>1550</v>
      </c>
      <c r="AB204" s="783">
        <f t="shared" si="159"/>
        <v>4650</v>
      </c>
      <c r="AC204" s="848">
        <f t="shared" si="132"/>
        <v>11664</v>
      </c>
      <c r="AD204" s="789">
        <f t="shared" si="133"/>
        <v>11664</v>
      </c>
      <c r="AE204" s="790">
        <f t="shared" si="160"/>
        <v>16314</v>
      </c>
      <c r="AF204" s="791">
        <f t="shared" si="161"/>
        <v>365</v>
      </c>
      <c r="AG204" s="791">
        <f t="shared" si="162"/>
        <v>1550</v>
      </c>
      <c r="AH204" s="783">
        <f t="shared" si="163"/>
        <v>6200</v>
      </c>
      <c r="AI204" s="783">
        <f t="shared" si="134"/>
        <v>10114</v>
      </c>
      <c r="AJ204" s="790">
        <f t="shared" si="135"/>
        <v>10114</v>
      </c>
      <c r="AK204" s="790">
        <f t="shared" si="136"/>
        <v>16314</v>
      </c>
      <c r="AL204" s="791">
        <f t="shared" si="137"/>
        <v>365</v>
      </c>
      <c r="AM204" s="791">
        <f t="shared" si="138"/>
        <v>1550</v>
      </c>
      <c r="AN204" s="783">
        <f t="shared" si="139"/>
        <v>7750</v>
      </c>
      <c r="AO204" s="783">
        <f t="shared" si="140"/>
        <v>8564</v>
      </c>
      <c r="AP204" s="808">
        <f t="shared" si="141"/>
        <v>8564</v>
      </c>
      <c r="AQ204" s="808">
        <f t="shared" si="142"/>
        <v>16314</v>
      </c>
      <c r="AR204" s="809">
        <f t="shared" si="143"/>
        <v>366</v>
      </c>
      <c r="AS204" s="809">
        <f t="shared" si="144"/>
        <v>1554</v>
      </c>
      <c r="AT204" s="808">
        <f t="shared" si="145"/>
        <v>9304</v>
      </c>
      <c r="AU204" s="808">
        <f t="shared" si="146"/>
        <v>7010</v>
      </c>
    </row>
    <row r="205" spans="1:47" ht="15" customHeight="1" x14ac:dyDescent="0.25">
      <c r="A205" s="842" t="s">
        <v>133</v>
      </c>
      <c r="B205" s="843" t="s">
        <v>1262</v>
      </c>
      <c r="C205" s="778">
        <f t="shared" si="125"/>
        <v>9.5000000000000001E-2</v>
      </c>
      <c r="D205" s="844">
        <v>10</v>
      </c>
      <c r="E205" s="779" t="s">
        <v>1182</v>
      </c>
      <c r="F205" s="845">
        <v>43191</v>
      </c>
      <c r="G205" s="781">
        <f t="shared" si="147"/>
        <v>43191</v>
      </c>
      <c r="H205" s="781">
        <f t="shared" si="126"/>
        <v>46841</v>
      </c>
      <c r="I205" s="795">
        <v>34207</v>
      </c>
      <c r="J205" s="783">
        <f t="shared" si="127"/>
        <v>1710.3500000000001</v>
      </c>
      <c r="K205" s="887"/>
      <c r="L205" s="846">
        <v>0</v>
      </c>
      <c r="M205" s="790">
        <f t="shared" si="148"/>
        <v>34207</v>
      </c>
      <c r="N205" s="791">
        <f t="shared" si="149"/>
        <v>365</v>
      </c>
      <c r="O205" s="791">
        <f t="shared" si="150"/>
        <v>3250</v>
      </c>
      <c r="P205" s="790">
        <f t="shared" si="151"/>
        <v>3250</v>
      </c>
      <c r="Q205" s="847">
        <f t="shared" si="128"/>
        <v>30957</v>
      </c>
      <c r="R205" s="914">
        <f t="shared" si="129"/>
        <v>30957</v>
      </c>
      <c r="S205" s="790">
        <f t="shared" si="152"/>
        <v>34207</v>
      </c>
      <c r="T205" s="792">
        <f t="shared" si="153"/>
        <v>366</v>
      </c>
      <c r="U205" s="792">
        <f t="shared" si="154"/>
        <v>3250</v>
      </c>
      <c r="V205" s="790">
        <f t="shared" si="155"/>
        <v>6500</v>
      </c>
      <c r="W205" s="847">
        <f t="shared" si="130"/>
        <v>27707</v>
      </c>
      <c r="X205" s="846">
        <f t="shared" si="131"/>
        <v>27707</v>
      </c>
      <c r="Y205" s="783">
        <f t="shared" si="156"/>
        <v>34207</v>
      </c>
      <c r="Z205" s="783">
        <f t="shared" si="157"/>
        <v>365</v>
      </c>
      <c r="AA205" s="783">
        <f t="shared" si="158"/>
        <v>3250</v>
      </c>
      <c r="AB205" s="783">
        <f t="shared" si="159"/>
        <v>9750</v>
      </c>
      <c r="AC205" s="848">
        <f t="shared" si="132"/>
        <v>24457</v>
      </c>
      <c r="AD205" s="789">
        <f t="shared" si="133"/>
        <v>24457</v>
      </c>
      <c r="AE205" s="790">
        <f t="shared" si="160"/>
        <v>34207</v>
      </c>
      <c r="AF205" s="791">
        <f t="shared" si="161"/>
        <v>365</v>
      </c>
      <c r="AG205" s="791">
        <f t="shared" si="162"/>
        <v>3250</v>
      </c>
      <c r="AH205" s="783">
        <f t="shared" si="163"/>
        <v>13000</v>
      </c>
      <c r="AI205" s="783">
        <f t="shared" si="134"/>
        <v>21207</v>
      </c>
      <c r="AJ205" s="790">
        <f t="shared" si="135"/>
        <v>21207</v>
      </c>
      <c r="AK205" s="790">
        <f t="shared" si="136"/>
        <v>34207</v>
      </c>
      <c r="AL205" s="791">
        <f t="shared" si="137"/>
        <v>365</v>
      </c>
      <c r="AM205" s="791">
        <f t="shared" si="138"/>
        <v>3250</v>
      </c>
      <c r="AN205" s="783">
        <f t="shared" si="139"/>
        <v>16250</v>
      </c>
      <c r="AO205" s="783">
        <f t="shared" si="140"/>
        <v>17957</v>
      </c>
      <c r="AP205" s="808">
        <f t="shared" si="141"/>
        <v>17957</v>
      </c>
      <c r="AQ205" s="808">
        <f t="shared" si="142"/>
        <v>34207</v>
      </c>
      <c r="AR205" s="809">
        <f t="shared" si="143"/>
        <v>366</v>
      </c>
      <c r="AS205" s="809">
        <f t="shared" si="144"/>
        <v>3259</v>
      </c>
      <c r="AT205" s="808">
        <f t="shared" si="145"/>
        <v>19509</v>
      </c>
      <c r="AU205" s="808">
        <f t="shared" si="146"/>
        <v>14698</v>
      </c>
    </row>
    <row r="206" spans="1:47" ht="15" customHeight="1" x14ac:dyDescent="0.25">
      <c r="A206" s="842" t="s">
        <v>133</v>
      </c>
      <c r="B206" s="843" t="s">
        <v>1263</v>
      </c>
      <c r="C206" s="778">
        <f t="shared" si="125"/>
        <v>9.5000000000000001E-2</v>
      </c>
      <c r="D206" s="844">
        <v>10</v>
      </c>
      <c r="E206" s="779" t="s">
        <v>1182</v>
      </c>
      <c r="F206" s="845">
        <v>43191</v>
      </c>
      <c r="G206" s="781">
        <f t="shared" si="147"/>
        <v>43191</v>
      </c>
      <c r="H206" s="781">
        <f t="shared" si="126"/>
        <v>46841</v>
      </c>
      <c r="I206" s="795">
        <v>33665</v>
      </c>
      <c r="J206" s="783">
        <f t="shared" si="127"/>
        <v>1683.25</v>
      </c>
      <c r="K206" s="887"/>
      <c r="L206" s="846">
        <v>0</v>
      </c>
      <c r="M206" s="790">
        <f t="shared" si="148"/>
        <v>33665</v>
      </c>
      <c r="N206" s="791">
        <f t="shared" si="149"/>
        <v>365</v>
      </c>
      <c r="O206" s="791">
        <f t="shared" si="150"/>
        <v>3198</v>
      </c>
      <c r="P206" s="790">
        <f t="shared" si="151"/>
        <v>3198</v>
      </c>
      <c r="Q206" s="847">
        <f t="shared" si="128"/>
        <v>30467</v>
      </c>
      <c r="R206" s="914">
        <f t="shared" si="129"/>
        <v>30467</v>
      </c>
      <c r="S206" s="790">
        <f t="shared" si="152"/>
        <v>33665</v>
      </c>
      <c r="T206" s="792">
        <f t="shared" si="153"/>
        <v>366</v>
      </c>
      <c r="U206" s="792">
        <f t="shared" si="154"/>
        <v>3198</v>
      </c>
      <c r="V206" s="790">
        <f t="shared" si="155"/>
        <v>6396</v>
      </c>
      <c r="W206" s="847">
        <f t="shared" si="130"/>
        <v>27269</v>
      </c>
      <c r="X206" s="846">
        <f t="shared" si="131"/>
        <v>27269</v>
      </c>
      <c r="Y206" s="783">
        <f t="shared" si="156"/>
        <v>33665</v>
      </c>
      <c r="Z206" s="783">
        <f t="shared" si="157"/>
        <v>365</v>
      </c>
      <c r="AA206" s="783">
        <f t="shared" si="158"/>
        <v>3198</v>
      </c>
      <c r="AB206" s="783">
        <f t="shared" si="159"/>
        <v>9594</v>
      </c>
      <c r="AC206" s="848">
        <f t="shared" si="132"/>
        <v>24071</v>
      </c>
      <c r="AD206" s="789">
        <f t="shared" si="133"/>
        <v>24071</v>
      </c>
      <c r="AE206" s="790">
        <f t="shared" si="160"/>
        <v>33665</v>
      </c>
      <c r="AF206" s="791">
        <f t="shared" si="161"/>
        <v>365</v>
      </c>
      <c r="AG206" s="791">
        <f t="shared" si="162"/>
        <v>3198</v>
      </c>
      <c r="AH206" s="783">
        <f t="shared" si="163"/>
        <v>12792</v>
      </c>
      <c r="AI206" s="783">
        <f t="shared" si="134"/>
        <v>20873</v>
      </c>
      <c r="AJ206" s="790">
        <f t="shared" si="135"/>
        <v>20873</v>
      </c>
      <c r="AK206" s="790">
        <f t="shared" si="136"/>
        <v>33665</v>
      </c>
      <c r="AL206" s="791">
        <f t="shared" si="137"/>
        <v>365</v>
      </c>
      <c r="AM206" s="791">
        <f t="shared" si="138"/>
        <v>3198</v>
      </c>
      <c r="AN206" s="783">
        <f t="shared" si="139"/>
        <v>15990</v>
      </c>
      <c r="AO206" s="783">
        <f t="shared" si="140"/>
        <v>17675</v>
      </c>
      <c r="AP206" s="808">
        <f t="shared" si="141"/>
        <v>17675</v>
      </c>
      <c r="AQ206" s="808">
        <f t="shared" si="142"/>
        <v>33665</v>
      </c>
      <c r="AR206" s="809">
        <f t="shared" si="143"/>
        <v>366</v>
      </c>
      <c r="AS206" s="809">
        <f t="shared" si="144"/>
        <v>3207</v>
      </c>
      <c r="AT206" s="808">
        <f t="shared" si="145"/>
        <v>19197</v>
      </c>
      <c r="AU206" s="808">
        <f t="shared" si="146"/>
        <v>14468</v>
      </c>
    </row>
    <row r="207" spans="1:47" ht="37.5" customHeight="1" x14ac:dyDescent="0.25">
      <c r="A207" s="842" t="s">
        <v>133</v>
      </c>
      <c r="B207" s="915" t="s">
        <v>1264</v>
      </c>
      <c r="C207" s="778">
        <f t="shared" si="125"/>
        <v>9.5000000000000001E-2</v>
      </c>
      <c r="D207" s="844">
        <v>10</v>
      </c>
      <c r="E207" s="779" t="s">
        <v>1182</v>
      </c>
      <c r="F207" s="845">
        <v>43191</v>
      </c>
      <c r="G207" s="781">
        <f t="shared" si="147"/>
        <v>43191</v>
      </c>
      <c r="H207" s="781">
        <f t="shared" si="126"/>
        <v>46841</v>
      </c>
      <c r="I207" s="795">
        <v>423728</v>
      </c>
      <c r="J207" s="783">
        <f t="shared" si="127"/>
        <v>21186.400000000001</v>
      </c>
      <c r="K207" s="887"/>
      <c r="L207" s="846">
        <v>0</v>
      </c>
      <c r="M207" s="790">
        <f t="shared" si="148"/>
        <v>423728</v>
      </c>
      <c r="N207" s="791">
        <f t="shared" si="149"/>
        <v>365</v>
      </c>
      <c r="O207" s="791">
        <f t="shared" si="150"/>
        <v>40254</v>
      </c>
      <c r="P207" s="790">
        <f t="shared" si="151"/>
        <v>40254</v>
      </c>
      <c r="Q207" s="847">
        <f t="shared" si="128"/>
        <v>383474</v>
      </c>
      <c r="R207" s="914">
        <f t="shared" si="129"/>
        <v>383474</v>
      </c>
      <c r="S207" s="790">
        <f t="shared" si="152"/>
        <v>423728</v>
      </c>
      <c r="T207" s="792">
        <f t="shared" si="153"/>
        <v>366</v>
      </c>
      <c r="U207" s="792">
        <f t="shared" si="154"/>
        <v>40254</v>
      </c>
      <c r="V207" s="790">
        <f t="shared" si="155"/>
        <v>80508</v>
      </c>
      <c r="W207" s="847">
        <f t="shared" si="130"/>
        <v>343220</v>
      </c>
      <c r="X207" s="846">
        <f t="shared" si="131"/>
        <v>343220</v>
      </c>
      <c r="Y207" s="783">
        <f t="shared" si="156"/>
        <v>423728</v>
      </c>
      <c r="Z207" s="783">
        <f t="shared" si="157"/>
        <v>365</v>
      </c>
      <c r="AA207" s="783">
        <f t="shared" si="158"/>
        <v>40254</v>
      </c>
      <c r="AB207" s="783">
        <f t="shared" si="159"/>
        <v>120762</v>
      </c>
      <c r="AC207" s="848">
        <f t="shared" si="132"/>
        <v>302966</v>
      </c>
      <c r="AD207" s="789">
        <f t="shared" si="133"/>
        <v>302966</v>
      </c>
      <c r="AE207" s="790">
        <f t="shared" si="160"/>
        <v>423728</v>
      </c>
      <c r="AF207" s="791">
        <f t="shared" si="161"/>
        <v>365</v>
      </c>
      <c r="AG207" s="791">
        <f t="shared" si="162"/>
        <v>40254</v>
      </c>
      <c r="AH207" s="783">
        <f t="shared" si="163"/>
        <v>161016</v>
      </c>
      <c r="AI207" s="783">
        <f t="shared" si="134"/>
        <v>262712</v>
      </c>
      <c r="AJ207" s="790">
        <f t="shared" si="135"/>
        <v>262712</v>
      </c>
      <c r="AK207" s="790">
        <f t="shared" si="136"/>
        <v>423728</v>
      </c>
      <c r="AL207" s="791">
        <f t="shared" si="137"/>
        <v>365</v>
      </c>
      <c r="AM207" s="791">
        <f t="shared" si="138"/>
        <v>40254</v>
      </c>
      <c r="AN207" s="783">
        <f t="shared" si="139"/>
        <v>201270</v>
      </c>
      <c r="AO207" s="783">
        <f t="shared" si="140"/>
        <v>222458</v>
      </c>
      <c r="AP207" s="808">
        <f t="shared" si="141"/>
        <v>222458</v>
      </c>
      <c r="AQ207" s="808">
        <f t="shared" si="142"/>
        <v>423728</v>
      </c>
      <c r="AR207" s="809">
        <f t="shared" si="143"/>
        <v>366</v>
      </c>
      <c r="AS207" s="809">
        <f t="shared" si="144"/>
        <v>40364</v>
      </c>
      <c r="AT207" s="808">
        <f t="shared" si="145"/>
        <v>241634</v>
      </c>
      <c r="AU207" s="808">
        <f t="shared" si="146"/>
        <v>182094</v>
      </c>
    </row>
    <row r="208" spans="1:47" ht="59.1" customHeight="1" x14ac:dyDescent="0.25">
      <c r="A208" s="842" t="s">
        <v>133</v>
      </c>
      <c r="B208" s="915" t="s">
        <v>1265</v>
      </c>
      <c r="C208" s="778">
        <f t="shared" si="125"/>
        <v>9.5000000000000001E-2</v>
      </c>
      <c r="D208" s="844">
        <v>10</v>
      </c>
      <c r="E208" s="779" t="s">
        <v>1182</v>
      </c>
      <c r="F208" s="845">
        <v>43191</v>
      </c>
      <c r="G208" s="781">
        <f t="shared" si="147"/>
        <v>43191</v>
      </c>
      <c r="H208" s="781">
        <f t="shared" si="126"/>
        <v>46841</v>
      </c>
      <c r="I208" s="795">
        <v>1086640</v>
      </c>
      <c r="J208" s="783">
        <f t="shared" si="127"/>
        <v>54332</v>
      </c>
      <c r="K208" s="887"/>
      <c r="L208" s="846">
        <v>0</v>
      </c>
      <c r="M208" s="790">
        <f t="shared" si="148"/>
        <v>1086640</v>
      </c>
      <c r="N208" s="791">
        <f t="shared" si="149"/>
        <v>365</v>
      </c>
      <c r="O208" s="791">
        <f t="shared" si="150"/>
        <v>103231</v>
      </c>
      <c r="P208" s="790">
        <f t="shared" si="151"/>
        <v>103231</v>
      </c>
      <c r="Q208" s="847">
        <f t="shared" si="128"/>
        <v>983409</v>
      </c>
      <c r="R208" s="914">
        <f t="shared" si="129"/>
        <v>983409</v>
      </c>
      <c r="S208" s="790">
        <f t="shared" si="152"/>
        <v>1086640</v>
      </c>
      <c r="T208" s="792">
        <f t="shared" si="153"/>
        <v>366</v>
      </c>
      <c r="U208" s="792">
        <f t="shared" si="154"/>
        <v>103231</v>
      </c>
      <c r="V208" s="790">
        <f t="shared" si="155"/>
        <v>206462</v>
      </c>
      <c r="W208" s="847">
        <f t="shared" si="130"/>
        <v>880178</v>
      </c>
      <c r="X208" s="846">
        <f t="shared" si="131"/>
        <v>880178</v>
      </c>
      <c r="Y208" s="783">
        <f t="shared" si="156"/>
        <v>1086640</v>
      </c>
      <c r="Z208" s="783">
        <f t="shared" si="157"/>
        <v>365</v>
      </c>
      <c r="AA208" s="783">
        <f t="shared" si="158"/>
        <v>103231</v>
      </c>
      <c r="AB208" s="783">
        <f t="shared" si="159"/>
        <v>309693</v>
      </c>
      <c r="AC208" s="848">
        <f t="shared" si="132"/>
        <v>776947</v>
      </c>
      <c r="AD208" s="789">
        <f t="shared" si="133"/>
        <v>776947</v>
      </c>
      <c r="AE208" s="790">
        <f t="shared" si="160"/>
        <v>1086640</v>
      </c>
      <c r="AF208" s="791">
        <f t="shared" si="161"/>
        <v>365</v>
      </c>
      <c r="AG208" s="791">
        <f t="shared" si="162"/>
        <v>103231</v>
      </c>
      <c r="AH208" s="783">
        <f t="shared" si="163"/>
        <v>412924</v>
      </c>
      <c r="AI208" s="783">
        <f t="shared" si="134"/>
        <v>673716</v>
      </c>
      <c r="AJ208" s="790">
        <f t="shared" si="135"/>
        <v>673716</v>
      </c>
      <c r="AK208" s="790">
        <f t="shared" si="136"/>
        <v>1086640</v>
      </c>
      <c r="AL208" s="791">
        <f t="shared" si="137"/>
        <v>365</v>
      </c>
      <c r="AM208" s="791">
        <f t="shared" si="138"/>
        <v>103231</v>
      </c>
      <c r="AN208" s="783">
        <f t="shared" si="139"/>
        <v>516155</v>
      </c>
      <c r="AO208" s="783">
        <f t="shared" si="140"/>
        <v>570485</v>
      </c>
      <c r="AP208" s="808">
        <f t="shared" si="141"/>
        <v>570485</v>
      </c>
      <c r="AQ208" s="808">
        <f t="shared" si="142"/>
        <v>1086640</v>
      </c>
      <c r="AR208" s="809">
        <f t="shared" si="143"/>
        <v>366</v>
      </c>
      <c r="AS208" s="809">
        <f t="shared" si="144"/>
        <v>103514</v>
      </c>
      <c r="AT208" s="808">
        <f t="shared" si="145"/>
        <v>619669</v>
      </c>
      <c r="AU208" s="808">
        <f t="shared" si="146"/>
        <v>466971</v>
      </c>
    </row>
    <row r="209" spans="1:47" ht="15" customHeight="1" x14ac:dyDescent="0.25">
      <c r="A209" s="842" t="s">
        <v>133</v>
      </c>
      <c r="B209" s="843" t="s">
        <v>1266</v>
      </c>
      <c r="C209" s="778">
        <f t="shared" si="125"/>
        <v>9.5000000000000001E-2</v>
      </c>
      <c r="D209" s="844">
        <v>10</v>
      </c>
      <c r="E209" s="779" t="s">
        <v>1182</v>
      </c>
      <c r="F209" s="845">
        <v>43191</v>
      </c>
      <c r="G209" s="781">
        <f t="shared" si="147"/>
        <v>43191</v>
      </c>
      <c r="H209" s="781">
        <f t="shared" si="126"/>
        <v>46841</v>
      </c>
      <c r="I209" s="795">
        <v>147220</v>
      </c>
      <c r="J209" s="783">
        <f t="shared" si="127"/>
        <v>7361</v>
      </c>
      <c r="K209" s="887"/>
      <c r="L209" s="846">
        <v>0</v>
      </c>
      <c r="M209" s="790">
        <f t="shared" si="148"/>
        <v>147220</v>
      </c>
      <c r="N209" s="791">
        <f t="shared" si="149"/>
        <v>365</v>
      </c>
      <c r="O209" s="791">
        <f t="shared" si="150"/>
        <v>13986</v>
      </c>
      <c r="P209" s="790">
        <f t="shared" si="151"/>
        <v>13986</v>
      </c>
      <c r="Q209" s="847">
        <f t="shared" si="128"/>
        <v>133234</v>
      </c>
      <c r="R209" s="914">
        <f t="shared" si="129"/>
        <v>133234</v>
      </c>
      <c r="S209" s="790">
        <f t="shared" si="152"/>
        <v>147220</v>
      </c>
      <c r="T209" s="792">
        <f t="shared" si="153"/>
        <v>366</v>
      </c>
      <c r="U209" s="792">
        <f t="shared" si="154"/>
        <v>13986</v>
      </c>
      <c r="V209" s="790">
        <f t="shared" si="155"/>
        <v>27972</v>
      </c>
      <c r="W209" s="847">
        <f t="shared" si="130"/>
        <v>119248</v>
      </c>
      <c r="X209" s="846">
        <f t="shared" si="131"/>
        <v>119248</v>
      </c>
      <c r="Y209" s="783">
        <f t="shared" si="156"/>
        <v>147220</v>
      </c>
      <c r="Z209" s="783">
        <f t="shared" si="157"/>
        <v>365</v>
      </c>
      <c r="AA209" s="783">
        <f t="shared" si="158"/>
        <v>13986</v>
      </c>
      <c r="AB209" s="783">
        <f t="shared" si="159"/>
        <v>41958</v>
      </c>
      <c r="AC209" s="848">
        <f t="shared" si="132"/>
        <v>105262</v>
      </c>
      <c r="AD209" s="789">
        <f t="shared" si="133"/>
        <v>105262</v>
      </c>
      <c r="AE209" s="790">
        <f t="shared" si="160"/>
        <v>147220</v>
      </c>
      <c r="AF209" s="791">
        <f t="shared" si="161"/>
        <v>365</v>
      </c>
      <c r="AG209" s="791">
        <f t="shared" si="162"/>
        <v>13986</v>
      </c>
      <c r="AH209" s="783">
        <f t="shared" si="163"/>
        <v>55944</v>
      </c>
      <c r="AI209" s="783">
        <f t="shared" si="134"/>
        <v>91276</v>
      </c>
      <c r="AJ209" s="790">
        <f t="shared" si="135"/>
        <v>91276</v>
      </c>
      <c r="AK209" s="790">
        <f t="shared" si="136"/>
        <v>147220</v>
      </c>
      <c r="AL209" s="791">
        <f t="shared" si="137"/>
        <v>365</v>
      </c>
      <c r="AM209" s="791">
        <f t="shared" si="138"/>
        <v>13986</v>
      </c>
      <c r="AN209" s="783">
        <f t="shared" si="139"/>
        <v>69930</v>
      </c>
      <c r="AO209" s="783">
        <f t="shared" si="140"/>
        <v>77290</v>
      </c>
      <c r="AP209" s="808">
        <f t="shared" si="141"/>
        <v>77290</v>
      </c>
      <c r="AQ209" s="808">
        <f t="shared" si="142"/>
        <v>147220</v>
      </c>
      <c r="AR209" s="809">
        <f t="shared" si="143"/>
        <v>366</v>
      </c>
      <c r="AS209" s="809">
        <f t="shared" si="144"/>
        <v>14024</v>
      </c>
      <c r="AT209" s="808">
        <f t="shared" si="145"/>
        <v>83954</v>
      </c>
      <c r="AU209" s="808">
        <f t="shared" si="146"/>
        <v>63266</v>
      </c>
    </row>
    <row r="210" spans="1:47" ht="15" customHeight="1" x14ac:dyDescent="0.25">
      <c r="A210" s="842" t="s">
        <v>133</v>
      </c>
      <c r="B210" s="843" t="s">
        <v>1266</v>
      </c>
      <c r="C210" s="778">
        <f t="shared" si="125"/>
        <v>9.5000000000000001E-2</v>
      </c>
      <c r="D210" s="844">
        <v>10</v>
      </c>
      <c r="E210" s="779" t="s">
        <v>1182</v>
      </c>
      <c r="F210" s="845">
        <v>43191</v>
      </c>
      <c r="G210" s="781">
        <f t="shared" si="147"/>
        <v>43191</v>
      </c>
      <c r="H210" s="781">
        <f t="shared" si="126"/>
        <v>46841</v>
      </c>
      <c r="I210" s="795">
        <v>14520</v>
      </c>
      <c r="J210" s="783">
        <f t="shared" si="127"/>
        <v>726</v>
      </c>
      <c r="K210" s="887"/>
      <c r="L210" s="846">
        <v>0</v>
      </c>
      <c r="M210" s="790">
        <f t="shared" si="148"/>
        <v>14520</v>
      </c>
      <c r="N210" s="791">
        <f t="shared" si="149"/>
        <v>365</v>
      </c>
      <c r="O210" s="791">
        <f t="shared" si="150"/>
        <v>1379</v>
      </c>
      <c r="P210" s="790">
        <f t="shared" si="151"/>
        <v>1379</v>
      </c>
      <c r="Q210" s="847">
        <f t="shared" si="128"/>
        <v>13141</v>
      </c>
      <c r="R210" s="914">
        <f t="shared" si="129"/>
        <v>13141</v>
      </c>
      <c r="S210" s="790">
        <f t="shared" si="152"/>
        <v>14520</v>
      </c>
      <c r="T210" s="792">
        <f t="shared" si="153"/>
        <v>366</v>
      </c>
      <c r="U210" s="792">
        <f t="shared" si="154"/>
        <v>1379</v>
      </c>
      <c r="V210" s="790">
        <f t="shared" si="155"/>
        <v>2758</v>
      </c>
      <c r="W210" s="847">
        <f t="shared" si="130"/>
        <v>11762</v>
      </c>
      <c r="X210" s="846">
        <f t="shared" si="131"/>
        <v>11762</v>
      </c>
      <c r="Y210" s="783">
        <f t="shared" si="156"/>
        <v>14520</v>
      </c>
      <c r="Z210" s="783">
        <f t="shared" si="157"/>
        <v>365</v>
      </c>
      <c r="AA210" s="783">
        <f t="shared" si="158"/>
        <v>1379</v>
      </c>
      <c r="AB210" s="783">
        <f t="shared" si="159"/>
        <v>4137</v>
      </c>
      <c r="AC210" s="848">
        <f t="shared" si="132"/>
        <v>10383</v>
      </c>
      <c r="AD210" s="789">
        <f t="shared" si="133"/>
        <v>10383</v>
      </c>
      <c r="AE210" s="790">
        <f t="shared" si="160"/>
        <v>14520</v>
      </c>
      <c r="AF210" s="791">
        <f t="shared" si="161"/>
        <v>365</v>
      </c>
      <c r="AG210" s="791">
        <f t="shared" si="162"/>
        <v>1379</v>
      </c>
      <c r="AH210" s="783">
        <f t="shared" si="163"/>
        <v>5516</v>
      </c>
      <c r="AI210" s="783">
        <f t="shared" si="134"/>
        <v>9004</v>
      </c>
      <c r="AJ210" s="790">
        <f t="shared" si="135"/>
        <v>9004</v>
      </c>
      <c r="AK210" s="790">
        <f t="shared" si="136"/>
        <v>14520</v>
      </c>
      <c r="AL210" s="791">
        <f t="shared" si="137"/>
        <v>365</v>
      </c>
      <c r="AM210" s="791">
        <f t="shared" si="138"/>
        <v>1379</v>
      </c>
      <c r="AN210" s="783">
        <f t="shared" si="139"/>
        <v>6895</v>
      </c>
      <c r="AO210" s="783">
        <f t="shared" si="140"/>
        <v>7625</v>
      </c>
      <c r="AP210" s="808">
        <f t="shared" si="141"/>
        <v>7625</v>
      </c>
      <c r="AQ210" s="808">
        <f t="shared" si="142"/>
        <v>14520</v>
      </c>
      <c r="AR210" s="809">
        <f t="shared" si="143"/>
        <v>366</v>
      </c>
      <c r="AS210" s="809">
        <f t="shared" si="144"/>
        <v>1383</v>
      </c>
      <c r="AT210" s="808">
        <f t="shared" si="145"/>
        <v>8278</v>
      </c>
      <c r="AU210" s="808">
        <f t="shared" si="146"/>
        <v>6242</v>
      </c>
    </row>
    <row r="211" spans="1:47" ht="15" customHeight="1" x14ac:dyDescent="0.25">
      <c r="A211" s="842" t="s">
        <v>133</v>
      </c>
      <c r="B211" s="843" t="s">
        <v>1266</v>
      </c>
      <c r="C211" s="778">
        <f t="shared" si="125"/>
        <v>9.5000000000000001E-2</v>
      </c>
      <c r="D211" s="844">
        <v>10</v>
      </c>
      <c r="E211" s="779" t="s">
        <v>1182</v>
      </c>
      <c r="F211" s="845">
        <v>43191</v>
      </c>
      <c r="G211" s="781">
        <f t="shared" si="147"/>
        <v>43191</v>
      </c>
      <c r="H211" s="781">
        <f t="shared" si="126"/>
        <v>46841</v>
      </c>
      <c r="I211" s="795">
        <v>89404</v>
      </c>
      <c r="J211" s="783">
        <f t="shared" si="127"/>
        <v>4470.2</v>
      </c>
      <c r="K211" s="887"/>
      <c r="L211" s="846">
        <v>0</v>
      </c>
      <c r="M211" s="790">
        <f t="shared" si="148"/>
        <v>89404</v>
      </c>
      <c r="N211" s="791">
        <f t="shared" si="149"/>
        <v>365</v>
      </c>
      <c r="O211" s="791">
        <f t="shared" si="150"/>
        <v>8493</v>
      </c>
      <c r="P211" s="790">
        <f t="shared" si="151"/>
        <v>8493</v>
      </c>
      <c r="Q211" s="847">
        <f t="shared" si="128"/>
        <v>80911</v>
      </c>
      <c r="R211" s="914">
        <f t="shared" si="129"/>
        <v>80911</v>
      </c>
      <c r="S211" s="790">
        <f t="shared" si="152"/>
        <v>89404</v>
      </c>
      <c r="T211" s="792">
        <f t="shared" si="153"/>
        <v>366</v>
      </c>
      <c r="U211" s="792">
        <f t="shared" si="154"/>
        <v>8493</v>
      </c>
      <c r="V211" s="790">
        <f t="shared" si="155"/>
        <v>16986</v>
      </c>
      <c r="W211" s="847">
        <f t="shared" si="130"/>
        <v>72418</v>
      </c>
      <c r="X211" s="846">
        <f t="shared" si="131"/>
        <v>72418</v>
      </c>
      <c r="Y211" s="783">
        <f t="shared" si="156"/>
        <v>89404</v>
      </c>
      <c r="Z211" s="783">
        <f t="shared" si="157"/>
        <v>365</v>
      </c>
      <c r="AA211" s="783">
        <f t="shared" si="158"/>
        <v>8493</v>
      </c>
      <c r="AB211" s="783">
        <f t="shared" si="159"/>
        <v>25479</v>
      </c>
      <c r="AC211" s="848">
        <f t="shared" si="132"/>
        <v>63925</v>
      </c>
      <c r="AD211" s="789">
        <f t="shared" si="133"/>
        <v>63925</v>
      </c>
      <c r="AE211" s="790">
        <f t="shared" si="160"/>
        <v>89404</v>
      </c>
      <c r="AF211" s="791">
        <f t="shared" si="161"/>
        <v>365</v>
      </c>
      <c r="AG211" s="791">
        <f t="shared" si="162"/>
        <v>8493</v>
      </c>
      <c r="AH211" s="783">
        <f t="shared" si="163"/>
        <v>33972</v>
      </c>
      <c r="AI211" s="783">
        <f t="shared" si="134"/>
        <v>55432</v>
      </c>
      <c r="AJ211" s="790">
        <f t="shared" si="135"/>
        <v>55432</v>
      </c>
      <c r="AK211" s="790">
        <f t="shared" si="136"/>
        <v>89404</v>
      </c>
      <c r="AL211" s="791">
        <f t="shared" si="137"/>
        <v>365</v>
      </c>
      <c r="AM211" s="791">
        <f t="shared" si="138"/>
        <v>8493</v>
      </c>
      <c r="AN211" s="783">
        <f t="shared" si="139"/>
        <v>42465</v>
      </c>
      <c r="AO211" s="783">
        <f t="shared" si="140"/>
        <v>46939</v>
      </c>
      <c r="AP211" s="808">
        <f t="shared" si="141"/>
        <v>46939</v>
      </c>
      <c r="AQ211" s="808">
        <f t="shared" si="142"/>
        <v>89404</v>
      </c>
      <c r="AR211" s="809">
        <f t="shared" si="143"/>
        <v>366</v>
      </c>
      <c r="AS211" s="809">
        <f t="shared" si="144"/>
        <v>8517</v>
      </c>
      <c r="AT211" s="808">
        <f t="shared" si="145"/>
        <v>50982</v>
      </c>
      <c r="AU211" s="808">
        <f t="shared" si="146"/>
        <v>38422</v>
      </c>
    </row>
    <row r="212" spans="1:47" ht="15" customHeight="1" x14ac:dyDescent="0.25">
      <c r="A212" s="842" t="s">
        <v>133</v>
      </c>
      <c r="B212" s="843" t="s">
        <v>1266</v>
      </c>
      <c r="C212" s="778">
        <f t="shared" si="125"/>
        <v>9.5000000000000001E-2</v>
      </c>
      <c r="D212" s="844">
        <v>10</v>
      </c>
      <c r="E212" s="779" t="s">
        <v>1182</v>
      </c>
      <c r="F212" s="845">
        <v>43191</v>
      </c>
      <c r="G212" s="781">
        <f t="shared" si="147"/>
        <v>43191</v>
      </c>
      <c r="H212" s="781">
        <f t="shared" si="126"/>
        <v>46841</v>
      </c>
      <c r="I212" s="795">
        <v>76395</v>
      </c>
      <c r="J212" s="783">
        <f t="shared" si="127"/>
        <v>3819.75</v>
      </c>
      <c r="K212" s="887"/>
      <c r="L212" s="846">
        <v>0</v>
      </c>
      <c r="M212" s="790">
        <f t="shared" si="148"/>
        <v>76395</v>
      </c>
      <c r="N212" s="791">
        <f t="shared" si="149"/>
        <v>365</v>
      </c>
      <c r="O212" s="791">
        <f t="shared" si="150"/>
        <v>7258</v>
      </c>
      <c r="P212" s="790">
        <f t="shared" si="151"/>
        <v>7258</v>
      </c>
      <c r="Q212" s="847">
        <f t="shared" si="128"/>
        <v>69137</v>
      </c>
      <c r="R212" s="914">
        <f t="shared" si="129"/>
        <v>69137</v>
      </c>
      <c r="S212" s="790">
        <f t="shared" si="152"/>
        <v>76395</v>
      </c>
      <c r="T212" s="792">
        <f t="shared" si="153"/>
        <v>366</v>
      </c>
      <c r="U212" s="792">
        <f t="shared" si="154"/>
        <v>7258</v>
      </c>
      <c r="V212" s="790">
        <f t="shared" si="155"/>
        <v>14516</v>
      </c>
      <c r="W212" s="847">
        <f t="shared" si="130"/>
        <v>61879</v>
      </c>
      <c r="X212" s="846">
        <f t="shared" si="131"/>
        <v>61879</v>
      </c>
      <c r="Y212" s="783">
        <f t="shared" si="156"/>
        <v>76395</v>
      </c>
      <c r="Z212" s="783">
        <f t="shared" si="157"/>
        <v>365</v>
      </c>
      <c r="AA212" s="783">
        <f t="shared" si="158"/>
        <v>7258</v>
      </c>
      <c r="AB212" s="783">
        <f t="shared" si="159"/>
        <v>21774</v>
      </c>
      <c r="AC212" s="848">
        <f t="shared" si="132"/>
        <v>54621</v>
      </c>
      <c r="AD212" s="789">
        <f t="shared" si="133"/>
        <v>54621</v>
      </c>
      <c r="AE212" s="790">
        <f t="shared" si="160"/>
        <v>76395</v>
      </c>
      <c r="AF212" s="791">
        <f t="shared" si="161"/>
        <v>365</v>
      </c>
      <c r="AG212" s="791">
        <f t="shared" si="162"/>
        <v>7258</v>
      </c>
      <c r="AH212" s="783">
        <f t="shared" si="163"/>
        <v>29032</v>
      </c>
      <c r="AI212" s="783">
        <f t="shared" si="134"/>
        <v>47363</v>
      </c>
      <c r="AJ212" s="790">
        <f t="shared" si="135"/>
        <v>47363</v>
      </c>
      <c r="AK212" s="790">
        <f t="shared" si="136"/>
        <v>76395</v>
      </c>
      <c r="AL212" s="791">
        <f t="shared" si="137"/>
        <v>365</v>
      </c>
      <c r="AM212" s="791">
        <f t="shared" si="138"/>
        <v>7258</v>
      </c>
      <c r="AN212" s="783">
        <f t="shared" si="139"/>
        <v>36290</v>
      </c>
      <c r="AO212" s="783">
        <f t="shared" si="140"/>
        <v>40105</v>
      </c>
      <c r="AP212" s="808">
        <f t="shared" si="141"/>
        <v>40105</v>
      </c>
      <c r="AQ212" s="808">
        <f t="shared" si="142"/>
        <v>76395</v>
      </c>
      <c r="AR212" s="809">
        <f t="shared" si="143"/>
        <v>366</v>
      </c>
      <c r="AS212" s="809">
        <f t="shared" si="144"/>
        <v>7277</v>
      </c>
      <c r="AT212" s="808">
        <f t="shared" si="145"/>
        <v>43567</v>
      </c>
      <c r="AU212" s="808">
        <f t="shared" si="146"/>
        <v>32828</v>
      </c>
    </row>
    <row r="213" spans="1:47" ht="15" customHeight="1" x14ac:dyDescent="0.25">
      <c r="A213" s="842" t="s">
        <v>133</v>
      </c>
      <c r="B213" s="843" t="s">
        <v>1266</v>
      </c>
      <c r="C213" s="778">
        <f t="shared" si="125"/>
        <v>9.5000000000000001E-2</v>
      </c>
      <c r="D213" s="844">
        <v>10</v>
      </c>
      <c r="E213" s="779" t="s">
        <v>1182</v>
      </c>
      <c r="F213" s="845">
        <v>43191</v>
      </c>
      <c r="G213" s="781">
        <f t="shared" si="147"/>
        <v>43191</v>
      </c>
      <c r="H213" s="781">
        <f t="shared" si="126"/>
        <v>46841</v>
      </c>
      <c r="I213" s="795">
        <v>73885</v>
      </c>
      <c r="J213" s="783">
        <f t="shared" si="127"/>
        <v>3694.25</v>
      </c>
      <c r="K213" s="887"/>
      <c r="L213" s="846">
        <v>0</v>
      </c>
      <c r="M213" s="790">
        <f t="shared" si="148"/>
        <v>73885</v>
      </c>
      <c r="N213" s="791">
        <f t="shared" si="149"/>
        <v>365</v>
      </c>
      <c r="O213" s="791">
        <f t="shared" si="150"/>
        <v>7019</v>
      </c>
      <c r="P213" s="790">
        <f t="shared" si="151"/>
        <v>7019</v>
      </c>
      <c r="Q213" s="847">
        <f t="shared" si="128"/>
        <v>66866</v>
      </c>
      <c r="R213" s="914">
        <f t="shared" si="129"/>
        <v>66866</v>
      </c>
      <c r="S213" s="790">
        <f t="shared" si="152"/>
        <v>73885</v>
      </c>
      <c r="T213" s="792">
        <f t="shared" si="153"/>
        <v>366</v>
      </c>
      <c r="U213" s="792">
        <f t="shared" si="154"/>
        <v>7019</v>
      </c>
      <c r="V213" s="790">
        <f t="shared" si="155"/>
        <v>14038</v>
      </c>
      <c r="W213" s="847">
        <f t="shared" si="130"/>
        <v>59847</v>
      </c>
      <c r="X213" s="846">
        <f t="shared" si="131"/>
        <v>59847</v>
      </c>
      <c r="Y213" s="783">
        <f t="shared" si="156"/>
        <v>73885</v>
      </c>
      <c r="Z213" s="783">
        <f t="shared" si="157"/>
        <v>365</v>
      </c>
      <c r="AA213" s="783">
        <f t="shared" si="158"/>
        <v>7019</v>
      </c>
      <c r="AB213" s="783">
        <f t="shared" si="159"/>
        <v>21057</v>
      </c>
      <c r="AC213" s="848">
        <f t="shared" si="132"/>
        <v>52828</v>
      </c>
      <c r="AD213" s="789">
        <f t="shared" si="133"/>
        <v>52828</v>
      </c>
      <c r="AE213" s="790">
        <f t="shared" si="160"/>
        <v>73885</v>
      </c>
      <c r="AF213" s="791">
        <f t="shared" si="161"/>
        <v>365</v>
      </c>
      <c r="AG213" s="791">
        <f t="shared" si="162"/>
        <v>7019</v>
      </c>
      <c r="AH213" s="783">
        <f t="shared" si="163"/>
        <v>28076</v>
      </c>
      <c r="AI213" s="783">
        <f t="shared" si="134"/>
        <v>45809</v>
      </c>
      <c r="AJ213" s="790">
        <f t="shared" si="135"/>
        <v>45809</v>
      </c>
      <c r="AK213" s="790">
        <f t="shared" si="136"/>
        <v>73885</v>
      </c>
      <c r="AL213" s="791">
        <f t="shared" si="137"/>
        <v>365</v>
      </c>
      <c r="AM213" s="791">
        <f t="shared" si="138"/>
        <v>7019</v>
      </c>
      <c r="AN213" s="783">
        <f t="shared" si="139"/>
        <v>35095</v>
      </c>
      <c r="AO213" s="783">
        <f t="shared" si="140"/>
        <v>38790</v>
      </c>
      <c r="AP213" s="808">
        <f t="shared" si="141"/>
        <v>38790</v>
      </c>
      <c r="AQ213" s="808">
        <f t="shared" si="142"/>
        <v>73885</v>
      </c>
      <c r="AR213" s="809">
        <f t="shared" si="143"/>
        <v>366</v>
      </c>
      <c r="AS213" s="809">
        <f t="shared" si="144"/>
        <v>7038</v>
      </c>
      <c r="AT213" s="808">
        <f t="shared" si="145"/>
        <v>42133</v>
      </c>
      <c r="AU213" s="808">
        <f t="shared" si="146"/>
        <v>31752</v>
      </c>
    </row>
    <row r="214" spans="1:47" ht="15" customHeight="1" x14ac:dyDescent="0.25">
      <c r="A214" s="842" t="s">
        <v>133</v>
      </c>
      <c r="B214" s="843" t="s">
        <v>1266</v>
      </c>
      <c r="C214" s="778">
        <f t="shared" si="125"/>
        <v>9.5000000000000001E-2</v>
      </c>
      <c r="D214" s="844">
        <v>10</v>
      </c>
      <c r="E214" s="779" t="s">
        <v>1182</v>
      </c>
      <c r="F214" s="845">
        <v>43191</v>
      </c>
      <c r="G214" s="781">
        <f t="shared" si="147"/>
        <v>43191</v>
      </c>
      <c r="H214" s="781">
        <f t="shared" si="126"/>
        <v>46841</v>
      </c>
      <c r="I214" s="795">
        <v>44093</v>
      </c>
      <c r="J214" s="783">
        <f t="shared" si="127"/>
        <v>2204.65</v>
      </c>
      <c r="K214" s="887"/>
      <c r="L214" s="846">
        <v>0</v>
      </c>
      <c r="M214" s="790">
        <f t="shared" si="148"/>
        <v>44093</v>
      </c>
      <c r="N214" s="791">
        <f t="shared" si="149"/>
        <v>365</v>
      </c>
      <c r="O214" s="791">
        <f t="shared" si="150"/>
        <v>4189</v>
      </c>
      <c r="P214" s="790">
        <f t="shared" si="151"/>
        <v>4189</v>
      </c>
      <c r="Q214" s="847">
        <f t="shared" si="128"/>
        <v>39904</v>
      </c>
      <c r="R214" s="914">
        <f t="shared" si="129"/>
        <v>39904</v>
      </c>
      <c r="S214" s="790">
        <f t="shared" si="152"/>
        <v>44093</v>
      </c>
      <c r="T214" s="792">
        <f t="shared" si="153"/>
        <v>366</v>
      </c>
      <c r="U214" s="792">
        <f t="shared" si="154"/>
        <v>4189</v>
      </c>
      <c r="V214" s="790">
        <f t="shared" si="155"/>
        <v>8378</v>
      </c>
      <c r="W214" s="847">
        <f t="shared" si="130"/>
        <v>35715</v>
      </c>
      <c r="X214" s="846">
        <f t="shared" si="131"/>
        <v>35715</v>
      </c>
      <c r="Y214" s="783">
        <f t="shared" si="156"/>
        <v>44093</v>
      </c>
      <c r="Z214" s="783">
        <f t="shared" si="157"/>
        <v>365</v>
      </c>
      <c r="AA214" s="783">
        <f t="shared" si="158"/>
        <v>4189</v>
      </c>
      <c r="AB214" s="783">
        <f t="shared" si="159"/>
        <v>12567</v>
      </c>
      <c r="AC214" s="848">
        <f t="shared" si="132"/>
        <v>31526</v>
      </c>
      <c r="AD214" s="789">
        <f t="shared" si="133"/>
        <v>31526</v>
      </c>
      <c r="AE214" s="790">
        <f t="shared" si="160"/>
        <v>44093</v>
      </c>
      <c r="AF214" s="791">
        <f t="shared" si="161"/>
        <v>365</v>
      </c>
      <c r="AG214" s="791">
        <f t="shared" si="162"/>
        <v>4189</v>
      </c>
      <c r="AH214" s="783">
        <f t="shared" si="163"/>
        <v>16756</v>
      </c>
      <c r="AI214" s="783">
        <f t="shared" si="134"/>
        <v>27337</v>
      </c>
      <c r="AJ214" s="790">
        <f t="shared" si="135"/>
        <v>27337</v>
      </c>
      <c r="AK214" s="790">
        <f t="shared" si="136"/>
        <v>44093</v>
      </c>
      <c r="AL214" s="791">
        <f t="shared" si="137"/>
        <v>365</v>
      </c>
      <c r="AM214" s="791">
        <f t="shared" si="138"/>
        <v>4189</v>
      </c>
      <c r="AN214" s="783">
        <f t="shared" si="139"/>
        <v>20945</v>
      </c>
      <c r="AO214" s="783">
        <f t="shared" si="140"/>
        <v>23148</v>
      </c>
      <c r="AP214" s="808">
        <f t="shared" si="141"/>
        <v>23148</v>
      </c>
      <c r="AQ214" s="808">
        <f t="shared" si="142"/>
        <v>44093</v>
      </c>
      <c r="AR214" s="809">
        <f t="shared" si="143"/>
        <v>366</v>
      </c>
      <c r="AS214" s="809">
        <f t="shared" si="144"/>
        <v>4200</v>
      </c>
      <c r="AT214" s="808">
        <f t="shared" si="145"/>
        <v>25145</v>
      </c>
      <c r="AU214" s="808">
        <f t="shared" si="146"/>
        <v>18948</v>
      </c>
    </row>
    <row r="215" spans="1:47" ht="15" customHeight="1" x14ac:dyDescent="0.25">
      <c r="A215" s="842" t="s">
        <v>133</v>
      </c>
      <c r="B215" s="843" t="s">
        <v>1266</v>
      </c>
      <c r="C215" s="778">
        <f t="shared" si="125"/>
        <v>9.5000000000000001E-2</v>
      </c>
      <c r="D215" s="844">
        <v>10</v>
      </c>
      <c r="E215" s="779" t="s">
        <v>1182</v>
      </c>
      <c r="F215" s="845">
        <v>43191</v>
      </c>
      <c r="G215" s="781">
        <f t="shared" si="147"/>
        <v>43191</v>
      </c>
      <c r="H215" s="781">
        <f t="shared" si="126"/>
        <v>46841</v>
      </c>
      <c r="I215" s="795">
        <v>50848</v>
      </c>
      <c r="J215" s="783">
        <f t="shared" si="127"/>
        <v>2542.4</v>
      </c>
      <c r="K215" s="887"/>
      <c r="L215" s="846">
        <v>0</v>
      </c>
      <c r="M215" s="790">
        <f t="shared" si="148"/>
        <v>50848</v>
      </c>
      <c r="N215" s="791">
        <f t="shared" si="149"/>
        <v>365</v>
      </c>
      <c r="O215" s="791">
        <f t="shared" si="150"/>
        <v>4831</v>
      </c>
      <c r="P215" s="790">
        <f t="shared" si="151"/>
        <v>4831</v>
      </c>
      <c r="Q215" s="847">
        <f t="shared" si="128"/>
        <v>46017</v>
      </c>
      <c r="R215" s="914">
        <f t="shared" si="129"/>
        <v>46017</v>
      </c>
      <c r="S215" s="790">
        <f t="shared" si="152"/>
        <v>50848</v>
      </c>
      <c r="T215" s="792">
        <f t="shared" si="153"/>
        <v>366</v>
      </c>
      <c r="U215" s="792">
        <f t="shared" si="154"/>
        <v>4831</v>
      </c>
      <c r="V215" s="790">
        <f t="shared" si="155"/>
        <v>9662</v>
      </c>
      <c r="W215" s="847">
        <f t="shared" si="130"/>
        <v>41186</v>
      </c>
      <c r="X215" s="846">
        <f t="shared" si="131"/>
        <v>41186</v>
      </c>
      <c r="Y215" s="783">
        <f t="shared" si="156"/>
        <v>50848</v>
      </c>
      <c r="Z215" s="783">
        <f t="shared" si="157"/>
        <v>365</v>
      </c>
      <c r="AA215" s="783">
        <f t="shared" si="158"/>
        <v>4831</v>
      </c>
      <c r="AB215" s="783">
        <f t="shared" si="159"/>
        <v>14493</v>
      </c>
      <c r="AC215" s="848">
        <f t="shared" si="132"/>
        <v>36355</v>
      </c>
      <c r="AD215" s="789">
        <f t="shared" si="133"/>
        <v>36355</v>
      </c>
      <c r="AE215" s="790">
        <f t="shared" si="160"/>
        <v>50848</v>
      </c>
      <c r="AF215" s="791">
        <f t="shared" si="161"/>
        <v>365</v>
      </c>
      <c r="AG215" s="791">
        <f t="shared" si="162"/>
        <v>4831</v>
      </c>
      <c r="AH215" s="783">
        <f t="shared" si="163"/>
        <v>19324</v>
      </c>
      <c r="AI215" s="783">
        <f t="shared" si="134"/>
        <v>31524</v>
      </c>
      <c r="AJ215" s="790">
        <f t="shared" si="135"/>
        <v>31524</v>
      </c>
      <c r="AK215" s="790">
        <f t="shared" si="136"/>
        <v>50848</v>
      </c>
      <c r="AL215" s="791">
        <f t="shared" si="137"/>
        <v>365</v>
      </c>
      <c r="AM215" s="791">
        <f t="shared" si="138"/>
        <v>4831</v>
      </c>
      <c r="AN215" s="783">
        <f t="shared" si="139"/>
        <v>24155</v>
      </c>
      <c r="AO215" s="783">
        <f t="shared" si="140"/>
        <v>26693</v>
      </c>
      <c r="AP215" s="808">
        <f t="shared" si="141"/>
        <v>26693</v>
      </c>
      <c r="AQ215" s="808">
        <f t="shared" si="142"/>
        <v>50848</v>
      </c>
      <c r="AR215" s="809">
        <f t="shared" si="143"/>
        <v>366</v>
      </c>
      <c r="AS215" s="809">
        <f t="shared" si="144"/>
        <v>4844</v>
      </c>
      <c r="AT215" s="808">
        <f t="shared" si="145"/>
        <v>28999</v>
      </c>
      <c r="AU215" s="808">
        <f t="shared" si="146"/>
        <v>21849</v>
      </c>
    </row>
    <row r="216" spans="1:47" ht="15" customHeight="1" x14ac:dyDescent="0.25">
      <c r="A216" s="842" t="s">
        <v>133</v>
      </c>
      <c r="B216" s="843" t="s">
        <v>1266</v>
      </c>
      <c r="C216" s="778">
        <f t="shared" si="125"/>
        <v>9.5000000000000001E-2</v>
      </c>
      <c r="D216" s="844">
        <v>10</v>
      </c>
      <c r="E216" s="779" t="s">
        <v>1182</v>
      </c>
      <c r="F216" s="845">
        <v>43191</v>
      </c>
      <c r="G216" s="781">
        <f t="shared" si="147"/>
        <v>43191</v>
      </c>
      <c r="H216" s="781">
        <f t="shared" si="126"/>
        <v>46841</v>
      </c>
      <c r="I216" s="795">
        <v>51059</v>
      </c>
      <c r="J216" s="783">
        <f t="shared" si="127"/>
        <v>2552.9500000000003</v>
      </c>
      <c r="K216" s="887"/>
      <c r="L216" s="846">
        <v>0</v>
      </c>
      <c r="M216" s="790">
        <f t="shared" si="148"/>
        <v>51059</v>
      </c>
      <c r="N216" s="791">
        <f t="shared" si="149"/>
        <v>365</v>
      </c>
      <c r="O216" s="791">
        <f t="shared" si="150"/>
        <v>4851</v>
      </c>
      <c r="P216" s="790">
        <f t="shared" si="151"/>
        <v>4851</v>
      </c>
      <c r="Q216" s="847">
        <f t="shared" si="128"/>
        <v>46208</v>
      </c>
      <c r="R216" s="914">
        <f t="shared" si="129"/>
        <v>46208</v>
      </c>
      <c r="S216" s="790">
        <f t="shared" si="152"/>
        <v>51059</v>
      </c>
      <c r="T216" s="792">
        <f t="shared" si="153"/>
        <v>366</v>
      </c>
      <c r="U216" s="792">
        <f t="shared" si="154"/>
        <v>4851</v>
      </c>
      <c r="V216" s="790">
        <f t="shared" si="155"/>
        <v>9702</v>
      </c>
      <c r="W216" s="847">
        <f t="shared" si="130"/>
        <v>41357</v>
      </c>
      <c r="X216" s="846">
        <f t="shared" si="131"/>
        <v>41357</v>
      </c>
      <c r="Y216" s="783">
        <f t="shared" si="156"/>
        <v>51059</v>
      </c>
      <c r="Z216" s="783">
        <f t="shared" si="157"/>
        <v>365</v>
      </c>
      <c r="AA216" s="783">
        <f t="shared" si="158"/>
        <v>4851</v>
      </c>
      <c r="AB216" s="783">
        <f t="shared" si="159"/>
        <v>14553</v>
      </c>
      <c r="AC216" s="848">
        <f t="shared" si="132"/>
        <v>36506</v>
      </c>
      <c r="AD216" s="789">
        <f t="shared" si="133"/>
        <v>36506</v>
      </c>
      <c r="AE216" s="790">
        <f t="shared" si="160"/>
        <v>51059</v>
      </c>
      <c r="AF216" s="791">
        <f t="shared" si="161"/>
        <v>365</v>
      </c>
      <c r="AG216" s="791">
        <f t="shared" si="162"/>
        <v>4851</v>
      </c>
      <c r="AH216" s="783">
        <f t="shared" si="163"/>
        <v>19404</v>
      </c>
      <c r="AI216" s="783">
        <f t="shared" si="134"/>
        <v>31655</v>
      </c>
      <c r="AJ216" s="790">
        <f t="shared" si="135"/>
        <v>31655</v>
      </c>
      <c r="AK216" s="790">
        <f t="shared" si="136"/>
        <v>51059</v>
      </c>
      <c r="AL216" s="791">
        <f t="shared" si="137"/>
        <v>365</v>
      </c>
      <c r="AM216" s="791">
        <f t="shared" si="138"/>
        <v>4851</v>
      </c>
      <c r="AN216" s="783">
        <f t="shared" si="139"/>
        <v>24255</v>
      </c>
      <c r="AO216" s="783">
        <f t="shared" si="140"/>
        <v>26804</v>
      </c>
      <c r="AP216" s="808">
        <f t="shared" si="141"/>
        <v>26804</v>
      </c>
      <c r="AQ216" s="808">
        <f t="shared" si="142"/>
        <v>51059</v>
      </c>
      <c r="AR216" s="809">
        <f t="shared" si="143"/>
        <v>366</v>
      </c>
      <c r="AS216" s="809">
        <f t="shared" si="144"/>
        <v>4864</v>
      </c>
      <c r="AT216" s="808">
        <f t="shared" si="145"/>
        <v>29119</v>
      </c>
      <c r="AU216" s="808">
        <f t="shared" si="146"/>
        <v>21940</v>
      </c>
    </row>
    <row r="217" spans="1:47" ht="15" customHeight="1" x14ac:dyDescent="0.25">
      <c r="A217" s="842" t="s">
        <v>133</v>
      </c>
      <c r="B217" s="843" t="s">
        <v>1266</v>
      </c>
      <c r="C217" s="778">
        <f t="shared" si="125"/>
        <v>9.5000000000000001E-2</v>
      </c>
      <c r="D217" s="844">
        <v>10</v>
      </c>
      <c r="E217" s="779" t="s">
        <v>1182</v>
      </c>
      <c r="F217" s="845">
        <v>43191</v>
      </c>
      <c r="G217" s="781">
        <f t="shared" si="147"/>
        <v>43191</v>
      </c>
      <c r="H217" s="781">
        <f t="shared" si="126"/>
        <v>46841</v>
      </c>
      <c r="I217" s="795">
        <v>31040</v>
      </c>
      <c r="J217" s="783">
        <f t="shared" si="127"/>
        <v>1552</v>
      </c>
      <c r="K217" s="887"/>
      <c r="L217" s="846">
        <v>0</v>
      </c>
      <c r="M217" s="790">
        <f t="shared" si="148"/>
        <v>31040</v>
      </c>
      <c r="N217" s="791">
        <f t="shared" si="149"/>
        <v>365</v>
      </c>
      <c r="O217" s="791">
        <f t="shared" si="150"/>
        <v>2949</v>
      </c>
      <c r="P217" s="790">
        <f t="shared" si="151"/>
        <v>2949</v>
      </c>
      <c r="Q217" s="847">
        <f t="shared" si="128"/>
        <v>28091</v>
      </c>
      <c r="R217" s="914">
        <f t="shared" si="129"/>
        <v>28091</v>
      </c>
      <c r="S217" s="790">
        <f t="shared" si="152"/>
        <v>31040</v>
      </c>
      <c r="T217" s="792">
        <f t="shared" si="153"/>
        <v>366</v>
      </c>
      <c r="U217" s="792">
        <f t="shared" si="154"/>
        <v>2949</v>
      </c>
      <c r="V217" s="790">
        <f t="shared" si="155"/>
        <v>5898</v>
      </c>
      <c r="W217" s="847">
        <f t="shared" si="130"/>
        <v>25142</v>
      </c>
      <c r="X217" s="846">
        <f t="shared" si="131"/>
        <v>25142</v>
      </c>
      <c r="Y217" s="783">
        <f t="shared" si="156"/>
        <v>31040</v>
      </c>
      <c r="Z217" s="783">
        <f t="shared" si="157"/>
        <v>365</v>
      </c>
      <c r="AA217" s="783">
        <f t="shared" si="158"/>
        <v>2949</v>
      </c>
      <c r="AB217" s="783">
        <f t="shared" si="159"/>
        <v>8847</v>
      </c>
      <c r="AC217" s="848">
        <f t="shared" si="132"/>
        <v>22193</v>
      </c>
      <c r="AD217" s="789">
        <f t="shared" si="133"/>
        <v>22193</v>
      </c>
      <c r="AE217" s="790">
        <f t="shared" si="160"/>
        <v>31040</v>
      </c>
      <c r="AF217" s="791">
        <f t="shared" si="161"/>
        <v>365</v>
      </c>
      <c r="AG217" s="791">
        <f t="shared" si="162"/>
        <v>2949</v>
      </c>
      <c r="AH217" s="783">
        <f t="shared" si="163"/>
        <v>11796</v>
      </c>
      <c r="AI217" s="783">
        <f t="shared" si="134"/>
        <v>19244</v>
      </c>
      <c r="AJ217" s="790">
        <f t="shared" si="135"/>
        <v>19244</v>
      </c>
      <c r="AK217" s="790">
        <f t="shared" si="136"/>
        <v>31040</v>
      </c>
      <c r="AL217" s="791">
        <f t="shared" si="137"/>
        <v>365</v>
      </c>
      <c r="AM217" s="791">
        <f t="shared" si="138"/>
        <v>2949</v>
      </c>
      <c r="AN217" s="783">
        <f t="shared" si="139"/>
        <v>14745</v>
      </c>
      <c r="AO217" s="783">
        <f t="shared" si="140"/>
        <v>16295</v>
      </c>
      <c r="AP217" s="808">
        <f t="shared" si="141"/>
        <v>16295</v>
      </c>
      <c r="AQ217" s="808">
        <f t="shared" si="142"/>
        <v>31040</v>
      </c>
      <c r="AR217" s="809">
        <f t="shared" si="143"/>
        <v>366</v>
      </c>
      <c r="AS217" s="809">
        <f t="shared" si="144"/>
        <v>2957</v>
      </c>
      <c r="AT217" s="808">
        <f t="shared" si="145"/>
        <v>17702</v>
      </c>
      <c r="AU217" s="808">
        <f t="shared" si="146"/>
        <v>13338</v>
      </c>
    </row>
    <row r="218" spans="1:47" ht="15" customHeight="1" x14ac:dyDescent="0.25">
      <c r="A218" s="842" t="s">
        <v>133</v>
      </c>
      <c r="B218" s="843" t="s">
        <v>1267</v>
      </c>
      <c r="C218" s="778">
        <f t="shared" si="125"/>
        <v>9.5000000000000001E-2</v>
      </c>
      <c r="D218" s="844">
        <v>10</v>
      </c>
      <c r="E218" s="779" t="s">
        <v>1182</v>
      </c>
      <c r="F218" s="845">
        <v>43191</v>
      </c>
      <c r="G218" s="781">
        <f t="shared" si="147"/>
        <v>43191</v>
      </c>
      <c r="H218" s="781">
        <f t="shared" si="126"/>
        <v>46841</v>
      </c>
      <c r="I218" s="795">
        <v>492813</v>
      </c>
      <c r="J218" s="783">
        <f t="shared" si="127"/>
        <v>24640.65</v>
      </c>
      <c r="K218" s="887"/>
      <c r="L218" s="846">
        <v>0</v>
      </c>
      <c r="M218" s="790">
        <f t="shared" si="148"/>
        <v>492813</v>
      </c>
      <c r="N218" s="791">
        <f t="shared" si="149"/>
        <v>365</v>
      </c>
      <c r="O218" s="791">
        <f t="shared" si="150"/>
        <v>46817</v>
      </c>
      <c r="P218" s="790">
        <f t="shared" si="151"/>
        <v>46817</v>
      </c>
      <c r="Q218" s="847">
        <f t="shared" si="128"/>
        <v>445996</v>
      </c>
      <c r="R218" s="914">
        <f t="shared" si="129"/>
        <v>445996</v>
      </c>
      <c r="S218" s="790">
        <f t="shared" si="152"/>
        <v>492813</v>
      </c>
      <c r="T218" s="792">
        <f t="shared" si="153"/>
        <v>366</v>
      </c>
      <c r="U218" s="792">
        <f t="shared" si="154"/>
        <v>46817</v>
      </c>
      <c r="V218" s="790">
        <f t="shared" si="155"/>
        <v>93634</v>
      </c>
      <c r="W218" s="847">
        <f t="shared" si="130"/>
        <v>399179</v>
      </c>
      <c r="X218" s="846">
        <f t="shared" si="131"/>
        <v>399179</v>
      </c>
      <c r="Y218" s="783">
        <f t="shared" si="156"/>
        <v>492813</v>
      </c>
      <c r="Z218" s="783">
        <f t="shared" si="157"/>
        <v>365</v>
      </c>
      <c r="AA218" s="783">
        <f t="shared" si="158"/>
        <v>46817</v>
      </c>
      <c r="AB218" s="783">
        <f t="shared" si="159"/>
        <v>140451</v>
      </c>
      <c r="AC218" s="848">
        <f t="shared" si="132"/>
        <v>352362</v>
      </c>
      <c r="AD218" s="789">
        <f t="shared" si="133"/>
        <v>352362</v>
      </c>
      <c r="AE218" s="790">
        <f t="shared" si="160"/>
        <v>492813</v>
      </c>
      <c r="AF218" s="791">
        <f t="shared" si="161"/>
        <v>365</v>
      </c>
      <c r="AG218" s="791">
        <f t="shared" si="162"/>
        <v>46817</v>
      </c>
      <c r="AH218" s="783">
        <f t="shared" si="163"/>
        <v>187268</v>
      </c>
      <c r="AI218" s="783">
        <f t="shared" si="134"/>
        <v>305545</v>
      </c>
      <c r="AJ218" s="790">
        <f t="shared" si="135"/>
        <v>305545</v>
      </c>
      <c r="AK218" s="790">
        <f t="shared" si="136"/>
        <v>492813</v>
      </c>
      <c r="AL218" s="791">
        <f t="shared" si="137"/>
        <v>365</v>
      </c>
      <c r="AM218" s="791">
        <f t="shared" si="138"/>
        <v>46817</v>
      </c>
      <c r="AN218" s="783">
        <f t="shared" si="139"/>
        <v>234085</v>
      </c>
      <c r="AO218" s="783">
        <f t="shared" si="140"/>
        <v>258728</v>
      </c>
      <c r="AP218" s="808">
        <f t="shared" si="141"/>
        <v>258728</v>
      </c>
      <c r="AQ218" s="808">
        <f t="shared" si="142"/>
        <v>492813</v>
      </c>
      <c r="AR218" s="809">
        <f t="shared" si="143"/>
        <v>366</v>
      </c>
      <c r="AS218" s="809">
        <f t="shared" si="144"/>
        <v>46946</v>
      </c>
      <c r="AT218" s="808">
        <f t="shared" si="145"/>
        <v>281031</v>
      </c>
      <c r="AU218" s="808">
        <f t="shared" si="146"/>
        <v>211782</v>
      </c>
    </row>
    <row r="219" spans="1:47" ht="15" customHeight="1" x14ac:dyDescent="0.25">
      <c r="A219" s="842" t="s">
        <v>133</v>
      </c>
      <c r="B219" s="843" t="s">
        <v>1267</v>
      </c>
      <c r="C219" s="778">
        <f t="shared" si="125"/>
        <v>9.5000000000000001E-2</v>
      </c>
      <c r="D219" s="844">
        <v>10</v>
      </c>
      <c r="E219" s="779" t="s">
        <v>1182</v>
      </c>
      <c r="F219" s="845">
        <v>43191</v>
      </c>
      <c r="G219" s="781">
        <f t="shared" si="147"/>
        <v>43191</v>
      </c>
      <c r="H219" s="781">
        <f t="shared" si="126"/>
        <v>46841</v>
      </c>
      <c r="I219" s="795">
        <v>212511</v>
      </c>
      <c r="J219" s="783">
        <f t="shared" si="127"/>
        <v>10625.550000000001</v>
      </c>
      <c r="K219" s="887"/>
      <c r="L219" s="846">
        <v>0</v>
      </c>
      <c r="M219" s="790">
        <f t="shared" si="148"/>
        <v>212511</v>
      </c>
      <c r="N219" s="791">
        <f t="shared" si="149"/>
        <v>365</v>
      </c>
      <c r="O219" s="791">
        <f t="shared" si="150"/>
        <v>20189</v>
      </c>
      <c r="P219" s="790">
        <f t="shared" si="151"/>
        <v>20189</v>
      </c>
      <c r="Q219" s="847">
        <f t="shared" si="128"/>
        <v>192322</v>
      </c>
      <c r="R219" s="914">
        <f t="shared" si="129"/>
        <v>192322</v>
      </c>
      <c r="S219" s="790">
        <f t="shared" si="152"/>
        <v>212511</v>
      </c>
      <c r="T219" s="792">
        <f t="shared" si="153"/>
        <v>366</v>
      </c>
      <c r="U219" s="792">
        <f t="shared" si="154"/>
        <v>20189</v>
      </c>
      <c r="V219" s="790">
        <f t="shared" si="155"/>
        <v>40378</v>
      </c>
      <c r="W219" s="847">
        <f t="shared" si="130"/>
        <v>172133</v>
      </c>
      <c r="X219" s="846">
        <f t="shared" si="131"/>
        <v>172133</v>
      </c>
      <c r="Y219" s="783">
        <f t="shared" si="156"/>
        <v>212511</v>
      </c>
      <c r="Z219" s="783">
        <f t="shared" si="157"/>
        <v>365</v>
      </c>
      <c r="AA219" s="783">
        <f t="shared" si="158"/>
        <v>20189</v>
      </c>
      <c r="AB219" s="783">
        <f t="shared" si="159"/>
        <v>60567</v>
      </c>
      <c r="AC219" s="848">
        <f t="shared" si="132"/>
        <v>151944</v>
      </c>
      <c r="AD219" s="789">
        <f t="shared" si="133"/>
        <v>151944</v>
      </c>
      <c r="AE219" s="790">
        <f t="shared" si="160"/>
        <v>212511</v>
      </c>
      <c r="AF219" s="791">
        <f t="shared" si="161"/>
        <v>365</v>
      </c>
      <c r="AG219" s="791">
        <f t="shared" si="162"/>
        <v>20189</v>
      </c>
      <c r="AH219" s="783">
        <f t="shared" si="163"/>
        <v>80756</v>
      </c>
      <c r="AI219" s="783">
        <f t="shared" si="134"/>
        <v>131755</v>
      </c>
      <c r="AJ219" s="790">
        <f t="shared" si="135"/>
        <v>131755</v>
      </c>
      <c r="AK219" s="790">
        <f t="shared" si="136"/>
        <v>212511</v>
      </c>
      <c r="AL219" s="791">
        <f t="shared" si="137"/>
        <v>365</v>
      </c>
      <c r="AM219" s="791">
        <f t="shared" si="138"/>
        <v>20189</v>
      </c>
      <c r="AN219" s="783">
        <f t="shared" si="139"/>
        <v>100945</v>
      </c>
      <c r="AO219" s="783">
        <f t="shared" si="140"/>
        <v>111566</v>
      </c>
      <c r="AP219" s="808">
        <f t="shared" si="141"/>
        <v>111566</v>
      </c>
      <c r="AQ219" s="808">
        <f t="shared" si="142"/>
        <v>212511</v>
      </c>
      <c r="AR219" s="809">
        <f t="shared" si="143"/>
        <v>366</v>
      </c>
      <c r="AS219" s="809">
        <f t="shared" si="144"/>
        <v>20244</v>
      </c>
      <c r="AT219" s="808">
        <f t="shared" si="145"/>
        <v>121189</v>
      </c>
      <c r="AU219" s="808">
        <f t="shared" si="146"/>
        <v>91322</v>
      </c>
    </row>
    <row r="220" spans="1:47" ht="15" customHeight="1" x14ac:dyDescent="0.25">
      <c r="A220" s="842" t="s">
        <v>133</v>
      </c>
      <c r="B220" s="843" t="s">
        <v>1267</v>
      </c>
      <c r="C220" s="778">
        <f t="shared" si="125"/>
        <v>9.5000000000000001E-2</v>
      </c>
      <c r="D220" s="844">
        <v>10</v>
      </c>
      <c r="E220" s="779" t="s">
        <v>1182</v>
      </c>
      <c r="F220" s="845">
        <v>43191</v>
      </c>
      <c r="G220" s="781">
        <f t="shared" si="147"/>
        <v>43191</v>
      </c>
      <c r="H220" s="781">
        <f t="shared" si="126"/>
        <v>46841</v>
      </c>
      <c r="I220" s="795">
        <v>327492</v>
      </c>
      <c r="J220" s="783">
        <f t="shared" si="127"/>
        <v>16374.6</v>
      </c>
      <c r="K220" s="887"/>
      <c r="L220" s="846">
        <v>0</v>
      </c>
      <c r="M220" s="790">
        <f t="shared" si="148"/>
        <v>327492</v>
      </c>
      <c r="N220" s="791">
        <f t="shared" si="149"/>
        <v>365</v>
      </c>
      <c r="O220" s="791">
        <f t="shared" si="150"/>
        <v>31112</v>
      </c>
      <c r="P220" s="790">
        <f t="shared" si="151"/>
        <v>31112</v>
      </c>
      <c r="Q220" s="847">
        <f t="shared" si="128"/>
        <v>296380</v>
      </c>
      <c r="R220" s="914">
        <f t="shared" si="129"/>
        <v>296380</v>
      </c>
      <c r="S220" s="790">
        <f t="shared" si="152"/>
        <v>327492</v>
      </c>
      <c r="T220" s="792">
        <f t="shared" si="153"/>
        <v>366</v>
      </c>
      <c r="U220" s="792">
        <f t="shared" si="154"/>
        <v>31112</v>
      </c>
      <c r="V220" s="790">
        <f t="shared" si="155"/>
        <v>62224</v>
      </c>
      <c r="W220" s="847">
        <f t="shared" si="130"/>
        <v>265268</v>
      </c>
      <c r="X220" s="846">
        <f t="shared" si="131"/>
        <v>265268</v>
      </c>
      <c r="Y220" s="783">
        <f t="shared" si="156"/>
        <v>327492</v>
      </c>
      <c r="Z220" s="783">
        <f t="shared" si="157"/>
        <v>365</v>
      </c>
      <c r="AA220" s="783">
        <f t="shared" si="158"/>
        <v>31112</v>
      </c>
      <c r="AB220" s="783">
        <f t="shared" si="159"/>
        <v>93336</v>
      </c>
      <c r="AC220" s="848">
        <f t="shared" si="132"/>
        <v>234156</v>
      </c>
      <c r="AD220" s="789">
        <f t="shared" si="133"/>
        <v>234156</v>
      </c>
      <c r="AE220" s="790">
        <f t="shared" si="160"/>
        <v>327492</v>
      </c>
      <c r="AF220" s="791">
        <f t="shared" si="161"/>
        <v>365</v>
      </c>
      <c r="AG220" s="791">
        <f t="shared" si="162"/>
        <v>31112</v>
      </c>
      <c r="AH220" s="783">
        <f t="shared" si="163"/>
        <v>124448</v>
      </c>
      <c r="AI220" s="783">
        <f t="shared" si="134"/>
        <v>203044</v>
      </c>
      <c r="AJ220" s="790">
        <f t="shared" si="135"/>
        <v>203044</v>
      </c>
      <c r="AK220" s="790">
        <f t="shared" si="136"/>
        <v>327492</v>
      </c>
      <c r="AL220" s="791">
        <f t="shared" si="137"/>
        <v>365</v>
      </c>
      <c r="AM220" s="791">
        <f t="shared" si="138"/>
        <v>31112</v>
      </c>
      <c r="AN220" s="783">
        <f t="shared" si="139"/>
        <v>155560</v>
      </c>
      <c r="AO220" s="783">
        <f t="shared" si="140"/>
        <v>171932</v>
      </c>
      <c r="AP220" s="808">
        <f t="shared" si="141"/>
        <v>171932</v>
      </c>
      <c r="AQ220" s="808">
        <f t="shared" si="142"/>
        <v>327492</v>
      </c>
      <c r="AR220" s="809">
        <f t="shared" si="143"/>
        <v>366</v>
      </c>
      <c r="AS220" s="809">
        <f t="shared" si="144"/>
        <v>31197</v>
      </c>
      <c r="AT220" s="808">
        <f t="shared" si="145"/>
        <v>186757</v>
      </c>
      <c r="AU220" s="808">
        <f t="shared" si="146"/>
        <v>140735</v>
      </c>
    </row>
    <row r="221" spans="1:47" ht="15" customHeight="1" x14ac:dyDescent="0.25">
      <c r="A221" s="842" t="s">
        <v>133</v>
      </c>
      <c r="B221" s="843" t="s">
        <v>1267</v>
      </c>
      <c r="C221" s="778">
        <f t="shared" si="125"/>
        <v>9.5000000000000001E-2</v>
      </c>
      <c r="D221" s="844">
        <v>10</v>
      </c>
      <c r="E221" s="779" t="s">
        <v>1182</v>
      </c>
      <c r="F221" s="845">
        <v>43191</v>
      </c>
      <c r="G221" s="781">
        <f t="shared" si="147"/>
        <v>43191</v>
      </c>
      <c r="H221" s="781">
        <f t="shared" si="126"/>
        <v>46841</v>
      </c>
      <c r="I221" s="795">
        <v>103339</v>
      </c>
      <c r="J221" s="783">
        <f t="shared" si="127"/>
        <v>5166.9500000000007</v>
      </c>
      <c r="K221" s="887"/>
      <c r="L221" s="846">
        <v>0</v>
      </c>
      <c r="M221" s="790">
        <f t="shared" si="148"/>
        <v>103339</v>
      </c>
      <c r="N221" s="791">
        <f t="shared" si="149"/>
        <v>365</v>
      </c>
      <c r="O221" s="791">
        <f t="shared" si="150"/>
        <v>9817</v>
      </c>
      <c r="P221" s="790">
        <f t="shared" si="151"/>
        <v>9817</v>
      </c>
      <c r="Q221" s="847">
        <f t="shared" si="128"/>
        <v>93522</v>
      </c>
      <c r="R221" s="914">
        <f t="shared" si="129"/>
        <v>93522</v>
      </c>
      <c r="S221" s="790">
        <f t="shared" si="152"/>
        <v>103339</v>
      </c>
      <c r="T221" s="792">
        <f t="shared" si="153"/>
        <v>366</v>
      </c>
      <c r="U221" s="792">
        <f t="shared" si="154"/>
        <v>9817</v>
      </c>
      <c r="V221" s="790">
        <f t="shared" si="155"/>
        <v>19634</v>
      </c>
      <c r="W221" s="847">
        <f t="shared" si="130"/>
        <v>83705</v>
      </c>
      <c r="X221" s="846">
        <f t="shared" si="131"/>
        <v>83705</v>
      </c>
      <c r="Y221" s="783">
        <f t="shared" si="156"/>
        <v>103339</v>
      </c>
      <c r="Z221" s="783">
        <f t="shared" si="157"/>
        <v>365</v>
      </c>
      <c r="AA221" s="783">
        <f t="shared" si="158"/>
        <v>9817</v>
      </c>
      <c r="AB221" s="783">
        <f t="shared" si="159"/>
        <v>29451</v>
      </c>
      <c r="AC221" s="848">
        <f t="shared" si="132"/>
        <v>73888</v>
      </c>
      <c r="AD221" s="789">
        <f t="shared" si="133"/>
        <v>73888</v>
      </c>
      <c r="AE221" s="790">
        <f t="shared" si="160"/>
        <v>103339</v>
      </c>
      <c r="AF221" s="791">
        <f t="shared" si="161"/>
        <v>365</v>
      </c>
      <c r="AG221" s="791">
        <f t="shared" si="162"/>
        <v>9817</v>
      </c>
      <c r="AH221" s="783">
        <f t="shared" si="163"/>
        <v>39268</v>
      </c>
      <c r="AI221" s="783">
        <f t="shared" si="134"/>
        <v>64071</v>
      </c>
      <c r="AJ221" s="790">
        <f t="shared" si="135"/>
        <v>64071</v>
      </c>
      <c r="AK221" s="790">
        <f t="shared" si="136"/>
        <v>103339</v>
      </c>
      <c r="AL221" s="791">
        <f t="shared" si="137"/>
        <v>365</v>
      </c>
      <c r="AM221" s="791">
        <f t="shared" si="138"/>
        <v>9817</v>
      </c>
      <c r="AN221" s="783">
        <f t="shared" si="139"/>
        <v>49085</v>
      </c>
      <c r="AO221" s="783">
        <f t="shared" si="140"/>
        <v>54254</v>
      </c>
      <c r="AP221" s="808">
        <f t="shared" si="141"/>
        <v>54254</v>
      </c>
      <c r="AQ221" s="808">
        <f t="shared" si="142"/>
        <v>103339</v>
      </c>
      <c r="AR221" s="809">
        <f t="shared" si="143"/>
        <v>366</v>
      </c>
      <c r="AS221" s="809">
        <f t="shared" si="144"/>
        <v>9844</v>
      </c>
      <c r="AT221" s="808">
        <f t="shared" si="145"/>
        <v>58929</v>
      </c>
      <c r="AU221" s="808">
        <f t="shared" si="146"/>
        <v>44410</v>
      </c>
    </row>
    <row r="222" spans="1:47" ht="15" customHeight="1" x14ac:dyDescent="0.25">
      <c r="A222" s="842" t="s">
        <v>133</v>
      </c>
      <c r="B222" s="843" t="s">
        <v>1267</v>
      </c>
      <c r="C222" s="778">
        <f t="shared" si="125"/>
        <v>9.5000000000000001E-2</v>
      </c>
      <c r="D222" s="844">
        <v>10</v>
      </c>
      <c r="E222" s="779" t="s">
        <v>1182</v>
      </c>
      <c r="F222" s="845">
        <v>43191</v>
      </c>
      <c r="G222" s="781">
        <f t="shared" si="147"/>
        <v>43191</v>
      </c>
      <c r="H222" s="781">
        <f t="shared" si="126"/>
        <v>46841</v>
      </c>
      <c r="I222" s="795">
        <v>93750</v>
      </c>
      <c r="J222" s="783">
        <f t="shared" si="127"/>
        <v>4687.5</v>
      </c>
      <c r="K222" s="887"/>
      <c r="L222" s="846">
        <v>0</v>
      </c>
      <c r="M222" s="790">
        <f t="shared" si="148"/>
        <v>93750</v>
      </c>
      <c r="N222" s="791">
        <f t="shared" si="149"/>
        <v>365</v>
      </c>
      <c r="O222" s="791">
        <f t="shared" si="150"/>
        <v>8906</v>
      </c>
      <c r="P222" s="790">
        <f t="shared" si="151"/>
        <v>8906</v>
      </c>
      <c r="Q222" s="847">
        <f t="shared" si="128"/>
        <v>84844</v>
      </c>
      <c r="R222" s="914">
        <f t="shared" si="129"/>
        <v>84844</v>
      </c>
      <c r="S222" s="790">
        <f t="shared" si="152"/>
        <v>93750</v>
      </c>
      <c r="T222" s="792">
        <f t="shared" si="153"/>
        <v>366</v>
      </c>
      <c r="U222" s="792">
        <f t="shared" si="154"/>
        <v>8906</v>
      </c>
      <c r="V222" s="790">
        <f t="shared" si="155"/>
        <v>17812</v>
      </c>
      <c r="W222" s="847">
        <f t="shared" si="130"/>
        <v>75938</v>
      </c>
      <c r="X222" s="846">
        <f t="shared" si="131"/>
        <v>75938</v>
      </c>
      <c r="Y222" s="783">
        <f t="shared" si="156"/>
        <v>93750</v>
      </c>
      <c r="Z222" s="783">
        <f t="shared" si="157"/>
        <v>365</v>
      </c>
      <c r="AA222" s="783">
        <f t="shared" si="158"/>
        <v>8906</v>
      </c>
      <c r="AB222" s="783">
        <f t="shared" si="159"/>
        <v>26718</v>
      </c>
      <c r="AC222" s="848">
        <f t="shared" si="132"/>
        <v>67032</v>
      </c>
      <c r="AD222" s="789">
        <f t="shared" si="133"/>
        <v>67032</v>
      </c>
      <c r="AE222" s="790">
        <f t="shared" si="160"/>
        <v>93750</v>
      </c>
      <c r="AF222" s="791">
        <f t="shared" si="161"/>
        <v>365</v>
      </c>
      <c r="AG222" s="791">
        <f t="shared" si="162"/>
        <v>8906</v>
      </c>
      <c r="AH222" s="783">
        <f t="shared" si="163"/>
        <v>35624</v>
      </c>
      <c r="AI222" s="783">
        <f t="shared" si="134"/>
        <v>58126</v>
      </c>
      <c r="AJ222" s="790">
        <f t="shared" si="135"/>
        <v>58126</v>
      </c>
      <c r="AK222" s="790">
        <f t="shared" si="136"/>
        <v>93750</v>
      </c>
      <c r="AL222" s="791">
        <f t="shared" si="137"/>
        <v>365</v>
      </c>
      <c r="AM222" s="791">
        <f t="shared" si="138"/>
        <v>8906</v>
      </c>
      <c r="AN222" s="783">
        <f t="shared" si="139"/>
        <v>44530</v>
      </c>
      <c r="AO222" s="783">
        <f t="shared" si="140"/>
        <v>49220</v>
      </c>
      <c r="AP222" s="808">
        <f t="shared" si="141"/>
        <v>49220</v>
      </c>
      <c r="AQ222" s="808">
        <f t="shared" si="142"/>
        <v>93750</v>
      </c>
      <c r="AR222" s="809">
        <f t="shared" si="143"/>
        <v>366</v>
      </c>
      <c r="AS222" s="809">
        <f t="shared" si="144"/>
        <v>8931</v>
      </c>
      <c r="AT222" s="808">
        <f t="shared" si="145"/>
        <v>53461</v>
      </c>
      <c r="AU222" s="808">
        <f t="shared" si="146"/>
        <v>40289</v>
      </c>
    </row>
    <row r="223" spans="1:47" ht="15" customHeight="1" x14ac:dyDescent="0.25">
      <c r="A223" s="842" t="s">
        <v>133</v>
      </c>
      <c r="B223" s="843" t="s">
        <v>1267</v>
      </c>
      <c r="C223" s="778">
        <f t="shared" si="125"/>
        <v>9.5000000000000001E-2</v>
      </c>
      <c r="D223" s="844">
        <v>10</v>
      </c>
      <c r="E223" s="779" t="s">
        <v>1182</v>
      </c>
      <c r="F223" s="845">
        <v>43191</v>
      </c>
      <c r="G223" s="781">
        <f t="shared" si="147"/>
        <v>43191</v>
      </c>
      <c r="H223" s="781">
        <f t="shared" si="126"/>
        <v>46841</v>
      </c>
      <c r="I223" s="795">
        <v>4107638</v>
      </c>
      <c r="J223" s="783">
        <f t="shared" si="127"/>
        <v>205381.90000000002</v>
      </c>
      <c r="K223" s="887"/>
      <c r="L223" s="846">
        <v>0</v>
      </c>
      <c r="M223" s="790">
        <f t="shared" si="148"/>
        <v>4107638</v>
      </c>
      <c r="N223" s="791">
        <f t="shared" si="149"/>
        <v>365</v>
      </c>
      <c r="O223" s="791">
        <f t="shared" si="150"/>
        <v>390226</v>
      </c>
      <c r="P223" s="790">
        <f t="shared" si="151"/>
        <v>390226</v>
      </c>
      <c r="Q223" s="847">
        <f t="shared" si="128"/>
        <v>3717412</v>
      </c>
      <c r="R223" s="914">
        <f t="shared" si="129"/>
        <v>3717412</v>
      </c>
      <c r="S223" s="790">
        <f t="shared" si="152"/>
        <v>4107638</v>
      </c>
      <c r="T223" s="792">
        <f t="shared" si="153"/>
        <v>366</v>
      </c>
      <c r="U223" s="792">
        <f t="shared" si="154"/>
        <v>390226</v>
      </c>
      <c r="V223" s="790">
        <f t="shared" si="155"/>
        <v>780452</v>
      </c>
      <c r="W223" s="847">
        <f t="shared" si="130"/>
        <v>3327186</v>
      </c>
      <c r="X223" s="846">
        <f t="shared" si="131"/>
        <v>3327186</v>
      </c>
      <c r="Y223" s="783">
        <f t="shared" si="156"/>
        <v>4107638</v>
      </c>
      <c r="Z223" s="783">
        <f t="shared" si="157"/>
        <v>365</v>
      </c>
      <c r="AA223" s="783">
        <f t="shared" si="158"/>
        <v>390226</v>
      </c>
      <c r="AB223" s="783">
        <f t="shared" si="159"/>
        <v>1170678</v>
      </c>
      <c r="AC223" s="848">
        <f t="shared" si="132"/>
        <v>2936960</v>
      </c>
      <c r="AD223" s="789">
        <f t="shared" si="133"/>
        <v>2936960</v>
      </c>
      <c r="AE223" s="790">
        <f t="shared" si="160"/>
        <v>4107638</v>
      </c>
      <c r="AF223" s="791">
        <f t="shared" si="161"/>
        <v>365</v>
      </c>
      <c r="AG223" s="791">
        <f t="shared" si="162"/>
        <v>390226</v>
      </c>
      <c r="AH223" s="783">
        <f t="shared" si="163"/>
        <v>1560904</v>
      </c>
      <c r="AI223" s="783">
        <f t="shared" si="134"/>
        <v>2546734</v>
      </c>
      <c r="AJ223" s="790">
        <f t="shared" si="135"/>
        <v>2546734</v>
      </c>
      <c r="AK223" s="790">
        <f t="shared" si="136"/>
        <v>4107638</v>
      </c>
      <c r="AL223" s="791">
        <f t="shared" si="137"/>
        <v>365</v>
      </c>
      <c r="AM223" s="791">
        <f t="shared" si="138"/>
        <v>390226</v>
      </c>
      <c r="AN223" s="783">
        <f t="shared" si="139"/>
        <v>1951130</v>
      </c>
      <c r="AO223" s="783">
        <f t="shared" si="140"/>
        <v>2156508</v>
      </c>
      <c r="AP223" s="808">
        <f t="shared" si="141"/>
        <v>2156508</v>
      </c>
      <c r="AQ223" s="808">
        <f t="shared" si="142"/>
        <v>4107638</v>
      </c>
      <c r="AR223" s="809">
        <f t="shared" si="143"/>
        <v>366</v>
      </c>
      <c r="AS223" s="809">
        <f t="shared" si="144"/>
        <v>391295</v>
      </c>
      <c r="AT223" s="808">
        <f t="shared" si="145"/>
        <v>2342425</v>
      </c>
      <c r="AU223" s="808">
        <f t="shared" si="146"/>
        <v>1765213</v>
      </c>
    </row>
    <row r="224" spans="1:47" ht="15" customHeight="1" x14ac:dyDescent="0.25">
      <c r="A224" s="842" t="s">
        <v>133</v>
      </c>
      <c r="B224" s="843" t="s">
        <v>1267</v>
      </c>
      <c r="C224" s="778">
        <f t="shared" si="125"/>
        <v>9.5000000000000001E-2</v>
      </c>
      <c r="D224" s="844">
        <v>10</v>
      </c>
      <c r="E224" s="779" t="s">
        <v>1182</v>
      </c>
      <c r="F224" s="845">
        <v>43191</v>
      </c>
      <c r="G224" s="781">
        <f t="shared" si="147"/>
        <v>43191</v>
      </c>
      <c r="H224" s="781">
        <f t="shared" si="126"/>
        <v>46841</v>
      </c>
      <c r="I224" s="795">
        <v>54220</v>
      </c>
      <c r="J224" s="783">
        <f t="shared" si="127"/>
        <v>2711</v>
      </c>
      <c r="K224" s="887"/>
      <c r="L224" s="846">
        <v>0</v>
      </c>
      <c r="M224" s="790">
        <f t="shared" si="148"/>
        <v>54220</v>
      </c>
      <c r="N224" s="791">
        <f t="shared" si="149"/>
        <v>365</v>
      </c>
      <c r="O224" s="791">
        <f t="shared" si="150"/>
        <v>5151</v>
      </c>
      <c r="P224" s="790">
        <f t="shared" si="151"/>
        <v>5151</v>
      </c>
      <c r="Q224" s="847">
        <f t="shared" si="128"/>
        <v>49069</v>
      </c>
      <c r="R224" s="914">
        <f t="shared" si="129"/>
        <v>49069</v>
      </c>
      <c r="S224" s="790">
        <f t="shared" si="152"/>
        <v>54220</v>
      </c>
      <c r="T224" s="792">
        <f t="shared" si="153"/>
        <v>366</v>
      </c>
      <c r="U224" s="792">
        <f t="shared" si="154"/>
        <v>5151</v>
      </c>
      <c r="V224" s="790">
        <f t="shared" si="155"/>
        <v>10302</v>
      </c>
      <c r="W224" s="847">
        <f t="shared" si="130"/>
        <v>43918</v>
      </c>
      <c r="X224" s="846">
        <f t="shared" si="131"/>
        <v>43918</v>
      </c>
      <c r="Y224" s="783">
        <f t="shared" si="156"/>
        <v>54220</v>
      </c>
      <c r="Z224" s="783">
        <f t="shared" si="157"/>
        <v>365</v>
      </c>
      <c r="AA224" s="783">
        <f t="shared" si="158"/>
        <v>5151</v>
      </c>
      <c r="AB224" s="783">
        <f t="shared" si="159"/>
        <v>15453</v>
      </c>
      <c r="AC224" s="848">
        <f t="shared" si="132"/>
        <v>38767</v>
      </c>
      <c r="AD224" s="789">
        <f t="shared" si="133"/>
        <v>38767</v>
      </c>
      <c r="AE224" s="790">
        <f t="shared" si="160"/>
        <v>54220</v>
      </c>
      <c r="AF224" s="791">
        <f t="shared" si="161"/>
        <v>365</v>
      </c>
      <c r="AG224" s="791">
        <f t="shared" si="162"/>
        <v>5151</v>
      </c>
      <c r="AH224" s="783">
        <f t="shared" si="163"/>
        <v>20604</v>
      </c>
      <c r="AI224" s="783">
        <f t="shared" si="134"/>
        <v>33616</v>
      </c>
      <c r="AJ224" s="790">
        <f t="shared" si="135"/>
        <v>33616</v>
      </c>
      <c r="AK224" s="790">
        <f t="shared" si="136"/>
        <v>54220</v>
      </c>
      <c r="AL224" s="791">
        <f t="shared" si="137"/>
        <v>365</v>
      </c>
      <c r="AM224" s="791">
        <f t="shared" si="138"/>
        <v>5151</v>
      </c>
      <c r="AN224" s="783">
        <f t="shared" si="139"/>
        <v>25755</v>
      </c>
      <c r="AO224" s="783">
        <f t="shared" si="140"/>
        <v>28465</v>
      </c>
      <c r="AP224" s="808">
        <f t="shared" si="141"/>
        <v>28465</v>
      </c>
      <c r="AQ224" s="808">
        <f t="shared" si="142"/>
        <v>54220</v>
      </c>
      <c r="AR224" s="809">
        <f t="shared" si="143"/>
        <v>366</v>
      </c>
      <c r="AS224" s="809">
        <f t="shared" si="144"/>
        <v>5165</v>
      </c>
      <c r="AT224" s="808">
        <f t="shared" si="145"/>
        <v>30920</v>
      </c>
      <c r="AU224" s="808">
        <f t="shared" si="146"/>
        <v>23300</v>
      </c>
    </row>
    <row r="225" spans="1:47" ht="15" customHeight="1" x14ac:dyDescent="0.25">
      <c r="A225" s="842" t="s">
        <v>133</v>
      </c>
      <c r="B225" s="843" t="s">
        <v>1267</v>
      </c>
      <c r="C225" s="778">
        <f t="shared" si="125"/>
        <v>9.5000000000000001E-2</v>
      </c>
      <c r="D225" s="844">
        <v>10</v>
      </c>
      <c r="E225" s="779" t="s">
        <v>1182</v>
      </c>
      <c r="F225" s="845">
        <v>43191</v>
      </c>
      <c r="G225" s="781">
        <f t="shared" si="147"/>
        <v>43191</v>
      </c>
      <c r="H225" s="781">
        <f t="shared" si="126"/>
        <v>46841</v>
      </c>
      <c r="I225" s="795">
        <v>22599.200000000001</v>
      </c>
      <c r="J225" s="783">
        <f t="shared" si="127"/>
        <v>1129.96</v>
      </c>
      <c r="K225" s="887"/>
      <c r="L225" s="846">
        <v>0</v>
      </c>
      <c r="M225" s="790">
        <f t="shared" si="148"/>
        <v>22599.200000000001</v>
      </c>
      <c r="N225" s="791">
        <f t="shared" si="149"/>
        <v>365</v>
      </c>
      <c r="O225" s="791">
        <f t="shared" si="150"/>
        <v>2147</v>
      </c>
      <c r="P225" s="790">
        <f t="shared" si="151"/>
        <v>2147</v>
      </c>
      <c r="Q225" s="847">
        <f t="shared" si="128"/>
        <v>20452.2</v>
      </c>
      <c r="R225" s="914">
        <f t="shared" si="129"/>
        <v>20452.2</v>
      </c>
      <c r="S225" s="790">
        <f t="shared" si="152"/>
        <v>22599.200000000001</v>
      </c>
      <c r="T225" s="792">
        <f t="shared" si="153"/>
        <v>366</v>
      </c>
      <c r="U225" s="792">
        <f t="shared" si="154"/>
        <v>2147</v>
      </c>
      <c r="V225" s="790">
        <f t="shared" si="155"/>
        <v>4294</v>
      </c>
      <c r="W225" s="847">
        <f t="shared" si="130"/>
        <v>18305.2</v>
      </c>
      <c r="X225" s="846">
        <f t="shared" si="131"/>
        <v>18305.2</v>
      </c>
      <c r="Y225" s="783">
        <f t="shared" si="156"/>
        <v>22599.200000000001</v>
      </c>
      <c r="Z225" s="783">
        <f t="shared" si="157"/>
        <v>365</v>
      </c>
      <c r="AA225" s="783">
        <f t="shared" si="158"/>
        <v>2147</v>
      </c>
      <c r="AB225" s="783">
        <f t="shared" si="159"/>
        <v>6441</v>
      </c>
      <c r="AC225" s="848">
        <f t="shared" si="132"/>
        <v>16158.2</v>
      </c>
      <c r="AD225" s="789">
        <f t="shared" si="133"/>
        <v>16158.2</v>
      </c>
      <c r="AE225" s="790">
        <f t="shared" si="160"/>
        <v>22599.200000000001</v>
      </c>
      <c r="AF225" s="791">
        <f t="shared" si="161"/>
        <v>365</v>
      </c>
      <c r="AG225" s="791">
        <f t="shared" si="162"/>
        <v>2147</v>
      </c>
      <c r="AH225" s="783">
        <f t="shared" si="163"/>
        <v>8588</v>
      </c>
      <c r="AI225" s="783">
        <f t="shared" si="134"/>
        <v>14011.2</v>
      </c>
      <c r="AJ225" s="790">
        <f t="shared" si="135"/>
        <v>14011.2</v>
      </c>
      <c r="AK225" s="790">
        <f t="shared" si="136"/>
        <v>22599.200000000001</v>
      </c>
      <c r="AL225" s="791">
        <f t="shared" si="137"/>
        <v>365</v>
      </c>
      <c r="AM225" s="791">
        <f t="shared" si="138"/>
        <v>2147</v>
      </c>
      <c r="AN225" s="783">
        <f t="shared" si="139"/>
        <v>10735</v>
      </c>
      <c r="AO225" s="783">
        <f t="shared" si="140"/>
        <v>11864.2</v>
      </c>
      <c r="AP225" s="808">
        <f t="shared" si="141"/>
        <v>11864.2</v>
      </c>
      <c r="AQ225" s="808">
        <f t="shared" si="142"/>
        <v>22599.200000000001</v>
      </c>
      <c r="AR225" s="809">
        <f t="shared" si="143"/>
        <v>366</v>
      </c>
      <c r="AS225" s="809">
        <f t="shared" si="144"/>
        <v>2153</v>
      </c>
      <c r="AT225" s="808">
        <f t="shared" si="145"/>
        <v>12888</v>
      </c>
      <c r="AU225" s="808">
        <f t="shared" si="146"/>
        <v>9711.2000000000007</v>
      </c>
    </row>
    <row r="226" spans="1:47" ht="15" customHeight="1" x14ac:dyDescent="0.25">
      <c r="A226" s="842" t="s">
        <v>133</v>
      </c>
      <c r="B226" s="843" t="s">
        <v>1267</v>
      </c>
      <c r="C226" s="778">
        <f t="shared" si="125"/>
        <v>9.5000000000000001E-2</v>
      </c>
      <c r="D226" s="844">
        <v>10</v>
      </c>
      <c r="E226" s="779" t="s">
        <v>1182</v>
      </c>
      <c r="F226" s="845">
        <v>43191</v>
      </c>
      <c r="G226" s="781">
        <f t="shared" si="147"/>
        <v>43191</v>
      </c>
      <c r="H226" s="781">
        <f t="shared" si="126"/>
        <v>46841</v>
      </c>
      <c r="I226" s="795">
        <v>25119</v>
      </c>
      <c r="J226" s="783">
        <f t="shared" si="127"/>
        <v>1255.95</v>
      </c>
      <c r="K226" s="887"/>
      <c r="L226" s="846">
        <v>0</v>
      </c>
      <c r="M226" s="790">
        <f t="shared" si="148"/>
        <v>25119</v>
      </c>
      <c r="N226" s="791">
        <f t="shared" si="149"/>
        <v>365</v>
      </c>
      <c r="O226" s="791">
        <f t="shared" si="150"/>
        <v>2386</v>
      </c>
      <c r="P226" s="790">
        <f t="shared" si="151"/>
        <v>2386</v>
      </c>
      <c r="Q226" s="847">
        <f t="shared" si="128"/>
        <v>22733</v>
      </c>
      <c r="R226" s="914">
        <f t="shared" si="129"/>
        <v>22733</v>
      </c>
      <c r="S226" s="790">
        <f t="shared" si="152"/>
        <v>25119</v>
      </c>
      <c r="T226" s="792">
        <f t="shared" si="153"/>
        <v>366</v>
      </c>
      <c r="U226" s="792">
        <f t="shared" si="154"/>
        <v>2386</v>
      </c>
      <c r="V226" s="790">
        <f t="shared" si="155"/>
        <v>4772</v>
      </c>
      <c r="W226" s="847">
        <f t="shared" si="130"/>
        <v>20347</v>
      </c>
      <c r="X226" s="846">
        <f t="shared" si="131"/>
        <v>20347</v>
      </c>
      <c r="Y226" s="783">
        <f t="shared" si="156"/>
        <v>25119</v>
      </c>
      <c r="Z226" s="783">
        <f t="shared" si="157"/>
        <v>365</v>
      </c>
      <c r="AA226" s="783">
        <f t="shared" si="158"/>
        <v>2386</v>
      </c>
      <c r="AB226" s="783">
        <f t="shared" si="159"/>
        <v>7158</v>
      </c>
      <c r="AC226" s="848">
        <f t="shared" si="132"/>
        <v>17961</v>
      </c>
      <c r="AD226" s="789">
        <f t="shared" si="133"/>
        <v>17961</v>
      </c>
      <c r="AE226" s="790">
        <f t="shared" si="160"/>
        <v>25119</v>
      </c>
      <c r="AF226" s="791">
        <f t="shared" si="161"/>
        <v>365</v>
      </c>
      <c r="AG226" s="791">
        <f t="shared" si="162"/>
        <v>2386</v>
      </c>
      <c r="AH226" s="783">
        <f t="shared" si="163"/>
        <v>9544</v>
      </c>
      <c r="AI226" s="783">
        <f t="shared" si="134"/>
        <v>15575</v>
      </c>
      <c r="AJ226" s="790">
        <f t="shared" si="135"/>
        <v>15575</v>
      </c>
      <c r="AK226" s="790">
        <f t="shared" si="136"/>
        <v>25119</v>
      </c>
      <c r="AL226" s="791">
        <f t="shared" si="137"/>
        <v>365</v>
      </c>
      <c r="AM226" s="791">
        <f t="shared" si="138"/>
        <v>2386</v>
      </c>
      <c r="AN226" s="783">
        <f t="shared" si="139"/>
        <v>11930</v>
      </c>
      <c r="AO226" s="783">
        <f t="shared" si="140"/>
        <v>13189</v>
      </c>
      <c r="AP226" s="808">
        <f t="shared" si="141"/>
        <v>13189</v>
      </c>
      <c r="AQ226" s="808">
        <f t="shared" si="142"/>
        <v>25119</v>
      </c>
      <c r="AR226" s="809">
        <f t="shared" si="143"/>
        <v>366</v>
      </c>
      <c r="AS226" s="809">
        <f t="shared" si="144"/>
        <v>2393</v>
      </c>
      <c r="AT226" s="808">
        <f t="shared" si="145"/>
        <v>14323</v>
      </c>
      <c r="AU226" s="808">
        <f t="shared" si="146"/>
        <v>10796</v>
      </c>
    </row>
    <row r="227" spans="1:47" ht="15" customHeight="1" x14ac:dyDescent="0.25">
      <c r="A227" s="842" t="s">
        <v>133</v>
      </c>
      <c r="B227" s="843" t="s">
        <v>1267</v>
      </c>
      <c r="C227" s="778">
        <f t="shared" si="125"/>
        <v>9.5000000000000001E-2</v>
      </c>
      <c r="D227" s="844">
        <v>10</v>
      </c>
      <c r="E227" s="779" t="s">
        <v>1182</v>
      </c>
      <c r="F227" s="845">
        <v>43191</v>
      </c>
      <c r="G227" s="781">
        <f t="shared" si="147"/>
        <v>43191</v>
      </c>
      <c r="H227" s="781">
        <f t="shared" si="126"/>
        <v>46841</v>
      </c>
      <c r="I227" s="795">
        <v>32500</v>
      </c>
      <c r="J227" s="783">
        <f t="shared" si="127"/>
        <v>1625</v>
      </c>
      <c r="K227" s="887"/>
      <c r="L227" s="846">
        <v>0</v>
      </c>
      <c r="M227" s="790">
        <f t="shared" si="148"/>
        <v>32500</v>
      </c>
      <c r="N227" s="791">
        <f t="shared" si="149"/>
        <v>365</v>
      </c>
      <c r="O227" s="791">
        <f t="shared" si="150"/>
        <v>3088</v>
      </c>
      <c r="P227" s="790">
        <f t="shared" si="151"/>
        <v>3088</v>
      </c>
      <c r="Q227" s="847">
        <f t="shared" si="128"/>
        <v>29412</v>
      </c>
      <c r="R227" s="914">
        <f t="shared" si="129"/>
        <v>29412</v>
      </c>
      <c r="S227" s="790">
        <f t="shared" si="152"/>
        <v>32500</v>
      </c>
      <c r="T227" s="792">
        <f t="shared" si="153"/>
        <v>366</v>
      </c>
      <c r="U227" s="792">
        <f t="shared" si="154"/>
        <v>3088</v>
      </c>
      <c r="V227" s="790">
        <f t="shared" si="155"/>
        <v>6176</v>
      </c>
      <c r="W227" s="847">
        <f t="shared" si="130"/>
        <v>26324</v>
      </c>
      <c r="X227" s="846">
        <f t="shared" si="131"/>
        <v>26324</v>
      </c>
      <c r="Y227" s="783">
        <f t="shared" si="156"/>
        <v>32500</v>
      </c>
      <c r="Z227" s="783">
        <f t="shared" si="157"/>
        <v>365</v>
      </c>
      <c r="AA227" s="783">
        <f t="shared" si="158"/>
        <v>3088</v>
      </c>
      <c r="AB227" s="783">
        <f t="shared" si="159"/>
        <v>9264</v>
      </c>
      <c r="AC227" s="848">
        <f t="shared" si="132"/>
        <v>23236</v>
      </c>
      <c r="AD227" s="789">
        <f t="shared" si="133"/>
        <v>23236</v>
      </c>
      <c r="AE227" s="790">
        <f t="shared" si="160"/>
        <v>32500</v>
      </c>
      <c r="AF227" s="791">
        <f t="shared" si="161"/>
        <v>365</v>
      </c>
      <c r="AG227" s="791">
        <f t="shared" si="162"/>
        <v>3088</v>
      </c>
      <c r="AH227" s="783">
        <f t="shared" si="163"/>
        <v>12352</v>
      </c>
      <c r="AI227" s="783">
        <f t="shared" si="134"/>
        <v>20148</v>
      </c>
      <c r="AJ227" s="790">
        <f t="shared" si="135"/>
        <v>20148</v>
      </c>
      <c r="AK227" s="790">
        <f t="shared" si="136"/>
        <v>32500</v>
      </c>
      <c r="AL227" s="791">
        <f t="shared" si="137"/>
        <v>365</v>
      </c>
      <c r="AM227" s="791">
        <f t="shared" si="138"/>
        <v>3088</v>
      </c>
      <c r="AN227" s="783">
        <f t="shared" si="139"/>
        <v>15440</v>
      </c>
      <c r="AO227" s="783">
        <f t="shared" si="140"/>
        <v>17060</v>
      </c>
      <c r="AP227" s="808">
        <f t="shared" si="141"/>
        <v>17060</v>
      </c>
      <c r="AQ227" s="808">
        <f t="shared" si="142"/>
        <v>32500</v>
      </c>
      <c r="AR227" s="809">
        <f t="shared" si="143"/>
        <v>366</v>
      </c>
      <c r="AS227" s="809">
        <f t="shared" si="144"/>
        <v>3096</v>
      </c>
      <c r="AT227" s="808">
        <f t="shared" si="145"/>
        <v>18536</v>
      </c>
      <c r="AU227" s="808">
        <f t="shared" si="146"/>
        <v>13964</v>
      </c>
    </row>
    <row r="228" spans="1:47" ht="15" customHeight="1" x14ac:dyDescent="0.25">
      <c r="A228" s="842" t="s">
        <v>133</v>
      </c>
      <c r="B228" s="843" t="s">
        <v>1268</v>
      </c>
      <c r="C228" s="778">
        <f t="shared" si="125"/>
        <v>9.5000000000000001E-2</v>
      </c>
      <c r="D228" s="844">
        <v>10</v>
      </c>
      <c r="E228" s="779" t="s">
        <v>1182</v>
      </c>
      <c r="F228" s="845">
        <v>43191</v>
      </c>
      <c r="G228" s="781">
        <f t="shared" si="147"/>
        <v>43191</v>
      </c>
      <c r="H228" s="781">
        <f t="shared" si="126"/>
        <v>46841</v>
      </c>
      <c r="I228" s="795">
        <v>15150</v>
      </c>
      <c r="J228" s="783">
        <f t="shared" si="127"/>
        <v>757.5</v>
      </c>
      <c r="K228" s="887"/>
      <c r="L228" s="846">
        <v>0</v>
      </c>
      <c r="M228" s="790">
        <f t="shared" si="148"/>
        <v>15150</v>
      </c>
      <c r="N228" s="791">
        <f t="shared" si="149"/>
        <v>365</v>
      </c>
      <c r="O228" s="791">
        <f t="shared" si="150"/>
        <v>1439</v>
      </c>
      <c r="P228" s="790">
        <f t="shared" si="151"/>
        <v>1439</v>
      </c>
      <c r="Q228" s="847">
        <f t="shared" si="128"/>
        <v>13711</v>
      </c>
      <c r="R228" s="914">
        <f t="shared" si="129"/>
        <v>13711</v>
      </c>
      <c r="S228" s="790">
        <f t="shared" si="152"/>
        <v>15150</v>
      </c>
      <c r="T228" s="792">
        <f t="shared" si="153"/>
        <v>366</v>
      </c>
      <c r="U228" s="792">
        <f t="shared" si="154"/>
        <v>1439</v>
      </c>
      <c r="V228" s="790">
        <f t="shared" si="155"/>
        <v>2878</v>
      </c>
      <c r="W228" s="847">
        <f t="shared" si="130"/>
        <v>12272</v>
      </c>
      <c r="X228" s="846">
        <f t="shared" si="131"/>
        <v>12272</v>
      </c>
      <c r="Y228" s="783">
        <f t="shared" si="156"/>
        <v>15150</v>
      </c>
      <c r="Z228" s="783">
        <f t="shared" si="157"/>
        <v>365</v>
      </c>
      <c r="AA228" s="783">
        <f t="shared" si="158"/>
        <v>1439</v>
      </c>
      <c r="AB228" s="783">
        <f t="shared" si="159"/>
        <v>4317</v>
      </c>
      <c r="AC228" s="848">
        <f t="shared" si="132"/>
        <v>10833</v>
      </c>
      <c r="AD228" s="789">
        <f t="shared" si="133"/>
        <v>10833</v>
      </c>
      <c r="AE228" s="790">
        <f t="shared" si="160"/>
        <v>15150</v>
      </c>
      <c r="AF228" s="791">
        <f t="shared" si="161"/>
        <v>365</v>
      </c>
      <c r="AG228" s="791">
        <f t="shared" si="162"/>
        <v>1439</v>
      </c>
      <c r="AH228" s="783">
        <f t="shared" si="163"/>
        <v>5756</v>
      </c>
      <c r="AI228" s="783">
        <f t="shared" si="134"/>
        <v>9394</v>
      </c>
      <c r="AJ228" s="790">
        <f t="shared" si="135"/>
        <v>9394</v>
      </c>
      <c r="AK228" s="790">
        <f t="shared" si="136"/>
        <v>15150</v>
      </c>
      <c r="AL228" s="791">
        <f t="shared" si="137"/>
        <v>365</v>
      </c>
      <c r="AM228" s="791">
        <f t="shared" si="138"/>
        <v>1439</v>
      </c>
      <c r="AN228" s="783">
        <f t="shared" si="139"/>
        <v>7195</v>
      </c>
      <c r="AO228" s="783">
        <f t="shared" si="140"/>
        <v>7955</v>
      </c>
      <c r="AP228" s="808">
        <f t="shared" si="141"/>
        <v>7955</v>
      </c>
      <c r="AQ228" s="808">
        <f t="shared" si="142"/>
        <v>15150</v>
      </c>
      <c r="AR228" s="809">
        <f t="shared" si="143"/>
        <v>366</v>
      </c>
      <c r="AS228" s="809">
        <f t="shared" si="144"/>
        <v>1443</v>
      </c>
      <c r="AT228" s="808">
        <f t="shared" si="145"/>
        <v>8638</v>
      </c>
      <c r="AU228" s="808">
        <f t="shared" si="146"/>
        <v>6512</v>
      </c>
    </row>
    <row r="229" spans="1:47" ht="15" customHeight="1" x14ac:dyDescent="0.25">
      <c r="A229" s="842" t="s">
        <v>133</v>
      </c>
      <c r="B229" s="843" t="s">
        <v>1267</v>
      </c>
      <c r="C229" s="778">
        <f t="shared" si="125"/>
        <v>9.5000000000000001E-2</v>
      </c>
      <c r="D229" s="844">
        <v>10</v>
      </c>
      <c r="E229" s="779" t="s">
        <v>1182</v>
      </c>
      <c r="F229" s="845">
        <v>43191</v>
      </c>
      <c r="G229" s="781">
        <f t="shared" si="147"/>
        <v>43191</v>
      </c>
      <c r="H229" s="781">
        <f t="shared" si="126"/>
        <v>46841</v>
      </c>
      <c r="I229" s="795">
        <v>30620</v>
      </c>
      <c r="J229" s="783">
        <f t="shared" si="127"/>
        <v>1531</v>
      </c>
      <c r="K229" s="887"/>
      <c r="L229" s="846">
        <v>0</v>
      </c>
      <c r="M229" s="790">
        <f t="shared" si="148"/>
        <v>30620</v>
      </c>
      <c r="N229" s="791">
        <f t="shared" si="149"/>
        <v>365</v>
      </c>
      <c r="O229" s="791">
        <f t="shared" si="150"/>
        <v>2909</v>
      </c>
      <c r="P229" s="790">
        <f t="shared" si="151"/>
        <v>2909</v>
      </c>
      <c r="Q229" s="847">
        <f t="shared" si="128"/>
        <v>27711</v>
      </c>
      <c r="R229" s="914">
        <f t="shared" si="129"/>
        <v>27711</v>
      </c>
      <c r="S229" s="790">
        <f t="shared" si="152"/>
        <v>30620</v>
      </c>
      <c r="T229" s="792">
        <f t="shared" si="153"/>
        <v>366</v>
      </c>
      <c r="U229" s="792">
        <f t="shared" si="154"/>
        <v>2909</v>
      </c>
      <c r="V229" s="790">
        <f t="shared" si="155"/>
        <v>5818</v>
      </c>
      <c r="W229" s="847">
        <f t="shared" si="130"/>
        <v>24802</v>
      </c>
      <c r="X229" s="846">
        <f t="shared" si="131"/>
        <v>24802</v>
      </c>
      <c r="Y229" s="783">
        <f t="shared" si="156"/>
        <v>30620</v>
      </c>
      <c r="Z229" s="783">
        <f t="shared" si="157"/>
        <v>365</v>
      </c>
      <c r="AA229" s="783">
        <f t="shared" si="158"/>
        <v>2909</v>
      </c>
      <c r="AB229" s="783">
        <f t="shared" si="159"/>
        <v>8727</v>
      </c>
      <c r="AC229" s="848">
        <f t="shared" si="132"/>
        <v>21893</v>
      </c>
      <c r="AD229" s="789">
        <f t="shared" si="133"/>
        <v>21893</v>
      </c>
      <c r="AE229" s="790">
        <f t="shared" si="160"/>
        <v>30620</v>
      </c>
      <c r="AF229" s="791">
        <f t="shared" si="161"/>
        <v>365</v>
      </c>
      <c r="AG229" s="791">
        <f t="shared" si="162"/>
        <v>2909</v>
      </c>
      <c r="AH229" s="783">
        <f t="shared" si="163"/>
        <v>11636</v>
      </c>
      <c r="AI229" s="783">
        <f t="shared" si="134"/>
        <v>18984</v>
      </c>
      <c r="AJ229" s="790">
        <f t="shared" si="135"/>
        <v>18984</v>
      </c>
      <c r="AK229" s="790">
        <f t="shared" si="136"/>
        <v>30620</v>
      </c>
      <c r="AL229" s="791">
        <f t="shared" si="137"/>
        <v>365</v>
      </c>
      <c r="AM229" s="791">
        <f t="shared" si="138"/>
        <v>2909</v>
      </c>
      <c r="AN229" s="783">
        <f t="shared" si="139"/>
        <v>14545</v>
      </c>
      <c r="AO229" s="783">
        <f t="shared" si="140"/>
        <v>16075</v>
      </c>
      <c r="AP229" s="808">
        <f t="shared" si="141"/>
        <v>16075</v>
      </c>
      <c r="AQ229" s="808">
        <f t="shared" si="142"/>
        <v>30620</v>
      </c>
      <c r="AR229" s="809">
        <f t="shared" si="143"/>
        <v>366</v>
      </c>
      <c r="AS229" s="809">
        <f t="shared" si="144"/>
        <v>2917</v>
      </c>
      <c r="AT229" s="808">
        <f t="shared" si="145"/>
        <v>17462</v>
      </c>
      <c r="AU229" s="808">
        <f t="shared" si="146"/>
        <v>13158</v>
      </c>
    </row>
    <row r="230" spans="1:47" ht="15" customHeight="1" x14ac:dyDescent="0.25">
      <c r="A230" s="842" t="s">
        <v>133</v>
      </c>
      <c r="B230" s="843" t="s">
        <v>1267</v>
      </c>
      <c r="C230" s="778">
        <f t="shared" si="125"/>
        <v>9.5000000000000001E-2</v>
      </c>
      <c r="D230" s="844">
        <v>10</v>
      </c>
      <c r="E230" s="779" t="s">
        <v>1182</v>
      </c>
      <c r="F230" s="845">
        <v>43191</v>
      </c>
      <c r="G230" s="781">
        <f t="shared" si="147"/>
        <v>43191</v>
      </c>
      <c r="H230" s="781">
        <f t="shared" si="126"/>
        <v>46841</v>
      </c>
      <c r="I230" s="795">
        <v>37220</v>
      </c>
      <c r="J230" s="783">
        <f t="shared" si="127"/>
        <v>1861</v>
      </c>
      <c r="K230" s="887"/>
      <c r="L230" s="846">
        <v>0</v>
      </c>
      <c r="M230" s="790">
        <f t="shared" si="148"/>
        <v>37220</v>
      </c>
      <c r="N230" s="791">
        <f t="shared" si="149"/>
        <v>365</v>
      </c>
      <c r="O230" s="791">
        <f t="shared" si="150"/>
        <v>3536</v>
      </c>
      <c r="P230" s="790">
        <f t="shared" si="151"/>
        <v>3536</v>
      </c>
      <c r="Q230" s="847">
        <f t="shared" si="128"/>
        <v>33684</v>
      </c>
      <c r="R230" s="914">
        <f t="shared" si="129"/>
        <v>33684</v>
      </c>
      <c r="S230" s="790">
        <f t="shared" si="152"/>
        <v>37220</v>
      </c>
      <c r="T230" s="792">
        <f t="shared" si="153"/>
        <v>366</v>
      </c>
      <c r="U230" s="792">
        <f t="shared" si="154"/>
        <v>3536</v>
      </c>
      <c r="V230" s="790">
        <f t="shared" si="155"/>
        <v>7072</v>
      </c>
      <c r="W230" s="847">
        <f t="shared" si="130"/>
        <v>30148</v>
      </c>
      <c r="X230" s="846">
        <f t="shared" si="131"/>
        <v>30148</v>
      </c>
      <c r="Y230" s="783">
        <f t="shared" si="156"/>
        <v>37220</v>
      </c>
      <c r="Z230" s="783">
        <f t="shared" si="157"/>
        <v>365</v>
      </c>
      <c r="AA230" s="783">
        <f t="shared" si="158"/>
        <v>3536</v>
      </c>
      <c r="AB230" s="783">
        <f t="shared" si="159"/>
        <v>10608</v>
      </c>
      <c r="AC230" s="848">
        <f t="shared" si="132"/>
        <v>26612</v>
      </c>
      <c r="AD230" s="789">
        <f t="shared" si="133"/>
        <v>26612</v>
      </c>
      <c r="AE230" s="790">
        <f t="shared" si="160"/>
        <v>37220</v>
      </c>
      <c r="AF230" s="791">
        <f t="shared" si="161"/>
        <v>365</v>
      </c>
      <c r="AG230" s="791">
        <f t="shared" si="162"/>
        <v>3536</v>
      </c>
      <c r="AH230" s="783">
        <f t="shared" si="163"/>
        <v>14144</v>
      </c>
      <c r="AI230" s="783">
        <f t="shared" si="134"/>
        <v>23076</v>
      </c>
      <c r="AJ230" s="790">
        <f t="shared" si="135"/>
        <v>23076</v>
      </c>
      <c r="AK230" s="790">
        <f t="shared" si="136"/>
        <v>37220</v>
      </c>
      <c r="AL230" s="791">
        <f t="shared" si="137"/>
        <v>365</v>
      </c>
      <c r="AM230" s="791">
        <f t="shared" si="138"/>
        <v>3536</v>
      </c>
      <c r="AN230" s="783">
        <f t="shared" si="139"/>
        <v>17680</v>
      </c>
      <c r="AO230" s="783">
        <f t="shared" si="140"/>
        <v>19540</v>
      </c>
      <c r="AP230" s="808">
        <f t="shared" si="141"/>
        <v>19540</v>
      </c>
      <c r="AQ230" s="808">
        <f t="shared" si="142"/>
        <v>37220</v>
      </c>
      <c r="AR230" s="809">
        <f t="shared" si="143"/>
        <v>366</v>
      </c>
      <c r="AS230" s="809">
        <f t="shared" si="144"/>
        <v>3546</v>
      </c>
      <c r="AT230" s="808">
        <f t="shared" si="145"/>
        <v>21226</v>
      </c>
      <c r="AU230" s="808">
        <f t="shared" si="146"/>
        <v>15994</v>
      </c>
    </row>
    <row r="231" spans="1:47" ht="15" customHeight="1" x14ac:dyDescent="0.25">
      <c r="A231" s="842" t="s">
        <v>133</v>
      </c>
      <c r="B231" s="843" t="s">
        <v>1267</v>
      </c>
      <c r="C231" s="778">
        <f t="shared" si="125"/>
        <v>9.5000000000000001E-2</v>
      </c>
      <c r="D231" s="844">
        <v>10</v>
      </c>
      <c r="E231" s="779" t="s">
        <v>1182</v>
      </c>
      <c r="F231" s="845">
        <v>43191</v>
      </c>
      <c r="G231" s="781">
        <f t="shared" si="147"/>
        <v>43191</v>
      </c>
      <c r="H231" s="781">
        <f t="shared" si="126"/>
        <v>46841</v>
      </c>
      <c r="I231" s="795">
        <v>42220</v>
      </c>
      <c r="J231" s="783">
        <f t="shared" si="127"/>
        <v>2111</v>
      </c>
      <c r="K231" s="887"/>
      <c r="L231" s="846">
        <v>0</v>
      </c>
      <c r="M231" s="790">
        <f t="shared" si="148"/>
        <v>42220</v>
      </c>
      <c r="N231" s="791">
        <f t="shared" si="149"/>
        <v>365</v>
      </c>
      <c r="O231" s="791">
        <f t="shared" si="150"/>
        <v>4011</v>
      </c>
      <c r="P231" s="790">
        <f t="shared" si="151"/>
        <v>4011</v>
      </c>
      <c r="Q231" s="847">
        <f t="shared" si="128"/>
        <v>38209</v>
      </c>
      <c r="R231" s="914">
        <f t="shared" si="129"/>
        <v>38209</v>
      </c>
      <c r="S231" s="790">
        <f t="shared" si="152"/>
        <v>42220</v>
      </c>
      <c r="T231" s="792">
        <f t="shared" si="153"/>
        <v>366</v>
      </c>
      <c r="U231" s="792">
        <f t="shared" si="154"/>
        <v>4011</v>
      </c>
      <c r="V231" s="790">
        <f t="shared" si="155"/>
        <v>8022</v>
      </c>
      <c r="W231" s="847">
        <f t="shared" si="130"/>
        <v>34198</v>
      </c>
      <c r="X231" s="846">
        <f t="shared" si="131"/>
        <v>34198</v>
      </c>
      <c r="Y231" s="783">
        <f t="shared" si="156"/>
        <v>42220</v>
      </c>
      <c r="Z231" s="783">
        <f t="shared" si="157"/>
        <v>365</v>
      </c>
      <c r="AA231" s="783">
        <f t="shared" si="158"/>
        <v>4011</v>
      </c>
      <c r="AB231" s="783">
        <f t="shared" si="159"/>
        <v>12033</v>
      </c>
      <c r="AC231" s="848">
        <f t="shared" si="132"/>
        <v>30187</v>
      </c>
      <c r="AD231" s="789">
        <f t="shared" si="133"/>
        <v>30187</v>
      </c>
      <c r="AE231" s="790">
        <f t="shared" si="160"/>
        <v>42220</v>
      </c>
      <c r="AF231" s="791">
        <f t="shared" si="161"/>
        <v>365</v>
      </c>
      <c r="AG231" s="791">
        <f t="shared" si="162"/>
        <v>4011</v>
      </c>
      <c r="AH231" s="783">
        <f t="shared" si="163"/>
        <v>16044</v>
      </c>
      <c r="AI231" s="783">
        <f t="shared" si="134"/>
        <v>26176</v>
      </c>
      <c r="AJ231" s="790">
        <f t="shared" si="135"/>
        <v>26176</v>
      </c>
      <c r="AK231" s="790">
        <f t="shared" si="136"/>
        <v>42220</v>
      </c>
      <c r="AL231" s="791">
        <f t="shared" si="137"/>
        <v>365</v>
      </c>
      <c r="AM231" s="791">
        <f t="shared" si="138"/>
        <v>4011</v>
      </c>
      <c r="AN231" s="783">
        <f t="shared" si="139"/>
        <v>20055</v>
      </c>
      <c r="AO231" s="783">
        <f t="shared" si="140"/>
        <v>22165</v>
      </c>
      <c r="AP231" s="808">
        <f t="shared" si="141"/>
        <v>22165</v>
      </c>
      <c r="AQ231" s="808">
        <f t="shared" si="142"/>
        <v>42220</v>
      </c>
      <c r="AR231" s="809">
        <f t="shared" si="143"/>
        <v>366</v>
      </c>
      <c r="AS231" s="809">
        <f t="shared" si="144"/>
        <v>4022</v>
      </c>
      <c r="AT231" s="808">
        <f t="shared" si="145"/>
        <v>24077</v>
      </c>
      <c r="AU231" s="808">
        <f t="shared" si="146"/>
        <v>18143</v>
      </c>
    </row>
    <row r="232" spans="1:47" ht="15" customHeight="1" x14ac:dyDescent="0.25">
      <c r="A232" s="842" t="s">
        <v>133</v>
      </c>
      <c r="B232" s="843" t="s">
        <v>1267</v>
      </c>
      <c r="C232" s="778">
        <f t="shared" si="125"/>
        <v>9.5000000000000001E-2</v>
      </c>
      <c r="D232" s="844">
        <v>10</v>
      </c>
      <c r="E232" s="779" t="s">
        <v>1182</v>
      </c>
      <c r="F232" s="845">
        <v>43191</v>
      </c>
      <c r="G232" s="781">
        <f t="shared" si="147"/>
        <v>43191</v>
      </c>
      <c r="H232" s="781">
        <f t="shared" si="126"/>
        <v>46841</v>
      </c>
      <c r="I232" s="795">
        <v>40060</v>
      </c>
      <c r="J232" s="783">
        <f t="shared" si="127"/>
        <v>2003</v>
      </c>
      <c r="K232" s="887"/>
      <c r="L232" s="846">
        <v>0</v>
      </c>
      <c r="M232" s="790">
        <f t="shared" si="148"/>
        <v>40060</v>
      </c>
      <c r="N232" s="791">
        <f t="shared" si="149"/>
        <v>365</v>
      </c>
      <c r="O232" s="791">
        <f t="shared" si="150"/>
        <v>3806</v>
      </c>
      <c r="P232" s="790">
        <f t="shared" si="151"/>
        <v>3806</v>
      </c>
      <c r="Q232" s="847">
        <f t="shared" si="128"/>
        <v>36254</v>
      </c>
      <c r="R232" s="914">
        <f t="shared" si="129"/>
        <v>36254</v>
      </c>
      <c r="S232" s="790">
        <f t="shared" si="152"/>
        <v>40060</v>
      </c>
      <c r="T232" s="792">
        <f t="shared" si="153"/>
        <v>366</v>
      </c>
      <c r="U232" s="792">
        <f t="shared" si="154"/>
        <v>3806</v>
      </c>
      <c r="V232" s="790">
        <f t="shared" si="155"/>
        <v>7612</v>
      </c>
      <c r="W232" s="847">
        <f t="shared" si="130"/>
        <v>32448</v>
      </c>
      <c r="X232" s="846">
        <f t="shared" si="131"/>
        <v>32448</v>
      </c>
      <c r="Y232" s="783">
        <f t="shared" si="156"/>
        <v>40060</v>
      </c>
      <c r="Z232" s="783">
        <f t="shared" si="157"/>
        <v>365</v>
      </c>
      <c r="AA232" s="783">
        <f t="shared" si="158"/>
        <v>3806</v>
      </c>
      <c r="AB232" s="783">
        <f t="shared" si="159"/>
        <v>11418</v>
      </c>
      <c r="AC232" s="848">
        <f t="shared" si="132"/>
        <v>28642</v>
      </c>
      <c r="AD232" s="789">
        <f t="shared" si="133"/>
        <v>28642</v>
      </c>
      <c r="AE232" s="790">
        <f t="shared" si="160"/>
        <v>40060</v>
      </c>
      <c r="AF232" s="791">
        <f t="shared" si="161"/>
        <v>365</v>
      </c>
      <c r="AG232" s="791">
        <f t="shared" si="162"/>
        <v>3806</v>
      </c>
      <c r="AH232" s="783">
        <f t="shared" si="163"/>
        <v>15224</v>
      </c>
      <c r="AI232" s="783">
        <f t="shared" si="134"/>
        <v>24836</v>
      </c>
      <c r="AJ232" s="790">
        <f t="shared" si="135"/>
        <v>24836</v>
      </c>
      <c r="AK232" s="790">
        <f t="shared" si="136"/>
        <v>40060</v>
      </c>
      <c r="AL232" s="791">
        <f t="shared" si="137"/>
        <v>365</v>
      </c>
      <c r="AM232" s="791">
        <f t="shared" si="138"/>
        <v>3806</v>
      </c>
      <c r="AN232" s="783">
        <f t="shared" si="139"/>
        <v>19030</v>
      </c>
      <c r="AO232" s="783">
        <f t="shared" si="140"/>
        <v>21030</v>
      </c>
      <c r="AP232" s="808">
        <f t="shared" si="141"/>
        <v>21030</v>
      </c>
      <c r="AQ232" s="808">
        <f t="shared" si="142"/>
        <v>40060</v>
      </c>
      <c r="AR232" s="809">
        <f t="shared" si="143"/>
        <v>366</v>
      </c>
      <c r="AS232" s="809">
        <f t="shared" si="144"/>
        <v>3816</v>
      </c>
      <c r="AT232" s="808">
        <f t="shared" si="145"/>
        <v>22846</v>
      </c>
      <c r="AU232" s="808">
        <f t="shared" si="146"/>
        <v>17214</v>
      </c>
    </row>
    <row r="233" spans="1:47" ht="15" customHeight="1" x14ac:dyDescent="0.25">
      <c r="A233" s="842" t="s">
        <v>133</v>
      </c>
      <c r="B233" s="843" t="s">
        <v>1269</v>
      </c>
      <c r="C233" s="778">
        <f t="shared" si="125"/>
        <v>9.5000000000000001E-2</v>
      </c>
      <c r="D233" s="844">
        <v>10</v>
      </c>
      <c r="E233" s="779" t="s">
        <v>1182</v>
      </c>
      <c r="F233" s="845">
        <v>43191</v>
      </c>
      <c r="G233" s="781">
        <f t="shared" si="147"/>
        <v>43191</v>
      </c>
      <c r="H233" s="781">
        <f t="shared" si="126"/>
        <v>46841</v>
      </c>
      <c r="I233" s="795">
        <v>5700</v>
      </c>
      <c r="J233" s="783">
        <f t="shared" si="127"/>
        <v>285</v>
      </c>
      <c r="K233" s="887"/>
      <c r="L233" s="846">
        <v>0</v>
      </c>
      <c r="M233" s="790">
        <f t="shared" si="148"/>
        <v>5700</v>
      </c>
      <c r="N233" s="791">
        <f t="shared" si="149"/>
        <v>365</v>
      </c>
      <c r="O233" s="791">
        <f t="shared" si="150"/>
        <v>542</v>
      </c>
      <c r="P233" s="790">
        <f t="shared" si="151"/>
        <v>542</v>
      </c>
      <c r="Q233" s="847">
        <f t="shared" si="128"/>
        <v>5158</v>
      </c>
      <c r="R233" s="914">
        <f t="shared" si="129"/>
        <v>5158</v>
      </c>
      <c r="S233" s="790">
        <f t="shared" si="152"/>
        <v>5700</v>
      </c>
      <c r="T233" s="792">
        <f t="shared" si="153"/>
        <v>366</v>
      </c>
      <c r="U233" s="792">
        <f t="shared" si="154"/>
        <v>542</v>
      </c>
      <c r="V233" s="790">
        <f t="shared" si="155"/>
        <v>1084</v>
      </c>
      <c r="W233" s="847">
        <f t="shared" si="130"/>
        <v>4616</v>
      </c>
      <c r="X233" s="846">
        <f t="shared" si="131"/>
        <v>4616</v>
      </c>
      <c r="Y233" s="783">
        <f t="shared" si="156"/>
        <v>5700</v>
      </c>
      <c r="Z233" s="783">
        <f t="shared" si="157"/>
        <v>365</v>
      </c>
      <c r="AA233" s="783">
        <f t="shared" si="158"/>
        <v>542</v>
      </c>
      <c r="AB233" s="783">
        <f t="shared" si="159"/>
        <v>1626</v>
      </c>
      <c r="AC233" s="848">
        <f t="shared" si="132"/>
        <v>4074</v>
      </c>
      <c r="AD233" s="789">
        <f t="shared" si="133"/>
        <v>4074</v>
      </c>
      <c r="AE233" s="790">
        <f t="shared" si="160"/>
        <v>5700</v>
      </c>
      <c r="AF233" s="791">
        <f t="shared" si="161"/>
        <v>365</v>
      </c>
      <c r="AG233" s="791">
        <f t="shared" si="162"/>
        <v>542</v>
      </c>
      <c r="AH233" s="783">
        <f t="shared" si="163"/>
        <v>2168</v>
      </c>
      <c r="AI233" s="783">
        <f t="shared" si="134"/>
        <v>3532</v>
      </c>
      <c r="AJ233" s="790">
        <f t="shared" si="135"/>
        <v>3532</v>
      </c>
      <c r="AK233" s="790">
        <f t="shared" si="136"/>
        <v>5700</v>
      </c>
      <c r="AL233" s="791">
        <f t="shared" si="137"/>
        <v>365</v>
      </c>
      <c r="AM233" s="791">
        <f t="shared" si="138"/>
        <v>542</v>
      </c>
      <c r="AN233" s="783">
        <f t="shared" si="139"/>
        <v>2710</v>
      </c>
      <c r="AO233" s="783">
        <f t="shared" si="140"/>
        <v>2990</v>
      </c>
      <c r="AP233" s="808">
        <f t="shared" si="141"/>
        <v>2990</v>
      </c>
      <c r="AQ233" s="808">
        <f t="shared" si="142"/>
        <v>5700</v>
      </c>
      <c r="AR233" s="809">
        <f t="shared" si="143"/>
        <v>366</v>
      </c>
      <c r="AS233" s="809">
        <f t="shared" si="144"/>
        <v>543</v>
      </c>
      <c r="AT233" s="808">
        <f t="shared" si="145"/>
        <v>3253</v>
      </c>
      <c r="AU233" s="808">
        <f t="shared" si="146"/>
        <v>2447</v>
      </c>
    </row>
    <row r="234" spans="1:47" ht="15" customHeight="1" x14ac:dyDescent="0.25">
      <c r="A234" s="842" t="s">
        <v>133</v>
      </c>
      <c r="B234" s="843" t="s">
        <v>1267</v>
      </c>
      <c r="C234" s="778">
        <f t="shared" si="125"/>
        <v>9.5000000000000001E-2</v>
      </c>
      <c r="D234" s="844">
        <v>10</v>
      </c>
      <c r="E234" s="779" t="s">
        <v>1182</v>
      </c>
      <c r="F234" s="845">
        <v>43191</v>
      </c>
      <c r="G234" s="781">
        <f t="shared" si="147"/>
        <v>43191</v>
      </c>
      <c r="H234" s="781">
        <f t="shared" si="126"/>
        <v>46841</v>
      </c>
      <c r="I234" s="795">
        <v>39960</v>
      </c>
      <c r="J234" s="783">
        <f t="shared" si="127"/>
        <v>1998</v>
      </c>
      <c r="K234" s="887"/>
      <c r="L234" s="846">
        <v>0</v>
      </c>
      <c r="M234" s="790">
        <f t="shared" si="148"/>
        <v>39960</v>
      </c>
      <c r="N234" s="791">
        <f t="shared" si="149"/>
        <v>365</v>
      </c>
      <c r="O234" s="791">
        <f t="shared" si="150"/>
        <v>3796</v>
      </c>
      <c r="P234" s="790">
        <f t="shared" si="151"/>
        <v>3796</v>
      </c>
      <c r="Q234" s="847">
        <f t="shared" si="128"/>
        <v>36164</v>
      </c>
      <c r="R234" s="914">
        <f t="shared" si="129"/>
        <v>36164</v>
      </c>
      <c r="S234" s="790">
        <f t="shared" si="152"/>
        <v>39960</v>
      </c>
      <c r="T234" s="792">
        <f t="shared" si="153"/>
        <v>366</v>
      </c>
      <c r="U234" s="792">
        <f t="shared" si="154"/>
        <v>3796</v>
      </c>
      <c r="V234" s="790">
        <f t="shared" si="155"/>
        <v>7592</v>
      </c>
      <c r="W234" s="847">
        <f t="shared" si="130"/>
        <v>32368</v>
      </c>
      <c r="X234" s="846">
        <f t="shared" si="131"/>
        <v>32368</v>
      </c>
      <c r="Y234" s="783">
        <f t="shared" si="156"/>
        <v>39960</v>
      </c>
      <c r="Z234" s="783">
        <f t="shared" si="157"/>
        <v>365</v>
      </c>
      <c r="AA234" s="783">
        <f t="shared" si="158"/>
        <v>3796</v>
      </c>
      <c r="AB234" s="783">
        <f t="shared" si="159"/>
        <v>11388</v>
      </c>
      <c r="AC234" s="848">
        <f t="shared" si="132"/>
        <v>28572</v>
      </c>
      <c r="AD234" s="789">
        <f t="shared" si="133"/>
        <v>28572</v>
      </c>
      <c r="AE234" s="790">
        <f t="shared" si="160"/>
        <v>39960</v>
      </c>
      <c r="AF234" s="791">
        <f t="shared" si="161"/>
        <v>365</v>
      </c>
      <c r="AG234" s="791">
        <f t="shared" si="162"/>
        <v>3796</v>
      </c>
      <c r="AH234" s="783">
        <f t="shared" si="163"/>
        <v>15184</v>
      </c>
      <c r="AI234" s="783">
        <f t="shared" si="134"/>
        <v>24776</v>
      </c>
      <c r="AJ234" s="790">
        <f t="shared" si="135"/>
        <v>24776</v>
      </c>
      <c r="AK234" s="790">
        <f t="shared" si="136"/>
        <v>39960</v>
      </c>
      <c r="AL234" s="791">
        <f t="shared" si="137"/>
        <v>365</v>
      </c>
      <c r="AM234" s="791">
        <f t="shared" si="138"/>
        <v>3796</v>
      </c>
      <c r="AN234" s="783">
        <f t="shared" si="139"/>
        <v>18980</v>
      </c>
      <c r="AO234" s="783">
        <f t="shared" si="140"/>
        <v>20980</v>
      </c>
      <c r="AP234" s="808">
        <f t="shared" si="141"/>
        <v>20980</v>
      </c>
      <c r="AQ234" s="808">
        <f t="shared" si="142"/>
        <v>39960</v>
      </c>
      <c r="AR234" s="809">
        <f t="shared" si="143"/>
        <v>366</v>
      </c>
      <c r="AS234" s="809">
        <f t="shared" si="144"/>
        <v>3807</v>
      </c>
      <c r="AT234" s="808">
        <f t="shared" si="145"/>
        <v>22787</v>
      </c>
      <c r="AU234" s="808">
        <f t="shared" si="146"/>
        <v>17173</v>
      </c>
    </row>
    <row r="235" spans="1:47" ht="15" customHeight="1" x14ac:dyDescent="0.25">
      <c r="A235" s="842" t="s">
        <v>133</v>
      </c>
      <c r="B235" s="843" t="s">
        <v>1267</v>
      </c>
      <c r="C235" s="778">
        <f t="shared" si="125"/>
        <v>9.5000000000000001E-2</v>
      </c>
      <c r="D235" s="844">
        <v>10</v>
      </c>
      <c r="E235" s="779" t="s">
        <v>1182</v>
      </c>
      <c r="F235" s="845">
        <v>43191</v>
      </c>
      <c r="G235" s="781">
        <f t="shared" si="147"/>
        <v>43191</v>
      </c>
      <c r="H235" s="781">
        <f t="shared" si="126"/>
        <v>46841</v>
      </c>
      <c r="I235" s="795">
        <v>6756</v>
      </c>
      <c r="J235" s="783">
        <f t="shared" si="127"/>
        <v>337.8</v>
      </c>
      <c r="K235" s="887"/>
      <c r="L235" s="846">
        <v>0</v>
      </c>
      <c r="M235" s="790">
        <f t="shared" si="148"/>
        <v>6756</v>
      </c>
      <c r="N235" s="791">
        <f t="shared" si="149"/>
        <v>365</v>
      </c>
      <c r="O235" s="791">
        <f t="shared" si="150"/>
        <v>642</v>
      </c>
      <c r="P235" s="790">
        <f t="shared" si="151"/>
        <v>642</v>
      </c>
      <c r="Q235" s="847">
        <f t="shared" si="128"/>
        <v>6114</v>
      </c>
      <c r="R235" s="914">
        <f t="shared" si="129"/>
        <v>6114</v>
      </c>
      <c r="S235" s="790">
        <f t="shared" si="152"/>
        <v>6756</v>
      </c>
      <c r="T235" s="792">
        <f t="shared" si="153"/>
        <v>366</v>
      </c>
      <c r="U235" s="792">
        <f t="shared" si="154"/>
        <v>642</v>
      </c>
      <c r="V235" s="790">
        <f t="shared" si="155"/>
        <v>1284</v>
      </c>
      <c r="W235" s="847">
        <f t="shared" si="130"/>
        <v>5472</v>
      </c>
      <c r="X235" s="846">
        <f t="shared" si="131"/>
        <v>5472</v>
      </c>
      <c r="Y235" s="783">
        <f t="shared" si="156"/>
        <v>6756</v>
      </c>
      <c r="Z235" s="783">
        <f t="shared" si="157"/>
        <v>365</v>
      </c>
      <c r="AA235" s="783">
        <f t="shared" si="158"/>
        <v>642</v>
      </c>
      <c r="AB235" s="783">
        <f t="shared" si="159"/>
        <v>1926</v>
      </c>
      <c r="AC235" s="848">
        <f t="shared" si="132"/>
        <v>4830</v>
      </c>
      <c r="AD235" s="789">
        <f t="shared" si="133"/>
        <v>4830</v>
      </c>
      <c r="AE235" s="790">
        <f t="shared" si="160"/>
        <v>6756</v>
      </c>
      <c r="AF235" s="791">
        <f t="shared" si="161"/>
        <v>365</v>
      </c>
      <c r="AG235" s="791">
        <f t="shared" si="162"/>
        <v>642</v>
      </c>
      <c r="AH235" s="783">
        <f t="shared" si="163"/>
        <v>2568</v>
      </c>
      <c r="AI235" s="783">
        <f t="shared" si="134"/>
        <v>4188</v>
      </c>
      <c r="AJ235" s="790">
        <f t="shared" si="135"/>
        <v>4188</v>
      </c>
      <c r="AK235" s="790">
        <f t="shared" si="136"/>
        <v>6756</v>
      </c>
      <c r="AL235" s="791">
        <f t="shared" si="137"/>
        <v>365</v>
      </c>
      <c r="AM235" s="791">
        <f t="shared" si="138"/>
        <v>642</v>
      </c>
      <c r="AN235" s="783">
        <f t="shared" si="139"/>
        <v>3210</v>
      </c>
      <c r="AO235" s="783">
        <f t="shared" si="140"/>
        <v>3546</v>
      </c>
      <c r="AP235" s="808">
        <f t="shared" si="141"/>
        <v>3546</v>
      </c>
      <c r="AQ235" s="808">
        <f t="shared" si="142"/>
        <v>6756</v>
      </c>
      <c r="AR235" s="809">
        <f t="shared" si="143"/>
        <v>366</v>
      </c>
      <c r="AS235" s="809">
        <f t="shared" si="144"/>
        <v>644</v>
      </c>
      <c r="AT235" s="808">
        <f t="shared" si="145"/>
        <v>3854</v>
      </c>
      <c r="AU235" s="808">
        <f t="shared" si="146"/>
        <v>2902</v>
      </c>
    </row>
    <row r="236" spans="1:47" ht="15" customHeight="1" x14ac:dyDescent="0.25">
      <c r="A236" s="842" t="s">
        <v>133</v>
      </c>
      <c r="B236" s="843" t="s">
        <v>1267</v>
      </c>
      <c r="C236" s="778">
        <f t="shared" si="125"/>
        <v>9.5000000000000001E-2</v>
      </c>
      <c r="D236" s="844">
        <v>10</v>
      </c>
      <c r="E236" s="779" t="s">
        <v>1182</v>
      </c>
      <c r="F236" s="845">
        <v>43191</v>
      </c>
      <c r="G236" s="781">
        <f t="shared" si="147"/>
        <v>43191</v>
      </c>
      <c r="H236" s="781">
        <f t="shared" si="126"/>
        <v>46841</v>
      </c>
      <c r="I236" s="795">
        <v>16905</v>
      </c>
      <c r="J236" s="783">
        <f t="shared" si="127"/>
        <v>845.25</v>
      </c>
      <c r="K236" s="887"/>
      <c r="L236" s="846">
        <v>0</v>
      </c>
      <c r="M236" s="790">
        <f t="shared" si="148"/>
        <v>16905</v>
      </c>
      <c r="N236" s="791">
        <f t="shared" si="149"/>
        <v>365</v>
      </c>
      <c r="O236" s="791">
        <f t="shared" si="150"/>
        <v>1606</v>
      </c>
      <c r="P236" s="790">
        <f t="shared" si="151"/>
        <v>1606</v>
      </c>
      <c r="Q236" s="847">
        <f t="shared" si="128"/>
        <v>15299</v>
      </c>
      <c r="R236" s="914">
        <f t="shared" si="129"/>
        <v>15299</v>
      </c>
      <c r="S236" s="790">
        <f t="shared" si="152"/>
        <v>16905</v>
      </c>
      <c r="T236" s="792">
        <f t="shared" si="153"/>
        <v>366</v>
      </c>
      <c r="U236" s="792">
        <f t="shared" si="154"/>
        <v>1606</v>
      </c>
      <c r="V236" s="790">
        <f t="shared" si="155"/>
        <v>3212</v>
      </c>
      <c r="W236" s="847">
        <f t="shared" si="130"/>
        <v>13693</v>
      </c>
      <c r="X236" s="846">
        <f t="shared" si="131"/>
        <v>13693</v>
      </c>
      <c r="Y236" s="783">
        <f t="shared" si="156"/>
        <v>16905</v>
      </c>
      <c r="Z236" s="783">
        <f t="shared" si="157"/>
        <v>365</v>
      </c>
      <c r="AA236" s="783">
        <f t="shared" si="158"/>
        <v>1606</v>
      </c>
      <c r="AB236" s="783">
        <f t="shared" si="159"/>
        <v>4818</v>
      </c>
      <c r="AC236" s="848">
        <f t="shared" si="132"/>
        <v>12087</v>
      </c>
      <c r="AD236" s="789">
        <f t="shared" si="133"/>
        <v>12087</v>
      </c>
      <c r="AE236" s="790">
        <f t="shared" si="160"/>
        <v>16905</v>
      </c>
      <c r="AF236" s="791">
        <f t="shared" si="161"/>
        <v>365</v>
      </c>
      <c r="AG236" s="791">
        <f t="shared" si="162"/>
        <v>1606</v>
      </c>
      <c r="AH236" s="783">
        <f t="shared" si="163"/>
        <v>6424</v>
      </c>
      <c r="AI236" s="783">
        <f t="shared" si="134"/>
        <v>10481</v>
      </c>
      <c r="AJ236" s="790">
        <f t="shared" si="135"/>
        <v>10481</v>
      </c>
      <c r="AK236" s="790">
        <f t="shared" si="136"/>
        <v>16905</v>
      </c>
      <c r="AL236" s="791">
        <f t="shared" si="137"/>
        <v>365</v>
      </c>
      <c r="AM236" s="791">
        <f t="shared" si="138"/>
        <v>1606</v>
      </c>
      <c r="AN236" s="783">
        <f t="shared" si="139"/>
        <v>8030</v>
      </c>
      <c r="AO236" s="783">
        <f t="shared" si="140"/>
        <v>8875</v>
      </c>
      <c r="AP236" s="808">
        <f t="shared" si="141"/>
        <v>8875</v>
      </c>
      <c r="AQ236" s="808">
        <f t="shared" si="142"/>
        <v>16905</v>
      </c>
      <c r="AR236" s="809">
        <f t="shared" si="143"/>
        <v>366</v>
      </c>
      <c r="AS236" s="809">
        <f t="shared" si="144"/>
        <v>1610</v>
      </c>
      <c r="AT236" s="808">
        <f t="shared" si="145"/>
        <v>9640</v>
      </c>
      <c r="AU236" s="808">
        <f t="shared" si="146"/>
        <v>7265</v>
      </c>
    </row>
    <row r="237" spans="1:47" ht="15" customHeight="1" x14ac:dyDescent="0.25">
      <c r="A237" s="842" t="s">
        <v>133</v>
      </c>
      <c r="B237" s="843" t="s">
        <v>1267</v>
      </c>
      <c r="C237" s="778">
        <f t="shared" si="125"/>
        <v>9.5000000000000001E-2</v>
      </c>
      <c r="D237" s="844">
        <v>10</v>
      </c>
      <c r="E237" s="779" t="s">
        <v>1182</v>
      </c>
      <c r="F237" s="845">
        <v>43191</v>
      </c>
      <c r="G237" s="781">
        <f t="shared" si="147"/>
        <v>43191</v>
      </c>
      <c r="H237" s="781">
        <f t="shared" si="126"/>
        <v>46841</v>
      </c>
      <c r="I237" s="795">
        <v>34500</v>
      </c>
      <c r="J237" s="783">
        <f t="shared" si="127"/>
        <v>1725</v>
      </c>
      <c r="K237" s="887"/>
      <c r="L237" s="846">
        <v>0</v>
      </c>
      <c r="M237" s="790">
        <f t="shared" si="148"/>
        <v>34500</v>
      </c>
      <c r="N237" s="791">
        <f t="shared" si="149"/>
        <v>365</v>
      </c>
      <c r="O237" s="791">
        <f t="shared" si="150"/>
        <v>3278</v>
      </c>
      <c r="P237" s="790">
        <f t="shared" si="151"/>
        <v>3278</v>
      </c>
      <c r="Q237" s="847">
        <f t="shared" si="128"/>
        <v>31222</v>
      </c>
      <c r="R237" s="914">
        <f t="shared" si="129"/>
        <v>31222</v>
      </c>
      <c r="S237" s="790">
        <f t="shared" si="152"/>
        <v>34500</v>
      </c>
      <c r="T237" s="792">
        <f t="shared" si="153"/>
        <v>366</v>
      </c>
      <c r="U237" s="792">
        <f t="shared" si="154"/>
        <v>3278</v>
      </c>
      <c r="V237" s="790">
        <f t="shared" si="155"/>
        <v>6556</v>
      </c>
      <c r="W237" s="847">
        <f t="shared" si="130"/>
        <v>27944</v>
      </c>
      <c r="X237" s="846">
        <f t="shared" si="131"/>
        <v>27944</v>
      </c>
      <c r="Y237" s="783">
        <f t="shared" si="156"/>
        <v>34500</v>
      </c>
      <c r="Z237" s="783">
        <f t="shared" si="157"/>
        <v>365</v>
      </c>
      <c r="AA237" s="783">
        <f t="shared" si="158"/>
        <v>3278</v>
      </c>
      <c r="AB237" s="783">
        <f t="shared" si="159"/>
        <v>9834</v>
      </c>
      <c r="AC237" s="848">
        <f t="shared" si="132"/>
        <v>24666</v>
      </c>
      <c r="AD237" s="789">
        <f t="shared" si="133"/>
        <v>24666</v>
      </c>
      <c r="AE237" s="790">
        <f t="shared" si="160"/>
        <v>34500</v>
      </c>
      <c r="AF237" s="791">
        <f t="shared" si="161"/>
        <v>365</v>
      </c>
      <c r="AG237" s="791">
        <f t="shared" si="162"/>
        <v>3278</v>
      </c>
      <c r="AH237" s="783">
        <f t="shared" si="163"/>
        <v>13112</v>
      </c>
      <c r="AI237" s="783">
        <f t="shared" si="134"/>
        <v>21388</v>
      </c>
      <c r="AJ237" s="790">
        <f t="shared" si="135"/>
        <v>21388</v>
      </c>
      <c r="AK237" s="790">
        <f t="shared" si="136"/>
        <v>34500</v>
      </c>
      <c r="AL237" s="791">
        <f t="shared" si="137"/>
        <v>365</v>
      </c>
      <c r="AM237" s="791">
        <f t="shared" si="138"/>
        <v>3278</v>
      </c>
      <c r="AN237" s="783">
        <f t="shared" si="139"/>
        <v>16390</v>
      </c>
      <c r="AO237" s="783">
        <f t="shared" si="140"/>
        <v>18110</v>
      </c>
      <c r="AP237" s="808">
        <f t="shared" si="141"/>
        <v>18110</v>
      </c>
      <c r="AQ237" s="808">
        <f t="shared" si="142"/>
        <v>34500</v>
      </c>
      <c r="AR237" s="809">
        <f t="shared" si="143"/>
        <v>366</v>
      </c>
      <c r="AS237" s="809">
        <f t="shared" si="144"/>
        <v>3286</v>
      </c>
      <c r="AT237" s="808">
        <f t="shared" si="145"/>
        <v>19676</v>
      </c>
      <c r="AU237" s="808">
        <f t="shared" si="146"/>
        <v>14824</v>
      </c>
    </row>
    <row r="238" spans="1:47" ht="15" customHeight="1" x14ac:dyDescent="0.25">
      <c r="A238" s="842" t="s">
        <v>133</v>
      </c>
      <c r="B238" s="843" t="s">
        <v>1267</v>
      </c>
      <c r="C238" s="778">
        <f t="shared" si="125"/>
        <v>9.5000000000000001E-2</v>
      </c>
      <c r="D238" s="844">
        <v>10</v>
      </c>
      <c r="E238" s="779" t="s">
        <v>1182</v>
      </c>
      <c r="F238" s="845">
        <v>43191</v>
      </c>
      <c r="G238" s="781">
        <f t="shared" si="147"/>
        <v>43191</v>
      </c>
      <c r="H238" s="781">
        <f t="shared" si="126"/>
        <v>46841</v>
      </c>
      <c r="I238" s="795">
        <v>36860.199999999997</v>
      </c>
      <c r="J238" s="783">
        <f t="shared" si="127"/>
        <v>1843.01</v>
      </c>
      <c r="K238" s="887"/>
      <c r="L238" s="846">
        <v>0</v>
      </c>
      <c r="M238" s="790">
        <f t="shared" si="148"/>
        <v>36860.199999999997</v>
      </c>
      <c r="N238" s="791">
        <f t="shared" si="149"/>
        <v>365</v>
      </c>
      <c r="O238" s="791">
        <f t="shared" si="150"/>
        <v>3502</v>
      </c>
      <c r="P238" s="790">
        <f t="shared" si="151"/>
        <v>3502</v>
      </c>
      <c r="Q238" s="847">
        <f t="shared" si="128"/>
        <v>33358.199999999997</v>
      </c>
      <c r="R238" s="914">
        <f t="shared" si="129"/>
        <v>33358.199999999997</v>
      </c>
      <c r="S238" s="790">
        <f t="shared" si="152"/>
        <v>36860.199999999997</v>
      </c>
      <c r="T238" s="792">
        <f t="shared" si="153"/>
        <v>366</v>
      </c>
      <c r="U238" s="792">
        <f t="shared" si="154"/>
        <v>3502</v>
      </c>
      <c r="V238" s="790">
        <f t="shared" si="155"/>
        <v>7004</v>
      </c>
      <c r="W238" s="847">
        <f t="shared" si="130"/>
        <v>29856.199999999997</v>
      </c>
      <c r="X238" s="846">
        <f t="shared" si="131"/>
        <v>29856.199999999997</v>
      </c>
      <c r="Y238" s="783">
        <f t="shared" si="156"/>
        <v>36860.199999999997</v>
      </c>
      <c r="Z238" s="783">
        <f t="shared" si="157"/>
        <v>365</v>
      </c>
      <c r="AA238" s="783">
        <f t="shared" si="158"/>
        <v>3502</v>
      </c>
      <c r="AB238" s="783">
        <f t="shared" si="159"/>
        <v>10506</v>
      </c>
      <c r="AC238" s="848">
        <f t="shared" si="132"/>
        <v>26354.199999999997</v>
      </c>
      <c r="AD238" s="789">
        <f t="shared" si="133"/>
        <v>26354.199999999997</v>
      </c>
      <c r="AE238" s="790">
        <f t="shared" si="160"/>
        <v>36860.199999999997</v>
      </c>
      <c r="AF238" s="791">
        <f t="shared" si="161"/>
        <v>365</v>
      </c>
      <c r="AG238" s="791">
        <f t="shared" si="162"/>
        <v>3502</v>
      </c>
      <c r="AH238" s="783">
        <f t="shared" si="163"/>
        <v>14008</v>
      </c>
      <c r="AI238" s="783">
        <f t="shared" si="134"/>
        <v>22852.199999999997</v>
      </c>
      <c r="AJ238" s="790">
        <f t="shared" si="135"/>
        <v>22852.199999999997</v>
      </c>
      <c r="AK238" s="790">
        <f t="shared" si="136"/>
        <v>36860.199999999997</v>
      </c>
      <c r="AL238" s="791">
        <f t="shared" si="137"/>
        <v>365</v>
      </c>
      <c r="AM238" s="791">
        <f t="shared" si="138"/>
        <v>3502</v>
      </c>
      <c r="AN238" s="783">
        <f t="shared" si="139"/>
        <v>17510</v>
      </c>
      <c r="AO238" s="783">
        <f t="shared" si="140"/>
        <v>19350.199999999997</v>
      </c>
      <c r="AP238" s="808">
        <f t="shared" si="141"/>
        <v>19350.199999999997</v>
      </c>
      <c r="AQ238" s="808">
        <f t="shared" si="142"/>
        <v>36860.199999999997</v>
      </c>
      <c r="AR238" s="809">
        <f t="shared" si="143"/>
        <v>366</v>
      </c>
      <c r="AS238" s="809">
        <f t="shared" si="144"/>
        <v>3511</v>
      </c>
      <c r="AT238" s="808">
        <f t="shared" si="145"/>
        <v>21021</v>
      </c>
      <c r="AU238" s="808">
        <f t="shared" si="146"/>
        <v>15839.199999999997</v>
      </c>
    </row>
    <row r="239" spans="1:47" ht="15" customHeight="1" x14ac:dyDescent="0.25">
      <c r="A239" s="842" t="s">
        <v>133</v>
      </c>
      <c r="B239" s="843" t="s">
        <v>1267</v>
      </c>
      <c r="C239" s="778">
        <f t="shared" si="125"/>
        <v>9.5000000000000001E-2</v>
      </c>
      <c r="D239" s="844">
        <v>10</v>
      </c>
      <c r="E239" s="779" t="s">
        <v>1182</v>
      </c>
      <c r="F239" s="845">
        <v>43191</v>
      </c>
      <c r="G239" s="781">
        <f t="shared" si="147"/>
        <v>43191</v>
      </c>
      <c r="H239" s="781">
        <f t="shared" si="126"/>
        <v>46841</v>
      </c>
      <c r="I239" s="795">
        <v>32290</v>
      </c>
      <c r="J239" s="783">
        <f t="shared" si="127"/>
        <v>1614.5</v>
      </c>
      <c r="K239" s="887"/>
      <c r="L239" s="846">
        <v>0</v>
      </c>
      <c r="M239" s="790">
        <f t="shared" si="148"/>
        <v>32290</v>
      </c>
      <c r="N239" s="791">
        <f t="shared" si="149"/>
        <v>365</v>
      </c>
      <c r="O239" s="791">
        <f t="shared" si="150"/>
        <v>3068</v>
      </c>
      <c r="P239" s="790">
        <f t="shared" si="151"/>
        <v>3068</v>
      </c>
      <c r="Q239" s="847">
        <f t="shared" si="128"/>
        <v>29222</v>
      </c>
      <c r="R239" s="914">
        <f t="shared" si="129"/>
        <v>29222</v>
      </c>
      <c r="S239" s="790">
        <f t="shared" si="152"/>
        <v>32290</v>
      </c>
      <c r="T239" s="792">
        <f t="shared" si="153"/>
        <v>366</v>
      </c>
      <c r="U239" s="792">
        <f t="shared" si="154"/>
        <v>3068</v>
      </c>
      <c r="V239" s="790">
        <f t="shared" si="155"/>
        <v>6136</v>
      </c>
      <c r="W239" s="847">
        <f t="shared" si="130"/>
        <v>26154</v>
      </c>
      <c r="X239" s="846">
        <f t="shared" si="131"/>
        <v>26154</v>
      </c>
      <c r="Y239" s="783">
        <f t="shared" si="156"/>
        <v>32290</v>
      </c>
      <c r="Z239" s="783">
        <f t="shared" si="157"/>
        <v>365</v>
      </c>
      <c r="AA239" s="783">
        <f t="shared" si="158"/>
        <v>3068</v>
      </c>
      <c r="AB239" s="783">
        <f t="shared" si="159"/>
        <v>9204</v>
      </c>
      <c r="AC239" s="848">
        <f t="shared" si="132"/>
        <v>23086</v>
      </c>
      <c r="AD239" s="789">
        <f t="shared" si="133"/>
        <v>23086</v>
      </c>
      <c r="AE239" s="790">
        <f t="shared" si="160"/>
        <v>32290</v>
      </c>
      <c r="AF239" s="791">
        <f t="shared" si="161"/>
        <v>365</v>
      </c>
      <c r="AG239" s="791">
        <f t="shared" si="162"/>
        <v>3068</v>
      </c>
      <c r="AH239" s="783">
        <f t="shared" si="163"/>
        <v>12272</v>
      </c>
      <c r="AI239" s="783">
        <f t="shared" si="134"/>
        <v>20018</v>
      </c>
      <c r="AJ239" s="790">
        <f t="shared" si="135"/>
        <v>20018</v>
      </c>
      <c r="AK239" s="790">
        <f t="shared" si="136"/>
        <v>32290</v>
      </c>
      <c r="AL239" s="791">
        <f t="shared" si="137"/>
        <v>365</v>
      </c>
      <c r="AM239" s="791">
        <f t="shared" si="138"/>
        <v>3068</v>
      </c>
      <c r="AN239" s="783">
        <f t="shared" si="139"/>
        <v>15340</v>
      </c>
      <c r="AO239" s="783">
        <f t="shared" si="140"/>
        <v>16950</v>
      </c>
      <c r="AP239" s="808">
        <f t="shared" si="141"/>
        <v>16950</v>
      </c>
      <c r="AQ239" s="808">
        <f t="shared" si="142"/>
        <v>32290</v>
      </c>
      <c r="AR239" s="809">
        <f t="shared" si="143"/>
        <v>366</v>
      </c>
      <c r="AS239" s="809">
        <f t="shared" si="144"/>
        <v>3076</v>
      </c>
      <c r="AT239" s="808">
        <f t="shared" si="145"/>
        <v>18416</v>
      </c>
      <c r="AU239" s="808">
        <f t="shared" si="146"/>
        <v>13874</v>
      </c>
    </row>
    <row r="240" spans="1:47" ht="15" customHeight="1" x14ac:dyDescent="0.25">
      <c r="A240" s="842" t="s">
        <v>133</v>
      </c>
      <c r="B240" s="843" t="s">
        <v>1267</v>
      </c>
      <c r="C240" s="778">
        <f t="shared" si="125"/>
        <v>9.5000000000000001E-2</v>
      </c>
      <c r="D240" s="844">
        <v>10</v>
      </c>
      <c r="E240" s="779" t="s">
        <v>1182</v>
      </c>
      <c r="F240" s="845">
        <v>43191</v>
      </c>
      <c r="G240" s="781">
        <f t="shared" si="147"/>
        <v>43191</v>
      </c>
      <c r="H240" s="781">
        <f t="shared" si="126"/>
        <v>46841</v>
      </c>
      <c r="I240" s="795">
        <v>34520</v>
      </c>
      <c r="J240" s="783">
        <f t="shared" si="127"/>
        <v>1726</v>
      </c>
      <c r="K240" s="887"/>
      <c r="L240" s="846">
        <v>0</v>
      </c>
      <c r="M240" s="790">
        <f t="shared" si="148"/>
        <v>34520</v>
      </c>
      <c r="N240" s="791">
        <f t="shared" si="149"/>
        <v>365</v>
      </c>
      <c r="O240" s="791">
        <f t="shared" si="150"/>
        <v>3279</v>
      </c>
      <c r="P240" s="790">
        <f t="shared" si="151"/>
        <v>3279</v>
      </c>
      <c r="Q240" s="847">
        <f t="shared" si="128"/>
        <v>31241</v>
      </c>
      <c r="R240" s="914">
        <f t="shared" si="129"/>
        <v>31241</v>
      </c>
      <c r="S240" s="790">
        <f t="shared" si="152"/>
        <v>34520</v>
      </c>
      <c r="T240" s="792">
        <f t="shared" si="153"/>
        <v>366</v>
      </c>
      <c r="U240" s="792">
        <f t="shared" si="154"/>
        <v>3279</v>
      </c>
      <c r="V240" s="790">
        <f t="shared" si="155"/>
        <v>6558</v>
      </c>
      <c r="W240" s="847">
        <f t="shared" si="130"/>
        <v>27962</v>
      </c>
      <c r="X240" s="846">
        <f t="shared" si="131"/>
        <v>27962</v>
      </c>
      <c r="Y240" s="783">
        <f t="shared" si="156"/>
        <v>34520</v>
      </c>
      <c r="Z240" s="783">
        <f t="shared" si="157"/>
        <v>365</v>
      </c>
      <c r="AA240" s="783">
        <f t="shared" si="158"/>
        <v>3279</v>
      </c>
      <c r="AB240" s="783">
        <f t="shared" si="159"/>
        <v>9837</v>
      </c>
      <c r="AC240" s="848">
        <f t="shared" si="132"/>
        <v>24683</v>
      </c>
      <c r="AD240" s="789">
        <f t="shared" si="133"/>
        <v>24683</v>
      </c>
      <c r="AE240" s="790">
        <f t="shared" si="160"/>
        <v>34520</v>
      </c>
      <c r="AF240" s="791">
        <f t="shared" si="161"/>
        <v>365</v>
      </c>
      <c r="AG240" s="791">
        <f t="shared" si="162"/>
        <v>3279</v>
      </c>
      <c r="AH240" s="783">
        <f t="shared" si="163"/>
        <v>13116</v>
      </c>
      <c r="AI240" s="783">
        <f t="shared" si="134"/>
        <v>21404</v>
      </c>
      <c r="AJ240" s="790">
        <f t="shared" si="135"/>
        <v>21404</v>
      </c>
      <c r="AK240" s="790">
        <f t="shared" si="136"/>
        <v>34520</v>
      </c>
      <c r="AL240" s="791">
        <f t="shared" si="137"/>
        <v>365</v>
      </c>
      <c r="AM240" s="791">
        <f t="shared" si="138"/>
        <v>3279</v>
      </c>
      <c r="AN240" s="783">
        <f t="shared" si="139"/>
        <v>16395</v>
      </c>
      <c r="AO240" s="783">
        <f t="shared" si="140"/>
        <v>18125</v>
      </c>
      <c r="AP240" s="808">
        <f t="shared" si="141"/>
        <v>18125</v>
      </c>
      <c r="AQ240" s="808">
        <f t="shared" si="142"/>
        <v>34520</v>
      </c>
      <c r="AR240" s="809">
        <f t="shared" si="143"/>
        <v>366</v>
      </c>
      <c r="AS240" s="809">
        <f t="shared" si="144"/>
        <v>3288</v>
      </c>
      <c r="AT240" s="808">
        <f t="shared" si="145"/>
        <v>19683</v>
      </c>
      <c r="AU240" s="808">
        <f t="shared" si="146"/>
        <v>14837</v>
      </c>
    </row>
    <row r="241" spans="1:47" ht="15" customHeight="1" x14ac:dyDescent="0.25">
      <c r="A241" s="842" t="s">
        <v>133</v>
      </c>
      <c r="B241" s="843" t="s">
        <v>1267</v>
      </c>
      <c r="C241" s="778">
        <f t="shared" si="125"/>
        <v>9.5000000000000001E-2</v>
      </c>
      <c r="D241" s="844">
        <v>10</v>
      </c>
      <c r="E241" s="779" t="s">
        <v>1182</v>
      </c>
      <c r="F241" s="845">
        <v>43191</v>
      </c>
      <c r="G241" s="781">
        <f t="shared" si="147"/>
        <v>43191</v>
      </c>
      <c r="H241" s="781">
        <f t="shared" si="126"/>
        <v>46841</v>
      </c>
      <c r="I241" s="795">
        <v>37520</v>
      </c>
      <c r="J241" s="783">
        <f t="shared" si="127"/>
        <v>1876</v>
      </c>
      <c r="K241" s="887"/>
      <c r="L241" s="846">
        <v>0</v>
      </c>
      <c r="M241" s="790">
        <f t="shared" si="148"/>
        <v>37520</v>
      </c>
      <c r="N241" s="791">
        <f t="shared" si="149"/>
        <v>365</v>
      </c>
      <c r="O241" s="791">
        <f t="shared" si="150"/>
        <v>3564</v>
      </c>
      <c r="P241" s="790">
        <f t="shared" si="151"/>
        <v>3564</v>
      </c>
      <c r="Q241" s="847">
        <f t="shared" si="128"/>
        <v>33956</v>
      </c>
      <c r="R241" s="914">
        <f t="shared" si="129"/>
        <v>33956</v>
      </c>
      <c r="S241" s="790">
        <f t="shared" si="152"/>
        <v>37520</v>
      </c>
      <c r="T241" s="792">
        <f t="shared" si="153"/>
        <v>366</v>
      </c>
      <c r="U241" s="792">
        <f t="shared" si="154"/>
        <v>3564</v>
      </c>
      <c r="V241" s="790">
        <f t="shared" si="155"/>
        <v>7128</v>
      </c>
      <c r="W241" s="847">
        <f t="shared" si="130"/>
        <v>30392</v>
      </c>
      <c r="X241" s="846">
        <f t="shared" si="131"/>
        <v>30392</v>
      </c>
      <c r="Y241" s="783">
        <f t="shared" si="156"/>
        <v>37520</v>
      </c>
      <c r="Z241" s="783">
        <f t="shared" si="157"/>
        <v>365</v>
      </c>
      <c r="AA241" s="783">
        <f t="shared" si="158"/>
        <v>3564</v>
      </c>
      <c r="AB241" s="783">
        <f t="shared" si="159"/>
        <v>10692</v>
      </c>
      <c r="AC241" s="848">
        <f t="shared" si="132"/>
        <v>26828</v>
      </c>
      <c r="AD241" s="789">
        <f t="shared" si="133"/>
        <v>26828</v>
      </c>
      <c r="AE241" s="790">
        <f t="shared" si="160"/>
        <v>37520</v>
      </c>
      <c r="AF241" s="791">
        <f t="shared" si="161"/>
        <v>365</v>
      </c>
      <c r="AG241" s="791">
        <f t="shared" si="162"/>
        <v>3564</v>
      </c>
      <c r="AH241" s="783">
        <f t="shared" si="163"/>
        <v>14256</v>
      </c>
      <c r="AI241" s="783">
        <f t="shared" si="134"/>
        <v>23264</v>
      </c>
      <c r="AJ241" s="790">
        <f t="shared" si="135"/>
        <v>23264</v>
      </c>
      <c r="AK241" s="790">
        <f t="shared" si="136"/>
        <v>37520</v>
      </c>
      <c r="AL241" s="791">
        <f t="shared" si="137"/>
        <v>365</v>
      </c>
      <c r="AM241" s="791">
        <f t="shared" si="138"/>
        <v>3564</v>
      </c>
      <c r="AN241" s="783">
        <f t="shared" si="139"/>
        <v>17820</v>
      </c>
      <c r="AO241" s="783">
        <f t="shared" si="140"/>
        <v>19700</v>
      </c>
      <c r="AP241" s="808">
        <f t="shared" si="141"/>
        <v>19700</v>
      </c>
      <c r="AQ241" s="808">
        <f t="shared" si="142"/>
        <v>37520</v>
      </c>
      <c r="AR241" s="809">
        <f t="shared" si="143"/>
        <v>366</v>
      </c>
      <c r="AS241" s="809">
        <f t="shared" si="144"/>
        <v>3574</v>
      </c>
      <c r="AT241" s="808">
        <f t="shared" si="145"/>
        <v>21394</v>
      </c>
      <c r="AU241" s="808">
        <f t="shared" si="146"/>
        <v>16126</v>
      </c>
    </row>
    <row r="242" spans="1:47" ht="15" customHeight="1" x14ac:dyDescent="0.25">
      <c r="A242" s="842" t="s">
        <v>133</v>
      </c>
      <c r="B242" s="843" t="s">
        <v>1267</v>
      </c>
      <c r="C242" s="778">
        <f t="shared" si="125"/>
        <v>9.5000000000000001E-2</v>
      </c>
      <c r="D242" s="844">
        <v>10</v>
      </c>
      <c r="E242" s="779" t="s">
        <v>1182</v>
      </c>
      <c r="F242" s="845">
        <v>43191</v>
      </c>
      <c r="G242" s="781">
        <f t="shared" si="147"/>
        <v>43191</v>
      </c>
      <c r="H242" s="781">
        <f t="shared" si="126"/>
        <v>46841</v>
      </c>
      <c r="I242" s="795">
        <v>36175.300000000003</v>
      </c>
      <c r="J242" s="783">
        <f t="shared" si="127"/>
        <v>1808.7650000000003</v>
      </c>
      <c r="K242" s="887"/>
      <c r="L242" s="846">
        <v>0</v>
      </c>
      <c r="M242" s="790">
        <f t="shared" si="148"/>
        <v>36175.300000000003</v>
      </c>
      <c r="N242" s="791">
        <f t="shared" si="149"/>
        <v>365</v>
      </c>
      <c r="O242" s="791">
        <f t="shared" si="150"/>
        <v>3437</v>
      </c>
      <c r="P242" s="790">
        <f t="shared" si="151"/>
        <v>3437</v>
      </c>
      <c r="Q242" s="847">
        <f t="shared" si="128"/>
        <v>32738.300000000003</v>
      </c>
      <c r="R242" s="914">
        <f t="shared" si="129"/>
        <v>32738.300000000003</v>
      </c>
      <c r="S242" s="790">
        <f t="shared" si="152"/>
        <v>36175.300000000003</v>
      </c>
      <c r="T242" s="792">
        <f t="shared" si="153"/>
        <v>366</v>
      </c>
      <c r="U242" s="792">
        <f t="shared" si="154"/>
        <v>3437</v>
      </c>
      <c r="V242" s="790">
        <f t="shared" si="155"/>
        <v>6874</v>
      </c>
      <c r="W242" s="847">
        <f t="shared" si="130"/>
        <v>29301.300000000003</v>
      </c>
      <c r="X242" s="846">
        <f t="shared" si="131"/>
        <v>29301.300000000003</v>
      </c>
      <c r="Y242" s="783">
        <f t="shared" si="156"/>
        <v>36175.300000000003</v>
      </c>
      <c r="Z242" s="783">
        <f t="shared" si="157"/>
        <v>365</v>
      </c>
      <c r="AA242" s="783">
        <f t="shared" si="158"/>
        <v>3437</v>
      </c>
      <c r="AB242" s="783">
        <f t="shared" si="159"/>
        <v>10311</v>
      </c>
      <c r="AC242" s="848">
        <f t="shared" si="132"/>
        <v>25864.300000000003</v>
      </c>
      <c r="AD242" s="789">
        <f t="shared" si="133"/>
        <v>25864.300000000003</v>
      </c>
      <c r="AE242" s="790">
        <f t="shared" si="160"/>
        <v>36175.300000000003</v>
      </c>
      <c r="AF242" s="791">
        <f t="shared" si="161"/>
        <v>365</v>
      </c>
      <c r="AG242" s="791">
        <f t="shared" si="162"/>
        <v>3437</v>
      </c>
      <c r="AH242" s="783">
        <f t="shared" si="163"/>
        <v>13748</v>
      </c>
      <c r="AI242" s="783">
        <f t="shared" si="134"/>
        <v>22427.300000000003</v>
      </c>
      <c r="AJ242" s="790">
        <f t="shared" si="135"/>
        <v>22427.300000000003</v>
      </c>
      <c r="AK242" s="790">
        <f t="shared" si="136"/>
        <v>36175.300000000003</v>
      </c>
      <c r="AL242" s="791">
        <f t="shared" si="137"/>
        <v>365</v>
      </c>
      <c r="AM242" s="791">
        <f t="shared" si="138"/>
        <v>3437</v>
      </c>
      <c r="AN242" s="783">
        <f t="shared" si="139"/>
        <v>17185</v>
      </c>
      <c r="AO242" s="783">
        <f t="shared" si="140"/>
        <v>18990.300000000003</v>
      </c>
      <c r="AP242" s="808">
        <f t="shared" si="141"/>
        <v>18990.300000000003</v>
      </c>
      <c r="AQ242" s="808">
        <f t="shared" si="142"/>
        <v>36175.300000000003</v>
      </c>
      <c r="AR242" s="809">
        <f t="shared" si="143"/>
        <v>366</v>
      </c>
      <c r="AS242" s="809">
        <f t="shared" si="144"/>
        <v>3446</v>
      </c>
      <c r="AT242" s="808">
        <f t="shared" si="145"/>
        <v>20631</v>
      </c>
      <c r="AU242" s="808">
        <f t="shared" si="146"/>
        <v>15544.300000000003</v>
      </c>
    </row>
    <row r="243" spans="1:47" ht="15" customHeight="1" x14ac:dyDescent="0.25">
      <c r="A243" s="842" t="s">
        <v>133</v>
      </c>
      <c r="B243" s="843" t="s">
        <v>1267</v>
      </c>
      <c r="C243" s="778">
        <f t="shared" si="125"/>
        <v>9.5000000000000001E-2</v>
      </c>
      <c r="D243" s="844">
        <v>10</v>
      </c>
      <c r="E243" s="779" t="s">
        <v>1182</v>
      </c>
      <c r="F243" s="845">
        <v>43191</v>
      </c>
      <c r="G243" s="781">
        <f t="shared" si="147"/>
        <v>43191</v>
      </c>
      <c r="H243" s="781">
        <f t="shared" si="126"/>
        <v>46841</v>
      </c>
      <c r="I243" s="795">
        <v>480635</v>
      </c>
      <c r="J243" s="783">
        <f t="shared" si="127"/>
        <v>24031.75</v>
      </c>
      <c r="K243" s="887"/>
      <c r="L243" s="846">
        <v>0</v>
      </c>
      <c r="M243" s="790">
        <f t="shared" si="148"/>
        <v>480635</v>
      </c>
      <c r="N243" s="791">
        <f t="shared" si="149"/>
        <v>365</v>
      </c>
      <c r="O243" s="791">
        <f t="shared" si="150"/>
        <v>45660</v>
      </c>
      <c r="P243" s="790">
        <f t="shared" si="151"/>
        <v>45660</v>
      </c>
      <c r="Q243" s="847">
        <f t="shared" si="128"/>
        <v>434975</v>
      </c>
      <c r="R243" s="914">
        <f t="shared" si="129"/>
        <v>434975</v>
      </c>
      <c r="S243" s="790">
        <f t="shared" si="152"/>
        <v>480635</v>
      </c>
      <c r="T243" s="792">
        <f t="shared" si="153"/>
        <v>366</v>
      </c>
      <c r="U243" s="792">
        <f t="shared" si="154"/>
        <v>45660</v>
      </c>
      <c r="V243" s="790">
        <f t="shared" si="155"/>
        <v>91320</v>
      </c>
      <c r="W243" s="847">
        <f t="shared" si="130"/>
        <v>389315</v>
      </c>
      <c r="X243" s="846">
        <f t="shared" si="131"/>
        <v>389315</v>
      </c>
      <c r="Y243" s="783">
        <f t="shared" si="156"/>
        <v>480635</v>
      </c>
      <c r="Z243" s="783">
        <f t="shared" si="157"/>
        <v>365</v>
      </c>
      <c r="AA243" s="783">
        <f t="shared" si="158"/>
        <v>45660</v>
      </c>
      <c r="AB243" s="783">
        <f t="shared" si="159"/>
        <v>136980</v>
      </c>
      <c r="AC243" s="848">
        <f t="shared" si="132"/>
        <v>343655</v>
      </c>
      <c r="AD243" s="789">
        <f t="shared" si="133"/>
        <v>343655</v>
      </c>
      <c r="AE243" s="790">
        <f t="shared" si="160"/>
        <v>480635</v>
      </c>
      <c r="AF243" s="791">
        <f t="shared" si="161"/>
        <v>365</v>
      </c>
      <c r="AG243" s="791">
        <f t="shared" si="162"/>
        <v>45660</v>
      </c>
      <c r="AH243" s="783">
        <f t="shared" si="163"/>
        <v>182640</v>
      </c>
      <c r="AI243" s="783">
        <f t="shared" si="134"/>
        <v>297995</v>
      </c>
      <c r="AJ243" s="790">
        <f t="shared" si="135"/>
        <v>297995</v>
      </c>
      <c r="AK243" s="790">
        <f t="shared" si="136"/>
        <v>480635</v>
      </c>
      <c r="AL243" s="791">
        <f t="shared" si="137"/>
        <v>365</v>
      </c>
      <c r="AM243" s="791">
        <f t="shared" si="138"/>
        <v>45660</v>
      </c>
      <c r="AN243" s="783">
        <f t="shared" si="139"/>
        <v>228300</v>
      </c>
      <c r="AO243" s="783">
        <f t="shared" si="140"/>
        <v>252335</v>
      </c>
      <c r="AP243" s="808">
        <f t="shared" si="141"/>
        <v>252335</v>
      </c>
      <c r="AQ243" s="808">
        <f t="shared" si="142"/>
        <v>480635</v>
      </c>
      <c r="AR243" s="809">
        <f t="shared" si="143"/>
        <v>366</v>
      </c>
      <c r="AS243" s="809">
        <f t="shared" si="144"/>
        <v>45785</v>
      </c>
      <c r="AT243" s="808">
        <f t="shared" si="145"/>
        <v>274085</v>
      </c>
      <c r="AU243" s="808">
        <f t="shared" si="146"/>
        <v>206550</v>
      </c>
    </row>
    <row r="244" spans="1:47" ht="15" customHeight="1" x14ac:dyDescent="0.25">
      <c r="A244" s="842" t="s">
        <v>133</v>
      </c>
      <c r="B244" s="843" t="s">
        <v>1270</v>
      </c>
      <c r="C244" s="778">
        <f t="shared" si="125"/>
        <v>9.5000000000000001E-2</v>
      </c>
      <c r="D244" s="844">
        <v>10</v>
      </c>
      <c r="E244" s="779" t="s">
        <v>1182</v>
      </c>
      <c r="F244" s="845">
        <v>43191</v>
      </c>
      <c r="G244" s="781">
        <f t="shared" si="147"/>
        <v>43191</v>
      </c>
      <c r="H244" s="781">
        <f t="shared" si="126"/>
        <v>46841</v>
      </c>
      <c r="I244" s="795">
        <v>277500</v>
      </c>
      <c r="J244" s="783">
        <f t="shared" si="127"/>
        <v>13875</v>
      </c>
      <c r="K244" s="887"/>
      <c r="L244" s="846">
        <v>0</v>
      </c>
      <c r="M244" s="790">
        <f t="shared" si="148"/>
        <v>277500</v>
      </c>
      <c r="N244" s="791">
        <f t="shared" si="149"/>
        <v>365</v>
      </c>
      <c r="O244" s="791">
        <f t="shared" si="150"/>
        <v>26363</v>
      </c>
      <c r="P244" s="790">
        <f t="shared" si="151"/>
        <v>26363</v>
      </c>
      <c r="Q244" s="847">
        <f t="shared" si="128"/>
        <v>251137</v>
      </c>
      <c r="R244" s="914">
        <f t="shared" si="129"/>
        <v>251137</v>
      </c>
      <c r="S244" s="790">
        <f t="shared" si="152"/>
        <v>277500</v>
      </c>
      <c r="T244" s="792">
        <f t="shared" si="153"/>
        <v>366</v>
      </c>
      <c r="U244" s="792">
        <f t="shared" si="154"/>
        <v>26363</v>
      </c>
      <c r="V244" s="790">
        <f t="shared" si="155"/>
        <v>52726</v>
      </c>
      <c r="W244" s="847">
        <f t="shared" si="130"/>
        <v>224774</v>
      </c>
      <c r="X244" s="846">
        <f t="shared" si="131"/>
        <v>224774</v>
      </c>
      <c r="Y244" s="783">
        <f t="shared" si="156"/>
        <v>277500</v>
      </c>
      <c r="Z244" s="783">
        <f t="shared" si="157"/>
        <v>365</v>
      </c>
      <c r="AA244" s="783">
        <f t="shared" si="158"/>
        <v>26363</v>
      </c>
      <c r="AB244" s="783">
        <f t="shared" si="159"/>
        <v>79089</v>
      </c>
      <c r="AC244" s="848">
        <f t="shared" si="132"/>
        <v>198411</v>
      </c>
      <c r="AD244" s="789">
        <f t="shared" si="133"/>
        <v>198411</v>
      </c>
      <c r="AE244" s="790">
        <f t="shared" si="160"/>
        <v>277500</v>
      </c>
      <c r="AF244" s="791">
        <f t="shared" si="161"/>
        <v>365</v>
      </c>
      <c r="AG244" s="791">
        <f t="shared" si="162"/>
        <v>26363</v>
      </c>
      <c r="AH244" s="783">
        <f t="shared" si="163"/>
        <v>105452</v>
      </c>
      <c r="AI244" s="783">
        <f t="shared" si="134"/>
        <v>172048</v>
      </c>
      <c r="AJ244" s="790">
        <f t="shared" si="135"/>
        <v>172048</v>
      </c>
      <c r="AK244" s="790">
        <f t="shared" si="136"/>
        <v>277500</v>
      </c>
      <c r="AL244" s="791">
        <f t="shared" si="137"/>
        <v>365</v>
      </c>
      <c r="AM244" s="791">
        <f t="shared" si="138"/>
        <v>26363</v>
      </c>
      <c r="AN244" s="783">
        <f t="shared" si="139"/>
        <v>131815</v>
      </c>
      <c r="AO244" s="783">
        <f t="shared" si="140"/>
        <v>145685</v>
      </c>
      <c r="AP244" s="808">
        <f t="shared" si="141"/>
        <v>145685</v>
      </c>
      <c r="AQ244" s="808">
        <f t="shared" si="142"/>
        <v>277500</v>
      </c>
      <c r="AR244" s="809">
        <f t="shared" si="143"/>
        <v>366</v>
      </c>
      <c r="AS244" s="809">
        <f t="shared" si="144"/>
        <v>26435</v>
      </c>
      <c r="AT244" s="808">
        <f t="shared" si="145"/>
        <v>158250</v>
      </c>
      <c r="AU244" s="808">
        <f t="shared" si="146"/>
        <v>119250</v>
      </c>
    </row>
    <row r="245" spans="1:47" ht="15" customHeight="1" x14ac:dyDescent="0.25">
      <c r="A245" s="842" t="s">
        <v>133</v>
      </c>
      <c r="B245" s="843" t="s">
        <v>1270</v>
      </c>
      <c r="C245" s="778">
        <f t="shared" si="125"/>
        <v>9.5000000000000001E-2</v>
      </c>
      <c r="D245" s="844">
        <v>10</v>
      </c>
      <c r="E245" s="779" t="s">
        <v>1182</v>
      </c>
      <c r="F245" s="845">
        <v>43191</v>
      </c>
      <c r="G245" s="781">
        <f t="shared" si="147"/>
        <v>43191</v>
      </c>
      <c r="H245" s="781">
        <f t="shared" si="126"/>
        <v>46841</v>
      </c>
      <c r="I245" s="795">
        <v>241000</v>
      </c>
      <c r="J245" s="783">
        <f t="shared" si="127"/>
        <v>12050</v>
      </c>
      <c r="K245" s="887"/>
      <c r="L245" s="846">
        <v>0</v>
      </c>
      <c r="M245" s="790">
        <f t="shared" si="148"/>
        <v>241000</v>
      </c>
      <c r="N245" s="791">
        <f t="shared" si="149"/>
        <v>365</v>
      </c>
      <c r="O245" s="791">
        <f t="shared" si="150"/>
        <v>22895</v>
      </c>
      <c r="P245" s="790">
        <f t="shared" si="151"/>
        <v>22895</v>
      </c>
      <c r="Q245" s="847">
        <f t="shared" si="128"/>
        <v>218105</v>
      </c>
      <c r="R245" s="914">
        <f t="shared" si="129"/>
        <v>218105</v>
      </c>
      <c r="S245" s="790">
        <f t="shared" si="152"/>
        <v>241000</v>
      </c>
      <c r="T245" s="792">
        <f t="shared" si="153"/>
        <v>366</v>
      </c>
      <c r="U245" s="792">
        <f t="shared" si="154"/>
        <v>22895</v>
      </c>
      <c r="V245" s="790">
        <f t="shared" si="155"/>
        <v>45790</v>
      </c>
      <c r="W245" s="847">
        <f t="shared" si="130"/>
        <v>195210</v>
      </c>
      <c r="X245" s="846">
        <f t="shared" si="131"/>
        <v>195210</v>
      </c>
      <c r="Y245" s="783">
        <f t="shared" si="156"/>
        <v>241000</v>
      </c>
      <c r="Z245" s="783">
        <f t="shared" si="157"/>
        <v>365</v>
      </c>
      <c r="AA245" s="783">
        <f t="shared" si="158"/>
        <v>22895</v>
      </c>
      <c r="AB245" s="783">
        <f t="shared" si="159"/>
        <v>68685</v>
      </c>
      <c r="AC245" s="848">
        <f t="shared" si="132"/>
        <v>172315</v>
      </c>
      <c r="AD245" s="789">
        <f t="shared" si="133"/>
        <v>172315</v>
      </c>
      <c r="AE245" s="790">
        <f t="shared" si="160"/>
        <v>241000</v>
      </c>
      <c r="AF245" s="791">
        <f t="shared" si="161"/>
        <v>365</v>
      </c>
      <c r="AG245" s="791">
        <f t="shared" si="162"/>
        <v>22895</v>
      </c>
      <c r="AH245" s="783">
        <f t="shared" si="163"/>
        <v>91580</v>
      </c>
      <c r="AI245" s="783">
        <f t="shared" si="134"/>
        <v>149420</v>
      </c>
      <c r="AJ245" s="790">
        <f t="shared" si="135"/>
        <v>149420</v>
      </c>
      <c r="AK245" s="790">
        <f t="shared" si="136"/>
        <v>241000</v>
      </c>
      <c r="AL245" s="791">
        <f t="shared" si="137"/>
        <v>365</v>
      </c>
      <c r="AM245" s="791">
        <f t="shared" si="138"/>
        <v>22895</v>
      </c>
      <c r="AN245" s="783">
        <f t="shared" si="139"/>
        <v>114475</v>
      </c>
      <c r="AO245" s="783">
        <f t="shared" si="140"/>
        <v>126525</v>
      </c>
      <c r="AP245" s="808">
        <f t="shared" si="141"/>
        <v>126525</v>
      </c>
      <c r="AQ245" s="808">
        <f t="shared" si="142"/>
        <v>241000</v>
      </c>
      <c r="AR245" s="809">
        <f t="shared" si="143"/>
        <v>366</v>
      </c>
      <c r="AS245" s="809">
        <f t="shared" si="144"/>
        <v>22958</v>
      </c>
      <c r="AT245" s="808">
        <f t="shared" si="145"/>
        <v>137433</v>
      </c>
      <c r="AU245" s="808">
        <f t="shared" si="146"/>
        <v>103567</v>
      </c>
    </row>
    <row r="246" spans="1:47" ht="15" customHeight="1" x14ac:dyDescent="0.25">
      <c r="A246" s="842" t="s">
        <v>133</v>
      </c>
      <c r="B246" s="843" t="s">
        <v>1270</v>
      </c>
      <c r="C246" s="778">
        <f t="shared" si="125"/>
        <v>9.5000000000000001E-2</v>
      </c>
      <c r="D246" s="844">
        <v>10</v>
      </c>
      <c r="E246" s="779" t="s">
        <v>1182</v>
      </c>
      <c r="F246" s="845">
        <v>43191</v>
      </c>
      <c r="G246" s="781">
        <f t="shared" si="147"/>
        <v>43191</v>
      </c>
      <c r="H246" s="781">
        <f t="shared" si="126"/>
        <v>46841</v>
      </c>
      <c r="I246" s="795">
        <v>511500</v>
      </c>
      <c r="J246" s="783">
        <f t="shared" si="127"/>
        <v>25575</v>
      </c>
      <c r="K246" s="887"/>
      <c r="L246" s="846">
        <v>0</v>
      </c>
      <c r="M246" s="790">
        <f t="shared" si="148"/>
        <v>511500</v>
      </c>
      <c r="N246" s="791">
        <f t="shared" si="149"/>
        <v>365</v>
      </c>
      <c r="O246" s="791">
        <f t="shared" si="150"/>
        <v>48593</v>
      </c>
      <c r="P246" s="790">
        <f t="shared" si="151"/>
        <v>48593</v>
      </c>
      <c r="Q246" s="847">
        <f t="shared" si="128"/>
        <v>462907</v>
      </c>
      <c r="R246" s="914">
        <f t="shared" si="129"/>
        <v>462907</v>
      </c>
      <c r="S246" s="790">
        <f t="shared" si="152"/>
        <v>511500</v>
      </c>
      <c r="T246" s="792">
        <f t="shared" si="153"/>
        <v>366</v>
      </c>
      <c r="U246" s="792">
        <f t="shared" si="154"/>
        <v>48593</v>
      </c>
      <c r="V246" s="790">
        <f t="shared" si="155"/>
        <v>97186</v>
      </c>
      <c r="W246" s="847">
        <f t="shared" si="130"/>
        <v>414314</v>
      </c>
      <c r="X246" s="846">
        <f t="shared" si="131"/>
        <v>414314</v>
      </c>
      <c r="Y246" s="783">
        <f t="shared" si="156"/>
        <v>511500</v>
      </c>
      <c r="Z246" s="783">
        <f t="shared" si="157"/>
        <v>365</v>
      </c>
      <c r="AA246" s="783">
        <f t="shared" si="158"/>
        <v>48593</v>
      </c>
      <c r="AB246" s="783">
        <f t="shared" si="159"/>
        <v>145779</v>
      </c>
      <c r="AC246" s="848">
        <f t="shared" si="132"/>
        <v>365721</v>
      </c>
      <c r="AD246" s="789">
        <f t="shared" si="133"/>
        <v>365721</v>
      </c>
      <c r="AE246" s="790">
        <f t="shared" si="160"/>
        <v>511500</v>
      </c>
      <c r="AF246" s="791">
        <f t="shared" si="161"/>
        <v>365</v>
      </c>
      <c r="AG246" s="791">
        <f t="shared" si="162"/>
        <v>48593</v>
      </c>
      <c r="AH246" s="783">
        <f t="shared" si="163"/>
        <v>194372</v>
      </c>
      <c r="AI246" s="783">
        <f t="shared" si="134"/>
        <v>317128</v>
      </c>
      <c r="AJ246" s="790">
        <f t="shared" si="135"/>
        <v>317128</v>
      </c>
      <c r="AK246" s="790">
        <f t="shared" si="136"/>
        <v>511500</v>
      </c>
      <c r="AL246" s="791">
        <f t="shared" si="137"/>
        <v>365</v>
      </c>
      <c r="AM246" s="791">
        <f t="shared" si="138"/>
        <v>48593</v>
      </c>
      <c r="AN246" s="783">
        <f t="shared" si="139"/>
        <v>242965</v>
      </c>
      <c r="AO246" s="783">
        <f t="shared" si="140"/>
        <v>268535</v>
      </c>
      <c r="AP246" s="808">
        <f t="shared" si="141"/>
        <v>268535</v>
      </c>
      <c r="AQ246" s="808">
        <f t="shared" si="142"/>
        <v>511500</v>
      </c>
      <c r="AR246" s="809">
        <f t="shared" si="143"/>
        <v>366</v>
      </c>
      <c r="AS246" s="809">
        <f t="shared" si="144"/>
        <v>48726</v>
      </c>
      <c r="AT246" s="808">
        <f t="shared" si="145"/>
        <v>291691</v>
      </c>
      <c r="AU246" s="808">
        <f t="shared" si="146"/>
        <v>219809</v>
      </c>
    </row>
    <row r="247" spans="1:47" ht="15" customHeight="1" x14ac:dyDescent="0.25">
      <c r="A247" s="842" t="s">
        <v>133</v>
      </c>
      <c r="B247" s="843" t="s">
        <v>1270</v>
      </c>
      <c r="C247" s="778">
        <f t="shared" si="125"/>
        <v>9.5000000000000001E-2</v>
      </c>
      <c r="D247" s="844">
        <v>10</v>
      </c>
      <c r="E247" s="779" t="s">
        <v>1182</v>
      </c>
      <c r="F247" s="845">
        <v>43191</v>
      </c>
      <c r="G247" s="781">
        <f t="shared" si="147"/>
        <v>43191</v>
      </c>
      <c r="H247" s="781">
        <f t="shared" si="126"/>
        <v>46841</v>
      </c>
      <c r="I247" s="795">
        <v>182500</v>
      </c>
      <c r="J247" s="783">
        <f t="shared" si="127"/>
        <v>9125</v>
      </c>
      <c r="K247" s="887"/>
      <c r="L247" s="846">
        <v>0</v>
      </c>
      <c r="M247" s="790">
        <f t="shared" si="148"/>
        <v>182500</v>
      </c>
      <c r="N247" s="791">
        <f t="shared" si="149"/>
        <v>365</v>
      </c>
      <c r="O247" s="791">
        <f t="shared" si="150"/>
        <v>17338</v>
      </c>
      <c r="P247" s="790">
        <f t="shared" si="151"/>
        <v>17338</v>
      </c>
      <c r="Q247" s="847">
        <f t="shared" si="128"/>
        <v>165162</v>
      </c>
      <c r="R247" s="914">
        <f t="shared" si="129"/>
        <v>165162</v>
      </c>
      <c r="S247" s="790">
        <f t="shared" si="152"/>
        <v>182500</v>
      </c>
      <c r="T247" s="792">
        <f t="shared" si="153"/>
        <v>366</v>
      </c>
      <c r="U247" s="792">
        <f t="shared" si="154"/>
        <v>17338</v>
      </c>
      <c r="V247" s="790">
        <f t="shared" si="155"/>
        <v>34676</v>
      </c>
      <c r="W247" s="847">
        <f t="shared" si="130"/>
        <v>147824</v>
      </c>
      <c r="X247" s="846">
        <f t="shared" si="131"/>
        <v>147824</v>
      </c>
      <c r="Y247" s="783">
        <f t="shared" si="156"/>
        <v>182500</v>
      </c>
      <c r="Z247" s="783">
        <f t="shared" si="157"/>
        <v>365</v>
      </c>
      <c r="AA247" s="783">
        <f t="shared" si="158"/>
        <v>17338</v>
      </c>
      <c r="AB247" s="783">
        <f t="shared" si="159"/>
        <v>52014</v>
      </c>
      <c r="AC247" s="848">
        <f t="shared" si="132"/>
        <v>130486</v>
      </c>
      <c r="AD247" s="789">
        <f t="shared" si="133"/>
        <v>130486</v>
      </c>
      <c r="AE247" s="790">
        <f t="shared" si="160"/>
        <v>182500</v>
      </c>
      <c r="AF247" s="791">
        <f t="shared" si="161"/>
        <v>365</v>
      </c>
      <c r="AG247" s="791">
        <f t="shared" si="162"/>
        <v>17338</v>
      </c>
      <c r="AH247" s="783">
        <f t="shared" si="163"/>
        <v>69352</v>
      </c>
      <c r="AI247" s="783">
        <f t="shared" si="134"/>
        <v>113148</v>
      </c>
      <c r="AJ247" s="790">
        <f t="shared" si="135"/>
        <v>113148</v>
      </c>
      <c r="AK247" s="790">
        <f t="shared" si="136"/>
        <v>182500</v>
      </c>
      <c r="AL247" s="791">
        <f t="shared" si="137"/>
        <v>365</v>
      </c>
      <c r="AM247" s="791">
        <f t="shared" si="138"/>
        <v>17338</v>
      </c>
      <c r="AN247" s="783">
        <f t="shared" si="139"/>
        <v>86690</v>
      </c>
      <c r="AO247" s="783">
        <f t="shared" si="140"/>
        <v>95810</v>
      </c>
      <c r="AP247" s="808">
        <f t="shared" si="141"/>
        <v>95810</v>
      </c>
      <c r="AQ247" s="808">
        <f t="shared" si="142"/>
        <v>182500</v>
      </c>
      <c r="AR247" s="809">
        <f t="shared" si="143"/>
        <v>366</v>
      </c>
      <c r="AS247" s="809">
        <f t="shared" si="144"/>
        <v>17385</v>
      </c>
      <c r="AT247" s="808">
        <f t="shared" si="145"/>
        <v>104075</v>
      </c>
      <c r="AU247" s="808">
        <f t="shared" si="146"/>
        <v>78425</v>
      </c>
    </row>
    <row r="248" spans="1:47" ht="15" customHeight="1" x14ac:dyDescent="0.25">
      <c r="A248" s="842" t="s">
        <v>133</v>
      </c>
      <c r="B248" s="843" t="s">
        <v>1270</v>
      </c>
      <c r="C248" s="778">
        <f t="shared" si="125"/>
        <v>9.5000000000000001E-2</v>
      </c>
      <c r="D248" s="844">
        <v>10</v>
      </c>
      <c r="E248" s="779" t="s">
        <v>1182</v>
      </c>
      <c r="F248" s="845">
        <v>43191</v>
      </c>
      <c r="G248" s="781">
        <f t="shared" si="147"/>
        <v>43191</v>
      </c>
      <c r="H248" s="781">
        <f t="shared" si="126"/>
        <v>46841</v>
      </c>
      <c r="I248" s="795">
        <v>37500</v>
      </c>
      <c r="J248" s="783">
        <f t="shared" si="127"/>
        <v>1875</v>
      </c>
      <c r="K248" s="887"/>
      <c r="L248" s="846">
        <v>0</v>
      </c>
      <c r="M248" s="790">
        <f t="shared" si="148"/>
        <v>37500</v>
      </c>
      <c r="N248" s="791">
        <f t="shared" si="149"/>
        <v>365</v>
      </c>
      <c r="O248" s="791">
        <f t="shared" si="150"/>
        <v>3563</v>
      </c>
      <c r="P248" s="790">
        <f t="shared" si="151"/>
        <v>3563</v>
      </c>
      <c r="Q248" s="847">
        <f t="shared" si="128"/>
        <v>33937</v>
      </c>
      <c r="R248" s="914">
        <f t="shared" si="129"/>
        <v>33937</v>
      </c>
      <c r="S248" s="790">
        <f t="shared" si="152"/>
        <v>37500</v>
      </c>
      <c r="T248" s="792">
        <f t="shared" si="153"/>
        <v>366</v>
      </c>
      <c r="U248" s="792">
        <f t="shared" si="154"/>
        <v>3563</v>
      </c>
      <c r="V248" s="790">
        <f t="shared" si="155"/>
        <v>7126</v>
      </c>
      <c r="W248" s="847">
        <f t="shared" si="130"/>
        <v>30374</v>
      </c>
      <c r="X248" s="846">
        <f t="shared" si="131"/>
        <v>30374</v>
      </c>
      <c r="Y248" s="783">
        <f t="shared" si="156"/>
        <v>37500</v>
      </c>
      <c r="Z248" s="783">
        <f t="shared" si="157"/>
        <v>365</v>
      </c>
      <c r="AA248" s="783">
        <f t="shared" si="158"/>
        <v>3563</v>
      </c>
      <c r="AB248" s="783">
        <f t="shared" si="159"/>
        <v>10689</v>
      </c>
      <c r="AC248" s="848">
        <f t="shared" si="132"/>
        <v>26811</v>
      </c>
      <c r="AD248" s="789">
        <f t="shared" si="133"/>
        <v>26811</v>
      </c>
      <c r="AE248" s="790">
        <f t="shared" si="160"/>
        <v>37500</v>
      </c>
      <c r="AF248" s="791">
        <f t="shared" si="161"/>
        <v>365</v>
      </c>
      <c r="AG248" s="791">
        <f t="shared" si="162"/>
        <v>3563</v>
      </c>
      <c r="AH248" s="783">
        <f t="shared" si="163"/>
        <v>14252</v>
      </c>
      <c r="AI248" s="783">
        <f t="shared" si="134"/>
        <v>23248</v>
      </c>
      <c r="AJ248" s="790">
        <f t="shared" si="135"/>
        <v>23248</v>
      </c>
      <c r="AK248" s="790">
        <f t="shared" si="136"/>
        <v>37500</v>
      </c>
      <c r="AL248" s="791">
        <f t="shared" si="137"/>
        <v>365</v>
      </c>
      <c r="AM248" s="791">
        <f t="shared" si="138"/>
        <v>3563</v>
      </c>
      <c r="AN248" s="783">
        <f t="shared" si="139"/>
        <v>17815</v>
      </c>
      <c r="AO248" s="783">
        <f t="shared" si="140"/>
        <v>19685</v>
      </c>
      <c r="AP248" s="808">
        <f t="shared" si="141"/>
        <v>19685</v>
      </c>
      <c r="AQ248" s="808">
        <f t="shared" si="142"/>
        <v>37500</v>
      </c>
      <c r="AR248" s="809">
        <f t="shared" si="143"/>
        <v>366</v>
      </c>
      <c r="AS248" s="809">
        <f t="shared" si="144"/>
        <v>3572</v>
      </c>
      <c r="AT248" s="808">
        <f t="shared" si="145"/>
        <v>21387</v>
      </c>
      <c r="AU248" s="808">
        <f t="shared" si="146"/>
        <v>16113</v>
      </c>
    </row>
    <row r="249" spans="1:47" ht="15" customHeight="1" x14ac:dyDescent="0.25">
      <c r="A249" s="842" t="s">
        <v>133</v>
      </c>
      <c r="B249" s="843" t="s">
        <v>1271</v>
      </c>
      <c r="C249" s="778">
        <f t="shared" si="125"/>
        <v>9.5000000000000001E-2</v>
      </c>
      <c r="D249" s="844">
        <v>10</v>
      </c>
      <c r="E249" s="779" t="s">
        <v>1182</v>
      </c>
      <c r="F249" s="845">
        <v>43191</v>
      </c>
      <c r="G249" s="781">
        <f t="shared" si="147"/>
        <v>43191</v>
      </c>
      <c r="H249" s="781">
        <f t="shared" si="126"/>
        <v>46841</v>
      </c>
      <c r="I249" s="795">
        <v>40000</v>
      </c>
      <c r="J249" s="783">
        <f t="shared" si="127"/>
        <v>2000</v>
      </c>
      <c r="K249" s="887"/>
      <c r="L249" s="846">
        <v>0</v>
      </c>
      <c r="M249" s="790">
        <f t="shared" si="148"/>
        <v>40000</v>
      </c>
      <c r="N249" s="791">
        <f t="shared" si="149"/>
        <v>365</v>
      </c>
      <c r="O249" s="791">
        <f t="shared" si="150"/>
        <v>3800</v>
      </c>
      <c r="P249" s="790">
        <f t="shared" si="151"/>
        <v>3800</v>
      </c>
      <c r="Q249" s="847">
        <f t="shared" si="128"/>
        <v>36200</v>
      </c>
      <c r="R249" s="914">
        <f t="shared" si="129"/>
        <v>36200</v>
      </c>
      <c r="S249" s="790">
        <f t="shared" si="152"/>
        <v>40000</v>
      </c>
      <c r="T249" s="792">
        <f t="shared" si="153"/>
        <v>366</v>
      </c>
      <c r="U249" s="792">
        <f t="shared" si="154"/>
        <v>3800</v>
      </c>
      <c r="V249" s="790">
        <f t="shared" si="155"/>
        <v>7600</v>
      </c>
      <c r="W249" s="847">
        <f t="shared" si="130"/>
        <v>32400</v>
      </c>
      <c r="X249" s="846">
        <f t="shared" si="131"/>
        <v>32400</v>
      </c>
      <c r="Y249" s="783">
        <f t="shared" si="156"/>
        <v>40000</v>
      </c>
      <c r="Z249" s="783">
        <f t="shared" si="157"/>
        <v>365</v>
      </c>
      <c r="AA249" s="783">
        <f t="shared" si="158"/>
        <v>3800</v>
      </c>
      <c r="AB249" s="783">
        <f t="shared" si="159"/>
        <v>11400</v>
      </c>
      <c r="AC249" s="848">
        <f t="shared" si="132"/>
        <v>28600</v>
      </c>
      <c r="AD249" s="789">
        <f t="shared" si="133"/>
        <v>28600</v>
      </c>
      <c r="AE249" s="790">
        <f t="shared" si="160"/>
        <v>40000</v>
      </c>
      <c r="AF249" s="791">
        <f t="shared" si="161"/>
        <v>365</v>
      </c>
      <c r="AG249" s="791">
        <f t="shared" si="162"/>
        <v>3800</v>
      </c>
      <c r="AH249" s="783">
        <f t="shared" si="163"/>
        <v>15200</v>
      </c>
      <c r="AI249" s="783">
        <f t="shared" si="134"/>
        <v>24800</v>
      </c>
      <c r="AJ249" s="790">
        <f t="shared" si="135"/>
        <v>24800</v>
      </c>
      <c r="AK249" s="790">
        <f t="shared" si="136"/>
        <v>40000</v>
      </c>
      <c r="AL249" s="791">
        <f t="shared" si="137"/>
        <v>365</v>
      </c>
      <c r="AM249" s="791">
        <f t="shared" si="138"/>
        <v>3800</v>
      </c>
      <c r="AN249" s="783">
        <f t="shared" si="139"/>
        <v>19000</v>
      </c>
      <c r="AO249" s="783">
        <f t="shared" si="140"/>
        <v>21000</v>
      </c>
      <c r="AP249" s="808">
        <f t="shared" si="141"/>
        <v>21000</v>
      </c>
      <c r="AQ249" s="808">
        <f t="shared" si="142"/>
        <v>40000</v>
      </c>
      <c r="AR249" s="809">
        <f t="shared" si="143"/>
        <v>366</v>
      </c>
      <c r="AS249" s="809">
        <f t="shared" si="144"/>
        <v>3810</v>
      </c>
      <c r="AT249" s="808">
        <f t="shared" si="145"/>
        <v>22810</v>
      </c>
      <c r="AU249" s="808">
        <f t="shared" si="146"/>
        <v>17190</v>
      </c>
    </row>
    <row r="250" spans="1:47" ht="15" customHeight="1" x14ac:dyDescent="0.25">
      <c r="A250" s="842" t="s">
        <v>133</v>
      </c>
      <c r="B250" s="843" t="s">
        <v>1272</v>
      </c>
      <c r="C250" s="778">
        <f t="shared" si="125"/>
        <v>9.5000000000000001E-2</v>
      </c>
      <c r="D250" s="844">
        <v>10</v>
      </c>
      <c r="E250" s="779" t="s">
        <v>1182</v>
      </c>
      <c r="F250" s="845">
        <v>43191</v>
      </c>
      <c r="G250" s="781">
        <f t="shared" si="147"/>
        <v>43191</v>
      </c>
      <c r="H250" s="781">
        <f t="shared" si="126"/>
        <v>46841</v>
      </c>
      <c r="I250" s="795">
        <v>90000</v>
      </c>
      <c r="J250" s="783">
        <f t="shared" si="127"/>
        <v>4500</v>
      </c>
      <c r="K250" s="887"/>
      <c r="L250" s="846">
        <v>0</v>
      </c>
      <c r="M250" s="790">
        <f t="shared" si="148"/>
        <v>90000</v>
      </c>
      <c r="N250" s="791">
        <f t="shared" si="149"/>
        <v>365</v>
      </c>
      <c r="O250" s="791">
        <f t="shared" si="150"/>
        <v>8550</v>
      </c>
      <c r="P250" s="790">
        <f t="shared" si="151"/>
        <v>8550</v>
      </c>
      <c r="Q250" s="847">
        <f t="shared" si="128"/>
        <v>81450</v>
      </c>
      <c r="R250" s="914">
        <f t="shared" si="129"/>
        <v>81450</v>
      </c>
      <c r="S250" s="790">
        <f t="shared" si="152"/>
        <v>90000</v>
      </c>
      <c r="T250" s="792">
        <f t="shared" si="153"/>
        <v>366</v>
      </c>
      <c r="U250" s="792">
        <f t="shared" si="154"/>
        <v>8550</v>
      </c>
      <c r="V250" s="790">
        <f t="shared" si="155"/>
        <v>17100</v>
      </c>
      <c r="W250" s="847">
        <f t="shared" si="130"/>
        <v>72900</v>
      </c>
      <c r="X250" s="846">
        <f t="shared" si="131"/>
        <v>72900</v>
      </c>
      <c r="Y250" s="783">
        <f t="shared" si="156"/>
        <v>90000</v>
      </c>
      <c r="Z250" s="783">
        <f t="shared" si="157"/>
        <v>365</v>
      </c>
      <c r="AA250" s="783">
        <f t="shared" si="158"/>
        <v>8550</v>
      </c>
      <c r="AB250" s="783">
        <f t="shared" si="159"/>
        <v>25650</v>
      </c>
      <c r="AC250" s="848">
        <f t="shared" si="132"/>
        <v>64350</v>
      </c>
      <c r="AD250" s="789">
        <f t="shared" si="133"/>
        <v>64350</v>
      </c>
      <c r="AE250" s="790">
        <f t="shared" si="160"/>
        <v>90000</v>
      </c>
      <c r="AF250" s="791">
        <f t="shared" si="161"/>
        <v>365</v>
      </c>
      <c r="AG250" s="791">
        <f t="shared" si="162"/>
        <v>8550</v>
      </c>
      <c r="AH250" s="783">
        <f t="shared" si="163"/>
        <v>34200</v>
      </c>
      <c r="AI250" s="783">
        <f t="shared" si="134"/>
        <v>55800</v>
      </c>
      <c r="AJ250" s="790">
        <f t="shared" si="135"/>
        <v>55800</v>
      </c>
      <c r="AK250" s="790">
        <f t="shared" si="136"/>
        <v>90000</v>
      </c>
      <c r="AL250" s="791">
        <f t="shared" si="137"/>
        <v>365</v>
      </c>
      <c r="AM250" s="791">
        <f t="shared" si="138"/>
        <v>8550</v>
      </c>
      <c r="AN250" s="783">
        <f t="shared" si="139"/>
        <v>42750</v>
      </c>
      <c r="AO250" s="783">
        <f t="shared" si="140"/>
        <v>47250</v>
      </c>
      <c r="AP250" s="808">
        <f t="shared" si="141"/>
        <v>47250</v>
      </c>
      <c r="AQ250" s="808">
        <f t="shared" si="142"/>
        <v>90000</v>
      </c>
      <c r="AR250" s="809">
        <f t="shared" si="143"/>
        <v>366</v>
      </c>
      <c r="AS250" s="809">
        <f t="shared" si="144"/>
        <v>8573</v>
      </c>
      <c r="AT250" s="808">
        <f t="shared" si="145"/>
        <v>51323</v>
      </c>
      <c r="AU250" s="808">
        <f t="shared" si="146"/>
        <v>38677</v>
      </c>
    </row>
    <row r="251" spans="1:47" ht="15" customHeight="1" x14ac:dyDescent="0.25">
      <c r="A251" s="842" t="s">
        <v>133</v>
      </c>
      <c r="B251" s="843" t="s">
        <v>1273</v>
      </c>
      <c r="C251" s="778">
        <f t="shared" ref="C251:C314" si="164">(95/D251)/100</f>
        <v>9.5000000000000001E-2</v>
      </c>
      <c r="D251" s="844">
        <v>10</v>
      </c>
      <c r="E251" s="779" t="s">
        <v>1182</v>
      </c>
      <c r="F251" s="845">
        <v>43191</v>
      </c>
      <c r="G251" s="781">
        <f t="shared" si="147"/>
        <v>43191</v>
      </c>
      <c r="H251" s="781">
        <f t="shared" si="126"/>
        <v>46841</v>
      </c>
      <c r="I251" s="795">
        <v>143000</v>
      </c>
      <c r="J251" s="783">
        <f t="shared" ref="J251:J314" si="165">I251*5%</f>
        <v>7150</v>
      </c>
      <c r="K251" s="887"/>
      <c r="L251" s="846">
        <v>0</v>
      </c>
      <c r="M251" s="790">
        <f t="shared" si="148"/>
        <v>143000</v>
      </c>
      <c r="N251" s="791">
        <f t="shared" si="149"/>
        <v>365</v>
      </c>
      <c r="O251" s="791">
        <f t="shared" si="150"/>
        <v>13585</v>
      </c>
      <c r="P251" s="790">
        <f t="shared" si="151"/>
        <v>13585</v>
      </c>
      <c r="Q251" s="847">
        <f t="shared" si="128"/>
        <v>129415</v>
      </c>
      <c r="R251" s="914">
        <f t="shared" si="129"/>
        <v>129415</v>
      </c>
      <c r="S251" s="790">
        <f t="shared" si="152"/>
        <v>143000</v>
      </c>
      <c r="T251" s="792">
        <f t="shared" si="153"/>
        <v>366</v>
      </c>
      <c r="U251" s="792">
        <f t="shared" si="154"/>
        <v>13585</v>
      </c>
      <c r="V251" s="790">
        <f t="shared" si="155"/>
        <v>27170</v>
      </c>
      <c r="W251" s="847">
        <f t="shared" ref="W251:W289" si="166">+S251-V251</f>
        <v>115830</v>
      </c>
      <c r="X251" s="846">
        <f t="shared" si="131"/>
        <v>115830</v>
      </c>
      <c r="Y251" s="783">
        <f t="shared" si="156"/>
        <v>143000</v>
      </c>
      <c r="Z251" s="783">
        <f t="shared" si="157"/>
        <v>365</v>
      </c>
      <c r="AA251" s="783">
        <f t="shared" si="158"/>
        <v>13585</v>
      </c>
      <c r="AB251" s="783">
        <f t="shared" si="159"/>
        <v>40755</v>
      </c>
      <c r="AC251" s="848">
        <f t="shared" ref="AC251:AC295" si="167">Y251-AB251</f>
        <v>102245</v>
      </c>
      <c r="AD251" s="789">
        <f t="shared" si="133"/>
        <v>102245</v>
      </c>
      <c r="AE251" s="790">
        <f t="shared" si="160"/>
        <v>143000</v>
      </c>
      <c r="AF251" s="791">
        <f t="shared" si="161"/>
        <v>365</v>
      </c>
      <c r="AG251" s="791">
        <f t="shared" si="162"/>
        <v>13585</v>
      </c>
      <c r="AH251" s="783">
        <f t="shared" si="163"/>
        <v>54340</v>
      </c>
      <c r="AI251" s="783">
        <f t="shared" si="134"/>
        <v>88660</v>
      </c>
      <c r="AJ251" s="790">
        <f t="shared" ref="AJ251:AJ314" si="168">AI251</f>
        <v>88660</v>
      </c>
      <c r="AK251" s="790">
        <f t="shared" ref="AK251:AK314" si="169">I251</f>
        <v>143000</v>
      </c>
      <c r="AL251" s="791">
        <f t="shared" ref="AL251:AL314" si="170">IF(AND(F251&gt;$AD$3,F251&lt;$AJ$3),$AJ$3-F251+1,IF(H251&lt;=$AD$3,0,IF(H251&gt;$AJ$3,$AJ$3-$AD$3,H251-$AD$3)))</f>
        <v>365</v>
      </c>
      <c r="AM251" s="791">
        <f t="shared" ref="AM251:AM314" si="171">ROUND(AK251*C251*AL251/365,0)</f>
        <v>13585</v>
      </c>
      <c r="AN251" s="783">
        <f t="shared" ref="AN251:AN314" si="172">+AH251+AM251</f>
        <v>67925</v>
      </c>
      <c r="AO251" s="783">
        <f t="shared" ref="AO251:AO314" si="173">AK251-AN251</f>
        <v>75075</v>
      </c>
      <c r="AP251" s="808">
        <f t="shared" ref="AP251:AP314" si="174">+AO251</f>
        <v>75075</v>
      </c>
      <c r="AQ251" s="808">
        <f t="shared" ref="AQ251:AQ314" si="175">I251</f>
        <v>143000</v>
      </c>
      <c r="AR251" s="809">
        <f t="shared" ref="AR251:AR314" si="176">IF(AND(F251&gt;$AJ$3,F251&lt;$AP$3),$AP$3-F251+1,IF(H251&lt;=$AJ$3,0,IF(H251&gt;$AP$3,$AP$3-$AJ$3,H251-$AJ$3)))</f>
        <v>366</v>
      </c>
      <c r="AS251" s="809">
        <f t="shared" ref="AS251:AS314" si="177">ROUND(AQ251*C251*AR251/365,0)</f>
        <v>13622</v>
      </c>
      <c r="AT251" s="808">
        <f t="shared" ref="AT251:AT314" si="178">+AN251+AS251</f>
        <v>81547</v>
      </c>
      <c r="AU251" s="808">
        <f t="shared" ref="AU251:AU314" si="179">+AQ251-AT251</f>
        <v>61453</v>
      </c>
    </row>
    <row r="252" spans="1:47" ht="15" customHeight="1" x14ac:dyDescent="0.25">
      <c r="A252" s="842" t="s">
        <v>133</v>
      </c>
      <c r="B252" s="843" t="s">
        <v>1274</v>
      </c>
      <c r="C252" s="778">
        <f t="shared" si="164"/>
        <v>9.5000000000000001E-2</v>
      </c>
      <c r="D252" s="844">
        <v>10</v>
      </c>
      <c r="E252" s="779" t="s">
        <v>1182</v>
      </c>
      <c r="F252" s="845">
        <v>43218</v>
      </c>
      <c r="G252" s="781">
        <f t="shared" ref="G252:G303" si="180">F252</f>
        <v>43218</v>
      </c>
      <c r="H252" s="781">
        <f t="shared" si="126"/>
        <v>46868</v>
      </c>
      <c r="I252" s="795">
        <v>156000</v>
      </c>
      <c r="J252" s="783">
        <f t="shared" si="165"/>
        <v>7800</v>
      </c>
      <c r="K252" s="887"/>
      <c r="L252" s="846">
        <v>0</v>
      </c>
      <c r="M252" s="790">
        <f t="shared" ref="M252:M280" si="181">I252</f>
        <v>156000</v>
      </c>
      <c r="N252" s="791">
        <f t="shared" ref="N252:N280" si="182">IF(AND(F252&gt;$K$3,F252&lt;$L$3),$L$3-F252+1,IF(H252&lt;=$K$3,0,IF(H252&gt;$L$3,$L$3-$K$3,H252-$K$3)))</f>
        <v>338</v>
      </c>
      <c r="O252" s="791">
        <f t="shared" ref="O252:O280" si="183">ROUND(M252*C252*N252/365,0)</f>
        <v>13724</v>
      </c>
      <c r="P252" s="790">
        <f t="shared" ref="P252:P304" si="184">O252</f>
        <v>13724</v>
      </c>
      <c r="Q252" s="847">
        <f t="shared" si="128"/>
        <v>142276</v>
      </c>
      <c r="R252" s="914">
        <f t="shared" si="129"/>
        <v>142276</v>
      </c>
      <c r="S252" s="790">
        <f t="shared" si="152"/>
        <v>156000</v>
      </c>
      <c r="T252" s="792">
        <f t="shared" si="153"/>
        <v>366</v>
      </c>
      <c r="U252" s="792">
        <f t="shared" si="154"/>
        <v>14820</v>
      </c>
      <c r="V252" s="790">
        <f t="shared" si="155"/>
        <v>28544</v>
      </c>
      <c r="W252" s="847">
        <f t="shared" si="166"/>
        <v>127456</v>
      </c>
      <c r="X252" s="846">
        <f t="shared" si="131"/>
        <v>127456</v>
      </c>
      <c r="Y252" s="783">
        <f t="shared" si="156"/>
        <v>156000</v>
      </c>
      <c r="Z252" s="783">
        <f t="shared" si="157"/>
        <v>365</v>
      </c>
      <c r="AA252" s="783">
        <f t="shared" si="158"/>
        <v>14820</v>
      </c>
      <c r="AB252" s="783">
        <f t="shared" si="159"/>
        <v>43364</v>
      </c>
      <c r="AC252" s="848">
        <f t="shared" si="167"/>
        <v>112636</v>
      </c>
      <c r="AD252" s="789">
        <f t="shared" si="133"/>
        <v>112636</v>
      </c>
      <c r="AE252" s="790">
        <f t="shared" si="160"/>
        <v>156000</v>
      </c>
      <c r="AF252" s="791">
        <f t="shared" si="161"/>
        <v>365</v>
      </c>
      <c r="AG252" s="791">
        <f t="shared" si="162"/>
        <v>14820</v>
      </c>
      <c r="AH252" s="783">
        <f t="shared" si="163"/>
        <v>58184</v>
      </c>
      <c r="AI252" s="783">
        <f t="shared" si="134"/>
        <v>97816</v>
      </c>
      <c r="AJ252" s="790">
        <f t="shared" si="168"/>
        <v>97816</v>
      </c>
      <c r="AK252" s="790">
        <f t="shared" si="169"/>
        <v>156000</v>
      </c>
      <c r="AL252" s="791">
        <f t="shared" si="170"/>
        <v>365</v>
      </c>
      <c r="AM252" s="791">
        <f t="shared" si="171"/>
        <v>14820</v>
      </c>
      <c r="AN252" s="783">
        <f t="shared" si="172"/>
        <v>73004</v>
      </c>
      <c r="AO252" s="783">
        <f t="shared" si="173"/>
        <v>82996</v>
      </c>
      <c r="AP252" s="808">
        <f t="shared" si="174"/>
        <v>82996</v>
      </c>
      <c r="AQ252" s="808">
        <f t="shared" si="175"/>
        <v>156000</v>
      </c>
      <c r="AR252" s="809">
        <f t="shared" si="176"/>
        <v>366</v>
      </c>
      <c r="AS252" s="809">
        <f t="shared" si="177"/>
        <v>14861</v>
      </c>
      <c r="AT252" s="808">
        <f t="shared" si="178"/>
        <v>87865</v>
      </c>
      <c r="AU252" s="808">
        <f t="shared" si="179"/>
        <v>68135</v>
      </c>
    </row>
    <row r="253" spans="1:47" ht="15" customHeight="1" x14ac:dyDescent="0.25">
      <c r="A253" s="842" t="s">
        <v>133</v>
      </c>
      <c r="B253" s="843" t="s">
        <v>1275</v>
      </c>
      <c r="C253" s="778">
        <f t="shared" si="164"/>
        <v>9.5000000000000001E-2</v>
      </c>
      <c r="D253" s="844">
        <v>10</v>
      </c>
      <c r="E253" s="779" t="s">
        <v>1182</v>
      </c>
      <c r="F253" s="845">
        <v>43253</v>
      </c>
      <c r="G253" s="781">
        <f t="shared" si="180"/>
        <v>43253</v>
      </c>
      <c r="H253" s="781">
        <f t="shared" si="126"/>
        <v>46903</v>
      </c>
      <c r="I253" s="795">
        <v>73400</v>
      </c>
      <c r="J253" s="783">
        <f t="shared" si="165"/>
        <v>3670</v>
      </c>
      <c r="K253" s="887"/>
      <c r="L253" s="846">
        <v>0</v>
      </c>
      <c r="M253" s="790">
        <f t="shared" si="181"/>
        <v>73400</v>
      </c>
      <c r="N253" s="791">
        <f t="shared" si="182"/>
        <v>303</v>
      </c>
      <c r="O253" s="791">
        <f t="shared" si="183"/>
        <v>5789</v>
      </c>
      <c r="P253" s="790">
        <f t="shared" si="184"/>
        <v>5789</v>
      </c>
      <c r="Q253" s="847">
        <f t="shared" si="128"/>
        <v>67611</v>
      </c>
      <c r="R253" s="914">
        <f t="shared" si="129"/>
        <v>67611</v>
      </c>
      <c r="S253" s="790">
        <f t="shared" ref="S253:S289" si="185">I253</f>
        <v>73400</v>
      </c>
      <c r="T253" s="792">
        <f t="shared" ref="T253:T289" si="186">IF(AND(F253&gt;$L$3,F253&lt;$R$3),$R$3-F253+1,IF(H253&lt;=$L$3,0,IF(H253&gt;$R$3,$R$3-$L$3,H253-$L$3)))</f>
        <v>366</v>
      </c>
      <c r="U253" s="792">
        <f t="shared" ref="U253:U289" si="187">ROUND(S253*C253*T253/366,0)</f>
        <v>6973</v>
      </c>
      <c r="V253" s="790">
        <f t="shared" ref="V253:V289" si="188">+P253+U253</f>
        <v>12762</v>
      </c>
      <c r="W253" s="847">
        <f t="shared" si="166"/>
        <v>60638</v>
      </c>
      <c r="X253" s="846">
        <f t="shared" si="131"/>
        <v>60638</v>
      </c>
      <c r="Y253" s="783">
        <f t="shared" ref="Y253:Y295" si="189">I253</f>
        <v>73400</v>
      </c>
      <c r="Z253" s="783">
        <f t="shared" ref="Z253:Z295" si="190">IF(AND(F253&gt;$R$3,F253&lt;$X$3),$X$3-F253+1,IF(H253&lt;=$R$3,0,IF(H253&gt;$X$3,$X$3-$R$3,H253-$R$3)))</f>
        <v>365</v>
      </c>
      <c r="AA253" s="783">
        <f t="shared" ref="AA253:AA295" si="191">ROUND(Y253*C253*Z253/365,0)</f>
        <v>6973</v>
      </c>
      <c r="AB253" s="783">
        <f t="shared" ref="AB253:AB295" si="192">+V253+AA253</f>
        <v>19735</v>
      </c>
      <c r="AC253" s="848">
        <f t="shared" si="167"/>
        <v>53665</v>
      </c>
      <c r="AD253" s="789">
        <f t="shared" si="133"/>
        <v>53665</v>
      </c>
      <c r="AE253" s="790">
        <f t="shared" ref="AE253:AE304" si="193">I253</f>
        <v>73400</v>
      </c>
      <c r="AF253" s="791">
        <f t="shared" ref="AF253:AF304" si="194">IF(AND(F253&gt;$X$3,F253&lt;$AD$3),$AD$3-F253+1,IF(H253&lt;=$X$3,0,IF(H253&gt;$AD$3,$AD$3-$X$3,H253-$X$3)))</f>
        <v>365</v>
      </c>
      <c r="AG253" s="791">
        <f t="shared" ref="AG253:AG304" si="195">ROUND(AE253*C253*AF253/365,0)</f>
        <v>6973</v>
      </c>
      <c r="AH253" s="783">
        <f t="shared" ref="AH253:AH304" si="196">+AB253+AG253</f>
        <v>26708</v>
      </c>
      <c r="AI253" s="783">
        <f t="shared" si="134"/>
        <v>46692</v>
      </c>
      <c r="AJ253" s="790">
        <f t="shared" si="168"/>
        <v>46692</v>
      </c>
      <c r="AK253" s="790">
        <f t="shared" si="169"/>
        <v>73400</v>
      </c>
      <c r="AL253" s="791">
        <f t="shared" si="170"/>
        <v>365</v>
      </c>
      <c r="AM253" s="791">
        <f t="shared" si="171"/>
        <v>6973</v>
      </c>
      <c r="AN253" s="783">
        <f t="shared" si="172"/>
        <v>33681</v>
      </c>
      <c r="AO253" s="783">
        <f t="shared" si="173"/>
        <v>39719</v>
      </c>
      <c r="AP253" s="808">
        <f t="shared" si="174"/>
        <v>39719</v>
      </c>
      <c r="AQ253" s="808">
        <f t="shared" si="175"/>
        <v>73400</v>
      </c>
      <c r="AR253" s="809">
        <f t="shared" si="176"/>
        <v>366</v>
      </c>
      <c r="AS253" s="809">
        <f t="shared" si="177"/>
        <v>6992</v>
      </c>
      <c r="AT253" s="808">
        <f t="shared" si="178"/>
        <v>40673</v>
      </c>
      <c r="AU253" s="808">
        <f t="shared" si="179"/>
        <v>32727</v>
      </c>
    </row>
    <row r="254" spans="1:47" ht="15" customHeight="1" x14ac:dyDescent="0.25">
      <c r="A254" s="842" t="s">
        <v>133</v>
      </c>
      <c r="B254" s="843" t="s">
        <v>1276</v>
      </c>
      <c r="C254" s="778">
        <f t="shared" si="164"/>
        <v>9.5000000000000001E-2</v>
      </c>
      <c r="D254" s="844">
        <v>10</v>
      </c>
      <c r="E254" s="779" t="s">
        <v>1182</v>
      </c>
      <c r="F254" s="845">
        <v>43293</v>
      </c>
      <c r="G254" s="781">
        <f t="shared" si="180"/>
        <v>43293</v>
      </c>
      <c r="H254" s="781">
        <f t="shared" si="126"/>
        <v>46943</v>
      </c>
      <c r="I254" s="795">
        <v>4568.6400000000003</v>
      </c>
      <c r="J254" s="783">
        <f t="shared" si="165"/>
        <v>228.43200000000002</v>
      </c>
      <c r="K254" s="887"/>
      <c r="L254" s="846">
        <v>0</v>
      </c>
      <c r="M254" s="790">
        <f t="shared" si="181"/>
        <v>4568.6400000000003</v>
      </c>
      <c r="N254" s="791">
        <f t="shared" si="182"/>
        <v>263</v>
      </c>
      <c r="O254" s="791">
        <f t="shared" si="183"/>
        <v>313</v>
      </c>
      <c r="P254" s="790">
        <f t="shared" si="184"/>
        <v>313</v>
      </c>
      <c r="Q254" s="847">
        <f t="shared" si="128"/>
        <v>4255.6400000000003</v>
      </c>
      <c r="R254" s="914">
        <f t="shared" si="129"/>
        <v>4255.6400000000003</v>
      </c>
      <c r="S254" s="790">
        <f t="shared" si="185"/>
        <v>4568.6400000000003</v>
      </c>
      <c r="T254" s="792">
        <f t="shared" si="186"/>
        <v>366</v>
      </c>
      <c r="U254" s="792">
        <f t="shared" si="187"/>
        <v>434</v>
      </c>
      <c r="V254" s="790">
        <f t="shared" si="188"/>
        <v>747</v>
      </c>
      <c r="W254" s="847">
        <f t="shared" si="166"/>
        <v>3821.6400000000003</v>
      </c>
      <c r="X254" s="846">
        <f t="shared" si="131"/>
        <v>3821.6400000000003</v>
      </c>
      <c r="Y254" s="783">
        <f t="shared" si="189"/>
        <v>4568.6400000000003</v>
      </c>
      <c r="Z254" s="783">
        <f t="shared" si="190"/>
        <v>365</v>
      </c>
      <c r="AA254" s="783">
        <f t="shared" si="191"/>
        <v>434</v>
      </c>
      <c r="AB254" s="783">
        <f t="shared" si="192"/>
        <v>1181</v>
      </c>
      <c r="AC254" s="848">
        <f t="shared" si="167"/>
        <v>3387.6400000000003</v>
      </c>
      <c r="AD254" s="789">
        <f t="shared" si="133"/>
        <v>3387.6400000000003</v>
      </c>
      <c r="AE254" s="790">
        <f t="shared" si="193"/>
        <v>4568.6400000000003</v>
      </c>
      <c r="AF254" s="791">
        <f t="shared" si="194"/>
        <v>365</v>
      </c>
      <c r="AG254" s="791">
        <f t="shared" si="195"/>
        <v>434</v>
      </c>
      <c r="AH254" s="783">
        <f t="shared" si="196"/>
        <v>1615</v>
      </c>
      <c r="AI254" s="783">
        <f t="shared" si="134"/>
        <v>2953.6400000000003</v>
      </c>
      <c r="AJ254" s="790">
        <f t="shared" si="168"/>
        <v>2953.6400000000003</v>
      </c>
      <c r="AK254" s="790">
        <f t="shared" si="169"/>
        <v>4568.6400000000003</v>
      </c>
      <c r="AL254" s="791">
        <f t="shared" si="170"/>
        <v>365</v>
      </c>
      <c r="AM254" s="791">
        <f t="shared" si="171"/>
        <v>434</v>
      </c>
      <c r="AN254" s="783">
        <f t="shared" si="172"/>
        <v>2049</v>
      </c>
      <c r="AO254" s="783">
        <f t="shared" si="173"/>
        <v>2519.6400000000003</v>
      </c>
      <c r="AP254" s="808">
        <f t="shared" si="174"/>
        <v>2519.6400000000003</v>
      </c>
      <c r="AQ254" s="808">
        <f t="shared" si="175"/>
        <v>4568.6400000000003</v>
      </c>
      <c r="AR254" s="809">
        <f t="shared" si="176"/>
        <v>366</v>
      </c>
      <c r="AS254" s="809">
        <f t="shared" si="177"/>
        <v>435</v>
      </c>
      <c r="AT254" s="808">
        <f t="shared" si="178"/>
        <v>2484</v>
      </c>
      <c r="AU254" s="808">
        <f t="shared" si="179"/>
        <v>2084.6400000000003</v>
      </c>
    </row>
    <row r="255" spans="1:47" ht="15" customHeight="1" x14ac:dyDescent="0.25">
      <c r="A255" s="842" t="s">
        <v>133</v>
      </c>
      <c r="B255" s="843" t="s">
        <v>1277</v>
      </c>
      <c r="C255" s="778">
        <f t="shared" si="164"/>
        <v>9.5000000000000001E-2</v>
      </c>
      <c r="D255" s="844">
        <v>10</v>
      </c>
      <c r="E255" s="779" t="s">
        <v>1182</v>
      </c>
      <c r="F255" s="845">
        <v>43360</v>
      </c>
      <c r="G255" s="781">
        <f t="shared" si="180"/>
        <v>43360</v>
      </c>
      <c r="H255" s="781">
        <f t="shared" si="126"/>
        <v>47010</v>
      </c>
      <c r="I255" s="795">
        <v>5300</v>
      </c>
      <c r="J255" s="783">
        <f t="shared" si="165"/>
        <v>265</v>
      </c>
      <c r="K255" s="887"/>
      <c r="L255" s="846">
        <v>0</v>
      </c>
      <c r="M255" s="790">
        <f t="shared" si="181"/>
        <v>5300</v>
      </c>
      <c r="N255" s="791">
        <f t="shared" si="182"/>
        <v>196</v>
      </c>
      <c r="O255" s="791">
        <f t="shared" si="183"/>
        <v>270</v>
      </c>
      <c r="P255" s="790">
        <f t="shared" si="184"/>
        <v>270</v>
      </c>
      <c r="Q255" s="847">
        <f t="shared" si="128"/>
        <v>5030</v>
      </c>
      <c r="R255" s="914">
        <f t="shared" si="129"/>
        <v>5030</v>
      </c>
      <c r="S255" s="790">
        <f t="shared" si="185"/>
        <v>5300</v>
      </c>
      <c r="T255" s="792">
        <f t="shared" si="186"/>
        <v>366</v>
      </c>
      <c r="U255" s="792">
        <f t="shared" si="187"/>
        <v>504</v>
      </c>
      <c r="V255" s="790">
        <f t="shared" si="188"/>
        <v>774</v>
      </c>
      <c r="W255" s="847">
        <f t="shared" si="166"/>
        <v>4526</v>
      </c>
      <c r="X255" s="846">
        <f t="shared" si="131"/>
        <v>4526</v>
      </c>
      <c r="Y255" s="783">
        <f t="shared" si="189"/>
        <v>5300</v>
      </c>
      <c r="Z255" s="783">
        <f t="shared" si="190"/>
        <v>365</v>
      </c>
      <c r="AA255" s="783">
        <f t="shared" si="191"/>
        <v>504</v>
      </c>
      <c r="AB255" s="783">
        <f t="shared" si="192"/>
        <v>1278</v>
      </c>
      <c r="AC255" s="848">
        <f t="shared" si="167"/>
        <v>4022</v>
      </c>
      <c r="AD255" s="789">
        <f t="shared" si="133"/>
        <v>4022</v>
      </c>
      <c r="AE255" s="790">
        <f t="shared" si="193"/>
        <v>5300</v>
      </c>
      <c r="AF255" s="791">
        <f t="shared" si="194"/>
        <v>365</v>
      </c>
      <c r="AG255" s="791">
        <f t="shared" si="195"/>
        <v>504</v>
      </c>
      <c r="AH255" s="783">
        <f t="shared" si="196"/>
        <v>1782</v>
      </c>
      <c r="AI255" s="783">
        <f t="shared" si="134"/>
        <v>3518</v>
      </c>
      <c r="AJ255" s="790">
        <f t="shared" si="168"/>
        <v>3518</v>
      </c>
      <c r="AK255" s="790">
        <f t="shared" si="169"/>
        <v>5300</v>
      </c>
      <c r="AL255" s="791">
        <f t="shared" si="170"/>
        <v>365</v>
      </c>
      <c r="AM255" s="791">
        <f t="shared" si="171"/>
        <v>504</v>
      </c>
      <c r="AN255" s="783">
        <f t="shared" si="172"/>
        <v>2286</v>
      </c>
      <c r="AO255" s="783">
        <f t="shared" si="173"/>
        <v>3014</v>
      </c>
      <c r="AP255" s="808">
        <f t="shared" si="174"/>
        <v>3014</v>
      </c>
      <c r="AQ255" s="808">
        <f t="shared" si="175"/>
        <v>5300</v>
      </c>
      <c r="AR255" s="809">
        <f t="shared" si="176"/>
        <v>366</v>
      </c>
      <c r="AS255" s="809">
        <f t="shared" si="177"/>
        <v>505</v>
      </c>
      <c r="AT255" s="808">
        <f t="shared" si="178"/>
        <v>2791</v>
      </c>
      <c r="AU255" s="808">
        <f t="shared" si="179"/>
        <v>2509</v>
      </c>
    </row>
    <row r="256" spans="1:47" ht="15" customHeight="1" x14ac:dyDescent="0.25">
      <c r="A256" s="842" t="s">
        <v>133</v>
      </c>
      <c r="B256" s="843" t="s">
        <v>1278</v>
      </c>
      <c r="C256" s="778">
        <f t="shared" si="164"/>
        <v>9.5000000000000001E-2</v>
      </c>
      <c r="D256" s="844">
        <v>10</v>
      </c>
      <c r="E256" s="779" t="s">
        <v>1182</v>
      </c>
      <c r="F256" s="845">
        <v>43302</v>
      </c>
      <c r="G256" s="781">
        <f t="shared" si="180"/>
        <v>43302</v>
      </c>
      <c r="H256" s="781">
        <f t="shared" si="126"/>
        <v>46952</v>
      </c>
      <c r="I256" s="795">
        <v>5436</v>
      </c>
      <c r="J256" s="783">
        <f t="shared" si="165"/>
        <v>271.8</v>
      </c>
      <c r="K256" s="887"/>
      <c r="L256" s="846">
        <v>0</v>
      </c>
      <c r="M256" s="790">
        <f t="shared" si="181"/>
        <v>5436</v>
      </c>
      <c r="N256" s="791">
        <f t="shared" si="182"/>
        <v>254</v>
      </c>
      <c r="O256" s="791">
        <f t="shared" si="183"/>
        <v>359</v>
      </c>
      <c r="P256" s="790">
        <f t="shared" si="184"/>
        <v>359</v>
      </c>
      <c r="Q256" s="847">
        <f t="shared" si="128"/>
        <v>5077</v>
      </c>
      <c r="R256" s="914">
        <f t="shared" si="129"/>
        <v>5077</v>
      </c>
      <c r="S256" s="790">
        <f t="shared" si="185"/>
        <v>5436</v>
      </c>
      <c r="T256" s="792">
        <f t="shared" si="186"/>
        <v>366</v>
      </c>
      <c r="U256" s="792">
        <f t="shared" si="187"/>
        <v>516</v>
      </c>
      <c r="V256" s="790">
        <f t="shared" si="188"/>
        <v>875</v>
      </c>
      <c r="W256" s="847">
        <f t="shared" si="166"/>
        <v>4561</v>
      </c>
      <c r="X256" s="846">
        <f t="shared" si="131"/>
        <v>4561</v>
      </c>
      <c r="Y256" s="783">
        <f t="shared" si="189"/>
        <v>5436</v>
      </c>
      <c r="Z256" s="783">
        <f t="shared" si="190"/>
        <v>365</v>
      </c>
      <c r="AA256" s="783">
        <f t="shared" si="191"/>
        <v>516</v>
      </c>
      <c r="AB256" s="783">
        <f t="shared" si="192"/>
        <v>1391</v>
      </c>
      <c r="AC256" s="848">
        <f t="shared" si="167"/>
        <v>4045</v>
      </c>
      <c r="AD256" s="789">
        <f t="shared" si="133"/>
        <v>4045</v>
      </c>
      <c r="AE256" s="790">
        <f t="shared" si="193"/>
        <v>5436</v>
      </c>
      <c r="AF256" s="791">
        <f t="shared" si="194"/>
        <v>365</v>
      </c>
      <c r="AG256" s="791">
        <f t="shared" si="195"/>
        <v>516</v>
      </c>
      <c r="AH256" s="783">
        <f t="shared" si="196"/>
        <v>1907</v>
      </c>
      <c r="AI256" s="783">
        <f t="shared" si="134"/>
        <v>3529</v>
      </c>
      <c r="AJ256" s="790">
        <f t="shared" si="168"/>
        <v>3529</v>
      </c>
      <c r="AK256" s="790">
        <f t="shared" si="169"/>
        <v>5436</v>
      </c>
      <c r="AL256" s="791">
        <f t="shared" si="170"/>
        <v>365</v>
      </c>
      <c r="AM256" s="791">
        <f t="shared" si="171"/>
        <v>516</v>
      </c>
      <c r="AN256" s="783">
        <f t="shared" si="172"/>
        <v>2423</v>
      </c>
      <c r="AO256" s="783">
        <f t="shared" si="173"/>
        <v>3013</v>
      </c>
      <c r="AP256" s="808">
        <f t="shared" si="174"/>
        <v>3013</v>
      </c>
      <c r="AQ256" s="808">
        <f t="shared" si="175"/>
        <v>5436</v>
      </c>
      <c r="AR256" s="809">
        <f t="shared" si="176"/>
        <v>366</v>
      </c>
      <c r="AS256" s="809">
        <f t="shared" si="177"/>
        <v>518</v>
      </c>
      <c r="AT256" s="808">
        <f t="shared" si="178"/>
        <v>2941</v>
      </c>
      <c r="AU256" s="808">
        <f t="shared" si="179"/>
        <v>2495</v>
      </c>
    </row>
    <row r="257" spans="1:47" ht="15" customHeight="1" x14ac:dyDescent="0.25">
      <c r="A257" s="842" t="s">
        <v>133</v>
      </c>
      <c r="B257" s="843" t="s">
        <v>1279</v>
      </c>
      <c r="C257" s="778">
        <f t="shared" si="164"/>
        <v>9.5000000000000001E-2</v>
      </c>
      <c r="D257" s="844">
        <v>10</v>
      </c>
      <c r="E257" s="779" t="s">
        <v>1182</v>
      </c>
      <c r="F257" s="845">
        <v>43202</v>
      </c>
      <c r="G257" s="781">
        <f t="shared" si="180"/>
        <v>43202</v>
      </c>
      <c r="H257" s="781">
        <f t="shared" si="126"/>
        <v>46852</v>
      </c>
      <c r="I257" s="795">
        <v>14005.08</v>
      </c>
      <c r="J257" s="783">
        <f t="shared" si="165"/>
        <v>700.25400000000002</v>
      </c>
      <c r="K257" s="887"/>
      <c r="L257" s="846">
        <v>0</v>
      </c>
      <c r="M257" s="790">
        <f t="shared" si="181"/>
        <v>14005.08</v>
      </c>
      <c r="N257" s="791">
        <f t="shared" si="182"/>
        <v>354</v>
      </c>
      <c r="O257" s="791">
        <f t="shared" si="183"/>
        <v>1290</v>
      </c>
      <c r="P257" s="790">
        <f t="shared" si="184"/>
        <v>1290</v>
      </c>
      <c r="Q257" s="847">
        <f t="shared" si="128"/>
        <v>12715.08</v>
      </c>
      <c r="R257" s="914">
        <f t="shared" si="129"/>
        <v>12715.08</v>
      </c>
      <c r="S257" s="790">
        <f t="shared" si="185"/>
        <v>14005.08</v>
      </c>
      <c r="T257" s="792">
        <f t="shared" si="186"/>
        <v>366</v>
      </c>
      <c r="U257" s="792">
        <f t="shared" si="187"/>
        <v>1330</v>
      </c>
      <c r="V257" s="790">
        <f t="shared" si="188"/>
        <v>2620</v>
      </c>
      <c r="W257" s="847">
        <f t="shared" si="166"/>
        <v>11385.08</v>
      </c>
      <c r="X257" s="846">
        <f t="shared" si="131"/>
        <v>11385.08</v>
      </c>
      <c r="Y257" s="783">
        <f t="shared" si="189"/>
        <v>14005.08</v>
      </c>
      <c r="Z257" s="783">
        <f t="shared" si="190"/>
        <v>365</v>
      </c>
      <c r="AA257" s="783">
        <f t="shared" si="191"/>
        <v>1330</v>
      </c>
      <c r="AB257" s="783">
        <f t="shared" si="192"/>
        <v>3950</v>
      </c>
      <c r="AC257" s="848">
        <f t="shared" si="167"/>
        <v>10055.08</v>
      </c>
      <c r="AD257" s="789">
        <f t="shared" si="133"/>
        <v>10055.08</v>
      </c>
      <c r="AE257" s="790">
        <f t="shared" si="193"/>
        <v>14005.08</v>
      </c>
      <c r="AF257" s="791">
        <f t="shared" si="194"/>
        <v>365</v>
      </c>
      <c r="AG257" s="791">
        <f t="shared" si="195"/>
        <v>1330</v>
      </c>
      <c r="AH257" s="783">
        <f t="shared" si="196"/>
        <v>5280</v>
      </c>
      <c r="AI257" s="783">
        <f t="shared" si="134"/>
        <v>8725.08</v>
      </c>
      <c r="AJ257" s="790">
        <f t="shared" si="168"/>
        <v>8725.08</v>
      </c>
      <c r="AK257" s="790">
        <f t="shared" si="169"/>
        <v>14005.08</v>
      </c>
      <c r="AL257" s="791">
        <f t="shared" si="170"/>
        <v>365</v>
      </c>
      <c r="AM257" s="791">
        <f t="shared" si="171"/>
        <v>1330</v>
      </c>
      <c r="AN257" s="783">
        <f t="shared" si="172"/>
        <v>6610</v>
      </c>
      <c r="AO257" s="783">
        <f t="shared" si="173"/>
        <v>7395.08</v>
      </c>
      <c r="AP257" s="808">
        <f t="shared" si="174"/>
        <v>7395.08</v>
      </c>
      <c r="AQ257" s="808">
        <f t="shared" si="175"/>
        <v>14005.08</v>
      </c>
      <c r="AR257" s="809">
        <f t="shared" si="176"/>
        <v>366</v>
      </c>
      <c r="AS257" s="809">
        <f t="shared" si="177"/>
        <v>1334</v>
      </c>
      <c r="AT257" s="808">
        <f t="shared" si="178"/>
        <v>7944</v>
      </c>
      <c r="AU257" s="808">
        <f t="shared" si="179"/>
        <v>6061.08</v>
      </c>
    </row>
    <row r="258" spans="1:47" ht="15" customHeight="1" x14ac:dyDescent="0.25">
      <c r="A258" s="842" t="s">
        <v>133</v>
      </c>
      <c r="B258" s="843" t="s">
        <v>1279</v>
      </c>
      <c r="C258" s="778">
        <f t="shared" si="164"/>
        <v>9.5000000000000001E-2</v>
      </c>
      <c r="D258" s="844">
        <v>10</v>
      </c>
      <c r="E258" s="779" t="s">
        <v>1182</v>
      </c>
      <c r="F258" s="845">
        <v>43202</v>
      </c>
      <c r="G258" s="781">
        <f t="shared" si="180"/>
        <v>43202</v>
      </c>
      <c r="H258" s="781">
        <f t="shared" si="126"/>
        <v>46852</v>
      </c>
      <c r="I258" s="795">
        <v>4140.68</v>
      </c>
      <c r="J258" s="783">
        <f t="shared" si="165"/>
        <v>207.03400000000002</v>
      </c>
      <c r="K258" s="887"/>
      <c r="L258" s="846">
        <v>0</v>
      </c>
      <c r="M258" s="790">
        <f t="shared" si="181"/>
        <v>4140.68</v>
      </c>
      <c r="N258" s="791">
        <f t="shared" si="182"/>
        <v>354</v>
      </c>
      <c r="O258" s="791">
        <f t="shared" si="183"/>
        <v>382</v>
      </c>
      <c r="P258" s="790">
        <f t="shared" si="184"/>
        <v>382</v>
      </c>
      <c r="Q258" s="847">
        <f t="shared" si="128"/>
        <v>3758.6800000000003</v>
      </c>
      <c r="R258" s="914">
        <f t="shared" si="129"/>
        <v>3758.6800000000003</v>
      </c>
      <c r="S258" s="790">
        <f t="shared" si="185"/>
        <v>4140.68</v>
      </c>
      <c r="T258" s="792">
        <f t="shared" si="186"/>
        <v>366</v>
      </c>
      <c r="U258" s="792">
        <f t="shared" si="187"/>
        <v>393</v>
      </c>
      <c r="V258" s="790">
        <f t="shared" si="188"/>
        <v>775</v>
      </c>
      <c r="W258" s="847">
        <f t="shared" si="166"/>
        <v>3365.6800000000003</v>
      </c>
      <c r="X258" s="846">
        <f t="shared" si="131"/>
        <v>3365.6800000000003</v>
      </c>
      <c r="Y258" s="783">
        <f t="shared" si="189"/>
        <v>4140.68</v>
      </c>
      <c r="Z258" s="783">
        <f t="shared" si="190"/>
        <v>365</v>
      </c>
      <c r="AA258" s="783">
        <f t="shared" si="191"/>
        <v>393</v>
      </c>
      <c r="AB258" s="783">
        <f t="shared" si="192"/>
        <v>1168</v>
      </c>
      <c r="AC258" s="848">
        <f t="shared" si="167"/>
        <v>2972.6800000000003</v>
      </c>
      <c r="AD258" s="789">
        <f t="shared" si="133"/>
        <v>2972.6800000000003</v>
      </c>
      <c r="AE258" s="790">
        <f t="shared" si="193"/>
        <v>4140.68</v>
      </c>
      <c r="AF258" s="791">
        <f t="shared" si="194"/>
        <v>365</v>
      </c>
      <c r="AG258" s="791">
        <f t="shared" si="195"/>
        <v>393</v>
      </c>
      <c r="AH258" s="783">
        <f t="shared" si="196"/>
        <v>1561</v>
      </c>
      <c r="AI258" s="783">
        <f t="shared" si="134"/>
        <v>2579.6800000000003</v>
      </c>
      <c r="AJ258" s="790">
        <f t="shared" si="168"/>
        <v>2579.6800000000003</v>
      </c>
      <c r="AK258" s="790">
        <f t="shared" si="169"/>
        <v>4140.68</v>
      </c>
      <c r="AL258" s="791">
        <f t="shared" si="170"/>
        <v>365</v>
      </c>
      <c r="AM258" s="791">
        <f t="shared" si="171"/>
        <v>393</v>
      </c>
      <c r="AN258" s="783">
        <f t="shared" si="172"/>
        <v>1954</v>
      </c>
      <c r="AO258" s="783">
        <f t="shared" si="173"/>
        <v>2186.6800000000003</v>
      </c>
      <c r="AP258" s="808">
        <f t="shared" si="174"/>
        <v>2186.6800000000003</v>
      </c>
      <c r="AQ258" s="808">
        <f t="shared" si="175"/>
        <v>4140.68</v>
      </c>
      <c r="AR258" s="809">
        <f t="shared" si="176"/>
        <v>366</v>
      </c>
      <c r="AS258" s="809">
        <f t="shared" si="177"/>
        <v>394</v>
      </c>
      <c r="AT258" s="808">
        <f t="shared" si="178"/>
        <v>2348</v>
      </c>
      <c r="AU258" s="808">
        <f t="shared" si="179"/>
        <v>1792.6800000000003</v>
      </c>
    </row>
    <row r="259" spans="1:47" ht="15" customHeight="1" x14ac:dyDescent="0.25">
      <c r="A259" s="842" t="s">
        <v>133</v>
      </c>
      <c r="B259" s="843" t="s">
        <v>1279</v>
      </c>
      <c r="C259" s="778">
        <f t="shared" si="164"/>
        <v>9.5000000000000001E-2</v>
      </c>
      <c r="D259" s="844">
        <v>10</v>
      </c>
      <c r="E259" s="779" t="s">
        <v>1182</v>
      </c>
      <c r="F259" s="845">
        <v>43204</v>
      </c>
      <c r="G259" s="781">
        <f t="shared" si="180"/>
        <v>43204</v>
      </c>
      <c r="H259" s="781">
        <f t="shared" si="126"/>
        <v>46854</v>
      </c>
      <c r="I259" s="795">
        <v>8726.2800000000007</v>
      </c>
      <c r="J259" s="783">
        <f t="shared" si="165"/>
        <v>436.31400000000008</v>
      </c>
      <c r="K259" s="887"/>
      <c r="L259" s="846">
        <v>0</v>
      </c>
      <c r="M259" s="790">
        <f t="shared" si="181"/>
        <v>8726.2800000000007</v>
      </c>
      <c r="N259" s="791">
        <f t="shared" si="182"/>
        <v>352</v>
      </c>
      <c r="O259" s="791">
        <f t="shared" si="183"/>
        <v>799</v>
      </c>
      <c r="P259" s="790">
        <f t="shared" si="184"/>
        <v>799</v>
      </c>
      <c r="Q259" s="847">
        <f t="shared" si="128"/>
        <v>7927.2800000000007</v>
      </c>
      <c r="R259" s="914">
        <f t="shared" si="129"/>
        <v>7927.2800000000007</v>
      </c>
      <c r="S259" s="790">
        <f t="shared" si="185"/>
        <v>8726.2800000000007</v>
      </c>
      <c r="T259" s="792">
        <f t="shared" si="186"/>
        <v>366</v>
      </c>
      <c r="U259" s="792">
        <f t="shared" si="187"/>
        <v>829</v>
      </c>
      <c r="V259" s="790">
        <f t="shared" si="188"/>
        <v>1628</v>
      </c>
      <c r="W259" s="847">
        <f t="shared" si="166"/>
        <v>7098.2800000000007</v>
      </c>
      <c r="X259" s="846">
        <f t="shared" si="131"/>
        <v>7098.2800000000007</v>
      </c>
      <c r="Y259" s="783">
        <f t="shared" si="189"/>
        <v>8726.2800000000007</v>
      </c>
      <c r="Z259" s="783">
        <f t="shared" si="190"/>
        <v>365</v>
      </c>
      <c r="AA259" s="783">
        <f t="shared" si="191"/>
        <v>829</v>
      </c>
      <c r="AB259" s="783">
        <f t="shared" si="192"/>
        <v>2457</v>
      </c>
      <c r="AC259" s="848">
        <f t="shared" si="167"/>
        <v>6269.2800000000007</v>
      </c>
      <c r="AD259" s="789">
        <f t="shared" si="133"/>
        <v>6269.2800000000007</v>
      </c>
      <c r="AE259" s="790">
        <f t="shared" si="193"/>
        <v>8726.2800000000007</v>
      </c>
      <c r="AF259" s="791">
        <f t="shared" si="194"/>
        <v>365</v>
      </c>
      <c r="AG259" s="791">
        <f t="shared" si="195"/>
        <v>829</v>
      </c>
      <c r="AH259" s="783">
        <f t="shared" si="196"/>
        <v>3286</v>
      </c>
      <c r="AI259" s="783">
        <f t="shared" si="134"/>
        <v>5440.2800000000007</v>
      </c>
      <c r="AJ259" s="790">
        <f t="shared" si="168"/>
        <v>5440.2800000000007</v>
      </c>
      <c r="AK259" s="790">
        <f t="shared" si="169"/>
        <v>8726.2800000000007</v>
      </c>
      <c r="AL259" s="791">
        <f t="shared" si="170"/>
        <v>365</v>
      </c>
      <c r="AM259" s="791">
        <f t="shared" si="171"/>
        <v>829</v>
      </c>
      <c r="AN259" s="783">
        <f t="shared" si="172"/>
        <v>4115</v>
      </c>
      <c r="AO259" s="783">
        <f t="shared" si="173"/>
        <v>4611.2800000000007</v>
      </c>
      <c r="AP259" s="808">
        <f t="shared" si="174"/>
        <v>4611.2800000000007</v>
      </c>
      <c r="AQ259" s="808">
        <f t="shared" si="175"/>
        <v>8726.2800000000007</v>
      </c>
      <c r="AR259" s="809">
        <f t="shared" si="176"/>
        <v>366</v>
      </c>
      <c r="AS259" s="809">
        <f t="shared" si="177"/>
        <v>831</v>
      </c>
      <c r="AT259" s="808">
        <f t="shared" si="178"/>
        <v>4946</v>
      </c>
      <c r="AU259" s="808">
        <f t="shared" si="179"/>
        <v>3780.2800000000007</v>
      </c>
    </row>
    <row r="260" spans="1:47" ht="15" customHeight="1" x14ac:dyDescent="0.25">
      <c r="A260" s="842" t="s">
        <v>133</v>
      </c>
      <c r="B260" s="843" t="s">
        <v>1279</v>
      </c>
      <c r="C260" s="778">
        <f t="shared" si="164"/>
        <v>9.5000000000000001E-2</v>
      </c>
      <c r="D260" s="844">
        <v>10</v>
      </c>
      <c r="E260" s="779" t="s">
        <v>1182</v>
      </c>
      <c r="F260" s="845">
        <v>43204</v>
      </c>
      <c r="G260" s="781">
        <f t="shared" si="180"/>
        <v>43204</v>
      </c>
      <c r="H260" s="781">
        <f t="shared" si="126"/>
        <v>46854</v>
      </c>
      <c r="I260" s="795">
        <v>35450</v>
      </c>
      <c r="J260" s="783">
        <f t="shared" si="165"/>
        <v>1772.5</v>
      </c>
      <c r="K260" s="887"/>
      <c r="L260" s="846">
        <v>0</v>
      </c>
      <c r="M260" s="790">
        <f t="shared" si="181"/>
        <v>35450</v>
      </c>
      <c r="N260" s="791">
        <f t="shared" si="182"/>
        <v>352</v>
      </c>
      <c r="O260" s="791">
        <f t="shared" si="183"/>
        <v>3248</v>
      </c>
      <c r="P260" s="790">
        <f t="shared" si="184"/>
        <v>3248</v>
      </c>
      <c r="Q260" s="847">
        <f t="shared" si="128"/>
        <v>32202</v>
      </c>
      <c r="R260" s="914">
        <f t="shared" si="129"/>
        <v>32202</v>
      </c>
      <c r="S260" s="790">
        <f t="shared" si="185"/>
        <v>35450</v>
      </c>
      <c r="T260" s="792">
        <f t="shared" si="186"/>
        <v>366</v>
      </c>
      <c r="U260" s="792">
        <f t="shared" si="187"/>
        <v>3368</v>
      </c>
      <c r="V260" s="790">
        <f t="shared" si="188"/>
        <v>6616</v>
      </c>
      <c r="W260" s="847">
        <f t="shared" si="166"/>
        <v>28834</v>
      </c>
      <c r="X260" s="846">
        <f t="shared" si="131"/>
        <v>28834</v>
      </c>
      <c r="Y260" s="783">
        <f t="shared" si="189"/>
        <v>35450</v>
      </c>
      <c r="Z260" s="783">
        <f t="shared" si="190"/>
        <v>365</v>
      </c>
      <c r="AA260" s="783">
        <f t="shared" si="191"/>
        <v>3368</v>
      </c>
      <c r="AB260" s="783">
        <f t="shared" si="192"/>
        <v>9984</v>
      </c>
      <c r="AC260" s="848">
        <f t="shared" si="167"/>
        <v>25466</v>
      </c>
      <c r="AD260" s="789">
        <f t="shared" si="133"/>
        <v>25466</v>
      </c>
      <c r="AE260" s="790">
        <f t="shared" si="193"/>
        <v>35450</v>
      </c>
      <c r="AF260" s="791">
        <f t="shared" si="194"/>
        <v>365</v>
      </c>
      <c r="AG260" s="791">
        <f t="shared" si="195"/>
        <v>3368</v>
      </c>
      <c r="AH260" s="783">
        <f t="shared" si="196"/>
        <v>13352</v>
      </c>
      <c r="AI260" s="783">
        <f t="shared" si="134"/>
        <v>22098</v>
      </c>
      <c r="AJ260" s="790">
        <f t="shared" si="168"/>
        <v>22098</v>
      </c>
      <c r="AK260" s="790">
        <f t="shared" si="169"/>
        <v>35450</v>
      </c>
      <c r="AL260" s="791">
        <f t="shared" si="170"/>
        <v>365</v>
      </c>
      <c r="AM260" s="791">
        <f t="shared" si="171"/>
        <v>3368</v>
      </c>
      <c r="AN260" s="783">
        <f t="shared" si="172"/>
        <v>16720</v>
      </c>
      <c r="AO260" s="783">
        <f t="shared" si="173"/>
        <v>18730</v>
      </c>
      <c r="AP260" s="808">
        <f t="shared" si="174"/>
        <v>18730</v>
      </c>
      <c r="AQ260" s="808">
        <f t="shared" si="175"/>
        <v>35450</v>
      </c>
      <c r="AR260" s="809">
        <f t="shared" si="176"/>
        <v>366</v>
      </c>
      <c r="AS260" s="809">
        <f t="shared" si="177"/>
        <v>3377</v>
      </c>
      <c r="AT260" s="808">
        <f t="shared" si="178"/>
        <v>20097</v>
      </c>
      <c r="AU260" s="808">
        <f t="shared" si="179"/>
        <v>15353</v>
      </c>
    </row>
    <row r="261" spans="1:47" ht="15" customHeight="1" x14ac:dyDescent="0.25">
      <c r="A261" s="842" t="s">
        <v>133</v>
      </c>
      <c r="B261" s="843" t="s">
        <v>1279</v>
      </c>
      <c r="C261" s="778">
        <f t="shared" si="164"/>
        <v>9.5000000000000001E-2</v>
      </c>
      <c r="D261" s="844">
        <v>10</v>
      </c>
      <c r="E261" s="779" t="s">
        <v>1182</v>
      </c>
      <c r="F261" s="845">
        <v>43204</v>
      </c>
      <c r="G261" s="781">
        <f t="shared" si="180"/>
        <v>43204</v>
      </c>
      <c r="H261" s="781">
        <f t="shared" si="126"/>
        <v>46854</v>
      </c>
      <c r="I261" s="795">
        <v>32539.8</v>
      </c>
      <c r="J261" s="783">
        <f t="shared" si="165"/>
        <v>1626.99</v>
      </c>
      <c r="K261" s="887"/>
      <c r="L261" s="846">
        <v>0</v>
      </c>
      <c r="M261" s="790">
        <f t="shared" si="181"/>
        <v>32539.8</v>
      </c>
      <c r="N261" s="791">
        <f t="shared" si="182"/>
        <v>352</v>
      </c>
      <c r="O261" s="791">
        <f t="shared" si="183"/>
        <v>2981</v>
      </c>
      <c r="P261" s="790">
        <f t="shared" si="184"/>
        <v>2981</v>
      </c>
      <c r="Q261" s="847">
        <f t="shared" si="128"/>
        <v>29558.799999999999</v>
      </c>
      <c r="R261" s="914">
        <f t="shared" si="129"/>
        <v>29558.799999999999</v>
      </c>
      <c r="S261" s="790">
        <f t="shared" si="185"/>
        <v>32539.8</v>
      </c>
      <c r="T261" s="792">
        <f t="shared" si="186"/>
        <v>366</v>
      </c>
      <c r="U261" s="792">
        <f t="shared" si="187"/>
        <v>3091</v>
      </c>
      <c r="V261" s="790">
        <f t="shared" si="188"/>
        <v>6072</v>
      </c>
      <c r="W261" s="847">
        <f t="shared" si="166"/>
        <v>26467.8</v>
      </c>
      <c r="X261" s="846">
        <f t="shared" si="131"/>
        <v>26467.8</v>
      </c>
      <c r="Y261" s="783">
        <f t="shared" si="189"/>
        <v>32539.8</v>
      </c>
      <c r="Z261" s="783">
        <f t="shared" si="190"/>
        <v>365</v>
      </c>
      <c r="AA261" s="783">
        <f t="shared" si="191"/>
        <v>3091</v>
      </c>
      <c r="AB261" s="783">
        <f t="shared" si="192"/>
        <v>9163</v>
      </c>
      <c r="AC261" s="848">
        <f t="shared" si="167"/>
        <v>23376.799999999999</v>
      </c>
      <c r="AD261" s="789">
        <f t="shared" si="133"/>
        <v>23376.799999999999</v>
      </c>
      <c r="AE261" s="790">
        <f t="shared" si="193"/>
        <v>32539.8</v>
      </c>
      <c r="AF261" s="791">
        <f t="shared" si="194"/>
        <v>365</v>
      </c>
      <c r="AG261" s="791">
        <f t="shared" si="195"/>
        <v>3091</v>
      </c>
      <c r="AH261" s="783">
        <f t="shared" si="196"/>
        <v>12254</v>
      </c>
      <c r="AI261" s="783">
        <f t="shared" si="134"/>
        <v>20285.8</v>
      </c>
      <c r="AJ261" s="790">
        <f t="shared" si="168"/>
        <v>20285.8</v>
      </c>
      <c r="AK261" s="790">
        <f t="shared" si="169"/>
        <v>32539.8</v>
      </c>
      <c r="AL261" s="791">
        <f t="shared" si="170"/>
        <v>365</v>
      </c>
      <c r="AM261" s="791">
        <f t="shared" si="171"/>
        <v>3091</v>
      </c>
      <c r="AN261" s="783">
        <f t="shared" si="172"/>
        <v>15345</v>
      </c>
      <c r="AO261" s="783">
        <f t="shared" si="173"/>
        <v>17194.8</v>
      </c>
      <c r="AP261" s="808">
        <f t="shared" si="174"/>
        <v>17194.8</v>
      </c>
      <c r="AQ261" s="808">
        <f t="shared" si="175"/>
        <v>32539.8</v>
      </c>
      <c r="AR261" s="809">
        <f t="shared" si="176"/>
        <v>366</v>
      </c>
      <c r="AS261" s="809">
        <f t="shared" si="177"/>
        <v>3100</v>
      </c>
      <c r="AT261" s="808">
        <f t="shared" si="178"/>
        <v>18445</v>
      </c>
      <c r="AU261" s="808">
        <f t="shared" si="179"/>
        <v>14094.8</v>
      </c>
    </row>
    <row r="262" spans="1:47" ht="15" customHeight="1" x14ac:dyDescent="0.25">
      <c r="A262" s="842" t="s">
        <v>133</v>
      </c>
      <c r="B262" s="843" t="s">
        <v>1279</v>
      </c>
      <c r="C262" s="778">
        <f t="shared" si="164"/>
        <v>9.5000000000000001E-2</v>
      </c>
      <c r="D262" s="844">
        <v>10</v>
      </c>
      <c r="E262" s="779" t="s">
        <v>1182</v>
      </c>
      <c r="F262" s="845">
        <v>43206</v>
      </c>
      <c r="G262" s="781">
        <f t="shared" si="180"/>
        <v>43206</v>
      </c>
      <c r="H262" s="781">
        <f t="shared" si="126"/>
        <v>46856</v>
      </c>
      <c r="I262" s="795">
        <v>33281.300000000003</v>
      </c>
      <c r="J262" s="783">
        <f t="shared" si="165"/>
        <v>1664.0650000000003</v>
      </c>
      <c r="K262" s="887"/>
      <c r="L262" s="846">
        <v>0</v>
      </c>
      <c r="M262" s="790">
        <f t="shared" si="181"/>
        <v>33281.300000000003</v>
      </c>
      <c r="N262" s="791">
        <f t="shared" si="182"/>
        <v>350</v>
      </c>
      <c r="O262" s="791">
        <f t="shared" si="183"/>
        <v>3032</v>
      </c>
      <c r="P262" s="790">
        <f t="shared" si="184"/>
        <v>3032</v>
      </c>
      <c r="Q262" s="847">
        <f t="shared" si="128"/>
        <v>30249.300000000003</v>
      </c>
      <c r="R262" s="914">
        <f t="shared" si="129"/>
        <v>30249.300000000003</v>
      </c>
      <c r="S262" s="790">
        <f t="shared" si="185"/>
        <v>33281.300000000003</v>
      </c>
      <c r="T262" s="792">
        <f t="shared" si="186"/>
        <v>366</v>
      </c>
      <c r="U262" s="792">
        <f t="shared" si="187"/>
        <v>3162</v>
      </c>
      <c r="V262" s="790">
        <f t="shared" si="188"/>
        <v>6194</v>
      </c>
      <c r="W262" s="847">
        <f t="shared" si="166"/>
        <v>27087.300000000003</v>
      </c>
      <c r="X262" s="846">
        <f t="shared" si="131"/>
        <v>27087.300000000003</v>
      </c>
      <c r="Y262" s="783">
        <f t="shared" si="189"/>
        <v>33281.300000000003</v>
      </c>
      <c r="Z262" s="783">
        <f t="shared" si="190"/>
        <v>365</v>
      </c>
      <c r="AA262" s="783">
        <f t="shared" si="191"/>
        <v>3162</v>
      </c>
      <c r="AB262" s="783">
        <f t="shared" si="192"/>
        <v>9356</v>
      </c>
      <c r="AC262" s="848">
        <f t="shared" si="167"/>
        <v>23925.300000000003</v>
      </c>
      <c r="AD262" s="789">
        <f t="shared" si="133"/>
        <v>23925.300000000003</v>
      </c>
      <c r="AE262" s="790">
        <f t="shared" si="193"/>
        <v>33281.300000000003</v>
      </c>
      <c r="AF262" s="791">
        <f t="shared" si="194"/>
        <v>365</v>
      </c>
      <c r="AG262" s="791">
        <f t="shared" si="195"/>
        <v>3162</v>
      </c>
      <c r="AH262" s="783">
        <f t="shared" si="196"/>
        <v>12518</v>
      </c>
      <c r="AI262" s="783">
        <f t="shared" si="134"/>
        <v>20763.300000000003</v>
      </c>
      <c r="AJ262" s="790">
        <f t="shared" si="168"/>
        <v>20763.300000000003</v>
      </c>
      <c r="AK262" s="790">
        <f t="shared" si="169"/>
        <v>33281.300000000003</v>
      </c>
      <c r="AL262" s="791">
        <f t="shared" si="170"/>
        <v>365</v>
      </c>
      <c r="AM262" s="791">
        <f t="shared" si="171"/>
        <v>3162</v>
      </c>
      <c r="AN262" s="783">
        <f t="shared" si="172"/>
        <v>15680</v>
      </c>
      <c r="AO262" s="783">
        <f t="shared" si="173"/>
        <v>17601.300000000003</v>
      </c>
      <c r="AP262" s="808">
        <f t="shared" si="174"/>
        <v>17601.300000000003</v>
      </c>
      <c r="AQ262" s="808">
        <f t="shared" si="175"/>
        <v>33281.300000000003</v>
      </c>
      <c r="AR262" s="809">
        <f t="shared" si="176"/>
        <v>366</v>
      </c>
      <c r="AS262" s="809">
        <f t="shared" si="177"/>
        <v>3170</v>
      </c>
      <c r="AT262" s="808">
        <f t="shared" si="178"/>
        <v>18850</v>
      </c>
      <c r="AU262" s="808">
        <f t="shared" si="179"/>
        <v>14431.300000000003</v>
      </c>
    </row>
    <row r="263" spans="1:47" ht="15" customHeight="1" x14ac:dyDescent="0.25">
      <c r="A263" s="842" t="s">
        <v>133</v>
      </c>
      <c r="B263" s="843" t="s">
        <v>1279</v>
      </c>
      <c r="C263" s="778">
        <f t="shared" si="164"/>
        <v>9.5000000000000001E-2</v>
      </c>
      <c r="D263" s="844">
        <v>10</v>
      </c>
      <c r="E263" s="779" t="s">
        <v>1182</v>
      </c>
      <c r="F263" s="845">
        <v>43211</v>
      </c>
      <c r="G263" s="781">
        <f t="shared" si="180"/>
        <v>43211</v>
      </c>
      <c r="H263" s="781">
        <f t="shared" si="126"/>
        <v>46861</v>
      </c>
      <c r="I263" s="795">
        <v>38135.599999999999</v>
      </c>
      <c r="J263" s="783">
        <f t="shared" si="165"/>
        <v>1906.78</v>
      </c>
      <c r="K263" s="887"/>
      <c r="L263" s="846">
        <v>0</v>
      </c>
      <c r="M263" s="790">
        <f t="shared" si="181"/>
        <v>38135.599999999999</v>
      </c>
      <c r="N263" s="791">
        <f t="shared" si="182"/>
        <v>345</v>
      </c>
      <c r="O263" s="791">
        <f t="shared" si="183"/>
        <v>3424</v>
      </c>
      <c r="P263" s="790">
        <f t="shared" si="184"/>
        <v>3424</v>
      </c>
      <c r="Q263" s="847">
        <f t="shared" si="128"/>
        <v>34711.599999999999</v>
      </c>
      <c r="R263" s="914">
        <f t="shared" si="129"/>
        <v>34711.599999999999</v>
      </c>
      <c r="S263" s="790">
        <f t="shared" si="185"/>
        <v>38135.599999999999</v>
      </c>
      <c r="T263" s="792">
        <f t="shared" si="186"/>
        <v>366</v>
      </c>
      <c r="U263" s="792">
        <f t="shared" si="187"/>
        <v>3623</v>
      </c>
      <c r="V263" s="790">
        <f t="shared" si="188"/>
        <v>7047</v>
      </c>
      <c r="W263" s="847">
        <f t="shared" si="166"/>
        <v>31088.6</v>
      </c>
      <c r="X263" s="846">
        <f t="shared" si="131"/>
        <v>31088.6</v>
      </c>
      <c r="Y263" s="783">
        <f t="shared" si="189"/>
        <v>38135.599999999999</v>
      </c>
      <c r="Z263" s="783">
        <f t="shared" si="190"/>
        <v>365</v>
      </c>
      <c r="AA263" s="783">
        <f t="shared" si="191"/>
        <v>3623</v>
      </c>
      <c r="AB263" s="783">
        <f t="shared" si="192"/>
        <v>10670</v>
      </c>
      <c r="AC263" s="848">
        <f t="shared" si="167"/>
        <v>27465.599999999999</v>
      </c>
      <c r="AD263" s="789">
        <f t="shared" si="133"/>
        <v>27465.599999999999</v>
      </c>
      <c r="AE263" s="790">
        <f t="shared" si="193"/>
        <v>38135.599999999999</v>
      </c>
      <c r="AF263" s="791">
        <f t="shared" si="194"/>
        <v>365</v>
      </c>
      <c r="AG263" s="791">
        <f t="shared" si="195"/>
        <v>3623</v>
      </c>
      <c r="AH263" s="783">
        <f t="shared" si="196"/>
        <v>14293</v>
      </c>
      <c r="AI263" s="783">
        <f t="shared" si="134"/>
        <v>23842.6</v>
      </c>
      <c r="AJ263" s="790">
        <f t="shared" si="168"/>
        <v>23842.6</v>
      </c>
      <c r="AK263" s="790">
        <f t="shared" si="169"/>
        <v>38135.599999999999</v>
      </c>
      <c r="AL263" s="791">
        <f t="shared" si="170"/>
        <v>365</v>
      </c>
      <c r="AM263" s="791">
        <f t="shared" si="171"/>
        <v>3623</v>
      </c>
      <c r="AN263" s="783">
        <f t="shared" si="172"/>
        <v>17916</v>
      </c>
      <c r="AO263" s="783">
        <f t="shared" si="173"/>
        <v>20219.599999999999</v>
      </c>
      <c r="AP263" s="808">
        <f t="shared" si="174"/>
        <v>20219.599999999999</v>
      </c>
      <c r="AQ263" s="808">
        <f t="shared" si="175"/>
        <v>38135.599999999999</v>
      </c>
      <c r="AR263" s="809">
        <f t="shared" si="176"/>
        <v>366</v>
      </c>
      <c r="AS263" s="809">
        <f t="shared" si="177"/>
        <v>3633</v>
      </c>
      <c r="AT263" s="808">
        <f t="shared" si="178"/>
        <v>21549</v>
      </c>
      <c r="AU263" s="808">
        <f t="shared" si="179"/>
        <v>16586.599999999999</v>
      </c>
    </row>
    <row r="264" spans="1:47" ht="15" customHeight="1" x14ac:dyDescent="0.25">
      <c r="A264" s="842" t="s">
        <v>133</v>
      </c>
      <c r="B264" s="843" t="s">
        <v>1279</v>
      </c>
      <c r="C264" s="778">
        <f t="shared" si="164"/>
        <v>9.5000000000000001E-2</v>
      </c>
      <c r="D264" s="844">
        <v>10</v>
      </c>
      <c r="E264" s="779" t="s">
        <v>1182</v>
      </c>
      <c r="F264" s="845">
        <v>43239</v>
      </c>
      <c r="G264" s="781">
        <f t="shared" si="180"/>
        <v>43239</v>
      </c>
      <c r="H264" s="781">
        <f t="shared" si="126"/>
        <v>46889</v>
      </c>
      <c r="I264" s="795">
        <v>43520.36</v>
      </c>
      <c r="J264" s="783">
        <f t="shared" si="165"/>
        <v>2176.018</v>
      </c>
      <c r="K264" s="887"/>
      <c r="L264" s="846">
        <v>0</v>
      </c>
      <c r="M264" s="790">
        <f t="shared" si="181"/>
        <v>43520.36</v>
      </c>
      <c r="N264" s="791">
        <f t="shared" si="182"/>
        <v>317</v>
      </c>
      <c r="O264" s="791">
        <f t="shared" si="183"/>
        <v>3591</v>
      </c>
      <c r="P264" s="790">
        <f t="shared" si="184"/>
        <v>3591</v>
      </c>
      <c r="Q264" s="847">
        <f t="shared" si="128"/>
        <v>39929.360000000001</v>
      </c>
      <c r="R264" s="914">
        <f t="shared" si="129"/>
        <v>39929.360000000001</v>
      </c>
      <c r="S264" s="790">
        <f t="shared" si="185"/>
        <v>43520.36</v>
      </c>
      <c r="T264" s="792">
        <f t="shared" si="186"/>
        <v>366</v>
      </c>
      <c r="U264" s="792">
        <f t="shared" si="187"/>
        <v>4134</v>
      </c>
      <c r="V264" s="790">
        <f t="shared" si="188"/>
        <v>7725</v>
      </c>
      <c r="W264" s="847">
        <f t="shared" si="166"/>
        <v>35795.360000000001</v>
      </c>
      <c r="X264" s="846">
        <f t="shared" si="131"/>
        <v>35795.360000000001</v>
      </c>
      <c r="Y264" s="783">
        <f t="shared" si="189"/>
        <v>43520.36</v>
      </c>
      <c r="Z264" s="783">
        <f t="shared" si="190"/>
        <v>365</v>
      </c>
      <c r="AA264" s="783">
        <f t="shared" si="191"/>
        <v>4134</v>
      </c>
      <c r="AB264" s="783">
        <f t="shared" si="192"/>
        <v>11859</v>
      </c>
      <c r="AC264" s="848">
        <f t="shared" si="167"/>
        <v>31661.360000000001</v>
      </c>
      <c r="AD264" s="789">
        <f t="shared" si="133"/>
        <v>31661.360000000001</v>
      </c>
      <c r="AE264" s="790">
        <f t="shared" si="193"/>
        <v>43520.36</v>
      </c>
      <c r="AF264" s="791">
        <f t="shared" si="194"/>
        <v>365</v>
      </c>
      <c r="AG264" s="791">
        <f t="shared" si="195"/>
        <v>4134</v>
      </c>
      <c r="AH264" s="783">
        <f t="shared" si="196"/>
        <v>15993</v>
      </c>
      <c r="AI264" s="783">
        <f t="shared" si="134"/>
        <v>27527.360000000001</v>
      </c>
      <c r="AJ264" s="790">
        <f t="shared" si="168"/>
        <v>27527.360000000001</v>
      </c>
      <c r="AK264" s="790">
        <f t="shared" si="169"/>
        <v>43520.36</v>
      </c>
      <c r="AL264" s="791">
        <f t="shared" si="170"/>
        <v>365</v>
      </c>
      <c r="AM264" s="791">
        <f t="shared" si="171"/>
        <v>4134</v>
      </c>
      <c r="AN264" s="783">
        <f t="shared" si="172"/>
        <v>20127</v>
      </c>
      <c r="AO264" s="783">
        <f t="shared" si="173"/>
        <v>23393.360000000001</v>
      </c>
      <c r="AP264" s="808">
        <f t="shared" si="174"/>
        <v>23393.360000000001</v>
      </c>
      <c r="AQ264" s="808">
        <f t="shared" si="175"/>
        <v>43520.36</v>
      </c>
      <c r="AR264" s="809">
        <f t="shared" si="176"/>
        <v>366</v>
      </c>
      <c r="AS264" s="809">
        <f t="shared" si="177"/>
        <v>4146</v>
      </c>
      <c r="AT264" s="808">
        <f t="shared" si="178"/>
        <v>24273</v>
      </c>
      <c r="AU264" s="808">
        <f t="shared" si="179"/>
        <v>19247.36</v>
      </c>
    </row>
    <row r="265" spans="1:47" ht="15" customHeight="1" x14ac:dyDescent="0.25">
      <c r="A265" s="842" t="s">
        <v>133</v>
      </c>
      <c r="B265" s="843" t="s">
        <v>1279</v>
      </c>
      <c r="C265" s="778">
        <f t="shared" si="164"/>
        <v>9.5000000000000001E-2</v>
      </c>
      <c r="D265" s="844">
        <v>10</v>
      </c>
      <c r="E265" s="779" t="s">
        <v>1182</v>
      </c>
      <c r="F265" s="845">
        <v>43239</v>
      </c>
      <c r="G265" s="781">
        <f t="shared" si="180"/>
        <v>43239</v>
      </c>
      <c r="H265" s="781">
        <f t="shared" si="126"/>
        <v>46889</v>
      </c>
      <c r="I265" s="795">
        <v>3910.14</v>
      </c>
      <c r="J265" s="783">
        <f t="shared" si="165"/>
        <v>195.50700000000001</v>
      </c>
      <c r="K265" s="887"/>
      <c r="L265" s="846">
        <v>0</v>
      </c>
      <c r="M265" s="790">
        <f t="shared" si="181"/>
        <v>3910.14</v>
      </c>
      <c r="N265" s="791">
        <f t="shared" si="182"/>
        <v>317</v>
      </c>
      <c r="O265" s="791">
        <f t="shared" si="183"/>
        <v>323</v>
      </c>
      <c r="P265" s="790">
        <f t="shared" si="184"/>
        <v>323</v>
      </c>
      <c r="Q265" s="847">
        <f t="shared" si="128"/>
        <v>3587.14</v>
      </c>
      <c r="R265" s="914">
        <f t="shared" si="129"/>
        <v>3587.14</v>
      </c>
      <c r="S265" s="790">
        <f t="shared" si="185"/>
        <v>3910.14</v>
      </c>
      <c r="T265" s="792">
        <f t="shared" si="186"/>
        <v>366</v>
      </c>
      <c r="U265" s="792">
        <f t="shared" si="187"/>
        <v>371</v>
      </c>
      <c r="V265" s="790">
        <f t="shared" si="188"/>
        <v>694</v>
      </c>
      <c r="W265" s="847">
        <f t="shared" si="166"/>
        <v>3216.14</v>
      </c>
      <c r="X265" s="846">
        <f t="shared" si="131"/>
        <v>3216.14</v>
      </c>
      <c r="Y265" s="783">
        <f t="shared" si="189"/>
        <v>3910.14</v>
      </c>
      <c r="Z265" s="783">
        <f t="shared" si="190"/>
        <v>365</v>
      </c>
      <c r="AA265" s="783">
        <f t="shared" si="191"/>
        <v>371</v>
      </c>
      <c r="AB265" s="783">
        <f t="shared" si="192"/>
        <v>1065</v>
      </c>
      <c r="AC265" s="848">
        <f t="shared" si="167"/>
        <v>2845.14</v>
      </c>
      <c r="AD265" s="789">
        <f t="shared" si="133"/>
        <v>2845.14</v>
      </c>
      <c r="AE265" s="790">
        <f t="shared" si="193"/>
        <v>3910.14</v>
      </c>
      <c r="AF265" s="791">
        <f t="shared" si="194"/>
        <v>365</v>
      </c>
      <c r="AG265" s="791">
        <f t="shared" si="195"/>
        <v>371</v>
      </c>
      <c r="AH265" s="783">
        <f t="shared" si="196"/>
        <v>1436</v>
      </c>
      <c r="AI265" s="783">
        <f t="shared" si="134"/>
        <v>2474.14</v>
      </c>
      <c r="AJ265" s="790">
        <f t="shared" si="168"/>
        <v>2474.14</v>
      </c>
      <c r="AK265" s="790">
        <f t="shared" si="169"/>
        <v>3910.14</v>
      </c>
      <c r="AL265" s="791">
        <f t="shared" si="170"/>
        <v>365</v>
      </c>
      <c r="AM265" s="791">
        <f t="shared" si="171"/>
        <v>371</v>
      </c>
      <c r="AN265" s="783">
        <f t="shared" si="172"/>
        <v>1807</v>
      </c>
      <c r="AO265" s="783">
        <f t="shared" si="173"/>
        <v>2103.14</v>
      </c>
      <c r="AP265" s="808">
        <f t="shared" si="174"/>
        <v>2103.14</v>
      </c>
      <c r="AQ265" s="808">
        <f t="shared" si="175"/>
        <v>3910.14</v>
      </c>
      <c r="AR265" s="809">
        <f t="shared" si="176"/>
        <v>366</v>
      </c>
      <c r="AS265" s="809">
        <f t="shared" si="177"/>
        <v>372</v>
      </c>
      <c r="AT265" s="808">
        <f t="shared" si="178"/>
        <v>2179</v>
      </c>
      <c r="AU265" s="808">
        <f t="shared" si="179"/>
        <v>1731.1399999999999</v>
      </c>
    </row>
    <row r="266" spans="1:47" ht="15" customHeight="1" x14ac:dyDescent="0.25">
      <c r="A266" s="842" t="s">
        <v>133</v>
      </c>
      <c r="B266" s="843" t="s">
        <v>1279</v>
      </c>
      <c r="C266" s="778">
        <f t="shared" si="164"/>
        <v>9.5000000000000001E-2</v>
      </c>
      <c r="D266" s="844">
        <v>10</v>
      </c>
      <c r="E266" s="779" t="s">
        <v>1182</v>
      </c>
      <c r="F266" s="845">
        <v>43265</v>
      </c>
      <c r="G266" s="781">
        <f t="shared" si="180"/>
        <v>43265</v>
      </c>
      <c r="H266" s="781">
        <f t="shared" si="126"/>
        <v>46915</v>
      </c>
      <c r="I266" s="795">
        <v>38791.58</v>
      </c>
      <c r="J266" s="783">
        <f t="shared" si="165"/>
        <v>1939.5790000000002</v>
      </c>
      <c r="K266" s="887"/>
      <c r="L266" s="846">
        <v>0</v>
      </c>
      <c r="M266" s="790">
        <f t="shared" si="181"/>
        <v>38791.58</v>
      </c>
      <c r="N266" s="791">
        <f t="shared" si="182"/>
        <v>291</v>
      </c>
      <c r="O266" s="791">
        <f t="shared" si="183"/>
        <v>2938</v>
      </c>
      <c r="P266" s="790">
        <f t="shared" si="184"/>
        <v>2938</v>
      </c>
      <c r="Q266" s="847">
        <f t="shared" si="128"/>
        <v>35853.58</v>
      </c>
      <c r="R266" s="914">
        <f t="shared" si="129"/>
        <v>35853.58</v>
      </c>
      <c r="S266" s="790">
        <f t="shared" si="185"/>
        <v>38791.58</v>
      </c>
      <c r="T266" s="792">
        <f t="shared" si="186"/>
        <v>366</v>
      </c>
      <c r="U266" s="792">
        <f t="shared" si="187"/>
        <v>3685</v>
      </c>
      <c r="V266" s="790">
        <f t="shared" si="188"/>
        <v>6623</v>
      </c>
      <c r="W266" s="847">
        <f t="shared" si="166"/>
        <v>32168.58</v>
      </c>
      <c r="X266" s="846">
        <f t="shared" si="131"/>
        <v>32168.58</v>
      </c>
      <c r="Y266" s="783">
        <f t="shared" si="189"/>
        <v>38791.58</v>
      </c>
      <c r="Z266" s="783">
        <f t="shared" si="190"/>
        <v>365</v>
      </c>
      <c r="AA266" s="783">
        <f t="shared" si="191"/>
        <v>3685</v>
      </c>
      <c r="AB266" s="783">
        <f t="shared" si="192"/>
        <v>10308</v>
      </c>
      <c r="AC266" s="848">
        <f t="shared" si="167"/>
        <v>28483.58</v>
      </c>
      <c r="AD266" s="789">
        <f t="shared" si="133"/>
        <v>28483.58</v>
      </c>
      <c r="AE266" s="790">
        <f t="shared" si="193"/>
        <v>38791.58</v>
      </c>
      <c r="AF266" s="791">
        <f t="shared" si="194"/>
        <v>365</v>
      </c>
      <c r="AG266" s="791">
        <f t="shared" si="195"/>
        <v>3685</v>
      </c>
      <c r="AH266" s="783">
        <f t="shared" si="196"/>
        <v>13993</v>
      </c>
      <c r="AI266" s="783">
        <f t="shared" si="134"/>
        <v>24798.58</v>
      </c>
      <c r="AJ266" s="790">
        <f t="shared" si="168"/>
        <v>24798.58</v>
      </c>
      <c r="AK266" s="790">
        <f t="shared" si="169"/>
        <v>38791.58</v>
      </c>
      <c r="AL266" s="791">
        <f t="shared" si="170"/>
        <v>365</v>
      </c>
      <c r="AM266" s="791">
        <f t="shared" si="171"/>
        <v>3685</v>
      </c>
      <c r="AN266" s="783">
        <f t="shared" si="172"/>
        <v>17678</v>
      </c>
      <c r="AO266" s="783">
        <f t="shared" si="173"/>
        <v>21113.58</v>
      </c>
      <c r="AP266" s="808">
        <f t="shared" si="174"/>
        <v>21113.58</v>
      </c>
      <c r="AQ266" s="808">
        <f t="shared" si="175"/>
        <v>38791.58</v>
      </c>
      <c r="AR266" s="809">
        <f t="shared" si="176"/>
        <v>366</v>
      </c>
      <c r="AS266" s="809">
        <f t="shared" si="177"/>
        <v>3695</v>
      </c>
      <c r="AT266" s="808">
        <f t="shared" si="178"/>
        <v>21373</v>
      </c>
      <c r="AU266" s="808">
        <f t="shared" si="179"/>
        <v>17418.580000000002</v>
      </c>
    </row>
    <row r="267" spans="1:47" ht="15" customHeight="1" x14ac:dyDescent="0.25">
      <c r="A267" s="842" t="s">
        <v>133</v>
      </c>
      <c r="B267" s="843" t="s">
        <v>1279</v>
      </c>
      <c r="C267" s="778">
        <f t="shared" si="164"/>
        <v>9.5000000000000001E-2</v>
      </c>
      <c r="D267" s="844">
        <v>10</v>
      </c>
      <c r="E267" s="779" t="s">
        <v>1182</v>
      </c>
      <c r="F267" s="845">
        <v>43268</v>
      </c>
      <c r="G267" s="781">
        <f t="shared" si="180"/>
        <v>43268</v>
      </c>
      <c r="H267" s="781">
        <f t="shared" si="126"/>
        <v>46918</v>
      </c>
      <c r="I267" s="795">
        <v>34175.599999999999</v>
      </c>
      <c r="J267" s="783">
        <f t="shared" si="165"/>
        <v>1708.78</v>
      </c>
      <c r="K267" s="887"/>
      <c r="L267" s="846">
        <v>0</v>
      </c>
      <c r="M267" s="790">
        <f t="shared" si="181"/>
        <v>34175.599999999999</v>
      </c>
      <c r="N267" s="791">
        <f t="shared" si="182"/>
        <v>288</v>
      </c>
      <c r="O267" s="791">
        <f t="shared" si="183"/>
        <v>2562</v>
      </c>
      <c r="P267" s="790">
        <f t="shared" si="184"/>
        <v>2562</v>
      </c>
      <c r="Q267" s="847">
        <f t="shared" si="128"/>
        <v>31613.599999999999</v>
      </c>
      <c r="R267" s="914">
        <f t="shared" si="129"/>
        <v>31613.599999999999</v>
      </c>
      <c r="S267" s="790">
        <f t="shared" si="185"/>
        <v>34175.599999999999</v>
      </c>
      <c r="T267" s="792">
        <f t="shared" si="186"/>
        <v>366</v>
      </c>
      <c r="U267" s="792">
        <f t="shared" si="187"/>
        <v>3247</v>
      </c>
      <c r="V267" s="790">
        <f t="shared" si="188"/>
        <v>5809</v>
      </c>
      <c r="W267" s="847">
        <f t="shared" si="166"/>
        <v>28366.6</v>
      </c>
      <c r="X267" s="846">
        <f t="shared" si="131"/>
        <v>28366.6</v>
      </c>
      <c r="Y267" s="783">
        <f t="shared" si="189"/>
        <v>34175.599999999999</v>
      </c>
      <c r="Z267" s="783">
        <f t="shared" si="190"/>
        <v>365</v>
      </c>
      <c r="AA267" s="783">
        <f t="shared" si="191"/>
        <v>3247</v>
      </c>
      <c r="AB267" s="783">
        <f t="shared" si="192"/>
        <v>9056</v>
      </c>
      <c r="AC267" s="848">
        <f t="shared" si="167"/>
        <v>25119.599999999999</v>
      </c>
      <c r="AD267" s="789">
        <f t="shared" si="133"/>
        <v>25119.599999999999</v>
      </c>
      <c r="AE267" s="790">
        <f t="shared" si="193"/>
        <v>34175.599999999999</v>
      </c>
      <c r="AF267" s="791">
        <f t="shared" si="194"/>
        <v>365</v>
      </c>
      <c r="AG267" s="791">
        <f t="shared" si="195"/>
        <v>3247</v>
      </c>
      <c r="AH267" s="783">
        <f t="shared" si="196"/>
        <v>12303</v>
      </c>
      <c r="AI267" s="783">
        <f t="shared" si="134"/>
        <v>21872.6</v>
      </c>
      <c r="AJ267" s="790">
        <f t="shared" si="168"/>
        <v>21872.6</v>
      </c>
      <c r="AK267" s="790">
        <f t="shared" si="169"/>
        <v>34175.599999999999</v>
      </c>
      <c r="AL267" s="791">
        <f t="shared" si="170"/>
        <v>365</v>
      </c>
      <c r="AM267" s="791">
        <f t="shared" si="171"/>
        <v>3247</v>
      </c>
      <c r="AN267" s="783">
        <f t="shared" si="172"/>
        <v>15550</v>
      </c>
      <c r="AO267" s="783">
        <f t="shared" si="173"/>
        <v>18625.599999999999</v>
      </c>
      <c r="AP267" s="808">
        <f t="shared" si="174"/>
        <v>18625.599999999999</v>
      </c>
      <c r="AQ267" s="808">
        <f t="shared" si="175"/>
        <v>34175.599999999999</v>
      </c>
      <c r="AR267" s="809">
        <f t="shared" si="176"/>
        <v>366</v>
      </c>
      <c r="AS267" s="809">
        <f t="shared" si="177"/>
        <v>3256</v>
      </c>
      <c r="AT267" s="808">
        <f t="shared" si="178"/>
        <v>18806</v>
      </c>
      <c r="AU267" s="808">
        <f t="shared" si="179"/>
        <v>15369.599999999999</v>
      </c>
    </row>
    <row r="268" spans="1:47" ht="15" customHeight="1" x14ac:dyDescent="0.25">
      <c r="A268" s="842" t="s">
        <v>133</v>
      </c>
      <c r="B268" s="843" t="s">
        <v>1279</v>
      </c>
      <c r="C268" s="778">
        <f t="shared" si="164"/>
        <v>9.5000000000000001E-2</v>
      </c>
      <c r="D268" s="844">
        <v>10</v>
      </c>
      <c r="E268" s="779" t="s">
        <v>1182</v>
      </c>
      <c r="F268" s="845">
        <v>43294</v>
      </c>
      <c r="G268" s="781">
        <f t="shared" si="180"/>
        <v>43294</v>
      </c>
      <c r="H268" s="781">
        <f t="shared" si="126"/>
        <v>46944</v>
      </c>
      <c r="I268" s="795">
        <v>3480</v>
      </c>
      <c r="J268" s="783">
        <f t="shared" si="165"/>
        <v>174</v>
      </c>
      <c r="K268" s="887"/>
      <c r="L268" s="846">
        <v>0</v>
      </c>
      <c r="M268" s="790">
        <f t="shared" si="181"/>
        <v>3480</v>
      </c>
      <c r="N268" s="791">
        <f t="shared" si="182"/>
        <v>262</v>
      </c>
      <c r="O268" s="791">
        <f t="shared" si="183"/>
        <v>237</v>
      </c>
      <c r="P268" s="790">
        <f t="shared" si="184"/>
        <v>237</v>
      </c>
      <c r="Q268" s="847">
        <f t="shared" si="128"/>
        <v>3243</v>
      </c>
      <c r="R268" s="914">
        <f t="shared" si="129"/>
        <v>3243</v>
      </c>
      <c r="S268" s="790">
        <f t="shared" si="185"/>
        <v>3480</v>
      </c>
      <c r="T268" s="792">
        <f t="shared" si="186"/>
        <v>366</v>
      </c>
      <c r="U268" s="792">
        <f t="shared" si="187"/>
        <v>331</v>
      </c>
      <c r="V268" s="790">
        <f t="shared" si="188"/>
        <v>568</v>
      </c>
      <c r="W268" s="847">
        <f t="shared" si="166"/>
        <v>2912</v>
      </c>
      <c r="X268" s="846">
        <f t="shared" si="131"/>
        <v>2912</v>
      </c>
      <c r="Y268" s="783">
        <f t="shared" si="189"/>
        <v>3480</v>
      </c>
      <c r="Z268" s="783">
        <f t="shared" si="190"/>
        <v>365</v>
      </c>
      <c r="AA268" s="783">
        <f t="shared" si="191"/>
        <v>331</v>
      </c>
      <c r="AB268" s="783">
        <f t="shared" si="192"/>
        <v>899</v>
      </c>
      <c r="AC268" s="848">
        <f t="shared" si="167"/>
        <v>2581</v>
      </c>
      <c r="AD268" s="789">
        <f t="shared" si="133"/>
        <v>2581</v>
      </c>
      <c r="AE268" s="790">
        <f t="shared" si="193"/>
        <v>3480</v>
      </c>
      <c r="AF268" s="791">
        <f t="shared" si="194"/>
        <v>365</v>
      </c>
      <c r="AG268" s="791">
        <f t="shared" si="195"/>
        <v>331</v>
      </c>
      <c r="AH268" s="783">
        <f t="shared" si="196"/>
        <v>1230</v>
      </c>
      <c r="AI268" s="783">
        <f t="shared" si="134"/>
        <v>2250</v>
      </c>
      <c r="AJ268" s="790">
        <f t="shared" si="168"/>
        <v>2250</v>
      </c>
      <c r="AK268" s="790">
        <f t="shared" si="169"/>
        <v>3480</v>
      </c>
      <c r="AL268" s="791">
        <f t="shared" si="170"/>
        <v>365</v>
      </c>
      <c r="AM268" s="791">
        <f t="shared" si="171"/>
        <v>331</v>
      </c>
      <c r="AN268" s="783">
        <f t="shared" si="172"/>
        <v>1561</v>
      </c>
      <c r="AO268" s="783">
        <f t="shared" si="173"/>
        <v>1919</v>
      </c>
      <c r="AP268" s="808">
        <f t="shared" si="174"/>
        <v>1919</v>
      </c>
      <c r="AQ268" s="808">
        <f t="shared" si="175"/>
        <v>3480</v>
      </c>
      <c r="AR268" s="809">
        <f t="shared" si="176"/>
        <v>366</v>
      </c>
      <c r="AS268" s="809">
        <f t="shared" si="177"/>
        <v>332</v>
      </c>
      <c r="AT268" s="808">
        <f t="shared" si="178"/>
        <v>1893</v>
      </c>
      <c r="AU268" s="808">
        <f t="shared" si="179"/>
        <v>1587</v>
      </c>
    </row>
    <row r="269" spans="1:47" ht="15" customHeight="1" x14ac:dyDescent="0.25">
      <c r="A269" s="842" t="s">
        <v>133</v>
      </c>
      <c r="B269" s="843" t="s">
        <v>1279</v>
      </c>
      <c r="C269" s="778">
        <f t="shared" si="164"/>
        <v>9.5000000000000001E-2</v>
      </c>
      <c r="D269" s="844">
        <v>10</v>
      </c>
      <c r="E269" s="779" t="s">
        <v>1182</v>
      </c>
      <c r="F269" s="845">
        <v>43295</v>
      </c>
      <c r="G269" s="781">
        <f t="shared" si="180"/>
        <v>43295</v>
      </c>
      <c r="H269" s="781">
        <f t="shared" si="126"/>
        <v>46945</v>
      </c>
      <c r="I269" s="795">
        <v>9322</v>
      </c>
      <c r="J269" s="783">
        <f t="shared" si="165"/>
        <v>466.1</v>
      </c>
      <c r="K269" s="887"/>
      <c r="L269" s="846">
        <v>0</v>
      </c>
      <c r="M269" s="790">
        <f t="shared" si="181"/>
        <v>9322</v>
      </c>
      <c r="N269" s="791">
        <f t="shared" si="182"/>
        <v>261</v>
      </c>
      <c r="O269" s="791">
        <f t="shared" si="183"/>
        <v>633</v>
      </c>
      <c r="P269" s="790">
        <f t="shared" si="184"/>
        <v>633</v>
      </c>
      <c r="Q269" s="847">
        <f t="shared" si="128"/>
        <v>8689</v>
      </c>
      <c r="R269" s="914">
        <f t="shared" si="129"/>
        <v>8689</v>
      </c>
      <c r="S269" s="790">
        <f t="shared" si="185"/>
        <v>9322</v>
      </c>
      <c r="T269" s="792">
        <f t="shared" si="186"/>
        <v>366</v>
      </c>
      <c r="U269" s="792">
        <f t="shared" si="187"/>
        <v>886</v>
      </c>
      <c r="V269" s="790">
        <f t="shared" si="188"/>
        <v>1519</v>
      </c>
      <c r="W269" s="847">
        <f t="shared" si="166"/>
        <v>7803</v>
      </c>
      <c r="X269" s="846">
        <f t="shared" si="131"/>
        <v>7803</v>
      </c>
      <c r="Y269" s="783">
        <f t="shared" si="189"/>
        <v>9322</v>
      </c>
      <c r="Z269" s="783">
        <f t="shared" si="190"/>
        <v>365</v>
      </c>
      <c r="AA269" s="783">
        <f t="shared" si="191"/>
        <v>886</v>
      </c>
      <c r="AB269" s="783">
        <f t="shared" si="192"/>
        <v>2405</v>
      </c>
      <c r="AC269" s="848">
        <f t="shared" si="167"/>
        <v>6917</v>
      </c>
      <c r="AD269" s="789">
        <f t="shared" si="133"/>
        <v>6917</v>
      </c>
      <c r="AE269" s="790">
        <f t="shared" si="193"/>
        <v>9322</v>
      </c>
      <c r="AF269" s="791">
        <f t="shared" si="194"/>
        <v>365</v>
      </c>
      <c r="AG269" s="791">
        <f t="shared" si="195"/>
        <v>886</v>
      </c>
      <c r="AH269" s="783">
        <f t="shared" si="196"/>
        <v>3291</v>
      </c>
      <c r="AI269" s="783">
        <f t="shared" si="134"/>
        <v>6031</v>
      </c>
      <c r="AJ269" s="790">
        <f t="shared" si="168"/>
        <v>6031</v>
      </c>
      <c r="AK269" s="790">
        <f t="shared" si="169"/>
        <v>9322</v>
      </c>
      <c r="AL269" s="791">
        <f t="shared" si="170"/>
        <v>365</v>
      </c>
      <c r="AM269" s="791">
        <f t="shared" si="171"/>
        <v>886</v>
      </c>
      <c r="AN269" s="783">
        <f t="shared" si="172"/>
        <v>4177</v>
      </c>
      <c r="AO269" s="783">
        <f t="shared" si="173"/>
        <v>5145</v>
      </c>
      <c r="AP269" s="808">
        <f t="shared" si="174"/>
        <v>5145</v>
      </c>
      <c r="AQ269" s="808">
        <f t="shared" si="175"/>
        <v>9322</v>
      </c>
      <c r="AR269" s="809">
        <f t="shared" si="176"/>
        <v>366</v>
      </c>
      <c r="AS269" s="809">
        <f t="shared" si="177"/>
        <v>888</v>
      </c>
      <c r="AT269" s="808">
        <f t="shared" si="178"/>
        <v>5065</v>
      </c>
      <c r="AU269" s="808">
        <f t="shared" si="179"/>
        <v>4257</v>
      </c>
    </row>
    <row r="270" spans="1:47" ht="15" customHeight="1" x14ac:dyDescent="0.25">
      <c r="A270" s="842" t="s">
        <v>133</v>
      </c>
      <c r="B270" s="843" t="s">
        <v>1279</v>
      </c>
      <c r="C270" s="778">
        <f t="shared" si="164"/>
        <v>9.5000000000000001E-2</v>
      </c>
      <c r="D270" s="844">
        <v>10</v>
      </c>
      <c r="E270" s="779" t="s">
        <v>1182</v>
      </c>
      <c r="F270" s="845">
        <v>43295</v>
      </c>
      <c r="G270" s="781">
        <f t="shared" si="180"/>
        <v>43295</v>
      </c>
      <c r="H270" s="781">
        <f t="shared" si="126"/>
        <v>46945</v>
      </c>
      <c r="I270" s="795">
        <v>3978.5</v>
      </c>
      <c r="J270" s="783">
        <f t="shared" si="165"/>
        <v>198.92500000000001</v>
      </c>
      <c r="K270" s="887"/>
      <c r="L270" s="846">
        <v>0</v>
      </c>
      <c r="M270" s="790">
        <f t="shared" si="181"/>
        <v>3978.5</v>
      </c>
      <c r="N270" s="791">
        <f t="shared" si="182"/>
        <v>261</v>
      </c>
      <c r="O270" s="791">
        <f t="shared" si="183"/>
        <v>270</v>
      </c>
      <c r="P270" s="790">
        <f t="shared" si="184"/>
        <v>270</v>
      </c>
      <c r="Q270" s="847">
        <f t="shared" si="128"/>
        <v>3708.5</v>
      </c>
      <c r="R270" s="914">
        <f t="shared" si="129"/>
        <v>3708.5</v>
      </c>
      <c r="S270" s="790">
        <f t="shared" si="185"/>
        <v>3978.5</v>
      </c>
      <c r="T270" s="792">
        <f t="shared" si="186"/>
        <v>366</v>
      </c>
      <c r="U270" s="792">
        <f t="shared" si="187"/>
        <v>378</v>
      </c>
      <c r="V270" s="790">
        <f t="shared" si="188"/>
        <v>648</v>
      </c>
      <c r="W270" s="847">
        <f t="shared" si="166"/>
        <v>3330.5</v>
      </c>
      <c r="X270" s="846">
        <f t="shared" si="131"/>
        <v>3330.5</v>
      </c>
      <c r="Y270" s="783">
        <f t="shared" si="189"/>
        <v>3978.5</v>
      </c>
      <c r="Z270" s="783">
        <f t="shared" si="190"/>
        <v>365</v>
      </c>
      <c r="AA270" s="783">
        <f t="shared" si="191"/>
        <v>378</v>
      </c>
      <c r="AB270" s="783">
        <f t="shared" si="192"/>
        <v>1026</v>
      </c>
      <c r="AC270" s="848">
        <f t="shared" si="167"/>
        <v>2952.5</v>
      </c>
      <c r="AD270" s="789">
        <f t="shared" si="133"/>
        <v>2952.5</v>
      </c>
      <c r="AE270" s="790">
        <f t="shared" si="193"/>
        <v>3978.5</v>
      </c>
      <c r="AF270" s="791">
        <f t="shared" si="194"/>
        <v>365</v>
      </c>
      <c r="AG270" s="791">
        <f t="shared" si="195"/>
        <v>378</v>
      </c>
      <c r="AH270" s="783">
        <f t="shared" si="196"/>
        <v>1404</v>
      </c>
      <c r="AI270" s="783">
        <f t="shared" si="134"/>
        <v>2574.5</v>
      </c>
      <c r="AJ270" s="790">
        <f t="shared" si="168"/>
        <v>2574.5</v>
      </c>
      <c r="AK270" s="790">
        <f t="shared" si="169"/>
        <v>3978.5</v>
      </c>
      <c r="AL270" s="791">
        <f t="shared" si="170"/>
        <v>365</v>
      </c>
      <c r="AM270" s="791">
        <f t="shared" si="171"/>
        <v>378</v>
      </c>
      <c r="AN270" s="783">
        <f t="shared" si="172"/>
        <v>1782</v>
      </c>
      <c r="AO270" s="783">
        <f t="shared" si="173"/>
        <v>2196.5</v>
      </c>
      <c r="AP270" s="808">
        <f t="shared" si="174"/>
        <v>2196.5</v>
      </c>
      <c r="AQ270" s="808">
        <f t="shared" si="175"/>
        <v>3978.5</v>
      </c>
      <c r="AR270" s="809">
        <f t="shared" si="176"/>
        <v>366</v>
      </c>
      <c r="AS270" s="809">
        <f t="shared" si="177"/>
        <v>379</v>
      </c>
      <c r="AT270" s="808">
        <f t="shared" si="178"/>
        <v>2161</v>
      </c>
      <c r="AU270" s="808">
        <f t="shared" si="179"/>
        <v>1817.5</v>
      </c>
    </row>
    <row r="271" spans="1:47" ht="15" customHeight="1" x14ac:dyDescent="0.25">
      <c r="A271" s="842" t="s">
        <v>133</v>
      </c>
      <c r="B271" s="843" t="s">
        <v>1279</v>
      </c>
      <c r="C271" s="778">
        <f t="shared" si="164"/>
        <v>9.5000000000000001E-2</v>
      </c>
      <c r="D271" s="844">
        <v>10</v>
      </c>
      <c r="E271" s="779" t="s">
        <v>1182</v>
      </c>
      <c r="F271" s="845">
        <v>43302</v>
      </c>
      <c r="G271" s="781">
        <f t="shared" si="180"/>
        <v>43302</v>
      </c>
      <c r="H271" s="781">
        <f t="shared" si="126"/>
        <v>46952</v>
      </c>
      <c r="I271" s="795">
        <v>6678</v>
      </c>
      <c r="J271" s="783">
        <f t="shared" si="165"/>
        <v>333.90000000000003</v>
      </c>
      <c r="K271" s="887"/>
      <c r="L271" s="846">
        <v>0</v>
      </c>
      <c r="M271" s="790">
        <f t="shared" si="181"/>
        <v>6678</v>
      </c>
      <c r="N271" s="791">
        <f t="shared" si="182"/>
        <v>254</v>
      </c>
      <c r="O271" s="791">
        <f t="shared" si="183"/>
        <v>441</v>
      </c>
      <c r="P271" s="790">
        <f t="shared" si="184"/>
        <v>441</v>
      </c>
      <c r="Q271" s="847">
        <f t="shared" si="128"/>
        <v>6237</v>
      </c>
      <c r="R271" s="914">
        <f t="shared" si="129"/>
        <v>6237</v>
      </c>
      <c r="S271" s="790">
        <f t="shared" si="185"/>
        <v>6678</v>
      </c>
      <c r="T271" s="792">
        <f t="shared" si="186"/>
        <v>366</v>
      </c>
      <c r="U271" s="792">
        <f t="shared" si="187"/>
        <v>634</v>
      </c>
      <c r="V271" s="790">
        <f t="shared" si="188"/>
        <v>1075</v>
      </c>
      <c r="W271" s="847">
        <f t="shared" si="166"/>
        <v>5603</v>
      </c>
      <c r="X271" s="846">
        <f t="shared" si="131"/>
        <v>5603</v>
      </c>
      <c r="Y271" s="783">
        <f t="shared" si="189"/>
        <v>6678</v>
      </c>
      <c r="Z271" s="783">
        <f t="shared" si="190"/>
        <v>365</v>
      </c>
      <c r="AA271" s="783">
        <f t="shared" si="191"/>
        <v>634</v>
      </c>
      <c r="AB271" s="783">
        <f t="shared" si="192"/>
        <v>1709</v>
      </c>
      <c r="AC271" s="848">
        <f t="shared" si="167"/>
        <v>4969</v>
      </c>
      <c r="AD271" s="789">
        <f t="shared" si="133"/>
        <v>4969</v>
      </c>
      <c r="AE271" s="790">
        <f t="shared" si="193"/>
        <v>6678</v>
      </c>
      <c r="AF271" s="791">
        <f t="shared" si="194"/>
        <v>365</v>
      </c>
      <c r="AG271" s="791">
        <f t="shared" si="195"/>
        <v>634</v>
      </c>
      <c r="AH271" s="783">
        <f t="shared" si="196"/>
        <v>2343</v>
      </c>
      <c r="AI271" s="783">
        <f t="shared" si="134"/>
        <v>4335</v>
      </c>
      <c r="AJ271" s="790">
        <f t="shared" si="168"/>
        <v>4335</v>
      </c>
      <c r="AK271" s="790">
        <f t="shared" si="169"/>
        <v>6678</v>
      </c>
      <c r="AL271" s="791">
        <f t="shared" si="170"/>
        <v>365</v>
      </c>
      <c r="AM271" s="791">
        <f t="shared" si="171"/>
        <v>634</v>
      </c>
      <c r="AN271" s="783">
        <f t="shared" si="172"/>
        <v>2977</v>
      </c>
      <c r="AO271" s="783">
        <f t="shared" si="173"/>
        <v>3701</v>
      </c>
      <c r="AP271" s="808">
        <f t="shared" si="174"/>
        <v>3701</v>
      </c>
      <c r="AQ271" s="808">
        <f t="shared" si="175"/>
        <v>6678</v>
      </c>
      <c r="AR271" s="809">
        <f t="shared" si="176"/>
        <v>366</v>
      </c>
      <c r="AS271" s="809">
        <f t="shared" si="177"/>
        <v>636</v>
      </c>
      <c r="AT271" s="808">
        <f t="shared" si="178"/>
        <v>3613</v>
      </c>
      <c r="AU271" s="808">
        <f t="shared" si="179"/>
        <v>3065</v>
      </c>
    </row>
    <row r="272" spans="1:47" ht="15" customHeight="1" x14ac:dyDescent="0.25">
      <c r="A272" s="842" t="s">
        <v>133</v>
      </c>
      <c r="B272" s="843" t="s">
        <v>1279</v>
      </c>
      <c r="C272" s="778">
        <f t="shared" si="164"/>
        <v>9.5000000000000001E-2</v>
      </c>
      <c r="D272" s="844">
        <v>10</v>
      </c>
      <c r="E272" s="779" t="s">
        <v>1182</v>
      </c>
      <c r="F272" s="845">
        <v>43306</v>
      </c>
      <c r="G272" s="781">
        <f t="shared" si="180"/>
        <v>43306</v>
      </c>
      <c r="H272" s="781">
        <f t="shared" si="126"/>
        <v>46956</v>
      </c>
      <c r="I272" s="795">
        <v>46080</v>
      </c>
      <c r="J272" s="783">
        <f t="shared" si="165"/>
        <v>2304</v>
      </c>
      <c r="K272" s="887"/>
      <c r="L272" s="846">
        <v>0</v>
      </c>
      <c r="M272" s="790">
        <f t="shared" si="181"/>
        <v>46080</v>
      </c>
      <c r="N272" s="791">
        <f t="shared" si="182"/>
        <v>250</v>
      </c>
      <c r="O272" s="791">
        <f t="shared" si="183"/>
        <v>2998</v>
      </c>
      <c r="P272" s="790">
        <f t="shared" si="184"/>
        <v>2998</v>
      </c>
      <c r="Q272" s="847">
        <f t="shared" si="128"/>
        <v>43082</v>
      </c>
      <c r="R272" s="914">
        <f t="shared" si="129"/>
        <v>43082</v>
      </c>
      <c r="S272" s="790">
        <f t="shared" si="185"/>
        <v>46080</v>
      </c>
      <c r="T272" s="792">
        <f t="shared" si="186"/>
        <v>366</v>
      </c>
      <c r="U272" s="792">
        <f t="shared" si="187"/>
        <v>4378</v>
      </c>
      <c r="V272" s="790">
        <f t="shared" si="188"/>
        <v>7376</v>
      </c>
      <c r="W272" s="847">
        <f t="shared" si="166"/>
        <v>38704</v>
      </c>
      <c r="X272" s="846">
        <f t="shared" si="131"/>
        <v>38704</v>
      </c>
      <c r="Y272" s="783">
        <f t="shared" si="189"/>
        <v>46080</v>
      </c>
      <c r="Z272" s="783">
        <f t="shared" si="190"/>
        <v>365</v>
      </c>
      <c r="AA272" s="783">
        <f t="shared" si="191"/>
        <v>4378</v>
      </c>
      <c r="AB272" s="783">
        <f t="shared" si="192"/>
        <v>11754</v>
      </c>
      <c r="AC272" s="848">
        <f t="shared" si="167"/>
        <v>34326</v>
      </c>
      <c r="AD272" s="789">
        <f t="shared" si="133"/>
        <v>34326</v>
      </c>
      <c r="AE272" s="790">
        <f t="shared" si="193"/>
        <v>46080</v>
      </c>
      <c r="AF272" s="791">
        <f t="shared" si="194"/>
        <v>365</v>
      </c>
      <c r="AG272" s="791">
        <f t="shared" si="195"/>
        <v>4378</v>
      </c>
      <c r="AH272" s="783">
        <f t="shared" si="196"/>
        <v>16132</v>
      </c>
      <c r="AI272" s="783">
        <f t="shared" si="134"/>
        <v>29948</v>
      </c>
      <c r="AJ272" s="790">
        <f t="shared" si="168"/>
        <v>29948</v>
      </c>
      <c r="AK272" s="790">
        <f t="shared" si="169"/>
        <v>46080</v>
      </c>
      <c r="AL272" s="791">
        <f t="shared" si="170"/>
        <v>365</v>
      </c>
      <c r="AM272" s="791">
        <f t="shared" si="171"/>
        <v>4378</v>
      </c>
      <c r="AN272" s="783">
        <f t="shared" si="172"/>
        <v>20510</v>
      </c>
      <c r="AO272" s="783">
        <f t="shared" si="173"/>
        <v>25570</v>
      </c>
      <c r="AP272" s="808">
        <f t="shared" si="174"/>
        <v>25570</v>
      </c>
      <c r="AQ272" s="808">
        <f t="shared" si="175"/>
        <v>46080</v>
      </c>
      <c r="AR272" s="809">
        <f t="shared" si="176"/>
        <v>366</v>
      </c>
      <c r="AS272" s="809">
        <f t="shared" si="177"/>
        <v>4390</v>
      </c>
      <c r="AT272" s="808">
        <f t="shared" si="178"/>
        <v>24900</v>
      </c>
      <c r="AU272" s="808">
        <f t="shared" si="179"/>
        <v>21180</v>
      </c>
    </row>
    <row r="273" spans="1:47" ht="15" customHeight="1" x14ac:dyDescent="0.25">
      <c r="A273" s="842" t="s">
        <v>133</v>
      </c>
      <c r="B273" s="843" t="s">
        <v>1279</v>
      </c>
      <c r="C273" s="778">
        <f t="shared" si="164"/>
        <v>9.5000000000000001E-2</v>
      </c>
      <c r="D273" s="844">
        <v>10</v>
      </c>
      <c r="E273" s="779" t="s">
        <v>1182</v>
      </c>
      <c r="F273" s="845">
        <v>43332</v>
      </c>
      <c r="G273" s="781">
        <f t="shared" si="180"/>
        <v>43332</v>
      </c>
      <c r="H273" s="781">
        <f t="shared" si="126"/>
        <v>46982</v>
      </c>
      <c r="I273" s="795">
        <v>182450</v>
      </c>
      <c r="J273" s="783">
        <f t="shared" si="165"/>
        <v>9122.5</v>
      </c>
      <c r="K273" s="887"/>
      <c r="L273" s="846">
        <v>0</v>
      </c>
      <c r="M273" s="790">
        <f t="shared" si="181"/>
        <v>182450</v>
      </c>
      <c r="N273" s="791">
        <f t="shared" si="182"/>
        <v>224</v>
      </c>
      <c r="O273" s="791">
        <f t="shared" si="183"/>
        <v>10637</v>
      </c>
      <c r="P273" s="790">
        <f t="shared" si="184"/>
        <v>10637</v>
      </c>
      <c r="Q273" s="847">
        <f t="shared" si="128"/>
        <v>171813</v>
      </c>
      <c r="R273" s="914">
        <f t="shared" si="129"/>
        <v>171813</v>
      </c>
      <c r="S273" s="790">
        <f t="shared" si="185"/>
        <v>182450</v>
      </c>
      <c r="T273" s="792">
        <f t="shared" si="186"/>
        <v>366</v>
      </c>
      <c r="U273" s="792">
        <f t="shared" si="187"/>
        <v>17333</v>
      </c>
      <c r="V273" s="790">
        <f t="shared" si="188"/>
        <v>27970</v>
      </c>
      <c r="W273" s="847">
        <f t="shared" si="166"/>
        <v>154480</v>
      </c>
      <c r="X273" s="846">
        <f t="shared" si="131"/>
        <v>154480</v>
      </c>
      <c r="Y273" s="783">
        <f t="shared" si="189"/>
        <v>182450</v>
      </c>
      <c r="Z273" s="783">
        <f t="shared" si="190"/>
        <v>365</v>
      </c>
      <c r="AA273" s="783">
        <f t="shared" si="191"/>
        <v>17333</v>
      </c>
      <c r="AB273" s="783">
        <f t="shared" si="192"/>
        <v>45303</v>
      </c>
      <c r="AC273" s="848">
        <f t="shared" si="167"/>
        <v>137147</v>
      </c>
      <c r="AD273" s="789">
        <f t="shared" si="133"/>
        <v>137147</v>
      </c>
      <c r="AE273" s="790">
        <f t="shared" si="193"/>
        <v>182450</v>
      </c>
      <c r="AF273" s="791">
        <f t="shared" si="194"/>
        <v>365</v>
      </c>
      <c r="AG273" s="791">
        <f t="shared" si="195"/>
        <v>17333</v>
      </c>
      <c r="AH273" s="783">
        <f t="shared" si="196"/>
        <v>62636</v>
      </c>
      <c r="AI273" s="783">
        <f t="shared" si="134"/>
        <v>119814</v>
      </c>
      <c r="AJ273" s="790">
        <f t="shared" si="168"/>
        <v>119814</v>
      </c>
      <c r="AK273" s="790">
        <f t="shared" si="169"/>
        <v>182450</v>
      </c>
      <c r="AL273" s="791">
        <f t="shared" si="170"/>
        <v>365</v>
      </c>
      <c r="AM273" s="791">
        <f t="shared" si="171"/>
        <v>17333</v>
      </c>
      <c r="AN273" s="783">
        <f t="shared" si="172"/>
        <v>79969</v>
      </c>
      <c r="AO273" s="783">
        <f t="shared" si="173"/>
        <v>102481</v>
      </c>
      <c r="AP273" s="808">
        <f t="shared" si="174"/>
        <v>102481</v>
      </c>
      <c r="AQ273" s="808">
        <f t="shared" si="175"/>
        <v>182450</v>
      </c>
      <c r="AR273" s="809">
        <f t="shared" si="176"/>
        <v>366</v>
      </c>
      <c r="AS273" s="809">
        <f t="shared" si="177"/>
        <v>17380</v>
      </c>
      <c r="AT273" s="808">
        <f t="shared" si="178"/>
        <v>97349</v>
      </c>
      <c r="AU273" s="808">
        <f t="shared" si="179"/>
        <v>85101</v>
      </c>
    </row>
    <row r="274" spans="1:47" ht="15" customHeight="1" x14ac:dyDescent="0.25">
      <c r="A274" s="842" t="s">
        <v>133</v>
      </c>
      <c r="B274" s="843" t="s">
        <v>1279</v>
      </c>
      <c r="C274" s="778">
        <f t="shared" si="164"/>
        <v>9.5000000000000001E-2</v>
      </c>
      <c r="D274" s="844">
        <v>10</v>
      </c>
      <c r="E274" s="779" t="s">
        <v>1182</v>
      </c>
      <c r="F274" s="845">
        <v>43378</v>
      </c>
      <c r="G274" s="781">
        <f t="shared" si="180"/>
        <v>43378</v>
      </c>
      <c r="H274" s="781">
        <f t="shared" si="126"/>
        <v>47028</v>
      </c>
      <c r="I274" s="795">
        <v>9938</v>
      </c>
      <c r="J274" s="783">
        <f t="shared" si="165"/>
        <v>496.90000000000003</v>
      </c>
      <c r="K274" s="887"/>
      <c r="L274" s="846">
        <v>0</v>
      </c>
      <c r="M274" s="790">
        <f t="shared" si="181"/>
        <v>9938</v>
      </c>
      <c r="N274" s="791">
        <f t="shared" si="182"/>
        <v>178</v>
      </c>
      <c r="O274" s="791">
        <f t="shared" si="183"/>
        <v>460</v>
      </c>
      <c r="P274" s="790">
        <f t="shared" si="184"/>
        <v>460</v>
      </c>
      <c r="Q274" s="847">
        <f t="shared" si="128"/>
        <v>9478</v>
      </c>
      <c r="R274" s="914">
        <f t="shared" si="129"/>
        <v>9478</v>
      </c>
      <c r="S274" s="790">
        <f t="shared" si="185"/>
        <v>9938</v>
      </c>
      <c r="T274" s="792">
        <f t="shared" si="186"/>
        <v>366</v>
      </c>
      <c r="U274" s="792">
        <f t="shared" si="187"/>
        <v>944</v>
      </c>
      <c r="V274" s="790">
        <f t="shared" si="188"/>
        <v>1404</v>
      </c>
      <c r="W274" s="847">
        <f t="shared" si="166"/>
        <v>8534</v>
      </c>
      <c r="X274" s="846">
        <f t="shared" si="131"/>
        <v>8534</v>
      </c>
      <c r="Y274" s="783">
        <f t="shared" si="189"/>
        <v>9938</v>
      </c>
      <c r="Z274" s="783">
        <f t="shared" si="190"/>
        <v>365</v>
      </c>
      <c r="AA274" s="783">
        <f t="shared" si="191"/>
        <v>944</v>
      </c>
      <c r="AB274" s="783">
        <f t="shared" si="192"/>
        <v>2348</v>
      </c>
      <c r="AC274" s="848">
        <f t="shared" si="167"/>
        <v>7590</v>
      </c>
      <c r="AD274" s="789">
        <f t="shared" si="133"/>
        <v>7590</v>
      </c>
      <c r="AE274" s="790">
        <f t="shared" si="193"/>
        <v>9938</v>
      </c>
      <c r="AF274" s="791">
        <f t="shared" si="194"/>
        <v>365</v>
      </c>
      <c r="AG274" s="791">
        <f t="shared" si="195"/>
        <v>944</v>
      </c>
      <c r="AH274" s="783">
        <f t="shared" si="196"/>
        <v>3292</v>
      </c>
      <c r="AI274" s="783">
        <f t="shared" si="134"/>
        <v>6646</v>
      </c>
      <c r="AJ274" s="790">
        <f t="shared" si="168"/>
        <v>6646</v>
      </c>
      <c r="AK274" s="790">
        <f t="shared" si="169"/>
        <v>9938</v>
      </c>
      <c r="AL274" s="791">
        <f t="shared" si="170"/>
        <v>365</v>
      </c>
      <c r="AM274" s="791">
        <f t="shared" si="171"/>
        <v>944</v>
      </c>
      <c r="AN274" s="783">
        <f t="shared" si="172"/>
        <v>4236</v>
      </c>
      <c r="AO274" s="783">
        <f t="shared" si="173"/>
        <v>5702</v>
      </c>
      <c r="AP274" s="808">
        <f t="shared" si="174"/>
        <v>5702</v>
      </c>
      <c r="AQ274" s="808">
        <f t="shared" si="175"/>
        <v>9938</v>
      </c>
      <c r="AR274" s="809">
        <f t="shared" si="176"/>
        <v>366</v>
      </c>
      <c r="AS274" s="809">
        <f t="shared" si="177"/>
        <v>947</v>
      </c>
      <c r="AT274" s="808">
        <f t="shared" si="178"/>
        <v>5183</v>
      </c>
      <c r="AU274" s="808">
        <f t="shared" si="179"/>
        <v>4755</v>
      </c>
    </row>
    <row r="275" spans="1:47" ht="15" customHeight="1" x14ac:dyDescent="0.25">
      <c r="A275" s="842" t="s">
        <v>133</v>
      </c>
      <c r="B275" s="843" t="s">
        <v>1279</v>
      </c>
      <c r="C275" s="778">
        <f t="shared" si="164"/>
        <v>9.5000000000000001E-2</v>
      </c>
      <c r="D275" s="844">
        <v>10</v>
      </c>
      <c r="E275" s="779" t="s">
        <v>1182</v>
      </c>
      <c r="F275" s="845">
        <v>43378</v>
      </c>
      <c r="G275" s="781">
        <f t="shared" si="180"/>
        <v>43378</v>
      </c>
      <c r="H275" s="781">
        <f t="shared" si="126"/>
        <v>47028</v>
      </c>
      <c r="I275" s="795">
        <v>17410</v>
      </c>
      <c r="J275" s="783">
        <f t="shared" si="165"/>
        <v>870.5</v>
      </c>
      <c r="K275" s="887"/>
      <c r="L275" s="846">
        <v>0</v>
      </c>
      <c r="M275" s="790">
        <f t="shared" si="181"/>
        <v>17410</v>
      </c>
      <c r="N275" s="791">
        <f t="shared" si="182"/>
        <v>178</v>
      </c>
      <c r="O275" s="791">
        <f t="shared" si="183"/>
        <v>807</v>
      </c>
      <c r="P275" s="790">
        <f t="shared" si="184"/>
        <v>807</v>
      </c>
      <c r="Q275" s="847">
        <f t="shared" si="128"/>
        <v>16603</v>
      </c>
      <c r="R275" s="914">
        <f t="shared" si="129"/>
        <v>16603</v>
      </c>
      <c r="S275" s="790">
        <f t="shared" si="185"/>
        <v>17410</v>
      </c>
      <c r="T275" s="792">
        <f t="shared" si="186"/>
        <v>366</v>
      </c>
      <c r="U275" s="792">
        <f t="shared" si="187"/>
        <v>1654</v>
      </c>
      <c r="V275" s="790">
        <f t="shared" si="188"/>
        <v>2461</v>
      </c>
      <c r="W275" s="847">
        <f t="shared" si="166"/>
        <v>14949</v>
      </c>
      <c r="X275" s="846">
        <f t="shared" si="131"/>
        <v>14949</v>
      </c>
      <c r="Y275" s="783">
        <f t="shared" si="189"/>
        <v>17410</v>
      </c>
      <c r="Z275" s="783">
        <f t="shared" si="190"/>
        <v>365</v>
      </c>
      <c r="AA275" s="783">
        <f t="shared" si="191"/>
        <v>1654</v>
      </c>
      <c r="AB275" s="783">
        <f t="shared" si="192"/>
        <v>4115</v>
      </c>
      <c r="AC275" s="848">
        <f t="shared" si="167"/>
        <v>13295</v>
      </c>
      <c r="AD275" s="789">
        <f t="shared" si="133"/>
        <v>13295</v>
      </c>
      <c r="AE275" s="790">
        <f t="shared" si="193"/>
        <v>17410</v>
      </c>
      <c r="AF275" s="791">
        <f t="shared" si="194"/>
        <v>365</v>
      </c>
      <c r="AG275" s="791">
        <f t="shared" si="195"/>
        <v>1654</v>
      </c>
      <c r="AH275" s="783">
        <f t="shared" si="196"/>
        <v>5769</v>
      </c>
      <c r="AI275" s="783">
        <f t="shared" si="134"/>
        <v>11641</v>
      </c>
      <c r="AJ275" s="790">
        <f t="shared" si="168"/>
        <v>11641</v>
      </c>
      <c r="AK275" s="790">
        <f t="shared" si="169"/>
        <v>17410</v>
      </c>
      <c r="AL275" s="791">
        <f t="shared" si="170"/>
        <v>365</v>
      </c>
      <c r="AM275" s="791">
        <f t="shared" si="171"/>
        <v>1654</v>
      </c>
      <c r="AN275" s="783">
        <f t="shared" si="172"/>
        <v>7423</v>
      </c>
      <c r="AO275" s="783">
        <f t="shared" si="173"/>
        <v>9987</v>
      </c>
      <c r="AP275" s="808">
        <f t="shared" si="174"/>
        <v>9987</v>
      </c>
      <c r="AQ275" s="808">
        <f t="shared" si="175"/>
        <v>17410</v>
      </c>
      <c r="AR275" s="809">
        <f t="shared" si="176"/>
        <v>366</v>
      </c>
      <c r="AS275" s="809">
        <f t="shared" si="177"/>
        <v>1658</v>
      </c>
      <c r="AT275" s="808">
        <f t="shared" si="178"/>
        <v>9081</v>
      </c>
      <c r="AU275" s="808">
        <f t="shared" si="179"/>
        <v>8329</v>
      </c>
    </row>
    <row r="276" spans="1:47" ht="15" customHeight="1" x14ac:dyDescent="0.25">
      <c r="A276" s="842" t="s">
        <v>133</v>
      </c>
      <c r="B276" s="843" t="s">
        <v>1279</v>
      </c>
      <c r="C276" s="778">
        <f t="shared" si="164"/>
        <v>9.5000000000000001E-2</v>
      </c>
      <c r="D276" s="844">
        <v>10</v>
      </c>
      <c r="E276" s="779" t="s">
        <v>1182</v>
      </c>
      <c r="F276" s="845">
        <v>43378</v>
      </c>
      <c r="G276" s="781">
        <f t="shared" si="180"/>
        <v>43378</v>
      </c>
      <c r="H276" s="781">
        <f t="shared" si="126"/>
        <v>47028</v>
      </c>
      <c r="I276" s="795">
        <v>8793</v>
      </c>
      <c r="J276" s="783">
        <f t="shared" si="165"/>
        <v>439.65000000000003</v>
      </c>
      <c r="K276" s="887"/>
      <c r="L276" s="846">
        <v>0</v>
      </c>
      <c r="M276" s="790">
        <f t="shared" si="181"/>
        <v>8793</v>
      </c>
      <c r="N276" s="791">
        <f t="shared" si="182"/>
        <v>178</v>
      </c>
      <c r="O276" s="791">
        <f t="shared" si="183"/>
        <v>407</v>
      </c>
      <c r="P276" s="790">
        <f t="shared" si="184"/>
        <v>407</v>
      </c>
      <c r="Q276" s="847">
        <f t="shared" si="128"/>
        <v>8386</v>
      </c>
      <c r="R276" s="914">
        <f t="shared" si="129"/>
        <v>8386</v>
      </c>
      <c r="S276" s="790">
        <f t="shared" si="185"/>
        <v>8793</v>
      </c>
      <c r="T276" s="792">
        <f t="shared" si="186"/>
        <v>366</v>
      </c>
      <c r="U276" s="792">
        <f t="shared" si="187"/>
        <v>835</v>
      </c>
      <c r="V276" s="790">
        <f t="shared" si="188"/>
        <v>1242</v>
      </c>
      <c r="W276" s="847">
        <f t="shared" si="166"/>
        <v>7551</v>
      </c>
      <c r="X276" s="846">
        <f t="shared" si="131"/>
        <v>7551</v>
      </c>
      <c r="Y276" s="783">
        <f t="shared" si="189"/>
        <v>8793</v>
      </c>
      <c r="Z276" s="783">
        <f t="shared" si="190"/>
        <v>365</v>
      </c>
      <c r="AA276" s="783">
        <f t="shared" si="191"/>
        <v>835</v>
      </c>
      <c r="AB276" s="783">
        <f t="shared" si="192"/>
        <v>2077</v>
      </c>
      <c r="AC276" s="848">
        <f t="shared" si="167"/>
        <v>6716</v>
      </c>
      <c r="AD276" s="789">
        <f t="shared" si="133"/>
        <v>6716</v>
      </c>
      <c r="AE276" s="790">
        <f t="shared" si="193"/>
        <v>8793</v>
      </c>
      <c r="AF276" s="791">
        <f t="shared" si="194"/>
        <v>365</v>
      </c>
      <c r="AG276" s="791">
        <f t="shared" si="195"/>
        <v>835</v>
      </c>
      <c r="AH276" s="783">
        <f t="shared" si="196"/>
        <v>2912</v>
      </c>
      <c r="AI276" s="783">
        <f t="shared" si="134"/>
        <v>5881</v>
      </c>
      <c r="AJ276" s="790">
        <f t="shared" si="168"/>
        <v>5881</v>
      </c>
      <c r="AK276" s="790">
        <f t="shared" si="169"/>
        <v>8793</v>
      </c>
      <c r="AL276" s="791">
        <f t="shared" si="170"/>
        <v>365</v>
      </c>
      <c r="AM276" s="791">
        <f t="shared" si="171"/>
        <v>835</v>
      </c>
      <c r="AN276" s="783">
        <f t="shared" si="172"/>
        <v>3747</v>
      </c>
      <c r="AO276" s="783">
        <f t="shared" si="173"/>
        <v>5046</v>
      </c>
      <c r="AP276" s="808">
        <f t="shared" si="174"/>
        <v>5046</v>
      </c>
      <c r="AQ276" s="808">
        <f t="shared" si="175"/>
        <v>8793</v>
      </c>
      <c r="AR276" s="809">
        <f t="shared" si="176"/>
        <v>366</v>
      </c>
      <c r="AS276" s="809">
        <f t="shared" si="177"/>
        <v>838</v>
      </c>
      <c r="AT276" s="808">
        <f t="shared" si="178"/>
        <v>4585</v>
      </c>
      <c r="AU276" s="808">
        <f t="shared" si="179"/>
        <v>4208</v>
      </c>
    </row>
    <row r="277" spans="1:47" ht="15" customHeight="1" x14ac:dyDescent="0.25">
      <c r="A277" s="842" t="s">
        <v>133</v>
      </c>
      <c r="B277" s="843" t="s">
        <v>1279</v>
      </c>
      <c r="C277" s="778">
        <f t="shared" si="164"/>
        <v>9.5000000000000001E-2</v>
      </c>
      <c r="D277" s="844">
        <v>10</v>
      </c>
      <c r="E277" s="779" t="s">
        <v>1182</v>
      </c>
      <c r="F277" s="845">
        <v>43378</v>
      </c>
      <c r="G277" s="781">
        <f t="shared" si="180"/>
        <v>43378</v>
      </c>
      <c r="H277" s="781">
        <f t="shared" si="126"/>
        <v>47028</v>
      </c>
      <c r="I277" s="795">
        <v>10332</v>
      </c>
      <c r="J277" s="783">
        <f t="shared" si="165"/>
        <v>516.6</v>
      </c>
      <c r="K277" s="887"/>
      <c r="L277" s="846">
        <v>0</v>
      </c>
      <c r="M277" s="790">
        <f t="shared" si="181"/>
        <v>10332</v>
      </c>
      <c r="N277" s="791">
        <f t="shared" si="182"/>
        <v>178</v>
      </c>
      <c r="O277" s="791">
        <f t="shared" si="183"/>
        <v>479</v>
      </c>
      <c r="P277" s="790">
        <f t="shared" si="184"/>
        <v>479</v>
      </c>
      <c r="Q277" s="847">
        <f t="shared" si="128"/>
        <v>9853</v>
      </c>
      <c r="R277" s="914">
        <f t="shared" si="129"/>
        <v>9853</v>
      </c>
      <c r="S277" s="790">
        <f t="shared" si="185"/>
        <v>10332</v>
      </c>
      <c r="T277" s="792">
        <f t="shared" si="186"/>
        <v>366</v>
      </c>
      <c r="U277" s="792">
        <f t="shared" si="187"/>
        <v>982</v>
      </c>
      <c r="V277" s="790">
        <f t="shared" si="188"/>
        <v>1461</v>
      </c>
      <c r="W277" s="847">
        <f t="shared" si="166"/>
        <v>8871</v>
      </c>
      <c r="X277" s="846">
        <f t="shared" si="131"/>
        <v>8871</v>
      </c>
      <c r="Y277" s="783">
        <f t="shared" si="189"/>
        <v>10332</v>
      </c>
      <c r="Z277" s="783">
        <f t="shared" si="190"/>
        <v>365</v>
      </c>
      <c r="AA277" s="783">
        <f t="shared" si="191"/>
        <v>982</v>
      </c>
      <c r="AB277" s="783">
        <f t="shared" si="192"/>
        <v>2443</v>
      </c>
      <c r="AC277" s="848">
        <f t="shared" si="167"/>
        <v>7889</v>
      </c>
      <c r="AD277" s="789">
        <f t="shared" si="133"/>
        <v>7889</v>
      </c>
      <c r="AE277" s="790">
        <f t="shared" si="193"/>
        <v>10332</v>
      </c>
      <c r="AF277" s="791">
        <f t="shared" si="194"/>
        <v>365</v>
      </c>
      <c r="AG277" s="791">
        <f t="shared" si="195"/>
        <v>982</v>
      </c>
      <c r="AH277" s="783">
        <f t="shared" si="196"/>
        <v>3425</v>
      </c>
      <c r="AI277" s="783">
        <f t="shared" si="134"/>
        <v>6907</v>
      </c>
      <c r="AJ277" s="790">
        <f t="shared" si="168"/>
        <v>6907</v>
      </c>
      <c r="AK277" s="790">
        <f t="shared" si="169"/>
        <v>10332</v>
      </c>
      <c r="AL277" s="791">
        <f t="shared" si="170"/>
        <v>365</v>
      </c>
      <c r="AM277" s="791">
        <f t="shared" si="171"/>
        <v>982</v>
      </c>
      <c r="AN277" s="783">
        <f t="shared" si="172"/>
        <v>4407</v>
      </c>
      <c r="AO277" s="783">
        <f t="shared" si="173"/>
        <v>5925</v>
      </c>
      <c r="AP277" s="808">
        <f t="shared" si="174"/>
        <v>5925</v>
      </c>
      <c r="AQ277" s="808">
        <f t="shared" si="175"/>
        <v>10332</v>
      </c>
      <c r="AR277" s="809">
        <f t="shared" si="176"/>
        <v>366</v>
      </c>
      <c r="AS277" s="809">
        <f t="shared" si="177"/>
        <v>984</v>
      </c>
      <c r="AT277" s="808">
        <f t="shared" si="178"/>
        <v>5391</v>
      </c>
      <c r="AU277" s="808">
        <f t="shared" si="179"/>
        <v>4941</v>
      </c>
    </row>
    <row r="278" spans="1:47" ht="15" customHeight="1" x14ac:dyDescent="0.25">
      <c r="A278" s="842" t="s">
        <v>133</v>
      </c>
      <c r="B278" s="843" t="s">
        <v>1280</v>
      </c>
      <c r="C278" s="778">
        <f t="shared" si="164"/>
        <v>9.5000000000000001E-2</v>
      </c>
      <c r="D278" s="844">
        <v>10</v>
      </c>
      <c r="E278" s="779" t="s">
        <v>1182</v>
      </c>
      <c r="F278" s="845">
        <v>43389</v>
      </c>
      <c r="G278" s="781">
        <f t="shared" si="180"/>
        <v>43389</v>
      </c>
      <c r="H278" s="781">
        <f t="shared" si="126"/>
        <v>47039</v>
      </c>
      <c r="I278" s="795">
        <v>475000</v>
      </c>
      <c r="J278" s="783">
        <f t="shared" si="165"/>
        <v>23750</v>
      </c>
      <c r="K278" s="887"/>
      <c r="L278" s="846">
        <v>0</v>
      </c>
      <c r="M278" s="790">
        <f t="shared" si="181"/>
        <v>475000</v>
      </c>
      <c r="N278" s="791">
        <f t="shared" si="182"/>
        <v>167</v>
      </c>
      <c r="O278" s="791">
        <f t="shared" si="183"/>
        <v>20646</v>
      </c>
      <c r="P278" s="790">
        <f t="shared" si="184"/>
        <v>20646</v>
      </c>
      <c r="Q278" s="847">
        <f t="shared" si="128"/>
        <v>454354</v>
      </c>
      <c r="R278" s="914">
        <f t="shared" si="129"/>
        <v>454354</v>
      </c>
      <c r="S278" s="790">
        <f t="shared" si="185"/>
        <v>475000</v>
      </c>
      <c r="T278" s="792">
        <f t="shared" si="186"/>
        <v>366</v>
      </c>
      <c r="U278" s="792">
        <f t="shared" si="187"/>
        <v>45125</v>
      </c>
      <c r="V278" s="790">
        <f t="shared" si="188"/>
        <v>65771</v>
      </c>
      <c r="W278" s="847">
        <f t="shared" si="166"/>
        <v>409229</v>
      </c>
      <c r="X278" s="846">
        <f t="shared" si="131"/>
        <v>409229</v>
      </c>
      <c r="Y278" s="783">
        <f t="shared" si="189"/>
        <v>475000</v>
      </c>
      <c r="Z278" s="783">
        <f t="shared" si="190"/>
        <v>365</v>
      </c>
      <c r="AA278" s="783">
        <f t="shared" si="191"/>
        <v>45125</v>
      </c>
      <c r="AB278" s="783">
        <f t="shared" si="192"/>
        <v>110896</v>
      </c>
      <c r="AC278" s="848">
        <f t="shared" si="167"/>
        <v>364104</v>
      </c>
      <c r="AD278" s="789">
        <f t="shared" si="133"/>
        <v>364104</v>
      </c>
      <c r="AE278" s="790">
        <f t="shared" si="193"/>
        <v>475000</v>
      </c>
      <c r="AF278" s="791">
        <f t="shared" si="194"/>
        <v>365</v>
      </c>
      <c r="AG278" s="791">
        <f t="shared" si="195"/>
        <v>45125</v>
      </c>
      <c r="AH278" s="783">
        <f t="shared" si="196"/>
        <v>156021</v>
      </c>
      <c r="AI278" s="783">
        <f t="shared" si="134"/>
        <v>318979</v>
      </c>
      <c r="AJ278" s="790">
        <f t="shared" si="168"/>
        <v>318979</v>
      </c>
      <c r="AK278" s="790">
        <f t="shared" si="169"/>
        <v>475000</v>
      </c>
      <c r="AL278" s="791">
        <f t="shared" si="170"/>
        <v>365</v>
      </c>
      <c r="AM278" s="791">
        <f t="shared" si="171"/>
        <v>45125</v>
      </c>
      <c r="AN278" s="783">
        <f t="shared" si="172"/>
        <v>201146</v>
      </c>
      <c r="AO278" s="783">
        <f t="shared" si="173"/>
        <v>273854</v>
      </c>
      <c r="AP278" s="808">
        <f t="shared" si="174"/>
        <v>273854</v>
      </c>
      <c r="AQ278" s="808">
        <f t="shared" si="175"/>
        <v>475000</v>
      </c>
      <c r="AR278" s="809">
        <f t="shared" si="176"/>
        <v>366</v>
      </c>
      <c r="AS278" s="809">
        <f t="shared" si="177"/>
        <v>45249</v>
      </c>
      <c r="AT278" s="808">
        <f t="shared" si="178"/>
        <v>246395</v>
      </c>
      <c r="AU278" s="808">
        <f t="shared" si="179"/>
        <v>228605</v>
      </c>
    </row>
    <row r="279" spans="1:47" ht="15" customHeight="1" x14ac:dyDescent="0.25">
      <c r="A279" s="842" t="s">
        <v>133</v>
      </c>
      <c r="B279" s="843" t="s">
        <v>1281</v>
      </c>
      <c r="C279" s="778">
        <f t="shared" si="164"/>
        <v>9.5000000000000001E-2</v>
      </c>
      <c r="D279" s="844">
        <v>10</v>
      </c>
      <c r="E279" s="779" t="s">
        <v>1182</v>
      </c>
      <c r="F279" s="845">
        <v>43431</v>
      </c>
      <c r="G279" s="781">
        <f t="shared" si="180"/>
        <v>43431</v>
      </c>
      <c r="H279" s="781">
        <f t="shared" si="126"/>
        <v>47081</v>
      </c>
      <c r="I279" s="795">
        <v>70000</v>
      </c>
      <c r="J279" s="783">
        <f t="shared" si="165"/>
        <v>3500</v>
      </c>
      <c r="K279" s="887"/>
      <c r="L279" s="846">
        <v>0</v>
      </c>
      <c r="M279" s="790">
        <f t="shared" si="181"/>
        <v>70000</v>
      </c>
      <c r="N279" s="791">
        <f t="shared" si="182"/>
        <v>125</v>
      </c>
      <c r="O279" s="791">
        <f t="shared" si="183"/>
        <v>2277</v>
      </c>
      <c r="P279" s="790">
        <f t="shared" si="184"/>
        <v>2277</v>
      </c>
      <c r="Q279" s="847">
        <f t="shared" si="128"/>
        <v>67723</v>
      </c>
      <c r="R279" s="914">
        <f t="shared" si="129"/>
        <v>67723</v>
      </c>
      <c r="S279" s="790">
        <f t="shared" si="185"/>
        <v>70000</v>
      </c>
      <c r="T279" s="792">
        <f t="shared" si="186"/>
        <v>366</v>
      </c>
      <c r="U279" s="792">
        <f t="shared" si="187"/>
        <v>6650</v>
      </c>
      <c r="V279" s="790">
        <f t="shared" si="188"/>
        <v>8927</v>
      </c>
      <c r="W279" s="847">
        <f t="shared" si="166"/>
        <v>61073</v>
      </c>
      <c r="X279" s="846">
        <f t="shared" si="131"/>
        <v>61073</v>
      </c>
      <c r="Y279" s="783">
        <f t="shared" si="189"/>
        <v>70000</v>
      </c>
      <c r="Z279" s="783">
        <f t="shared" si="190"/>
        <v>365</v>
      </c>
      <c r="AA279" s="783">
        <f t="shared" si="191"/>
        <v>6650</v>
      </c>
      <c r="AB279" s="783">
        <f t="shared" si="192"/>
        <v>15577</v>
      </c>
      <c r="AC279" s="848">
        <f t="shared" si="167"/>
        <v>54423</v>
      </c>
      <c r="AD279" s="789">
        <f t="shared" si="133"/>
        <v>54423</v>
      </c>
      <c r="AE279" s="790">
        <f t="shared" si="193"/>
        <v>70000</v>
      </c>
      <c r="AF279" s="791">
        <f t="shared" si="194"/>
        <v>365</v>
      </c>
      <c r="AG279" s="791">
        <f t="shared" si="195"/>
        <v>6650</v>
      </c>
      <c r="AH279" s="783">
        <f t="shared" si="196"/>
        <v>22227</v>
      </c>
      <c r="AI279" s="783">
        <f t="shared" si="134"/>
        <v>47773</v>
      </c>
      <c r="AJ279" s="790">
        <f t="shared" si="168"/>
        <v>47773</v>
      </c>
      <c r="AK279" s="790">
        <f t="shared" si="169"/>
        <v>70000</v>
      </c>
      <c r="AL279" s="791">
        <f t="shared" si="170"/>
        <v>365</v>
      </c>
      <c r="AM279" s="791">
        <f t="shared" si="171"/>
        <v>6650</v>
      </c>
      <c r="AN279" s="783">
        <f t="shared" si="172"/>
        <v>28877</v>
      </c>
      <c r="AO279" s="783">
        <f t="shared" si="173"/>
        <v>41123</v>
      </c>
      <c r="AP279" s="808">
        <f t="shared" si="174"/>
        <v>41123</v>
      </c>
      <c r="AQ279" s="808">
        <f t="shared" si="175"/>
        <v>70000</v>
      </c>
      <c r="AR279" s="809">
        <f t="shared" si="176"/>
        <v>366</v>
      </c>
      <c r="AS279" s="809">
        <f t="shared" si="177"/>
        <v>6668</v>
      </c>
      <c r="AT279" s="808">
        <f t="shared" si="178"/>
        <v>35545</v>
      </c>
      <c r="AU279" s="808">
        <f t="shared" si="179"/>
        <v>34455</v>
      </c>
    </row>
    <row r="280" spans="1:47" ht="15" customHeight="1" x14ac:dyDescent="0.25">
      <c r="A280" s="842" t="s">
        <v>133</v>
      </c>
      <c r="B280" s="843" t="s">
        <v>1282</v>
      </c>
      <c r="C280" s="778">
        <f t="shared" si="164"/>
        <v>9.5000000000000001E-2</v>
      </c>
      <c r="D280" s="844">
        <v>10</v>
      </c>
      <c r="E280" s="779" t="s">
        <v>1182</v>
      </c>
      <c r="F280" s="845">
        <v>43325</v>
      </c>
      <c r="G280" s="781">
        <f t="shared" si="180"/>
        <v>43325</v>
      </c>
      <c r="H280" s="781">
        <f t="shared" si="126"/>
        <v>46975</v>
      </c>
      <c r="I280" s="795">
        <v>65000</v>
      </c>
      <c r="J280" s="783">
        <f t="shared" si="165"/>
        <v>3250</v>
      </c>
      <c r="K280" s="887"/>
      <c r="L280" s="849">
        <v>0</v>
      </c>
      <c r="M280" s="808">
        <f t="shared" si="181"/>
        <v>65000</v>
      </c>
      <c r="N280" s="809">
        <f t="shared" si="182"/>
        <v>231</v>
      </c>
      <c r="O280" s="809">
        <f t="shared" si="183"/>
        <v>3908</v>
      </c>
      <c r="P280" s="808">
        <f t="shared" si="184"/>
        <v>3908</v>
      </c>
      <c r="Q280" s="850">
        <f t="shared" si="128"/>
        <v>61092</v>
      </c>
      <c r="R280" s="916">
        <f t="shared" si="129"/>
        <v>61092</v>
      </c>
      <c r="S280" s="808">
        <f t="shared" si="185"/>
        <v>65000</v>
      </c>
      <c r="T280" s="917">
        <f t="shared" si="186"/>
        <v>366</v>
      </c>
      <c r="U280" s="917">
        <f t="shared" si="187"/>
        <v>6175</v>
      </c>
      <c r="V280" s="808">
        <f t="shared" si="188"/>
        <v>10083</v>
      </c>
      <c r="W280" s="850">
        <f t="shared" si="166"/>
        <v>54917</v>
      </c>
      <c r="X280" s="849">
        <f t="shared" si="131"/>
        <v>54917</v>
      </c>
      <c r="Y280" s="812">
        <f t="shared" si="189"/>
        <v>65000</v>
      </c>
      <c r="Z280" s="812">
        <f t="shared" si="190"/>
        <v>365</v>
      </c>
      <c r="AA280" s="812">
        <f t="shared" si="191"/>
        <v>6175</v>
      </c>
      <c r="AB280" s="812">
        <f t="shared" si="192"/>
        <v>16258</v>
      </c>
      <c r="AC280" s="851">
        <f t="shared" si="167"/>
        <v>48742</v>
      </c>
      <c r="AD280" s="807">
        <f t="shared" si="133"/>
        <v>48742</v>
      </c>
      <c r="AE280" s="808">
        <f t="shared" si="193"/>
        <v>65000</v>
      </c>
      <c r="AF280" s="809">
        <f t="shared" si="194"/>
        <v>365</v>
      </c>
      <c r="AG280" s="809">
        <f t="shared" si="195"/>
        <v>6175</v>
      </c>
      <c r="AH280" s="812">
        <f t="shared" si="196"/>
        <v>22433</v>
      </c>
      <c r="AI280" s="812">
        <f t="shared" si="134"/>
        <v>42567</v>
      </c>
      <c r="AJ280" s="808">
        <f t="shared" si="168"/>
        <v>42567</v>
      </c>
      <c r="AK280" s="808">
        <f t="shared" si="169"/>
        <v>65000</v>
      </c>
      <c r="AL280" s="809">
        <f t="shared" si="170"/>
        <v>365</v>
      </c>
      <c r="AM280" s="809">
        <f t="shared" si="171"/>
        <v>6175</v>
      </c>
      <c r="AN280" s="812">
        <f t="shared" si="172"/>
        <v>28608</v>
      </c>
      <c r="AO280" s="812">
        <f t="shared" si="173"/>
        <v>36392</v>
      </c>
      <c r="AP280" s="808">
        <f t="shared" si="174"/>
        <v>36392</v>
      </c>
      <c r="AQ280" s="808">
        <f t="shared" si="175"/>
        <v>65000</v>
      </c>
      <c r="AR280" s="809">
        <f t="shared" si="176"/>
        <v>366</v>
      </c>
      <c r="AS280" s="809">
        <f t="shared" si="177"/>
        <v>6192</v>
      </c>
      <c r="AT280" s="808">
        <f t="shared" si="178"/>
        <v>34800</v>
      </c>
      <c r="AU280" s="808">
        <f t="shared" si="179"/>
        <v>30200</v>
      </c>
    </row>
    <row r="281" spans="1:47" ht="15" customHeight="1" x14ac:dyDescent="0.25">
      <c r="A281" s="842" t="s">
        <v>133</v>
      </c>
      <c r="B281" s="843" t="s">
        <v>1267</v>
      </c>
      <c r="C281" s="778">
        <f t="shared" si="164"/>
        <v>9.5000000000000001E-2</v>
      </c>
      <c r="D281" s="844">
        <v>10</v>
      </c>
      <c r="E281" s="844" t="s">
        <v>1205</v>
      </c>
      <c r="F281" s="845">
        <v>43570</v>
      </c>
      <c r="G281" s="781">
        <f t="shared" si="180"/>
        <v>43570</v>
      </c>
      <c r="H281" s="781">
        <f t="shared" si="126"/>
        <v>47220</v>
      </c>
      <c r="I281" s="795">
        <f>73150</f>
        <v>73150</v>
      </c>
      <c r="J281" s="783">
        <f t="shared" si="165"/>
        <v>3657.5</v>
      </c>
      <c r="K281" s="887"/>
      <c r="L281" s="790">
        <v>0</v>
      </c>
      <c r="M281" s="790">
        <v>0</v>
      </c>
      <c r="N281" s="790">
        <v>0</v>
      </c>
      <c r="O281" s="790">
        <v>0</v>
      </c>
      <c r="P281" s="790">
        <v>0</v>
      </c>
      <c r="Q281" s="790">
        <v>0</v>
      </c>
      <c r="R281" s="790">
        <f t="shared" si="129"/>
        <v>0</v>
      </c>
      <c r="S281" s="790">
        <f t="shared" si="185"/>
        <v>73150</v>
      </c>
      <c r="T281" s="792">
        <f t="shared" si="186"/>
        <v>352</v>
      </c>
      <c r="U281" s="792">
        <f t="shared" si="187"/>
        <v>6683</v>
      </c>
      <c r="V281" s="790">
        <f t="shared" si="188"/>
        <v>6683</v>
      </c>
      <c r="W281" s="790">
        <f t="shared" si="166"/>
        <v>66467</v>
      </c>
      <c r="X281" s="790">
        <f t="shared" si="131"/>
        <v>66467</v>
      </c>
      <c r="Y281" s="783">
        <f t="shared" si="189"/>
        <v>73150</v>
      </c>
      <c r="Z281" s="783">
        <f t="shared" si="190"/>
        <v>365</v>
      </c>
      <c r="AA281" s="783">
        <f t="shared" si="191"/>
        <v>6949</v>
      </c>
      <c r="AB281" s="783">
        <f t="shared" si="192"/>
        <v>13632</v>
      </c>
      <c r="AC281" s="783">
        <f t="shared" si="167"/>
        <v>59518</v>
      </c>
      <c r="AD281" s="790">
        <f t="shared" si="133"/>
        <v>59518</v>
      </c>
      <c r="AE281" s="790">
        <f t="shared" si="193"/>
        <v>73150</v>
      </c>
      <c r="AF281" s="791">
        <f t="shared" si="194"/>
        <v>365</v>
      </c>
      <c r="AG281" s="791">
        <f t="shared" si="195"/>
        <v>6949</v>
      </c>
      <c r="AH281" s="783">
        <f t="shared" si="196"/>
        <v>20581</v>
      </c>
      <c r="AI281" s="783">
        <f t="shared" si="134"/>
        <v>52569</v>
      </c>
      <c r="AJ281" s="790">
        <f t="shared" si="168"/>
        <v>52569</v>
      </c>
      <c r="AK281" s="790">
        <f t="shared" si="169"/>
        <v>73150</v>
      </c>
      <c r="AL281" s="791">
        <f t="shared" si="170"/>
        <v>365</v>
      </c>
      <c r="AM281" s="791">
        <f t="shared" si="171"/>
        <v>6949</v>
      </c>
      <c r="AN281" s="783">
        <f t="shared" si="172"/>
        <v>27530</v>
      </c>
      <c r="AO281" s="783">
        <f t="shared" si="173"/>
        <v>45620</v>
      </c>
      <c r="AP281" s="808">
        <f t="shared" si="174"/>
        <v>45620</v>
      </c>
      <c r="AQ281" s="808">
        <f t="shared" si="175"/>
        <v>73150</v>
      </c>
      <c r="AR281" s="809">
        <f t="shared" si="176"/>
        <v>366</v>
      </c>
      <c r="AS281" s="809">
        <f t="shared" si="177"/>
        <v>6968</v>
      </c>
      <c r="AT281" s="808">
        <f t="shared" si="178"/>
        <v>34498</v>
      </c>
      <c r="AU281" s="808">
        <f t="shared" si="179"/>
        <v>38652</v>
      </c>
    </row>
    <row r="282" spans="1:47" ht="15" customHeight="1" x14ac:dyDescent="0.25">
      <c r="A282" s="842" t="s">
        <v>133</v>
      </c>
      <c r="B282" s="843" t="s">
        <v>1267</v>
      </c>
      <c r="C282" s="778">
        <f t="shared" si="164"/>
        <v>9.5000000000000001E-2</v>
      </c>
      <c r="D282" s="844">
        <v>10</v>
      </c>
      <c r="E282" s="844" t="s">
        <v>1205</v>
      </c>
      <c r="F282" s="845">
        <v>43672</v>
      </c>
      <c r="G282" s="781">
        <f t="shared" si="180"/>
        <v>43672</v>
      </c>
      <c r="H282" s="781">
        <f t="shared" si="126"/>
        <v>47322</v>
      </c>
      <c r="I282" s="795">
        <v>35000</v>
      </c>
      <c r="J282" s="783">
        <f t="shared" si="165"/>
        <v>1750</v>
      </c>
      <c r="K282" s="887"/>
      <c r="L282" s="790">
        <v>0</v>
      </c>
      <c r="M282" s="790">
        <v>0</v>
      </c>
      <c r="N282" s="790">
        <v>0</v>
      </c>
      <c r="O282" s="790">
        <v>0</v>
      </c>
      <c r="P282" s="790">
        <v>0</v>
      </c>
      <c r="Q282" s="790">
        <v>0</v>
      </c>
      <c r="R282" s="790">
        <f t="shared" si="129"/>
        <v>0</v>
      </c>
      <c r="S282" s="790">
        <f t="shared" si="185"/>
        <v>35000</v>
      </c>
      <c r="T282" s="792">
        <f t="shared" si="186"/>
        <v>250</v>
      </c>
      <c r="U282" s="792">
        <f t="shared" si="187"/>
        <v>2271</v>
      </c>
      <c r="V282" s="790">
        <f t="shared" si="188"/>
        <v>2271</v>
      </c>
      <c r="W282" s="790">
        <f t="shared" si="166"/>
        <v>32729</v>
      </c>
      <c r="X282" s="790">
        <f t="shared" si="131"/>
        <v>32729</v>
      </c>
      <c r="Y282" s="783">
        <f t="shared" si="189"/>
        <v>35000</v>
      </c>
      <c r="Z282" s="783">
        <f t="shared" si="190"/>
        <v>365</v>
      </c>
      <c r="AA282" s="783">
        <f t="shared" si="191"/>
        <v>3325</v>
      </c>
      <c r="AB282" s="783">
        <f t="shared" si="192"/>
        <v>5596</v>
      </c>
      <c r="AC282" s="783">
        <f t="shared" si="167"/>
        <v>29404</v>
      </c>
      <c r="AD282" s="790">
        <f t="shared" si="133"/>
        <v>29404</v>
      </c>
      <c r="AE282" s="790">
        <f t="shared" si="193"/>
        <v>35000</v>
      </c>
      <c r="AF282" s="791">
        <f t="shared" si="194"/>
        <v>365</v>
      </c>
      <c r="AG282" s="791">
        <f t="shared" si="195"/>
        <v>3325</v>
      </c>
      <c r="AH282" s="783">
        <f t="shared" si="196"/>
        <v>8921</v>
      </c>
      <c r="AI282" s="783">
        <f t="shared" si="134"/>
        <v>26079</v>
      </c>
      <c r="AJ282" s="790">
        <f t="shared" si="168"/>
        <v>26079</v>
      </c>
      <c r="AK282" s="790">
        <f t="shared" si="169"/>
        <v>35000</v>
      </c>
      <c r="AL282" s="791">
        <f t="shared" si="170"/>
        <v>365</v>
      </c>
      <c r="AM282" s="791">
        <f t="shared" si="171"/>
        <v>3325</v>
      </c>
      <c r="AN282" s="783">
        <f t="shared" si="172"/>
        <v>12246</v>
      </c>
      <c r="AO282" s="783">
        <f t="shared" si="173"/>
        <v>22754</v>
      </c>
      <c r="AP282" s="808">
        <f t="shared" si="174"/>
        <v>22754</v>
      </c>
      <c r="AQ282" s="808">
        <f t="shared" si="175"/>
        <v>35000</v>
      </c>
      <c r="AR282" s="809">
        <f t="shared" si="176"/>
        <v>366</v>
      </c>
      <c r="AS282" s="809">
        <f t="shared" si="177"/>
        <v>3334</v>
      </c>
      <c r="AT282" s="808">
        <f t="shared" si="178"/>
        <v>15580</v>
      </c>
      <c r="AU282" s="808">
        <f t="shared" si="179"/>
        <v>19420</v>
      </c>
    </row>
    <row r="283" spans="1:47" ht="15" customHeight="1" x14ac:dyDescent="0.25">
      <c r="A283" s="842" t="s">
        <v>133</v>
      </c>
      <c r="B283" s="843" t="s">
        <v>399</v>
      </c>
      <c r="C283" s="778">
        <f t="shared" si="164"/>
        <v>9.5000000000000001E-2</v>
      </c>
      <c r="D283" s="844">
        <v>10</v>
      </c>
      <c r="E283" s="844" t="s">
        <v>1205</v>
      </c>
      <c r="F283" s="845">
        <v>43727</v>
      </c>
      <c r="G283" s="781">
        <f t="shared" si="180"/>
        <v>43727</v>
      </c>
      <c r="H283" s="781">
        <f t="shared" si="126"/>
        <v>47377</v>
      </c>
      <c r="I283" s="795">
        <v>935</v>
      </c>
      <c r="J283" s="783">
        <f t="shared" si="165"/>
        <v>46.75</v>
      </c>
      <c r="K283" s="887"/>
      <c r="L283" s="790">
        <v>0</v>
      </c>
      <c r="M283" s="790">
        <v>0</v>
      </c>
      <c r="N283" s="790">
        <v>0</v>
      </c>
      <c r="O283" s="790">
        <v>0</v>
      </c>
      <c r="P283" s="790">
        <v>0</v>
      </c>
      <c r="Q283" s="790">
        <v>0</v>
      </c>
      <c r="R283" s="790">
        <f t="shared" si="129"/>
        <v>0</v>
      </c>
      <c r="S283" s="790">
        <f t="shared" si="185"/>
        <v>935</v>
      </c>
      <c r="T283" s="792">
        <f t="shared" si="186"/>
        <v>195</v>
      </c>
      <c r="U283" s="792">
        <f t="shared" si="187"/>
        <v>47</v>
      </c>
      <c r="V283" s="790">
        <f t="shared" si="188"/>
        <v>47</v>
      </c>
      <c r="W283" s="790">
        <f t="shared" si="166"/>
        <v>888</v>
      </c>
      <c r="X283" s="790">
        <f t="shared" si="131"/>
        <v>888</v>
      </c>
      <c r="Y283" s="783">
        <f t="shared" si="189"/>
        <v>935</v>
      </c>
      <c r="Z283" s="783">
        <f t="shared" si="190"/>
        <v>365</v>
      </c>
      <c r="AA283" s="783">
        <f t="shared" si="191"/>
        <v>89</v>
      </c>
      <c r="AB283" s="783">
        <f t="shared" si="192"/>
        <v>136</v>
      </c>
      <c r="AC283" s="783">
        <f t="shared" si="167"/>
        <v>799</v>
      </c>
      <c r="AD283" s="790">
        <f t="shared" si="133"/>
        <v>799</v>
      </c>
      <c r="AE283" s="790">
        <f t="shared" si="193"/>
        <v>935</v>
      </c>
      <c r="AF283" s="791">
        <f t="shared" si="194"/>
        <v>365</v>
      </c>
      <c r="AG283" s="791">
        <f t="shared" si="195"/>
        <v>89</v>
      </c>
      <c r="AH283" s="783">
        <f t="shared" si="196"/>
        <v>225</v>
      </c>
      <c r="AI283" s="783">
        <f t="shared" si="134"/>
        <v>710</v>
      </c>
      <c r="AJ283" s="790">
        <f t="shared" si="168"/>
        <v>710</v>
      </c>
      <c r="AK283" s="790">
        <f t="shared" si="169"/>
        <v>935</v>
      </c>
      <c r="AL283" s="791">
        <f t="shared" si="170"/>
        <v>365</v>
      </c>
      <c r="AM283" s="791">
        <f t="shared" si="171"/>
        <v>89</v>
      </c>
      <c r="AN283" s="783">
        <f t="shared" si="172"/>
        <v>314</v>
      </c>
      <c r="AO283" s="783">
        <f t="shared" si="173"/>
        <v>621</v>
      </c>
      <c r="AP283" s="808">
        <f t="shared" si="174"/>
        <v>621</v>
      </c>
      <c r="AQ283" s="808">
        <f t="shared" si="175"/>
        <v>935</v>
      </c>
      <c r="AR283" s="809">
        <f t="shared" si="176"/>
        <v>366</v>
      </c>
      <c r="AS283" s="809">
        <f t="shared" si="177"/>
        <v>89</v>
      </c>
      <c r="AT283" s="808">
        <f t="shared" si="178"/>
        <v>403</v>
      </c>
      <c r="AU283" s="808">
        <f t="shared" si="179"/>
        <v>532</v>
      </c>
    </row>
    <row r="284" spans="1:47" ht="15" customHeight="1" x14ac:dyDescent="0.25">
      <c r="A284" s="842" t="s">
        <v>133</v>
      </c>
      <c r="B284" s="843" t="s">
        <v>1267</v>
      </c>
      <c r="C284" s="778">
        <f t="shared" si="164"/>
        <v>9.5000000000000001E-2</v>
      </c>
      <c r="D284" s="844">
        <v>10</v>
      </c>
      <c r="E284" s="844" t="s">
        <v>1205</v>
      </c>
      <c r="F284" s="845">
        <v>43873</v>
      </c>
      <c r="G284" s="781">
        <f t="shared" si="180"/>
        <v>43873</v>
      </c>
      <c r="H284" s="781">
        <f t="shared" si="126"/>
        <v>47523</v>
      </c>
      <c r="I284" s="795">
        <v>6441</v>
      </c>
      <c r="J284" s="783">
        <f t="shared" si="165"/>
        <v>322.05</v>
      </c>
      <c r="K284" s="887"/>
      <c r="L284" s="790">
        <v>0</v>
      </c>
      <c r="M284" s="790">
        <v>0</v>
      </c>
      <c r="N284" s="790">
        <v>0</v>
      </c>
      <c r="O284" s="790">
        <v>0</v>
      </c>
      <c r="P284" s="790">
        <v>0</v>
      </c>
      <c r="Q284" s="790">
        <v>0</v>
      </c>
      <c r="R284" s="790">
        <v>0</v>
      </c>
      <c r="S284" s="790">
        <f t="shared" si="185"/>
        <v>6441</v>
      </c>
      <c r="T284" s="792">
        <f t="shared" si="186"/>
        <v>49</v>
      </c>
      <c r="U284" s="792">
        <f t="shared" si="187"/>
        <v>82</v>
      </c>
      <c r="V284" s="790">
        <f t="shared" si="188"/>
        <v>82</v>
      </c>
      <c r="W284" s="790">
        <f t="shared" si="166"/>
        <v>6359</v>
      </c>
      <c r="X284" s="790">
        <f t="shared" si="131"/>
        <v>6359</v>
      </c>
      <c r="Y284" s="783">
        <f t="shared" si="189"/>
        <v>6441</v>
      </c>
      <c r="Z284" s="783">
        <f t="shared" si="190"/>
        <v>365</v>
      </c>
      <c r="AA284" s="783">
        <f t="shared" si="191"/>
        <v>612</v>
      </c>
      <c r="AB284" s="783">
        <f t="shared" si="192"/>
        <v>694</v>
      </c>
      <c r="AC284" s="783">
        <f t="shared" si="167"/>
        <v>5747</v>
      </c>
      <c r="AD284" s="790">
        <f t="shared" si="133"/>
        <v>5747</v>
      </c>
      <c r="AE284" s="790">
        <f t="shared" si="193"/>
        <v>6441</v>
      </c>
      <c r="AF284" s="791">
        <f t="shared" si="194"/>
        <v>365</v>
      </c>
      <c r="AG284" s="791">
        <f t="shared" si="195"/>
        <v>612</v>
      </c>
      <c r="AH284" s="783">
        <f t="shared" si="196"/>
        <v>1306</v>
      </c>
      <c r="AI284" s="783">
        <f t="shared" si="134"/>
        <v>5135</v>
      </c>
      <c r="AJ284" s="790">
        <f t="shared" si="168"/>
        <v>5135</v>
      </c>
      <c r="AK284" s="790">
        <f t="shared" si="169"/>
        <v>6441</v>
      </c>
      <c r="AL284" s="791">
        <f t="shared" si="170"/>
        <v>365</v>
      </c>
      <c r="AM284" s="791">
        <f t="shared" si="171"/>
        <v>612</v>
      </c>
      <c r="AN284" s="783">
        <f t="shared" si="172"/>
        <v>1918</v>
      </c>
      <c r="AO284" s="783">
        <f t="shared" si="173"/>
        <v>4523</v>
      </c>
      <c r="AP284" s="808">
        <f t="shared" si="174"/>
        <v>4523</v>
      </c>
      <c r="AQ284" s="808">
        <f t="shared" si="175"/>
        <v>6441</v>
      </c>
      <c r="AR284" s="809">
        <f t="shared" si="176"/>
        <v>366</v>
      </c>
      <c r="AS284" s="809">
        <f t="shared" si="177"/>
        <v>614</v>
      </c>
      <c r="AT284" s="808">
        <f t="shared" si="178"/>
        <v>2532</v>
      </c>
      <c r="AU284" s="808">
        <f t="shared" si="179"/>
        <v>3909</v>
      </c>
    </row>
    <row r="285" spans="1:47" ht="15" customHeight="1" x14ac:dyDescent="0.25">
      <c r="A285" s="842" t="s">
        <v>133</v>
      </c>
      <c r="B285" s="843" t="s">
        <v>1267</v>
      </c>
      <c r="C285" s="778">
        <f t="shared" si="164"/>
        <v>9.5000000000000001E-2</v>
      </c>
      <c r="D285" s="844">
        <v>10</v>
      </c>
      <c r="E285" s="844" t="s">
        <v>1205</v>
      </c>
      <c r="F285" s="845">
        <v>43886</v>
      </c>
      <c r="G285" s="781">
        <f t="shared" si="180"/>
        <v>43886</v>
      </c>
      <c r="H285" s="781">
        <f t="shared" si="126"/>
        <v>47536</v>
      </c>
      <c r="I285" s="795">
        <v>37000</v>
      </c>
      <c r="J285" s="783">
        <f t="shared" si="165"/>
        <v>1850</v>
      </c>
      <c r="K285" s="887"/>
      <c r="L285" s="790">
        <v>0</v>
      </c>
      <c r="M285" s="790">
        <v>0</v>
      </c>
      <c r="N285" s="790">
        <v>0</v>
      </c>
      <c r="O285" s="790">
        <v>0</v>
      </c>
      <c r="P285" s="790">
        <v>0</v>
      </c>
      <c r="Q285" s="790">
        <v>0</v>
      </c>
      <c r="R285" s="790">
        <v>0</v>
      </c>
      <c r="S285" s="790">
        <f t="shared" si="185"/>
        <v>37000</v>
      </c>
      <c r="T285" s="792">
        <f t="shared" si="186"/>
        <v>36</v>
      </c>
      <c r="U285" s="792">
        <f t="shared" si="187"/>
        <v>346</v>
      </c>
      <c r="V285" s="790">
        <f t="shared" si="188"/>
        <v>346</v>
      </c>
      <c r="W285" s="790">
        <f t="shared" si="166"/>
        <v>36654</v>
      </c>
      <c r="X285" s="790">
        <f t="shared" si="131"/>
        <v>36654</v>
      </c>
      <c r="Y285" s="783">
        <f t="shared" si="189"/>
        <v>37000</v>
      </c>
      <c r="Z285" s="783">
        <f t="shared" si="190"/>
        <v>365</v>
      </c>
      <c r="AA285" s="783">
        <f t="shared" si="191"/>
        <v>3515</v>
      </c>
      <c r="AB285" s="783">
        <f t="shared" si="192"/>
        <v>3861</v>
      </c>
      <c r="AC285" s="783">
        <f t="shared" si="167"/>
        <v>33139</v>
      </c>
      <c r="AD285" s="790">
        <f t="shared" si="133"/>
        <v>33139</v>
      </c>
      <c r="AE285" s="790">
        <f t="shared" si="193"/>
        <v>37000</v>
      </c>
      <c r="AF285" s="791">
        <f t="shared" si="194"/>
        <v>365</v>
      </c>
      <c r="AG285" s="791">
        <f t="shared" si="195"/>
        <v>3515</v>
      </c>
      <c r="AH285" s="783">
        <f t="shared" si="196"/>
        <v>7376</v>
      </c>
      <c r="AI285" s="783">
        <f t="shared" si="134"/>
        <v>29624</v>
      </c>
      <c r="AJ285" s="790">
        <f t="shared" si="168"/>
        <v>29624</v>
      </c>
      <c r="AK285" s="790">
        <f t="shared" si="169"/>
        <v>37000</v>
      </c>
      <c r="AL285" s="791">
        <f t="shared" si="170"/>
        <v>365</v>
      </c>
      <c r="AM285" s="791">
        <f t="shared" si="171"/>
        <v>3515</v>
      </c>
      <c r="AN285" s="783">
        <f t="shared" si="172"/>
        <v>10891</v>
      </c>
      <c r="AO285" s="783">
        <f t="shared" si="173"/>
        <v>26109</v>
      </c>
      <c r="AP285" s="808">
        <f t="shared" si="174"/>
        <v>26109</v>
      </c>
      <c r="AQ285" s="808">
        <f t="shared" si="175"/>
        <v>37000</v>
      </c>
      <c r="AR285" s="809">
        <f t="shared" si="176"/>
        <v>366</v>
      </c>
      <c r="AS285" s="809">
        <f t="shared" si="177"/>
        <v>3525</v>
      </c>
      <c r="AT285" s="808">
        <f t="shared" si="178"/>
        <v>14416</v>
      </c>
      <c r="AU285" s="808">
        <f t="shared" si="179"/>
        <v>22584</v>
      </c>
    </row>
    <row r="286" spans="1:47" ht="15" customHeight="1" x14ac:dyDescent="0.25">
      <c r="A286" s="842" t="s">
        <v>133</v>
      </c>
      <c r="B286" s="843" t="s">
        <v>1283</v>
      </c>
      <c r="C286" s="778">
        <f t="shared" si="164"/>
        <v>9.5000000000000001E-2</v>
      </c>
      <c r="D286" s="844">
        <v>10</v>
      </c>
      <c r="E286" s="844" t="s">
        <v>1205</v>
      </c>
      <c r="F286" s="845">
        <v>43885</v>
      </c>
      <c r="G286" s="781">
        <f t="shared" si="180"/>
        <v>43885</v>
      </c>
      <c r="H286" s="781">
        <f t="shared" si="126"/>
        <v>47535</v>
      </c>
      <c r="I286" s="795">
        <v>20644</v>
      </c>
      <c r="J286" s="783">
        <f t="shared" si="165"/>
        <v>1032.2</v>
      </c>
      <c r="K286" s="887"/>
      <c r="L286" s="790">
        <v>0</v>
      </c>
      <c r="M286" s="790">
        <v>0</v>
      </c>
      <c r="N286" s="790">
        <v>0</v>
      </c>
      <c r="O286" s="790">
        <v>0</v>
      </c>
      <c r="P286" s="790">
        <v>0</v>
      </c>
      <c r="Q286" s="790">
        <v>0</v>
      </c>
      <c r="R286" s="790">
        <v>0</v>
      </c>
      <c r="S286" s="790">
        <f t="shared" si="185"/>
        <v>20644</v>
      </c>
      <c r="T286" s="792">
        <f t="shared" si="186"/>
        <v>37</v>
      </c>
      <c r="U286" s="792">
        <f t="shared" si="187"/>
        <v>198</v>
      </c>
      <c r="V286" s="790">
        <f t="shared" si="188"/>
        <v>198</v>
      </c>
      <c r="W286" s="790">
        <f t="shared" si="166"/>
        <v>20446</v>
      </c>
      <c r="X286" s="790">
        <f t="shared" si="131"/>
        <v>20446</v>
      </c>
      <c r="Y286" s="783">
        <f t="shared" si="189"/>
        <v>20644</v>
      </c>
      <c r="Z286" s="783">
        <f t="shared" si="190"/>
        <v>365</v>
      </c>
      <c r="AA286" s="783">
        <f t="shared" si="191"/>
        <v>1961</v>
      </c>
      <c r="AB286" s="783">
        <f t="shared" si="192"/>
        <v>2159</v>
      </c>
      <c r="AC286" s="783">
        <f t="shared" si="167"/>
        <v>18485</v>
      </c>
      <c r="AD286" s="790">
        <f t="shared" si="133"/>
        <v>18485</v>
      </c>
      <c r="AE286" s="790">
        <f t="shared" si="193"/>
        <v>20644</v>
      </c>
      <c r="AF286" s="791">
        <f t="shared" si="194"/>
        <v>365</v>
      </c>
      <c r="AG286" s="791">
        <f t="shared" si="195"/>
        <v>1961</v>
      </c>
      <c r="AH286" s="783">
        <f t="shared" si="196"/>
        <v>4120</v>
      </c>
      <c r="AI286" s="783">
        <f t="shared" si="134"/>
        <v>16524</v>
      </c>
      <c r="AJ286" s="790">
        <f t="shared" si="168"/>
        <v>16524</v>
      </c>
      <c r="AK286" s="790">
        <f t="shared" si="169"/>
        <v>20644</v>
      </c>
      <c r="AL286" s="791">
        <f t="shared" si="170"/>
        <v>365</v>
      </c>
      <c r="AM286" s="791">
        <f t="shared" si="171"/>
        <v>1961</v>
      </c>
      <c r="AN286" s="783">
        <f t="shared" si="172"/>
        <v>6081</v>
      </c>
      <c r="AO286" s="783">
        <f t="shared" si="173"/>
        <v>14563</v>
      </c>
      <c r="AP286" s="808">
        <f t="shared" si="174"/>
        <v>14563</v>
      </c>
      <c r="AQ286" s="808">
        <f t="shared" si="175"/>
        <v>20644</v>
      </c>
      <c r="AR286" s="809">
        <f t="shared" si="176"/>
        <v>366</v>
      </c>
      <c r="AS286" s="809">
        <f t="shared" si="177"/>
        <v>1967</v>
      </c>
      <c r="AT286" s="808">
        <f t="shared" si="178"/>
        <v>8048</v>
      </c>
      <c r="AU286" s="808">
        <f t="shared" si="179"/>
        <v>12596</v>
      </c>
    </row>
    <row r="287" spans="1:47" ht="15" customHeight="1" x14ac:dyDescent="0.25">
      <c r="A287" s="842" t="s">
        <v>133</v>
      </c>
      <c r="B287" s="843" t="s">
        <v>1284</v>
      </c>
      <c r="C287" s="778">
        <f t="shared" si="164"/>
        <v>9.5000000000000001E-2</v>
      </c>
      <c r="D287" s="844">
        <v>10</v>
      </c>
      <c r="E287" s="844" t="s">
        <v>1205</v>
      </c>
      <c r="F287" s="845">
        <v>43899</v>
      </c>
      <c r="G287" s="781">
        <f t="shared" si="180"/>
        <v>43899</v>
      </c>
      <c r="H287" s="781">
        <f t="shared" si="126"/>
        <v>47549</v>
      </c>
      <c r="I287" s="795">
        <v>20000</v>
      </c>
      <c r="J287" s="783">
        <f t="shared" si="165"/>
        <v>1000</v>
      </c>
      <c r="K287" s="887"/>
      <c r="L287" s="790">
        <v>0</v>
      </c>
      <c r="M287" s="790">
        <v>0</v>
      </c>
      <c r="N287" s="790">
        <v>0</v>
      </c>
      <c r="O287" s="790">
        <v>0</v>
      </c>
      <c r="P287" s="790">
        <v>0</v>
      </c>
      <c r="Q287" s="790">
        <v>0</v>
      </c>
      <c r="R287" s="790">
        <v>0</v>
      </c>
      <c r="S287" s="790">
        <f t="shared" si="185"/>
        <v>20000</v>
      </c>
      <c r="T287" s="792">
        <f t="shared" si="186"/>
        <v>23</v>
      </c>
      <c r="U287" s="792">
        <f t="shared" si="187"/>
        <v>119</v>
      </c>
      <c r="V287" s="790">
        <f t="shared" si="188"/>
        <v>119</v>
      </c>
      <c r="W287" s="790">
        <f t="shared" si="166"/>
        <v>19881</v>
      </c>
      <c r="X287" s="790">
        <f t="shared" si="131"/>
        <v>19881</v>
      </c>
      <c r="Y287" s="783">
        <f t="shared" si="189"/>
        <v>20000</v>
      </c>
      <c r="Z287" s="783">
        <f t="shared" si="190"/>
        <v>365</v>
      </c>
      <c r="AA287" s="783">
        <f t="shared" si="191"/>
        <v>1900</v>
      </c>
      <c r="AB287" s="783">
        <f t="shared" si="192"/>
        <v>2019</v>
      </c>
      <c r="AC287" s="783">
        <f t="shared" si="167"/>
        <v>17981</v>
      </c>
      <c r="AD287" s="790">
        <f t="shared" si="133"/>
        <v>17981</v>
      </c>
      <c r="AE287" s="790">
        <f t="shared" si="193"/>
        <v>20000</v>
      </c>
      <c r="AF287" s="791">
        <f t="shared" si="194"/>
        <v>365</v>
      </c>
      <c r="AG287" s="791">
        <f t="shared" si="195"/>
        <v>1900</v>
      </c>
      <c r="AH287" s="783">
        <f t="shared" si="196"/>
        <v>3919</v>
      </c>
      <c r="AI287" s="783">
        <f t="shared" si="134"/>
        <v>16081</v>
      </c>
      <c r="AJ287" s="790">
        <f t="shared" si="168"/>
        <v>16081</v>
      </c>
      <c r="AK287" s="790">
        <f t="shared" si="169"/>
        <v>20000</v>
      </c>
      <c r="AL287" s="791">
        <f t="shared" si="170"/>
        <v>365</v>
      </c>
      <c r="AM287" s="791">
        <f t="shared" si="171"/>
        <v>1900</v>
      </c>
      <c r="AN287" s="783">
        <f t="shared" si="172"/>
        <v>5819</v>
      </c>
      <c r="AO287" s="783">
        <f t="shared" si="173"/>
        <v>14181</v>
      </c>
      <c r="AP287" s="808">
        <f t="shared" si="174"/>
        <v>14181</v>
      </c>
      <c r="AQ287" s="808">
        <f t="shared" si="175"/>
        <v>20000</v>
      </c>
      <c r="AR287" s="809">
        <f t="shared" si="176"/>
        <v>366</v>
      </c>
      <c r="AS287" s="809">
        <f t="shared" si="177"/>
        <v>1905</v>
      </c>
      <c r="AT287" s="808">
        <f t="shared" si="178"/>
        <v>7724</v>
      </c>
      <c r="AU287" s="808">
        <f t="shared" si="179"/>
        <v>12276</v>
      </c>
    </row>
    <row r="288" spans="1:47" ht="15" customHeight="1" x14ac:dyDescent="0.25">
      <c r="A288" s="842" t="s">
        <v>133</v>
      </c>
      <c r="B288" s="843" t="s">
        <v>1283</v>
      </c>
      <c r="C288" s="778">
        <f t="shared" si="164"/>
        <v>9.5000000000000001E-2</v>
      </c>
      <c r="D288" s="844">
        <v>10</v>
      </c>
      <c r="E288" s="844" t="s">
        <v>1205</v>
      </c>
      <c r="F288" s="845">
        <v>43893</v>
      </c>
      <c r="G288" s="781">
        <f t="shared" si="180"/>
        <v>43893</v>
      </c>
      <c r="H288" s="781">
        <f t="shared" si="126"/>
        <v>47543</v>
      </c>
      <c r="I288" s="795">
        <v>6918</v>
      </c>
      <c r="J288" s="783">
        <f t="shared" si="165"/>
        <v>345.90000000000003</v>
      </c>
      <c r="K288" s="887"/>
      <c r="L288" s="790">
        <v>0</v>
      </c>
      <c r="M288" s="790">
        <v>0</v>
      </c>
      <c r="N288" s="790">
        <v>0</v>
      </c>
      <c r="O288" s="790">
        <v>0</v>
      </c>
      <c r="P288" s="790">
        <v>0</v>
      </c>
      <c r="Q288" s="790">
        <v>0</v>
      </c>
      <c r="R288" s="790">
        <v>0</v>
      </c>
      <c r="S288" s="790">
        <f t="shared" si="185"/>
        <v>6918</v>
      </c>
      <c r="T288" s="792">
        <f t="shared" si="186"/>
        <v>29</v>
      </c>
      <c r="U288" s="792">
        <f t="shared" si="187"/>
        <v>52</v>
      </c>
      <c r="V288" s="790">
        <f t="shared" si="188"/>
        <v>52</v>
      </c>
      <c r="W288" s="790">
        <f t="shared" si="166"/>
        <v>6866</v>
      </c>
      <c r="X288" s="790">
        <f t="shared" si="131"/>
        <v>6866</v>
      </c>
      <c r="Y288" s="783">
        <f t="shared" si="189"/>
        <v>6918</v>
      </c>
      <c r="Z288" s="783">
        <f t="shared" si="190"/>
        <v>365</v>
      </c>
      <c r="AA288" s="783">
        <f t="shared" si="191"/>
        <v>657</v>
      </c>
      <c r="AB288" s="783">
        <f t="shared" si="192"/>
        <v>709</v>
      </c>
      <c r="AC288" s="783">
        <f t="shared" si="167"/>
        <v>6209</v>
      </c>
      <c r="AD288" s="790">
        <f t="shared" si="133"/>
        <v>6209</v>
      </c>
      <c r="AE288" s="790">
        <f t="shared" si="193"/>
        <v>6918</v>
      </c>
      <c r="AF288" s="791">
        <f t="shared" si="194"/>
        <v>365</v>
      </c>
      <c r="AG288" s="791">
        <f t="shared" si="195"/>
        <v>657</v>
      </c>
      <c r="AH288" s="783">
        <f t="shared" si="196"/>
        <v>1366</v>
      </c>
      <c r="AI288" s="783">
        <f t="shared" si="134"/>
        <v>5552</v>
      </c>
      <c r="AJ288" s="790">
        <f t="shared" si="168"/>
        <v>5552</v>
      </c>
      <c r="AK288" s="790">
        <f t="shared" si="169"/>
        <v>6918</v>
      </c>
      <c r="AL288" s="791">
        <f t="shared" si="170"/>
        <v>365</v>
      </c>
      <c r="AM288" s="791">
        <f t="shared" si="171"/>
        <v>657</v>
      </c>
      <c r="AN288" s="783">
        <f t="shared" si="172"/>
        <v>2023</v>
      </c>
      <c r="AO288" s="783">
        <f t="shared" si="173"/>
        <v>4895</v>
      </c>
      <c r="AP288" s="808">
        <f t="shared" si="174"/>
        <v>4895</v>
      </c>
      <c r="AQ288" s="808">
        <f t="shared" si="175"/>
        <v>6918</v>
      </c>
      <c r="AR288" s="809">
        <f t="shared" si="176"/>
        <v>366</v>
      </c>
      <c r="AS288" s="809">
        <f t="shared" si="177"/>
        <v>659</v>
      </c>
      <c r="AT288" s="808">
        <f t="shared" si="178"/>
        <v>2682</v>
      </c>
      <c r="AU288" s="808">
        <f t="shared" si="179"/>
        <v>4236</v>
      </c>
    </row>
    <row r="289" spans="1:47" ht="15" customHeight="1" x14ac:dyDescent="0.25">
      <c r="A289" s="842" t="s">
        <v>133</v>
      </c>
      <c r="B289" s="843" t="s">
        <v>1285</v>
      </c>
      <c r="C289" s="778">
        <f t="shared" si="164"/>
        <v>9.5000000000000001E-2</v>
      </c>
      <c r="D289" s="844">
        <v>10</v>
      </c>
      <c r="E289" s="844" t="s">
        <v>1205</v>
      </c>
      <c r="F289" s="845">
        <v>43894</v>
      </c>
      <c r="G289" s="781">
        <f t="shared" si="180"/>
        <v>43894</v>
      </c>
      <c r="H289" s="781">
        <f t="shared" si="126"/>
        <v>47544</v>
      </c>
      <c r="I289" s="795">
        <v>13000</v>
      </c>
      <c r="J289" s="783">
        <f t="shared" si="165"/>
        <v>650</v>
      </c>
      <c r="K289" s="887"/>
      <c r="L289" s="790">
        <v>0</v>
      </c>
      <c r="M289" s="790">
        <v>0</v>
      </c>
      <c r="N289" s="790">
        <v>0</v>
      </c>
      <c r="O289" s="790">
        <v>0</v>
      </c>
      <c r="P289" s="790">
        <v>0</v>
      </c>
      <c r="Q289" s="790">
        <v>0</v>
      </c>
      <c r="R289" s="790">
        <v>0</v>
      </c>
      <c r="S289" s="790">
        <f t="shared" si="185"/>
        <v>13000</v>
      </c>
      <c r="T289" s="792">
        <f t="shared" si="186"/>
        <v>28</v>
      </c>
      <c r="U289" s="792">
        <f t="shared" si="187"/>
        <v>94</v>
      </c>
      <c r="V289" s="790">
        <f t="shared" si="188"/>
        <v>94</v>
      </c>
      <c r="W289" s="790">
        <f t="shared" si="166"/>
        <v>12906</v>
      </c>
      <c r="X289" s="790">
        <f t="shared" si="131"/>
        <v>12906</v>
      </c>
      <c r="Y289" s="783">
        <f t="shared" si="189"/>
        <v>13000</v>
      </c>
      <c r="Z289" s="783">
        <f t="shared" si="190"/>
        <v>365</v>
      </c>
      <c r="AA289" s="783">
        <f t="shared" si="191"/>
        <v>1235</v>
      </c>
      <c r="AB289" s="783">
        <f t="shared" si="192"/>
        <v>1329</v>
      </c>
      <c r="AC289" s="783">
        <f t="shared" si="167"/>
        <v>11671</v>
      </c>
      <c r="AD289" s="790">
        <f t="shared" si="133"/>
        <v>11671</v>
      </c>
      <c r="AE289" s="790">
        <f t="shared" si="193"/>
        <v>13000</v>
      </c>
      <c r="AF289" s="791">
        <f t="shared" si="194"/>
        <v>365</v>
      </c>
      <c r="AG289" s="791">
        <f t="shared" si="195"/>
        <v>1235</v>
      </c>
      <c r="AH289" s="783">
        <f t="shared" si="196"/>
        <v>2564</v>
      </c>
      <c r="AI289" s="783">
        <f t="shared" si="134"/>
        <v>10436</v>
      </c>
      <c r="AJ289" s="790">
        <f t="shared" si="168"/>
        <v>10436</v>
      </c>
      <c r="AK289" s="790">
        <f t="shared" si="169"/>
        <v>13000</v>
      </c>
      <c r="AL289" s="791">
        <f t="shared" si="170"/>
        <v>365</v>
      </c>
      <c r="AM289" s="791">
        <f t="shared" si="171"/>
        <v>1235</v>
      </c>
      <c r="AN289" s="783">
        <f t="shared" si="172"/>
        <v>3799</v>
      </c>
      <c r="AO289" s="783">
        <f t="shared" si="173"/>
        <v>9201</v>
      </c>
      <c r="AP289" s="808">
        <f t="shared" si="174"/>
        <v>9201</v>
      </c>
      <c r="AQ289" s="808">
        <f t="shared" si="175"/>
        <v>13000</v>
      </c>
      <c r="AR289" s="809">
        <f t="shared" si="176"/>
        <v>366</v>
      </c>
      <c r="AS289" s="809">
        <f t="shared" si="177"/>
        <v>1238</v>
      </c>
      <c r="AT289" s="808">
        <f t="shared" si="178"/>
        <v>5037</v>
      </c>
      <c r="AU289" s="808">
        <f t="shared" si="179"/>
        <v>7963</v>
      </c>
    </row>
    <row r="290" spans="1:47" ht="15" customHeight="1" x14ac:dyDescent="0.25">
      <c r="A290" s="842" t="s">
        <v>133</v>
      </c>
      <c r="B290" s="843" t="s">
        <v>1286</v>
      </c>
      <c r="C290" s="778">
        <f t="shared" si="164"/>
        <v>9.5000000000000001E-2</v>
      </c>
      <c r="D290" s="844">
        <v>10</v>
      </c>
      <c r="E290" s="844" t="s">
        <v>1207</v>
      </c>
      <c r="F290" s="845">
        <v>44028</v>
      </c>
      <c r="G290" s="781">
        <f t="shared" si="180"/>
        <v>44028</v>
      </c>
      <c r="H290" s="781">
        <f t="shared" si="126"/>
        <v>47678</v>
      </c>
      <c r="I290" s="795">
        <v>16254.2</v>
      </c>
      <c r="J290" s="783">
        <f t="shared" si="165"/>
        <v>812.71</v>
      </c>
      <c r="K290" s="887"/>
      <c r="L290" s="846">
        <v>0</v>
      </c>
      <c r="M290" s="846">
        <v>0</v>
      </c>
      <c r="N290" s="846">
        <v>0</v>
      </c>
      <c r="O290" s="846">
        <v>0</v>
      </c>
      <c r="P290" s="846">
        <v>0</v>
      </c>
      <c r="Q290" s="846">
        <v>0</v>
      </c>
      <c r="R290" s="846">
        <v>0</v>
      </c>
      <c r="S290" s="846">
        <v>0</v>
      </c>
      <c r="T290" s="846">
        <v>0</v>
      </c>
      <c r="U290" s="846">
        <v>0</v>
      </c>
      <c r="V290" s="846">
        <v>0</v>
      </c>
      <c r="W290" s="846">
        <v>0</v>
      </c>
      <c r="X290" s="846">
        <v>0</v>
      </c>
      <c r="Y290" s="783">
        <f t="shared" si="189"/>
        <v>16254.2</v>
      </c>
      <c r="Z290" s="783">
        <f t="shared" si="190"/>
        <v>259</v>
      </c>
      <c r="AA290" s="783">
        <f t="shared" si="191"/>
        <v>1096</v>
      </c>
      <c r="AB290" s="783">
        <f t="shared" si="192"/>
        <v>1096</v>
      </c>
      <c r="AC290" s="848">
        <f t="shared" si="167"/>
        <v>15158.2</v>
      </c>
      <c r="AD290" s="789">
        <f t="shared" si="133"/>
        <v>15158.2</v>
      </c>
      <c r="AE290" s="790">
        <f t="shared" si="193"/>
        <v>16254.2</v>
      </c>
      <c r="AF290" s="791">
        <f t="shared" si="194"/>
        <v>365</v>
      </c>
      <c r="AG290" s="791">
        <f t="shared" si="195"/>
        <v>1544</v>
      </c>
      <c r="AH290" s="783">
        <f t="shared" si="196"/>
        <v>2640</v>
      </c>
      <c r="AI290" s="783">
        <f t="shared" si="134"/>
        <v>13614.2</v>
      </c>
      <c r="AJ290" s="790">
        <f t="shared" si="168"/>
        <v>13614.2</v>
      </c>
      <c r="AK290" s="790">
        <f t="shared" si="169"/>
        <v>16254.2</v>
      </c>
      <c r="AL290" s="791">
        <f t="shared" si="170"/>
        <v>365</v>
      </c>
      <c r="AM290" s="791">
        <f t="shared" si="171"/>
        <v>1544</v>
      </c>
      <c r="AN290" s="783">
        <f t="shared" si="172"/>
        <v>4184</v>
      </c>
      <c r="AO290" s="783">
        <f t="shared" si="173"/>
        <v>12070.2</v>
      </c>
      <c r="AP290" s="808">
        <f t="shared" si="174"/>
        <v>12070.2</v>
      </c>
      <c r="AQ290" s="808">
        <f t="shared" si="175"/>
        <v>16254.2</v>
      </c>
      <c r="AR290" s="809">
        <f t="shared" si="176"/>
        <v>366</v>
      </c>
      <c r="AS290" s="809">
        <f t="shared" si="177"/>
        <v>1548</v>
      </c>
      <c r="AT290" s="808">
        <f t="shared" si="178"/>
        <v>5732</v>
      </c>
      <c r="AU290" s="808">
        <f t="shared" si="179"/>
        <v>10522.2</v>
      </c>
    </row>
    <row r="291" spans="1:47" ht="15" customHeight="1" x14ac:dyDescent="0.25">
      <c r="A291" s="842" t="s">
        <v>133</v>
      </c>
      <c r="B291" s="843" t="s">
        <v>1287</v>
      </c>
      <c r="C291" s="778">
        <f t="shared" si="164"/>
        <v>9.5000000000000001E-2</v>
      </c>
      <c r="D291" s="844">
        <v>10</v>
      </c>
      <c r="E291" s="844" t="s">
        <v>1207</v>
      </c>
      <c r="F291" s="845">
        <v>44184</v>
      </c>
      <c r="G291" s="781">
        <f t="shared" si="180"/>
        <v>44184</v>
      </c>
      <c r="H291" s="781">
        <f t="shared" si="126"/>
        <v>47834</v>
      </c>
      <c r="I291" s="795">
        <v>48156</v>
      </c>
      <c r="J291" s="783">
        <f t="shared" si="165"/>
        <v>2407.8000000000002</v>
      </c>
      <c r="K291" s="887"/>
      <c r="L291" s="846">
        <v>0</v>
      </c>
      <c r="M291" s="846">
        <v>0</v>
      </c>
      <c r="N291" s="846">
        <v>0</v>
      </c>
      <c r="O291" s="846">
        <v>0</v>
      </c>
      <c r="P291" s="846">
        <v>0</v>
      </c>
      <c r="Q291" s="846">
        <v>0</v>
      </c>
      <c r="R291" s="846">
        <v>0</v>
      </c>
      <c r="S291" s="846">
        <v>0</v>
      </c>
      <c r="T291" s="846">
        <v>0</v>
      </c>
      <c r="U291" s="846">
        <v>0</v>
      </c>
      <c r="V291" s="846">
        <v>0</v>
      </c>
      <c r="W291" s="846">
        <v>0</v>
      </c>
      <c r="X291" s="846">
        <v>0</v>
      </c>
      <c r="Y291" s="783">
        <f t="shared" si="189"/>
        <v>48156</v>
      </c>
      <c r="Z291" s="783">
        <f t="shared" si="190"/>
        <v>103</v>
      </c>
      <c r="AA291" s="783">
        <f t="shared" si="191"/>
        <v>1291</v>
      </c>
      <c r="AB291" s="783">
        <f t="shared" si="192"/>
        <v>1291</v>
      </c>
      <c r="AC291" s="848">
        <f t="shared" si="167"/>
        <v>46865</v>
      </c>
      <c r="AD291" s="789">
        <f t="shared" si="133"/>
        <v>46865</v>
      </c>
      <c r="AE291" s="790">
        <f t="shared" si="193"/>
        <v>48156</v>
      </c>
      <c r="AF291" s="791">
        <f t="shared" si="194"/>
        <v>365</v>
      </c>
      <c r="AG291" s="791">
        <f t="shared" si="195"/>
        <v>4575</v>
      </c>
      <c r="AH291" s="783">
        <f t="shared" si="196"/>
        <v>5866</v>
      </c>
      <c r="AI291" s="783">
        <f t="shared" si="134"/>
        <v>42290</v>
      </c>
      <c r="AJ291" s="790">
        <f t="shared" si="168"/>
        <v>42290</v>
      </c>
      <c r="AK291" s="790">
        <f t="shared" si="169"/>
        <v>48156</v>
      </c>
      <c r="AL291" s="791">
        <f t="shared" si="170"/>
        <v>365</v>
      </c>
      <c r="AM291" s="791">
        <f t="shared" si="171"/>
        <v>4575</v>
      </c>
      <c r="AN291" s="783">
        <f t="shared" si="172"/>
        <v>10441</v>
      </c>
      <c r="AO291" s="783">
        <f t="shared" si="173"/>
        <v>37715</v>
      </c>
      <c r="AP291" s="808">
        <f t="shared" si="174"/>
        <v>37715</v>
      </c>
      <c r="AQ291" s="808">
        <f t="shared" si="175"/>
        <v>48156</v>
      </c>
      <c r="AR291" s="809">
        <f t="shared" si="176"/>
        <v>366</v>
      </c>
      <c r="AS291" s="809">
        <f t="shared" si="177"/>
        <v>4587</v>
      </c>
      <c r="AT291" s="808">
        <f t="shared" si="178"/>
        <v>15028</v>
      </c>
      <c r="AU291" s="808">
        <f t="shared" si="179"/>
        <v>33128</v>
      </c>
    </row>
    <row r="292" spans="1:47" ht="15" customHeight="1" x14ac:dyDescent="0.25">
      <c r="A292" s="842" t="s">
        <v>133</v>
      </c>
      <c r="B292" s="843" t="s">
        <v>1288</v>
      </c>
      <c r="C292" s="778">
        <f t="shared" si="164"/>
        <v>9.5000000000000001E-2</v>
      </c>
      <c r="D292" s="844">
        <v>10</v>
      </c>
      <c r="E292" s="844" t="s">
        <v>1207</v>
      </c>
      <c r="F292" s="845">
        <v>44204</v>
      </c>
      <c r="G292" s="781">
        <f t="shared" si="180"/>
        <v>44204</v>
      </c>
      <c r="H292" s="781">
        <f t="shared" si="126"/>
        <v>47854</v>
      </c>
      <c r="I292" s="795">
        <v>61000</v>
      </c>
      <c r="J292" s="783">
        <f t="shared" si="165"/>
        <v>3050</v>
      </c>
      <c r="K292" s="887"/>
      <c r="L292" s="846">
        <v>0</v>
      </c>
      <c r="M292" s="846">
        <v>0</v>
      </c>
      <c r="N292" s="846">
        <v>0</v>
      </c>
      <c r="O292" s="846">
        <v>0</v>
      </c>
      <c r="P292" s="846">
        <v>0</v>
      </c>
      <c r="Q292" s="846">
        <v>0</v>
      </c>
      <c r="R292" s="846">
        <v>0</v>
      </c>
      <c r="S292" s="846">
        <v>0</v>
      </c>
      <c r="T292" s="846">
        <v>0</v>
      </c>
      <c r="U292" s="846">
        <v>0</v>
      </c>
      <c r="V292" s="846">
        <v>0</v>
      </c>
      <c r="W292" s="846">
        <v>0</v>
      </c>
      <c r="X292" s="846">
        <f t="shared" si="131"/>
        <v>0</v>
      </c>
      <c r="Y292" s="783">
        <f t="shared" si="189"/>
        <v>61000</v>
      </c>
      <c r="Z292" s="783">
        <f t="shared" si="190"/>
        <v>83</v>
      </c>
      <c r="AA292" s="783">
        <f t="shared" si="191"/>
        <v>1318</v>
      </c>
      <c r="AB292" s="783">
        <f t="shared" si="192"/>
        <v>1318</v>
      </c>
      <c r="AC292" s="848">
        <f t="shared" si="167"/>
        <v>59682</v>
      </c>
      <c r="AD292" s="789">
        <f t="shared" si="133"/>
        <v>59682</v>
      </c>
      <c r="AE292" s="790">
        <f t="shared" si="193"/>
        <v>61000</v>
      </c>
      <c r="AF292" s="791">
        <f t="shared" si="194"/>
        <v>365</v>
      </c>
      <c r="AG292" s="791">
        <f t="shared" si="195"/>
        <v>5795</v>
      </c>
      <c r="AH292" s="783">
        <f t="shared" si="196"/>
        <v>7113</v>
      </c>
      <c r="AI292" s="783">
        <f t="shared" si="134"/>
        <v>53887</v>
      </c>
      <c r="AJ292" s="790">
        <f t="shared" si="168"/>
        <v>53887</v>
      </c>
      <c r="AK292" s="790">
        <f t="shared" si="169"/>
        <v>61000</v>
      </c>
      <c r="AL292" s="791">
        <f t="shared" si="170"/>
        <v>365</v>
      </c>
      <c r="AM292" s="791">
        <f t="shared" si="171"/>
        <v>5795</v>
      </c>
      <c r="AN292" s="783">
        <f t="shared" si="172"/>
        <v>12908</v>
      </c>
      <c r="AO292" s="783">
        <f t="shared" si="173"/>
        <v>48092</v>
      </c>
      <c r="AP292" s="808">
        <f t="shared" si="174"/>
        <v>48092</v>
      </c>
      <c r="AQ292" s="808">
        <f t="shared" si="175"/>
        <v>61000</v>
      </c>
      <c r="AR292" s="809">
        <f t="shared" si="176"/>
        <v>366</v>
      </c>
      <c r="AS292" s="809">
        <f t="shared" si="177"/>
        <v>5811</v>
      </c>
      <c r="AT292" s="808">
        <f t="shared" si="178"/>
        <v>18719</v>
      </c>
      <c r="AU292" s="808">
        <f t="shared" si="179"/>
        <v>42281</v>
      </c>
    </row>
    <row r="293" spans="1:47" ht="15" customHeight="1" x14ac:dyDescent="0.25">
      <c r="A293" s="842" t="s">
        <v>133</v>
      </c>
      <c r="B293" s="843" t="s">
        <v>1289</v>
      </c>
      <c r="C293" s="778">
        <f t="shared" si="164"/>
        <v>9.5000000000000001E-2</v>
      </c>
      <c r="D293" s="844">
        <v>10</v>
      </c>
      <c r="E293" s="844" t="s">
        <v>1207</v>
      </c>
      <c r="F293" s="845">
        <v>44249</v>
      </c>
      <c r="G293" s="781">
        <f t="shared" si="180"/>
        <v>44249</v>
      </c>
      <c r="H293" s="781">
        <f t="shared" si="126"/>
        <v>47899</v>
      </c>
      <c r="I293" s="795">
        <v>22600</v>
      </c>
      <c r="J293" s="783">
        <f t="shared" si="165"/>
        <v>1130</v>
      </c>
      <c r="K293" s="887"/>
      <c r="L293" s="846">
        <v>0</v>
      </c>
      <c r="M293" s="846">
        <v>0</v>
      </c>
      <c r="N293" s="846">
        <v>0</v>
      </c>
      <c r="O293" s="846">
        <v>0</v>
      </c>
      <c r="P293" s="846">
        <v>0</v>
      </c>
      <c r="Q293" s="846">
        <v>0</v>
      </c>
      <c r="R293" s="846">
        <v>0</v>
      </c>
      <c r="S293" s="846">
        <v>0</v>
      </c>
      <c r="T293" s="846">
        <v>0</v>
      </c>
      <c r="U293" s="846">
        <v>0</v>
      </c>
      <c r="V293" s="846">
        <v>0</v>
      </c>
      <c r="W293" s="846">
        <v>0</v>
      </c>
      <c r="X293" s="846">
        <f t="shared" si="131"/>
        <v>0</v>
      </c>
      <c r="Y293" s="783">
        <f t="shared" si="189"/>
        <v>22600</v>
      </c>
      <c r="Z293" s="783">
        <f t="shared" si="190"/>
        <v>38</v>
      </c>
      <c r="AA293" s="783">
        <f t="shared" si="191"/>
        <v>224</v>
      </c>
      <c r="AB293" s="783">
        <f t="shared" si="192"/>
        <v>224</v>
      </c>
      <c r="AC293" s="848">
        <f t="shared" si="167"/>
        <v>22376</v>
      </c>
      <c r="AD293" s="789">
        <f t="shared" si="133"/>
        <v>22376</v>
      </c>
      <c r="AE293" s="790">
        <f t="shared" si="193"/>
        <v>22600</v>
      </c>
      <c r="AF293" s="791">
        <f t="shared" si="194"/>
        <v>365</v>
      </c>
      <c r="AG293" s="791">
        <f t="shared" si="195"/>
        <v>2147</v>
      </c>
      <c r="AH293" s="783">
        <f t="shared" si="196"/>
        <v>2371</v>
      </c>
      <c r="AI293" s="783">
        <f t="shared" si="134"/>
        <v>20229</v>
      </c>
      <c r="AJ293" s="790">
        <f t="shared" si="168"/>
        <v>20229</v>
      </c>
      <c r="AK293" s="790">
        <f t="shared" si="169"/>
        <v>22600</v>
      </c>
      <c r="AL293" s="791">
        <f t="shared" si="170"/>
        <v>365</v>
      </c>
      <c r="AM293" s="791">
        <f t="shared" si="171"/>
        <v>2147</v>
      </c>
      <c r="AN293" s="783">
        <f t="shared" si="172"/>
        <v>4518</v>
      </c>
      <c r="AO293" s="783">
        <f t="shared" si="173"/>
        <v>18082</v>
      </c>
      <c r="AP293" s="808">
        <f t="shared" si="174"/>
        <v>18082</v>
      </c>
      <c r="AQ293" s="808">
        <f t="shared" si="175"/>
        <v>22600</v>
      </c>
      <c r="AR293" s="809">
        <f t="shared" si="176"/>
        <v>366</v>
      </c>
      <c r="AS293" s="809">
        <f t="shared" si="177"/>
        <v>2153</v>
      </c>
      <c r="AT293" s="808">
        <f t="shared" si="178"/>
        <v>6671</v>
      </c>
      <c r="AU293" s="808">
        <f t="shared" si="179"/>
        <v>15929</v>
      </c>
    </row>
    <row r="294" spans="1:47" ht="15" customHeight="1" x14ac:dyDescent="0.25">
      <c r="A294" s="842" t="s">
        <v>133</v>
      </c>
      <c r="B294" s="843" t="s">
        <v>1289</v>
      </c>
      <c r="C294" s="778">
        <f t="shared" si="164"/>
        <v>9.5000000000000001E-2</v>
      </c>
      <c r="D294" s="844">
        <v>10</v>
      </c>
      <c r="E294" s="844" t="s">
        <v>1207</v>
      </c>
      <c r="F294" s="845">
        <v>44258</v>
      </c>
      <c r="G294" s="781">
        <f t="shared" si="180"/>
        <v>44258</v>
      </c>
      <c r="H294" s="781">
        <f t="shared" si="126"/>
        <v>47908</v>
      </c>
      <c r="I294" s="795">
        <v>16000</v>
      </c>
      <c r="J294" s="783">
        <f t="shared" si="165"/>
        <v>800</v>
      </c>
      <c r="K294" s="887"/>
      <c r="L294" s="846">
        <v>0</v>
      </c>
      <c r="M294" s="846">
        <v>0</v>
      </c>
      <c r="N294" s="846">
        <v>0</v>
      </c>
      <c r="O294" s="846">
        <v>0</v>
      </c>
      <c r="P294" s="846">
        <v>0</v>
      </c>
      <c r="Q294" s="846">
        <v>0</v>
      </c>
      <c r="R294" s="846">
        <v>0</v>
      </c>
      <c r="S294" s="846">
        <v>0</v>
      </c>
      <c r="T294" s="846">
        <v>0</v>
      </c>
      <c r="U294" s="846">
        <v>0</v>
      </c>
      <c r="V294" s="846">
        <v>0</v>
      </c>
      <c r="W294" s="846">
        <v>0</v>
      </c>
      <c r="X294" s="846">
        <f t="shared" si="131"/>
        <v>0</v>
      </c>
      <c r="Y294" s="783">
        <f t="shared" si="189"/>
        <v>16000</v>
      </c>
      <c r="Z294" s="783">
        <f t="shared" si="190"/>
        <v>29</v>
      </c>
      <c r="AA294" s="783">
        <f t="shared" si="191"/>
        <v>121</v>
      </c>
      <c r="AB294" s="783">
        <f t="shared" si="192"/>
        <v>121</v>
      </c>
      <c r="AC294" s="848">
        <f t="shared" si="167"/>
        <v>15879</v>
      </c>
      <c r="AD294" s="789">
        <f t="shared" si="133"/>
        <v>15879</v>
      </c>
      <c r="AE294" s="790">
        <f t="shared" si="193"/>
        <v>16000</v>
      </c>
      <c r="AF294" s="791">
        <f t="shared" si="194"/>
        <v>365</v>
      </c>
      <c r="AG294" s="791">
        <f t="shared" si="195"/>
        <v>1520</v>
      </c>
      <c r="AH294" s="783">
        <f t="shared" si="196"/>
        <v>1641</v>
      </c>
      <c r="AI294" s="783">
        <f t="shared" si="134"/>
        <v>14359</v>
      </c>
      <c r="AJ294" s="790">
        <f t="shared" si="168"/>
        <v>14359</v>
      </c>
      <c r="AK294" s="790">
        <f t="shared" si="169"/>
        <v>16000</v>
      </c>
      <c r="AL294" s="791">
        <f t="shared" si="170"/>
        <v>365</v>
      </c>
      <c r="AM294" s="791">
        <f t="shared" si="171"/>
        <v>1520</v>
      </c>
      <c r="AN294" s="783">
        <f t="shared" si="172"/>
        <v>3161</v>
      </c>
      <c r="AO294" s="783">
        <f t="shared" si="173"/>
        <v>12839</v>
      </c>
      <c r="AP294" s="808">
        <f t="shared" si="174"/>
        <v>12839</v>
      </c>
      <c r="AQ294" s="808">
        <f t="shared" si="175"/>
        <v>16000</v>
      </c>
      <c r="AR294" s="809">
        <f t="shared" si="176"/>
        <v>366</v>
      </c>
      <c r="AS294" s="809">
        <f t="shared" si="177"/>
        <v>1524</v>
      </c>
      <c r="AT294" s="808">
        <f t="shared" si="178"/>
        <v>4685</v>
      </c>
      <c r="AU294" s="808">
        <f t="shared" si="179"/>
        <v>11315</v>
      </c>
    </row>
    <row r="295" spans="1:47" ht="15" customHeight="1" x14ac:dyDescent="0.25">
      <c r="A295" s="842" t="s">
        <v>133</v>
      </c>
      <c r="B295" s="843" t="s">
        <v>1289</v>
      </c>
      <c r="C295" s="778">
        <f t="shared" si="164"/>
        <v>9.5000000000000001E-2</v>
      </c>
      <c r="D295" s="844">
        <v>10</v>
      </c>
      <c r="E295" s="844" t="s">
        <v>1207</v>
      </c>
      <c r="F295" s="845">
        <v>44286</v>
      </c>
      <c r="G295" s="781">
        <f t="shared" si="180"/>
        <v>44286</v>
      </c>
      <c r="H295" s="781">
        <f t="shared" si="126"/>
        <v>47936</v>
      </c>
      <c r="I295" s="795">
        <v>38500</v>
      </c>
      <c r="J295" s="783">
        <f t="shared" si="165"/>
        <v>1925</v>
      </c>
      <c r="K295" s="887"/>
      <c r="L295" s="846">
        <v>0</v>
      </c>
      <c r="M295" s="846">
        <v>0</v>
      </c>
      <c r="N295" s="846">
        <v>0</v>
      </c>
      <c r="O295" s="846">
        <v>0</v>
      </c>
      <c r="P295" s="846">
        <v>0</v>
      </c>
      <c r="Q295" s="846">
        <v>0</v>
      </c>
      <c r="R295" s="846">
        <v>0</v>
      </c>
      <c r="S295" s="846">
        <v>0</v>
      </c>
      <c r="T295" s="846">
        <v>0</v>
      </c>
      <c r="U295" s="846">
        <v>0</v>
      </c>
      <c r="V295" s="846">
        <v>0</v>
      </c>
      <c r="W295" s="846">
        <v>0</v>
      </c>
      <c r="X295" s="846">
        <f t="shared" si="131"/>
        <v>0</v>
      </c>
      <c r="Y295" s="783">
        <f t="shared" si="189"/>
        <v>38500</v>
      </c>
      <c r="Z295" s="783">
        <f t="shared" si="190"/>
        <v>365</v>
      </c>
      <c r="AA295" s="783">
        <f t="shared" si="191"/>
        <v>3658</v>
      </c>
      <c r="AB295" s="783">
        <f t="shared" si="192"/>
        <v>3658</v>
      </c>
      <c r="AC295" s="848">
        <f t="shared" si="167"/>
        <v>34842</v>
      </c>
      <c r="AD295" s="789">
        <f t="shared" si="133"/>
        <v>34842</v>
      </c>
      <c r="AE295" s="790">
        <f t="shared" si="193"/>
        <v>38500</v>
      </c>
      <c r="AF295" s="791">
        <f t="shared" si="194"/>
        <v>365</v>
      </c>
      <c r="AG295" s="791">
        <f t="shared" si="195"/>
        <v>3658</v>
      </c>
      <c r="AH295" s="783">
        <f t="shared" si="196"/>
        <v>7316</v>
      </c>
      <c r="AI295" s="783">
        <f t="shared" si="134"/>
        <v>31184</v>
      </c>
      <c r="AJ295" s="790">
        <f t="shared" si="168"/>
        <v>31184</v>
      </c>
      <c r="AK295" s="790">
        <f t="shared" si="169"/>
        <v>38500</v>
      </c>
      <c r="AL295" s="791">
        <f t="shared" si="170"/>
        <v>365</v>
      </c>
      <c r="AM295" s="791">
        <f t="shared" si="171"/>
        <v>3658</v>
      </c>
      <c r="AN295" s="783">
        <f t="shared" si="172"/>
        <v>10974</v>
      </c>
      <c r="AO295" s="783">
        <f t="shared" si="173"/>
        <v>27526</v>
      </c>
      <c r="AP295" s="808">
        <f t="shared" si="174"/>
        <v>27526</v>
      </c>
      <c r="AQ295" s="808">
        <f t="shared" si="175"/>
        <v>38500</v>
      </c>
      <c r="AR295" s="809">
        <f t="shared" si="176"/>
        <v>366</v>
      </c>
      <c r="AS295" s="809">
        <f t="shared" si="177"/>
        <v>3668</v>
      </c>
      <c r="AT295" s="808">
        <f t="shared" si="178"/>
        <v>14642</v>
      </c>
      <c r="AU295" s="808">
        <f t="shared" si="179"/>
        <v>23858</v>
      </c>
    </row>
    <row r="296" spans="1:47" ht="15" customHeight="1" x14ac:dyDescent="0.25">
      <c r="A296" s="842" t="s">
        <v>133</v>
      </c>
      <c r="B296" s="843" t="s">
        <v>1290</v>
      </c>
      <c r="C296" s="778">
        <f t="shared" si="164"/>
        <v>9.5000000000000001E-2</v>
      </c>
      <c r="D296" s="844">
        <v>10</v>
      </c>
      <c r="E296" s="844" t="s">
        <v>723</v>
      </c>
      <c r="F296" s="845">
        <v>44435</v>
      </c>
      <c r="G296" s="781">
        <f t="shared" si="180"/>
        <v>44435</v>
      </c>
      <c r="H296" s="781">
        <f t="shared" si="126"/>
        <v>48085</v>
      </c>
      <c r="I296" s="795">
        <f>106535</f>
        <v>106535</v>
      </c>
      <c r="J296" s="783">
        <f t="shared" si="165"/>
        <v>5326.75</v>
      </c>
      <c r="K296" s="887"/>
      <c r="L296" s="846">
        <v>0</v>
      </c>
      <c r="M296" s="846">
        <v>0</v>
      </c>
      <c r="N296" s="846">
        <v>0</v>
      </c>
      <c r="O296" s="846">
        <v>0</v>
      </c>
      <c r="P296" s="846">
        <v>0</v>
      </c>
      <c r="Q296" s="846">
        <v>0</v>
      </c>
      <c r="R296" s="846">
        <v>0</v>
      </c>
      <c r="S296" s="846">
        <v>0</v>
      </c>
      <c r="T296" s="846">
        <v>0</v>
      </c>
      <c r="U296" s="846">
        <v>0</v>
      </c>
      <c r="V296" s="846">
        <v>0</v>
      </c>
      <c r="W296" s="846">
        <v>0</v>
      </c>
      <c r="X296" s="846">
        <v>0</v>
      </c>
      <c r="Y296" s="846">
        <v>0</v>
      </c>
      <c r="Z296" s="846">
        <v>0</v>
      </c>
      <c r="AA296" s="846">
        <v>0</v>
      </c>
      <c r="AB296" s="846">
        <v>0</v>
      </c>
      <c r="AC296" s="846">
        <v>0</v>
      </c>
      <c r="AD296" s="789">
        <f t="shared" si="133"/>
        <v>0</v>
      </c>
      <c r="AE296" s="790">
        <f t="shared" si="193"/>
        <v>106535</v>
      </c>
      <c r="AF296" s="791">
        <f t="shared" si="194"/>
        <v>217</v>
      </c>
      <c r="AG296" s="791">
        <f t="shared" si="195"/>
        <v>6017</v>
      </c>
      <c r="AH296" s="783">
        <f t="shared" si="196"/>
        <v>6017</v>
      </c>
      <c r="AI296" s="783">
        <f t="shared" si="134"/>
        <v>100518</v>
      </c>
      <c r="AJ296" s="790">
        <f t="shared" si="168"/>
        <v>100518</v>
      </c>
      <c r="AK296" s="790">
        <f t="shared" si="169"/>
        <v>106535</v>
      </c>
      <c r="AL296" s="791">
        <f t="shared" si="170"/>
        <v>365</v>
      </c>
      <c r="AM296" s="791">
        <f t="shared" si="171"/>
        <v>10121</v>
      </c>
      <c r="AN296" s="783">
        <f t="shared" si="172"/>
        <v>16138</v>
      </c>
      <c r="AO296" s="783">
        <f t="shared" si="173"/>
        <v>90397</v>
      </c>
      <c r="AP296" s="808">
        <f t="shared" si="174"/>
        <v>90397</v>
      </c>
      <c r="AQ296" s="808">
        <f t="shared" si="175"/>
        <v>106535</v>
      </c>
      <c r="AR296" s="809">
        <f t="shared" si="176"/>
        <v>366</v>
      </c>
      <c r="AS296" s="809">
        <f t="shared" si="177"/>
        <v>10149</v>
      </c>
      <c r="AT296" s="808">
        <f t="shared" si="178"/>
        <v>26287</v>
      </c>
      <c r="AU296" s="808">
        <f t="shared" si="179"/>
        <v>80248</v>
      </c>
    </row>
    <row r="297" spans="1:47" ht="15" customHeight="1" x14ac:dyDescent="0.25">
      <c r="A297" s="842" t="s">
        <v>133</v>
      </c>
      <c r="B297" s="843" t="s">
        <v>1270</v>
      </c>
      <c r="C297" s="778">
        <f t="shared" si="164"/>
        <v>9.5000000000000001E-2</v>
      </c>
      <c r="D297" s="844">
        <v>10</v>
      </c>
      <c r="E297" s="844" t="s">
        <v>723</v>
      </c>
      <c r="F297" s="845">
        <v>44301</v>
      </c>
      <c r="G297" s="781">
        <f t="shared" si="180"/>
        <v>44301</v>
      </c>
      <c r="H297" s="781">
        <f t="shared" si="126"/>
        <v>47951</v>
      </c>
      <c r="I297" s="795">
        <v>38000</v>
      </c>
      <c r="J297" s="783">
        <f t="shared" si="165"/>
        <v>1900</v>
      </c>
      <c r="K297" s="887"/>
      <c r="L297" s="846">
        <v>0</v>
      </c>
      <c r="M297" s="846">
        <v>0</v>
      </c>
      <c r="N297" s="846">
        <v>0</v>
      </c>
      <c r="O297" s="846">
        <v>0</v>
      </c>
      <c r="P297" s="846">
        <v>0</v>
      </c>
      <c r="Q297" s="846">
        <v>0</v>
      </c>
      <c r="R297" s="846">
        <v>0</v>
      </c>
      <c r="S297" s="846">
        <v>0</v>
      </c>
      <c r="T297" s="846">
        <v>0</v>
      </c>
      <c r="U297" s="846">
        <v>0</v>
      </c>
      <c r="V297" s="846">
        <v>0</v>
      </c>
      <c r="W297" s="846">
        <v>0</v>
      </c>
      <c r="X297" s="846">
        <v>0</v>
      </c>
      <c r="Y297" s="846">
        <v>0</v>
      </c>
      <c r="Z297" s="846">
        <v>0</v>
      </c>
      <c r="AA297" s="846">
        <v>0</v>
      </c>
      <c r="AB297" s="846">
        <v>0</v>
      </c>
      <c r="AC297" s="846">
        <v>0</v>
      </c>
      <c r="AD297" s="789">
        <f t="shared" si="133"/>
        <v>0</v>
      </c>
      <c r="AE297" s="790">
        <f t="shared" si="193"/>
        <v>38000</v>
      </c>
      <c r="AF297" s="791">
        <f t="shared" si="194"/>
        <v>351</v>
      </c>
      <c r="AG297" s="791">
        <f t="shared" si="195"/>
        <v>3472</v>
      </c>
      <c r="AH297" s="783">
        <f t="shared" si="196"/>
        <v>3472</v>
      </c>
      <c r="AI297" s="783">
        <f t="shared" si="134"/>
        <v>34528</v>
      </c>
      <c r="AJ297" s="790">
        <f t="shared" si="168"/>
        <v>34528</v>
      </c>
      <c r="AK297" s="790">
        <f t="shared" si="169"/>
        <v>38000</v>
      </c>
      <c r="AL297" s="791">
        <f t="shared" si="170"/>
        <v>365</v>
      </c>
      <c r="AM297" s="791">
        <f t="shared" si="171"/>
        <v>3610</v>
      </c>
      <c r="AN297" s="783">
        <f t="shared" si="172"/>
        <v>7082</v>
      </c>
      <c r="AO297" s="783">
        <f t="shared" si="173"/>
        <v>30918</v>
      </c>
      <c r="AP297" s="808">
        <f t="shared" si="174"/>
        <v>30918</v>
      </c>
      <c r="AQ297" s="808">
        <f t="shared" si="175"/>
        <v>38000</v>
      </c>
      <c r="AR297" s="809">
        <f t="shared" si="176"/>
        <v>366</v>
      </c>
      <c r="AS297" s="809">
        <f t="shared" si="177"/>
        <v>3620</v>
      </c>
      <c r="AT297" s="808">
        <f t="shared" si="178"/>
        <v>10702</v>
      </c>
      <c r="AU297" s="808">
        <f t="shared" si="179"/>
        <v>27298</v>
      </c>
    </row>
    <row r="298" spans="1:47" ht="15" customHeight="1" x14ac:dyDescent="0.25">
      <c r="A298" s="842" t="s">
        <v>133</v>
      </c>
      <c r="B298" s="843" t="s">
        <v>1290</v>
      </c>
      <c r="C298" s="778">
        <f t="shared" si="164"/>
        <v>9.5000000000000001E-2</v>
      </c>
      <c r="D298" s="844">
        <v>10</v>
      </c>
      <c r="E298" s="844" t="s">
        <v>723</v>
      </c>
      <c r="F298" s="845">
        <v>44463</v>
      </c>
      <c r="G298" s="781">
        <f t="shared" si="180"/>
        <v>44463</v>
      </c>
      <c r="H298" s="781">
        <f t="shared" si="126"/>
        <v>48113</v>
      </c>
      <c r="I298" s="795">
        <v>77418</v>
      </c>
      <c r="J298" s="783">
        <f t="shared" si="165"/>
        <v>3870.9</v>
      </c>
      <c r="K298" s="887"/>
      <c r="L298" s="846">
        <v>0</v>
      </c>
      <c r="M298" s="846">
        <v>0</v>
      </c>
      <c r="N298" s="846">
        <v>0</v>
      </c>
      <c r="O298" s="846">
        <v>0</v>
      </c>
      <c r="P298" s="846">
        <v>0</v>
      </c>
      <c r="Q298" s="846">
        <v>0</v>
      </c>
      <c r="R298" s="846">
        <v>0</v>
      </c>
      <c r="S298" s="846">
        <v>0</v>
      </c>
      <c r="T298" s="846">
        <v>0</v>
      </c>
      <c r="U298" s="846">
        <v>0</v>
      </c>
      <c r="V298" s="846">
        <v>0</v>
      </c>
      <c r="W298" s="846">
        <v>0</v>
      </c>
      <c r="X298" s="846">
        <v>0</v>
      </c>
      <c r="Y298" s="846">
        <v>0</v>
      </c>
      <c r="Z298" s="846">
        <v>0</v>
      </c>
      <c r="AA298" s="846">
        <v>0</v>
      </c>
      <c r="AB298" s="846">
        <v>0</v>
      </c>
      <c r="AC298" s="846">
        <v>0</v>
      </c>
      <c r="AD298" s="789">
        <f t="shared" si="133"/>
        <v>0</v>
      </c>
      <c r="AE298" s="790">
        <f t="shared" si="193"/>
        <v>77418</v>
      </c>
      <c r="AF298" s="791">
        <f t="shared" si="194"/>
        <v>189</v>
      </c>
      <c r="AG298" s="791">
        <f t="shared" si="195"/>
        <v>3808</v>
      </c>
      <c r="AH298" s="783">
        <f t="shared" si="196"/>
        <v>3808</v>
      </c>
      <c r="AI298" s="783">
        <f t="shared" si="134"/>
        <v>73610</v>
      </c>
      <c r="AJ298" s="790">
        <f t="shared" si="168"/>
        <v>73610</v>
      </c>
      <c r="AK298" s="790">
        <f t="shared" si="169"/>
        <v>77418</v>
      </c>
      <c r="AL298" s="791">
        <f t="shared" si="170"/>
        <v>365</v>
      </c>
      <c r="AM298" s="791">
        <f t="shared" si="171"/>
        <v>7355</v>
      </c>
      <c r="AN298" s="783">
        <f t="shared" si="172"/>
        <v>11163</v>
      </c>
      <c r="AO298" s="783">
        <f t="shared" si="173"/>
        <v>66255</v>
      </c>
      <c r="AP298" s="808">
        <f t="shared" si="174"/>
        <v>66255</v>
      </c>
      <c r="AQ298" s="808">
        <f t="shared" si="175"/>
        <v>77418</v>
      </c>
      <c r="AR298" s="809">
        <f t="shared" si="176"/>
        <v>366</v>
      </c>
      <c r="AS298" s="809">
        <f t="shared" si="177"/>
        <v>7375</v>
      </c>
      <c r="AT298" s="808">
        <f t="shared" si="178"/>
        <v>18538</v>
      </c>
      <c r="AU298" s="808">
        <f t="shared" si="179"/>
        <v>58880</v>
      </c>
    </row>
    <row r="299" spans="1:47" ht="15" customHeight="1" x14ac:dyDescent="0.25">
      <c r="A299" s="842" t="s">
        <v>133</v>
      </c>
      <c r="B299" s="843" t="s">
        <v>1277</v>
      </c>
      <c r="C299" s="778">
        <f t="shared" si="164"/>
        <v>9.5000000000000001E-2</v>
      </c>
      <c r="D299" s="844">
        <v>10</v>
      </c>
      <c r="E299" s="844" t="s">
        <v>723</v>
      </c>
      <c r="F299" s="845">
        <v>44417</v>
      </c>
      <c r="G299" s="781">
        <f t="shared" si="180"/>
        <v>44417</v>
      </c>
      <c r="H299" s="781">
        <f t="shared" si="126"/>
        <v>48067</v>
      </c>
      <c r="I299" s="795">
        <f>3600+58200</f>
        <v>61800</v>
      </c>
      <c r="J299" s="783">
        <f t="shared" si="165"/>
        <v>3090</v>
      </c>
      <c r="K299" s="887"/>
      <c r="L299" s="846">
        <v>0</v>
      </c>
      <c r="M299" s="846">
        <v>0</v>
      </c>
      <c r="N299" s="846">
        <v>0</v>
      </c>
      <c r="O299" s="846">
        <v>0</v>
      </c>
      <c r="P299" s="846">
        <v>0</v>
      </c>
      <c r="Q299" s="846">
        <v>0</v>
      </c>
      <c r="R299" s="846">
        <v>0</v>
      </c>
      <c r="S299" s="846">
        <v>0</v>
      </c>
      <c r="T299" s="846">
        <v>0</v>
      </c>
      <c r="U299" s="846">
        <v>0</v>
      </c>
      <c r="V299" s="846">
        <v>0</v>
      </c>
      <c r="W299" s="846">
        <v>0</v>
      </c>
      <c r="X299" s="846">
        <v>0</v>
      </c>
      <c r="Y299" s="846">
        <v>0</v>
      </c>
      <c r="Z299" s="846">
        <v>0</v>
      </c>
      <c r="AA299" s="846">
        <v>0</v>
      </c>
      <c r="AB299" s="846">
        <v>0</v>
      </c>
      <c r="AC299" s="846">
        <v>0</v>
      </c>
      <c r="AD299" s="789">
        <f t="shared" si="133"/>
        <v>0</v>
      </c>
      <c r="AE299" s="790">
        <f t="shared" si="193"/>
        <v>61800</v>
      </c>
      <c r="AF299" s="791">
        <f t="shared" si="194"/>
        <v>235</v>
      </c>
      <c r="AG299" s="791">
        <f t="shared" si="195"/>
        <v>3780</v>
      </c>
      <c r="AH299" s="783">
        <f t="shared" si="196"/>
        <v>3780</v>
      </c>
      <c r="AI299" s="783">
        <f t="shared" si="134"/>
        <v>58020</v>
      </c>
      <c r="AJ299" s="790">
        <f t="shared" si="168"/>
        <v>58020</v>
      </c>
      <c r="AK299" s="790">
        <f t="shared" si="169"/>
        <v>61800</v>
      </c>
      <c r="AL299" s="791">
        <f t="shared" si="170"/>
        <v>365</v>
      </c>
      <c r="AM299" s="791">
        <f t="shared" si="171"/>
        <v>5871</v>
      </c>
      <c r="AN299" s="783">
        <f t="shared" si="172"/>
        <v>9651</v>
      </c>
      <c r="AO299" s="783">
        <f t="shared" si="173"/>
        <v>52149</v>
      </c>
      <c r="AP299" s="808">
        <f t="shared" si="174"/>
        <v>52149</v>
      </c>
      <c r="AQ299" s="808">
        <f t="shared" si="175"/>
        <v>61800</v>
      </c>
      <c r="AR299" s="809">
        <f t="shared" si="176"/>
        <v>366</v>
      </c>
      <c r="AS299" s="809">
        <f t="shared" si="177"/>
        <v>5887</v>
      </c>
      <c r="AT299" s="808">
        <f t="shared" si="178"/>
        <v>15538</v>
      </c>
      <c r="AU299" s="808">
        <f t="shared" si="179"/>
        <v>46262</v>
      </c>
    </row>
    <row r="300" spans="1:47" ht="15" customHeight="1" x14ac:dyDescent="0.25">
      <c r="A300" s="842" t="s">
        <v>133</v>
      </c>
      <c r="B300" s="843" t="s">
        <v>1289</v>
      </c>
      <c r="C300" s="778">
        <f t="shared" si="164"/>
        <v>9.5000000000000001E-2</v>
      </c>
      <c r="D300" s="844">
        <v>10</v>
      </c>
      <c r="E300" s="844" t="s">
        <v>723</v>
      </c>
      <c r="F300" s="845">
        <v>44505</v>
      </c>
      <c r="G300" s="781">
        <f t="shared" si="180"/>
        <v>44505</v>
      </c>
      <c r="H300" s="781">
        <f t="shared" si="126"/>
        <v>48155</v>
      </c>
      <c r="I300" s="795">
        <f>75359.8+509796</f>
        <v>585155.80000000005</v>
      </c>
      <c r="J300" s="783">
        <f t="shared" si="165"/>
        <v>29257.790000000005</v>
      </c>
      <c r="K300" s="887"/>
      <c r="L300" s="846">
        <v>0</v>
      </c>
      <c r="M300" s="846">
        <v>0</v>
      </c>
      <c r="N300" s="846">
        <v>0</v>
      </c>
      <c r="O300" s="846">
        <v>0</v>
      </c>
      <c r="P300" s="846">
        <v>0</v>
      </c>
      <c r="Q300" s="846">
        <v>0</v>
      </c>
      <c r="R300" s="846">
        <v>0</v>
      </c>
      <c r="S300" s="846">
        <v>0</v>
      </c>
      <c r="T300" s="846">
        <v>0</v>
      </c>
      <c r="U300" s="846">
        <v>0</v>
      </c>
      <c r="V300" s="846">
        <v>0</v>
      </c>
      <c r="W300" s="846">
        <v>0</v>
      </c>
      <c r="X300" s="846">
        <v>0</v>
      </c>
      <c r="Y300" s="846">
        <v>0</v>
      </c>
      <c r="Z300" s="846">
        <v>0</v>
      </c>
      <c r="AA300" s="846">
        <v>0</v>
      </c>
      <c r="AB300" s="846">
        <v>0</v>
      </c>
      <c r="AC300" s="846">
        <v>0</v>
      </c>
      <c r="AD300" s="789">
        <f t="shared" si="133"/>
        <v>0</v>
      </c>
      <c r="AE300" s="790">
        <f t="shared" si="193"/>
        <v>585155.80000000005</v>
      </c>
      <c r="AF300" s="791">
        <f t="shared" si="194"/>
        <v>147</v>
      </c>
      <c r="AG300" s="791">
        <f t="shared" si="195"/>
        <v>22388</v>
      </c>
      <c r="AH300" s="783">
        <f t="shared" si="196"/>
        <v>22388</v>
      </c>
      <c r="AI300" s="783">
        <f t="shared" si="134"/>
        <v>562767.80000000005</v>
      </c>
      <c r="AJ300" s="790">
        <f t="shared" si="168"/>
        <v>562767.80000000005</v>
      </c>
      <c r="AK300" s="790">
        <f t="shared" si="169"/>
        <v>585155.80000000005</v>
      </c>
      <c r="AL300" s="791">
        <f t="shared" si="170"/>
        <v>365</v>
      </c>
      <c r="AM300" s="791">
        <f t="shared" si="171"/>
        <v>55590</v>
      </c>
      <c r="AN300" s="783">
        <f t="shared" si="172"/>
        <v>77978</v>
      </c>
      <c r="AO300" s="783">
        <f t="shared" si="173"/>
        <v>507177.80000000005</v>
      </c>
      <c r="AP300" s="808">
        <f t="shared" si="174"/>
        <v>507177.80000000005</v>
      </c>
      <c r="AQ300" s="808">
        <f t="shared" si="175"/>
        <v>585155.80000000005</v>
      </c>
      <c r="AR300" s="809">
        <f t="shared" si="176"/>
        <v>366</v>
      </c>
      <c r="AS300" s="809">
        <f t="shared" si="177"/>
        <v>55742</v>
      </c>
      <c r="AT300" s="808">
        <f t="shared" si="178"/>
        <v>133720</v>
      </c>
      <c r="AU300" s="808">
        <f t="shared" si="179"/>
        <v>451435.80000000005</v>
      </c>
    </row>
    <row r="301" spans="1:47" ht="15" customHeight="1" x14ac:dyDescent="0.25">
      <c r="A301" s="842" t="s">
        <v>133</v>
      </c>
      <c r="B301" s="843" t="s">
        <v>1289</v>
      </c>
      <c r="C301" s="778">
        <f t="shared" si="164"/>
        <v>9.5000000000000001E-2</v>
      </c>
      <c r="D301" s="844">
        <v>10</v>
      </c>
      <c r="E301" s="844" t="s">
        <v>723</v>
      </c>
      <c r="F301" s="845">
        <v>44550</v>
      </c>
      <c r="G301" s="781">
        <f t="shared" si="180"/>
        <v>44550</v>
      </c>
      <c r="H301" s="781">
        <f t="shared" si="126"/>
        <v>48200</v>
      </c>
      <c r="I301" s="795">
        <f>33262+295000</f>
        <v>328262</v>
      </c>
      <c r="J301" s="783">
        <f t="shared" si="165"/>
        <v>16413.100000000002</v>
      </c>
      <c r="K301" s="887"/>
      <c r="L301" s="846">
        <v>0</v>
      </c>
      <c r="M301" s="846">
        <v>0</v>
      </c>
      <c r="N301" s="846">
        <v>0</v>
      </c>
      <c r="O301" s="846">
        <v>0</v>
      </c>
      <c r="P301" s="846">
        <v>0</v>
      </c>
      <c r="Q301" s="846">
        <v>0</v>
      </c>
      <c r="R301" s="846">
        <v>0</v>
      </c>
      <c r="S301" s="846">
        <v>0</v>
      </c>
      <c r="T301" s="846">
        <v>0</v>
      </c>
      <c r="U301" s="846">
        <v>0</v>
      </c>
      <c r="V301" s="846">
        <v>0</v>
      </c>
      <c r="W301" s="846">
        <v>0</v>
      </c>
      <c r="X301" s="846">
        <v>0</v>
      </c>
      <c r="Y301" s="846">
        <v>0</v>
      </c>
      <c r="Z301" s="846">
        <v>0</v>
      </c>
      <c r="AA301" s="846">
        <v>0</v>
      </c>
      <c r="AB301" s="846">
        <v>0</v>
      </c>
      <c r="AC301" s="846">
        <v>0</v>
      </c>
      <c r="AD301" s="789">
        <f t="shared" si="133"/>
        <v>0</v>
      </c>
      <c r="AE301" s="790">
        <f t="shared" si="193"/>
        <v>328262</v>
      </c>
      <c r="AF301" s="791">
        <f t="shared" si="194"/>
        <v>102</v>
      </c>
      <c r="AG301" s="791">
        <f t="shared" si="195"/>
        <v>8715</v>
      </c>
      <c r="AH301" s="783">
        <f t="shared" si="196"/>
        <v>8715</v>
      </c>
      <c r="AI301" s="783">
        <f t="shared" si="134"/>
        <v>319547</v>
      </c>
      <c r="AJ301" s="790">
        <f t="shared" si="168"/>
        <v>319547</v>
      </c>
      <c r="AK301" s="790">
        <f t="shared" si="169"/>
        <v>328262</v>
      </c>
      <c r="AL301" s="791">
        <f t="shared" si="170"/>
        <v>365</v>
      </c>
      <c r="AM301" s="791">
        <f t="shared" si="171"/>
        <v>31185</v>
      </c>
      <c r="AN301" s="783">
        <f t="shared" si="172"/>
        <v>39900</v>
      </c>
      <c r="AO301" s="783">
        <f t="shared" si="173"/>
        <v>288362</v>
      </c>
      <c r="AP301" s="808">
        <f t="shared" si="174"/>
        <v>288362</v>
      </c>
      <c r="AQ301" s="808">
        <f t="shared" si="175"/>
        <v>328262</v>
      </c>
      <c r="AR301" s="809">
        <f t="shared" si="176"/>
        <v>366</v>
      </c>
      <c r="AS301" s="809">
        <f t="shared" si="177"/>
        <v>31270</v>
      </c>
      <c r="AT301" s="808">
        <f t="shared" si="178"/>
        <v>71170</v>
      </c>
      <c r="AU301" s="808">
        <f t="shared" si="179"/>
        <v>257092</v>
      </c>
    </row>
    <row r="302" spans="1:47" ht="15" customHeight="1" x14ac:dyDescent="0.25">
      <c r="A302" s="842" t="s">
        <v>133</v>
      </c>
      <c r="B302" s="843" t="s">
        <v>1291</v>
      </c>
      <c r="C302" s="778">
        <f t="shared" si="164"/>
        <v>9.5000000000000001E-2</v>
      </c>
      <c r="D302" s="844">
        <v>10</v>
      </c>
      <c r="E302" s="844" t="s">
        <v>723</v>
      </c>
      <c r="F302" s="845">
        <v>44475</v>
      </c>
      <c r="G302" s="781">
        <f t="shared" si="180"/>
        <v>44475</v>
      </c>
      <c r="H302" s="781">
        <f t="shared" si="126"/>
        <v>48125</v>
      </c>
      <c r="I302" s="795">
        <f>215836+251385+75950</f>
        <v>543171</v>
      </c>
      <c r="J302" s="783">
        <f t="shared" si="165"/>
        <v>27158.550000000003</v>
      </c>
      <c r="K302" s="887"/>
      <c r="L302" s="846">
        <v>0</v>
      </c>
      <c r="M302" s="846">
        <v>0</v>
      </c>
      <c r="N302" s="846">
        <v>0</v>
      </c>
      <c r="O302" s="846">
        <v>0</v>
      </c>
      <c r="P302" s="846">
        <v>0</v>
      </c>
      <c r="Q302" s="846">
        <v>0</v>
      </c>
      <c r="R302" s="846">
        <v>0</v>
      </c>
      <c r="S302" s="846">
        <v>0</v>
      </c>
      <c r="T302" s="846">
        <v>0</v>
      </c>
      <c r="U302" s="846">
        <v>0</v>
      </c>
      <c r="V302" s="846">
        <v>0</v>
      </c>
      <c r="W302" s="846">
        <v>0</v>
      </c>
      <c r="X302" s="846">
        <v>0</v>
      </c>
      <c r="Y302" s="846">
        <v>0</v>
      </c>
      <c r="Z302" s="846">
        <v>0</v>
      </c>
      <c r="AA302" s="846">
        <v>0</v>
      </c>
      <c r="AB302" s="846">
        <v>0</v>
      </c>
      <c r="AC302" s="846">
        <v>0</v>
      </c>
      <c r="AD302" s="789">
        <f t="shared" si="133"/>
        <v>0</v>
      </c>
      <c r="AE302" s="790">
        <f t="shared" si="193"/>
        <v>543171</v>
      </c>
      <c r="AF302" s="791">
        <f t="shared" si="194"/>
        <v>177</v>
      </c>
      <c r="AG302" s="791">
        <f t="shared" si="195"/>
        <v>25023</v>
      </c>
      <c r="AH302" s="783">
        <f t="shared" si="196"/>
        <v>25023</v>
      </c>
      <c r="AI302" s="783">
        <f t="shared" si="134"/>
        <v>518148</v>
      </c>
      <c r="AJ302" s="790">
        <f t="shared" si="168"/>
        <v>518148</v>
      </c>
      <c r="AK302" s="790">
        <f t="shared" si="169"/>
        <v>543171</v>
      </c>
      <c r="AL302" s="791">
        <f t="shared" si="170"/>
        <v>365</v>
      </c>
      <c r="AM302" s="791">
        <f t="shared" si="171"/>
        <v>51601</v>
      </c>
      <c r="AN302" s="783">
        <f t="shared" si="172"/>
        <v>76624</v>
      </c>
      <c r="AO302" s="783">
        <f t="shared" si="173"/>
        <v>466547</v>
      </c>
      <c r="AP302" s="808">
        <f t="shared" si="174"/>
        <v>466547</v>
      </c>
      <c r="AQ302" s="808">
        <f t="shared" si="175"/>
        <v>543171</v>
      </c>
      <c r="AR302" s="809">
        <f t="shared" si="176"/>
        <v>366</v>
      </c>
      <c r="AS302" s="809">
        <f t="shared" si="177"/>
        <v>51743</v>
      </c>
      <c r="AT302" s="808">
        <f t="shared" si="178"/>
        <v>128367</v>
      </c>
      <c r="AU302" s="808">
        <f t="shared" si="179"/>
        <v>414804</v>
      </c>
    </row>
    <row r="303" spans="1:47" ht="15" customHeight="1" thickBot="1" x14ac:dyDescent="0.3">
      <c r="A303" s="842" t="s">
        <v>133</v>
      </c>
      <c r="B303" s="843" t="s">
        <v>306</v>
      </c>
      <c r="C303" s="778">
        <f t="shared" si="164"/>
        <v>9.5000000000000001E-2</v>
      </c>
      <c r="D303" s="844">
        <v>10</v>
      </c>
      <c r="E303" s="844" t="s">
        <v>723</v>
      </c>
      <c r="F303" s="845">
        <v>44523</v>
      </c>
      <c r="G303" s="781">
        <f t="shared" si="180"/>
        <v>44523</v>
      </c>
      <c r="H303" s="781">
        <f t="shared" si="126"/>
        <v>48173</v>
      </c>
      <c r="I303" s="795">
        <v>26980</v>
      </c>
      <c r="J303" s="783">
        <f t="shared" si="165"/>
        <v>1349</v>
      </c>
      <c r="K303" s="887"/>
      <c r="L303" s="849">
        <v>0</v>
      </c>
      <c r="M303" s="849">
        <v>0</v>
      </c>
      <c r="N303" s="849">
        <v>0</v>
      </c>
      <c r="O303" s="849">
        <v>0</v>
      </c>
      <c r="P303" s="849">
        <v>0</v>
      </c>
      <c r="Q303" s="849">
        <v>0</v>
      </c>
      <c r="R303" s="846">
        <v>0</v>
      </c>
      <c r="S303" s="846">
        <v>0</v>
      </c>
      <c r="T303" s="846">
        <v>0</v>
      </c>
      <c r="U303" s="846">
        <v>0</v>
      </c>
      <c r="V303" s="846">
        <v>0</v>
      </c>
      <c r="W303" s="846">
        <v>0</v>
      </c>
      <c r="X303" s="846">
        <v>0</v>
      </c>
      <c r="Y303" s="846">
        <v>0</v>
      </c>
      <c r="Z303" s="846">
        <v>0</v>
      </c>
      <c r="AA303" s="846">
        <v>0</v>
      </c>
      <c r="AB303" s="846">
        <v>0</v>
      </c>
      <c r="AC303" s="846">
        <v>0</v>
      </c>
      <c r="AD303" s="789">
        <f t="shared" si="133"/>
        <v>0</v>
      </c>
      <c r="AE303" s="790">
        <f t="shared" si="193"/>
        <v>26980</v>
      </c>
      <c r="AF303" s="791">
        <f t="shared" si="194"/>
        <v>129</v>
      </c>
      <c r="AG303" s="791">
        <f t="shared" si="195"/>
        <v>906</v>
      </c>
      <c r="AH303" s="783">
        <f t="shared" si="196"/>
        <v>906</v>
      </c>
      <c r="AI303" s="783">
        <f t="shared" si="134"/>
        <v>26074</v>
      </c>
      <c r="AJ303" s="790">
        <f t="shared" si="168"/>
        <v>26074</v>
      </c>
      <c r="AK303" s="790">
        <f t="shared" si="169"/>
        <v>26980</v>
      </c>
      <c r="AL303" s="791">
        <f t="shared" si="170"/>
        <v>365</v>
      </c>
      <c r="AM303" s="791">
        <f t="shared" si="171"/>
        <v>2563</v>
      </c>
      <c r="AN303" s="783">
        <f t="shared" si="172"/>
        <v>3469</v>
      </c>
      <c r="AO303" s="783">
        <f t="shared" si="173"/>
        <v>23511</v>
      </c>
      <c r="AP303" s="808">
        <f t="shared" si="174"/>
        <v>23511</v>
      </c>
      <c r="AQ303" s="808">
        <f t="shared" si="175"/>
        <v>26980</v>
      </c>
      <c r="AR303" s="809">
        <f t="shared" si="176"/>
        <v>366</v>
      </c>
      <c r="AS303" s="809">
        <f t="shared" si="177"/>
        <v>2570</v>
      </c>
      <c r="AT303" s="808">
        <f t="shared" si="178"/>
        <v>6039</v>
      </c>
      <c r="AU303" s="808">
        <f t="shared" si="179"/>
        <v>20941</v>
      </c>
    </row>
    <row r="304" spans="1:47" ht="15" customHeight="1" x14ac:dyDescent="0.25">
      <c r="A304" s="842" t="s">
        <v>133</v>
      </c>
      <c r="B304" s="918" t="s">
        <v>1292</v>
      </c>
      <c r="C304" s="778">
        <f t="shared" si="164"/>
        <v>9.5000000000000001E-2</v>
      </c>
      <c r="D304" s="844">
        <v>10</v>
      </c>
      <c r="E304" s="779" t="s">
        <v>1182</v>
      </c>
      <c r="F304" s="919">
        <v>43191</v>
      </c>
      <c r="G304" s="919">
        <v>43374</v>
      </c>
      <c r="H304" s="781">
        <f t="shared" si="126"/>
        <v>47024</v>
      </c>
      <c r="I304" s="920">
        <v>954414</v>
      </c>
      <c r="J304" s="783">
        <f t="shared" si="165"/>
        <v>47720.700000000004</v>
      </c>
      <c r="K304" s="887"/>
      <c r="L304" s="921">
        <v>0</v>
      </c>
      <c r="M304" s="922">
        <f t="shared" ref="M304" si="197">I304</f>
        <v>954414</v>
      </c>
      <c r="N304" s="923">
        <f t="shared" ref="N304" si="198">IF(AND(F304&gt;$K$3,F304&lt;$L$3),$L$3-F304+1,IF(H304&lt;=$K$3,0,IF(H304&gt;$L$3,$L$3-$K$3,H304-$K$3)))</f>
        <v>365</v>
      </c>
      <c r="O304" s="923">
        <f t="shared" ref="O304" si="199">ROUND(M304*C304*N304/365,0)</f>
        <v>90669</v>
      </c>
      <c r="P304" s="922">
        <f t="shared" si="184"/>
        <v>90669</v>
      </c>
      <c r="Q304" s="924">
        <f t="shared" ref="Q304" si="200">+M304-P304</f>
        <v>863745</v>
      </c>
      <c r="R304" s="916">
        <f t="shared" si="129"/>
        <v>863745</v>
      </c>
      <c r="S304" s="808">
        <f>I304</f>
        <v>954414</v>
      </c>
      <c r="T304" s="917">
        <f>IF(AND(F304&gt;$L$3,F304&lt;$R$3),$R$3-F304+1,IF(H304&lt;=$L$3,0,IF(H304&gt;$R$3,$R$3-$L$3,H304-$L$3)))</f>
        <v>366</v>
      </c>
      <c r="U304" s="917">
        <f>ROUND(S304*C304*T304/366,0)</f>
        <v>90669</v>
      </c>
      <c r="V304" s="808">
        <f>+P304+U304</f>
        <v>181338</v>
      </c>
      <c r="W304" s="850">
        <f t="shared" ref="W304" si="201">+S304-V304</f>
        <v>773076</v>
      </c>
      <c r="X304" s="849">
        <f t="shared" si="131"/>
        <v>773076</v>
      </c>
      <c r="Y304" s="812">
        <f>I304</f>
        <v>954414</v>
      </c>
      <c r="Z304" s="812">
        <f>IF(AND(F304&gt;$R$3,F304&lt;$X$3),$X$3-F304+1,IF(H304&lt;=$R$3,0,IF(H304&gt;$X$3,$X$3-$R$3,H304-$R$3)))</f>
        <v>365</v>
      </c>
      <c r="AA304" s="812">
        <f>ROUND(Y304*C304*Z304/365,0)</f>
        <v>90669</v>
      </c>
      <c r="AB304" s="812">
        <f>+V304+AA304</f>
        <v>272007</v>
      </c>
      <c r="AC304" s="851">
        <f t="shared" ref="AC304" si="202">Y304-AB304</f>
        <v>682407</v>
      </c>
      <c r="AD304" s="807">
        <f t="shared" si="133"/>
        <v>682407</v>
      </c>
      <c r="AE304" s="808">
        <f t="shared" si="193"/>
        <v>954414</v>
      </c>
      <c r="AF304" s="809">
        <f t="shared" si="194"/>
        <v>365</v>
      </c>
      <c r="AG304" s="809">
        <f t="shared" si="195"/>
        <v>90669</v>
      </c>
      <c r="AH304" s="812">
        <f t="shared" si="196"/>
        <v>362676</v>
      </c>
      <c r="AI304" s="812">
        <f t="shared" ref="AI304" si="203">AE304-AH304</f>
        <v>591738</v>
      </c>
      <c r="AJ304" s="808">
        <f t="shared" si="168"/>
        <v>591738</v>
      </c>
      <c r="AK304" s="808">
        <f t="shared" si="169"/>
        <v>954414</v>
      </c>
      <c r="AL304" s="809">
        <f t="shared" si="170"/>
        <v>365</v>
      </c>
      <c r="AM304" s="809">
        <f t="shared" si="171"/>
        <v>90669</v>
      </c>
      <c r="AN304" s="812">
        <f t="shared" si="172"/>
        <v>453345</v>
      </c>
      <c r="AO304" s="812">
        <f t="shared" si="173"/>
        <v>501069</v>
      </c>
      <c r="AP304" s="808">
        <f t="shared" si="174"/>
        <v>501069</v>
      </c>
      <c r="AQ304" s="808">
        <f t="shared" si="175"/>
        <v>954414</v>
      </c>
      <c r="AR304" s="809">
        <f t="shared" si="176"/>
        <v>366</v>
      </c>
      <c r="AS304" s="809">
        <f t="shared" si="177"/>
        <v>90918</v>
      </c>
      <c r="AT304" s="808">
        <f t="shared" si="178"/>
        <v>544263</v>
      </c>
      <c r="AU304" s="808">
        <f t="shared" si="179"/>
        <v>410151</v>
      </c>
    </row>
    <row r="305" spans="1:47" ht="15" customHeight="1" x14ac:dyDescent="0.25">
      <c r="A305" s="842" t="s">
        <v>133</v>
      </c>
      <c r="B305" s="852" t="s">
        <v>1293</v>
      </c>
      <c r="C305" s="778">
        <f t="shared" si="164"/>
        <v>9.5000000000000001E-2</v>
      </c>
      <c r="D305" s="844">
        <v>10</v>
      </c>
      <c r="E305" s="844" t="s">
        <v>677</v>
      </c>
      <c r="F305" s="853">
        <v>44664</v>
      </c>
      <c r="G305" s="781">
        <f>F305</f>
        <v>44664</v>
      </c>
      <c r="H305" s="781">
        <f t="shared" si="126"/>
        <v>48314</v>
      </c>
      <c r="I305" s="925">
        <v>6780</v>
      </c>
      <c r="J305" s="783">
        <f t="shared" si="165"/>
        <v>339</v>
      </c>
      <c r="K305" s="887"/>
      <c r="L305" s="790">
        <v>0</v>
      </c>
      <c r="M305" s="790">
        <v>0</v>
      </c>
      <c r="N305" s="790">
        <v>0</v>
      </c>
      <c r="O305" s="790">
        <v>0</v>
      </c>
      <c r="P305" s="790">
        <v>0</v>
      </c>
      <c r="Q305" s="790">
        <v>0</v>
      </c>
      <c r="R305" s="790">
        <v>0</v>
      </c>
      <c r="S305" s="790">
        <v>0</v>
      </c>
      <c r="T305" s="790">
        <v>0</v>
      </c>
      <c r="U305" s="790">
        <v>0</v>
      </c>
      <c r="V305" s="790">
        <v>0</v>
      </c>
      <c r="W305" s="790">
        <v>0</v>
      </c>
      <c r="X305" s="790">
        <v>0</v>
      </c>
      <c r="Y305" s="790">
        <v>0</v>
      </c>
      <c r="Z305" s="790">
        <v>0</v>
      </c>
      <c r="AA305" s="790">
        <v>0</v>
      </c>
      <c r="AB305" s="790">
        <v>0</v>
      </c>
      <c r="AC305" s="790">
        <v>0</v>
      </c>
      <c r="AD305" s="790">
        <f t="shared" ref="AD305" si="204">AC305</f>
        <v>0</v>
      </c>
      <c r="AE305" s="790">
        <v>0</v>
      </c>
      <c r="AF305" s="791">
        <v>0</v>
      </c>
      <c r="AG305" s="791">
        <v>0</v>
      </c>
      <c r="AH305" s="783">
        <v>0</v>
      </c>
      <c r="AI305" s="783">
        <v>0</v>
      </c>
      <c r="AJ305" s="790">
        <f t="shared" si="168"/>
        <v>0</v>
      </c>
      <c r="AK305" s="790">
        <f t="shared" si="169"/>
        <v>6780</v>
      </c>
      <c r="AL305" s="791">
        <f t="shared" si="170"/>
        <v>353</v>
      </c>
      <c r="AM305" s="791">
        <f t="shared" si="171"/>
        <v>623</v>
      </c>
      <c r="AN305" s="783">
        <f t="shared" si="172"/>
        <v>623</v>
      </c>
      <c r="AO305" s="783">
        <f t="shared" si="173"/>
        <v>6157</v>
      </c>
      <c r="AP305" s="808">
        <f t="shared" si="174"/>
        <v>6157</v>
      </c>
      <c r="AQ305" s="808">
        <f t="shared" si="175"/>
        <v>6780</v>
      </c>
      <c r="AR305" s="809">
        <f t="shared" si="176"/>
        <v>366</v>
      </c>
      <c r="AS305" s="809">
        <f t="shared" si="177"/>
        <v>646</v>
      </c>
      <c r="AT305" s="808">
        <f t="shared" si="178"/>
        <v>1269</v>
      </c>
      <c r="AU305" s="808">
        <f t="shared" si="179"/>
        <v>5511</v>
      </c>
    </row>
    <row r="306" spans="1:47" ht="15" customHeight="1" x14ac:dyDescent="0.25">
      <c r="A306" s="842" t="s">
        <v>133</v>
      </c>
      <c r="B306" s="852" t="s">
        <v>1293</v>
      </c>
      <c r="C306" s="778">
        <f t="shared" si="164"/>
        <v>9.5000000000000001E-2</v>
      </c>
      <c r="D306" s="844">
        <v>10</v>
      </c>
      <c r="E306" s="844" t="s">
        <v>677</v>
      </c>
      <c r="F306" s="853">
        <v>44671</v>
      </c>
      <c r="G306" s="781">
        <f t="shared" ref="G306:G328" si="205">F306</f>
        <v>44671</v>
      </c>
      <c r="H306" s="781">
        <f t="shared" ref="H306:H356" si="206">G306+(365*D306)</f>
        <v>48321</v>
      </c>
      <c r="I306" s="854">
        <v>8200</v>
      </c>
      <c r="J306" s="783">
        <f t="shared" si="165"/>
        <v>410</v>
      </c>
      <c r="K306" s="887"/>
      <c r="L306" s="790">
        <v>0</v>
      </c>
      <c r="M306" s="790">
        <v>0</v>
      </c>
      <c r="N306" s="790">
        <v>0</v>
      </c>
      <c r="O306" s="790">
        <v>0</v>
      </c>
      <c r="P306" s="790">
        <v>0</v>
      </c>
      <c r="Q306" s="790">
        <v>0</v>
      </c>
      <c r="R306" s="790"/>
      <c r="S306" s="790"/>
      <c r="T306" s="792"/>
      <c r="U306" s="792"/>
      <c r="V306" s="790"/>
      <c r="W306" s="790"/>
      <c r="X306" s="790"/>
      <c r="Y306" s="783"/>
      <c r="Z306" s="783"/>
      <c r="AA306" s="783"/>
      <c r="AB306" s="783"/>
      <c r="AC306" s="783"/>
      <c r="AD306" s="790"/>
      <c r="AE306" s="790"/>
      <c r="AF306" s="791"/>
      <c r="AG306" s="791"/>
      <c r="AH306" s="783"/>
      <c r="AI306" s="783"/>
      <c r="AJ306" s="790">
        <f t="shared" si="168"/>
        <v>0</v>
      </c>
      <c r="AK306" s="790">
        <f t="shared" si="169"/>
        <v>8200</v>
      </c>
      <c r="AL306" s="791">
        <f t="shared" si="170"/>
        <v>346</v>
      </c>
      <c r="AM306" s="791">
        <f t="shared" si="171"/>
        <v>738</v>
      </c>
      <c r="AN306" s="783">
        <f t="shared" si="172"/>
        <v>738</v>
      </c>
      <c r="AO306" s="783">
        <f t="shared" si="173"/>
        <v>7462</v>
      </c>
      <c r="AP306" s="808">
        <f t="shared" si="174"/>
        <v>7462</v>
      </c>
      <c r="AQ306" s="808">
        <f t="shared" si="175"/>
        <v>8200</v>
      </c>
      <c r="AR306" s="809">
        <f t="shared" si="176"/>
        <v>366</v>
      </c>
      <c r="AS306" s="809">
        <f t="shared" si="177"/>
        <v>781</v>
      </c>
      <c r="AT306" s="808">
        <f t="shared" si="178"/>
        <v>1519</v>
      </c>
      <c r="AU306" s="808">
        <f t="shared" si="179"/>
        <v>6681</v>
      </c>
    </row>
    <row r="307" spans="1:47" ht="15" customHeight="1" x14ac:dyDescent="0.25">
      <c r="A307" s="842" t="s">
        <v>133</v>
      </c>
      <c r="B307" s="852" t="s">
        <v>1293</v>
      </c>
      <c r="C307" s="778">
        <f t="shared" si="164"/>
        <v>9.5000000000000001E-2</v>
      </c>
      <c r="D307" s="844">
        <v>10</v>
      </c>
      <c r="E307" s="844" t="s">
        <v>677</v>
      </c>
      <c r="F307" s="853">
        <v>44683</v>
      </c>
      <c r="G307" s="781">
        <f t="shared" si="205"/>
        <v>44683</v>
      </c>
      <c r="H307" s="781">
        <f t="shared" si="206"/>
        <v>48333</v>
      </c>
      <c r="I307" s="854">
        <v>18500</v>
      </c>
      <c r="J307" s="783">
        <f t="shared" si="165"/>
        <v>925</v>
      </c>
      <c r="K307" s="887"/>
      <c r="L307" s="790">
        <v>0</v>
      </c>
      <c r="M307" s="790">
        <v>0</v>
      </c>
      <c r="N307" s="790">
        <v>0</v>
      </c>
      <c r="O307" s="790">
        <v>0</v>
      </c>
      <c r="P307" s="790">
        <v>0</v>
      </c>
      <c r="Q307" s="790">
        <v>0</v>
      </c>
      <c r="R307" s="790"/>
      <c r="S307" s="790"/>
      <c r="T307" s="792"/>
      <c r="U307" s="792"/>
      <c r="V307" s="790"/>
      <c r="W307" s="790"/>
      <c r="X307" s="790"/>
      <c r="Y307" s="783"/>
      <c r="Z307" s="783"/>
      <c r="AA307" s="783"/>
      <c r="AB307" s="783"/>
      <c r="AC307" s="783"/>
      <c r="AD307" s="790"/>
      <c r="AE307" s="790"/>
      <c r="AF307" s="791"/>
      <c r="AG307" s="791"/>
      <c r="AH307" s="783"/>
      <c r="AI307" s="783"/>
      <c r="AJ307" s="790">
        <f t="shared" si="168"/>
        <v>0</v>
      </c>
      <c r="AK307" s="790">
        <f t="shared" si="169"/>
        <v>18500</v>
      </c>
      <c r="AL307" s="791">
        <f t="shared" si="170"/>
        <v>334</v>
      </c>
      <c r="AM307" s="791">
        <f t="shared" si="171"/>
        <v>1608</v>
      </c>
      <c r="AN307" s="783">
        <f t="shared" si="172"/>
        <v>1608</v>
      </c>
      <c r="AO307" s="783">
        <f t="shared" si="173"/>
        <v>16892</v>
      </c>
      <c r="AP307" s="808">
        <f t="shared" si="174"/>
        <v>16892</v>
      </c>
      <c r="AQ307" s="808">
        <f t="shared" si="175"/>
        <v>18500</v>
      </c>
      <c r="AR307" s="809">
        <f t="shared" si="176"/>
        <v>366</v>
      </c>
      <c r="AS307" s="809">
        <f t="shared" si="177"/>
        <v>1762</v>
      </c>
      <c r="AT307" s="808">
        <f t="shared" si="178"/>
        <v>3370</v>
      </c>
      <c r="AU307" s="808">
        <f t="shared" si="179"/>
        <v>15130</v>
      </c>
    </row>
    <row r="308" spans="1:47" ht="15" customHeight="1" x14ac:dyDescent="0.25">
      <c r="A308" s="842" t="s">
        <v>133</v>
      </c>
      <c r="B308" s="852" t="s">
        <v>1293</v>
      </c>
      <c r="C308" s="778">
        <f t="shared" si="164"/>
        <v>9.5000000000000001E-2</v>
      </c>
      <c r="D308" s="844">
        <v>10</v>
      </c>
      <c r="E308" s="844" t="s">
        <v>677</v>
      </c>
      <c r="F308" s="853">
        <v>44729</v>
      </c>
      <c r="G308" s="781">
        <f t="shared" si="205"/>
        <v>44729</v>
      </c>
      <c r="H308" s="781">
        <f t="shared" si="206"/>
        <v>48379</v>
      </c>
      <c r="I308" s="854">
        <v>122900</v>
      </c>
      <c r="J308" s="783">
        <f t="shared" si="165"/>
        <v>6145</v>
      </c>
      <c r="K308" s="887"/>
      <c r="L308" s="790">
        <v>0</v>
      </c>
      <c r="M308" s="790">
        <v>0</v>
      </c>
      <c r="N308" s="790">
        <v>0</v>
      </c>
      <c r="O308" s="790">
        <v>0</v>
      </c>
      <c r="P308" s="790">
        <v>0</v>
      </c>
      <c r="Q308" s="790">
        <v>0</v>
      </c>
      <c r="R308" s="790"/>
      <c r="S308" s="790"/>
      <c r="T308" s="792"/>
      <c r="U308" s="792"/>
      <c r="V308" s="790"/>
      <c r="W308" s="790"/>
      <c r="X308" s="790"/>
      <c r="Y308" s="783"/>
      <c r="Z308" s="783"/>
      <c r="AA308" s="783"/>
      <c r="AB308" s="783"/>
      <c r="AC308" s="783"/>
      <c r="AD308" s="790"/>
      <c r="AE308" s="790"/>
      <c r="AF308" s="791"/>
      <c r="AG308" s="791"/>
      <c r="AH308" s="783"/>
      <c r="AI308" s="783"/>
      <c r="AJ308" s="790">
        <f t="shared" si="168"/>
        <v>0</v>
      </c>
      <c r="AK308" s="790">
        <f t="shared" si="169"/>
        <v>122900</v>
      </c>
      <c r="AL308" s="791">
        <f t="shared" si="170"/>
        <v>288</v>
      </c>
      <c r="AM308" s="791">
        <f t="shared" si="171"/>
        <v>9212</v>
      </c>
      <c r="AN308" s="783">
        <f t="shared" si="172"/>
        <v>9212</v>
      </c>
      <c r="AO308" s="783">
        <f t="shared" si="173"/>
        <v>113688</v>
      </c>
      <c r="AP308" s="808">
        <f t="shared" si="174"/>
        <v>113688</v>
      </c>
      <c r="AQ308" s="808">
        <f t="shared" si="175"/>
        <v>122900</v>
      </c>
      <c r="AR308" s="809">
        <f t="shared" si="176"/>
        <v>366</v>
      </c>
      <c r="AS308" s="809">
        <f t="shared" si="177"/>
        <v>11707</v>
      </c>
      <c r="AT308" s="808">
        <f t="shared" si="178"/>
        <v>20919</v>
      </c>
      <c r="AU308" s="808">
        <f t="shared" si="179"/>
        <v>101981</v>
      </c>
    </row>
    <row r="309" spans="1:47" ht="15" customHeight="1" x14ac:dyDescent="0.25">
      <c r="A309" s="842" t="s">
        <v>133</v>
      </c>
      <c r="B309" s="852" t="s">
        <v>1293</v>
      </c>
      <c r="C309" s="778">
        <f t="shared" si="164"/>
        <v>9.5000000000000001E-2</v>
      </c>
      <c r="D309" s="844">
        <v>10</v>
      </c>
      <c r="E309" s="844" t="s">
        <v>677</v>
      </c>
      <c r="F309" s="853">
        <v>44781</v>
      </c>
      <c r="G309" s="781">
        <f t="shared" si="205"/>
        <v>44781</v>
      </c>
      <c r="H309" s="781">
        <f t="shared" si="206"/>
        <v>48431</v>
      </c>
      <c r="I309" s="854">
        <v>7499</v>
      </c>
      <c r="J309" s="783">
        <f t="shared" si="165"/>
        <v>374.95000000000005</v>
      </c>
      <c r="K309" s="887"/>
      <c r="L309" s="790">
        <v>0</v>
      </c>
      <c r="M309" s="790">
        <v>0</v>
      </c>
      <c r="N309" s="790">
        <v>0</v>
      </c>
      <c r="O309" s="790">
        <v>0</v>
      </c>
      <c r="P309" s="790">
        <v>0</v>
      </c>
      <c r="Q309" s="790">
        <v>0</v>
      </c>
      <c r="R309" s="790"/>
      <c r="S309" s="790"/>
      <c r="T309" s="792"/>
      <c r="U309" s="792"/>
      <c r="V309" s="790"/>
      <c r="W309" s="790"/>
      <c r="X309" s="790"/>
      <c r="Y309" s="783"/>
      <c r="Z309" s="783"/>
      <c r="AA309" s="783"/>
      <c r="AB309" s="783"/>
      <c r="AC309" s="783"/>
      <c r="AD309" s="790"/>
      <c r="AE309" s="790"/>
      <c r="AF309" s="791"/>
      <c r="AG309" s="791"/>
      <c r="AH309" s="783"/>
      <c r="AI309" s="783"/>
      <c r="AJ309" s="790">
        <f t="shared" si="168"/>
        <v>0</v>
      </c>
      <c r="AK309" s="790">
        <f t="shared" si="169"/>
        <v>7499</v>
      </c>
      <c r="AL309" s="791">
        <f t="shared" si="170"/>
        <v>236</v>
      </c>
      <c r="AM309" s="791">
        <f t="shared" si="171"/>
        <v>461</v>
      </c>
      <c r="AN309" s="783">
        <f t="shared" si="172"/>
        <v>461</v>
      </c>
      <c r="AO309" s="783">
        <f t="shared" si="173"/>
        <v>7038</v>
      </c>
      <c r="AP309" s="808">
        <f t="shared" si="174"/>
        <v>7038</v>
      </c>
      <c r="AQ309" s="808">
        <f t="shared" si="175"/>
        <v>7499</v>
      </c>
      <c r="AR309" s="809">
        <f t="shared" si="176"/>
        <v>366</v>
      </c>
      <c r="AS309" s="809">
        <f t="shared" si="177"/>
        <v>714</v>
      </c>
      <c r="AT309" s="808">
        <f t="shared" si="178"/>
        <v>1175</v>
      </c>
      <c r="AU309" s="808">
        <f t="shared" si="179"/>
        <v>6324</v>
      </c>
    </row>
    <row r="310" spans="1:47" ht="15" customHeight="1" x14ac:dyDescent="0.25">
      <c r="A310" s="842" t="s">
        <v>133</v>
      </c>
      <c r="B310" s="852" t="s">
        <v>1293</v>
      </c>
      <c r="C310" s="778">
        <f t="shared" si="164"/>
        <v>9.5000000000000001E-2</v>
      </c>
      <c r="D310" s="844">
        <v>10</v>
      </c>
      <c r="E310" s="844" t="s">
        <v>677</v>
      </c>
      <c r="F310" s="853">
        <v>44909</v>
      </c>
      <c r="G310" s="781">
        <f t="shared" si="205"/>
        <v>44909</v>
      </c>
      <c r="H310" s="781">
        <f t="shared" si="206"/>
        <v>48559</v>
      </c>
      <c r="I310" s="854">
        <v>43000</v>
      </c>
      <c r="J310" s="783">
        <f t="shared" si="165"/>
        <v>2150</v>
      </c>
      <c r="K310" s="887"/>
      <c r="L310" s="790">
        <v>0</v>
      </c>
      <c r="M310" s="790">
        <v>0</v>
      </c>
      <c r="N310" s="790">
        <v>0</v>
      </c>
      <c r="O310" s="790">
        <v>0</v>
      </c>
      <c r="P310" s="790">
        <v>0</v>
      </c>
      <c r="Q310" s="790">
        <v>0</v>
      </c>
      <c r="R310" s="790"/>
      <c r="S310" s="790"/>
      <c r="T310" s="792"/>
      <c r="U310" s="792"/>
      <c r="V310" s="790"/>
      <c r="W310" s="790"/>
      <c r="X310" s="790"/>
      <c r="Y310" s="783"/>
      <c r="Z310" s="783"/>
      <c r="AA310" s="783"/>
      <c r="AB310" s="783"/>
      <c r="AC310" s="783"/>
      <c r="AD310" s="790"/>
      <c r="AE310" s="790"/>
      <c r="AF310" s="791"/>
      <c r="AG310" s="791"/>
      <c r="AH310" s="783"/>
      <c r="AI310" s="783"/>
      <c r="AJ310" s="790">
        <f t="shared" si="168"/>
        <v>0</v>
      </c>
      <c r="AK310" s="790">
        <f t="shared" si="169"/>
        <v>43000</v>
      </c>
      <c r="AL310" s="791">
        <f t="shared" si="170"/>
        <v>108</v>
      </c>
      <c r="AM310" s="791">
        <f t="shared" si="171"/>
        <v>1209</v>
      </c>
      <c r="AN310" s="783">
        <f t="shared" si="172"/>
        <v>1209</v>
      </c>
      <c r="AO310" s="783">
        <f t="shared" si="173"/>
        <v>41791</v>
      </c>
      <c r="AP310" s="808">
        <f t="shared" si="174"/>
        <v>41791</v>
      </c>
      <c r="AQ310" s="808">
        <f t="shared" si="175"/>
        <v>43000</v>
      </c>
      <c r="AR310" s="809">
        <f t="shared" si="176"/>
        <v>366</v>
      </c>
      <c r="AS310" s="809">
        <f t="shared" si="177"/>
        <v>4096</v>
      </c>
      <c r="AT310" s="808">
        <f t="shared" si="178"/>
        <v>5305</v>
      </c>
      <c r="AU310" s="808">
        <f t="shared" si="179"/>
        <v>37695</v>
      </c>
    </row>
    <row r="311" spans="1:47" ht="15" customHeight="1" x14ac:dyDescent="0.25">
      <c r="A311" s="842" t="s">
        <v>133</v>
      </c>
      <c r="B311" s="852" t="s">
        <v>1293</v>
      </c>
      <c r="C311" s="778">
        <f t="shared" si="164"/>
        <v>9.5000000000000001E-2</v>
      </c>
      <c r="D311" s="844">
        <v>10</v>
      </c>
      <c r="E311" s="844" t="s">
        <v>677</v>
      </c>
      <c r="F311" s="853">
        <v>45000</v>
      </c>
      <c r="G311" s="781">
        <f t="shared" si="205"/>
        <v>45000</v>
      </c>
      <c r="H311" s="781">
        <f t="shared" si="206"/>
        <v>48650</v>
      </c>
      <c r="I311" s="854">
        <v>22000</v>
      </c>
      <c r="J311" s="783">
        <f t="shared" si="165"/>
        <v>1100</v>
      </c>
      <c r="K311" s="887"/>
      <c r="L311" s="790">
        <v>0</v>
      </c>
      <c r="M311" s="790">
        <v>0</v>
      </c>
      <c r="N311" s="790">
        <v>0</v>
      </c>
      <c r="O311" s="790">
        <v>0</v>
      </c>
      <c r="P311" s="790">
        <v>0</v>
      </c>
      <c r="Q311" s="790">
        <v>0</v>
      </c>
      <c r="R311" s="790"/>
      <c r="S311" s="790"/>
      <c r="T311" s="792"/>
      <c r="U311" s="792"/>
      <c r="V311" s="790"/>
      <c r="W311" s="790"/>
      <c r="X311" s="790"/>
      <c r="Y311" s="783"/>
      <c r="Z311" s="783"/>
      <c r="AA311" s="783"/>
      <c r="AB311" s="783"/>
      <c r="AC311" s="783"/>
      <c r="AD311" s="790"/>
      <c r="AE311" s="790"/>
      <c r="AF311" s="791"/>
      <c r="AG311" s="791"/>
      <c r="AH311" s="783"/>
      <c r="AI311" s="783"/>
      <c r="AJ311" s="790">
        <f t="shared" si="168"/>
        <v>0</v>
      </c>
      <c r="AK311" s="790">
        <f t="shared" si="169"/>
        <v>22000</v>
      </c>
      <c r="AL311" s="791">
        <f t="shared" si="170"/>
        <v>17</v>
      </c>
      <c r="AM311" s="791">
        <f t="shared" si="171"/>
        <v>97</v>
      </c>
      <c r="AN311" s="783">
        <f t="shared" si="172"/>
        <v>97</v>
      </c>
      <c r="AO311" s="783">
        <f t="shared" si="173"/>
        <v>21903</v>
      </c>
      <c r="AP311" s="808">
        <f t="shared" si="174"/>
        <v>21903</v>
      </c>
      <c r="AQ311" s="808">
        <f t="shared" si="175"/>
        <v>22000</v>
      </c>
      <c r="AR311" s="809">
        <f t="shared" si="176"/>
        <v>366</v>
      </c>
      <c r="AS311" s="809">
        <f t="shared" si="177"/>
        <v>2096</v>
      </c>
      <c r="AT311" s="808">
        <f t="shared" si="178"/>
        <v>2193</v>
      </c>
      <c r="AU311" s="808">
        <f t="shared" si="179"/>
        <v>19807</v>
      </c>
    </row>
    <row r="312" spans="1:47" ht="15" customHeight="1" x14ac:dyDescent="0.25">
      <c r="A312" s="842" t="s">
        <v>133</v>
      </c>
      <c r="B312" s="852" t="s">
        <v>360</v>
      </c>
      <c r="C312" s="778">
        <f t="shared" si="164"/>
        <v>9.5000000000000001E-2</v>
      </c>
      <c r="D312" s="844">
        <v>10</v>
      </c>
      <c r="E312" s="844" t="s">
        <v>677</v>
      </c>
      <c r="F312" s="853">
        <v>44869</v>
      </c>
      <c r="G312" s="781">
        <f t="shared" si="205"/>
        <v>44869</v>
      </c>
      <c r="H312" s="781">
        <f t="shared" si="206"/>
        <v>48519</v>
      </c>
      <c r="I312" s="854">
        <v>18400</v>
      </c>
      <c r="J312" s="783">
        <f t="shared" si="165"/>
        <v>920</v>
      </c>
      <c r="K312" s="887"/>
      <c r="L312" s="790">
        <v>0</v>
      </c>
      <c r="M312" s="790">
        <v>0</v>
      </c>
      <c r="N312" s="790">
        <v>0</v>
      </c>
      <c r="O312" s="790">
        <v>0</v>
      </c>
      <c r="P312" s="790">
        <v>0</v>
      </c>
      <c r="Q312" s="790">
        <v>0</v>
      </c>
      <c r="R312" s="790"/>
      <c r="S312" s="790"/>
      <c r="T312" s="792"/>
      <c r="U312" s="792"/>
      <c r="V312" s="790"/>
      <c r="W312" s="790"/>
      <c r="X312" s="790"/>
      <c r="Y312" s="783"/>
      <c r="Z312" s="783"/>
      <c r="AA312" s="783"/>
      <c r="AB312" s="783"/>
      <c r="AC312" s="783"/>
      <c r="AD312" s="790"/>
      <c r="AE312" s="790"/>
      <c r="AF312" s="791"/>
      <c r="AG312" s="791"/>
      <c r="AH312" s="783"/>
      <c r="AI312" s="783"/>
      <c r="AJ312" s="790">
        <f t="shared" si="168"/>
        <v>0</v>
      </c>
      <c r="AK312" s="790">
        <f t="shared" si="169"/>
        <v>18400</v>
      </c>
      <c r="AL312" s="791">
        <f t="shared" si="170"/>
        <v>148</v>
      </c>
      <c r="AM312" s="791">
        <f t="shared" si="171"/>
        <v>709</v>
      </c>
      <c r="AN312" s="783">
        <f t="shared" si="172"/>
        <v>709</v>
      </c>
      <c r="AO312" s="783">
        <f t="shared" si="173"/>
        <v>17691</v>
      </c>
      <c r="AP312" s="808">
        <f t="shared" si="174"/>
        <v>17691</v>
      </c>
      <c r="AQ312" s="808">
        <f t="shared" si="175"/>
        <v>18400</v>
      </c>
      <c r="AR312" s="809">
        <f t="shared" si="176"/>
        <v>366</v>
      </c>
      <c r="AS312" s="809">
        <f t="shared" si="177"/>
        <v>1753</v>
      </c>
      <c r="AT312" s="808">
        <f t="shared" si="178"/>
        <v>2462</v>
      </c>
      <c r="AU312" s="808">
        <f t="shared" si="179"/>
        <v>15938</v>
      </c>
    </row>
    <row r="313" spans="1:47" ht="15" customHeight="1" x14ac:dyDescent="0.25">
      <c r="A313" s="842" t="s">
        <v>133</v>
      </c>
      <c r="B313" s="852" t="s">
        <v>360</v>
      </c>
      <c r="C313" s="778">
        <f t="shared" si="164"/>
        <v>9.5000000000000001E-2</v>
      </c>
      <c r="D313" s="844">
        <v>10</v>
      </c>
      <c r="E313" s="844" t="s">
        <v>677</v>
      </c>
      <c r="F313" s="853">
        <v>44881</v>
      </c>
      <c r="G313" s="781">
        <f t="shared" si="205"/>
        <v>44881</v>
      </c>
      <c r="H313" s="781">
        <f t="shared" si="206"/>
        <v>48531</v>
      </c>
      <c r="I313" s="854">
        <v>18400</v>
      </c>
      <c r="J313" s="783">
        <f t="shared" si="165"/>
        <v>920</v>
      </c>
      <c r="K313" s="887"/>
      <c r="L313" s="790">
        <v>0</v>
      </c>
      <c r="M313" s="790">
        <v>0</v>
      </c>
      <c r="N313" s="790">
        <v>0</v>
      </c>
      <c r="O313" s="790">
        <v>0</v>
      </c>
      <c r="P313" s="790">
        <v>0</v>
      </c>
      <c r="Q313" s="790">
        <v>0</v>
      </c>
      <c r="R313" s="790"/>
      <c r="S313" s="790"/>
      <c r="T313" s="792"/>
      <c r="U313" s="792"/>
      <c r="V313" s="790"/>
      <c r="W313" s="790"/>
      <c r="X313" s="790"/>
      <c r="Y313" s="783"/>
      <c r="Z313" s="783"/>
      <c r="AA313" s="783"/>
      <c r="AB313" s="783"/>
      <c r="AC313" s="783"/>
      <c r="AD313" s="790"/>
      <c r="AE313" s="790"/>
      <c r="AF313" s="791"/>
      <c r="AG313" s="791"/>
      <c r="AH313" s="783"/>
      <c r="AI313" s="783"/>
      <c r="AJ313" s="790">
        <f t="shared" si="168"/>
        <v>0</v>
      </c>
      <c r="AK313" s="790">
        <f t="shared" si="169"/>
        <v>18400</v>
      </c>
      <c r="AL313" s="791">
        <f t="shared" si="170"/>
        <v>136</v>
      </c>
      <c r="AM313" s="791">
        <f t="shared" si="171"/>
        <v>651</v>
      </c>
      <c r="AN313" s="783">
        <f t="shared" si="172"/>
        <v>651</v>
      </c>
      <c r="AO313" s="783">
        <f t="shared" si="173"/>
        <v>17749</v>
      </c>
      <c r="AP313" s="808">
        <f t="shared" si="174"/>
        <v>17749</v>
      </c>
      <c r="AQ313" s="808">
        <f t="shared" si="175"/>
        <v>18400</v>
      </c>
      <c r="AR313" s="809">
        <f t="shared" si="176"/>
        <v>366</v>
      </c>
      <c r="AS313" s="809">
        <f t="shared" si="177"/>
        <v>1753</v>
      </c>
      <c r="AT313" s="808">
        <f t="shared" si="178"/>
        <v>2404</v>
      </c>
      <c r="AU313" s="808">
        <f t="shared" si="179"/>
        <v>15996</v>
      </c>
    </row>
    <row r="314" spans="1:47" ht="15" customHeight="1" x14ac:dyDescent="0.25">
      <c r="A314" s="842" t="s">
        <v>133</v>
      </c>
      <c r="B314" s="852" t="s">
        <v>360</v>
      </c>
      <c r="C314" s="778">
        <f t="shared" si="164"/>
        <v>9.5000000000000001E-2</v>
      </c>
      <c r="D314" s="844">
        <v>10</v>
      </c>
      <c r="E314" s="844" t="s">
        <v>677</v>
      </c>
      <c r="F314" s="853">
        <v>44994</v>
      </c>
      <c r="G314" s="781">
        <f t="shared" si="205"/>
        <v>44994</v>
      </c>
      <c r="H314" s="781">
        <f t="shared" si="206"/>
        <v>48644</v>
      </c>
      <c r="I314" s="854">
        <v>18400</v>
      </c>
      <c r="J314" s="783">
        <f t="shared" si="165"/>
        <v>920</v>
      </c>
      <c r="K314" s="887"/>
      <c r="L314" s="790">
        <v>0</v>
      </c>
      <c r="M314" s="790">
        <v>0</v>
      </c>
      <c r="N314" s="790">
        <v>0</v>
      </c>
      <c r="O314" s="790">
        <v>0</v>
      </c>
      <c r="P314" s="790">
        <v>0</v>
      </c>
      <c r="Q314" s="790">
        <v>0</v>
      </c>
      <c r="R314" s="790"/>
      <c r="S314" s="790"/>
      <c r="T314" s="792"/>
      <c r="U314" s="792"/>
      <c r="V314" s="790"/>
      <c r="W314" s="790"/>
      <c r="X314" s="790"/>
      <c r="Y314" s="783"/>
      <c r="Z314" s="783"/>
      <c r="AA314" s="783"/>
      <c r="AB314" s="783"/>
      <c r="AC314" s="783"/>
      <c r="AD314" s="790"/>
      <c r="AE314" s="790"/>
      <c r="AF314" s="791"/>
      <c r="AG314" s="791"/>
      <c r="AH314" s="783"/>
      <c r="AI314" s="783"/>
      <c r="AJ314" s="790">
        <f t="shared" si="168"/>
        <v>0</v>
      </c>
      <c r="AK314" s="790">
        <f t="shared" si="169"/>
        <v>18400</v>
      </c>
      <c r="AL314" s="791">
        <f t="shared" si="170"/>
        <v>23</v>
      </c>
      <c r="AM314" s="791">
        <f t="shared" si="171"/>
        <v>110</v>
      </c>
      <c r="AN314" s="783">
        <f t="shared" si="172"/>
        <v>110</v>
      </c>
      <c r="AO314" s="783">
        <f t="shared" si="173"/>
        <v>18290</v>
      </c>
      <c r="AP314" s="808">
        <f t="shared" si="174"/>
        <v>18290</v>
      </c>
      <c r="AQ314" s="808">
        <f t="shared" si="175"/>
        <v>18400</v>
      </c>
      <c r="AR314" s="809">
        <f t="shared" si="176"/>
        <v>366</v>
      </c>
      <c r="AS314" s="809">
        <f t="shared" si="177"/>
        <v>1753</v>
      </c>
      <c r="AT314" s="808">
        <f t="shared" si="178"/>
        <v>1863</v>
      </c>
      <c r="AU314" s="808">
        <f t="shared" si="179"/>
        <v>16537</v>
      </c>
    </row>
    <row r="315" spans="1:47" ht="15" customHeight="1" x14ac:dyDescent="0.25">
      <c r="A315" s="842" t="s">
        <v>133</v>
      </c>
      <c r="B315" s="852" t="s">
        <v>1294</v>
      </c>
      <c r="C315" s="778">
        <f t="shared" ref="C315:C356" si="207">(95/D315)/100</f>
        <v>9.5000000000000001E-2</v>
      </c>
      <c r="D315" s="844">
        <v>10</v>
      </c>
      <c r="E315" s="844" t="s">
        <v>677</v>
      </c>
      <c r="F315" s="853">
        <v>44988</v>
      </c>
      <c r="G315" s="781">
        <f t="shared" si="205"/>
        <v>44988</v>
      </c>
      <c r="H315" s="781">
        <f t="shared" si="206"/>
        <v>48638</v>
      </c>
      <c r="I315" s="854">
        <v>14124.54</v>
      </c>
      <c r="J315" s="783">
        <f t="shared" ref="J315:J356" si="208">I315*5%</f>
        <v>706.22700000000009</v>
      </c>
      <c r="K315" s="887"/>
      <c r="L315" s="790">
        <v>0</v>
      </c>
      <c r="M315" s="790">
        <v>0</v>
      </c>
      <c r="N315" s="790">
        <v>0</v>
      </c>
      <c r="O315" s="790">
        <v>0</v>
      </c>
      <c r="P315" s="790">
        <v>0</v>
      </c>
      <c r="Q315" s="790">
        <v>0</v>
      </c>
      <c r="R315" s="790"/>
      <c r="S315" s="790"/>
      <c r="T315" s="792"/>
      <c r="U315" s="792"/>
      <c r="V315" s="790"/>
      <c r="W315" s="790"/>
      <c r="X315" s="790"/>
      <c r="Y315" s="783"/>
      <c r="Z315" s="783"/>
      <c r="AA315" s="783"/>
      <c r="AB315" s="783"/>
      <c r="AC315" s="783"/>
      <c r="AD315" s="790"/>
      <c r="AE315" s="790"/>
      <c r="AF315" s="791"/>
      <c r="AG315" s="791"/>
      <c r="AH315" s="783"/>
      <c r="AI315" s="783"/>
      <c r="AJ315" s="790">
        <f t="shared" ref="AJ315:AJ328" si="209">AI315</f>
        <v>0</v>
      </c>
      <c r="AK315" s="790">
        <f t="shared" ref="AK315:AK328" si="210">I315</f>
        <v>14124.54</v>
      </c>
      <c r="AL315" s="791">
        <f t="shared" ref="AL315:AL328" si="211">IF(AND(F315&gt;$AD$3,F315&lt;$AJ$3),$AJ$3-F315+1,IF(H315&lt;=$AD$3,0,IF(H315&gt;$AJ$3,$AJ$3-$AD$3,H315-$AD$3)))</f>
        <v>29</v>
      </c>
      <c r="AM315" s="791">
        <f t="shared" ref="AM315:AM328" si="212">ROUND(AK315*C315*AL315/365,0)</f>
        <v>107</v>
      </c>
      <c r="AN315" s="783">
        <f t="shared" ref="AN315:AN328" si="213">+AH315+AM315</f>
        <v>107</v>
      </c>
      <c r="AO315" s="783">
        <f t="shared" ref="AO315:AO328" si="214">AK315-AN315</f>
        <v>14017.54</v>
      </c>
      <c r="AP315" s="808">
        <f t="shared" ref="AP315:AP356" si="215">+AO315</f>
        <v>14017.54</v>
      </c>
      <c r="AQ315" s="808">
        <f t="shared" ref="AQ315:AQ356" si="216">I315</f>
        <v>14124.54</v>
      </c>
      <c r="AR315" s="809">
        <f t="shared" ref="AR315:AR356" si="217">IF(AND(F315&gt;$AJ$3,F315&lt;$AP$3),$AP$3-F315+1,IF(H315&lt;=$AJ$3,0,IF(H315&gt;$AP$3,$AP$3-$AJ$3,H315-$AJ$3)))</f>
        <v>366</v>
      </c>
      <c r="AS315" s="809">
        <f t="shared" ref="AS315:AS356" si="218">ROUND(AQ315*C315*AR315/365,0)</f>
        <v>1346</v>
      </c>
      <c r="AT315" s="808">
        <f t="shared" ref="AT315:AT356" si="219">+AN315+AS315</f>
        <v>1453</v>
      </c>
      <c r="AU315" s="808">
        <f t="shared" ref="AU315:AU356" si="220">+AQ315-AT315</f>
        <v>12671.54</v>
      </c>
    </row>
    <row r="316" spans="1:47" ht="15" customHeight="1" x14ac:dyDescent="0.25">
      <c r="A316" s="842" t="s">
        <v>133</v>
      </c>
      <c r="B316" s="852" t="s">
        <v>1295</v>
      </c>
      <c r="C316" s="778">
        <f t="shared" si="207"/>
        <v>9.5000000000000001E-2</v>
      </c>
      <c r="D316" s="844">
        <v>10</v>
      </c>
      <c r="E316" s="844" t="s">
        <v>677</v>
      </c>
      <c r="F316" s="853">
        <v>44870</v>
      </c>
      <c r="G316" s="781">
        <f t="shared" si="205"/>
        <v>44870</v>
      </c>
      <c r="H316" s="781">
        <f t="shared" si="206"/>
        <v>48520</v>
      </c>
      <c r="I316" s="854">
        <v>175000</v>
      </c>
      <c r="J316" s="783">
        <f t="shared" si="208"/>
        <v>8750</v>
      </c>
      <c r="K316" s="887"/>
      <c r="L316" s="790">
        <v>0</v>
      </c>
      <c r="M316" s="790">
        <v>0</v>
      </c>
      <c r="N316" s="790">
        <v>0</v>
      </c>
      <c r="O316" s="790">
        <v>0</v>
      </c>
      <c r="P316" s="790">
        <v>0</v>
      </c>
      <c r="Q316" s="790">
        <v>0</v>
      </c>
      <c r="R316" s="790"/>
      <c r="S316" s="790"/>
      <c r="T316" s="792"/>
      <c r="U316" s="792"/>
      <c r="V316" s="790"/>
      <c r="W316" s="790"/>
      <c r="X316" s="790"/>
      <c r="Y316" s="783"/>
      <c r="Z316" s="783"/>
      <c r="AA316" s="783"/>
      <c r="AB316" s="783"/>
      <c r="AC316" s="783"/>
      <c r="AD316" s="790"/>
      <c r="AE316" s="790"/>
      <c r="AF316" s="791"/>
      <c r="AG316" s="791"/>
      <c r="AH316" s="783"/>
      <c r="AI316" s="783"/>
      <c r="AJ316" s="790">
        <f t="shared" si="209"/>
        <v>0</v>
      </c>
      <c r="AK316" s="790">
        <f t="shared" si="210"/>
        <v>175000</v>
      </c>
      <c r="AL316" s="791">
        <f t="shared" si="211"/>
        <v>147</v>
      </c>
      <c r="AM316" s="791">
        <f t="shared" si="212"/>
        <v>6696</v>
      </c>
      <c r="AN316" s="783">
        <f t="shared" si="213"/>
        <v>6696</v>
      </c>
      <c r="AO316" s="783">
        <f t="shared" si="214"/>
        <v>168304</v>
      </c>
      <c r="AP316" s="808">
        <f t="shared" si="215"/>
        <v>168304</v>
      </c>
      <c r="AQ316" s="808">
        <f t="shared" si="216"/>
        <v>175000</v>
      </c>
      <c r="AR316" s="809">
        <f t="shared" si="217"/>
        <v>366</v>
      </c>
      <c r="AS316" s="809">
        <f t="shared" si="218"/>
        <v>16671</v>
      </c>
      <c r="AT316" s="808">
        <f t="shared" si="219"/>
        <v>23367</v>
      </c>
      <c r="AU316" s="808">
        <f t="shared" si="220"/>
        <v>151633</v>
      </c>
    </row>
    <row r="317" spans="1:47" ht="15" customHeight="1" x14ac:dyDescent="0.25">
      <c r="A317" s="842" t="s">
        <v>133</v>
      </c>
      <c r="B317" s="852" t="s">
        <v>1296</v>
      </c>
      <c r="C317" s="778">
        <f t="shared" si="207"/>
        <v>9.5000000000000001E-2</v>
      </c>
      <c r="D317" s="844">
        <v>10</v>
      </c>
      <c r="E317" s="844" t="s">
        <v>677</v>
      </c>
      <c r="F317" s="853">
        <v>44671</v>
      </c>
      <c r="G317" s="781">
        <f t="shared" si="205"/>
        <v>44671</v>
      </c>
      <c r="H317" s="781">
        <f t="shared" si="206"/>
        <v>48321</v>
      </c>
      <c r="I317" s="854">
        <v>5000</v>
      </c>
      <c r="J317" s="783">
        <f t="shared" si="208"/>
        <v>250</v>
      </c>
      <c r="K317" s="887"/>
      <c r="L317" s="790">
        <v>0</v>
      </c>
      <c r="M317" s="790">
        <v>0</v>
      </c>
      <c r="N317" s="790">
        <v>0</v>
      </c>
      <c r="O317" s="790">
        <v>0</v>
      </c>
      <c r="P317" s="790">
        <v>0</v>
      </c>
      <c r="Q317" s="790">
        <v>0</v>
      </c>
      <c r="R317" s="790"/>
      <c r="S317" s="790"/>
      <c r="T317" s="792"/>
      <c r="U317" s="792"/>
      <c r="V317" s="790"/>
      <c r="W317" s="790"/>
      <c r="X317" s="790"/>
      <c r="Y317" s="783"/>
      <c r="Z317" s="783"/>
      <c r="AA317" s="783"/>
      <c r="AB317" s="783"/>
      <c r="AC317" s="783"/>
      <c r="AD317" s="790"/>
      <c r="AE317" s="790"/>
      <c r="AF317" s="791"/>
      <c r="AG317" s="791"/>
      <c r="AH317" s="783"/>
      <c r="AI317" s="783"/>
      <c r="AJ317" s="790">
        <f t="shared" si="209"/>
        <v>0</v>
      </c>
      <c r="AK317" s="790">
        <f t="shared" si="210"/>
        <v>5000</v>
      </c>
      <c r="AL317" s="791">
        <f t="shared" si="211"/>
        <v>346</v>
      </c>
      <c r="AM317" s="791">
        <f t="shared" si="212"/>
        <v>450</v>
      </c>
      <c r="AN317" s="783">
        <f t="shared" si="213"/>
        <v>450</v>
      </c>
      <c r="AO317" s="783">
        <f t="shared" si="214"/>
        <v>4550</v>
      </c>
      <c r="AP317" s="808">
        <f t="shared" si="215"/>
        <v>4550</v>
      </c>
      <c r="AQ317" s="808">
        <f t="shared" si="216"/>
        <v>5000</v>
      </c>
      <c r="AR317" s="809">
        <f t="shared" si="217"/>
        <v>366</v>
      </c>
      <c r="AS317" s="809">
        <f t="shared" si="218"/>
        <v>476</v>
      </c>
      <c r="AT317" s="808">
        <f t="shared" si="219"/>
        <v>926</v>
      </c>
      <c r="AU317" s="808">
        <f t="shared" si="220"/>
        <v>4074</v>
      </c>
    </row>
    <row r="318" spans="1:47" ht="15" customHeight="1" x14ac:dyDescent="0.25">
      <c r="A318" s="842" t="s">
        <v>133</v>
      </c>
      <c r="B318" s="852" t="s">
        <v>1296</v>
      </c>
      <c r="C318" s="778">
        <f t="shared" si="207"/>
        <v>9.5000000000000001E-2</v>
      </c>
      <c r="D318" s="844">
        <v>10</v>
      </c>
      <c r="E318" s="844" t="s">
        <v>677</v>
      </c>
      <c r="F318" s="853">
        <v>44683</v>
      </c>
      <c r="G318" s="781">
        <f t="shared" si="205"/>
        <v>44683</v>
      </c>
      <c r="H318" s="781">
        <f t="shared" si="206"/>
        <v>48333</v>
      </c>
      <c r="I318" s="854">
        <v>7500</v>
      </c>
      <c r="J318" s="783">
        <f t="shared" si="208"/>
        <v>375</v>
      </c>
      <c r="K318" s="887"/>
      <c r="L318" s="790">
        <v>0</v>
      </c>
      <c r="M318" s="790">
        <v>0</v>
      </c>
      <c r="N318" s="790">
        <v>0</v>
      </c>
      <c r="O318" s="790">
        <v>0</v>
      </c>
      <c r="P318" s="790">
        <v>0</v>
      </c>
      <c r="Q318" s="790">
        <v>0</v>
      </c>
      <c r="R318" s="790"/>
      <c r="S318" s="790"/>
      <c r="T318" s="792"/>
      <c r="U318" s="792"/>
      <c r="V318" s="790"/>
      <c r="W318" s="790"/>
      <c r="X318" s="790"/>
      <c r="Y318" s="783"/>
      <c r="Z318" s="783"/>
      <c r="AA318" s="783"/>
      <c r="AB318" s="783"/>
      <c r="AC318" s="783"/>
      <c r="AD318" s="790"/>
      <c r="AE318" s="790"/>
      <c r="AF318" s="791"/>
      <c r="AG318" s="791"/>
      <c r="AH318" s="783"/>
      <c r="AI318" s="783"/>
      <c r="AJ318" s="790">
        <f t="shared" si="209"/>
        <v>0</v>
      </c>
      <c r="AK318" s="790">
        <f t="shared" si="210"/>
        <v>7500</v>
      </c>
      <c r="AL318" s="791">
        <f t="shared" si="211"/>
        <v>334</v>
      </c>
      <c r="AM318" s="791">
        <f t="shared" si="212"/>
        <v>652</v>
      </c>
      <c r="AN318" s="783">
        <f t="shared" si="213"/>
        <v>652</v>
      </c>
      <c r="AO318" s="783">
        <f t="shared" si="214"/>
        <v>6848</v>
      </c>
      <c r="AP318" s="808">
        <f t="shared" si="215"/>
        <v>6848</v>
      </c>
      <c r="AQ318" s="808">
        <f t="shared" si="216"/>
        <v>7500</v>
      </c>
      <c r="AR318" s="809">
        <f t="shared" si="217"/>
        <v>366</v>
      </c>
      <c r="AS318" s="809">
        <f t="shared" si="218"/>
        <v>714</v>
      </c>
      <c r="AT318" s="808">
        <f t="shared" si="219"/>
        <v>1366</v>
      </c>
      <c r="AU318" s="808">
        <f t="shared" si="220"/>
        <v>6134</v>
      </c>
    </row>
    <row r="319" spans="1:47" ht="15" customHeight="1" x14ac:dyDescent="0.25">
      <c r="A319" s="842" t="s">
        <v>133</v>
      </c>
      <c r="B319" s="852" t="s">
        <v>1296</v>
      </c>
      <c r="C319" s="778">
        <f t="shared" si="207"/>
        <v>9.5000000000000001E-2</v>
      </c>
      <c r="D319" s="844">
        <v>10</v>
      </c>
      <c r="E319" s="844" t="s">
        <v>677</v>
      </c>
      <c r="F319" s="853">
        <v>44737</v>
      </c>
      <c r="G319" s="781">
        <f t="shared" si="205"/>
        <v>44737</v>
      </c>
      <c r="H319" s="781">
        <f t="shared" si="206"/>
        <v>48387</v>
      </c>
      <c r="I319" s="854">
        <v>9600</v>
      </c>
      <c r="J319" s="783">
        <f t="shared" si="208"/>
        <v>480</v>
      </c>
      <c r="K319" s="887"/>
      <c r="L319" s="790">
        <v>0</v>
      </c>
      <c r="M319" s="790">
        <v>0</v>
      </c>
      <c r="N319" s="790">
        <v>0</v>
      </c>
      <c r="O319" s="790">
        <v>0</v>
      </c>
      <c r="P319" s="790">
        <v>0</v>
      </c>
      <c r="Q319" s="790">
        <v>0</v>
      </c>
      <c r="R319" s="790"/>
      <c r="S319" s="790"/>
      <c r="T319" s="792"/>
      <c r="U319" s="792"/>
      <c r="V319" s="790"/>
      <c r="W319" s="790"/>
      <c r="X319" s="790"/>
      <c r="Y319" s="783"/>
      <c r="Z319" s="783"/>
      <c r="AA319" s="783"/>
      <c r="AB319" s="783"/>
      <c r="AC319" s="783"/>
      <c r="AD319" s="790"/>
      <c r="AE319" s="790"/>
      <c r="AF319" s="791"/>
      <c r="AG319" s="791"/>
      <c r="AH319" s="783"/>
      <c r="AI319" s="783"/>
      <c r="AJ319" s="790">
        <f t="shared" si="209"/>
        <v>0</v>
      </c>
      <c r="AK319" s="790">
        <f t="shared" si="210"/>
        <v>9600</v>
      </c>
      <c r="AL319" s="791">
        <f t="shared" si="211"/>
        <v>280</v>
      </c>
      <c r="AM319" s="791">
        <f t="shared" si="212"/>
        <v>700</v>
      </c>
      <c r="AN319" s="783">
        <f t="shared" si="213"/>
        <v>700</v>
      </c>
      <c r="AO319" s="783">
        <f t="shared" si="214"/>
        <v>8900</v>
      </c>
      <c r="AP319" s="808">
        <f t="shared" si="215"/>
        <v>8900</v>
      </c>
      <c r="AQ319" s="808">
        <f t="shared" si="216"/>
        <v>9600</v>
      </c>
      <c r="AR319" s="809">
        <f t="shared" si="217"/>
        <v>366</v>
      </c>
      <c r="AS319" s="809">
        <f t="shared" si="218"/>
        <v>914</v>
      </c>
      <c r="AT319" s="808">
        <f t="shared" si="219"/>
        <v>1614</v>
      </c>
      <c r="AU319" s="808">
        <f t="shared" si="220"/>
        <v>7986</v>
      </c>
    </row>
    <row r="320" spans="1:47" ht="15" customHeight="1" x14ac:dyDescent="0.25">
      <c r="A320" s="842" t="s">
        <v>133</v>
      </c>
      <c r="B320" s="852" t="s">
        <v>1296</v>
      </c>
      <c r="C320" s="778">
        <f t="shared" si="207"/>
        <v>9.5000000000000001E-2</v>
      </c>
      <c r="D320" s="844">
        <v>10</v>
      </c>
      <c r="E320" s="844" t="s">
        <v>677</v>
      </c>
      <c r="F320" s="853">
        <v>44783</v>
      </c>
      <c r="G320" s="781">
        <f t="shared" si="205"/>
        <v>44783</v>
      </c>
      <c r="H320" s="781">
        <f t="shared" si="206"/>
        <v>48433</v>
      </c>
      <c r="I320" s="854">
        <v>27600</v>
      </c>
      <c r="J320" s="783">
        <f t="shared" si="208"/>
        <v>1380</v>
      </c>
      <c r="K320" s="887"/>
      <c r="L320" s="790">
        <v>0</v>
      </c>
      <c r="M320" s="790">
        <v>0</v>
      </c>
      <c r="N320" s="790">
        <v>0</v>
      </c>
      <c r="O320" s="790">
        <v>0</v>
      </c>
      <c r="P320" s="790">
        <v>0</v>
      </c>
      <c r="Q320" s="790">
        <v>0</v>
      </c>
      <c r="R320" s="790"/>
      <c r="S320" s="790"/>
      <c r="T320" s="792"/>
      <c r="U320" s="792"/>
      <c r="V320" s="790"/>
      <c r="W320" s="790"/>
      <c r="X320" s="790"/>
      <c r="Y320" s="783"/>
      <c r="Z320" s="783"/>
      <c r="AA320" s="783"/>
      <c r="AB320" s="783"/>
      <c r="AC320" s="783"/>
      <c r="AD320" s="790"/>
      <c r="AE320" s="790"/>
      <c r="AF320" s="791"/>
      <c r="AG320" s="791"/>
      <c r="AH320" s="783"/>
      <c r="AI320" s="783"/>
      <c r="AJ320" s="790">
        <f t="shared" si="209"/>
        <v>0</v>
      </c>
      <c r="AK320" s="790">
        <f t="shared" si="210"/>
        <v>27600</v>
      </c>
      <c r="AL320" s="791">
        <f t="shared" si="211"/>
        <v>234</v>
      </c>
      <c r="AM320" s="791">
        <f t="shared" si="212"/>
        <v>1681</v>
      </c>
      <c r="AN320" s="783">
        <f t="shared" si="213"/>
        <v>1681</v>
      </c>
      <c r="AO320" s="783">
        <f t="shared" si="214"/>
        <v>25919</v>
      </c>
      <c r="AP320" s="808">
        <f t="shared" si="215"/>
        <v>25919</v>
      </c>
      <c r="AQ320" s="808">
        <f t="shared" si="216"/>
        <v>27600</v>
      </c>
      <c r="AR320" s="809">
        <f t="shared" si="217"/>
        <v>366</v>
      </c>
      <c r="AS320" s="809">
        <f t="shared" si="218"/>
        <v>2629</v>
      </c>
      <c r="AT320" s="808">
        <f t="shared" si="219"/>
        <v>4310</v>
      </c>
      <c r="AU320" s="808">
        <f t="shared" si="220"/>
        <v>23290</v>
      </c>
    </row>
    <row r="321" spans="1:47" ht="15" customHeight="1" x14ac:dyDescent="0.25">
      <c r="A321" s="842" t="s">
        <v>133</v>
      </c>
      <c r="B321" s="852" t="s">
        <v>1296</v>
      </c>
      <c r="C321" s="778">
        <f t="shared" si="207"/>
        <v>9.5000000000000001E-2</v>
      </c>
      <c r="D321" s="844">
        <v>10</v>
      </c>
      <c r="E321" s="844" t="s">
        <v>677</v>
      </c>
      <c r="F321" s="853">
        <v>44903</v>
      </c>
      <c r="G321" s="781">
        <f t="shared" si="205"/>
        <v>44903</v>
      </c>
      <c r="H321" s="781">
        <f t="shared" si="206"/>
        <v>48553</v>
      </c>
      <c r="I321" s="854">
        <v>8314</v>
      </c>
      <c r="J321" s="783">
        <f t="shared" si="208"/>
        <v>415.70000000000005</v>
      </c>
      <c r="K321" s="887"/>
      <c r="L321" s="790">
        <v>0</v>
      </c>
      <c r="M321" s="790">
        <v>0</v>
      </c>
      <c r="N321" s="790">
        <v>0</v>
      </c>
      <c r="O321" s="790">
        <v>0</v>
      </c>
      <c r="P321" s="790">
        <v>0</v>
      </c>
      <c r="Q321" s="790">
        <v>0</v>
      </c>
      <c r="R321" s="790"/>
      <c r="S321" s="790"/>
      <c r="T321" s="792"/>
      <c r="U321" s="792"/>
      <c r="V321" s="790"/>
      <c r="W321" s="790"/>
      <c r="X321" s="790"/>
      <c r="Y321" s="783"/>
      <c r="Z321" s="783"/>
      <c r="AA321" s="783"/>
      <c r="AB321" s="783"/>
      <c r="AC321" s="783"/>
      <c r="AD321" s="790"/>
      <c r="AE321" s="790"/>
      <c r="AF321" s="791"/>
      <c r="AG321" s="791"/>
      <c r="AH321" s="783"/>
      <c r="AI321" s="783"/>
      <c r="AJ321" s="790">
        <f t="shared" si="209"/>
        <v>0</v>
      </c>
      <c r="AK321" s="790">
        <f t="shared" si="210"/>
        <v>8314</v>
      </c>
      <c r="AL321" s="791">
        <f t="shared" si="211"/>
        <v>114</v>
      </c>
      <c r="AM321" s="791">
        <f t="shared" si="212"/>
        <v>247</v>
      </c>
      <c r="AN321" s="783">
        <f t="shared" si="213"/>
        <v>247</v>
      </c>
      <c r="AO321" s="783">
        <f t="shared" si="214"/>
        <v>8067</v>
      </c>
      <c r="AP321" s="808">
        <f t="shared" si="215"/>
        <v>8067</v>
      </c>
      <c r="AQ321" s="808">
        <f t="shared" si="216"/>
        <v>8314</v>
      </c>
      <c r="AR321" s="809">
        <f t="shared" si="217"/>
        <v>366</v>
      </c>
      <c r="AS321" s="809">
        <f t="shared" si="218"/>
        <v>792</v>
      </c>
      <c r="AT321" s="808">
        <f t="shared" si="219"/>
        <v>1039</v>
      </c>
      <c r="AU321" s="808">
        <f t="shared" si="220"/>
        <v>7275</v>
      </c>
    </row>
    <row r="322" spans="1:47" ht="15" customHeight="1" x14ac:dyDescent="0.25">
      <c r="A322" s="842" t="s">
        <v>133</v>
      </c>
      <c r="B322" s="852" t="s">
        <v>1297</v>
      </c>
      <c r="C322" s="778">
        <f t="shared" si="207"/>
        <v>9.5000000000000001E-2</v>
      </c>
      <c r="D322" s="844">
        <v>10</v>
      </c>
      <c r="E322" s="844" t="s">
        <v>677</v>
      </c>
      <c r="F322" s="853">
        <v>44861</v>
      </c>
      <c r="G322" s="781">
        <f t="shared" si="205"/>
        <v>44861</v>
      </c>
      <c r="H322" s="781">
        <f t="shared" si="206"/>
        <v>48511</v>
      </c>
      <c r="I322" s="854">
        <v>28500</v>
      </c>
      <c r="J322" s="783">
        <f t="shared" si="208"/>
        <v>1425</v>
      </c>
      <c r="K322" s="887"/>
      <c r="L322" s="790">
        <v>0</v>
      </c>
      <c r="M322" s="790">
        <v>0</v>
      </c>
      <c r="N322" s="790">
        <v>0</v>
      </c>
      <c r="O322" s="790">
        <v>0</v>
      </c>
      <c r="P322" s="790">
        <v>0</v>
      </c>
      <c r="Q322" s="790">
        <v>0</v>
      </c>
      <c r="R322" s="790"/>
      <c r="S322" s="790"/>
      <c r="T322" s="792"/>
      <c r="U322" s="792"/>
      <c r="V322" s="790"/>
      <c r="W322" s="790"/>
      <c r="X322" s="790"/>
      <c r="Y322" s="783"/>
      <c r="Z322" s="783"/>
      <c r="AA322" s="783"/>
      <c r="AB322" s="783"/>
      <c r="AC322" s="783"/>
      <c r="AD322" s="790"/>
      <c r="AE322" s="790"/>
      <c r="AF322" s="791"/>
      <c r="AG322" s="791"/>
      <c r="AH322" s="783"/>
      <c r="AI322" s="783"/>
      <c r="AJ322" s="790">
        <f t="shared" si="209"/>
        <v>0</v>
      </c>
      <c r="AK322" s="790">
        <f t="shared" si="210"/>
        <v>28500</v>
      </c>
      <c r="AL322" s="791">
        <f t="shared" si="211"/>
        <v>156</v>
      </c>
      <c r="AM322" s="791">
        <f t="shared" si="212"/>
        <v>1157</v>
      </c>
      <c r="AN322" s="783">
        <f t="shared" si="213"/>
        <v>1157</v>
      </c>
      <c r="AO322" s="783">
        <f t="shared" si="214"/>
        <v>27343</v>
      </c>
      <c r="AP322" s="808">
        <f t="shared" si="215"/>
        <v>27343</v>
      </c>
      <c r="AQ322" s="808">
        <f t="shared" si="216"/>
        <v>28500</v>
      </c>
      <c r="AR322" s="809">
        <f t="shared" si="217"/>
        <v>366</v>
      </c>
      <c r="AS322" s="809">
        <f t="shared" si="218"/>
        <v>2715</v>
      </c>
      <c r="AT322" s="808">
        <f t="shared" si="219"/>
        <v>3872</v>
      </c>
      <c r="AU322" s="808">
        <f t="shared" si="220"/>
        <v>24628</v>
      </c>
    </row>
    <row r="323" spans="1:47" ht="15" customHeight="1" x14ac:dyDescent="0.25">
      <c r="A323" s="842" t="s">
        <v>133</v>
      </c>
      <c r="B323" s="852" t="s">
        <v>1297</v>
      </c>
      <c r="C323" s="778">
        <f t="shared" si="207"/>
        <v>9.5000000000000001E-2</v>
      </c>
      <c r="D323" s="844">
        <v>10</v>
      </c>
      <c r="E323" s="844" t="s">
        <v>677</v>
      </c>
      <c r="F323" s="853">
        <v>44985</v>
      </c>
      <c r="G323" s="781">
        <f t="shared" si="205"/>
        <v>44985</v>
      </c>
      <c r="H323" s="781">
        <f t="shared" si="206"/>
        <v>48635</v>
      </c>
      <c r="I323" s="854">
        <v>31800</v>
      </c>
      <c r="J323" s="783">
        <f t="shared" si="208"/>
        <v>1590</v>
      </c>
      <c r="K323" s="887"/>
      <c r="L323" s="790">
        <v>0</v>
      </c>
      <c r="M323" s="790">
        <v>0</v>
      </c>
      <c r="N323" s="790">
        <v>0</v>
      </c>
      <c r="O323" s="790">
        <v>0</v>
      </c>
      <c r="P323" s="790">
        <v>0</v>
      </c>
      <c r="Q323" s="790">
        <v>0</v>
      </c>
      <c r="R323" s="790"/>
      <c r="S323" s="790"/>
      <c r="T323" s="792"/>
      <c r="U323" s="792"/>
      <c r="V323" s="790"/>
      <c r="W323" s="790"/>
      <c r="X323" s="790"/>
      <c r="Y323" s="783"/>
      <c r="Z323" s="783"/>
      <c r="AA323" s="783"/>
      <c r="AB323" s="783"/>
      <c r="AC323" s="783"/>
      <c r="AD323" s="790"/>
      <c r="AE323" s="790"/>
      <c r="AF323" s="791"/>
      <c r="AG323" s="791"/>
      <c r="AH323" s="783"/>
      <c r="AI323" s="783"/>
      <c r="AJ323" s="790">
        <f t="shared" si="209"/>
        <v>0</v>
      </c>
      <c r="AK323" s="790">
        <f t="shared" si="210"/>
        <v>31800</v>
      </c>
      <c r="AL323" s="791">
        <f t="shared" si="211"/>
        <v>32</v>
      </c>
      <c r="AM323" s="791">
        <f t="shared" si="212"/>
        <v>265</v>
      </c>
      <c r="AN323" s="783">
        <f t="shared" si="213"/>
        <v>265</v>
      </c>
      <c r="AO323" s="783">
        <f t="shared" si="214"/>
        <v>31535</v>
      </c>
      <c r="AP323" s="808">
        <f t="shared" si="215"/>
        <v>31535</v>
      </c>
      <c r="AQ323" s="808">
        <f t="shared" si="216"/>
        <v>31800</v>
      </c>
      <c r="AR323" s="809">
        <f t="shared" si="217"/>
        <v>366</v>
      </c>
      <c r="AS323" s="809">
        <f t="shared" si="218"/>
        <v>3029</v>
      </c>
      <c r="AT323" s="808">
        <f t="shared" si="219"/>
        <v>3294</v>
      </c>
      <c r="AU323" s="808">
        <f t="shared" si="220"/>
        <v>28506</v>
      </c>
    </row>
    <row r="324" spans="1:47" ht="15" customHeight="1" x14ac:dyDescent="0.25">
      <c r="A324" s="842" t="s">
        <v>133</v>
      </c>
      <c r="B324" s="852" t="s">
        <v>1298</v>
      </c>
      <c r="C324" s="778">
        <f t="shared" si="207"/>
        <v>9.5000000000000001E-2</v>
      </c>
      <c r="D324" s="844">
        <v>10</v>
      </c>
      <c r="E324" s="844" t="s">
        <v>677</v>
      </c>
      <c r="F324" s="853">
        <v>44853</v>
      </c>
      <c r="G324" s="781">
        <f t="shared" si="205"/>
        <v>44853</v>
      </c>
      <c r="H324" s="781">
        <f t="shared" si="206"/>
        <v>48503</v>
      </c>
      <c r="I324" s="854">
        <v>9000</v>
      </c>
      <c r="J324" s="783">
        <f t="shared" si="208"/>
        <v>450</v>
      </c>
      <c r="K324" s="887"/>
      <c r="L324" s="790">
        <v>0</v>
      </c>
      <c r="M324" s="790">
        <v>0</v>
      </c>
      <c r="N324" s="790">
        <v>0</v>
      </c>
      <c r="O324" s="790">
        <v>0</v>
      </c>
      <c r="P324" s="790">
        <v>0</v>
      </c>
      <c r="Q324" s="790">
        <v>0</v>
      </c>
      <c r="R324" s="790"/>
      <c r="S324" s="790"/>
      <c r="T324" s="792"/>
      <c r="U324" s="792"/>
      <c r="V324" s="790"/>
      <c r="W324" s="790"/>
      <c r="X324" s="790"/>
      <c r="Y324" s="783"/>
      <c r="Z324" s="783"/>
      <c r="AA324" s="783"/>
      <c r="AB324" s="783"/>
      <c r="AC324" s="783"/>
      <c r="AD324" s="790"/>
      <c r="AE324" s="790"/>
      <c r="AF324" s="791"/>
      <c r="AG324" s="791"/>
      <c r="AH324" s="783"/>
      <c r="AI324" s="783"/>
      <c r="AJ324" s="790">
        <f t="shared" si="209"/>
        <v>0</v>
      </c>
      <c r="AK324" s="790">
        <f t="shared" si="210"/>
        <v>9000</v>
      </c>
      <c r="AL324" s="791">
        <f t="shared" si="211"/>
        <v>164</v>
      </c>
      <c r="AM324" s="791">
        <f t="shared" si="212"/>
        <v>384</v>
      </c>
      <c r="AN324" s="783">
        <f t="shared" si="213"/>
        <v>384</v>
      </c>
      <c r="AO324" s="783">
        <f t="shared" si="214"/>
        <v>8616</v>
      </c>
      <c r="AP324" s="808">
        <f t="shared" si="215"/>
        <v>8616</v>
      </c>
      <c r="AQ324" s="808">
        <f t="shared" si="216"/>
        <v>9000</v>
      </c>
      <c r="AR324" s="809">
        <f t="shared" si="217"/>
        <v>366</v>
      </c>
      <c r="AS324" s="809">
        <f t="shared" si="218"/>
        <v>857</v>
      </c>
      <c r="AT324" s="808">
        <f t="shared" si="219"/>
        <v>1241</v>
      </c>
      <c r="AU324" s="808">
        <f t="shared" si="220"/>
        <v>7759</v>
      </c>
    </row>
    <row r="325" spans="1:47" ht="15" customHeight="1" x14ac:dyDescent="0.25">
      <c r="A325" s="842" t="s">
        <v>133</v>
      </c>
      <c r="B325" s="852" t="s">
        <v>1298</v>
      </c>
      <c r="C325" s="778">
        <f t="shared" si="207"/>
        <v>9.5000000000000001E-2</v>
      </c>
      <c r="D325" s="844">
        <v>10</v>
      </c>
      <c r="E325" s="844" t="s">
        <v>677</v>
      </c>
      <c r="F325" s="853">
        <v>44897</v>
      </c>
      <c r="G325" s="781">
        <f t="shared" si="205"/>
        <v>44897</v>
      </c>
      <c r="H325" s="781">
        <f t="shared" si="206"/>
        <v>48547</v>
      </c>
      <c r="I325" s="854">
        <v>29250</v>
      </c>
      <c r="J325" s="783">
        <f t="shared" si="208"/>
        <v>1462.5</v>
      </c>
      <c r="K325" s="887"/>
      <c r="L325" s="790">
        <v>0</v>
      </c>
      <c r="M325" s="790">
        <v>0</v>
      </c>
      <c r="N325" s="790">
        <v>0</v>
      </c>
      <c r="O325" s="790">
        <v>0</v>
      </c>
      <c r="P325" s="790">
        <v>0</v>
      </c>
      <c r="Q325" s="790">
        <v>0</v>
      </c>
      <c r="R325" s="790"/>
      <c r="S325" s="790"/>
      <c r="T325" s="792"/>
      <c r="U325" s="792"/>
      <c r="V325" s="790"/>
      <c r="W325" s="790"/>
      <c r="X325" s="790"/>
      <c r="Y325" s="783"/>
      <c r="Z325" s="783"/>
      <c r="AA325" s="783"/>
      <c r="AB325" s="783"/>
      <c r="AC325" s="783"/>
      <c r="AD325" s="790"/>
      <c r="AE325" s="790"/>
      <c r="AF325" s="791"/>
      <c r="AG325" s="791"/>
      <c r="AH325" s="783"/>
      <c r="AI325" s="783"/>
      <c r="AJ325" s="790">
        <f t="shared" si="209"/>
        <v>0</v>
      </c>
      <c r="AK325" s="790">
        <f t="shared" si="210"/>
        <v>29250</v>
      </c>
      <c r="AL325" s="791">
        <f t="shared" si="211"/>
        <v>120</v>
      </c>
      <c r="AM325" s="791">
        <f t="shared" si="212"/>
        <v>914</v>
      </c>
      <c r="AN325" s="783">
        <f t="shared" si="213"/>
        <v>914</v>
      </c>
      <c r="AO325" s="783">
        <f t="shared" si="214"/>
        <v>28336</v>
      </c>
      <c r="AP325" s="808">
        <f t="shared" si="215"/>
        <v>28336</v>
      </c>
      <c r="AQ325" s="808">
        <f t="shared" si="216"/>
        <v>29250</v>
      </c>
      <c r="AR325" s="809">
        <f t="shared" si="217"/>
        <v>366</v>
      </c>
      <c r="AS325" s="809">
        <f t="shared" si="218"/>
        <v>2786</v>
      </c>
      <c r="AT325" s="808">
        <f t="shared" si="219"/>
        <v>3700</v>
      </c>
      <c r="AU325" s="808">
        <f t="shared" si="220"/>
        <v>25550</v>
      </c>
    </row>
    <row r="326" spans="1:47" ht="15" customHeight="1" x14ac:dyDescent="0.25">
      <c r="A326" s="842" t="s">
        <v>133</v>
      </c>
      <c r="B326" s="852" t="s">
        <v>1298</v>
      </c>
      <c r="C326" s="778">
        <f t="shared" si="207"/>
        <v>9.5000000000000001E-2</v>
      </c>
      <c r="D326" s="844">
        <v>10</v>
      </c>
      <c r="E326" s="844" t="s">
        <v>677</v>
      </c>
      <c r="F326" s="853">
        <v>44898</v>
      </c>
      <c r="G326" s="781">
        <f t="shared" si="205"/>
        <v>44898</v>
      </c>
      <c r="H326" s="781">
        <f t="shared" si="206"/>
        <v>48548</v>
      </c>
      <c r="I326" s="854">
        <v>8000</v>
      </c>
      <c r="J326" s="783">
        <f t="shared" si="208"/>
        <v>400</v>
      </c>
      <c r="K326" s="887"/>
      <c r="L326" s="790">
        <v>0</v>
      </c>
      <c r="M326" s="790">
        <v>0</v>
      </c>
      <c r="N326" s="790">
        <v>0</v>
      </c>
      <c r="O326" s="790">
        <v>0</v>
      </c>
      <c r="P326" s="790">
        <v>0</v>
      </c>
      <c r="Q326" s="790">
        <v>0</v>
      </c>
      <c r="R326" s="790"/>
      <c r="S326" s="790"/>
      <c r="T326" s="792"/>
      <c r="U326" s="792"/>
      <c r="V326" s="790"/>
      <c r="W326" s="790"/>
      <c r="X326" s="790"/>
      <c r="Y326" s="783"/>
      <c r="Z326" s="783"/>
      <c r="AA326" s="783"/>
      <c r="AB326" s="783"/>
      <c r="AC326" s="783"/>
      <c r="AD326" s="790"/>
      <c r="AE326" s="790"/>
      <c r="AF326" s="791"/>
      <c r="AG326" s="791"/>
      <c r="AH326" s="783"/>
      <c r="AI326" s="783"/>
      <c r="AJ326" s="790">
        <f t="shared" si="209"/>
        <v>0</v>
      </c>
      <c r="AK326" s="790">
        <f t="shared" si="210"/>
        <v>8000</v>
      </c>
      <c r="AL326" s="791">
        <f t="shared" si="211"/>
        <v>119</v>
      </c>
      <c r="AM326" s="791">
        <f t="shared" si="212"/>
        <v>248</v>
      </c>
      <c r="AN326" s="783">
        <f t="shared" si="213"/>
        <v>248</v>
      </c>
      <c r="AO326" s="783">
        <f t="shared" si="214"/>
        <v>7752</v>
      </c>
      <c r="AP326" s="808">
        <f t="shared" si="215"/>
        <v>7752</v>
      </c>
      <c r="AQ326" s="808">
        <f t="shared" si="216"/>
        <v>8000</v>
      </c>
      <c r="AR326" s="809">
        <f t="shared" si="217"/>
        <v>366</v>
      </c>
      <c r="AS326" s="809">
        <f t="shared" si="218"/>
        <v>762</v>
      </c>
      <c r="AT326" s="808">
        <f t="shared" si="219"/>
        <v>1010</v>
      </c>
      <c r="AU326" s="808">
        <f t="shared" si="220"/>
        <v>6990</v>
      </c>
    </row>
    <row r="327" spans="1:47" ht="15" customHeight="1" x14ac:dyDescent="0.25">
      <c r="A327" s="842" t="s">
        <v>133</v>
      </c>
      <c r="B327" s="852" t="s">
        <v>1299</v>
      </c>
      <c r="C327" s="778">
        <f t="shared" si="207"/>
        <v>9.5000000000000001E-2</v>
      </c>
      <c r="D327" s="844">
        <v>10</v>
      </c>
      <c r="E327" s="844" t="s">
        <v>677</v>
      </c>
      <c r="F327" s="853">
        <v>44784</v>
      </c>
      <c r="G327" s="781">
        <f t="shared" si="205"/>
        <v>44784</v>
      </c>
      <c r="H327" s="781">
        <f t="shared" si="206"/>
        <v>48434</v>
      </c>
      <c r="I327" s="854">
        <v>307400</v>
      </c>
      <c r="J327" s="783">
        <f t="shared" si="208"/>
        <v>15370</v>
      </c>
      <c r="K327" s="887"/>
      <c r="L327" s="790">
        <v>0</v>
      </c>
      <c r="M327" s="790">
        <v>0</v>
      </c>
      <c r="N327" s="790">
        <v>0</v>
      </c>
      <c r="O327" s="790">
        <v>0</v>
      </c>
      <c r="P327" s="790">
        <v>0</v>
      </c>
      <c r="Q327" s="790">
        <v>0</v>
      </c>
      <c r="R327" s="790"/>
      <c r="S327" s="790"/>
      <c r="T327" s="792"/>
      <c r="U327" s="792"/>
      <c r="V327" s="790"/>
      <c r="W327" s="790"/>
      <c r="X327" s="790"/>
      <c r="Y327" s="783"/>
      <c r="Z327" s="783"/>
      <c r="AA327" s="783"/>
      <c r="AB327" s="783"/>
      <c r="AC327" s="783"/>
      <c r="AD327" s="790"/>
      <c r="AE327" s="790"/>
      <c r="AF327" s="791"/>
      <c r="AG327" s="791"/>
      <c r="AH327" s="783"/>
      <c r="AI327" s="783"/>
      <c r="AJ327" s="790">
        <f t="shared" si="209"/>
        <v>0</v>
      </c>
      <c r="AK327" s="790">
        <f t="shared" si="210"/>
        <v>307400</v>
      </c>
      <c r="AL327" s="791">
        <f t="shared" si="211"/>
        <v>233</v>
      </c>
      <c r="AM327" s="791">
        <f t="shared" si="212"/>
        <v>18642</v>
      </c>
      <c r="AN327" s="783">
        <f t="shared" si="213"/>
        <v>18642</v>
      </c>
      <c r="AO327" s="783">
        <f t="shared" si="214"/>
        <v>288758</v>
      </c>
      <c r="AP327" s="808">
        <f t="shared" si="215"/>
        <v>288758</v>
      </c>
      <c r="AQ327" s="808">
        <f t="shared" si="216"/>
        <v>307400</v>
      </c>
      <c r="AR327" s="809">
        <f t="shared" si="217"/>
        <v>366</v>
      </c>
      <c r="AS327" s="809">
        <f t="shared" si="218"/>
        <v>29283</v>
      </c>
      <c r="AT327" s="808">
        <f t="shared" si="219"/>
        <v>47925</v>
      </c>
      <c r="AU327" s="808">
        <f t="shared" si="220"/>
        <v>259475</v>
      </c>
    </row>
    <row r="328" spans="1:47" ht="15" customHeight="1" x14ac:dyDescent="0.25">
      <c r="A328" s="856" t="s">
        <v>133</v>
      </c>
      <c r="B328" s="899" t="s">
        <v>1299</v>
      </c>
      <c r="C328" s="826">
        <f t="shared" si="207"/>
        <v>9.5000000000000001E-2</v>
      </c>
      <c r="D328" s="858">
        <v>10</v>
      </c>
      <c r="E328" s="858" t="s">
        <v>677</v>
      </c>
      <c r="F328" s="859">
        <v>44852</v>
      </c>
      <c r="G328" s="828">
        <f t="shared" si="205"/>
        <v>44852</v>
      </c>
      <c r="H328" s="828">
        <f t="shared" si="206"/>
        <v>48502</v>
      </c>
      <c r="I328" s="861">
        <v>28600</v>
      </c>
      <c r="J328" s="812">
        <f t="shared" si="208"/>
        <v>1430</v>
      </c>
      <c r="K328" s="887"/>
      <c r="L328" s="808">
        <v>0</v>
      </c>
      <c r="M328" s="808">
        <v>0</v>
      </c>
      <c r="N328" s="808">
        <v>0</v>
      </c>
      <c r="O328" s="808">
        <v>0</v>
      </c>
      <c r="P328" s="808">
        <v>0</v>
      </c>
      <c r="Q328" s="808">
        <v>0</v>
      </c>
      <c r="R328" s="808"/>
      <c r="S328" s="808"/>
      <c r="T328" s="917"/>
      <c r="U328" s="917"/>
      <c r="V328" s="808"/>
      <c r="W328" s="808"/>
      <c r="X328" s="808"/>
      <c r="Y328" s="812"/>
      <c r="Z328" s="812"/>
      <c r="AA328" s="812"/>
      <c r="AB328" s="812"/>
      <c r="AC328" s="812"/>
      <c r="AD328" s="808"/>
      <c r="AE328" s="808"/>
      <c r="AF328" s="809"/>
      <c r="AG328" s="809"/>
      <c r="AH328" s="812"/>
      <c r="AI328" s="812"/>
      <c r="AJ328" s="808">
        <f t="shared" si="209"/>
        <v>0</v>
      </c>
      <c r="AK328" s="808">
        <f t="shared" si="210"/>
        <v>28600</v>
      </c>
      <c r="AL328" s="809">
        <f t="shared" si="211"/>
        <v>165</v>
      </c>
      <c r="AM328" s="809">
        <f t="shared" si="212"/>
        <v>1228</v>
      </c>
      <c r="AN328" s="812">
        <f t="shared" si="213"/>
        <v>1228</v>
      </c>
      <c r="AO328" s="812">
        <f t="shared" si="214"/>
        <v>27372</v>
      </c>
      <c r="AP328" s="808">
        <f t="shared" si="215"/>
        <v>27372</v>
      </c>
      <c r="AQ328" s="808">
        <f t="shared" si="216"/>
        <v>28600</v>
      </c>
      <c r="AR328" s="809">
        <f t="shared" si="217"/>
        <v>366</v>
      </c>
      <c r="AS328" s="809">
        <f t="shared" si="218"/>
        <v>2724</v>
      </c>
      <c r="AT328" s="808">
        <f t="shared" si="219"/>
        <v>3952</v>
      </c>
      <c r="AU328" s="808">
        <f t="shared" si="220"/>
        <v>24648</v>
      </c>
    </row>
    <row r="329" spans="1:47" ht="15" customHeight="1" x14ac:dyDescent="0.25">
      <c r="A329" s="856" t="s">
        <v>133</v>
      </c>
      <c r="B329" s="822" t="s">
        <v>314</v>
      </c>
      <c r="C329" s="778">
        <f t="shared" si="207"/>
        <v>9.5000000000000001E-2</v>
      </c>
      <c r="D329" s="844">
        <v>10</v>
      </c>
      <c r="E329" s="844" t="s">
        <v>884</v>
      </c>
      <c r="F329" s="862">
        <v>45036</v>
      </c>
      <c r="G329" s="862">
        <v>45036</v>
      </c>
      <c r="H329" s="781">
        <f t="shared" si="206"/>
        <v>48686</v>
      </c>
      <c r="I329" s="901">
        <v>11356</v>
      </c>
      <c r="J329" s="783">
        <f t="shared" si="208"/>
        <v>567.80000000000007</v>
      </c>
      <c r="K329" s="790"/>
      <c r="L329" s="790"/>
      <c r="M329" s="790"/>
      <c r="N329" s="790"/>
      <c r="O329" s="790"/>
      <c r="P329" s="790"/>
      <c r="Q329" s="790"/>
      <c r="R329" s="790"/>
      <c r="S329" s="790"/>
      <c r="T329" s="792"/>
      <c r="U329" s="792"/>
      <c r="V329" s="790"/>
      <c r="W329" s="790"/>
      <c r="X329" s="790"/>
      <c r="Y329" s="926"/>
      <c r="Z329" s="783"/>
      <c r="AA329" s="783"/>
      <c r="AB329" s="783"/>
      <c r="AC329" s="783"/>
      <c r="AD329" s="790"/>
      <c r="AE329" s="790"/>
      <c r="AF329" s="791"/>
      <c r="AG329" s="791"/>
      <c r="AH329" s="783"/>
      <c r="AI329" s="783"/>
      <c r="AJ329" s="790"/>
      <c r="AK329" s="790"/>
      <c r="AL329" s="791"/>
      <c r="AM329" s="791"/>
      <c r="AN329" s="783"/>
      <c r="AO329" s="783"/>
      <c r="AP329" s="808">
        <f t="shared" si="215"/>
        <v>0</v>
      </c>
      <c r="AQ329" s="808">
        <f t="shared" si="216"/>
        <v>11356</v>
      </c>
      <c r="AR329" s="809">
        <f t="shared" si="217"/>
        <v>347</v>
      </c>
      <c r="AS329" s="809">
        <f t="shared" si="218"/>
        <v>1026</v>
      </c>
      <c r="AT329" s="808">
        <f t="shared" si="219"/>
        <v>1026</v>
      </c>
      <c r="AU329" s="808">
        <f t="shared" si="220"/>
        <v>10330</v>
      </c>
    </row>
    <row r="330" spans="1:47" ht="15" customHeight="1" x14ac:dyDescent="0.25">
      <c r="A330" s="856" t="s">
        <v>133</v>
      </c>
      <c r="B330" s="822" t="s">
        <v>314</v>
      </c>
      <c r="C330" s="778">
        <f t="shared" si="207"/>
        <v>9.5000000000000001E-2</v>
      </c>
      <c r="D330" s="844">
        <v>10</v>
      </c>
      <c r="E330" s="844" t="s">
        <v>884</v>
      </c>
      <c r="F330" s="862">
        <v>45110</v>
      </c>
      <c r="G330" s="862">
        <v>45110</v>
      </c>
      <c r="H330" s="781">
        <f t="shared" si="206"/>
        <v>48760</v>
      </c>
      <c r="I330" s="901">
        <v>9067</v>
      </c>
      <c r="J330" s="783">
        <f t="shared" si="208"/>
        <v>453.35</v>
      </c>
      <c r="K330" s="790"/>
      <c r="L330" s="790"/>
      <c r="M330" s="790"/>
      <c r="N330" s="790"/>
      <c r="O330" s="790"/>
      <c r="P330" s="790"/>
      <c r="Q330" s="790"/>
      <c r="R330" s="790"/>
      <c r="S330" s="790"/>
      <c r="T330" s="792"/>
      <c r="U330" s="792"/>
      <c r="V330" s="790"/>
      <c r="W330" s="790"/>
      <c r="X330" s="790"/>
      <c r="Y330" s="926"/>
      <c r="Z330" s="783"/>
      <c r="AA330" s="783"/>
      <c r="AB330" s="783"/>
      <c r="AC330" s="783"/>
      <c r="AD330" s="790"/>
      <c r="AE330" s="790"/>
      <c r="AF330" s="791"/>
      <c r="AG330" s="791"/>
      <c r="AH330" s="783"/>
      <c r="AI330" s="783"/>
      <c r="AJ330" s="790"/>
      <c r="AK330" s="790"/>
      <c r="AL330" s="791"/>
      <c r="AM330" s="791"/>
      <c r="AN330" s="783"/>
      <c r="AO330" s="783"/>
      <c r="AP330" s="808">
        <f t="shared" si="215"/>
        <v>0</v>
      </c>
      <c r="AQ330" s="808">
        <f t="shared" si="216"/>
        <v>9067</v>
      </c>
      <c r="AR330" s="809">
        <f t="shared" si="217"/>
        <v>273</v>
      </c>
      <c r="AS330" s="809">
        <f t="shared" si="218"/>
        <v>644</v>
      </c>
      <c r="AT330" s="808">
        <f t="shared" si="219"/>
        <v>644</v>
      </c>
      <c r="AU330" s="808">
        <f t="shared" si="220"/>
        <v>8423</v>
      </c>
    </row>
    <row r="331" spans="1:47" ht="15" customHeight="1" x14ac:dyDescent="0.25">
      <c r="A331" s="856" t="s">
        <v>133</v>
      </c>
      <c r="B331" s="822" t="s">
        <v>360</v>
      </c>
      <c r="C331" s="778">
        <f t="shared" si="207"/>
        <v>9.5000000000000001E-2</v>
      </c>
      <c r="D331" s="844">
        <v>10</v>
      </c>
      <c r="E331" s="844" t="s">
        <v>884</v>
      </c>
      <c r="F331" s="862">
        <v>45122</v>
      </c>
      <c r="G331" s="862">
        <v>45122</v>
      </c>
      <c r="H331" s="781">
        <f t="shared" si="206"/>
        <v>48772</v>
      </c>
      <c r="I331" s="901">
        <v>36800</v>
      </c>
      <c r="J331" s="783">
        <f t="shared" si="208"/>
        <v>1840</v>
      </c>
      <c r="K331" s="790"/>
      <c r="L331" s="790"/>
      <c r="M331" s="790"/>
      <c r="N331" s="790"/>
      <c r="O331" s="790"/>
      <c r="P331" s="790"/>
      <c r="Q331" s="790"/>
      <c r="R331" s="790"/>
      <c r="S331" s="790"/>
      <c r="T331" s="792"/>
      <c r="U331" s="792"/>
      <c r="V331" s="790"/>
      <c r="W331" s="790"/>
      <c r="X331" s="790"/>
      <c r="Y331" s="926"/>
      <c r="Z331" s="783"/>
      <c r="AA331" s="783"/>
      <c r="AB331" s="783"/>
      <c r="AC331" s="783"/>
      <c r="AD331" s="790"/>
      <c r="AE331" s="790"/>
      <c r="AF331" s="791"/>
      <c r="AG331" s="791"/>
      <c r="AH331" s="783"/>
      <c r="AI331" s="783"/>
      <c r="AJ331" s="790"/>
      <c r="AK331" s="790"/>
      <c r="AL331" s="791"/>
      <c r="AM331" s="791"/>
      <c r="AN331" s="783"/>
      <c r="AO331" s="783"/>
      <c r="AP331" s="808">
        <f t="shared" si="215"/>
        <v>0</v>
      </c>
      <c r="AQ331" s="808">
        <f t="shared" si="216"/>
        <v>36800</v>
      </c>
      <c r="AR331" s="809">
        <f t="shared" si="217"/>
        <v>261</v>
      </c>
      <c r="AS331" s="809">
        <f t="shared" si="218"/>
        <v>2500</v>
      </c>
      <c r="AT331" s="808">
        <f t="shared" si="219"/>
        <v>2500</v>
      </c>
      <c r="AU331" s="808">
        <f t="shared" si="220"/>
        <v>34300</v>
      </c>
    </row>
    <row r="332" spans="1:47" ht="15" customHeight="1" x14ac:dyDescent="0.25">
      <c r="A332" s="856" t="s">
        <v>133</v>
      </c>
      <c r="B332" s="822" t="s">
        <v>315</v>
      </c>
      <c r="C332" s="778">
        <f t="shared" si="207"/>
        <v>9.5000000000000001E-2</v>
      </c>
      <c r="D332" s="844">
        <v>10</v>
      </c>
      <c r="E332" s="844" t="s">
        <v>884</v>
      </c>
      <c r="F332" s="862">
        <v>45167</v>
      </c>
      <c r="G332" s="862">
        <v>45167</v>
      </c>
      <c r="H332" s="781">
        <f t="shared" si="206"/>
        <v>48817</v>
      </c>
      <c r="I332" s="901">
        <v>11760</v>
      </c>
      <c r="J332" s="783">
        <f t="shared" si="208"/>
        <v>588</v>
      </c>
      <c r="K332" s="790"/>
      <c r="L332" s="790"/>
      <c r="M332" s="790"/>
      <c r="N332" s="790"/>
      <c r="O332" s="790"/>
      <c r="P332" s="790"/>
      <c r="Q332" s="790"/>
      <c r="R332" s="790"/>
      <c r="S332" s="790"/>
      <c r="T332" s="792"/>
      <c r="U332" s="792"/>
      <c r="V332" s="790"/>
      <c r="W332" s="790"/>
      <c r="X332" s="790"/>
      <c r="Y332" s="926"/>
      <c r="Z332" s="783"/>
      <c r="AA332" s="783"/>
      <c r="AB332" s="783"/>
      <c r="AC332" s="783"/>
      <c r="AD332" s="790"/>
      <c r="AE332" s="790"/>
      <c r="AF332" s="791"/>
      <c r="AG332" s="791"/>
      <c r="AH332" s="783"/>
      <c r="AI332" s="783"/>
      <c r="AJ332" s="790"/>
      <c r="AK332" s="790"/>
      <c r="AL332" s="791"/>
      <c r="AM332" s="791"/>
      <c r="AN332" s="783"/>
      <c r="AO332" s="783"/>
      <c r="AP332" s="808">
        <f t="shared" si="215"/>
        <v>0</v>
      </c>
      <c r="AQ332" s="808">
        <f t="shared" si="216"/>
        <v>11760</v>
      </c>
      <c r="AR332" s="809">
        <f t="shared" si="217"/>
        <v>216</v>
      </c>
      <c r="AS332" s="809">
        <f t="shared" si="218"/>
        <v>661</v>
      </c>
      <c r="AT332" s="808">
        <f t="shared" si="219"/>
        <v>661</v>
      </c>
      <c r="AU332" s="808">
        <f t="shared" si="220"/>
        <v>11099</v>
      </c>
    </row>
    <row r="333" spans="1:47" ht="15" customHeight="1" x14ac:dyDescent="0.25">
      <c r="A333" s="856" t="s">
        <v>133</v>
      </c>
      <c r="B333" s="822" t="s">
        <v>314</v>
      </c>
      <c r="C333" s="778">
        <f t="shared" si="207"/>
        <v>9.5000000000000001E-2</v>
      </c>
      <c r="D333" s="844">
        <v>10</v>
      </c>
      <c r="E333" s="844" t="s">
        <v>884</v>
      </c>
      <c r="F333" s="862">
        <v>45176</v>
      </c>
      <c r="G333" s="862">
        <v>45176</v>
      </c>
      <c r="H333" s="781">
        <f t="shared" si="206"/>
        <v>48826</v>
      </c>
      <c r="I333" s="901">
        <v>325000</v>
      </c>
      <c r="J333" s="783">
        <f t="shared" si="208"/>
        <v>16250</v>
      </c>
      <c r="K333" s="790"/>
      <c r="L333" s="790"/>
      <c r="M333" s="790"/>
      <c r="N333" s="790"/>
      <c r="O333" s="790"/>
      <c r="P333" s="790"/>
      <c r="Q333" s="790"/>
      <c r="R333" s="790"/>
      <c r="S333" s="790"/>
      <c r="T333" s="792"/>
      <c r="U333" s="792"/>
      <c r="V333" s="790"/>
      <c r="W333" s="790"/>
      <c r="X333" s="790"/>
      <c r="Y333" s="926"/>
      <c r="Z333" s="783"/>
      <c r="AA333" s="783"/>
      <c r="AB333" s="783"/>
      <c r="AC333" s="783"/>
      <c r="AD333" s="790"/>
      <c r="AE333" s="790"/>
      <c r="AF333" s="791"/>
      <c r="AG333" s="791"/>
      <c r="AH333" s="783"/>
      <c r="AI333" s="783"/>
      <c r="AJ333" s="790"/>
      <c r="AK333" s="790"/>
      <c r="AL333" s="791"/>
      <c r="AM333" s="791"/>
      <c r="AN333" s="783"/>
      <c r="AO333" s="783"/>
      <c r="AP333" s="808">
        <f t="shared" si="215"/>
        <v>0</v>
      </c>
      <c r="AQ333" s="808">
        <f t="shared" si="216"/>
        <v>325000</v>
      </c>
      <c r="AR333" s="809">
        <f t="shared" si="217"/>
        <v>207</v>
      </c>
      <c r="AS333" s="809">
        <f t="shared" si="218"/>
        <v>17510</v>
      </c>
      <c r="AT333" s="808">
        <f t="shared" si="219"/>
        <v>17510</v>
      </c>
      <c r="AU333" s="808">
        <f t="shared" si="220"/>
        <v>307490</v>
      </c>
    </row>
    <row r="334" spans="1:47" ht="15" customHeight="1" x14ac:dyDescent="0.25">
      <c r="A334" s="856" t="s">
        <v>133</v>
      </c>
      <c r="B334" s="822" t="s">
        <v>517</v>
      </c>
      <c r="C334" s="778">
        <f t="shared" si="207"/>
        <v>9.5000000000000001E-2</v>
      </c>
      <c r="D334" s="844">
        <v>10</v>
      </c>
      <c r="E334" s="844" t="s">
        <v>884</v>
      </c>
      <c r="F334" s="862">
        <v>45283</v>
      </c>
      <c r="G334" s="862">
        <v>45283</v>
      </c>
      <c r="H334" s="781">
        <f t="shared" si="206"/>
        <v>48933</v>
      </c>
      <c r="I334" s="901">
        <v>323996</v>
      </c>
      <c r="J334" s="783">
        <f t="shared" si="208"/>
        <v>16199.800000000001</v>
      </c>
      <c r="K334" s="790"/>
      <c r="L334" s="790"/>
      <c r="M334" s="790"/>
      <c r="N334" s="790"/>
      <c r="O334" s="790"/>
      <c r="P334" s="790"/>
      <c r="Q334" s="790"/>
      <c r="R334" s="790"/>
      <c r="S334" s="790"/>
      <c r="T334" s="792"/>
      <c r="U334" s="792"/>
      <c r="V334" s="790"/>
      <c r="W334" s="790"/>
      <c r="X334" s="790"/>
      <c r="Y334" s="926"/>
      <c r="Z334" s="783"/>
      <c r="AA334" s="783"/>
      <c r="AB334" s="783"/>
      <c r="AC334" s="783"/>
      <c r="AD334" s="790"/>
      <c r="AE334" s="790"/>
      <c r="AF334" s="791"/>
      <c r="AG334" s="791"/>
      <c r="AH334" s="783"/>
      <c r="AI334" s="783"/>
      <c r="AJ334" s="790"/>
      <c r="AK334" s="790"/>
      <c r="AL334" s="791"/>
      <c r="AM334" s="791"/>
      <c r="AN334" s="783"/>
      <c r="AO334" s="783"/>
      <c r="AP334" s="808">
        <f t="shared" si="215"/>
        <v>0</v>
      </c>
      <c r="AQ334" s="808">
        <f t="shared" si="216"/>
        <v>323996</v>
      </c>
      <c r="AR334" s="809">
        <f t="shared" si="217"/>
        <v>100</v>
      </c>
      <c r="AS334" s="809">
        <f t="shared" si="218"/>
        <v>8433</v>
      </c>
      <c r="AT334" s="808">
        <f t="shared" si="219"/>
        <v>8433</v>
      </c>
      <c r="AU334" s="808">
        <f t="shared" si="220"/>
        <v>315563</v>
      </c>
    </row>
    <row r="335" spans="1:47" ht="15" customHeight="1" x14ac:dyDescent="0.25">
      <c r="A335" s="856" t="s">
        <v>133</v>
      </c>
      <c r="B335" s="822" t="s">
        <v>517</v>
      </c>
      <c r="C335" s="778">
        <f t="shared" si="207"/>
        <v>9.5000000000000001E-2</v>
      </c>
      <c r="D335" s="844">
        <v>10</v>
      </c>
      <c r="E335" s="844" t="s">
        <v>884</v>
      </c>
      <c r="F335" s="862">
        <v>45283</v>
      </c>
      <c r="G335" s="862">
        <v>45283</v>
      </c>
      <c r="H335" s="781">
        <f t="shared" si="206"/>
        <v>48933</v>
      </c>
      <c r="I335" s="901">
        <v>69000</v>
      </c>
      <c r="J335" s="783">
        <f t="shared" si="208"/>
        <v>3450</v>
      </c>
      <c r="K335" s="790"/>
      <c r="L335" s="790"/>
      <c r="M335" s="790"/>
      <c r="N335" s="790"/>
      <c r="O335" s="790"/>
      <c r="P335" s="790"/>
      <c r="Q335" s="790"/>
      <c r="R335" s="790"/>
      <c r="S335" s="790"/>
      <c r="T335" s="792"/>
      <c r="U335" s="792"/>
      <c r="V335" s="790"/>
      <c r="W335" s="790"/>
      <c r="X335" s="790"/>
      <c r="Y335" s="926"/>
      <c r="Z335" s="783"/>
      <c r="AA335" s="783"/>
      <c r="AB335" s="783"/>
      <c r="AC335" s="783"/>
      <c r="AD335" s="790"/>
      <c r="AE335" s="790"/>
      <c r="AF335" s="791"/>
      <c r="AG335" s="791"/>
      <c r="AH335" s="783"/>
      <c r="AI335" s="783"/>
      <c r="AJ335" s="790"/>
      <c r="AK335" s="790"/>
      <c r="AL335" s="791"/>
      <c r="AM335" s="791"/>
      <c r="AN335" s="783"/>
      <c r="AO335" s="783"/>
      <c r="AP335" s="808">
        <f t="shared" si="215"/>
        <v>0</v>
      </c>
      <c r="AQ335" s="808">
        <f t="shared" si="216"/>
        <v>69000</v>
      </c>
      <c r="AR335" s="809">
        <f t="shared" si="217"/>
        <v>100</v>
      </c>
      <c r="AS335" s="809">
        <f t="shared" si="218"/>
        <v>1796</v>
      </c>
      <c r="AT335" s="808">
        <f t="shared" si="219"/>
        <v>1796</v>
      </c>
      <c r="AU335" s="808">
        <f t="shared" si="220"/>
        <v>67204</v>
      </c>
    </row>
    <row r="336" spans="1:47" ht="15" customHeight="1" x14ac:dyDescent="0.25">
      <c r="A336" s="856" t="s">
        <v>133</v>
      </c>
      <c r="B336" s="822" t="s">
        <v>314</v>
      </c>
      <c r="C336" s="778">
        <f t="shared" si="207"/>
        <v>9.5000000000000001E-2</v>
      </c>
      <c r="D336" s="844">
        <v>10</v>
      </c>
      <c r="E336" s="844" t="s">
        <v>884</v>
      </c>
      <c r="F336" s="862">
        <v>45299</v>
      </c>
      <c r="G336" s="862">
        <v>45299</v>
      </c>
      <c r="H336" s="781">
        <f t="shared" si="206"/>
        <v>48949</v>
      </c>
      <c r="I336" s="901">
        <v>15500</v>
      </c>
      <c r="J336" s="783">
        <f t="shared" si="208"/>
        <v>775</v>
      </c>
      <c r="K336" s="790"/>
      <c r="L336" s="790"/>
      <c r="M336" s="790"/>
      <c r="N336" s="790"/>
      <c r="O336" s="790"/>
      <c r="P336" s="790"/>
      <c r="Q336" s="790"/>
      <c r="R336" s="790"/>
      <c r="S336" s="790"/>
      <c r="T336" s="792"/>
      <c r="U336" s="792"/>
      <c r="V336" s="790"/>
      <c r="W336" s="790"/>
      <c r="X336" s="790"/>
      <c r="Y336" s="926"/>
      <c r="Z336" s="783"/>
      <c r="AA336" s="783"/>
      <c r="AB336" s="783"/>
      <c r="AC336" s="783"/>
      <c r="AD336" s="790"/>
      <c r="AE336" s="790"/>
      <c r="AF336" s="791"/>
      <c r="AG336" s="791"/>
      <c r="AH336" s="783"/>
      <c r="AI336" s="783"/>
      <c r="AJ336" s="790"/>
      <c r="AK336" s="790"/>
      <c r="AL336" s="791"/>
      <c r="AM336" s="791"/>
      <c r="AN336" s="783"/>
      <c r="AO336" s="783"/>
      <c r="AP336" s="808">
        <f t="shared" si="215"/>
        <v>0</v>
      </c>
      <c r="AQ336" s="808">
        <f t="shared" si="216"/>
        <v>15500</v>
      </c>
      <c r="AR336" s="809">
        <f t="shared" si="217"/>
        <v>84</v>
      </c>
      <c r="AS336" s="809">
        <f t="shared" si="218"/>
        <v>339</v>
      </c>
      <c r="AT336" s="808">
        <f t="shared" si="219"/>
        <v>339</v>
      </c>
      <c r="AU336" s="808">
        <f t="shared" si="220"/>
        <v>15161</v>
      </c>
    </row>
    <row r="337" spans="1:47" ht="15" customHeight="1" x14ac:dyDescent="0.25">
      <c r="A337" s="856" t="s">
        <v>133</v>
      </c>
      <c r="B337" s="822" t="s">
        <v>517</v>
      </c>
      <c r="C337" s="778">
        <f t="shared" si="207"/>
        <v>9.5000000000000001E-2</v>
      </c>
      <c r="D337" s="844">
        <v>10</v>
      </c>
      <c r="E337" s="844" t="s">
        <v>884</v>
      </c>
      <c r="F337" s="862">
        <v>45302</v>
      </c>
      <c r="G337" s="862">
        <v>45302</v>
      </c>
      <c r="H337" s="781">
        <f t="shared" si="206"/>
        <v>48952</v>
      </c>
      <c r="I337" s="901">
        <v>151000</v>
      </c>
      <c r="J337" s="783">
        <f t="shared" si="208"/>
        <v>7550</v>
      </c>
      <c r="K337" s="790"/>
      <c r="L337" s="790"/>
      <c r="M337" s="790"/>
      <c r="N337" s="790"/>
      <c r="O337" s="790"/>
      <c r="P337" s="790"/>
      <c r="Q337" s="790"/>
      <c r="R337" s="790"/>
      <c r="S337" s="790"/>
      <c r="T337" s="792"/>
      <c r="U337" s="792"/>
      <c r="V337" s="790"/>
      <c r="W337" s="790"/>
      <c r="X337" s="790"/>
      <c r="Y337" s="926"/>
      <c r="Z337" s="783"/>
      <c r="AA337" s="783"/>
      <c r="AB337" s="783"/>
      <c r="AC337" s="783"/>
      <c r="AD337" s="790"/>
      <c r="AE337" s="790"/>
      <c r="AF337" s="791"/>
      <c r="AG337" s="791"/>
      <c r="AH337" s="783"/>
      <c r="AI337" s="783"/>
      <c r="AJ337" s="790"/>
      <c r="AK337" s="790"/>
      <c r="AL337" s="791"/>
      <c r="AM337" s="791"/>
      <c r="AN337" s="783"/>
      <c r="AO337" s="783"/>
      <c r="AP337" s="808">
        <f t="shared" si="215"/>
        <v>0</v>
      </c>
      <c r="AQ337" s="808">
        <f t="shared" si="216"/>
        <v>151000</v>
      </c>
      <c r="AR337" s="809">
        <f t="shared" si="217"/>
        <v>81</v>
      </c>
      <c r="AS337" s="809">
        <f t="shared" si="218"/>
        <v>3183</v>
      </c>
      <c r="AT337" s="808">
        <f t="shared" si="219"/>
        <v>3183</v>
      </c>
      <c r="AU337" s="808">
        <f t="shared" si="220"/>
        <v>147817</v>
      </c>
    </row>
    <row r="338" spans="1:47" ht="15" customHeight="1" x14ac:dyDescent="0.25">
      <c r="A338" s="856" t="s">
        <v>133</v>
      </c>
      <c r="B338" s="822" t="s">
        <v>497</v>
      </c>
      <c r="C338" s="778">
        <f t="shared" si="207"/>
        <v>9.5000000000000001E-2</v>
      </c>
      <c r="D338" s="844">
        <v>10</v>
      </c>
      <c r="E338" s="844" t="s">
        <v>884</v>
      </c>
      <c r="F338" s="862">
        <v>45303</v>
      </c>
      <c r="G338" s="862">
        <v>45303</v>
      </c>
      <c r="H338" s="781">
        <f t="shared" si="206"/>
        <v>48953</v>
      </c>
      <c r="I338" s="901">
        <v>350000</v>
      </c>
      <c r="J338" s="783">
        <f t="shared" si="208"/>
        <v>17500</v>
      </c>
      <c r="K338" s="790"/>
      <c r="L338" s="790"/>
      <c r="M338" s="790"/>
      <c r="N338" s="790"/>
      <c r="O338" s="790"/>
      <c r="P338" s="790"/>
      <c r="Q338" s="790"/>
      <c r="R338" s="790"/>
      <c r="S338" s="790"/>
      <c r="T338" s="792"/>
      <c r="U338" s="792"/>
      <c r="V338" s="790"/>
      <c r="W338" s="790"/>
      <c r="X338" s="790"/>
      <c r="Y338" s="926"/>
      <c r="Z338" s="783"/>
      <c r="AA338" s="783"/>
      <c r="AB338" s="783"/>
      <c r="AC338" s="783"/>
      <c r="AD338" s="790"/>
      <c r="AE338" s="790"/>
      <c r="AF338" s="791"/>
      <c r="AG338" s="791"/>
      <c r="AH338" s="783"/>
      <c r="AI338" s="783"/>
      <c r="AJ338" s="790"/>
      <c r="AK338" s="790"/>
      <c r="AL338" s="791"/>
      <c r="AM338" s="791"/>
      <c r="AN338" s="783"/>
      <c r="AO338" s="783"/>
      <c r="AP338" s="808">
        <f t="shared" si="215"/>
        <v>0</v>
      </c>
      <c r="AQ338" s="808">
        <f t="shared" si="216"/>
        <v>350000</v>
      </c>
      <c r="AR338" s="809">
        <f t="shared" si="217"/>
        <v>80</v>
      </c>
      <c r="AS338" s="809">
        <f t="shared" si="218"/>
        <v>7288</v>
      </c>
      <c r="AT338" s="808">
        <f t="shared" si="219"/>
        <v>7288</v>
      </c>
      <c r="AU338" s="808">
        <f t="shared" si="220"/>
        <v>342712</v>
      </c>
    </row>
    <row r="339" spans="1:47" ht="15" customHeight="1" x14ac:dyDescent="0.25">
      <c r="A339" s="856" t="s">
        <v>133</v>
      </c>
      <c r="B339" s="822" t="s">
        <v>524</v>
      </c>
      <c r="C339" s="778">
        <f t="shared" si="207"/>
        <v>9.5000000000000001E-2</v>
      </c>
      <c r="D339" s="844">
        <v>10</v>
      </c>
      <c r="E339" s="844" t="s">
        <v>884</v>
      </c>
      <c r="F339" s="862">
        <v>45316</v>
      </c>
      <c r="G339" s="862">
        <v>45316</v>
      </c>
      <c r="H339" s="781">
        <f t="shared" si="206"/>
        <v>48966</v>
      </c>
      <c r="I339" s="901">
        <v>720000</v>
      </c>
      <c r="J339" s="783">
        <f t="shared" si="208"/>
        <v>36000</v>
      </c>
      <c r="K339" s="790"/>
      <c r="L339" s="790"/>
      <c r="M339" s="790"/>
      <c r="N339" s="790"/>
      <c r="O339" s="790"/>
      <c r="P339" s="790"/>
      <c r="Q339" s="790"/>
      <c r="R339" s="790"/>
      <c r="S339" s="790"/>
      <c r="T339" s="792"/>
      <c r="U339" s="792"/>
      <c r="V339" s="790"/>
      <c r="W339" s="790"/>
      <c r="X339" s="790"/>
      <c r="Y339" s="926"/>
      <c r="Z339" s="783"/>
      <c r="AA339" s="783"/>
      <c r="AB339" s="783"/>
      <c r="AC339" s="783"/>
      <c r="AD339" s="790"/>
      <c r="AE339" s="790"/>
      <c r="AF339" s="791"/>
      <c r="AG339" s="791"/>
      <c r="AH339" s="783"/>
      <c r="AI339" s="783"/>
      <c r="AJ339" s="790"/>
      <c r="AK339" s="790"/>
      <c r="AL339" s="791"/>
      <c r="AM339" s="791"/>
      <c r="AN339" s="783"/>
      <c r="AO339" s="783"/>
      <c r="AP339" s="808">
        <f t="shared" si="215"/>
        <v>0</v>
      </c>
      <c r="AQ339" s="808">
        <f t="shared" si="216"/>
        <v>720000</v>
      </c>
      <c r="AR339" s="809">
        <f t="shared" si="217"/>
        <v>67</v>
      </c>
      <c r="AS339" s="809">
        <f t="shared" si="218"/>
        <v>12556</v>
      </c>
      <c r="AT339" s="808">
        <f t="shared" si="219"/>
        <v>12556</v>
      </c>
      <c r="AU339" s="808">
        <f t="shared" si="220"/>
        <v>707444</v>
      </c>
    </row>
    <row r="340" spans="1:47" ht="15" customHeight="1" x14ac:dyDescent="0.25">
      <c r="A340" s="856" t="s">
        <v>133</v>
      </c>
      <c r="B340" s="822" t="s">
        <v>524</v>
      </c>
      <c r="C340" s="778">
        <f t="shared" si="207"/>
        <v>9.5000000000000001E-2</v>
      </c>
      <c r="D340" s="844">
        <v>10</v>
      </c>
      <c r="E340" s="844" t="s">
        <v>884</v>
      </c>
      <c r="F340" s="862">
        <v>45321</v>
      </c>
      <c r="G340" s="862">
        <v>45321</v>
      </c>
      <c r="H340" s="781">
        <f t="shared" si="206"/>
        <v>48971</v>
      </c>
      <c r="I340" s="901">
        <v>140000</v>
      </c>
      <c r="J340" s="783">
        <f t="shared" si="208"/>
        <v>7000</v>
      </c>
      <c r="K340" s="790"/>
      <c r="L340" s="790"/>
      <c r="M340" s="790"/>
      <c r="N340" s="790"/>
      <c r="O340" s="790"/>
      <c r="P340" s="790"/>
      <c r="Q340" s="790"/>
      <c r="R340" s="790"/>
      <c r="S340" s="790"/>
      <c r="T340" s="792"/>
      <c r="U340" s="792"/>
      <c r="V340" s="790"/>
      <c r="W340" s="790"/>
      <c r="X340" s="790"/>
      <c r="Y340" s="926"/>
      <c r="Z340" s="783"/>
      <c r="AA340" s="783"/>
      <c r="AB340" s="783"/>
      <c r="AC340" s="783"/>
      <c r="AD340" s="790"/>
      <c r="AE340" s="790"/>
      <c r="AF340" s="791"/>
      <c r="AG340" s="791"/>
      <c r="AH340" s="783"/>
      <c r="AI340" s="783"/>
      <c r="AJ340" s="790"/>
      <c r="AK340" s="790"/>
      <c r="AL340" s="791"/>
      <c r="AM340" s="791"/>
      <c r="AN340" s="783"/>
      <c r="AO340" s="783"/>
      <c r="AP340" s="808">
        <f t="shared" si="215"/>
        <v>0</v>
      </c>
      <c r="AQ340" s="808">
        <f t="shared" si="216"/>
        <v>140000</v>
      </c>
      <c r="AR340" s="809">
        <f t="shared" si="217"/>
        <v>62</v>
      </c>
      <c r="AS340" s="809">
        <f t="shared" si="218"/>
        <v>2259</v>
      </c>
      <c r="AT340" s="808">
        <f t="shared" si="219"/>
        <v>2259</v>
      </c>
      <c r="AU340" s="808">
        <f t="shared" si="220"/>
        <v>137741</v>
      </c>
    </row>
    <row r="341" spans="1:47" ht="15" customHeight="1" x14ac:dyDescent="0.25">
      <c r="A341" s="856" t="s">
        <v>133</v>
      </c>
      <c r="B341" s="822" t="s">
        <v>314</v>
      </c>
      <c r="C341" s="778">
        <f t="shared" si="207"/>
        <v>9.5000000000000001E-2</v>
      </c>
      <c r="D341" s="844">
        <v>10</v>
      </c>
      <c r="E341" s="844" t="s">
        <v>884</v>
      </c>
      <c r="F341" s="814">
        <v>45329</v>
      </c>
      <c r="G341" s="814">
        <v>45329</v>
      </c>
      <c r="H341" s="781">
        <f t="shared" si="206"/>
        <v>48979</v>
      </c>
      <c r="I341" s="901">
        <v>57000</v>
      </c>
      <c r="J341" s="783">
        <f t="shared" si="208"/>
        <v>2850</v>
      </c>
      <c r="K341" s="790"/>
      <c r="L341" s="790"/>
      <c r="M341" s="789"/>
      <c r="N341" s="790"/>
      <c r="O341" s="790"/>
      <c r="P341" s="790"/>
      <c r="Q341" s="790"/>
      <c r="R341" s="790"/>
      <c r="S341" s="790"/>
      <c r="T341" s="792"/>
      <c r="U341" s="792"/>
      <c r="V341" s="790"/>
      <c r="W341" s="790"/>
      <c r="X341" s="790"/>
      <c r="Y341" s="783"/>
      <c r="Z341" s="783"/>
      <c r="AA341" s="783"/>
      <c r="AB341" s="783"/>
      <c r="AC341" s="783"/>
      <c r="AD341" s="790"/>
      <c r="AE341" s="790"/>
      <c r="AF341" s="791"/>
      <c r="AG341" s="791"/>
      <c r="AH341" s="783"/>
      <c r="AI341" s="783"/>
      <c r="AJ341" s="790"/>
      <c r="AK341" s="790"/>
      <c r="AL341" s="791"/>
      <c r="AM341" s="791"/>
      <c r="AN341" s="783"/>
      <c r="AO341" s="783"/>
      <c r="AP341" s="808">
        <f t="shared" si="215"/>
        <v>0</v>
      </c>
      <c r="AQ341" s="808">
        <f t="shared" si="216"/>
        <v>57000</v>
      </c>
      <c r="AR341" s="809">
        <f t="shared" si="217"/>
        <v>54</v>
      </c>
      <c r="AS341" s="809">
        <f t="shared" si="218"/>
        <v>801</v>
      </c>
      <c r="AT341" s="808">
        <f t="shared" si="219"/>
        <v>801</v>
      </c>
      <c r="AU341" s="808">
        <f t="shared" si="220"/>
        <v>56199</v>
      </c>
    </row>
    <row r="342" spans="1:47" ht="15" customHeight="1" x14ac:dyDescent="0.25">
      <c r="A342" s="856" t="s">
        <v>133</v>
      </c>
      <c r="B342" s="822" t="s">
        <v>1300</v>
      </c>
      <c r="C342" s="778">
        <f t="shared" si="207"/>
        <v>9.5000000000000001E-2</v>
      </c>
      <c r="D342" s="844">
        <v>10</v>
      </c>
      <c r="E342" s="844" t="s">
        <v>884</v>
      </c>
      <c r="F342" s="814">
        <v>45335</v>
      </c>
      <c r="G342" s="814">
        <v>45335</v>
      </c>
      <c r="H342" s="781">
        <f t="shared" si="206"/>
        <v>48985</v>
      </c>
      <c r="I342" s="901">
        <v>53540</v>
      </c>
      <c r="J342" s="783">
        <f t="shared" si="208"/>
        <v>2677</v>
      </c>
      <c r="K342" s="790"/>
      <c r="L342" s="790"/>
      <c r="M342" s="789"/>
      <c r="N342" s="790"/>
      <c r="O342" s="790"/>
      <c r="P342" s="790"/>
      <c r="Q342" s="790"/>
      <c r="R342" s="790"/>
      <c r="S342" s="790"/>
      <c r="T342" s="792"/>
      <c r="U342" s="792"/>
      <c r="V342" s="790"/>
      <c r="W342" s="790"/>
      <c r="X342" s="790"/>
      <c r="Y342" s="783"/>
      <c r="Z342" s="783"/>
      <c r="AA342" s="783"/>
      <c r="AB342" s="783"/>
      <c r="AC342" s="783"/>
      <c r="AD342" s="790"/>
      <c r="AE342" s="790"/>
      <c r="AF342" s="791"/>
      <c r="AG342" s="791"/>
      <c r="AH342" s="783"/>
      <c r="AI342" s="783"/>
      <c r="AJ342" s="790"/>
      <c r="AK342" s="790"/>
      <c r="AL342" s="791"/>
      <c r="AM342" s="791"/>
      <c r="AN342" s="783"/>
      <c r="AO342" s="783"/>
      <c r="AP342" s="808">
        <f t="shared" si="215"/>
        <v>0</v>
      </c>
      <c r="AQ342" s="808">
        <f t="shared" si="216"/>
        <v>53540</v>
      </c>
      <c r="AR342" s="809">
        <f t="shared" si="217"/>
        <v>48</v>
      </c>
      <c r="AS342" s="809">
        <f t="shared" si="218"/>
        <v>669</v>
      </c>
      <c r="AT342" s="808">
        <f t="shared" si="219"/>
        <v>669</v>
      </c>
      <c r="AU342" s="808">
        <f t="shared" si="220"/>
        <v>52871</v>
      </c>
    </row>
    <row r="343" spans="1:47" ht="15" customHeight="1" x14ac:dyDescent="0.25">
      <c r="A343" s="856" t="s">
        <v>133</v>
      </c>
      <c r="B343" s="822" t="s">
        <v>497</v>
      </c>
      <c r="C343" s="778">
        <f t="shared" si="207"/>
        <v>9.5000000000000001E-2</v>
      </c>
      <c r="D343" s="844">
        <v>10</v>
      </c>
      <c r="E343" s="844" t="s">
        <v>884</v>
      </c>
      <c r="F343" s="814">
        <v>45339</v>
      </c>
      <c r="G343" s="814">
        <v>45339</v>
      </c>
      <c r="H343" s="781">
        <f t="shared" si="206"/>
        <v>48989</v>
      </c>
      <c r="I343" s="901">
        <v>35810</v>
      </c>
      <c r="J343" s="783">
        <f t="shared" si="208"/>
        <v>1790.5</v>
      </c>
      <c r="K343" s="790"/>
      <c r="L343" s="790"/>
      <c r="M343" s="789"/>
      <c r="N343" s="790"/>
      <c r="O343" s="790"/>
      <c r="P343" s="790"/>
      <c r="Q343" s="790"/>
      <c r="R343" s="790"/>
      <c r="S343" s="790"/>
      <c r="T343" s="792"/>
      <c r="U343" s="792"/>
      <c r="V343" s="790"/>
      <c r="W343" s="790"/>
      <c r="X343" s="790"/>
      <c r="Y343" s="783"/>
      <c r="Z343" s="783"/>
      <c r="AA343" s="783"/>
      <c r="AB343" s="783"/>
      <c r="AC343" s="783"/>
      <c r="AD343" s="790"/>
      <c r="AE343" s="790"/>
      <c r="AF343" s="791"/>
      <c r="AG343" s="791"/>
      <c r="AH343" s="783"/>
      <c r="AI343" s="783"/>
      <c r="AJ343" s="790"/>
      <c r="AK343" s="790"/>
      <c r="AL343" s="791"/>
      <c r="AM343" s="791"/>
      <c r="AN343" s="783"/>
      <c r="AO343" s="783"/>
      <c r="AP343" s="808">
        <f t="shared" si="215"/>
        <v>0</v>
      </c>
      <c r="AQ343" s="808">
        <f t="shared" si="216"/>
        <v>35810</v>
      </c>
      <c r="AR343" s="809">
        <f t="shared" si="217"/>
        <v>44</v>
      </c>
      <c r="AS343" s="809">
        <f t="shared" si="218"/>
        <v>410</v>
      </c>
      <c r="AT343" s="808">
        <f t="shared" si="219"/>
        <v>410</v>
      </c>
      <c r="AU343" s="808">
        <f t="shared" si="220"/>
        <v>35400</v>
      </c>
    </row>
    <row r="344" spans="1:47" ht="15" customHeight="1" x14ac:dyDescent="0.25">
      <c r="A344" s="856" t="s">
        <v>133</v>
      </c>
      <c r="B344" s="822" t="s">
        <v>360</v>
      </c>
      <c r="C344" s="778">
        <f t="shared" si="207"/>
        <v>9.5000000000000001E-2</v>
      </c>
      <c r="D344" s="844">
        <v>10</v>
      </c>
      <c r="E344" s="844" t="s">
        <v>884</v>
      </c>
      <c r="F344" s="814">
        <v>45341</v>
      </c>
      <c r="G344" s="814">
        <v>45341</v>
      </c>
      <c r="H344" s="781">
        <f t="shared" si="206"/>
        <v>48991</v>
      </c>
      <c r="I344" s="901">
        <v>35200</v>
      </c>
      <c r="J344" s="783">
        <f t="shared" si="208"/>
        <v>1760</v>
      </c>
      <c r="K344" s="790"/>
      <c r="L344" s="790"/>
      <c r="M344" s="789"/>
      <c r="N344" s="790"/>
      <c r="O344" s="790"/>
      <c r="P344" s="790"/>
      <c r="Q344" s="790"/>
      <c r="R344" s="790"/>
      <c r="S344" s="790"/>
      <c r="T344" s="792"/>
      <c r="U344" s="792"/>
      <c r="V344" s="790"/>
      <c r="W344" s="790"/>
      <c r="X344" s="790"/>
      <c r="Y344" s="783"/>
      <c r="Z344" s="783"/>
      <c r="AA344" s="783"/>
      <c r="AB344" s="783"/>
      <c r="AC344" s="783"/>
      <c r="AD344" s="790"/>
      <c r="AE344" s="790"/>
      <c r="AF344" s="791"/>
      <c r="AG344" s="791"/>
      <c r="AH344" s="783"/>
      <c r="AI344" s="783"/>
      <c r="AJ344" s="790"/>
      <c r="AK344" s="790"/>
      <c r="AL344" s="791"/>
      <c r="AM344" s="791"/>
      <c r="AN344" s="783"/>
      <c r="AO344" s="783"/>
      <c r="AP344" s="808">
        <f t="shared" si="215"/>
        <v>0</v>
      </c>
      <c r="AQ344" s="808">
        <f t="shared" si="216"/>
        <v>35200</v>
      </c>
      <c r="AR344" s="809">
        <f t="shared" si="217"/>
        <v>42</v>
      </c>
      <c r="AS344" s="809">
        <f t="shared" si="218"/>
        <v>385</v>
      </c>
      <c r="AT344" s="808">
        <f t="shared" si="219"/>
        <v>385</v>
      </c>
      <c r="AU344" s="808">
        <f t="shared" si="220"/>
        <v>34815</v>
      </c>
    </row>
    <row r="345" spans="1:47" ht="15" customHeight="1" x14ac:dyDescent="0.25">
      <c r="A345" s="856" t="s">
        <v>133</v>
      </c>
      <c r="B345" s="822" t="s">
        <v>314</v>
      </c>
      <c r="C345" s="778">
        <f t="shared" si="207"/>
        <v>9.5000000000000001E-2</v>
      </c>
      <c r="D345" s="844">
        <v>10</v>
      </c>
      <c r="E345" s="844" t="s">
        <v>884</v>
      </c>
      <c r="F345" s="814">
        <v>45342</v>
      </c>
      <c r="G345" s="814">
        <v>45342</v>
      </c>
      <c r="H345" s="781">
        <f t="shared" si="206"/>
        <v>48992</v>
      </c>
      <c r="I345" s="901">
        <v>3710</v>
      </c>
      <c r="J345" s="783">
        <f t="shared" si="208"/>
        <v>185.5</v>
      </c>
      <c r="K345" s="790"/>
      <c r="L345" s="790"/>
      <c r="M345" s="789"/>
      <c r="N345" s="790"/>
      <c r="O345" s="790"/>
      <c r="P345" s="790"/>
      <c r="Q345" s="790"/>
      <c r="R345" s="790"/>
      <c r="S345" s="790"/>
      <c r="T345" s="792"/>
      <c r="U345" s="792"/>
      <c r="V345" s="790"/>
      <c r="W345" s="790"/>
      <c r="X345" s="790"/>
      <c r="Y345" s="783"/>
      <c r="Z345" s="783"/>
      <c r="AA345" s="783"/>
      <c r="AB345" s="783"/>
      <c r="AC345" s="783"/>
      <c r="AD345" s="790"/>
      <c r="AE345" s="790"/>
      <c r="AF345" s="791"/>
      <c r="AG345" s="791"/>
      <c r="AH345" s="783"/>
      <c r="AI345" s="783"/>
      <c r="AJ345" s="790"/>
      <c r="AK345" s="790"/>
      <c r="AL345" s="791"/>
      <c r="AM345" s="791"/>
      <c r="AN345" s="783"/>
      <c r="AO345" s="783"/>
      <c r="AP345" s="808">
        <f t="shared" si="215"/>
        <v>0</v>
      </c>
      <c r="AQ345" s="808">
        <f t="shared" si="216"/>
        <v>3710</v>
      </c>
      <c r="AR345" s="809">
        <f t="shared" si="217"/>
        <v>41</v>
      </c>
      <c r="AS345" s="809">
        <f t="shared" si="218"/>
        <v>40</v>
      </c>
      <c r="AT345" s="808">
        <f t="shared" si="219"/>
        <v>40</v>
      </c>
      <c r="AU345" s="808">
        <f t="shared" si="220"/>
        <v>3670</v>
      </c>
    </row>
    <row r="346" spans="1:47" ht="15" customHeight="1" x14ac:dyDescent="0.25">
      <c r="A346" s="856" t="s">
        <v>133</v>
      </c>
      <c r="B346" s="822" t="s">
        <v>314</v>
      </c>
      <c r="C346" s="778">
        <f t="shared" si="207"/>
        <v>9.5000000000000001E-2</v>
      </c>
      <c r="D346" s="844">
        <v>10</v>
      </c>
      <c r="E346" s="844" t="s">
        <v>884</v>
      </c>
      <c r="F346" s="814">
        <v>45342</v>
      </c>
      <c r="G346" s="814">
        <v>45342</v>
      </c>
      <c r="H346" s="781">
        <f t="shared" si="206"/>
        <v>48992</v>
      </c>
      <c r="I346" s="901">
        <v>3710</v>
      </c>
      <c r="J346" s="783">
        <f t="shared" si="208"/>
        <v>185.5</v>
      </c>
      <c r="K346" s="790"/>
      <c r="L346" s="790"/>
      <c r="M346" s="789"/>
      <c r="N346" s="790"/>
      <c r="O346" s="790"/>
      <c r="P346" s="790"/>
      <c r="Q346" s="790"/>
      <c r="R346" s="790"/>
      <c r="S346" s="790"/>
      <c r="T346" s="792"/>
      <c r="U346" s="792"/>
      <c r="V346" s="790"/>
      <c r="W346" s="790"/>
      <c r="X346" s="790"/>
      <c r="Y346" s="783"/>
      <c r="Z346" s="783"/>
      <c r="AA346" s="783"/>
      <c r="AB346" s="783"/>
      <c r="AC346" s="783"/>
      <c r="AD346" s="790"/>
      <c r="AE346" s="790"/>
      <c r="AF346" s="791"/>
      <c r="AG346" s="791"/>
      <c r="AH346" s="783"/>
      <c r="AI346" s="783"/>
      <c r="AJ346" s="790"/>
      <c r="AK346" s="790"/>
      <c r="AL346" s="791"/>
      <c r="AM346" s="791"/>
      <c r="AN346" s="783"/>
      <c r="AO346" s="783"/>
      <c r="AP346" s="808">
        <f t="shared" si="215"/>
        <v>0</v>
      </c>
      <c r="AQ346" s="808">
        <f t="shared" si="216"/>
        <v>3710</v>
      </c>
      <c r="AR346" s="809">
        <f t="shared" si="217"/>
        <v>41</v>
      </c>
      <c r="AS346" s="809">
        <f t="shared" si="218"/>
        <v>40</v>
      </c>
      <c r="AT346" s="808">
        <f t="shared" si="219"/>
        <v>40</v>
      </c>
      <c r="AU346" s="808">
        <f t="shared" si="220"/>
        <v>3670</v>
      </c>
    </row>
    <row r="347" spans="1:47" ht="15" customHeight="1" x14ac:dyDescent="0.25">
      <c r="A347" s="856" t="s">
        <v>133</v>
      </c>
      <c r="B347" s="822" t="s">
        <v>314</v>
      </c>
      <c r="C347" s="778">
        <f t="shared" si="207"/>
        <v>9.5000000000000001E-2</v>
      </c>
      <c r="D347" s="844">
        <v>10</v>
      </c>
      <c r="E347" s="844" t="s">
        <v>884</v>
      </c>
      <c r="F347" s="814">
        <v>45346</v>
      </c>
      <c r="G347" s="814">
        <v>45346</v>
      </c>
      <c r="H347" s="781">
        <f t="shared" si="206"/>
        <v>48996</v>
      </c>
      <c r="I347" s="901">
        <v>5136</v>
      </c>
      <c r="J347" s="783">
        <f t="shared" si="208"/>
        <v>256.8</v>
      </c>
      <c r="K347" s="790"/>
      <c r="L347" s="790"/>
      <c r="M347" s="789"/>
      <c r="N347" s="790"/>
      <c r="O347" s="790"/>
      <c r="P347" s="790"/>
      <c r="Q347" s="790"/>
      <c r="R347" s="790"/>
      <c r="S347" s="790"/>
      <c r="T347" s="792"/>
      <c r="U347" s="792"/>
      <c r="V347" s="790"/>
      <c r="W347" s="790"/>
      <c r="X347" s="790"/>
      <c r="Y347" s="783"/>
      <c r="Z347" s="783"/>
      <c r="AA347" s="783"/>
      <c r="AB347" s="783"/>
      <c r="AC347" s="783"/>
      <c r="AD347" s="790"/>
      <c r="AE347" s="790"/>
      <c r="AF347" s="791"/>
      <c r="AG347" s="791"/>
      <c r="AH347" s="783"/>
      <c r="AI347" s="783"/>
      <c r="AJ347" s="790"/>
      <c r="AK347" s="790"/>
      <c r="AL347" s="791"/>
      <c r="AM347" s="791"/>
      <c r="AN347" s="783"/>
      <c r="AO347" s="783"/>
      <c r="AP347" s="808">
        <f t="shared" si="215"/>
        <v>0</v>
      </c>
      <c r="AQ347" s="808">
        <f t="shared" si="216"/>
        <v>5136</v>
      </c>
      <c r="AR347" s="809">
        <f t="shared" si="217"/>
        <v>37</v>
      </c>
      <c r="AS347" s="809">
        <f t="shared" si="218"/>
        <v>49</v>
      </c>
      <c r="AT347" s="808">
        <f t="shared" si="219"/>
        <v>49</v>
      </c>
      <c r="AU347" s="808">
        <f t="shared" si="220"/>
        <v>5087</v>
      </c>
    </row>
    <row r="348" spans="1:47" ht="15" customHeight="1" x14ac:dyDescent="0.25">
      <c r="A348" s="856" t="s">
        <v>133</v>
      </c>
      <c r="B348" s="822" t="s">
        <v>314</v>
      </c>
      <c r="C348" s="778">
        <f t="shared" si="207"/>
        <v>9.5000000000000001E-2</v>
      </c>
      <c r="D348" s="844">
        <v>10</v>
      </c>
      <c r="E348" s="844" t="s">
        <v>884</v>
      </c>
      <c r="F348" s="814">
        <v>45348</v>
      </c>
      <c r="G348" s="814">
        <v>45348</v>
      </c>
      <c r="H348" s="781">
        <f t="shared" si="206"/>
        <v>48998</v>
      </c>
      <c r="I348" s="901">
        <v>8560</v>
      </c>
      <c r="J348" s="783">
        <f t="shared" si="208"/>
        <v>428</v>
      </c>
      <c r="K348" s="790"/>
      <c r="L348" s="790"/>
      <c r="M348" s="789"/>
      <c r="N348" s="790"/>
      <c r="O348" s="790"/>
      <c r="P348" s="790"/>
      <c r="Q348" s="790"/>
      <c r="R348" s="790"/>
      <c r="S348" s="790"/>
      <c r="T348" s="792"/>
      <c r="U348" s="792"/>
      <c r="V348" s="790"/>
      <c r="W348" s="790"/>
      <c r="X348" s="790"/>
      <c r="Y348" s="783"/>
      <c r="Z348" s="783"/>
      <c r="AA348" s="783"/>
      <c r="AB348" s="783"/>
      <c r="AC348" s="783"/>
      <c r="AD348" s="790"/>
      <c r="AE348" s="790"/>
      <c r="AF348" s="791"/>
      <c r="AG348" s="791"/>
      <c r="AH348" s="783"/>
      <c r="AI348" s="783"/>
      <c r="AJ348" s="790"/>
      <c r="AK348" s="790"/>
      <c r="AL348" s="791"/>
      <c r="AM348" s="791"/>
      <c r="AN348" s="783"/>
      <c r="AO348" s="783"/>
      <c r="AP348" s="808">
        <f t="shared" si="215"/>
        <v>0</v>
      </c>
      <c r="AQ348" s="808">
        <f t="shared" si="216"/>
        <v>8560</v>
      </c>
      <c r="AR348" s="809">
        <f t="shared" si="217"/>
        <v>35</v>
      </c>
      <c r="AS348" s="809">
        <f t="shared" si="218"/>
        <v>78</v>
      </c>
      <c r="AT348" s="808">
        <f t="shared" si="219"/>
        <v>78</v>
      </c>
      <c r="AU348" s="808">
        <f t="shared" si="220"/>
        <v>8482</v>
      </c>
    </row>
    <row r="349" spans="1:47" ht="15" customHeight="1" x14ac:dyDescent="0.25">
      <c r="A349" s="856" t="s">
        <v>133</v>
      </c>
      <c r="B349" s="822" t="s">
        <v>497</v>
      </c>
      <c r="C349" s="778">
        <f t="shared" si="207"/>
        <v>9.5000000000000001E-2</v>
      </c>
      <c r="D349" s="844">
        <v>10</v>
      </c>
      <c r="E349" s="844" t="s">
        <v>884</v>
      </c>
      <c r="F349" s="814">
        <v>45351</v>
      </c>
      <c r="G349" s="814">
        <v>45351</v>
      </c>
      <c r="H349" s="781">
        <f t="shared" si="206"/>
        <v>49001</v>
      </c>
      <c r="I349" s="901">
        <v>179500</v>
      </c>
      <c r="J349" s="783">
        <f t="shared" si="208"/>
        <v>8975</v>
      </c>
      <c r="K349" s="790"/>
      <c r="L349" s="790"/>
      <c r="M349" s="789"/>
      <c r="N349" s="790"/>
      <c r="O349" s="790"/>
      <c r="P349" s="790"/>
      <c r="Q349" s="790"/>
      <c r="R349" s="790"/>
      <c r="S349" s="790"/>
      <c r="T349" s="792"/>
      <c r="U349" s="792"/>
      <c r="V349" s="790"/>
      <c r="W349" s="790"/>
      <c r="X349" s="790"/>
      <c r="Y349" s="783"/>
      <c r="Z349" s="783"/>
      <c r="AA349" s="783"/>
      <c r="AB349" s="783"/>
      <c r="AC349" s="783"/>
      <c r="AD349" s="790"/>
      <c r="AE349" s="790"/>
      <c r="AF349" s="791"/>
      <c r="AG349" s="791"/>
      <c r="AH349" s="783"/>
      <c r="AI349" s="783"/>
      <c r="AJ349" s="790"/>
      <c r="AK349" s="790"/>
      <c r="AL349" s="791"/>
      <c r="AM349" s="791"/>
      <c r="AN349" s="783"/>
      <c r="AO349" s="783"/>
      <c r="AP349" s="808">
        <f t="shared" si="215"/>
        <v>0</v>
      </c>
      <c r="AQ349" s="808">
        <f t="shared" si="216"/>
        <v>179500</v>
      </c>
      <c r="AR349" s="809">
        <f t="shared" si="217"/>
        <v>32</v>
      </c>
      <c r="AS349" s="809">
        <f t="shared" si="218"/>
        <v>1495</v>
      </c>
      <c r="AT349" s="808">
        <f t="shared" si="219"/>
        <v>1495</v>
      </c>
      <c r="AU349" s="808">
        <f t="shared" si="220"/>
        <v>178005</v>
      </c>
    </row>
    <row r="350" spans="1:47" ht="15" customHeight="1" x14ac:dyDescent="0.25">
      <c r="A350" s="856" t="s">
        <v>133</v>
      </c>
      <c r="B350" s="822" t="s">
        <v>306</v>
      </c>
      <c r="C350" s="778">
        <f t="shared" si="207"/>
        <v>9.5000000000000001E-2</v>
      </c>
      <c r="D350" s="844">
        <v>10</v>
      </c>
      <c r="E350" s="844" t="s">
        <v>884</v>
      </c>
      <c r="F350" s="814">
        <v>45358</v>
      </c>
      <c r="G350" s="814">
        <v>45358</v>
      </c>
      <c r="H350" s="781">
        <f t="shared" si="206"/>
        <v>49008</v>
      </c>
      <c r="I350" s="901">
        <v>70980</v>
      </c>
      <c r="J350" s="783">
        <f t="shared" si="208"/>
        <v>3549</v>
      </c>
      <c r="K350" s="790"/>
      <c r="L350" s="790"/>
      <c r="M350" s="789"/>
      <c r="N350" s="790"/>
      <c r="O350" s="790"/>
      <c r="P350" s="790"/>
      <c r="Q350" s="790"/>
      <c r="R350" s="790"/>
      <c r="S350" s="790"/>
      <c r="T350" s="792"/>
      <c r="U350" s="792"/>
      <c r="V350" s="790"/>
      <c r="W350" s="790"/>
      <c r="X350" s="790"/>
      <c r="Y350" s="783"/>
      <c r="Z350" s="783"/>
      <c r="AA350" s="783"/>
      <c r="AB350" s="783"/>
      <c r="AC350" s="783"/>
      <c r="AD350" s="790"/>
      <c r="AE350" s="790"/>
      <c r="AF350" s="791"/>
      <c r="AG350" s="791"/>
      <c r="AH350" s="783"/>
      <c r="AI350" s="783"/>
      <c r="AJ350" s="790"/>
      <c r="AK350" s="790"/>
      <c r="AL350" s="791"/>
      <c r="AM350" s="791"/>
      <c r="AN350" s="783"/>
      <c r="AO350" s="783"/>
      <c r="AP350" s="808">
        <f t="shared" si="215"/>
        <v>0</v>
      </c>
      <c r="AQ350" s="808">
        <f t="shared" si="216"/>
        <v>70980</v>
      </c>
      <c r="AR350" s="809">
        <f t="shared" si="217"/>
        <v>25</v>
      </c>
      <c r="AS350" s="809">
        <f t="shared" si="218"/>
        <v>462</v>
      </c>
      <c r="AT350" s="808">
        <f t="shared" si="219"/>
        <v>462</v>
      </c>
      <c r="AU350" s="808">
        <f t="shared" si="220"/>
        <v>70518</v>
      </c>
    </row>
    <row r="351" spans="1:47" ht="15" customHeight="1" x14ac:dyDescent="0.25">
      <c r="A351" s="856" t="s">
        <v>133</v>
      </c>
      <c r="B351" s="822" t="s">
        <v>314</v>
      </c>
      <c r="C351" s="778">
        <f t="shared" si="207"/>
        <v>9.5000000000000001E-2</v>
      </c>
      <c r="D351" s="844">
        <v>10</v>
      </c>
      <c r="E351" s="844" t="s">
        <v>884</v>
      </c>
      <c r="F351" s="814">
        <v>45366</v>
      </c>
      <c r="G351" s="814">
        <v>45366</v>
      </c>
      <c r="H351" s="781">
        <f t="shared" si="206"/>
        <v>49016</v>
      </c>
      <c r="I351" s="901">
        <v>10594</v>
      </c>
      <c r="J351" s="783">
        <f t="shared" si="208"/>
        <v>529.70000000000005</v>
      </c>
      <c r="K351" s="790"/>
      <c r="L351" s="790"/>
      <c r="M351" s="790"/>
      <c r="N351" s="790"/>
      <c r="O351" s="790"/>
      <c r="P351" s="790"/>
      <c r="Q351" s="790"/>
      <c r="R351" s="790"/>
      <c r="S351" s="790"/>
      <c r="T351" s="792"/>
      <c r="U351" s="792"/>
      <c r="V351" s="790"/>
      <c r="W351" s="790"/>
      <c r="X351" s="790"/>
      <c r="Y351" s="783"/>
      <c r="Z351" s="783"/>
      <c r="AA351" s="783"/>
      <c r="AB351" s="783"/>
      <c r="AC351" s="783"/>
      <c r="AD351" s="790"/>
      <c r="AE351" s="790"/>
      <c r="AF351" s="791"/>
      <c r="AG351" s="791"/>
      <c r="AH351" s="783"/>
      <c r="AI351" s="783"/>
      <c r="AJ351" s="790"/>
      <c r="AK351" s="790"/>
      <c r="AL351" s="791"/>
      <c r="AM351" s="791"/>
      <c r="AN351" s="783"/>
      <c r="AO351" s="783"/>
      <c r="AP351" s="808">
        <f t="shared" si="215"/>
        <v>0</v>
      </c>
      <c r="AQ351" s="808">
        <f t="shared" si="216"/>
        <v>10594</v>
      </c>
      <c r="AR351" s="809">
        <f t="shared" si="217"/>
        <v>17</v>
      </c>
      <c r="AS351" s="809">
        <f t="shared" si="218"/>
        <v>47</v>
      </c>
      <c r="AT351" s="808">
        <f t="shared" si="219"/>
        <v>47</v>
      </c>
      <c r="AU351" s="808">
        <f t="shared" si="220"/>
        <v>10547</v>
      </c>
    </row>
    <row r="352" spans="1:47" ht="15" customHeight="1" x14ac:dyDescent="0.25">
      <c r="A352" s="856" t="s">
        <v>133</v>
      </c>
      <c r="B352" s="822" t="s">
        <v>314</v>
      </c>
      <c r="C352" s="778">
        <f t="shared" si="207"/>
        <v>9.5000000000000001E-2</v>
      </c>
      <c r="D352" s="844">
        <v>10</v>
      </c>
      <c r="E352" s="844" t="s">
        <v>884</v>
      </c>
      <c r="F352" s="814">
        <v>45367</v>
      </c>
      <c r="G352" s="814">
        <v>45367</v>
      </c>
      <c r="H352" s="781">
        <f t="shared" si="206"/>
        <v>49017</v>
      </c>
      <c r="I352" s="901">
        <v>5932.2</v>
      </c>
      <c r="J352" s="783">
        <f t="shared" si="208"/>
        <v>296.61</v>
      </c>
      <c r="K352" s="790"/>
      <c r="L352" s="790"/>
      <c r="M352" s="790"/>
      <c r="N352" s="790"/>
      <c r="O352" s="790"/>
      <c r="P352" s="790"/>
      <c r="Q352" s="790"/>
      <c r="R352" s="790"/>
      <c r="S352" s="790"/>
      <c r="T352" s="792"/>
      <c r="U352" s="792"/>
      <c r="V352" s="790"/>
      <c r="W352" s="790"/>
      <c r="X352" s="790"/>
      <c r="Y352" s="783"/>
      <c r="Z352" s="783"/>
      <c r="AA352" s="783"/>
      <c r="AB352" s="783"/>
      <c r="AC352" s="783"/>
      <c r="AD352" s="790"/>
      <c r="AE352" s="790"/>
      <c r="AF352" s="791"/>
      <c r="AG352" s="791"/>
      <c r="AH352" s="783"/>
      <c r="AI352" s="783"/>
      <c r="AJ352" s="790"/>
      <c r="AK352" s="790"/>
      <c r="AL352" s="791"/>
      <c r="AM352" s="791"/>
      <c r="AN352" s="783"/>
      <c r="AO352" s="783"/>
      <c r="AP352" s="808">
        <f t="shared" si="215"/>
        <v>0</v>
      </c>
      <c r="AQ352" s="808">
        <f t="shared" si="216"/>
        <v>5932.2</v>
      </c>
      <c r="AR352" s="809">
        <f t="shared" si="217"/>
        <v>16</v>
      </c>
      <c r="AS352" s="809">
        <f t="shared" si="218"/>
        <v>25</v>
      </c>
      <c r="AT352" s="808">
        <f t="shared" si="219"/>
        <v>25</v>
      </c>
      <c r="AU352" s="808">
        <f t="shared" si="220"/>
        <v>5907.2</v>
      </c>
    </row>
    <row r="353" spans="1:47" ht="15" customHeight="1" x14ac:dyDescent="0.25">
      <c r="A353" s="856" t="s">
        <v>133</v>
      </c>
      <c r="B353" s="822" t="s">
        <v>314</v>
      </c>
      <c r="C353" s="778">
        <f t="shared" si="207"/>
        <v>9.5000000000000001E-2</v>
      </c>
      <c r="D353" s="844">
        <v>10</v>
      </c>
      <c r="E353" s="844" t="s">
        <v>884</v>
      </c>
      <c r="F353" s="814">
        <v>45376</v>
      </c>
      <c r="G353" s="814">
        <v>45376</v>
      </c>
      <c r="H353" s="781">
        <f t="shared" si="206"/>
        <v>49026</v>
      </c>
      <c r="I353" s="901">
        <v>7627.12</v>
      </c>
      <c r="J353" s="783">
        <f t="shared" si="208"/>
        <v>381.35599999999999</v>
      </c>
      <c r="K353" s="790"/>
      <c r="L353" s="790"/>
      <c r="M353" s="790"/>
      <c r="N353" s="790"/>
      <c r="O353" s="790"/>
      <c r="P353" s="790"/>
      <c r="Q353" s="790"/>
      <c r="R353" s="790"/>
      <c r="S353" s="790"/>
      <c r="T353" s="792"/>
      <c r="U353" s="792"/>
      <c r="V353" s="790"/>
      <c r="W353" s="790"/>
      <c r="X353" s="790"/>
      <c r="Y353" s="783"/>
      <c r="Z353" s="783"/>
      <c r="AA353" s="783"/>
      <c r="AB353" s="783"/>
      <c r="AC353" s="783"/>
      <c r="AD353" s="790"/>
      <c r="AE353" s="790"/>
      <c r="AF353" s="791"/>
      <c r="AG353" s="791"/>
      <c r="AH353" s="783"/>
      <c r="AI353" s="783"/>
      <c r="AJ353" s="790"/>
      <c r="AK353" s="790"/>
      <c r="AL353" s="791"/>
      <c r="AM353" s="791"/>
      <c r="AN353" s="783"/>
      <c r="AO353" s="783"/>
      <c r="AP353" s="808">
        <f t="shared" si="215"/>
        <v>0</v>
      </c>
      <c r="AQ353" s="808">
        <f t="shared" si="216"/>
        <v>7627.12</v>
      </c>
      <c r="AR353" s="809">
        <f t="shared" si="217"/>
        <v>7</v>
      </c>
      <c r="AS353" s="809">
        <f t="shared" si="218"/>
        <v>14</v>
      </c>
      <c r="AT353" s="808">
        <f t="shared" si="219"/>
        <v>14</v>
      </c>
      <c r="AU353" s="808">
        <f t="shared" si="220"/>
        <v>7613.12</v>
      </c>
    </row>
    <row r="354" spans="1:47" ht="15" customHeight="1" x14ac:dyDescent="0.25">
      <c r="A354" s="856" t="s">
        <v>133</v>
      </c>
      <c r="B354" s="822" t="s">
        <v>314</v>
      </c>
      <c r="C354" s="778">
        <f t="shared" si="207"/>
        <v>9.5000000000000001E-2</v>
      </c>
      <c r="D354" s="844">
        <v>10</v>
      </c>
      <c r="E354" s="844" t="s">
        <v>884</v>
      </c>
      <c r="F354" s="814">
        <v>45376</v>
      </c>
      <c r="G354" s="814">
        <v>45376</v>
      </c>
      <c r="H354" s="781">
        <f t="shared" si="206"/>
        <v>49026</v>
      </c>
      <c r="I354" s="901">
        <v>6778.8</v>
      </c>
      <c r="J354" s="783">
        <f t="shared" si="208"/>
        <v>338.94000000000005</v>
      </c>
      <c r="K354" s="790"/>
      <c r="L354" s="790"/>
      <c r="M354" s="790"/>
      <c r="N354" s="790"/>
      <c r="O354" s="790"/>
      <c r="P354" s="790"/>
      <c r="Q354" s="790"/>
      <c r="R354" s="790"/>
      <c r="S354" s="790"/>
      <c r="T354" s="792"/>
      <c r="U354" s="792"/>
      <c r="V354" s="790"/>
      <c r="W354" s="790"/>
      <c r="X354" s="790"/>
      <c r="Y354" s="783"/>
      <c r="Z354" s="783"/>
      <c r="AA354" s="783"/>
      <c r="AB354" s="783"/>
      <c r="AC354" s="783"/>
      <c r="AD354" s="790"/>
      <c r="AE354" s="790"/>
      <c r="AF354" s="791"/>
      <c r="AG354" s="791"/>
      <c r="AH354" s="783"/>
      <c r="AI354" s="783"/>
      <c r="AJ354" s="790"/>
      <c r="AK354" s="790"/>
      <c r="AL354" s="791"/>
      <c r="AM354" s="791"/>
      <c r="AN354" s="783"/>
      <c r="AO354" s="783"/>
      <c r="AP354" s="808">
        <f t="shared" si="215"/>
        <v>0</v>
      </c>
      <c r="AQ354" s="808">
        <f t="shared" si="216"/>
        <v>6778.8</v>
      </c>
      <c r="AR354" s="809">
        <f t="shared" si="217"/>
        <v>7</v>
      </c>
      <c r="AS354" s="809">
        <f t="shared" si="218"/>
        <v>12</v>
      </c>
      <c r="AT354" s="808">
        <f t="shared" si="219"/>
        <v>12</v>
      </c>
      <c r="AU354" s="808">
        <f t="shared" si="220"/>
        <v>6766.8</v>
      </c>
    </row>
    <row r="355" spans="1:47" ht="15" customHeight="1" x14ac:dyDescent="0.25">
      <c r="A355" s="856" t="s">
        <v>133</v>
      </c>
      <c r="B355" s="822" t="s">
        <v>524</v>
      </c>
      <c r="C355" s="778">
        <f t="shared" si="207"/>
        <v>9.5000000000000001E-2</v>
      </c>
      <c r="D355" s="844">
        <v>10</v>
      </c>
      <c r="E355" s="844" t="s">
        <v>884</v>
      </c>
      <c r="F355" s="814">
        <v>45366</v>
      </c>
      <c r="G355" s="814">
        <v>45366</v>
      </c>
      <c r="H355" s="781">
        <f t="shared" si="206"/>
        <v>49016</v>
      </c>
      <c r="I355" s="901">
        <v>203000</v>
      </c>
      <c r="J355" s="783">
        <f t="shared" si="208"/>
        <v>10150</v>
      </c>
      <c r="K355" s="790"/>
      <c r="L355" s="790"/>
      <c r="M355" s="790"/>
      <c r="N355" s="790"/>
      <c r="O355" s="790"/>
      <c r="P355" s="790"/>
      <c r="Q355" s="790"/>
      <c r="R355" s="790"/>
      <c r="S355" s="790"/>
      <c r="T355" s="792"/>
      <c r="U355" s="792"/>
      <c r="V355" s="790"/>
      <c r="W355" s="790"/>
      <c r="X355" s="790"/>
      <c r="Y355" s="783"/>
      <c r="Z355" s="783"/>
      <c r="AA355" s="783"/>
      <c r="AB355" s="783"/>
      <c r="AC355" s="783"/>
      <c r="AD355" s="790"/>
      <c r="AE355" s="790"/>
      <c r="AF355" s="791"/>
      <c r="AG355" s="791"/>
      <c r="AH355" s="783"/>
      <c r="AI355" s="783"/>
      <c r="AJ355" s="790"/>
      <c r="AK355" s="790"/>
      <c r="AL355" s="791"/>
      <c r="AM355" s="791"/>
      <c r="AN355" s="783"/>
      <c r="AO355" s="783"/>
      <c r="AP355" s="808">
        <f t="shared" si="215"/>
        <v>0</v>
      </c>
      <c r="AQ355" s="808">
        <f t="shared" si="216"/>
        <v>203000</v>
      </c>
      <c r="AR355" s="809">
        <f t="shared" si="217"/>
        <v>17</v>
      </c>
      <c r="AS355" s="809">
        <f t="shared" si="218"/>
        <v>898</v>
      </c>
      <c r="AT355" s="808">
        <f t="shared" si="219"/>
        <v>898</v>
      </c>
      <c r="AU355" s="808">
        <f t="shared" si="220"/>
        <v>202102</v>
      </c>
    </row>
    <row r="356" spans="1:47" ht="15" customHeight="1" thickBot="1" x14ac:dyDescent="0.3">
      <c r="A356" s="856" t="s">
        <v>133</v>
      </c>
      <c r="B356" s="927" t="s">
        <v>1301</v>
      </c>
      <c r="C356" s="826">
        <f t="shared" si="207"/>
        <v>9.5000000000000001E-2</v>
      </c>
      <c r="D356" s="858">
        <v>10</v>
      </c>
      <c r="E356" s="858" t="s">
        <v>884</v>
      </c>
      <c r="F356" s="827">
        <v>45369</v>
      </c>
      <c r="G356" s="827">
        <v>45369</v>
      </c>
      <c r="H356" s="828">
        <f t="shared" si="206"/>
        <v>49019</v>
      </c>
      <c r="I356" s="928">
        <v>180000</v>
      </c>
      <c r="J356" s="812">
        <f t="shared" si="208"/>
        <v>9000</v>
      </c>
      <c r="K356" s="808"/>
      <c r="L356" s="808"/>
      <c r="M356" s="808"/>
      <c r="N356" s="808"/>
      <c r="O356" s="808"/>
      <c r="P356" s="808"/>
      <c r="Q356" s="808"/>
      <c r="R356" s="808"/>
      <c r="S356" s="808"/>
      <c r="T356" s="917"/>
      <c r="U356" s="917"/>
      <c r="V356" s="808"/>
      <c r="W356" s="808"/>
      <c r="X356" s="808"/>
      <c r="Y356" s="812"/>
      <c r="Z356" s="812"/>
      <c r="AA356" s="812"/>
      <c r="AB356" s="812"/>
      <c r="AC356" s="812"/>
      <c r="AD356" s="808"/>
      <c r="AE356" s="808"/>
      <c r="AF356" s="809"/>
      <c r="AG356" s="809"/>
      <c r="AH356" s="812"/>
      <c r="AI356" s="812"/>
      <c r="AJ356" s="808"/>
      <c r="AK356" s="808"/>
      <c r="AL356" s="809"/>
      <c r="AM356" s="809"/>
      <c r="AN356" s="812"/>
      <c r="AO356" s="812"/>
      <c r="AP356" s="808">
        <f t="shared" si="215"/>
        <v>0</v>
      </c>
      <c r="AQ356" s="808">
        <f t="shared" si="216"/>
        <v>180000</v>
      </c>
      <c r="AR356" s="809">
        <f t="shared" si="217"/>
        <v>14</v>
      </c>
      <c r="AS356" s="809">
        <f t="shared" si="218"/>
        <v>656</v>
      </c>
      <c r="AT356" s="808">
        <f t="shared" si="219"/>
        <v>656</v>
      </c>
      <c r="AU356" s="808">
        <f t="shared" si="220"/>
        <v>179344</v>
      </c>
    </row>
    <row r="357" spans="1:47" s="935" customFormat="1" ht="15" customHeight="1" thickBot="1" x14ac:dyDescent="0.25">
      <c r="A357" s="929" t="s">
        <v>1302</v>
      </c>
      <c r="B357" s="930"/>
      <c r="C357" s="931"/>
      <c r="D357" s="931"/>
      <c r="E357" s="931"/>
      <c r="F357" s="932"/>
      <c r="G357" s="933"/>
      <c r="H357" s="933"/>
      <c r="I357" s="931">
        <f>SUM(I187:I356)</f>
        <v>22283437.139999997</v>
      </c>
      <c r="J357" s="931">
        <f t="shared" ref="J357:AI357" si="221">SUM(J187:J356)</f>
        <v>1114171.8570000003</v>
      </c>
      <c r="K357" s="931">
        <f t="shared" si="221"/>
        <v>0</v>
      </c>
      <c r="L357" s="931">
        <f t="shared" si="221"/>
        <v>0</v>
      </c>
      <c r="M357" s="931">
        <f>SUM(M187:M356)</f>
        <v>16096192.479999999</v>
      </c>
      <c r="N357" s="931">
        <f t="shared" si="221"/>
        <v>31863</v>
      </c>
      <c r="O357" s="931">
        <f t="shared" si="221"/>
        <v>1481585</v>
      </c>
      <c r="P357" s="931">
        <f t="shared" si="221"/>
        <v>1481585</v>
      </c>
      <c r="Q357" s="931">
        <f t="shared" si="221"/>
        <v>14614607.479999999</v>
      </c>
      <c r="R357" s="931">
        <f t="shared" si="221"/>
        <v>14614607.479999999</v>
      </c>
      <c r="S357" s="931">
        <f t="shared" si="221"/>
        <v>16309280.479999999</v>
      </c>
      <c r="T357" s="931">
        <f t="shared" si="221"/>
        <v>35769</v>
      </c>
      <c r="U357" s="931">
        <f t="shared" si="221"/>
        <v>1539037</v>
      </c>
      <c r="V357" s="931">
        <f t="shared" si="221"/>
        <v>3020622</v>
      </c>
      <c r="W357" s="931">
        <f t="shared" si="221"/>
        <v>13288658.479999999</v>
      </c>
      <c r="X357" s="931">
        <f t="shared" si="221"/>
        <v>13288658.479999999</v>
      </c>
      <c r="Y357" s="931">
        <f>SUM(Y187:Y356)</f>
        <v>16511790.679999998</v>
      </c>
      <c r="Z357" s="931">
        <f t="shared" si="221"/>
        <v>38837</v>
      </c>
      <c r="AA357" s="931">
        <f t="shared" si="221"/>
        <v>1557096</v>
      </c>
      <c r="AB357" s="931">
        <f t="shared" si="221"/>
        <v>4577718</v>
      </c>
      <c r="AC357" s="931">
        <f t="shared" si="221"/>
        <v>11934072.68</v>
      </c>
      <c r="AD357" s="931">
        <f t="shared" si="221"/>
        <v>11934072.68</v>
      </c>
      <c r="AE357" s="931">
        <f t="shared" si="221"/>
        <v>18279112.479999997</v>
      </c>
      <c r="AF357" s="931">
        <f t="shared" si="221"/>
        <v>41697</v>
      </c>
      <c r="AG357" s="931">
        <f t="shared" si="221"/>
        <v>1642736</v>
      </c>
      <c r="AH357" s="931">
        <f t="shared" si="221"/>
        <v>6220454</v>
      </c>
      <c r="AI357" s="931">
        <f t="shared" si="221"/>
        <v>12058658.48</v>
      </c>
      <c r="AJ357" s="931">
        <f>SUM(AJ187:AJ356)</f>
        <v>12058658.48</v>
      </c>
      <c r="AK357" s="931">
        <f>SUM(AK187:AK356)</f>
        <v>19252880.019999996</v>
      </c>
      <c r="AL357" s="933"/>
      <c r="AM357" s="931">
        <f>SUM(AM187:AM356)+120556</f>
        <v>1905868</v>
      </c>
      <c r="AN357" s="931">
        <f>SUM(AN187:AN356)-605136</f>
        <v>7400630</v>
      </c>
      <c r="AO357" s="934">
        <f>+AK357-AN357</f>
        <v>11852250.019999996</v>
      </c>
      <c r="AP357" s="931">
        <f>+AO357</f>
        <v>11852250.019999996</v>
      </c>
      <c r="AQ357" s="931">
        <f>SUM(AQ187:AQ356)</f>
        <v>22283437.139999997</v>
      </c>
      <c r="AR357" s="931">
        <f>SUM(AR187:AR356)</f>
        <v>54327</v>
      </c>
      <c r="AS357" s="931">
        <f>SUM(AS187:AS356)</f>
        <v>1898309</v>
      </c>
      <c r="AT357" s="931">
        <f>SUM(AT187:AT356)-605136</f>
        <v>9298939</v>
      </c>
      <c r="AU357" s="931">
        <f>+AQ357-AT357</f>
        <v>12984498.139999997</v>
      </c>
    </row>
    <row r="358" spans="1:47" ht="15" customHeight="1" x14ac:dyDescent="0.25">
      <c r="A358" s="906"/>
      <c r="B358" s="936"/>
      <c r="C358" s="937"/>
      <c r="D358" s="938"/>
      <c r="E358" s="938"/>
      <c r="F358" s="939"/>
      <c r="G358" s="940"/>
      <c r="H358" s="940"/>
      <c r="I358" s="920"/>
      <c r="J358" s="941"/>
      <c r="K358" s="841"/>
      <c r="L358" s="841"/>
      <c r="M358" s="841"/>
      <c r="P358" s="841"/>
      <c r="Q358" s="841"/>
      <c r="R358" s="841"/>
      <c r="S358" s="841"/>
      <c r="T358" s="942"/>
      <c r="U358" s="942"/>
      <c r="V358" s="841"/>
      <c r="W358" s="841"/>
      <c r="X358" s="841"/>
      <c r="Y358" s="941"/>
      <c r="Z358" s="941"/>
      <c r="AA358" s="941"/>
      <c r="AB358" s="941"/>
      <c r="AC358" s="941"/>
      <c r="AD358" s="841"/>
      <c r="AE358" s="841"/>
      <c r="AH358" s="941"/>
      <c r="AI358" s="941"/>
    </row>
    <row r="359" spans="1:47" ht="15" customHeight="1" x14ac:dyDescent="0.25">
      <c r="A359" s="842" t="s">
        <v>667</v>
      </c>
      <c r="B359" s="943" t="s">
        <v>1303</v>
      </c>
      <c r="C359" s="778">
        <f t="shared" ref="C359:C412" si="222">(95/D359)/100</f>
        <v>0.19</v>
      </c>
      <c r="D359" s="844">
        <v>5</v>
      </c>
      <c r="E359" s="779" t="s">
        <v>1182</v>
      </c>
      <c r="F359" s="845">
        <v>43191</v>
      </c>
      <c r="G359" s="781">
        <f>F359</f>
        <v>43191</v>
      </c>
      <c r="H359" s="781">
        <f t="shared" ref="H359:H412" si="223">G359+(365*D359)</f>
        <v>45016</v>
      </c>
      <c r="I359" s="795">
        <v>112650</v>
      </c>
      <c r="J359" s="783">
        <f t="shared" ref="J359:J412" si="224">I359*5%</f>
        <v>5632.5</v>
      </c>
      <c r="K359" s="790"/>
      <c r="L359" s="790">
        <v>0</v>
      </c>
      <c r="M359" s="790">
        <f t="shared" ref="M359:M381" si="225">I359</f>
        <v>112650</v>
      </c>
      <c r="N359" s="791">
        <f t="shared" ref="N359:N381" si="226">IF(AND(F359&gt;$K$3,F359&lt;$L$3),$L$3-F359+1,IF(H359&lt;=$K$3,0,IF(H359&gt;$L$3,$L$3-$K$3,H359-$K$3)))</f>
        <v>365</v>
      </c>
      <c r="O359" s="791">
        <f t="shared" ref="O359:O381" si="227">ROUND(M359*C359*N359/365,0)</f>
        <v>21404</v>
      </c>
      <c r="P359" s="790">
        <f t="shared" ref="P359:P381" si="228">O359</f>
        <v>21404</v>
      </c>
      <c r="Q359" s="790">
        <f t="shared" ref="Q359:Q381" si="229">+M359-P359</f>
        <v>91246</v>
      </c>
      <c r="R359" s="790">
        <f t="shared" ref="R359:R385" si="230">+Q359</f>
        <v>91246</v>
      </c>
      <c r="S359" s="790">
        <f>I359</f>
        <v>112650</v>
      </c>
      <c r="T359" s="792">
        <f>IF(AND(F359&gt;$L$3,F359&lt;$R$3),$R$3-F359+1,IF(H359&lt;=$L$3,0,IF(H359&gt;$R$3,$R$3-$L$3,H359-$L$3)))</f>
        <v>366</v>
      </c>
      <c r="U359" s="792">
        <f>ROUND(S359*C359*T359/366,0)</f>
        <v>21404</v>
      </c>
      <c r="V359" s="790">
        <f>+P359+U359</f>
        <v>42808</v>
      </c>
      <c r="W359" s="790">
        <f t="shared" ref="W359:W385" si="231">+S359-V359</f>
        <v>69842</v>
      </c>
      <c r="X359" s="790">
        <f t="shared" ref="X359:X385" si="232">W359</f>
        <v>69842</v>
      </c>
      <c r="Y359" s="783">
        <f>I359</f>
        <v>112650</v>
      </c>
      <c r="Z359" s="783">
        <f>IF(AND(F359&gt;$R$3,F359&lt;$X$3),$X$3-F359+1,IF(H359&lt;=$R$3,0,IF(H359&gt;$X$3,$X$3-$R$3,H359-$R$3)))</f>
        <v>365</v>
      </c>
      <c r="AA359" s="783">
        <f>ROUND(Y359*C359*Z359/365,0)</f>
        <v>21404</v>
      </c>
      <c r="AB359" s="783">
        <f>+V359+AA359</f>
        <v>64212</v>
      </c>
      <c r="AC359" s="783">
        <f t="shared" ref="AC359:AC387" si="233">Y359-AB359</f>
        <v>48438</v>
      </c>
      <c r="AD359" s="790">
        <f t="shared" ref="AD359:AD399" si="234">AC359</f>
        <v>48438</v>
      </c>
      <c r="AE359" s="790">
        <f>I359</f>
        <v>112650</v>
      </c>
      <c r="AF359" s="791">
        <f>IF(AND(F359&gt;$X$3,F359&lt;$AD$3),$AD$3-F359+1,IF(H359&lt;=$X$3,0,IF(H359&gt;$AD$3,$AD$3-$X$3,H359-$X$3)))</f>
        <v>365</v>
      </c>
      <c r="AG359" s="791">
        <f>ROUND(AE359*C359*AF359/365,0)</f>
        <v>21404</v>
      </c>
      <c r="AH359" s="783">
        <f>+AB359+AG359</f>
        <v>85616</v>
      </c>
      <c r="AI359" s="783">
        <f t="shared" ref="AI359:AI395" si="235">AE359-AH359</f>
        <v>27034</v>
      </c>
      <c r="AJ359" s="790">
        <f t="shared" ref="AJ359:AJ436" si="236">AI359</f>
        <v>27034</v>
      </c>
      <c r="AK359" s="790">
        <f t="shared" ref="AK359:AK407" si="237">I359</f>
        <v>112650</v>
      </c>
      <c r="AL359" s="791">
        <f t="shared" ref="AL359:AL407" si="238">IF(AND(F359&gt;$AD$3,F359&lt;$AJ$3),$AJ$3-F359+1,IF(H359&lt;=$AD$3,0,IF(H359&gt;$AJ$3,$AJ$3-$AD$3,H359-$AD$3)))</f>
        <v>365</v>
      </c>
      <c r="AM359" s="791">
        <f t="shared" ref="AM359:AM407" si="239">ROUND(AK359*C359*AL359/365,0)</f>
        <v>21404</v>
      </c>
      <c r="AN359" s="783">
        <f t="shared" ref="AN359:AN407" si="240">+AH359+AM359</f>
        <v>107020</v>
      </c>
      <c r="AO359" s="783">
        <f t="shared" ref="AO359:AO407" si="241">AK359-AN359</f>
        <v>5630</v>
      </c>
      <c r="AP359" s="790">
        <f t="shared" ref="AP359:AP412" si="242">+AO359</f>
        <v>5630</v>
      </c>
      <c r="AQ359" s="790">
        <f t="shared" ref="AQ359:AQ412" si="243">I359</f>
        <v>112650</v>
      </c>
      <c r="AR359" s="791">
        <f t="shared" ref="AR359:AR412" si="244">IF(AND(F359&gt;$AJ$3,F359&lt;$AP$3),$AP$3-F359+1,IF(H359&lt;=$AJ$3,0,IF(H359&gt;$AP$3,$AP$3-$AJ$3,H359-$AJ$3)))</f>
        <v>0</v>
      </c>
      <c r="AS359" s="791">
        <f t="shared" ref="AS359:AS412" si="245">ROUND(AQ359*C359*AR359/365,0)</f>
        <v>0</v>
      </c>
      <c r="AT359" s="790">
        <f t="shared" ref="AT359:AT412" si="246">+AN359+AS359</f>
        <v>107020</v>
      </c>
      <c r="AU359" s="790">
        <f t="shared" ref="AU359:AU412" si="247">+AQ359-AT359</f>
        <v>5630</v>
      </c>
    </row>
    <row r="360" spans="1:47" ht="15" customHeight="1" x14ac:dyDescent="0.25">
      <c r="A360" s="842" t="s">
        <v>667</v>
      </c>
      <c r="B360" s="943" t="s">
        <v>1304</v>
      </c>
      <c r="C360" s="778">
        <f t="shared" si="222"/>
        <v>0.19</v>
      </c>
      <c r="D360" s="844">
        <v>5</v>
      </c>
      <c r="E360" s="779" t="s">
        <v>1182</v>
      </c>
      <c r="F360" s="845">
        <v>43191</v>
      </c>
      <c r="G360" s="781">
        <f t="shared" ref="G360:G407" si="248">F360</f>
        <v>43191</v>
      </c>
      <c r="H360" s="781">
        <f t="shared" si="223"/>
        <v>45016</v>
      </c>
      <c r="I360" s="795">
        <v>110000</v>
      </c>
      <c r="J360" s="783">
        <f t="shared" si="224"/>
        <v>5500</v>
      </c>
      <c r="K360" s="790"/>
      <c r="L360" s="790">
        <v>0</v>
      </c>
      <c r="M360" s="790">
        <f t="shared" si="225"/>
        <v>110000</v>
      </c>
      <c r="N360" s="791">
        <f t="shared" si="226"/>
        <v>365</v>
      </c>
      <c r="O360" s="791">
        <f t="shared" si="227"/>
        <v>20900</v>
      </c>
      <c r="P360" s="790">
        <f t="shared" si="228"/>
        <v>20900</v>
      </c>
      <c r="Q360" s="790">
        <f t="shared" si="229"/>
        <v>89100</v>
      </c>
      <c r="R360" s="790">
        <f t="shared" si="230"/>
        <v>89100</v>
      </c>
      <c r="S360" s="790">
        <f t="shared" ref="S360:S385" si="249">I360</f>
        <v>110000</v>
      </c>
      <c r="T360" s="792">
        <f t="shared" ref="T360:T385" si="250">IF(AND(F360&gt;$L$3,F360&lt;$R$3),$R$3-F360+1,IF(H360&lt;=$L$3,0,IF(H360&gt;$R$3,$R$3-$L$3,H360-$L$3)))</f>
        <v>366</v>
      </c>
      <c r="U360" s="792">
        <f t="shared" ref="U360:U385" si="251">ROUND(S360*C360*T360/366,0)</f>
        <v>20900</v>
      </c>
      <c r="V360" s="790">
        <f t="shared" ref="V360:V385" si="252">+P360+U360</f>
        <v>41800</v>
      </c>
      <c r="W360" s="790">
        <f t="shared" si="231"/>
        <v>68200</v>
      </c>
      <c r="X360" s="790">
        <f t="shared" si="232"/>
        <v>68200</v>
      </c>
      <c r="Y360" s="783">
        <f t="shared" ref="Y360:Y387" si="253">I360</f>
        <v>110000</v>
      </c>
      <c r="Z360" s="783">
        <f t="shared" ref="Z360:Z387" si="254">IF(AND(F360&gt;$R$3,F360&lt;$X$3),$X$3-F360+1,IF(H360&lt;=$R$3,0,IF(H360&gt;$X$3,$X$3-$R$3,H360-$R$3)))</f>
        <v>365</v>
      </c>
      <c r="AA360" s="783">
        <f t="shared" ref="AA360:AA387" si="255">ROUND(Y360*C360*Z360/365,0)</f>
        <v>20900</v>
      </c>
      <c r="AB360" s="783">
        <f t="shared" ref="AB360:AB387" si="256">+V360+AA360</f>
        <v>62700</v>
      </c>
      <c r="AC360" s="783">
        <f t="shared" si="233"/>
        <v>47300</v>
      </c>
      <c r="AD360" s="790">
        <f t="shared" si="234"/>
        <v>47300</v>
      </c>
      <c r="AE360" s="790">
        <f t="shared" ref="AE360:AE395" si="257">I360</f>
        <v>110000</v>
      </c>
      <c r="AF360" s="791">
        <f t="shared" ref="AF360:AF395" si="258">IF(AND(F360&gt;$X$3,F360&lt;$AD$3),$AD$3-F360+1,IF(H360&lt;=$X$3,0,IF(H360&gt;$AD$3,$AD$3-$X$3,H360-$X$3)))</f>
        <v>365</v>
      </c>
      <c r="AG360" s="791">
        <f t="shared" ref="AG360:AG395" si="259">ROUND(AE360*C360*AF360/365,0)</f>
        <v>20900</v>
      </c>
      <c r="AH360" s="783">
        <f t="shared" ref="AH360:AH395" si="260">+AB360+AG360</f>
        <v>83600</v>
      </c>
      <c r="AI360" s="783">
        <f t="shared" si="235"/>
        <v>26400</v>
      </c>
      <c r="AJ360" s="790">
        <f t="shared" si="236"/>
        <v>26400</v>
      </c>
      <c r="AK360" s="790">
        <f t="shared" si="237"/>
        <v>110000</v>
      </c>
      <c r="AL360" s="791">
        <f t="shared" si="238"/>
        <v>365</v>
      </c>
      <c r="AM360" s="791">
        <f t="shared" si="239"/>
        <v>20900</v>
      </c>
      <c r="AN360" s="783">
        <f t="shared" si="240"/>
        <v>104500</v>
      </c>
      <c r="AO360" s="783">
        <f t="shared" si="241"/>
        <v>5500</v>
      </c>
      <c r="AP360" s="790">
        <f t="shared" si="242"/>
        <v>5500</v>
      </c>
      <c r="AQ360" s="790">
        <f t="shared" si="243"/>
        <v>110000</v>
      </c>
      <c r="AR360" s="791">
        <f t="shared" si="244"/>
        <v>0</v>
      </c>
      <c r="AS360" s="791">
        <f t="shared" si="245"/>
        <v>0</v>
      </c>
      <c r="AT360" s="790">
        <f t="shared" si="246"/>
        <v>104500</v>
      </c>
      <c r="AU360" s="790">
        <f t="shared" si="247"/>
        <v>5500</v>
      </c>
    </row>
    <row r="361" spans="1:47" ht="15" customHeight="1" x14ac:dyDescent="0.25">
      <c r="A361" s="842" t="s">
        <v>667</v>
      </c>
      <c r="B361" s="943" t="s">
        <v>1305</v>
      </c>
      <c r="C361" s="778">
        <f t="shared" si="222"/>
        <v>0.19</v>
      </c>
      <c r="D361" s="844">
        <v>5</v>
      </c>
      <c r="E361" s="779" t="s">
        <v>1182</v>
      </c>
      <c r="F361" s="845">
        <v>43191</v>
      </c>
      <c r="G361" s="781">
        <f t="shared" si="248"/>
        <v>43191</v>
      </c>
      <c r="H361" s="781">
        <f t="shared" si="223"/>
        <v>45016</v>
      </c>
      <c r="I361" s="795">
        <v>20000</v>
      </c>
      <c r="J361" s="783">
        <f t="shared" si="224"/>
        <v>1000</v>
      </c>
      <c r="K361" s="790"/>
      <c r="L361" s="790">
        <v>0</v>
      </c>
      <c r="M361" s="790">
        <f t="shared" si="225"/>
        <v>20000</v>
      </c>
      <c r="N361" s="791">
        <f t="shared" si="226"/>
        <v>365</v>
      </c>
      <c r="O361" s="791">
        <f t="shared" si="227"/>
        <v>3800</v>
      </c>
      <c r="P361" s="790">
        <f t="shared" si="228"/>
        <v>3800</v>
      </c>
      <c r="Q361" s="790">
        <f t="shared" si="229"/>
        <v>16200</v>
      </c>
      <c r="R361" s="790">
        <f t="shared" si="230"/>
        <v>16200</v>
      </c>
      <c r="S361" s="790">
        <f t="shared" si="249"/>
        <v>20000</v>
      </c>
      <c r="T361" s="792">
        <f t="shared" si="250"/>
        <v>366</v>
      </c>
      <c r="U361" s="792">
        <f t="shared" si="251"/>
        <v>3800</v>
      </c>
      <c r="V361" s="790">
        <f t="shared" si="252"/>
        <v>7600</v>
      </c>
      <c r="W361" s="790">
        <f t="shared" si="231"/>
        <v>12400</v>
      </c>
      <c r="X361" s="790">
        <f t="shared" si="232"/>
        <v>12400</v>
      </c>
      <c r="Y361" s="783">
        <f t="shared" si="253"/>
        <v>20000</v>
      </c>
      <c r="Z361" s="783">
        <f t="shared" si="254"/>
        <v>365</v>
      </c>
      <c r="AA361" s="783">
        <f t="shared" si="255"/>
        <v>3800</v>
      </c>
      <c r="AB361" s="783">
        <f t="shared" si="256"/>
        <v>11400</v>
      </c>
      <c r="AC361" s="783">
        <f t="shared" si="233"/>
        <v>8600</v>
      </c>
      <c r="AD361" s="790">
        <f t="shared" si="234"/>
        <v>8600</v>
      </c>
      <c r="AE361" s="790">
        <f t="shared" si="257"/>
        <v>20000</v>
      </c>
      <c r="AF361" s="791">
        <f t="shared" si="258"/>
        <v>365</v>
      </c>
      <c r="AG361" s="791">
        <f t="shared" si="259"/>
        <v>3800</v>
      </c>
      <c r="AH361" s="783">
        <f t="shared" si="260"/>
        <v>15200</v>
      </c>
      <c r="AI361" s="783">
        <f t="shared" si="235"/>
        <v>4800</v>
      </c>
      <c r="AJ361" s="790">
        <f t="shared" si="236"/>
        <v>4800</v>
      </c>
      <c r="AK361" s="790">
        <f t="shared" si="237"/>
        <v>20000</v>
      </c>
      <c r="AL361" s="791">
        <f t="shared" si="238"/>
        <v>365</v>
      </c>
      <c r="AM361" s="791">
        <f t="shared" si="239"/>
        <v>3800</v>
      </c>
      <c r="AN361" s="783">
        <f t="shared" si="240"/>
        <v>19000</v>
      </c>
      <c r="AO361" s="783">
        <f t="shared" si="241"/>
        <v>1000</v>
      </c>
      <c r="AP361" s="790">
        <f t="shared" si="242"/>
        <v>1000</v>
      </c>
      <c r="AQ361" s="790">
        <f t="shared" si="243"/>
        <v>20000</v>
      </c>
      <c r="AR361" s="791">
        <f t="shared" si="244"/>
        <v>0</v>
      </c>
      <c r="AS361" s="791">
        <f t="shared" si="245"/>
        <v>0</v>
      </c>
      <c r="AT361" s="790">
        <f t="shared" si="246"/>
        <v>19000</v>
      </c>
      <c r="AU361" s="790">
        <f t="shared" si="247"/>
        <v>1000</v>
      </c>
    </row>
    <row r="362" spans="1:47" ht="15" customHeight="1" x14ac:dyDescent="0.25">
      <c r="A362" s="842" t="s">
        <v>667</v>
      </c>
      <c r="B362" s="943" t="s">
        <v>1305</v>
      </c>
      <c r="C362" s="778">
        <f t="shared" si="222"/>
        <v>0.19</v>
      </c>
      <c r="D362" s="844">
        <v>5</v>
      </c>
      <c r="E362" s="779" t="s">
        <v>1182</v>
      </c>
      <c r="F362" s="845">
        <v>43191</v>
      </c>
      <c r="G362" s="781">
        <f t="shared" si="248"/>
        <v>43191</v>
      </c>
      <c r="H362" s="781">
        <f t="shared" si="223"/>
        <v>45016</v>
      </c>
      <c r="I362" s="795">
        <v>10659</v>
      </c>
      <c r="J362" s="783">
        <f t="shared" si="224"/>
        <v>532.95000000000005</v>
      </c>
      <c r="K362" s="790"/>
      <c r="L362" s="790">
        <v>0</v>
      </c>
      <c r="M362" s="790">
        <f t="shared" si="225"/>
        <v>10659</v>
      </c>
      <c r="N362" s="791">
        <f t="shared" si="226"/>
        <v>365</v>
      </c>
      <c r="O362" s="791">
        <f t="shared" si="227"/>
        <v>2025</v>
      </c>
      <c r="P362" s="790">
        <f t="shared" si="228"/>
        <v>2025</v>
      </c>
      <c r="Q362" s="790">
        <f t="shared" si="229"/>
        <v>8634</v>
      </c>
      <c r="R362" s="790">
        <f t="shared" si="230"/>
        <v>8634</v>
      </c>
      <c r="S362" s="790">
        <f t="shared" si="249"/>
        <v>10659</v>
      </c>
      <c r="T362" s="792">
        <f t="shared" si="250"/>
        <v>366</v>
      </c>
      <c r="U362" s="792">
        <f t="shared" si="251"/>
        <v>2025</v>
      </c>
      <c r="V362" s="790">
        <f t="shared" si="252"/>
        <v>4050</v>
      </c>
      <c r="W362" s="790">
        <f t="shared" si="231"/>
        <v>6609</v>
      </c>
      <c r="X362" s="790">
        <f t="shared" si="232"/>
        <v>6609</v>
      </c>
      <c r="Y362" s="783">
        <f t="shared" si="253"/>
        <v>10659</v>
      </c>
      <c r="Z362" s="783">
        <f t="shared" si="254"/>
        <v>365</v>
      </c>
      <c r="AA362" s="783">
        <f t="shared" si="255"/>
        <v>2025</v>
      </c>
      <c r="AB362" s="783">
        <f t="shared" si="256"/>
        <v>6075</v>
      </c>
      <c r="AC362" s="783">
        <f t="shared" si="233"/>
        <v>4584</v>
      </c>
      <c r="AD362" s="790">
        <f t="shared" si="234"/>
        <v>4584</v>
      </c>
      <c r="AE362" s="790">
        <f t="shared" si="257"/>
        <v>10659</v>
      </c>
      <c r="AF362" s="791">
        <f t="shared" si="258"/>
        <v>365</v>
      </c>
      <c r="AG362" s="791">
        <f t="shared" si="259"/>
        <v>2025</v>
      </c>
      <c r="AH362" s="783">
        <f t="shared" si="260"/>
        <v>8100</v>
      </c>
      <c r="AI362" s="783">
        <f t="shared" si="235"/>
        <v>2559</v>
      </c>
      <c r="AJ362" s="790">
        <f t="shared" si="236"/>
        <v>2559</v>
      </c>
      <c r="AK362" s="790">
        <f t="shared" si="237"/>
        <v>10659</v>
      </c>
      <c r="AL362" s="791">
        <f t="shared" si="238"/>
        <v>365</v>
      </c>
      <c r="AM362" s="791">
        <f t="shared" si="239"/>
        <v>2025</v>
      </c>
      <c r="AN362" s="783">
        <f t="shared" si="240"/>
        <v>10125</v>
      </c>
      <c r="AO362" s="783">
        <f t="shared" si="241"/>
        <v>534</v>
      </c>
      <c r="AP362" s="790">
        <f t="shared" si="242"/>
        <v>534</v>
      </c>
      <c r="AQ362" s="790">
        <f t="shared" si="243"/>
        <v>10659</v>
      </c>
      <c r="AR362" s="791">
        <f t="shared" si="244"/>
        <v>0</v>
      </c>
      <c r="AS362" s="791">
        <f t="shared" si="245"/>
        <v>0</v>
      </c>
      <c r="AT362" s="790">
        <f t="shared" si="246"/>
        <v>10125</v>
      </c>
      <c r="AU362" s="790">
        <f t="shared" si="247"/>
        <v>534</v>
      </c>
    </row>
    <row r="363" spans="1:47" ht="15" customHeight="1" x14ac:dyDescent="0.25">
      <c r="A363" s="842" t="s">
        <v>667</v>
      </c>
      <c r="B363" s="943" t="s">
        <v>1305</v>
      </c>
      <c r="C363" s="778">
        <f t="shared" si="222"/>
        <v>0.19</v>
      </c>
      <c r="D363" s="844">
        <v>5</v>
      </c>
      <c r="E363" s="779" t="s">
        <v>1182</v>
      </c>
      <c r="F363" s="845">
        <v>43191</v>
      </c>
      <c r="G363" s="781">
        <f t="shared" si="248"/>
        <v>43191</v>
      </c>
      <c r="H363" s="781">
        <f t="shared" si="223"/>
        <v>45016</v>
      </c>
      <c r="I363" s="795">
        <v>5100</v>
      </c>
      <c r="J363" s="783">
        <f t="shared" si="224"/>
        <v>255</v>
      </c>
      <c r="K363" s="790"/>
      <c r="L363" s="790">
        <v>0</v>
      </c>
      <c r="M363" s="790">
        <f t="shared" si="225"/>
        <v>5100</v>
      </c>
      <c r="N363" s="791">
        <f t="shared" si="226"/>
        <v>365</v>
      </c>
      <c r="O363" s="791">
        <f t="shared" si="227"/>
        <v>969</v>
      </c>
      <c r="P363" s="790">
        <f t="shared" si="228"/>
        <v>969</v>
      </c>
      <c r="Q363" s="790">
        <f t="shared" si="229"/>
        <v>4131</v>
      </c>
      <c r="R363" s="790">
        <f t="shared" si="230"/>
        <v>4131</v>
      </c>
      <c r="S363" s="790">
        <f t="shared" si="249"/>
        <v>5100</v>
      </c>
      <c r="T363" s="792">
        <f t="shared" si="250"/>
        <v>366</v>
      </c>
      <c r="U363" s="792">
        <f t="shared" si="251"/>
        <v>969</v>
      </c>
      <c r="V363" s="790">
        <f t="shared" si="252"/>
        <v>1938</v>
      </c>
      <c r="W363" s="790">
        <f t="shared" si="231"/>
        <v>3162</v>
      </c>
      <c r="X363" s="790">
        <f t="shared" si="232"/>
        <v>3162</v>
      </c>
      <c r="Y363" s="783">
        <f t="shared" si="253"/>
        <v>5100</v>
      </c>
      <c r="Z363" s="783">
        <f t="shared" si="254"/>
        <v>365</v>
      </c>
      <c r="AA363" s="783">
        <f t="shared" si="255"/>
        <v>969</v>
      </c>
      <c r="AB363" s="783">
        <f t="shared" si="256"/>
        <v>2907</v>
      </c>
      <c r="AC363" s="783">
        <f t="shared" si="233"/>
        <v>2193</v>
      </c>
      <c r="AD363" s="790">
        <f t="shared" si="234"/>
        <v>2193</v>
      </c>
      <c r="AE363" s="790">
        <f t="shared" si="257"/>
        <v>5100</v>
      </c>
      <c r="AF363" s="791">
        <f t="shared" si="258"/>
        <v>365</v>
      </c>
      <c r="AG363" s="791">
        <f t="shared" si="259"/>
        <v>969</v>
      </c>
      <c r="AH363" s="783">
        <f t="shared" si="260"/>
        <v>3876</v>
      </c>
      <c r="AI363" s="783">
        <f t="shared" si="235"/>
        <v>1224</v>
      </c>
      <c r="AJ363" s="790">
        <f t="shared" si="236"/>
        <v>1224</v>
      </c>
      <c r="AK363" s="790">
        <f t="shared" si="237"/>
        <v>5100</v>
      </c>
      <c r="AL363" s="791">
        <f t="shared" si="238"/>
        <v>365</v>
      </c>
      <c r="AM363" s="791">
        <f t="shared" si="239"/>
        <v>969</v>
      </c>
      <c r="AN363" s="783">
        <f t="shared" si="240"/>
        <v>4845</v>
      </c>
      <c r="AO363" s="783">
        <f t="shared" si="241"/>
        <v>255</v>
      </c>
      <c r="AP363" s="790">
        <f t="shared" si="242"/>
        <v>255</v>
      </c>
      <c r="AQ363" s="790">
        <f t="shared" si="243"/>
        <v>5100</v>
      </c>
      <c r="AR363" s="791">
        <f t="shared" si="244"/>
        <v>0</v>
      </c>
      <c r="AS363" s="791">
        <f t="shared" si="245"/>
        <v>0</v>
      </c>
      <c r="AT363" s="790">
        <f t="shared" si="246"/>
        <v>4845</v>
      </c>
      <c r="AU363" s="790">
        <f t="shared" si="247"/>
        <v>255</v>
      </c>
    </row>
    <row r="364" spans="1:47" ht="15" customHeight="1" x14ac:dyDescent="0.25">
      <c r="A364" s="842" t="s">
        <v>667</v>
      </c>
      <c r="B364" s="943" t="s">
        <v>1306</v>
      </c>
      <c r="C364" s="778">
        <f t="shared" si="222"/>
        <v>0.19</v>
      </c>
      <c r="D364" s="844">
        <v>5</v>
      </c>
      <c r="E364" s="779" t="s">
        <v>1182</v>
      </c>
      <c r="F364" s="845">
        <v>43191</v>
      </c>
      <c r="G364" s="781">
        <f t="shared" si="248"/>
        <v>43191</v>
      </c>
      <c r="H364" s="781">
        <f t="shared" si="223"/>
        <v>45016</v>
      </c>
      <c r="I364" s="795">
        <v>60104</v>
      </c>
      <c r="J364" s="783">
        <f t="shared" si="224"/>
        <v>3005.2000000000003</v>
      </c>
      <c r="K364" s="790"/>
      <c r="L364" s="790">
        <v>0</v>
      </c>
      <c r="M364" s="790">
        <f t="shared" si="225"/>
        <v>60104</v>
      </c>
      <c r="N364" s="791">
        <f t="shared" si="226"/>
        <v>365</v>
      </c>
      <c r="O364" s="791">
        <f t="shared" si="227"/>
        <v>11420</v>
      </c>
      <c r="P364" s="790">
        <f t="shared" si="228"/>
        <v>11420</v>
      </c>
      <c r="Q364" s="790">
        <f t="shared" si="229"/>
        <v>48684</v>
      </c>
      <c r="R364" s="790">
        <f t="shared" si="230"/>
        <v>48684</v>
      </c>
      <c r="S364" s="790">
        <f t="shared" si="249"/>
        <v>60104</v>
      </c>
      <c r="T364" s="792">
        <f t="shared" si="250"/>
        <v>366</v>
      </c>
      <c r="U364" s="792">
        <f t="shared" si="251"/>
        <v>11420</v>
      </c>
      <c r="V364" s="790">
        <f t="shared" si="252"/>
        <v>22840</v>
      </c>
      <c r="W364" s="790">
        <f t="shared" si="231"/>
        <v>37264</v>
      </c>
      <c r="X364" s="790">
        <f t="shared" si="232"/>
        <v>37264</v>
      </c>
      <c r="Y364" s="783">
        <f t="shared" si="253"/>
        <v>60104</v>
      </c>
      <c r="Z364" s="783">
        <f t="shared" si="254"/>
        <v>365</v>
      </c>
      <c r="AA364" s="783">
        <f t="shared" si="255"/>
        <v>11420</v>
      </c>
      <c r="AB364" s="783">
        <f t="shared" si="256"/>
        <v>34260</v>
      </c>
      <c r="AC364" s="783">
        <f t="shared" si="233"/>
        <v>25844</v>
      </c>
      <c r="AD364" s="790">
        <f t="shared" si="234"/>
        <v>25844</v>
      </c>
      <c r="AE364" s="790">
        <f t="shared" si="257"/>
        <v>60104</v>
      </c>
      <c r="AF364" s="791">
        <f t="shared" si="258"/>
        <v>365</v>
      </c>
      <c r="AG364" s="791">
        <f t="shared" si="259"/>
        <v>11420</v>
      </c>
      <c r="AH364" s="783">
        <f t="shared" si="260"/>
        <v>45680</v>
      </c>
      <c r="AI364" s="783">
        <f t="shared" si="235"/>
        <v>14424</v>
      </c>
      <c r="AJ364" s="790">
        <f t="shared" si="236"/>
        <v>14424</v>
      </c>
      <c r="AK364" s="790">
        <f t="shared" si="237"/>
        <v>60104</v>
      </c>
      <c r="AL364" s="791">
        <f t="shared" si="238"/>
        <v>365</v>
      </c>
      <c r="AM364" s="791">
        <f t="shared" si="239"/>
        <v>11420</v>
      </c>
      <c r="AN364" s="783">
        <f t="shared" si="240"/>
        <v>57100</v>
      </c>
      <c r="AO364" s="783">
        <f t="shared" si="241"/>
        <v>3004</v>
      </c>
      <c r="AP364" s="790">
        <f t="shared" si="242"/>
        <v>3004</v>
      </c>
      <c r="AQ364" s="790">
        <f t="shared" si="243"/>
        <v>60104</v>
      </c>
      <c r="AR364" s="791">
        <f t="shared" si="244"/>
        <v>0</v>
      </c>
      <c r="AS364" s="791">
        <f t="shared" si="245"/>
        <v>0</v>
      </c>
      <c r="AT364" s="790">
        <f t="shared" si="246"/>
        <v>57100</v>
      </c>
      <c r="AU364" s="790">
        <f t="shared" si="247"/>
        <v>3004</v>
      </c>
    </row>
    <row r="365" spans="1:47" ht="15" customHeight="1" x14ac:dyDescent="0.25">
      <c r="A365" s="842" t="s">
        <v>667</v>
      </c>
      <c r="B365" s="943" t="s">
        <v>1306</v>
      </c>
      <c r="C365" s="778">
        <f t="shared" si="222"/>
        <v>0.19</v>
      </c>
      <c r="D365" s="844">
        <v>5</v>
      </c>
      <c r="E365" s="779" t="s">
        <v>1182</v>
      </c>
      <c r="F365" s="845">
        <v>43191</v>
      </c>
      <c r="G365" s="781">
        <f t="shared" si="248"/>
        <v>43191</v>
      </c>
      <c r="H365" s="781">
        <f t="shared" si="223"/>
        <v>45016</v>
      </c>
      <c r="I365" s="795">
        <v>397031.26</v>
      </c>
      <c r="J365" s="783">
        <f t="shared" si="224"/>
        <v>19851.563000000002</v>
      </c>
      <c r="K365" s="790"/>
      <c r="L365" s="790">
        <v>0</v>
      </c>
      <c r="M365" s="790">
        <f t="shared" si="225"/>
        <v>397031.26</v>
      </c>
      <c r="N365" s="791">
        <f t="shared" si="226"/>
        <v>365</v>
      </c>
      <c r="O365" s="791">
        <f t="shared" si="227"/>
        <v>75436</v>
      </c>
      <c r="P365" s="790">
        <f t="shared" si="228"/>
        <v>75436</v>
      </c>
      <c r="Q365" s="790">
        <f t="shared" si="229"/>
        <v>321595.26</v>
      </c>
      <c r="R365" s="790">
        <f t="shared" si="230"/>
        <v>321595.26</v>
      </c>
      <c r="S365" s="790">
        <f t="shared" si="249"/>
        <v>397031.26</v>
      </c>
      <c r="T365" s="792">
        <f t="shared" si="250"/>
        <v>366</v>
      </c>
      <c r="U365" s="792">
        <f t="shared" si="251"/>
        <v>75436</v>
      </c>
      <c r="V365" s="790">
        <f t="shared" si="252"/>
        <v>150872</v>
      </c>
      <c r="W365" s="790">
        <f t="shared" si="231"/>
        <v>246159.26</v>
      </c>
      <c r="X365" s="790">
        <f t="shared" si="232"/>
        <v>246159.26</v>
      </c>
      <c r="Y365" s="783">
        <f t="shared" si="253"/>
        <v>397031.26</v>
      </c>
      <c r="Z365" s="783">
        <f t="shared" si="254"/>
        <v>365</v>
      </c>
      <c r="AA365" s="783">
        <f t="shared" si="255"/>
        <v>75436</v>
      </c>
      <c r="AB365" s="783">
        <f t="shared" si="256"/>
        <v>226308</v>
      </c>
      <c r="AC365" s="783">
        <f t="shared" si="233"/>
        <v>170723.26</v>
      </c>
      <c r="AD365" s="790">
        <f t="shared" si="234"/>
        <v>170723.26</v>
      </c>
      <c r="AE365" s="790">
        <f t="shared" si="257"/>
        <v>397031.26</v>
      </c>
      <c r="AF365" s="791">
        <f t="shared" si="258"/>
        <v>365</v>
      </c>
      <c r="AG365" s="791">
        <f t="shared" si="259"/>
        <v>75436</v>
      </c>
      <c r="AH365" s="783">
        <f t="shared" si="260"/>
        <v>301744</v>
      </c>
      <c r="AI365" s="783">
        <f t="shared" si="235"/>
        <v>95287.260000000009</v>
      </c>
      <c r="AJ365" s="790">
        <f t="shared" si="236"/>
        <v>95287.260000000009</v>
      </c>
      <c r="AK365" s="790">
        <f t="shared" si="237"/>
        <v>397031.26</v>
      </c>
      <c r="AL365" s="791">
        <f t="shared" si="238"/>
        <v>365</v>
      </c>
      <c r="AM365" s="791">
        <f t="shared" si="239"/>
        <v>75436</v>
      </c>
      <c r="AN365" s="783">
        <f t="shared" si="240"/>
        <v>377180</v>
      </c>
      <c r="AO365" s="783">
        <f t="shared" si="241"/>
        <v>19851.260000000009</v>
      </c>
      <c r="AP365" s="790">
        <f t="shared" si="242"/>
        <v>19851.260000000009</v>
      </c>
      <c r="AQ365" s="790">
        <f t="shared" si="243"/>
        <v>397031.26</v>
      </c>
      <c r="AR365" s="791">
        <f t="shared" si="244"/>
        <v>0</v>
      </c>
      <c r="AS365" s="791">
        <f t="shared" si="245"/>
        <v>0</v>
      </c>
      <c r="AT365" s="790">
        <f t="shared" si="246"/>
        <v>377180</v>
      </c>
      <c r="AU365" s="790">
        <f t="shared" si="247"/>
        <v>19851.260000000009</v>
      </c>
    </row>
    <row r="366" spans="1:47" ht="15" customHeight="1" x14ac:dyDescent="0.25">
      <c r="A366" s="842" t="s">
        <v>667</v>
      </c>
      <c r="B366" s="943" t="s">
        <v>1306</v>
      </c>
      <c r="C366" s="778">
        <f t="shared" si="222"/>
        <v>0.19</v>
      </c>
      <c r="D366" s="844">
        <v>5</v>
      </c>
      <c r="E366" s="779" t="s">
        <v>1182</v>
      </c>
      <c r="F366" s="845">
        <v>43191</v>
      </c>
      <c r="G366" s="781">
        <f t="shared" si="248"/>
        <v>43191</v>
      </c>
      <c r="H366" s="781">
        <f t="shared" si="223"/>
        <v>45016</v>
      </c>
      <c r="I366" s="795">
        <v>416642.96</v>
      </c>
      <c r="J366" s="783">
        <f t="shared" si="224"/>
        <v>20832.148000000001</v>
      </c>
      <c r="K366" s="790"/>
      <c r="L366" s="790">
        <v>0</v>
      </c>
      <c r="M366" s="790">
        <f t="shared" si="225"/>
        <v>416642.96</v>
      </c>
      <c r="N366" s="791">
        <f t="shared" si="226"/>
        <v>365</v>
      </c>
      <c r="O366" s="791">
        <f t="shared" si="227"/>
        <v>79162</v>
      </c>
      <c r="P366" s="790">
        <f t="shared" si="228"/>
        <v>79162</v>
      </c>
      <c r="Q366" s="790">
        <f t="shared" si="229"/>
        <v>337480.96000000002</v>
      </c>
      <c r="R366" s="790">
        <f t="shared" si="230"/>
        <v>337480.96000000002</v>
      </c>
      <c r="S366" s="790">
        <f t="shared" si="249"/>
        <v>416642.96</v>
      </c>
      <c r="T366" s="792">
        <f t="shared" si="250"/>
        <v>366</v>
      </c>
      <c r="U366" s="792">
        <f t="shared" si="251"/>
        <v>79162</v>
      </c>
      <c r="V366" s="790">
        <f t="shared" si="252"/>
        <v>158324</v>
      </c>
      <c r="W366" s="790">
        <f t="shared" si="231"/>
        <v>258318.96000000002</v>
      </c>
      <c r="X366" s="790">
        <f t="shared" si="232"/>
        <v>258318.96000000002</v>
      </c>
      <c r="Y366" s="783">
        <f t="shared" si="253"/>
        <v>416642.96</v>
      </c>
      <c r="Z366" s="783">
        <f t="shared" si="254"/>
        <v>365</v>
      </c>
      <c r="AA366" s="783">
        <f t="shared" si="255"/>
        <v>79162</v>
      </c>
      <c r="AB366" s="783">
        <f t="shared" si="256"/>
        <v>237486</v>
      </c>
      <c r="AC366" s="783">
        <f t="shared" si="233"/>
        <v>179156.96000000002</v>
      </c>
      <c r="AD366" s="790">
        <f t="shared" si="234"/>
        <v>179156.96000000002</v>
      </c>
      <c r="AE366" s="790">
        <f t="shared" si="257"/>
        <v>416642.96</v>
      </c>
      <c r="AF366" s="791">
        <f t="shared" si="258"/>
        <v>365</v>
      </c>
      <c r="AG366" s="791">
        <f t="shared" si="259"/>
        <v>79162</v>
      </c>
      <c r="AH366" s="783">
        <f t="shared" si="260"/>
        <v>316648</v>
      </c>
      <c r="AI366" s="783">
        <f t="shared" si="235"/>
        <v>99994.960000000021</v>
      </c>
      <c r="AJ366" s="790">
        <f t="shared" si="236"/>
        <v>99994.960000000021</v>
      </c>
      <c r="AK366" s="790">
        <f t="shared" si="237"/>
        <v>416642.96</v>
      </c>
      <c r="AL366" s="791">
        <f t="shared" si="238"/>
        <v>365</v>
      </c>
      <c r="AM366" s="791">
        <f t="shared" si="239"/>
        <v>79162</v>
      </c>
      <c r="AN366" s="783">
        <f t="shared" si="240"/>
        <v>395810</v>
      </c>
      <c r="AO366" s="783">
        <f t="shared" si="241"/>
        <v>20832.960000000021</v>
      </c>
      <c r="AP366" s="790">
        <f t="shared" si="242"/>
        <v>20832.960000000021</v>
      </c>
      <c r="AQ366" s="790">
        <f t="shared" si="243"/>
        <v>416642.96</v>
      </c>
      <c r="AR366" s="791">
        <f t="shared" si="244"/>
        <v>0</v>
      </c>
      <c r="AS366" s="791">
        <f t="shared" si="245"/>
        <v>0</v>
      </c>
      <c r="AT366" s="790">
        <f t="shared" si="246"/>
        <v>395810</v>
      </c>
      <c r="AU366" s="790">
        <f t="shared" si="247"/>
        <v>20832.960000000021</v>
      </c>
    </row>
    <row r="367" spans="1:47" ht="15" customHeight="1" x14ac:dyDescent="0.25">
      <c r="A367" s="842" t="s">
        <v>667</v>
      </c>
      <c r="B367" s="943" t="s">
        <v>1306</v>
      </c>
      <c r="C367" s="778">
        <f t="shared" si="222"/>
        <v>0.19</v>
      </c>
      <c r="D367" s="844">
        <v>5</v>
      </c>
      <c r="E367" s="779" t="s">
        <v>1182</v>
      </c>
      <c r="F367" s="845">
        <v>43191</v>
      </c>
      <c r="G367" s="781">
        <f t="shared" si="248"/>
        <v>43191</v>
      </c>
      <c r="H367" s="781">
        <f t="shared" si="223"/>
        <v>45016</v>
      </c>
      <c r="I367" s="795">
        <v>411579.68</v>
      </c>
      <c r="J367" s="783">
        <f t="shared" si="224"/>
        <v>20578.984</v>
      </c>
      <c r="K367" s="790"/>
      <c r="L367" s="790">
        <v>0</v>
      </c>
      <c r="M367" s="790">
        <f t="shared" si="225"/>
        <v>411579.68</v>
      </c>
      <c r="N367" s="791">
        <f t="shared" si="226"/>
        <v>365</v>
      </c>
      <c r="O367" s="791">
        <f t="shared" si="227"/>
        <v>78200</v>
      </c>
      <c r="P367" s="790">
        <f t="shared" si="228"/>
        <v>78200</v>
      </c>
      <c r="Q367" s="790">
        <f t="shared" si="229"/>
        <v>333379.68</v>
      </c>
      <c r="R367" s="790">
        <f t="shared" si="230"/>
        <v>333379.68</v>
      </c>
      <c r="S367" s="790">
        <f t="shared" si="249"/>
        <v>411579.68</v>
      </c>
      <c r="T367" s="792">
        <f t="shared" si="250"/>
        <v>366</v>
      </c>
      <c r="U367" s="792">
        <f t="shared" si="251"/>
        <v>78200</v>
      </c>
      <c r="V367" s="790">
        <f t="shared" si="252"/>
        <v>156400</v>
      </c>
      <c r="W367" s="790">
        <f t="shared" si="231"/>
        <v>255179.68</v>
      </c>
      <c r="X367" s="790">
        <f t="shared" si="232"/>
        <v>255179.68</v>
      </c>
      <c r="Y367" s="783">
        <f t="shared" si="253"/>
        <v>411579.68</v>
      </c>
      <c r="Z367" s="783">
        <f t="shared" si="254"/>
        <v>365</v>
      </c>
      <c r="AA367" s="783">
        <f t="shared" si="255"/>
        <v>78200</v>
      </c>
      <c r="AB367" s="783">
        <f t="shared" si="256"/>
        <v>234600</v>
      </c>
      <c r="AC367" s="783">
        <f t="shared" si="233"/>
        <v>176979.68</v>
      </c>
      <c r="AD367" s="790">
        <f t="shared" si="234"/>
        <v>176979.68</v>
      </c>
      <c r="AE367" s="790">
        <f t="shared" si="257"/>
        <v>411579.68</v>
      </c>
      <c r="AF367" s="791">
        <f t="shared" si="258"/>
        <v>365</v>
      </c>
      <c r="AG367" s="791">
        <f t="shared" si="259"/>
        <v>78200</v>
      </c>
      <c r="AH367" s="783">
        <f t="shared" si="260"/>
        <v>312800</v>
      </c>
      <c r="AI367" s="783">
        <f t="shared" si="235"/>
        <v>98779.68</v>
      </c>
      <c r="AJ367" s="790">
        <f t="shared" si="236"/>
        <v>98779.68</v>
      </c>
      <c r="AK367" s="790">
        <f t="shared" si="237"/>
        <v>411579.68</v>
      </c>
      <c r="AL367" s="791">
        <f t="shared" si="238"/>
        <v>365</v>
      </c>
      <c r="AM367" s="791">
        <f t="shared" si="239"/>
        <v>78200</v>
      </c>
      <c r="AN367" s="783">
        <f t="shared" si="240"/>
        <v>391000</v>
      </c>
      <c r="AO367" s="783">
        <f t="shared" si="241"/>
        <v>20579.679999999993</v>
      </c>
      <c r="AP367" s="790">
        <f t="shared" si="242"/>
        <v>20579.679999999993</v>
      </c>
      <c r="AQ367" s="790">
        <f t="shared" si="243"/>
        <v>411579.68</v>
      </c>
      <c r="AR367" s="791">
        <f t="shared" si="244"/>
        <v>0</v>
      </c>
      <c r="AS367" s="791">
        <f t="shared" si="245"/>
        <v>0</v>
      </c>
      <c r="AT367" s="790">
        <f t="shared" si="246"/>
        <v>391000</v>
      </c>
      <c r="AU367" s="790">
        <f t="shared" si="247"/>
        <v>20579.679999999993</v>
      </c>
    </row>
    <row r="368" spans="1:47" ht="15" customHeight="1" x14ac:dyDescent="0.25">
      <c r="A368" s="842" t="s">
        <v>667</v>
      </c>
      <c r="B368" s="943" t="s">
        <v>1306</v>
      </c>
      <c r="C368" s="778">
        <f t="shared" si="222"/>
        <v>0.19</v>
      </c>
      <c r="D368" s="844">
        <v>5</v>
      </c>
      <c r="E368" s="779" t="s">
        <v>1182</v>
      </c>
      <c r="F368" s="845">
        <v>43191</v>
      </c>
      <c r="G368" s="781">
        <f t="shared" si="248"/>
        <v>43191</v>
      </c>
      <c r="H368" s="781">
        <f t="shared" si="223"/>
        <v>45016</v>
      </c>
      <c r="I368" s="795">
        <v>285981.24</v>
      </c>
      <c r="J368" s="783">
        <f t="shared" si="224"/>
        <v>14299.062</v>
      </c>
      <c r="K368" s="790"/>
      <c r="L368" s="790">
        <v>0</v>
      </c>
      <c r="M368" s="790">
        <f t="shared" si="225"/>
        <v>285981.24</v>
      </c>
      <c r="N368" s="791">
        <f t="shared" si="226"/>
        <v>365</v>
      </c>
      <c r="O368" s="791">
        <f t="shared" si="227"/>
        <v>54336</v>
      </c>
      <c r="P368" s="790">
        <f t="shared" si="228"/>
        <v>54336</v>
      </c>
      <c r="Q368" s="790">
        <f t="shared" si="229"/>
        <v>231645.24</v>
      </c>
      <c r="R368" s="790">
        <f t="shared" si="230"/>
        <v>231645.24</v>
      </c>
      <c r="S368" s="790">
        <f t="shared" si="249"/>
        <v>285981.24</v>
      </c>
      <c r="T368" s="792">
        <f t="shared" si="250"/>
        <v>366</v>
      </c>
      <c r="U368" s="792">
        <f t="shared" si="251"/>
        <v>54336</v>
      </c>
      <c r="V368" s="790">
        <f t="shared" si="252"/>
        <v>108672</v>
      </c>
      <c r="W368" s="790">
        <f t="shared" si="231"/>
        <v>177309.24</v>
      </c>
      <c r="X368" s="790">
        <f t="shared" si="232"/>
        <v>177309.24</v>
      </c>
      <c r="Y368" s="783">
        <f t="shared" si="253"/>
        <v>285981.24</v>
      </c>
      <c r="Z368" s="783">
        <f t="shared" si="254"/>
        <v>365</v>
      </c>
      <c r="AA368" s="783">
        <f t="shared" si="255"/>
        <v>54336</v>
      </c>
      <c r="AB368" s="783">
        <f t="shared" si="256"/>
        <v>163008</v>
      </c>
      <c r="AC368" s="783">
        <f t="shared" si="233"/>
        <v>122973.23999999999</v>
      </c>
      <c r="AD368" s="790">
        <f t="shared" si="234"/>
        <v>122973.23999999999</v>
      </c>
      <c r="AE368" s="790">
        <f t="shared" si="257"/>
        <v>285981.24</v>
      </c>
      <c r="AF368" s="791">
        <f t="shared" si="258"/>
        <v>365</v>
      </c>
      <c r="AG368" s="791">
        <f t="shared" si="259"/>
        <v>54336</v>
      </c>
      <c r="AH368" s="783">
        <f t="shared" si="260"/>
        <v>217344</v>
      </c>
      <c r="AI368" s="783">
        <f t="shared" si="235"/>
        <v>68637.239999999991</v>
      </c>
      <c r="AJ368" s="790">
        <f t="shared" si="236"/>
        <v>68637.239999999991</v>
      </c>
      <c r="AK368" s="790">
        <f t="shared" si="237"/>
        <v>285981.24</v>
      </c>
      <c r="AL368" s="791">
        <f t="shared" si="238"/>
        <v>365</v>
      </c>
      <c r="AM368" s="791">
        <f t="shared" si="239"/>
        <v>54336</v>
      </c>
      <c r="AN368" s="783">
        <f t="shared" si="240"/>
        <v>271680</v>
      </c>
      <c r="AO368" s="783">
        <f t="shared" si="241"/>
        <v>14301.239999999991</v>
      </c>
      <c r="AP368" s="790">
        <f t="shared" si="242"/>
        <v>14301.239999999991</v>
      </c>
      <c r="AQ368" s="790">
        <f t="shared" si="243"/>
        <v>285981.24</v>
      </c>
      <c r="AR368" s="791">
        <f t="shared" si="244"/>
        <v>0</v>
      </c>
      <c r="AS368" s="791">
        <f t="shared" si="245"/>
        <v>0</v>
      </c>
      <c r="AT368" s="790">
        <f t="shared" si="246"/>
        <v>271680</v>
      </c>
      <c r="AU368" s="790">
        <f t="shared" si="247"/>
        <v>14301.239999999991</v>
      </c>
    </row>
    <row r="369" spans="1:47" ht="15" customHeight="1" x14ac:dyDescent="0.25">
      <c r="A369" s="842" t="s">
        <v>667</v>
      </c>
      <c r="B369" s="943" t="s">
        <v>1306</v>
      </c>
      <c r="C369" s="778">
        <f t="shared" si="222"/>
        <v>0.19</v>
      </c>
      <c r="D369" s="844">
        <v>5</v>
      </c>
      <c r="E369" s="779" t="s">
        <v>1182</v>
      </c>
      <c r="F369" s="845">
        <v>43191</v>
      </c>
      <c r="G369" s="781">
        <f t="shared" si="248"/>
        <v>43191</v>
      </c>
      <c r="H369" s="781">
        <f t="shared" si="223"/>
        <v>45016</v>
      </c>
      <c r="I369" s="795">
        <v>116418.74</v>
      </c>
      <c r="J369" s="783">
        <f t="shared" si="224"/>
        <v>5820.9370000000008</v>
      </c>
      <c r="K369" s="790"/>
      <c r="L369" s="790">
        <v>0</v>
      </c>
      <c r="M369" s="790">
        <f t="shared" si="225"/>
        <v>116418.74</v>
      </c>
      <c r="N369" s="791">
        <f t="shared" si="226"/>
        <v>365</v>
      </c>
      <c r="O369" s="791">
        <f t="shared" si="227"/>
        <v>22120</v>
      </c>
      <c r="P369" s="790">
        <f t="shared" si="228"/>
        <v>22120</v>
      </c>
      <c r="Q369" s="790">
        <f t="shared" si="229"/>
        <v>94298.74</v>
      </c>
      <c r="R369" s="790">
        <f t="shared" si="230"/>
        <v>94298.74</v>
      </c>
      <c r="S369" s="790">
        <f t="shared" si="249"/>
        <v>116418.74</v>
      </c>
      <c r="T369" s="792">
        <f t="shared" si="250"/>
        <v>366</v>
      </c>
      <c r="U369" s="792">
        <f t="shared" si="251"/>
        <v>22120</v>
      </c>
      <c r="V369" s="790">
        <f t="shared" si="252"/>
        <v>44240</v>
      </c>
      <c r="W369" s="790">
        <f t="shared" si="231"/>
        <v>72178.740000000005</v>
      </c>
      <c r="X369" s="790">
        <f t="shared" si="232"/>
        <v>72178.740000000005</v>
      </c>
      <c r="Y369" s="783">
        <f t="shared" si="253"/>
        <v>116418.74</v>
      </c>
      <c r="Z369" s="783">
        <f t="shared" si="254"/>
        <v>365</v>
      </c>
      <c r="AA369" s="783">
        <f t="shared" si="255"/>
        <v>22120</v>
      </c>
      <c r="AB369" s="783">
        <f t="shared" si="256"/>
        <v>66360</v>
      </c>
      <c r="AC369" s="783">
        <f t="shared" si="233"/>
        <v>50058.740000000005</v>
      </c>
      <c r="AD369" s="790">
        <f t="shared" si="234"/>
        <v>50058.740000000005</v>
      </c>
      <c r="AE369" s="790">
        <f t="shared" si="257"/>
        <v>116418.74</v>
      </c>
      <c r="AF369" s="791">
        <f t="shared" si="258"/>
        <v>365</v>
      </c>
      <c r="AG369" s="791">
        <f t="shared" si="259"/>
        <v>22120</v>
      </c>
      <c r="AH369" s="783">
        <f t="shared" si="260"/>
        <v>88480</v>
      </c>
      <c r="AI369" s="783">
        <f t="shared" si="235"/>
        <v>27938.740000000005</v>
      </c>
      <c r="AJ369" s="790">
        <f t="shared" si="236"/>
        <v>27938.740000000005</v>
      </c>
      <c r="AK369" s="790">
        <f t="shared" si="237"/>
        <v>116418.74</v>
      </c>
      <c r="AL369" s="791">
        <f t="shared" si="238"/>
        <v>365</v>
      </c>
      <c r="AM369" s="791">
        <f t="shared" si="239"/>
        <v>22120</v>
      </c>
      <c r="AN369" s="783">
        <f t="shared" si="240"/>
        <v>110600</v>
      </c>
      <c r="AO369" s="783">
        <f t="shared" si="241"/>
        <v>5818.7400000000052</v>
      </c>
      <c r="AP369" s="790">
        <f t="shared" si="242"/>
        <v>5818.7400000000052</v>
      </c>
      <c r="AQ369" s="790">
        <f t="shared" si="243"/>
        <v>116418.74</v>
      </c>
      <c r="AR369" s="791">
        <f t="shared" si="244"/>
        <v>0</v>
      </c>
      <c r="AS369" s="791">
        <f t="shared" si="245"/>
        <v>0</v>
      </c>
      <c r="AT369" s="790">
        <f t="shared" si="246"/>
        <v>110600</v>
      </c>
      <c r="AU369" s="790">
        <f t="shared" si="247"/>
        <v>5818.7400000000052</v>
      </c>
    </row>
    <row r="370" spans="1:47" ht="15" customHeight="1" x14ac:dyDescent="0.25">
      <c r="A370" s="842" t="s">
        <v>667</v>
      </c>
      <c r="B370" s="943" t="s">
        <v>1306</v>
      </c>
      <c r="C370" s="778">
        <f t="shared" si="222"/>
        <v>0.19</v>
      </c>
      <c r="D370" s="844">
        <v>5</v>
      </c>
      <c r="E370" s="779" t="s">
        <v>1182</v>
      </c>
      <c r="F370" s="845">
        <v>43191</v>
      </c>
      <c r="G370" s="781">
        <f t="shared" si="248"/>
        <v>43191</v>
      </c>
      <c r="H370" s="781">
        <f t="shared" si="223"/>
        <v>45016</v>
      </c>
      <c r="I370" s="795">
        <v>623801</v>
      </c>
      <c r="J370" s="783">
        <f t="shared" si="224"/>
        <v>31190.050000000003</v>
      </c>
      <c r="K370" s="790"/>
      <c r="L370" s="790">
        <v>0</v>
      </c>
      <c r="M370" s="790">
        <f t="shared" si="225"/>
        <v>623801</v>
      </c>
      <c r="N370" s="791">
        <f t="shared" si="226"/>
        <v>365</v>
      </c>
      <c r="O370" s="791">
        <f t="shared" si="227"/>
        <v>118522</v>
      </c>
      <c r="P370" s="790">
        <f t="shared" si="228"/>
        <v>118522</v>
      </c>
      <c r="Q370" s="790">
        <f t="shared" si="229"/>
        <v>505279</v>
      </c>
      <c r="R370" s="790">
        <f t="shared" si="230"/>
        <v>505279</v>
      </c>
      <c r="S370" s="790">
        <f t="shared" si="249"/>
        <v>623801</v>
      </c>
      <c r="T370" s="792">
        <f t="shared" si="250"/>
        <v>366</v>
      </c>
      <c r="U370" s="792">
        <f t="shared" si="251"/>
        <v>118522</v>
      </c>
      <c r="V370" s="790">
        <f t="shared" si="252"/>
        <v>237044</v>
      </c>
      <c r="W370" s="790">
        <f t="shared" si="231"/>
        <v>386757</v>
      </c>
      <c r="X370" s="790">
        <f t="shared" si="232"/>
        <v>386757</v>
      </c>
      <c r="Y370" s="783">
        <f t="shared" si="253"/>
        <v>623801</v>
      </c>
      <c r="Z370" s="783">
        <f t="shared" si="254"/>
        <v>365</v>
      </c>
      <c r="AA370" s="783">
        <f t="shared" si="255"/>
        <v>118522</v>
      </c>
      <c r="AB370" s="783">
        <f t="shared" si="256"/>
        <v>355566</v>
      </c>
      <c r="AC370" s="783">
        <f t="shared" si="233"/>
        <v>268235</v>
      </c>
      <c r="AD370" s="790">
        <f t="shared" si="234"/>
        <v>268235</v>
      </c>
      <c r="AE370" s="790">
        <f t="shared" si="257"/>
        <v>623801</v>
      </c>
      <c r="AF370" s="791">
        <f t="shared" si="258"/>
        <v>365</v>
      </c>
      <c r="AG370" s="791">
        <f t="shared" si="259"/>
        <v>118522</v>
      </c>
      <c r="AH370" s="783">
        <f t="shared" si="260"/>
        <v>474088</v>
      </c>
      <c r="AI370" s="783">
        <f t="shared" si="235"/>
        <v>149713</v>
      </c>
      <c r="AJ370" s="790">
        <f t="shared" si="236"/>
        <v>149713</v>
      </c>
      <c r="AK370" s="790">
        <f t="shared" si="237"/>
        <v>623801</v>
      </c>
      <c r="AL370" s="791">
        <f t="shared" si="238"/>
        <v>365</v>
      </c>
      <c r="AM370" s="791">
        <f t="shared" si="239"/>
        <v>118522</v>
      </c>
      <c r="AN370" s="783">
        <f t="shared" si="240"/>
        <v>592610</v>
      </c>
      <c r="AO370" s="783">
        <f t="shared" si="241"/>
        <v>31191</v>
      </c>
      <c r="AP370" s="790">
        <f t="shared" si="242"/>
        <v>31191</v>
      </c>
      <c r="AQ370" s="790">
        <f t="shared" si="243"/>
        <v>623801</v>
      </c>
      <c r="AR370" s="791">
        <f t="shared" si="244"/>
        <v>0</v>
      </c>
      <c r="AS370" s="791">
        <f t="shared" si="245"/>
        <v>0</v>
      </c>
      <c r="AT370" s="790">
        <f t="shared" si="246"/>
        <v>592610</v>
      </c>
      <c r="AU370" s="790">
        <f t="shared" si="247"/>
        <v>31191</v>
      </c>
    </row>
    <row r="371" spans="1:47" ht="15" customHeight="1" x14ac:dyDescent="0.25">
      <c r="A371" s="842" t="s">
        <v>667</v>
      </c>
      <c r="B371" s="944" t="s">
        <v>1307</v>
      </c>
      <c r="C371" s="778">
        <f t="shared" si="222"/>
        <v>0.19</v>
      </c>
      <c r="D371" s="844">
        <v>5</v>
      </c>
      <c r="E371" s="779" t="s">
        <v>1182</v>
      </c>
      <c r="F371" s="845">
        <v>43191</v>
      </c>
      <c r="G371" s="781">
        <f t="shared" si="248"/>
        <v>43191</v>
      </c>
      <c r="H371" s="781">
        <f t="shared" si="223"/>
        <v>45016</v>
      </c>
      <c r="I371" s="795">
        <v>86899.64</v>
      </c>
      <c r="J371" s="783">
        <f t="shared" si="224"/>
        <v>4344.982</v>
      </c>
      <c r="K371" s="790"/>
      <c r="L371" s="790">
        <v>0</v>
      </c>
      <c r="M371" s="790">
        <f t="shared" si="225"/>
        <v>86899.64</v>
      </c>
      <c r="N371" s="791">
        <f t="shared" si="226"/>
        <v>365</v>
      </c>
      <c r="O371" s="791">
        <f t="shared" si="227"/>
        <v>16511</v>
      </c>
      <c r="P371" s="790">
        <f t="shared" si="228"/>
        <v>16511</v>
      </c>
      <c r="Q371" s="790">
        <f t="shared" si="229"/>
        <v>70388.639999999999</v>
      </c>
      <c r="R371" s="790">
        <f t="shared" si="230"/>
        <v>70388.639999999999</v>
      </c>
      <c r="S371" s="790">
        <f t="shared" si="249"/>
        <v>86899.64</v>
      </c>
      <c r="T371" s="792">
        <f t="shared" si="250"/>
        <v>366</v>
      </c>
      <c r="U371" s="792">
        <f t="shared" si="251"/>
        <v>16511</v>
      </c>
      <c r="V371" s="790">
        <f t="shared" si="252"/>
        <v>33022</v>
      </c>
      <c r="W371" s="790">
        <f t="shared" si="231"/>
        <v>53877.64</v>
      </c>
      <c r="X371" s="790">
        <f t="shared" si="232"/>
        <v>53877.64</v>
      </c>
      <c r="Y371" s="783">
        <f t="shared" si="253"/>
        <v>86899.64</v>
      </c>
      <c r="Z371" s="783">
        <f t="shared" si="254"/>
        <v>365</v>
      </c>
      <c r="AA371" s="783">
        <f t="shared" si="255"/>
        <v>16511</v>
      </c>
      <c r="AB371" s="783">
        <f t="shared" si="256"/>
        <v>49533</v>
      </c>
      <c r="AC371" s="783">
        <f t="shared" si="233"/>
        <v>37366.639999999999</v>
      </c>
      <c r="AD371" s="790">
        <f t="shared" si="234"/>
        <v>37366.639999999999</v>
      </c>
      <c r="AE371" s="790">
        <f t="shared" si="257"/>
        <v>86899.64</v>
      </c>
      <c r="AF371" s="791">
        <f t="shared" si="258"/>
        <v>365</v>
      </c>
      <c r="AG371" s="791">
        <f t="shared" si="259"/>
        <v>16511</v>
      </c>
      <c r="AH371" s="783">
        <f t="shared" si="260"/>
        <v>66044</v>
      </c>
      <c r="AI371" s="783">
        <f t="shared" si="235"/>
        <v>20855.64</v>
      </c>
      <c r="AJ371" s="790">
        <f t="shared" si="236"/>
        <v>20855.64</v>
      </c>
      <c r="AK371" s="790">
        <f t="shared" si="237"/>
        <v>86899.64</v>
      </c>
      <c r="AL371" s="791">
        <f t="shared" si="238"/>
        <v>365</v>
      </c>
      <c r="AM371" s="791">
        <f t="shared" si="239"/>
        <v>16511</v>
      </c>
      <c r="AN371" s="783">
        <f t="shared" si="240"/>
        <v>82555</v>
      </c>
      <c r="AO371" s="783">
        <f t="shared" si="241"/>
        <v>4344.6399999999994</v>
      </c>
      <c r="AP371" s="790">
        <f t="shared" si="242"/>
        <v>4344.6399999999994</v>
      </c>
      <c r="AQ371" s="790">
        <f t="shared" si="243"/>
        <v>86899.64</v>
      </c>
      <c r="AR371" s="791">
        <f t="shared" si="244"/>
        <v>0</v>
      </c>
      <c r="AS371" s="791">
        <f t="shared" si="245"/>
        <v>0</v>
      </c>
      <c r="AT371" s="790">
        <f t="shared" si="246"/>
        <v>82555</v>
      </c>
      <c r="AU371" s="790">
        <f t="shared" si="247"/>
        <v>4344.6399999999994</v>
      </c>
    </row>
    <row r="372" spans="1:47" ht="15" customHeight="1" x14ac:dyDescent="0.25">
      <c r="A372" s="842" t="s">
        <v>667</v>
      </c>
      <c r="B372" s="943" t="s">
        <v>1308</v>
      </c>
      <c r="C372" s="778">
        <f t="shared" si="222"/>
        <v>0.19</v>
      </c>
      <c r="D372" s="844">
        <v>5</v>
      </c>
      <c r="E372" s="779" t="s">
        <v>1182</v>
      </c>
      <c r="F372" s="845">
        <v>43191</v>
      </c>
      <c r="G372" s="781">
        <f t="shared" si="248"/>
        <v>43191</v>
      </c>
      <c r="H372" s="781">
        <f t="shared" si="223"/>
        <v>45016</v>
      </c>
      <c r="I372" s="795">
        <v>77812.5</v>
      </c>
      <c r="J372" s="783">
        <f t="shared" si="224"/>
        <v>3890.625</v>
      </c>
      <c r="K372" s="790"/>
      <c r="L372" s="790">
        <v>0</v>
      </c>
      <c r="M372" s="790">
        <f t="shared" si="225"/>
        <v>77812.5</v>
      </c>
      <c r="N372" s="791">
        <f t="shared" si="226"/>
        <v>365</v>
      </c>
      <c r="O372" s="791">
        <f t="shared" si="227"/>
        <v>14784</v>
      </c>
      <c r="P372" s="790">
        <f t="shared" si="228"/>
        <v>14784</v>
      </c>
      <c r="Q372" s="790">
        <f t="shared" si="229"/>
        <v>63028.5</v>
      </c>
      <c r="R372" s="790">
        <f t="shared" si="230"/>
        <v>63028.5</v>
      </c>
      <c r="S372" s="790">
        <f t="shared" si="249"/>
        <v>77812.5</v>
      </c>
      <c r="T372" s="792">
        <f t="shared" si="250"/>
        <v>366</v>
      </c>
      <c r="U372" s="792">
        <f t="shared" si="251"/>
        <v>14784</v>
      </c>
      <c r="V372" s="790">
        <f t="shared" si="252"/>
        <v>29568</v>
      </c>
      <c r="W372" s="790">
        <f t="shared" si="231"/>
        <v>48244.5</v>
      </c>
      <c r="X372" s="790">
        <f t="shared" si="232"/>
        <v>48244.5</v>
      </c>
      <c r="Y372" s="783">
        <f t="shared" si="253"/>
        <v>77812.5</v>
      </c>
      <c r="Z372" s="783">
        <f t="shared" si="254"/>
        <v>365</v>
      </c>
      <c r="AA372" s="783">
        <f t="shared" si="255"/>
        <v>14784</v>
      </c>
      <c r="AB372" s="783">
        <f t="shared" si="256"/>
        <v>44352</v>
      </c>
      <c r="AC372" s="783">
        <f t="shared" si="233"/>
        <v>33460.5</v>
      </c>
      <c r="AD372" s="790">
        <f t="shared" si="234"/>
        <v>33460.5</v>
      </c>
      <c r="AE372" s="790">
        <f t="shared" si="257"/>
        <v>77812.5</v>
      </c>
      <c r="AF372" s="791">
        <f t="shared" si="258"/>
        <v>365</v>
      </c>
      <c r="AG372" s="791">
        <f t="shared" si="259"/>
        <v>14784</v>
      </c>
      <c r="AH372" s="783">
        <f t="shared" si="260"/>
        <v>59136</v>
      </c>
      <c r="AI372" s="783">
        <f t="shared" si="235"/>
        <v>18676.5</v>
      </c>
      <c r="AJ372" s="790">
        <f t="shared" si="236"/>
        <v>18676.5</v>
      </c>
      <c r="AK372" s="790">
        <f t="shared" si="237"/>
        <v>77812.5</v>
      </c>
      <c r="AL372" s="791">
        <f t="shared" si="238"/>
        <v>365</v>
      </c>
      <c r="AM372" s="791">
        <f t="shared" si="239"/>
        <v>14784</v>
      </c>
      <c r="AN372" s="783">
        <f t="shared" si="240"/>
        <v>73920</v>
      </c>
      <c r="AO372" s="783">
        <f t="shared" si="241"/>
        <v>3892.5</v>
      </c>
      <c r="AP372" s="790">
        <f t="shared" si="242"/>
        <v>3892.5</v>
      </c>
      <c r="AQ372" s="790">
        <f t="shared" si="243"/>
        <v>77812.5</v>
      </c>
      <c r="AR372" s="791">
        <f t="shared" si="244"/>
        <v>0</v>
      </c>
      <c r="AS372" s="791">
        <f t="shared" si="245"/>
        <v>0</v>
      </c>
      <c r="AT372" s="790">
        <f t="shared" si="246"/>
        <v>73920</v>
      </c>
      <c r="AU372" s="790">
        <f t="shared" si="247"/>
        <v>3892.5</v>
      </c>
    </row>
    <row r="373" spans="1:47" ht="15" customHeight="1" x14ac:dyDescent="0.25">
      <c r="A373" s="842" t="s">
        <v>667</v>
      </c>
      <c r="B373" s="943" t="s">
        <v>216</v>
      </c>
      <c r="C373" s="778">
        <f t="shared" si="222"/>
        <v>0.19</v>
      </c>
      <c r="D373" s="844">
        <v>5</v>
      </c>
      <c r="E373" s="779" t="s">
        <v>1182</v>
      </c>
      <c r="F373" s="845">
        <v>43431</v>
      </c>
      <c r="G373" s="781">
        <f t="shared" si="248"/>
        <v>43431</v>
      </c>
      <c r="H373" s="781">
        <f t="shared" si="223"/>
        <v>45256</v>
      </c>
      <c r="I373" s="795">
        <v>76430</v>
      </c>
      <c r="J373" s="783">
        <f t="shared" si="224"/>
        <v>3821.5</v>
      </c>
      <c r="K373" s="790"/>
      <c r="L373" s="790">
        <v>0</v>
      </c>
      <c r="M373" s="790">
        <f t="shared" si="225"/>
        <v>76430</v>
      </c>
      <c r="N373" s="791">
        <f t="shared" si="226"/>
        <v>125</v>
      </c>
      <c r="O373" s="791">
        <f t="shared" si="227"/>
        <v>4973</v>
      </c>
      <c r="P373" s="790">
        <f t="shared" si="228"/>
        <v>4973</v>
      </c>
      <c r="Q373" s="790">
        <f t="shared" si="229"/>
        <v>71457</v>
      </c>
      <c r="R373" s="790">
        <f t="shared" si="230"/>
        <v>71457</v>
      </c>
      <c r="S373" s="790">
        <f t="shared" si="249"/>
        <v>76430</v>
      </c>
      <c r="T373" s="792">
        <f t="shared" si="250"/>
        <v>366</v>
      </c>
      <c r="U373" s="792">
        <f t="shared" si="251"/>
        <v>14522</v>
      </c>
      <c r="V373" s="790">
        <f t="shared" si="252"/>
        <v>19495</v>
      </c>
      <c r="W373" s="790">
        <f t="shared" si="231"/>
        <v>56935</v>
      </c>
      <c r="X373" s="790">
        <f t="shared" si="232"/>
        <v>56935</v>
      </c>
      <c r="Y373" s="783">
        <f t="shared" si="253"/>
        <v>76430</v>
      </c>
      <c r="Z373" s="783">
        <f t="shared" si="254"/>
        <v>365</v>
      </c>
      <c r="AA373" s="783">
        <f t="shared" si="255"/>
        <v>14522</v>
      </c>
      <c r="AB373" s="783">
        <f t="shared" si="256"/>
        <v>34017</v>
      </c>
      <c r="AC373" s="783">
        <f t="shared" si="233"/>
        <v>42413</v>
      </c>
      <c r="AD373" s="790">
        <f t="shared" si="234"/>
        <v>42413</v>
      </c>
      <c r="AE373" s="790">
        <f t="shared" si="257"/>
        <v>76430</v>
      </c>
      <c r="AF373" s="791">
        <f t="shared" si="258"/>
        <v>365</v>
      </c>
      <c r="AG373" s="791">
        <f t="shared" si="259"/>
        <v>14522</v>
      </c>
      <c r="AH373" s="783">
        <f t="shared" si="260"/>
        <v>48539</v>
      </c>
      <c r="AI373" s="783">
        <f t="shared" si="235"/>
        <v>27891</v>
      </c>
      <c r="AJ373" s="790">
        <f t="shared" si="236"/>
        <v>27891</v>
      </c>
      <c r="AK373" s="790">
        <f t="shared" si="237"/>
        <v>76430</v>
      </c>
      <c r="AL373" s="791">
        <f t="shared" si="238"/>
        <v>365</v>
      </c>
      <c r="AM373" s="791">
        <f t="shared" si="239"/>
        <v>14522</v>
      </c>
      <c r="AN373" s="783">
        <f t="shared" si="240"/>
        <v>63061</v>
      </c>
      <c r="AO373" s="783">
        <f t="shared" si="241"/>
        <v>13369</v>
      </c>
      <c r="AP373" s="790">
        <f t="shared" si="242"/>
        <v>13369</v>
      </c>
      <c r="AQ373" s="790">
        <f t="shared" si="243"/>
        <v>76430</v>
      </c>
      <c r="AR373" s="791">
        <f t="shared" si="244"/>
        <v>240</v>
      </c>
      <c r="AS373" s="791">
        <f t="shared" si="245"/>
        <v>9549</v>
      </c>
      <c r="AT373" s="790">
        <f t="shared" si="246"/>
        <v>72610</v>
      </c>
      <c r="AU373" s="790">
        <f t="shared" si="247"/>
        <v>3820</v>
      </c>
    </row>
    <row r="374" spans="1:47" ht="15" customHeight="1" x14ac:dyDescent="0.25">
      <c r="A374" s="842" t="s">
        <v>667</v>
      </c>
      <c r="B374" s="943" t="s">
        <v>216</v>
      </c>
      <c r="C374" s="778">
        <f t="shared" si="222"/>
        <v>0.19</v>
      </c>
      <c r="D374" s="844">
        <v>5</v>
      </c>
      <c r="E374" s="779" t="s">
        <v>1182</v>
      </c>
      <c r="F374" s="845">
        <v>43431</v>
      </c>
      <c r="G374" s="781">
        <f t="shared" si="248"/>
        <v>43431</v>
      </c>
      <c r="H374" s="781">
        <f t="shared" si="223"/>
        <v>45256</v>
      </c>
      <c r="I374" s="795">
        <v>144083</v>
      </c>
      <c r="J374" s="783">
        <f t="shared" si="224"/>
        <v>7204.1500000000005</v>
      </c>
      <c r="K374" s="790"/>
      <c r="L374" s="790">
        <v>0</v>
      </c>
      <c r="M374" s="790">
        <f t="shared" si="225"/>
        <v>144083</v>
      </c>
      <c r="N374" s="791">
        <f t="shared" si="226"/>
        <v>125</v>
      </c>
      <c r="O374" s="791">
        <f t="shared" si="227"/>
        <v>9375</v>
      </c>
      <c r="P374" s="790">
        <f t="shared" si="228"/>
        <v>9375</v>
      </c>
      <c r="Q374" s="790">
        <f t="shared" si="229"/>
        <v>134708</v>
      </c>
      <c r="R374" s="790">
        <f t="shared" si="230"/>
        <v>134708</v>
      </c>
      <c r="S374" s="790">
        <f t="shared" si="249"/>
        <v>144083</v>
      </c>
      <c r="T374" s="792">
        <f t="shared" si="250"/>
        <v>366</v>
      </c>
      <c r="U374" s="792">
        <f t="shared" si="251"/>
        <v>27376</v>
      </c>
      <c r="V374" s="790">
        <f t="shared" si="252"/>
        <v>36751</v>
      </c>
      <c r="W374" s="790">
        <f t="shared" si="231"/>
        <v>107332</v>
      </c>
      <c r="X374" s="790">
        <f t="shared" si="232"/>
        <v>107332</v>
      </c>
      <c r="Y374" s="783">
        <f t="shared" si="253"/>
        <v>144083</v>
      </c>
      <c r="Z374" s="783">
        <f t="shared" si="254"/>
        <v>365</v>
      </c>
      <c r="AA374" s="783">
        <f t="shared" si="255"/>
        <v>27376</v>
      </c>
      <c r="AB374" s="783">
        <f t="shared" si="256"/>
        <v>64127</v>
      </c>
      <c r="AC374" s="783">
        <f t="shared" si="233"/>
        <v>79956</v>
      </c>
      <c r="AD374" s="790">
        <f t="shared" si="234"/>
        <v>79956</v>
      </c>
      <c r="AE374" s="790">
        <f t="shared" si="257"/>
        <v>144083</v>
      </c>
      <c r="AF374" s="791">
        <f t="shared" si="258"/>
        <v>365</v>
      </c>
      <c r="AG374" s="791">
        <f t="shared" si="259"/>
        <v>27376</v>
      </c>
      <c r="AH374" s="783">
        <f t="shared" si="260"/>
        <v>91503</v>
      </c>
      <c r="AI374" s="783">
        <f t="shared" si="235"/>
        <v>52580</v>
      </c>
      <c r="AJ374" s="790">
        <f t="shared" si="236"/>
        <v>52580</v>
      </c>
      <c r="AK374" s="790">
        <f t="shared" si="237"/>
        <v>144083</v>
      </c>
      <c r="AL374" s="791">
        <f t="shared" si="238"/>
        <v>365</v>
      </c>
      <c r="AM374" s="791">
        <f t="shared" si="239"/>
        <v>27376</v>
      </c>
      <c r="AN374" s="783">
        <f t="shared" si="240"/>
        <v>118879</v>
      </c>
      <c r="AO374" s="783">
        <f t="shared" si="241"/>
        <v>25204</v>
      </c>
      <c r="AP374" s="790">
        <f t="shared" si="242"/>
        <v>25204</v>
      </c>
      <c r="AQ374" s="790">
        <f t="shared" si="243"/>
        <v>144083</v>
      </c>
      <c r="AR374" s="791">
        <f t="shared" si="244"/>
        <v>240</v>
      </c>
      <c r="AS374" s="791">
        <f t="shared" si="245"/>
        <v>18001</v>
      </c>
      <c r="AT374" s="790">
        <f t="shared" si="246"/>
        <v>136880</v>
      </c>
      <c r="AU374" s="790">
        <f t="shared" si="247"/>
        <v>7203</v>
      </c>
    </row>
    <row r="375" spans="1:47" ht="15" customHeight="1" x14ac:dyDescent="0.25">
      <c r="A375" s="842" t="s">
        <v>667</v>
      </c>
      <c r="B375" s="943" t="s">
        <v>216</v>
      </c>
      <c r="C375" s="778">
        <f t="shared" si="222"/>
        <v>0.19</v>
      </c>
      <c r="D375" s="844">
        <v>5</v>
      </c>
      <c r="E375" s="779" t="s">
        <v>1182</v>
      </c>
      <c r="F375" s="845">
        <v>43431</v>
      </c>
      <c r="G375" s="781">
        <f t="shared" si="248"/>
        <v>43431</v>
      </c>
      <c r="H375" s="781">
        <f t="shared" si="223"/>
        <v>45256</v>
      </c>
      <c r="I375" s="795">
        <v>154108</v>
      </c>
      <c r="J375" s="783">
        <f t="shared" si="224"/>
        <v>7705.4000000000005</v>
      </c>
      <c r="K375" s="790"/>
      <c r="L375" s="790">
        <v>0</v>
      </c>
      <c r="M375" s="790">
        <f t="shared" si="225"/>
        <v>154108</v>
      </c>
      <c r="N375" s="791">
        <f t="shared" si="226"/>
        <v>125</v>
      </c>
      <c r="O375" s="791">
        <f t="shared" si="227"/>
        <v>10028</v>
      </c>
      <c r="P375" s="790">
        <f t="shared" si="228"/>
        <v>10028</v>
      </c>
      <c r="Q375" s="790">
        <f t="shared" si="229"/>
        <v>144080</v>
      </c>
      <c r="R375" s="790">
        <f t="shared" si="230"/>
        <v>144080</v>
      </c>
      <c r="S375" s="790">
        <f t="shared" si="249"/>
        <v>154108</v>
      </c>
      <c r="T375" s="792">
        <f t="shared" si="250"/>
        <v>366</v>
      </c>
      <c r="U375" s="792">
        <f t="shared" si="251"/>
        <v>29281</v>
      </c>
      <c r="V375" s="790">
        <f t="shared" si="252"/>
        <v>39309</v>
      </c>
      <c r="W375" s="790">
        <f t="shared" si="231"/>
        <v>114799</v>
      </c>
      <c r="X375" s="790">
        <f t="shared" si="232"/>
        <v>114799</v>
      </c>
      <c r="Y375" s="783">
        <f t="shared" si="253"/>
        <v>154108</v>
      </c>
      <c r="Z375" s="783">
        <f t="shared" si="254"/>
        <v>365</v>
      </c>
      <c r="AA375" s="783">
        <f t="shared" si="255"/>
        <v>29281</v>
      </c>
      <c r="AB375" s="783">
        <f t="shared" si="256"/>
        <v>68590</v>
      </c>
      <c r="AC375" s="783">
        <f t="shared" si="233"/>
        <v>85518</v>
      </c>
      <c r="AD375" s="790">
        <f t="shared" si="234"/>
        <v>85518</v>
      </c>
      <c r="AE375" s="790">
        <f t="shared" si="257"/>
        <v>154108</v>
      </c>
      <c r="AF375" s="791">
        <f t="shared" si="258"/>
        <v>365</v>
      </c>
      <c r="AG375" s="791">
        <f t="shared" si="259"/>
        <v>29281</v>
      </c>
      <c r="AH375" s="783">
        <f t="shared" si="260"/>
        <v>97871</v>
      </c>
      <c r="AI375" s="783">
        <f t="shared" si="235"/>
        <v>56237</v>
      </c>
      <c r="AJ375" s="790">
        <f t="shared" si="236"/>
        <v>56237</v>
      </c>
      <c r="AK375" s="790">
        <f t="shared" si="237"/>
        <v>154108</v>
      </c>
      <c r="AL375" s="791">
        <f t="shared" si="238"/>
        <v>365</v>
      </c>
      <c r="AM375" s="791">
        <f t="shared" si="239"/>
        <v>29281</v>
      </c>
      <c r="AN375" s="783">
        <f t="shared" si="240"/>
        <v>127152</v>
      </c>
      <c r="AO375" s="783">
        <f t="shared" si="241"/>
        <v>26956</v>
      </c>
      <c r="AP375" s="790">
        <f t="shared" si="242"/>
        <v>26956</v>
      </c>
      <c r="AQ375" s="790">
        <f t="shared" si="243"/>
        <v>154108</v>
      </c>
      <c r="AR375" s="791">
        <f t="shared" si="244"/>
        <v>240</v>
      </c>
      <c r="AS375" s="791">
        <f t="shared" si="245"/>
        <v>19253</v>
      </c>
      <c r="AT375" s="790">
        <f t="shared" si="246"/>
        <v>146405</v>
      </c>
      <c r="AU375" s="790">
        <f t="shared" si="247"/>
        <v>7703</v>
      </c>
    </row>
    <row r="376" spans="1:47" ht="15" customHeight="1" x14ac:dyDescent="0.25">
      <c r="A376" s="842" t="s">
        <v>667</v>
      </c>
      <c r="B376" s="943" t="s">
        <v>216</v>
      </c>
      <c r="C376" s="778">
        <f t="shared" si="222"/>
        <v>0.19</v>
      </c>
      <c r="D376" s="844">
        <v>5</v>
      </c>
      <c r="E376" s="779" t="s">
        <v>1182</v>
      </c>
      <c r="F376" s="845">
        <v>43431</v>
      </c>
      <c r="G376" s="781">
        <f t="shared" si="248"/>
        <v>43431</v>
      </c>
      <c r="H376" s="781">
        <f t="shared" si="223"/>
        <v>45256</v>
      </c>
      <c r="I376" s="795">
        <v>154108</v>
      </c>
      <c r="J376" s="783">
        <f t="shared" si="224"/>
        <v>7705.4000000000005</v>
      </c>
      <c r="K376" s="790"/>
      <c r="L376" s="790">
        <v>0</v>
      </c>
      <c r="M376" s="790">
        <f t="shared" si="225"/>
        <v>154108</v>
      </c>
      <c r="N376" s="791">
        <f t="shared" si="226"/>
        <v>125</v>
      </c>
      <c r="O376" s="791">
        <f t="shared" si="227"/>
        <v>10028</v>
      </c>
      <c r="P376" s="790">
        <f t="shared" si="228"/>
        <v>10028</v>
      </c>
      <c r="Q376" s="790">
        <f t="shared" si="229"/>
        <v>144080</v>
      </c>
      <c r="R376" s="790">
        <f t="shared" si="230"/>
        <v>144080</v>
      </c>
      <c r="S376" s="790">
        <f t="shared" si="249"/>
        <v>154108</v>
      </c>
      <c r="T376" s="792">
        <f t="shared" si="250"/>
        <v>366</v>
      </c>
      <c r="U376" s="792">
        <f t="shared" si="251"/>
        <v>29281</v>
      </c>
      <c r="V376" s="790">
        <f t="shared" si="252"/>
        <v>39309</v>
      </c>
      <c r="W376" s="790">
        <f t="shared" si="231"/>
        <v>114799</v>
      </c>
      <c r="X376" s="790">
        <f t="shared" si="232"/>
        <v>114799</v>
      </c>
      <c r="Y376" s="783">
        <f t="shared" si="253"/>
        <v>154108</v>
      </c>
      <c r="Z376" s="783">
        <f t="shared" si="254"/>
        <v>365</v>
      </c>
      <c r="AA376" s="783">
        <f t="shared" si="255"/>
        <v>29281</v>
      </c>
      <c r="AB376" s="783">
        <f t="shared" si="256"/>
        <v>68590</v>
      </c>
      <c r="AC376" s="783">
        <f t="shared" si="233"/>
        <v>85518</v>
      </c>
      <c r="AD376" s="790">
        <f t="shared" si="234"/>
        <v>85518</v>
      </c>
      <c r="AE376" s="790">
        <f t="shared" si="257"/>
        <v>154108</v>
      </c>
      <c r="AF376" s="791">
        <f t="shared" si="258"/>
        <v>365</v>
      </c>
      <c r="AG376" s="791">
        <f t="shared" si="259"/>
        <v>29281</v>
      </c>
      <c r="AH376" s="783">
        <f t="shared" si="260"/>
        <v>97871</v>
      </c>
      <c r="AI376" s="783">
        <f t="shared" si="235"/>
        <v>56237</v>
      </c>
      <c r="AJ376" s="790">
        <f t="shared" si="236"/>
        <v>56237</v>
      </c>
      <c r="AK376" s="790">
        <f t="shared" si="237"/>
        <v>154108</v>
      </c>
      <c r="AL376" s="791">
        <f t="shared" si="238"/>
        <v>365</v>
      </c>
      <c r="AM376" s="791">
        <f t="shared" si="239"/>
        <v>29281</v>
      </c>
      <c r="AN376" s="783">
        <f t="shared" si="240"/>
        <v>127152</v>
      </c>
      <c r="AO376" s="783">
        <f t="shared" si="241"/>
        <v>26956</v>
      </c>
      <c r="AP376" s="790">
        <f t="shared" si="242"/>
        <v>26956</v>
      </c>
      <c r="AQ376" s="790">
        <f t="shared" si="243"/>
        <v>154108</v>
      </c>
      <c r="AR376" s="791">
        <f t="shared" si="244"/>
        <v>240</v>
      </c>
      <c r="AS376" s="791">
        <f t="shared" si="245"/>
        <v>19253</v>
      </c>
      <c r="AT376" s="790">
        <f t="shared" si="246"/>
        <v>146405</v>
      </c>
      <c r="AU376" s="790">
        <f t="shared" si="247"/>
        <v>7703</v>
      </c>
    </row>
    <row r="377" spans="1:47" ht="15" customHeight="1" x14ac:dyDescent="0.25">
      <c r="A377" s="842" t="s">
        <v>667</v>
      </c>
      <c r="B377" s="943" t="s">
        <v>216</v>
      </c>
      <c r="C377" s="778">
        <f t="shared" si="222"/>
        <v>0.19</v>
      </c>
      <c r="D377" s="844">
        <v>5</v>
      </c>
      <c r="E377" s="779" t="s">
        <v>1182</v>
      </c>
      <c r="F377" s="845">
        <v>43431</v>
      </c>
      <c r="G377" s="781">
        <f t="shared" si="248"/>
        <v>43431</v>
      </c>
      <c r="H377" s="781">
        <f t="shared" si="223"/>
        <v>45256</v>
      </c>
      <c r="I377" s="795">
        <v>114645</v>
      </c>
      <c r="J377" s="783">
        <f t="shared" si="224"/>
        <v>5732.25</v>
      </c>
      <c r="K377" s="790"/>
      <c r="L377" s="790">
        <v>0</v>
      </c>
      <c r="M377" s="790">
        <f t="shared" si="225"/>
        <v>114645</v>
      </c>
      <c r="N377" s="791">
        <f t="shared" si="226"/>
        <v>125</v>
      </c>
      <c r="O377" s="791">
        <f t="shared" si="227"/>
        <v>7460</v>
      </c>
      <c r="P377" s="790">
        <f t="shared" si="228"/>
        <v>7460</v>
      </c>
      <c r="Q377" s="790">
        <f t="shared" si="229"/>
        <v>107185</v>
      </c>
      <c r="R377" s="790">
        <f t="shared" si="230"/>
        <v>107185</v>
      </c>
      <c r="S377" s="790">
        <f t="shared" si="249"/>
        <v>114645</v>
      </c>
      <c r="T377" s="792">
        <f t="shared" si="250"/>
        <v>366</v>
      </c>
      <c r="U377" s="792">
        <f t="shared" si="251"/>
        <v>21783</v>
      </c>
      <c r="V377" s="790">
        <f t="shared" si="252"/>
        <v>29243</v>
      </c>
      <c r="W377" s="790">
        <f t="shared" si="231"/>
        <v>85402</v>
      </c>
      <c r="X377" s="790">
        <f t="shared" si="232"/>
        <v>85402</v>
      </c>
      <c r="Y377" s="783">
        <f t="shared" si="253"/>
        <v>114645</v>
      </c>
      <c r="Z377" s="783">
        <f t="shared" si="254"/>
        <v>365</v>
      </c>
      <c r="AA377" s="783">
        <f t="shared" si="255"/>
        <v>21783</v>
      </c>
      <c r="AB377" s="783">
        <f t="shared" si="256"/>
        <v>51026</v>
      </c>
      <c r="AC377" s="783">
        <f t="shared" si="233"/>
        <v>63619</v>
      </c>
      <c r="AD377" s="790">
        <f t="shared" si="234"/>
        <v>63619</v>
      </c>
      <c r="AE377" s="790">
        <f t="shared" si="257"/>
        <v>114645</v>
      </c>
      <c r="AF377" s="791">
        <f t="shared" si="258"/>
        <v>365</v>
      </c>
      <c r="AG377" s="791">
        <f t="shared" si="259"/>
        <v>21783</v>
      </c>
      <c r="AH377" s="783">
        <f t="shared" si="260"/>
        <v>72809</v>
      </c>
      <c r="AI377" s="783">
        <f t="shared" si="235"/>
        <v>41836</v>
      </c>
      <c r="AJ377" s="790">
        <f t="shared" si="236"/>
        <v>41836</v>
      </c>
      <c r="AK377" s="790">
        <f t="shared" si="237"/>
        <v>114645</v>
      </c>
      <c r="AL377" s="791">
        <f t="shared" si="238"/>
        <v>365</v>
      </c>
      <c r="AM377" s="791">
        <f t="shared" si="239"/>
        <v>21783</v>
      </c>
      <c r="AN377" s="783">
        <f t="shared" si="240"/>
        <v>94592</v>
      </c>
      <c r="AO377" s="783">
        <f t="shared" si="241"/>
        <v>20053</v>
      </c>
      <c r="AP377" s="790">
        <f t="shared" si="242"/>
        <v>20053</v>
      </c>
      <c r="AQ377" s="790">
        <f t="shared" si="243"/>
        <v>114645</v>
      </c>
      <c r="AR377" s="791">
        <f t="shared" si="244"/>
        <v>240</v>
      </c>
      <c r="AS377" s="791">
        <f t="shared" si="245"/>
        <v>14323</v>
      </c>
      <c r="AT377" s="790">
        <f t="shared" si="246"/>
        <v>108915</v>
      </c>
      <c r="AU377" s="790">
        <f t="shared" si="247"/>
        <v>5730</v>
      </c>
    </row>
    <row r="378" spans="1:47" ht="15" customHeight="1" x14ac:dyDescent="0.25">
      <c r="A378" s="842" t="s">
        <v>667</v>
      </c>
      <c r="B378" s="943" t="s">
        <v>216</v>
      </c>
      <c r="C378" s="778">
        <f t="shared" si="222"/>
        <v>0.19</v>
      </c>
      <c r="D378" s="844">
        <v>5</v>
      </c>
      <c r="E378" s="779" t="s">
        <v>1182</v>
      </c>
      <c r="F378" s="845">
        <v>43431</v>
      </c>
      <c r="G378" s="781">
        <f t="shared" si="248"/>
        <v>43431</v>
      </c>
      <c r="H378" s="781">
        <f t="shared" si="223"/>
        <v>45256</v>
      </c>
      <c r="I378" s="795">
        <v>93750</v>
      </c>
      <c r="J378" s="783">
        <f t="shared" si="224"/>
        <v>4687.5</v>
      </c>
      <c r="K378" s="790"/>
      <c r="L378" s="790">
        <v>0</v>
      </c>
      <c r="M378" s="790">
        <f t="shared" si="225"/>
        <v>93750</v>
      </c>
      <c r="N378" s="791">
        <f t="shared" si="226"/>
        <v>125</v>
      </c>
      <c r="O378" s="791">
        <f t="shared" si="227"/>
        <v>6100</v>
      </c>
      <c r="P378" s="790">
        <f t="shared" si="228"/>
        <v>6100</v>
      </c>
      <c r="Q378" s="790">
        <f t="shared" si="229"/>
        <v>87650</v>
      </c>
      <c r="R378" s="790">
        <f t="shared" si="230"/>
        <v>87650</v>
      </c>
      <c r="S378" s="790">
        <f t="shared" si="249"/>
        <v>93750</v>
      </c>
      <c r="T378" s="792">
        <f t="shared" si="250"/>
        <v>366</v>
      </c>
      <c r="U378" s="792">
        <f t="shared" si="251"/>
        <v>17813</v>
      </c>
      <c r="V378" s="790">
        <f t="shared" si="252"/>
        <v>23913</v>
      </c>
      <c r="W378" s="790">
        <f t="shared" si="231"/>
        <v>69837</v>
      </c>
      <c r="X378" s="790">
        <f t="shared" si="232"/>
        <v>69837</v>
      </c>
      <c r="Y378" s="783">
        <f t="shared" si="253"/>
        <v>93750</v>
      </c>
      <c r="Z378" s="783">
        <f t="shared" si="254"/>
        <v>365</v>
      </c>
      <c r="AA378" s="783">
        <f t="shared" si="255"/>
        <v>17813</v>
      </c>
      <c r="AB378" s="783">
        <f t="shared" si="256"/>
        <v>41726</v>
      </c>
      <c r="AC378" s="783">
        <f t="shared" si="233"/>
        <v>52024</v>
      </c>
      <c r="AD378" s="790">
        <f t="shared" si="234"/>
        <v>52024</v>
      </c>
      <c r="AE378" s="790">
        <f t="shared" si="257"/>
        <v>93750</v>
      </c>
      <c r="AF378" s="791">
        <f t="shared" si="258"/>
        <v>365</v>
      </c>
      <c r="AG378" s="791">
        <f t="shared" si="259"/>
        <v>17813</v>
      </c>
      <c r="AH378" s="783">
        <f t="shared" si="260"/>
        <v>59539</v>
      </c>
      <c r="AI378" s="783">
        <f t="shared" si="235"/>
        <v>34211</v>
      </c>
      <c r="AJ378" s="790">
        <f t="shared" si="236"/>
        <v>34211</v>
      </c>
      <c r="AK378" s="790">
        <f t="shared" si="237"/>
        <v>93750</v>
      </c>
      <c r="AL378" s="791">
        <f t="shared" si="238"/>
        <v>365</v>
      </c>
      <c r="AM378" s="791">
        <f t="shared" si="239"/>
        <v>17813</v>
      </c>
      <c r="AN378" s="783">
        <f t="shared" si="240"/>
        <v>77352</v>
      </c>
      <c r="AO378" s="783">
        <f t="shared" si="241"/>
        <v>16398</v>
      </c>
      <c r="AP378" s="790">
        <f t="shared" si="242"/>
        <v>16398</v>
      </c>
      <c r="AQ378" s="790">
        <f t="shared" si="243"/>
        <v>93750</v>
      </c>
      <c r="AR378" s="791">
        <f t="shared" si="244"/>
        <v>240</v>
      </c>
      <c r="AS378" s="791">
        <f t="shared" si="245"/>
        <v>11712</v>
      </c>
      <c r="AT378" s="790">
        <f t="shared" si="246"/>
        <v>89064</v>
      </c>
      <c r="AU378" s="790">
        <f t="shared" si="247"/>
        <v>4686</v>
      </c>
    </row>
    <row r="379" spans="1:47" ht="15" customHeight="1" x14ac:dyDescent="0.25">
      <c r="A379" s="842" t="s">
        <v>667</v>
      </c>
      <c r="B379" s="943" t="s">
        <v>216</v>
      </c>
      <c r="C379" s="778">
        <f t="shared" si="222"/>
        <v>0.19</v>
      </c>
      <c r="D379" s="844">
        <v>5</v>
      </c>
      <c r="E379" s="779" t="s">
        <v>1182</v>
      </c>
      <c r="F379" s="845">
        <v>43431</v>
      </c>
      <c r="G379" s="781">
        <f t="shared" si="248"/>
        <v>43431</v>
      </c>
      <c r="H379" s="781">
        <f t="shared" si="223"/>
        <v>45256</v>
      </c>
      <c r="I379" s="795">
        <v>5005</v>
      </c>
      <c r="J379" s="783">
        <f t="shared" si="224"/>
        <v>250.25</v>
      </c>
      <c r="K379" s="790"/>
      <c r="L379" s="790">
        <v>0</v>
      </c>
      <c r="M379" s="790">
        <f t="shared" si="225"/>
        <v>5005</v>
      </c>
      <c r="N379" s="791">
        <f t="shared" si="226"/>
        <v>125</v>
      </c>
      <c r="O379" s="791">
        <f t="shared" si="227"/>
        <v>326</v>
      </c>
      <c r="P379" s="790">
        <f t="shared" si="228"/>
        <v>326</v>
      </c>
      <c r="Q379" s="790">
        <f t="shared" si="229"/>
        <v>4679</v>
      </c>
      <c r="R379" s="790">
        <f t="shared" si="230"/>
        <v>4679</v>
      </c>
      <c r="S379" s="790">
        <f t="shared" si="249"/>
        <v>5005</v>
      </c>
      <c r="T379" s="792">
        <f t="shared" si="250"/>
        <v>366</v>
      </c>
      <c r="U379" s="792">
        <f t="shared" si="251"/>
        <v>951</v>
      </c>
      <c r="V379" s="790">
        <f t="shared" si="252"/>
        <v>1277</v>
      </c>
      <c r="W379" s="790">
        <f t="shared" si="231"/>
        <v>3728</v>
      </c>
      <c r="X379" s="790">
        <f t="shared" si="232"/>
        <v>3728</v>
      </c>
      <c r="Y379" s="783">
        <f t="shared" si="253"/>
        <v>5005</v>
      </c>
      <c r="Z379" s="783">
        <f t="shared" si="254"/>
        <v>365</v>
      </c>
      <c r="AA379" s="783">
        <f t="shared" si="255"/>
        <v>951</v>
      </c>
      <c r="AB379" s="783">
        <f t="shared" si="256"/>
        <v>2228</v>
      </c>
      <c r="AC379" s="783">
        <f t="shared" si="233"/>
        <v>2777</v>
      </c>
      <c r="AD379" s="790">
        <f t="shared" si="234"/>
        <v>2777</v>
      </c>
      <c r="AE379" s="790">
        <f t="shared" si="257"/>
        <v>5005</v>
      </c>
      <c r="AF379" s="791">
        <f t="shared" si="258"/>
        <v>365</v>
      </c>
      <c r="AG379" s="791">
        <f t="shared" si="259"/>
        <v>951</v>
      </c>
      <c r="AH379" s="783">
        <f t="shared" si="260"/>
        <v>3179</v>
      </c>
      <c r="AI379" s="783">
        <f t="shared" si="235"/>
        <v>1826</v>
      </c>
      <c r="AJ379" s="790">
        <f t="shared" si="236"/>
        <v>1826</v>
      </c>
      <c r="AK379" s="790">
        <f t="shared" si="237"/>
        <v>5005</v>
      </c>
      <c r="AL379" s="791">
        <f t="shared" si="238"/>
        <v>365</v>
      </c>
      <c r="AM379" s="791">
        <f t="shared" si="239"/>
        <v>951</v>
      </c>
      <c r="AN379" s="783">
        <f t="shared" si="240"/>
        <v>4130</v>
      </c>
      <c r="AO379" s="783">
        <f t="shared" si="241"/>
        <v>875</v>
      </c>
      <c r="AP379" s="790">
        <f t="shared" si="242"/>
        <v>875</v>
      </c>
      <c r="AQ379" s="790">
        <f t="shared" si="243"/>
        <v>5005</v>
      </c>
      <c r="AR379" s="791">
        <f t="shared" si="244"/>
        <v>240</v>
      </c>
      <c r="AS379" s="791">
        <f t="shared" si="245"/>
        <v>625</v>
      </c>
      <c r="AT379" s="790">
        <f t="shared" si="246"/>
        <v>4755</v>
      </c>
      <c r="AU379" s="790">
        <f t="shared" si="247"/>
        <v>250</v>
      </c>
    </row>
    <row r="380" spans="1:47" ht="15" customHeight="1" x14ac:dyDescent="0.25">
      <c r="A380" s="842" t="s">
        <v>667</v>
      </c>
      <c r="B380" s="943" t="s">
        <v>1309</v>
      </c>
      <c r="C380" s="778">
        <f t="shared" si="222"/>
        <v>0.19</v>
      </c>
      <c r="D380" s="844">
        <v>5</v>
      </c>
      <c r="E380" s="779" t="s">
        <v>1182</v>
      </c>
      <c r="F380" s="845">
        <v>43194</v>
      </c>
      <c r="G380" s="781">
        <f t="shared" si="248"/>
        <v>43194</v>
      </c>
      <c r="H380" s="781">
        <f t="shared" si="223"/>
        <v>45019</v>
      </c>
      <c r="I380" s="795">
        <v>7078</v>
      </c>
      <c r="J380" s="783">
        <f t="shared" si="224"/>
        <v>353.90000000000003</v>
      </c>
      <c r="K380" s="790"/>
      <c r="L380" s="790">
        <v>0</v>
      </c>
      <c r="M380" s="790">
        <f t="shared" si="225"/>
        <v>7078</v>
      </c>
      <c r="N380" s="791">
        <f t="shared" si="226"/>
        <v>362</v>
      </c>
      <c r="O380" s="791">
        <f t="shared" si="227"/>
        <v>1334</v>
      </c>
      <c r="P380" s="790">
        <f t="shared" si="228"/>
        <v>1334</v>
      </c>
      <c r="Q380" s="790">
        <f t="shared" si="229"/>
        <v>5744</v>
      </c>
      <c r="R380" s="790">
        <f t="shared" si="230"/>
        <v>5744</v>
      </c>
      <c r="S380" s="790">
        <f t="shared" si="249"/>
        <v>7078</v>
      </c>
      <c r="T380" s="792">
        <f t="shared" si="250"/>
        <v>366</v>
      </c>
      <c r="U380" s="792">
        <f t="shared" si="251"/>
        <v>1345</v>
      </c>
      <c r="V380" s="790">
        <f t="shared" si="252"/>
        <v>2679</v>
      </c>
      <c r="W380" s="790">
        <f t="shared" si="231"/>
        <v>4399</v>
      </c>
      <c r="X380" s="790">
        <f t="shared" si="232"/>
        <v>4399</v>
      </c>
      <c r="Y380" s="783">
        <f t="shared" si="253"/>
        <v>7078</v>
      </c>
      <c r="Z380" s="783">
        <f t="shared" si="254"/>
        <v>365</v>
      </c>
      <c r="AA380" s="783">
        <f t="shared" si="255"/>
        <v>1345</v>
      </c>
      <c r="AB380" s="783">
        <f t="shared" si="256"/>
        <v>4024</v>
      </c>
      <c r="AC380" s="783">
        <f t="shared" si="233"/>
        <v>3054</v>
      </c>
      <c r="AD380" s="790">
        <f t="shared" si="234"/>
        <v>3054</v>
      </c>
      <c r="AE380" s="790">
        <f t="shared" si="257"/>
        <v>7078</v>
      </c>
      <c r="AF380" s="791">
        <f t="shared" si="258"/>
        <v>365</v>
      </c>
      <c r="AG380" s="791">
        <f t="shared" si="259"/>
        <v>1345</v>
      </c>
      <c r="AH380" s="783">
        <f t="shared" si="260"/>
        <v>5369</v>
      </c>
      <c r="AI380" s="783">
        <f t="shared" si="235"/>
        <v>1709</v>
      </c>
      <c r="AJ380" s="790">
        <f t="shared" si="236"/>
        <v>1709</v>
      </c>
      <c r="AK380" s="790">
        <f t="shared" si="237"/>
        <v>7078</v>
      </c>
      <c r="AL380" s="791">
        <f t="shared" si="238"/>
        <v>365</v>
      </c>
      <c r="AM380" s="791">
        <f t="shared" si="239"/>
        <v>1345</v>
      </c>
      <c r="AN380" s="783">
        <f t="shared" si="240"/>
        <v>6714</v>
      </c>
      <c r="AO380" s="783">
        <f t="shared" si="241"/>
        <v>364</v>
      </c>
      <c r="AP380" s="790">
        <f t="shared" si="242"/>
        <v>364</v>
      </c>
      <c r="AQ380" s="790">
        <f t="shared" si="243"/>
        <v>7078</v>
      </c>
      <c r="AR380" s="791">
        <f t="shared" si="244"/>
        <v>3</v>
      </c>
      <c r="AS380" s="791">
        <f t="shared" si="245"/>
        <v>11</v>
      </c>
      <c r="AT380" s="790">
        <f t="shared" si="246"/>
        <v>6725</v>
      </c>
      <c r="AU380" s="790">
        <f t="shared" si="247"/>
        <v>353</v>
      </c>
    </row>
    <row r="381" spans="1:47" ht="15" customHeight="1" x14ac:dyDescent="0.25">
      <c r="A381" s="842" t="s">
        <v>667</v>
      </c>
      <c r="B381" s="943" t="s">
        <v>1309</v>
      </c>
      <c r="C381" s="778">
        <f t="shared" si="222"/>
        <v>0.19</v>
      </c>
      <c r="D381" s="844">
        <v>5</v>
      </c>
      <c r="E381" s="779" t="s">
        <v>1182</v>
      </c>
      <c r="F381" s="845">
        <v>43371</v>
      </c>
      <c r="G381" s="781">
        <f t="shared" si="248"/>
        <v>43371</v>
      </c>
      <c r="H381" s="781">
        <f t="shared" si="223"/>
        <v>45196</v>
      </c>
      <c r="I381" s="795">
        <v>1680</v>
      </c>
      <c r="J381" s="783">
        <f t="shared" si="224"/>
        <v>84</v>
      </c>
      <c r="K381" s="790"/>
      <c r="L381" s="790">
        <v>0</v>
      </c>
      <c r="M381" s="790">
        <f t="shared" si="225"/>
        <v>1680</v>
      </c>
      <c r="N381" s="791">
        <f t="shared" si="226"/>
        <v>185</v>
      </c>
      <c r="O381" s="791">
        <f t="shared" si="227"/>
        <v>162</v>
      </c>
      <c r="P381" s="790">
        <f t="shared" si="228"/>
        <v>162</v>
      </c>
      <c r="Q381" s="790">
        <f t="shared" si="229"/>
        <v>1518</v>
      </c>
      <c r="R381" s="790">
        <f t="shared" si="230"/>
        <v>1518</v>
      </c>
      <c r="S381" s="790">
        <f t="shared" si="249"/>
        <v>1680</v>
      </c>
      <c r="T381" s="792">
        <f t="shared" si="250"/>
        <v>366</v>
      </c>
      <c r="U381" s="792">
        <f t="shared" si="251"/>
        <v>319</v>
      </c>
      <c r="V381" s="790">
        <f t="shared" si="252"/>
        <v>481</v>
      </c>
      <c r="W381" s="790">
        <f t="shared" si="231"/>
        <v>1199</v>
      </c>
      <c r="X381" s="790">
        <f t="shared" si="232"/>
        <v>1199</v>
      </c>
      <c r="Y381" s="783">
        <f t="shared" si="253"/>
        <v>1680</v>
      </c>
      <c r="Z381" s="783">
        <f t="shared" si="254"/>
        <v>365</v>
      </c>
      <c r="AA381" s="783">
        <f t="shared" si="255"/>
        <v>319</v>
      </c>
      <c r="AB381" s="783">
        <f t="shared" si="256"/>
        <v>800</v>
      </c>
      <c r="AC381" s="783">
        <f t="shared" si="233"/>
        <v>880</v>
      </c>
      <c r="AD381" s="790">
        <f t="shared" si="234"/>
        <v>880</v>
      </c>
      <c r="AE381" s="790">
        <f t="shared" si="257"/>
        <v>1680</v>
      </c>
      <c r="AF381" s="791">
        <f t="shared" si="258"/>
        <v>365</v>
      </c>
      <c r="AG381" s="791">
        <f t="shared" si="259"/>
        <v>319</v>
      </c>
      <c r="AH381" s="783">
        <f t="shared" si="260"/>
        <v>1119</v>
      </c>
      <c r="AI381" s="783">
        <f t="shared" si="235"/>
        <v>561</v>
      </c>
      <c r="AJ381" s="790">
        <f t="shared" si="236"/>
        <v>561</v>
      </c>
      <c r="AK381" s="790">
        <f t="shared" si="237"/>
        <v>1680</v>
      </c>
      <c r="AL381" s="791">
        <f t="shared" si="238"/>
        <v>365</v>
      </c>
      <c r="AM381" s="791">
        <f t="shared" si="239"/>
        <v>319</v>
      </c>
      <c r="AN381" s="783">
        <f t="shared" si="240"/>
        <v>1438</v>
      </c>
      <c r="AO381" s="783">
        <f t="shared" si="241"/>
        <v>242</v>
      </c>
      <c r="AP381" s="790">
        <f t="shared" si="242"/>
        <v>242</v>
      </c>
      <c r="AQ381" s="790">
        <f t="shared" si="243"/>
        <v>1680</v>
      </c>
      <c r="AR381" s="791">
        <f t="shared" si="244"/>
        <v>180</v>
      </c>
      <c r="AS381" s="791">
        <f t="shared" si="245"/>
        <v>157</v>
      </c>
      <c r="AT381" s="790">
        <f t="shared" si="246"/>
        <v>1595</v>
      </c>
      <c r="AU381" s="790">
        <f t="shared" si="247"/>
        <v>85</v>
      </c>
    </row>
    <row r="382" spans="1:47" ht="15" customHeight="1" x14ac:dyDescent="0.25">
      <c r="A382" s="842" t="s">
        <v>667</v>
      </c>
      <c r="B382" s="943" t="s">
        <v>216</v>
      </c>
      <c r="C382" s="778">
        <f t="shared" si="222"/>
        <v>0.19</v>
      </c>
      <c r="D382" s="844">
        <v>5</v>
      </c>
      <c r="E382" s="844" t="s">
        <v>1205</v>
      </c>
      <c r="F382" s="845">
        <v>43558</v>
      </c>
      <c r="G382" s="781">
        <f t="shared" si="248"/>
        <v>43558</v>
      </c>
      <c r="H382" s="781">
        <f t="shared" si="223"/>
        <v>45383</v>
      </c>
      <c r="I382" s="795">
        <v>20250</v>
      </c>
      <c r="J382" s="783">
        <f t="shared" si="224"/>
        <v>1012.5</v>
      </c>
      <c r="K382" s="790"/>
      <c r="L382" s="790">
        <v>0</v>
      </c>
      <c r="M382" s="790">
        <v>0</v>
      </c>
      <c r="N382" s="790">
        <v>0</v>
      </c>
      <c r="O382" s="790">
        <v>0</v>
      </c>
      <c r="P382" s="790">
        <v>0</v>
      </c>
      <c r="Q382" s="790">
        <v>0</v>
      </c>
      <c r="R382" s="790">
        <f t="shared" si="230"/>
        <v>0</v>
      </c>
      <c r="S382" s="790">
        <f t="shared" si="249"/>
        <v>20250</v>
      </c>
      <c r="T382" s="792">
        <f t="shared" si="250"/>
        <v>364</v>
      </c>
      <c r="U382" s="792">
        <f t="shared" si="251"/>
        <v>3826</v>
      </c>
      <c r="V382" s="790">
        <f t="shared" si="252"/>
        <v>3826</v>
      </c>
      <c r="W382" s="790">
        <f t="shared" si="231"/>
        <v>16424</v>
      </c>
      <c r="X382" s="790">
        <f t="shared" si="232"/>
        <v>16424</v>
      </c>
      <c r="Y382" s="783">
        <f t="shared" si="253"/>
        <v>20250</v>
      </c>
      <c r="Z382" s="783">
        <f t="shared" si="254"/>
        <v>365</v>
      </c>
      <c r="AA382" s="783">
        <f t="shared" si="255"/>
        <v>3848</v>
      </c>
      <c r="AB382" s="783">
        <f t="shared" si="256"/>
        <v>7674</v>
      </c>
      <c r="AC382" s="783">
        <f t="shared" si="233"/>
        <v>12576</v>
      </c>
      <c r="AD382" s="790">
        <f t="shared" si="234"/>
        <v>12576</v>
      </c>
      <c r="AE382" s="790">
        <f t="shared" si="257"/>
        <v>20250</v>
      </c>
      <c r="AF382" s="791">
        <f t="shared" si="258"/>
        <v>365</v>
      </c>
      <c r="AG382" s="791">
        <f t="shared" si="259"/>
        <v>3848</v>
      </c>
      <c r="AH382" s="783">
        <f t="shared" si="260"/>
        <v>11522</v>
      </c>
      <c r="AI382" s="783">
        <f t="shared" si="235"/>
        <v>8728</v>
      </c>
      <c r="AJ382" s="790">
        <f t="shared" si="236"/>
        <v>8728</v>
      </c>
      <c r="AK382" s="790">
        <f t="shared" si="237"/>
        <v>20250</v>
      </c>
      <c r="AL382" s="791">
        <f t="shared" si="238"/>
        <v>365</v>
      </c>
      <c r="AM382" s="791">
        <f t="shared" si="239"/>
        <v>3848</v>
      </c>
      <c r="AN382" s="783">
        <f t="shared" si="240"/>
        <v>15370</v>
      </c>
      <c r="AO382" s="783">
        <f t="shared" si="241"/>
        <v>4880</v>
      </c>
      <c r="AP382" s="790">
        <f t="shared" si="242"/>
        <v>4880</v>
      </c>
      <c r="AQ382" s="790">
        <f t="shared" si="243"/>
        <v>20250</v>
      </c>
      <c r="AR382" s="791">
        <f t="shared" si="244"/>
        <v>366</v>
      </c>
      <c r="AS382" s="791">
        <f t="shared" si="245"/>
        <v>3858</v>
      </c>
      <c r="AT382" s="790">
        <f t="shared" si="246"/>
        <v>19228</v>
      </c>
      <c r="AU382" s="790">
        <f t="shared" si="247"/>
        <v>1022</v>
      </c>
    </row>
    <row r="383" spans="1:47" ht="15" customHeight="1" x14ac:dyDescent="0.25">
      <c r="A383" s="842" t="s">
        <v>667</v>
      </c>
      <c r="B383" s="943" t="s">
        <v>1306</v>
      </c>
      <c r="C383" s="778">
        <f t="shared" si="222"/>
        <v>0.19</v>
      </c>
      <c r="D383" s="844">
        <v>5</v>
      </c>
      <c r="E383" s="844" t="s">
        <v>1205</v>
      </c>
      <c r="F383" s="845">
        <v>43558</v>
      </c>
      <c r="G383" s="781">
        <f t="shared" si="248"/>
        <v>43558</v>
      </c>
      <c r="H383" s="781">
        <f t="shared" si="223"/>
        <v>45383</v>
      </c>
      <c r="I383" s="795">
        <f>192400</f>
        <v>192400</v>
      </c>
      <c r="J383" s="783">
        <f t="shared" si="224"/>
        <v>9620</v>
      </c>
      <c r="K383" s="790"/>
      <c r="L383" s="790">
        <v>0</v>
      </c>
      <c r="M383" s="790">
        <v>0</v>
      </c>
      <c r="N383" s="790">
        <v>0</v>
      </c>
      <c r="O383" s="790">
        <v>0</v>
      </c>
      <c r="P383" s="790">
        <v>0</v>
      </c>
      <c r="Q383" s="790">
        <v>0</v>
      </c>
      <c r="R383" s="790">
        <f t="shared" si="230"/>
        <v>0</v>
      </c>
      <c r="S383" s="790">
        <f t="shared" si="249"/>
        <v>192400</v>
      </c>
      <c r="T383" s="792">
        <f t="shared" si="250"/>
        <v>364</v>
      </c>
      <c r="U383" s="792">
        <f t="shared" si="251"/>
        <v>36356</v>
      </c>
      <c r="V383" s="790">
        <f t="shared" si="252"/>
        <v>36356</v>
      </c>
      <c r="W383" s="790">
        <f t="shared" si="231"/>
        <v>156044</v>
      </c>
      <c r="X383" s="790">
        <f t="shared" si="232"/>
        <v>156044</v>
      </c>
      <c r="Y383" s="783">
        <f t="shared" si="253"/>
        <v>192400</v>
      </c>
      <c r="Z383" s="783">
        <f t="shared" si="254"/>
        <v>365</v>
      </c>
      <c r="AA383" s="783">
        <f t="shared" si="255"/>
        <v>36556</v>
      </c>
      <c r="AB383" s="783">
        <f t="shared" si="256"/>
        <v>72912</v>
      </c>
      <c r="AC383" s="783">
        <f t="shared" si="233"/>
        <v>119488</v>
      </c>
      <c r="AD383" s="790">
        <f t="shared" si="234"/>
        <v>119488</v>
      </c>
      <c r="AE383" s="790">
        <f t="shared" si="257"/>
        <v>192400</v>
      </c>
      <c r="AF383" s="791">
        <f t="shared" si="258"/>
        <v>365</v>
      </c>
      <c r="AG383" s="791">
        <f t="shared" si="259"/>
        <v>36556</v>
      </c>
      <c r="AH383" s="783">
        <f t="shared" si="260"/>
        <v>109468</v>
      </c>
      <c r="AI383" s="783">
        <f t="shared" si="235"/>
        <v>82932</v>
      </c>
      <c r="AJ383" s="790">
        <f t="shared" si="236"/>
        <v>82932</v>
      </c>
      <c r="AK383" s="790">
        <f t="shared" si="237"/>
        <v>192400</v>
      </c>
      <c r="AL383" s="791">
        <f t="shared" si="238"/>
        <v>365</v>
      </c>
      <c r="AM383" s="791">
        <f t="shared" si="239"/>
        <v>36556</v>
      </c>
      <c r="AN383" s="783">
        <f t="shared" si="240"/>
        <v>146024</v>
      </c>
      <c r="AO383" s="783">
        <f t="shared" si="241"/>
        <v>46376</v>
      </c>
      <c r="AP383" s="790">
        <f t="shared" si="242"/>
        <v>46376</v>
      </c>
      <c r="AQ383" s="790">
        <f t="shared" si="243"/>
        <v>192400</v>
      </c>
      <c r="AR383" s="791">
        <f t="shared" si="244"/>
        <v>366</v>
      </c>
      <c r="AS383" s="791">
        <f t="shared" si="245"/>
        <v>36656</v>
      </c>
      <c r="AT383" s="790">
        <f t="shared" si="246"/>
        <v>182680</v>
      </c>
      <c r="AU383" s="790">
        <f t="shared" si="247"/>
        <v>9720</v>
      </c>
    </row>
    <row r="384" spans="1:47" ht="15" customHeight="1" x14ac:dyDescent="0.25">
      <c r="A384" s="842" t="s">
        <v>667</v>
      </c>
      <c r="B384" s="943" t="s">
        <v>216</v>
      </c>
      <c r="C384" s="778">
        <f t="shared" si="222"/>
        <v>0.19</v>
      </c>
      <c r="D384" s="844">
        <v>5</v>
      </c>
      <c r="E384" s="844" t="s">
        <v>1205</v>
      </c>
      <c r="F384" s="845">
        <v>43612</v>
      </c>
      <c r="G384" s="781">
        <f t="shared" si="248"/>
        <v>43612</v>
      </c>
      <c r="H384" s="781">
        <f t="shared" si="223"/>
        <v>45437</v>
      </c>
      <c r="I384" s="795">
        <v>28500</v>
      </c>
      <c r="J384" s="783">
        <f t="shared" si="224"/>
        <v>1425</v>
      </c>
      <c r="K384" s="790"/>
      <c r="L384" s="790">
        <v>0</v>
      </c>
      <c r="M384" s="790">
        <v>0</v>
      </c>
      <c r="N384" s="790">
        <v>0</v>
      </c>
      <c r="O384" s="790">
        <v>0</v>
      </c>
      <c r="P384" s="790">
        <v>0</v>
      </c>
      <c r="Q384" s="790">
        <v>0</v>
      </c>
      <c r="R384" s="790">
        <f t="shared" si="230"/>
        <v>0</v>
      </c>
      <c r="S384" s="790">
        <f t="shared" si="249"/>
        <v>28500</v>
      </c>
      <c r="T384" s="792">
        <f t="shared" si="250"/>
        <v>310</v>
      </c>
      <c r="U384" s="792">
        <f t="shared" si="251"/>
        <v>4586</v>
      </c>
      <c r="V384" s="790">
        <f t="shared" si="252"/>
        <v>4586</v>
      </c>
      <c r="W384" s="790">
        <f t="shared" si="231"/>
        <v>23914</v>
      </c>
      <c r="X384" s="790">
        <f t="shared" si="232"/>
        <v>23914</v>
      </c>
      <c r="Y384" s="783">
        <f t="shared" si="253"/>
        <v>28500</v>
      </c>
      <c r="Z384" s="783">
        <f t="shared" si="254"/>
        <v>365</v>
      </c>
      <c r="AA384" s="783">
        <f t="shared" si="255"/>
        <v>5415</v>
      </c>
      <c r="AB384" s="783">
        <f t="shared" si="256"/>
        <v>10001</v>
      </c>
      <c r="AC384" s="783">
        <f t="shared" si="233"/>
        <v>18499</v>
      </c>
      <c r="AD384" s="790">
        <f t="shared" si="234"/>
        <v>18499</v>
      </c>
      <c r="AE384" s="790">
        <f t="shared" si="257"/>
        <v>28500</v>
      </c>
      <c r="AF384" s="791">
        <f t="shared" si="258"/>
        <v>365</v>
      </c>
      <c r="AG384" s="791">
        <f t="shared" si="259"/>
        <v>5415</v>
      </c>
      <c r="AH384" s="783">
        <f t="shared" si="260"/>
        <v>15416</v>
      </c>
      <c r="AI384" s="783">
        <f t="shared" si="235"/>
        <v>13084</v>
      </c>
      <c r="AJ384" s="790">
        <f t="shared" si="236"/>
        <v>13084</v>
      </c>
      <c r="AK384" s="790">
        <f t="shared" si="237"/>
        <v>28500</v>
      </c>
      <c r="AL384" s="791">
        <f t="shared" si="238"/>
        <v>365</v>
      </c>
      <c r="AM384" s="791">
        <f t="shared" si="239"/>
        <v>5415</v>
      </c>
      <c r="AN384" s="783">
        <f t="shared" si="240"/>
        <v>20831</v>
      </c>
      <c r="AO384" s="783">
        <f t="shared" si="241"/>
        <v>7669</v>
      </c>
      <c r="AP384" s="790">
        <f t="shared" si="242"/>
        <v>7669</v>
      </c>
      <c r="AQ384" s="790">
        <f t="shared" si="243"/>
        <v>28500</v>
      </c>
      <c r="AR384" s="791">
        <f t="shared" si="244"/>
        <v>366</v>
      </c>
      <c r="AS384" s="791">
        <f t="shared" si="245"/>
        <v>5430</v>
      </c>
      <c r="AT384" s="790">
        <f t="shared" si="246"/>
        <v>26261</v>
      </c>
      <c r="AU384" s="790">
        <f t="shared" si="247"/>
        <v>2239</v>
      </c>
    </row>
    <row r="385" spans="1:47" ht="15" customHeight="1" x14ac:dyDescent="0.25">
      <c r="A385" s="842" t="s">
        <v>667</v>
      </c>
      <c r="B385" s="943" t="s">
        <v>1306</v>
      </c>
      <c r="C385" s="778">
        <f t="shared" si="222"/>
        <v>0.19</v>
      </c>
      <c r="D385" s="844">
        <v>5</v>
      </c>
      <c r="E385" s="844" t="s">
        <v>1205</v>
      </c>
      <c r="F385" s="845">
        <v>43616</v>
      </c>
      <c r="G385" s="781">
        <f t="shared" si="248"/>
        <v>43616</v>
      </c>
      <c r="H385" s="781">
        <f t="shared" si="223"/>
        <v>45441</v>
      </c>
      <c r="I385" s="795">
        <v>44500</v>
      </c>
      <c r="J385" s="783">
        <f t="shared" si="224"/>
        <v>2225</v>
      </c>
      <c r="K385" s="790"/>
      <c r="L385" s="790">
        <v>0</v>
      </c>
      <c r="M385" s="790">
        <v>0</v>
      </c>
      <c r="N385" s="790">
        <v>0</v>
      </c>
      <c r="O385" s="790">
        <v>0</v>
      </c>
      <c r="P385" s="790">
        <v>0</v>
      </c>
      <c r="Q385" s="790">
        <v>0</v>
      </c>
      <c r="R385" s="790">
        <f t="shared" si="230"/>
        <v>0</v>
      </c>
      <c r="S385" s="790">
        <f t="shared" si="249"/>
        <v>44500</v>
      </c>
      <c r="T385" s="792">
        <f t="shared" si="250"/>
        <v>306</v>
      </c>
      <c r="U385" s="792">
        <f t="shared" si="251"/>
        <v>7069</v>
      </c>
      <c r="V385" s="790">
        <f t="shared" si="252"/>
        <v>7069</v>
      </c>
      <c r="W385" s="790">
        <f t="shared" si="231"/>
        <v>37431</v>
      </c>
      <c r="X385" s="790">
        <f t="shared" si="232"/>
        <v>37431</v>
      </c>
      <c r="Y385" s="783">
        <f t="shared" si="253"/>
        <v>44500</v>
      </c>
      <c r="Z385" s="783">
        <f t="shared" si="254"/>
        <v>365</v>
      </c>
      <c r="AA385" s="783">
        <f t="shared" si="255"/>
        <v>8455</v>
      </c>
      <c r="AB385" s="783">
        <f t="shared" si="256"/>
        <v>15524</v>
      </c>
      <c r="AC385" s="783">
        <f t="shared" si="233"/>
        <v>28976</v>
      </c>
      <c r="AD385" s="790">
        <f t="shared" si="234"/>
        <v>28976</v>
      </c>
      <c r="AE385" s="790">
        <f t="shared" si="257"/>
        <v>44500</v>
      </c>
      <c r="AF385" s="791">
        <f t="shared" si="258"/>
        <v>365</v>
      </c>
      <c r="AG385" s="791">
        <f t="shared" si="259"/>
        <v>8455</v>
      </c>
      <c r="AH385" s="783">
        <f t="shared" si="260"/>
        <v>23979</v>
      </c>
      <c r="AI385" s="783">
        <f t="shared" si="235"/>
        <v>20521</v>
      </c>
      <c r="AJ385" s="790">
        <f t="shared" si="236"/>
        <v>20521</v>
      </c>
      <c r="AK385" s="790">
        <f t="shared" si="237"/>
        <v>44500</v>
      </c>
      <c r="AL385" s="791">
        <f t="shared" si="238"/>
        <v>365</v>
      </c>
      <c r="AM385" s="791">
        <f t="shared" si="239"/>
        <v>8455</v>
      </c>
      <c r="AN385" s="783">
        <f t="shared" si="240"/>
        <v>32434</v>
      </c>
      <c r="AO385" s="783">
        <f t="shared" si="241"/>
        <v>12066</v>
      </c>
      <c r="AP385" s="790">
        <f t="shared" si="242"/>
        <v>12066</v>
      </c>
      <c r="AQ385" s="790">
        <f t="shared" si="243"/>
        <v>44500</v>
      </c>
      <c r="AR385" s="791">
        <f t="shared" si="244"/>
        <v>366</v>
      </c>
      <c r="AS385" s="791">
        <f t="shared" si="245"/>
        <v>8478</v>
      </c>
      <c r="AT385" s="790">
        <f t="shared" si="246"/>
        <v>40912</v>
      </c>
      <c r="AU385" s="790">
        <f t="shared" si="247"/>
        <v>3588</v>
      </c>
    </row>
    <row r="386" spans="1:47" ht="15" customHeight="1" x14ac:dyDescent="0.25">
      <c r="A386" s="842" t="s">
        <v>667</v>
      </c>
      <c r="B386" s="943" t="s">
        <v>1310</v>
      </c>
      <c r="C386" s="778">
        <f t="shared" si="222"/>
        <v>0.19</v>
      </c>
      <c r="D386" s="844">
        <v>5</v>
      </c>
      <c r="E386" s="844" t="s">
        <v>1207</v>
      </c>
      <c r="F386" s="845">
        <v>44012</v>
      </c>
      <c r="G386" s="781">
        <f t="shared" si="248"/>
        <v>44012</v>
      </c>
      <c r="H386" s="781">
        <f t="shared" si="223"/>
        <v>45837</v>
      </c>
      <c r="I386" s="795">
        <v>17000</v>
      </c>
      <c r="J386" s="783">
        <f t="shared" si="224"/>
        <v>850</v>
      </c>
      <c r="K386" s="790"/>
      <c r="L386" s="790">
        <v>0</v>
      </c>
      <c r="M386" s="790">
        <v>0</v>
      </c>
      <c r="N386" s="790">
        <v>0</v>
      </c>
      <c r="O386" s="790">
        <v>0</v>
      </c>
      <c r="P386" s="790">
        <v>0</v>
      </c>
      <c r="Q386" s="790">
        <v>0</v>
      </c>
      <c r="R386" s="790">
        <v>0</v>
      </c>
      <c r="S386" s="790">
        <v>0</v>
      </c>
      <c r="T386" s="790">
        <v>0</v>
      </c>
      <c r="U386" s="790">
        <v>0</v>
      </c>
      <c r="V386" s="790">
        <v>0</v>
      </c>
      <c r="W386" s="790">
        <v>0</v>
      </c>
      <c r="X386" s="790">
        <v>0</v>
      </c>
      <c r="Y386" s="783">
        <f t="shared" si="253"/>
        <v>17000</v>
      </c>
      <c r="Z386" s="783">
        <f t="shared" si="254"/>
        <v>275</v>
      </c>
      <c r="AA386" s="783">
        <f t="shared" si="255"/>
        <v>2434</v>
      </c>
      <c r="AB386" s="783">
        <f t="shared" si="256"/>
        <v>2434</v>
      </c>
      <c r="AC386" s="783">
        <f t="shared" si="233"/>
        <v>14566</v>
      </c>
      <c r="AD386" s="790">
        <f t="shared" si="234"/>
        <v>14566</v>
      </c>
      <c r="AE386" s="790">
        <f t="shared" si="257"/>
        <v>17000</v>
      </c>
      <c r="AF386" s="791">
        <f t="shared" si="258"/>
        <v>365</v>
      </c>
      <c r="AG386" s="791">
        <f t="shared" si="259"/>
        <v>3230</v>
      </c>
      <c r="AH386" s="783">
        <f t="shared" si="260"/>
        <v>5664</v>
      </c>
      <c r="AI386" s="783">
        <f t="shared" si="235"/>
        <v>11336</v>
      </c>
      <c r="AJ386" s="790">
        <f t="shared" si="236"/>
        <v>11336</v>
      </c>
      <c r="AK386" s="790">
        <f t="shared" si="237"/>
        <v>17000</v>
      </c>
      <c r="AL386" s="791">
        <f t="shared" si="238"/>
        <v>365</v>
      </c>
      <c r="AM386" s="791">
        <f t="shared" si="239"/>
        <v>3230</v>
      </c>
      <c r="AN386" s="783">
        <f t="shared" si="240"/>
        <v>8894</v>
      </c>
      <c r="AO386" s="783">
        <f t="shared" si="241"/>
        <v>8106</v>
      </c>
      <c r="AP386" s="790">
        <f t="shared" si="242"/>
        <v>8106</v>
      </c>
      <c r="AQ386" s="790">
        <f t="shared" si="243"/>
        <v>17000</v>
      </c>
      <c r="AR386" s="791">
        <f t="shared" si="244"/>
        <v>366</v>
      </c>
      <c r="AS386" s="791">
        <f t="shared" si="245"/>
        <v>3239</v>
      </c>
      <c r="AT386" s="790">
        <f t="shared" si="246"/>
        <v>12133</v>
      </c>
      <c r="AU386" s="790">
        <f t="shared" si="247"/>
        <v>4867</v>
      </c>
    </row>
    <row r="387" spans="1:47" ht="15" customHeight="1" x14ac:dyDescent="0.25">
      <c r="A387" s="842" t="s">
        <v>667</v>
      </c>
      <c r="B387" s="943" t="s">
        <v>1310</v>
      </c>
      <c r="C387" s="778">
        <f t="shared" si="222"/>
        <v>0.19</v>
      </c>
      <c r="D387" s="844">
        <v>5</v>
      </c>
      <c r="E387" s="844" t="s">
        <v>1207</v>
      </c>
      <c r="F387" s="845">
        <v>44054</v>
      </c>
      <c r="G387" s="781">
        <f t="shared" si="248"/>
        <v>44054</v>
      </c>
      <c r="H387" s="781">
        <f t="shared" si="223"/>
        <v>45879</v>
      </c>
      <c r="I387" s="795">
        <v>8999</v>
      </c>
      <c r="J387" s="783">
        <f t="shared" si="224"/>
        <v>449.95000000000005</v>
      </c>
      <c r="K387" s="790"/>
      <c r="L387" s="790">
        <v>0</v>
      </c>
      <c r="M387" s="790">
        <v>0</v>
      </c>
      <c r="N387" s="790">
        <v>0</v>
      </c>
      <c r="O387" s="790">
        <v>0</v>
      </c>
      <c r="P387" s="790">
        <v>0</v>
      </c>
      <c r="Q387" s="790">
        <v>0</v>
      </c>
      <c r="R387" s="790">
        <v>0</v>
      </c>
      <c r="S387" s="790">
        <v>0</v>
      </c>
      <c r="T387" s="790">
        <v>0</v>
      </c>
      <c r="U387" s="790">
        <v>0</v>
      </c>
      <c r="V387" s="790">
        <v>0</v>
      </c>
      <c r="W387" s="790">
        <v>0</v>
      </c>
      <c r="X387" s="790">
        <v>0</v>
      </c>
      <c r="Y387" s="783">
        <f t="shared" si="253"/>
        <v>8999</v>
      </c>
      <c r="Z387" s="783">
        <f t="shared" si="254"/>
        <v>233</v>
      </c>
      <c r="AA387" s="783">
        <f t="shared" si="255"/>
        <v>1091</v>
      </c>
      <c r="AB387" s="783">
        <f t="shared" si="256"/>
        <v>1091</v>
      </c>
      <c r="AC387" s="783">
        <f t="shared" si="233"/>
        <v>7908</v>
      </c>
      <c r="AD387" s="790">
        <f t="shared" si="234"/>
        <v>7908</v>
      </c>
      <c r="AE387" s="790">
        <f t="shared" si="257"/>
        <v>8999</v>
      </c>
      <c r="AF387" s="791">
        <f t="shared" si="258"/>
        <v>365</v>
      </c>
      <c r="AG387" s="791">
        <f t="shared" si="259"/>
        <v>1710</v>
      </c>
      <c r="AH387" s="783">
        <f t="shared" si="260"/>
        <v>2801</v>
      </c>
      <c r="AI387" s="783">
        <f t="shared" si="235"/>
        <v>6198</v>
      </c>
      <c r="AJ387" s="790">
        <f t="shared" si="236"/>
        <v>6198</v>
      </c>
      <c r="AK387" s="790">
        <f t="shared" si="237"/>
        <v>8999</v>
      </c>
      <c r="AL387" s="791">
        <f t="shared" si="238"/>
        <v>365</v>
      </c>
      <c r="AM387" s="791">
        <f t="shared" si="239"/>
        <v>1710</v>
      </c>
      <c r="AN387" s="783">
        <f t="shared" si="240"/>
        <v>4511</v>
      </c>
      <c r="AO387" s="783">
        <f t="shared" si="241"/>
        <v>4488</v>
      </c>
      <c r="AP387" s="790">
        <f t="shared" si="242"/>
        <v>4488</v>
      </c>
      <c r="AQ387" s="790">
        <f t="shared" si="243"/>
        <v>8999</v>
      </c>
      <c r="AR387" s="791">
        <f t="shared" si="244"/>
        <v>366</v>
      </c>
      <c r="AS387" s="791">
        <f t="shared" si="245"/>
        <v>1714</v>
      </c>
      <c r="AT387" s="790">
        <f t="shared" si="246"/>
        <v>6225</v>
      </c>
      <c r="AU387" s="790">
        <f t="shared" si="247"/>
        <v>2774</v>
      </c>
    </row>
    <row r="388" spans="1:47" ht="15" customHeight="1" x14ac:dyDescent="0.25">
      <c r="A388" s="842" t="s">
        <v>667</v>
      </c>
      <c r="B388" s="943" t="s">
        <v>1311</v>
      </c>
      <c r="C388" s="778">
        <f t="shared" si="222"/>
        <v>0.19</v>
      </c>
      <c r="D388" s="844">
        <v>5</v>
      </c>
      <c r="E388" s="844" t="s">
        <v>723</v>
      </c>
      <c r="F388" s="845">
        <v>44363</v>
      </c>
      <c r="G388" s="781">
        <f t="shared" si="248"/>
        <v>44363</v>
      </c>
      <c r="H388" s="781">
        <f t="shared" si="223"/>
        <v>46188</v>
      </c>
      <c r="I388" s="795">
        <f>7458</f>
        <v>7458</v>
      </c>
      <c r="J388" s="783">
        <f t="shared" si="224"/>
        <v>372.90000000000003</v>
      </c>
      <c r="K388" s="790"/>
      <c r="L388" s="790">
        <v>0</v>
      </c>
      <c r="M388" s="790">
        <v>0</v>
      </c>
      <c r="N388" s="790">
        <v>0</v>
      </c>
      <c r="O388" s="790">
        <v>0</v>
      </c>
      <c r="P388" s="790">
        <v>0</v>
      </c>
      <c r="Q388" s="790">
        <v>0</v>
      </c>
      <c r="R388" s="790">
        <v>0</v>
      </c>
      <c r="S388" s="790">
        <v>0</v>
      </c>
      <c r="T388" s="790">
        <v>0</v>
      </c>
      <c r="U388" s="790">
        <v>0</v>
      </c>
      <c r="V388" s="790">
        <v>0</v>
      </c>
      <c r="W388" s="790">
        <v>0</v>
      </c>
      <c r="X388" s="790">
        <v>0</v>
      </c>
      <c r="Y388" s="790">
        <v>0</v>
      </c>
      <c r="Z388" s="790">
        <v>0</v>
      </c>
      <c r="AA388" s="790">
        <v>0</v>
      </c>
      <c r="AB388" s="790">
        <v>0</v>
      </c>
      <c r="AC388" s="790">
        <v>0</v>
      </c>
      <c r="AD388" s="790">
        <f t="shared" si="234"/>
        <v>0</v>
      </c>
      <c r="AE388" s="790">
        <f t="shared" si="257"/>
        <v>7458</v>
      </c>
      <c r="AF388" s="791">
        <f t="shared" si="258"/>
        <v>289</v>
      </c>
      <c r="AG388" s="791">
        <f t="shared" si="259"/>
        <v>1122</v>
      </c>
      <c r="AH388" s="783">
        <f t="shared" si="260"/>
        <v>1122</v>
      </c>
      <c r="AI388" s="783">
        <f t="shared" si="235"/>
        <v>6336</v>
      </c>
      <c r="AJ388" s="790">
        <f t="shared" si="236"/>
        <v>6336</v>
      </c>
      <c r="AK388" s="790">
        <f t="shared" si="237"/>
        <v>7458</v>
      </c>
      <c r="AL388" s="791">
        <f t="shared" si="238"/>
        <v>365</v>
      </c>
      <c r="AM388" s="791">
        <f t="shared" si="239"/>
        <v>1417</v>
      </c>
      <c r="AN388" s="783">
        <f t="shared" si="240"/>
        <v>2539</v>
      </c>
      <c r="AO388" s="783">
        <f t="shared" si="241"/>
        <v>4919</v>
      </c>
      <c r="AP388" s="790">
        <f t="shared" si="242"/>
        <v>4919</v>
      </c>
      <c r="AQ388" s="790">
        <f t="shared" si="243"/>
        <v>7458</v>
      </c>
      <c r="AR388" s="791">
        <f t="shared" si="244"/>
        <v>366</v>
      </c>
      <c r="AS388" s="791">
        <f t="shared" si="245"/>
        <v>1421</v>
      </c>
      <c r="AT388" s="790">
        <f t="shared" si="246"/>
        <v>3960</v>
      </c>
      <c r="AU388" s="790">
        <f t="shared" si="247"/>
        <v>3498</v>
      </c>
    </row>
    <row r="389" spans="1:47" ht="15" customHeight="1" x14ac:dyDescent="0.25">
      <c r="A389" s="842" t="s">
        <v>667</v>
      </c>
      <c r="B389" s="943" t="s">
        <v>1306</v>
      </c>
      <c r="C389" s="778">
        <f t="shared" si="222"/>
        <v>0.19</v>
      </c>
      <c r="D389" s="844">
        <v>5</v>
      </c>
      <c r="E389" s="844" t="s">
        <v>723</v>
      </c>
      <c r="F389" s="845">
        <v>44406</v>
      </c>
      <c r="G389" s="781">
        <f t="shared" si="248"/>
        <v>44406</v>
      </c>
      <c r="H389" s="781">
        <f t="shared" si="223"/>
        <v>46231</v>
      </c>
      <c r="I389" s="795">
        <f>60579.86</f>
        <v>60579.86</v>
      </c>
      <c r="J389" s="783">
        <f t="shared" si="224"/>
        <v>3028.9930000000004</v>
      </c>
      <c r="K389" s="790"/>
      <c r="L389" s="790">
        <v>0</v>
      </c>
      <c r="M389" s="790">
        <v>0</v>
      </c>
      <c r="N389" s="790">
        <v>0</v>
      </c>
      <c r="O389" s="790">
        <v>0</v>
      </c>
      <c r="P389" s="790">
        <v>0</v>
      </c>
      <c r="Q389" s="790">
        <v>0</v>
      </c>
      <c r="R389" s="790">
        <v>0</v>
      </c>
      <c r="S389" s="790">
        <v>0</v>
      </c>
      <c r="T389" s="790">
        <v>0</v>
      </c>
      <c r="U389" s="790">
        <v>0</v>
      </c>
      <c r="V389" s="790">
        <v>0</v>
      </c>
      <c r="W389" s="790">
        <v>0</v>
      </c>
      <c r="X389" s="790">
        <v>0</v>
      </c>
      <c r="Y389" s="790">
        <v>0</v>
      </c>
      <c r="Z389" s="790">
        <v>0</v>
      </c>
      <c r="AA389" s="790">
        <v>0</v>
      </c>
      <c r="AB389" s="790">
        <v>0</v>
      </c>
      <c r="AC389" s="790">
        <v>0</v>
      </c>
      <c r="AD389" s="790">
        <f t="shared" si="234"/>
        <v>0</v>
      </c>
      <c r="AE389" s="790">
        <f t="shared" si="257"/>
        <v>60579.86</v>
      </c>
      <c r="AF389" s="791">
        <f t="shared" si="258"/>
        <v>246</v>
      </c>
      <c r="AG389" s="791">
        <f t="shared" si="259"/>
        <v>7758</v>
      </c>
      <c r="AH389" s="783">
        <f t="shared" si="260"/>
        <v>7758</v>
      </c>
      <c r="AI389" s="783">
        <f t="shared" si="235"/>
        <v>52821.86</v>
      </c>
      <c r="AJ389" s="790">
        <f t="shared" si="236"/>
        <v>52821.86</v>
      </c>
      <c r="AK389" s="790">
        <f t="shared" si="237"/>
        <v>60579.86</v>
      </c>
      <c r="AL389" s="791">
        <f t="shared" si="238"/>
        <v>365</v>
      </c>
      <c r="AM389" s="791">
        <f t="shared" si="239"/>
        <v>11510</v>
      </c>
      <c r="AN389" s="783">
        <f t="shared" si="240"/>
        <v>19268</v>
      </c>
      <c r="AO389" s="783">
        <f t="shared" si="241"/>
        <v>41311.86</v>
      </c>
      <c r="AP389" s="790">
        <f t="shared" si="242"/>
        <v>41311.86</v>
      </c>
      <c r="AQ389" s="790">
        <f t="shared" si="243"/>
        <v>60579.86</v>
      </c>
      <c r="AR389" s="791">
        <f t="shared" si="244"/>
        <v>366</v>
      </c>
      <c r="AS389" s="791">
        <f t="shared" si="245"/>
        <v>11542</v>
      </c>
      <c r="AT389" s="790">
        <f t="shared" si="246"/>
        <v>30810</v>
      </c>
      <c r="AU389" s="790">
        <f t="shared" si="247"/>
        <v>29769.86</v>
      </c>
    </row>
    <row r="390" spans="1:47" ht="15" customHeight="1" x14ac:dyDescent="0.25">
      <c r="A390" s="842" t="s">
        <v>667</v>
      </c>
      <c r="B390" s="943" t="s">
        <v>1306</v>
      </c>
      <c r="C390" s="778">
        <f t="shared" si="222"/>
        <v>0.19</v>
      </c>
      <c r="D390" s="844">
        <v>5</v>
      </c>
      <c r="E390" s="844" t="s">
        <v>723</v>
      </c>
      <c r="F390" s="845">
        <v>44429</v>
      </c>
      <c r="G390" s="781">
        <f t="shared" si="248"/>
        <v>44429</v>
      </c>
      <c r="H390" s="781">
        <f t="shared" si="223"/>
        <v>46254</v>
      </c>
      <c r="I390" s="795">
        <f>30112</f>
        <v>30112</v>
      </c>
      <c r="J390" s="783">
        <f t="shared" si="224"/>
        <v>1505.6000000000001</v>
      </c>
      <c r="K390" s="790"/>
      <c r="L390" s="790">
        <v>0</v>
      </c>
      <c r="M390" s="790">
        <v>0</v>
      </c>
      <c r="N390" s="790">
        <v>0</v>
      </c>
      <c r="O390" s="790">
        <v>0</v>
      </c>
      <c r="P390" s="790">
        <v>0</v>
      </c>
      <c r="Q390" s="790">
        <v>0</v>
      </c>
      <c r="R390" s="790">
        <v>0</v>
      </c>
      <c r="S390" s="790">
        <v>0</v>
      </c>
      <c r="T390" s="790">
        <v>0</v>
      </c>
      <c r="U390" s="790">
        <v>0</v>
      </c>
      <c r="V390" s="790">
        <v>0</v>
      </c>
      <c r="W390" s="790">
        <v>0</v>
      </c>
      <c r="X390" s="790">
        <v>0</v>
      </c>
      <c r="Y390" s="790">
        <v>0</v>
      </c>
      <c r="Z390" s="790">
        <v>0</v>
      </c>
      <c r="AA390" s="790">
        <v>0</v>
      </c>
      <c r="AB390" s="790">
        <v>0</v>
      </c>
      <c r="AC390" s="790">
        <v>0</v>
      </c>
      <c r="AD390" s="790">
        <f t="shared" si="234"/>
        <v>0</v>
      </c>
      <c r="AE390" s="790">
        <f t="shared" si="257"/>
        <v>30112</v>
      </c>
      <c r="AF390" s="791">
        <f t="shared" si="258"/>
        <v>223</v>
      </c>
      <c r="AG390" s="791">
        <f t="shared" si="259"/>
        <v>3495</v>
      </c>
      <c r="AH390" s="783">
        <f t="shared" si="260"/>
        <v>3495</v>
      </c>
      <c r="AI390" s="783">
        <f t="shared" si="235"/>
        <v>26617</v>
      </c>
      <c r="AJ390" s="790">
        <f t="shared" si="236"/>
        <v>26617</v>
      </c>
      <c r="AK390" s="790">
        <f t="shared" si="237"/>
        <v>30112</v>
      </c>
      <c r="AL390" s="791">
        <f t="shared" si="238"/>
        <v>365</v>
      </c>
      <c r="AM390" s="791">
        <f t="shared" si="239"/>
        <v>5721</v>
      </c>
      <c r="AN390" s="783">
        <f t="shared" si="240"/>
        <v>9216</v>
      </c>
      <c r="AO390" s="783">
        <f t="shared" si="241"/>
        <v>20896</v>
      </c>
      <c r="AP390" s="790">
        <f t="shared" si="242"/>
        <v>20896</v>
      </c>
      <c r="AQ390" s="790">
        <f t="shared" si="243"/>
        <v>30112</v>
      </c>
      <c r="AR390" s="791">
        <f t="shared" si="244"/>
        <v>366</v>
      </c>
      <c r="AS390" s="791">
        <f t="shared" si="245"/>
        <v>5737</v>
      </c>
      <c r="AT390" s="790">
        <f t="shared" si="246"/>
        <v>14953</v>
      </c>
      <c r="AU390" s="790">
        <f t="shared" si="247"/>
        <v>15159</v>
      </c>
    </row>
    <row r="391" spans="1:47" ht="15" customHeight="1" x14ac:dyDescent="0.25">
      <c r="A391" s="842" t="s">
        <v>667</v>
      </c>
      <c r="B391" s="943" t="s">
        <v>1312</v>
      </c>
      <c r="C391" s="778">
        <f t="shared" si="222"/>
        <v>0.19</v>
      </c>
      <c r="D391" s="844">
        <v>5</v>
      </c>
      <c r="E391" s="844" t="s">
        <v>723</v>
      </c>
      <c r="F391" s="845">
        <v>44558</v>
      </c>
      <c r="G391" s="781">
        <f t="shared" si="248"/>
        <v>44558</v>
      </c>
      <c r="H391" s="781">
        <f t="shared" si="223"/>
        <v>46383</v>
      </c>
      <c r="I391" s="795">
        <f>14350+23600</f>
        <v>37950</v>
      </c>
      <c r="J391" s="783">
        <f t="shared" si="224"/>
        <v>1897.5</v>
      </c>
      <c r="K391" s="790"/>
      <c r="L391" s="790">
        <v>0</v>
      </c>
      <c r="M391" s="790">
        <v>0</v>
      </c>
      <c r="N391" s="790">
        <v>0</v>
      </c>
      <c r="O391" s="790">
        <v>0</v>
      </c>
      <c r="P391" s="790">
        <v>0</v>
      </c>
      <c r="Q391" s="790">
        <v>0</v>
      </c>
      <c r="R391" s="790">
        <v>0</v>
      </c>
      <c r="S391" s="790">
        <v>0</v>
      </c>
      <c r="T391" s="790">
        <v>0</v>
      </c>
      <c r="U391" s="790">
        <v>0</v>
      </c>
      <c r="V391" s="790">
        <v>0</v>
      </c>
      <c r="W391" s="790">
        <v>0</v>
      </c>
      <c r="X391" s="790">
        <v>0</v>
      </c>
      <c r="Y391" s="790">
        <v>0</v>
      </c>
      <c r="Z391" s="790">
        <v>0</v>
      </c>
      <c r="AA391" s="790">
        <v>0</v>
      </c>
      <c r="AB391" s="790">
        <v>0</v>
      </c>
      <c r="AC391" s="790">
        <v>0</v>
      </c>
      <c r="AD391" s="790">
        <f t="shared" si="234"/>
        <v>0</v>
      </c>
      <c r="AE391" s="790">
        <f t="shared" si="257"/>
        <v>37950</v>
      </c>
      <c r="AF391" s="791">
        <f t="shared" si="258"/>
        <v>94</v>
      </c>
      <c r="AG391" s="791">
        <f t="shared" si="259"/>
        <v>1857</v>
      </c>
      <c r="AH391" s="783">
        <f t="shared" si="260"/>
        <v>1857</v>
      </c>
      <c r="AI391" s="783">
        <f t="shared" si="235"/>
        <v>36093</v>
      </c>
      <c r="AJ391" s="790">
        <f t="shared" si="236"/>
        <v>36093</v>
      </c>
      <c r="AK391" s="790">
        <f t="shared" si="237"/>
        <v>37950</v>
      </c>
      <c r="AL391" s="791">
        <f t="shared" si="238"/>
        <v>365</v>
      </c>
      <c r="AM391" s="791">
        <f t="shared" si="239"/>
        <v>7211</v>
      </c>
      <c r="AN391" s="783">
        <f t="shared" si="240"/>
        <v>9068</v>
      </c>
      <c r="AO391" s="783">
        <f t="shared" si="241"/>
        <v>28882</v>
      </c>
      <c r="AP391" s="790">
        <f t="shared" si="242"/>
        <v>28882</v>
      </c>
      <c r="AQ391" s="790">
        <f t="shared" si="243"/>
        <v>37950</v>
      </c>
      <c r="AR391" s="791">
        <f t="shared" si="244"/>
        <v>366</v>
      </c>
      <c r="AS391" s="791">
        <f t="shared" si="245"/>
        <v>7230</v>
      </c>
      <c r="AT391" s="790">
        <f t="shared" si="246"/>
        <v>16298</v>
      </c>
      <c r="AU391" s="790">
        <f t="shared" si="247"/>
        <v>21652</v>
      </c>
    </row>
    <row r="392" spans="1:47" ht="15" customHeight="1" x14ac:dyDescent="0.25">
      <c r="A392" s="842" t="s">
        <v>667</v>
      </c>
      <c r="B392" s="943" t="s">
        <v>216</v>
      </c>
      <c r="C392" s="778">
        <f t="shared" si="222"/>
        <v>0.19</v>
      </c>
      <c r="D392" s="844">
        <v>5</v>
      </c>
      <c r="E392" s="844" t="s">
        <v>723</v>
      </c>
      <c r="F392" s="845">
        <v>44641</v>
      </c>
      <c r="G392" s="781">
        <f t="shared" si="248"/>
        <v>44641</v>
      </c>
      <c r="H392" s="781">
        <f t="shared" si="223"/>
        <v>46466</v>
      </c>
      <c r="I392" s="795">
        <v>37300</v>
      </c>
      <c r="J392" s="783">
        <f t="shared" si="224"/>
        <v>1865</v>
      </c>
      <c r="K392" s="790"/>
      <c r="L392" s="790">
        <v>0</v>
      </c>
      <c r="M392" s="790">
        <v>0</v>
      </c>
      <c r="N392" s="790">
        <v>0</v>
      </c>
      <c r="O392" s="790">
        <v>0</v>
      </c>
      <c r="P392" s="790">
        <v>0</v>
      </c>
      <c r="Q392" s="790">
        <v>0</v>
      </c>
      <c r="R392" s="790">
        <v>0</v>
      </c>
      <c r="S392" s="790">
        <v>0</v>
      </c>
      <c r="T392" s="790">
        <v>0</v>
      </c>
      <c r="U392" s="790">
        <v>0</v>
      </c>
      <c r="V392" s="790">
        <v>0</v>
      </c>
      <c r="W392" s="790">
        <v>0</v>
      </c>
      <c r="X392" s="790">
        <v>0</v>
      </c>
      <c r="Y392" s="790">
        <v>0</v>
      </c>
      <c r="Z392" s="790">
        <v>0</v>
      </c>
      <c r="AA392" s="790">
        <v>0</v>
      </c>
      <c r="AB392" s="790">
        <v>0</v>
      </c>
      <c r="AC392" s="790">
        <v>0</v>
      </c>
      <c r="AD392" s="790">
        <f t="shared" si="234"/>
        <v>0</v>
      </c>
      <c r="AE392" s="790">
        <f t="shared" si="257"/>
        <v>37300</v>
      </c>
      <c r="AF392" s="791">
        <f t="shared" si="258"/>
        <v>11</v>
      </c>
      <c r="AG392" s="791">
        <f t="shared" si="259"/>
        <v>214</v>
      </c>
      <c r="AH392" s="783">
        <f t="shared" si="260"/>
        <v>214</v>
      </c>
      <c r="AI392" s="783">
        <f t="shared" si="235"/>
        <v>37086</v>
      </c>
      <c r="AJ392" s="790">
        <f t="shared" si="236"/>
        <v>37086</v>
      </c>
      <c r="AK392" s="790">
        <f t="shared" si="237"/>
        <v>37300</v>
      </c>
      <c r="AL392" s="791">
        <f t="shared" si="238"/>
        <v>365</v>
      </c>
      <c r="AM392" s="791">
        <f t="shared" si="239"/>
        <v>7087</v>
      </c>
      <c r="AN392" s="783">
        <f t="shared" si="240"/>
        <v>7301</v>
      </c>
      <c r="AO392" s="783">
        <f t="shared" si="241"/>
        <v>29999</v>
      </c>
      <c r="AP392" s="790">
        <f t="shared" si="242"/>
        <v>29999</v>
      </c>
      <c r="AQ392" s="790">
        <f t="shared" si="243"/>
        <v>37300</v>
      </c>
      <c r="AR392" s="791">
        <f t="shared" si="244"/>
        <v>366</v>
      </c>
      <c r="AS392" s="791">
        <f t="shared" si="245"/>
        <v>7106</v>
      </c>
      <c r="AT392" s="790">
        <f t="shared" si="246"/>
        <v>14407</v>
      </c>
      <c r="AU392" s="790">
        <f t="shared" si="247"/>
        <v>22893</v>
      </c>
    </row>
    <row r="393" spans="1:47" ht="15" customHeight="1" x14ac:dyDescent="0.25">
      <c r="A393" s="842" t="s">
        <v>667</v>
      </c>
      <c r="B393" s="943" t="s">
        <v>1306</v>
      </c>
      <c r="C393" s="778">
        <f t="shared" si="222"/>
        <v>0.19</v>
      </c>
      <c r="D393" s="844">
        <v>5</v>
      </c>
      <c r="E393" s="844" t="s">
        <v>723</v>
      </c>
      <c r="F393" s="845">
        <v>44490</v>
      </c>
      <c r="G393" s="781">
        <f t="shared" si="248"/>
        <v>44490</v>
      </c>
      <c r="H393" s="781">
        <f t="shared" si="223"/>
        <v>46315</v>
      </c>
      <c r="I393" s="795">
        <f>594885.92-8828</f>
        <v>586057.92000000004</v>
      </c>
      <c r="J393" s="783">
        <f t="shared" si="224"/>
        <v>29302.896000000004</v>
      </c>
      <c r="K393" s="790"/>
      <c r="L393" s="790">
        <v>0</v>
      </c>
      <c r="M393" s="790">
        <v>0</v>
      </c>
      <c r="N393" s="790">
        <v>0</v>
      </c>
      <c r="O393" s="790">
        <v>0</v>
      </c>
      <c r="P393" s="790">
        <v>0</v>
      </c>
      <c r="Q393" s="790">
        <v>0</v>
      </c>
      <c r="R393" s="790">
        <v>0</v>
      </c>
      <c r="S393" s="790">
        <v>0</v>
      </c>
      <c r="T393" s="790">
        <v>0</v>
      </c>
      <c r="U393" s="790">
        <v>0</v>
      </c>
      <c r="V393" s="790">
        <v>0</v>
      </c>
      <c r="W393" s="790">
        <v>0</v>
      </c>
      <c r="X393" s="790">
        <v>0</v>
      </c>
      <c r="Y393" s="790">
        <v>0</v>
      </c>
      <c r="Z393" s="790">
        <v>0</v>
      </c>
      <c r="AA393" s="790">
        <v>0</v>
      </c>
      <c r="AB393" s="790">
        <v>0</v>
      </c>
      <c r="AC393" s="790">
        <v>0</v>
      </c>
      <c r="AD393" s="790">
        <f t="shared" si="234"/>
        <v>0</v>
      </c>
      <c r="AE393" s="790">
        <f t="shared" si="257"/>
        <v>586057.92000000004</v>
      </c>
      <c r="AF393" s="791">
        <f t="shared" si="258"/>
        <v>162</v>
      </c>
      <c r="AG393" s="791">
        <f t="shared" si="259"/>
        <v>49422</v>
      </c>
      <c r="AH393" s="783">
        <f t="shared" si="260"/>
        <v>49422</v>
      </c>
      <c r="AI393" s="783">
        <f t="shared" si="235"/>
        <v>536635.92000000004</v>
      </c>
      <c r="AJ393" s="790">
        <f t="shared" si="236"/>
        <v>536635.92000000004</v>
      </c>
      <c r="AK393" s="790">
        <f t="shared" si="237"/>
        <v>586057.92000000004</v>
      </c>
      <c r="AL393" s="791">
        <f t="shared" si="238"/>
        <v>365</v>
      </c>
      <c r="AM393" s="791">
        <f t="shared" si="239"/>
        <v>111351</v>
      </c>
      <c r="AN393" s="783">
        <f t="shared" si="240"/>
        <v>160773</v>
      </c>
      <c r="AO393" s="783">
        <f t="shared" si="241"/>
        <v>425284.92000000004</v>
      </c>
      <c r="AP393" s="790">
        <f t="shared" si="242"/>
        <v>425284.92000000004</v>
      </c>
      <c r="AQ393" s="790">
        <f t="shared" si="243"/>
        <v>586057.92000000004</v>
      </c>
      <c r="AR393" s="791">
        <f t="shared" si="244"/>
        <v>366</v>
      </c>
      <c r="AS393" s="791">
        <f t="shared" si="245"/>
        <v>111656</v>
      </c>
      <c r="AT393" s="790">
        <f t="shared" si="246"/>
        <v>272429</v>
      </c>
      <c r="AU393" s="790">
        <f t="shared" si="247"/>
        <v>313628.92000000004</v>
      </c>
    </row>
    <row r="394" spans="1:47" ht="15" customHeight="1" x14ac:dyDescent="0.25">
      <c r="A394" s="842" t="s">
        <v>667</v>
      </c>
      <c r="B394" s="943" t="s">
        <v>1306</v>
      </c>
      <c r="C394" s="778">
        <f t="shared" si="222"/>
        <v>0.19</v>
      </c>
      <c r="D394" s="844">
        <v>5</v>
      </c>
      <c r="E394" s="844" t="s">
        <v>723</v>
      </c>
      <c r="F394" s="845">
        <v>44526</v>
      </c>
      <c r="G394" s="781">
        <f t="shared" si="248"/>
        <v>44526</v>
      </c>
      <c r="H394" s="781">
        <f t="shared" si="223"/>
        <v>46351</v>
      </c>
      <c r="I394" s="795">
        <v>14700</v>
      </c>
      <c r="J394" s="783">
        <f t="shared" si="224"/>
        <v>735</v>
      </c>
      <c r="K394" s="790"/>
      <c r="L394" s="790">
        <v>0</v>
      </c>
      <c r="M394" s="790">
        <v>0</v>
      </c>
      <c r="N394" s="790">
        <v>0</v>
      </c>
      <c r="O394" s="790">
        <v>0</v>
      </c>
      <c r="P394" s="790">
        <v>0</v>
      </c>
      <c r="Q394" s="790">
        <v>0</v>
      </c>
      <c r="R394" s="790">
        <v>0</v>
      </c>
      <c r="S394" s="790">
        <v>0</v>
      </c>
      <c r="T394" s="790">
        <v>0</v>
      </c>
      <c r="U394" s="790">
        <v>0</v>
      </c>
      <c r="V394" s="790">
        <v>0</v>
      </c>
      <c r="W394" s="790">
        <v>0</v>
      </c>
      <c r="X394" s="790">
        <v>0</v>
      </c>
      <c r="Y394" s="790">
        <v>0</v>
      </c>
      <c r="Z394" s="790">
        <v>0</v>
      </c>
      <c r="AA394" s="790">
        <v>0</v>
      </c>
      <c r="AB394" s="790">
        <v>0</v>
      </c>
      <c r="AC394" s="790">
        <v>0</v>
      </c>
      <c r="AD394" s="790">
        <f t="shared" si="234"/>
        <v>0</v>
      </c>
      <c r="AE394" s="790">
        <f t="shared" si="257"/>
        <v>14700</v>
      </c>
      <c r="AF394" s="791">
        <f t="shared" si="258"/>
        <v>126</v>
      </c>
      <c r="AG394" s="791">
        <f t="shared" si="259"/>
        <v>964</v>
      </c>
      <c r="AH394" s="783">
        <f t="shared" si="260"/>
        <v>964</v>
      </c>
      <c r="AI394" s="783">
        <f t="shared" si="235"/>
        <v>13736</v>
      </c>
      <c r="AJ394" s="790">
        <f t="shared" si="236"/>
        <v>13736</v>
      </c>
      <c r="AK394" s="790">
        <f t="shared" si="237"/>
        <v>14700</v>
      </c>
      <c r="AL394" s="791">
        <f t="shared" si="238"/>
        <v>365</v>
      </c>
      <c r="AM394" s="791">
        <f t="shared" si="239"/>
        <v>2793</v>
      </c>
      <c r="AN394" s="783">
        <f t="shared" si="240"/>
        <v>3757</v>
      </c>
      <c r="AO394" s="783">
        <f t="shared" si="241"/>
        <v>10943</v>
      </c>
      <c r="AP394" s="790">
        <f t="shared" si="242"/>
        <v>10943</v>
      </c>
      <c r="AQ394" s="790">
        <f t="shared" si="243"/>
        <v>14700</v>
      </c>
      <c r="AR394" s="791">
        <f t="shared" si="244"/>
        <v>366</v>
      </c>
      <c r="AS394" s="791">
        <f t="shared" si="245"/>
        <v>2801</v>
      </c>
      <c r="AT394" s="790">
        <f t="shared" si="246"/>
        <v>6558</v>
      </c>
      <c r="AU394" s="790">
        <f t="shared" si="247"/>
        <v>8142</v>
      </c>
    </row>
    <row r="395" spans="1:47" ht="15" customHeight="1" x14ac:dyDescent="0.25">
      <c r="A395" s="842" t="s">
        <v>667</v>
      </c>
      <c r="B395" s="943" t="s">
        <v>1313</v>
      </c>
      <c r="C395" s="778">
        <f t="shared" si="222"/>
        <v>0.19</v>
      </c>
      <c r="D395" s="844">
        <v>5</v>
      </c>
      <c r="E395" s="844" t="s">
        <v>723</v>
      </c>
      <c r="F395" s="845">
        <v>44577</v>
      </c>
      <c r="G395" s="781">
        <f t="shared" si="248"/>
        <v>44577</v>
      </c>
      <c r="H395" s="781">
        <f t="shared" si="223"/>
        <v>46402</v>
      </c>
      <c r="I395" s="795">
        <f>17761.26</f>
        <v>17761.259999999998</v>
      </c>
      <c r="J395" s="783">
        <f t="shared" si="224"/>
        <v>888.06299999999999</v>
      </c>
      <c r="K395" s="790"/>
      <c r="L395" s="790">
        <v>0</v>
      </c>
      <c r="M395" s="790">
        <v>0</v>
      </c>
      <c r="N395" s="790">
        <v>0</v>
      </c>
      <c r="O395" s="790">
        <v>0</v>
      </c>
      <c r="P395" s="790">
        <v>0</v>
      </c>
      <c r="Q395" s="790">
        <v>0</v>
      </c>
      <c r="R395" s="790">
        <v>0</v>
      </c>
      <c r="S395" s="790">
        <v>0</v>
      </c>
      <c r="T395" s="790">
        <v>0</v>
      </c>
      <c r="U395" s="790">
        <v>0</v>
      </c>
      <c r="V395" s="790">
        <v>0</v>
      </c>
      <c r="W395" s="790">
        <v>0</v>
      </c>
      <c r="X395" s="790">
        <v>0</v>
      </c>
      <c r="Y395" s="790">
        <v>0</v>
      </c>
      <c r="Z395" s="790">
        <v>0</v>
      </c>
      <c r="AA395" s="790">
        <v>0</v>
      </c>
      <c r="AB395" s="790">
        <v>0</v>
      </c>
      <c r="AC395" s="790">
        <v>0</v>
      </c>
      <c r="AD395" s="790">
        <f t="shared" si="234"/>
        <v>0</v>
      </c>
      <c r="AE395" s="790">
        <f t="shared" si="257"/>
        <v>17761.259999999998</v>
      </c>
      <c r="AF395" s="791">
        <f t="shared" si="258"/>
        <v>75</v>
      </c>
      <c r="AG395" s="791">
        <f t="shared" si="259"/>
        <v>693</v>
      </c>
      <c r="AH395" s="783">
        <f t="shared" si="260"/>
        <v>693</v>
      </c>
      <c r="AI395" s="783">
        <f t="shared" si="235"/>
        <v>17068.259999999998</v>
      </c>
      <c r="AJ395" s="790">
        <f t="shared" si="236"/>
        <v>17068.259999999998</v>
      </c>
      <c r="AK395" s="790">
        <f t="shared" si="237"/>
        <v>17761.259999999998</v>
      </c>
      <c r="AL395" s="791">
        <f t="shared" si="238"/>
        <v>365</v>
      </c>
      <c r="AM395" s="791">
        <f t="shared" si="239"/>
        <v>3375</v>
      </c>
      <c r="AN395" s="783">
        <f t="shared" si="240"/>
        <v>4068</v>
      </c>
      <c r="AO395" s="783">
        <f t="shared" si="241"/>
        <v>13693.259999999998</v>
      </c>
      <c r="AP395" s="790">
        <f t="shared" si="242"/>
        <v>13693.259999999998</v>
      </c>
      <c r="AQ395" s="790">
        <f t="shared" si="243"/>
        <v>17761.259999999998</v>
      </c>
      <c r="AR395" s="791">
        <f t="shared" si="244"/>
        <v>366</v>
      </c>
      <c r="AS395" s="791">
        <f t="shared" si="245"/>
        <v>3384</v>
      </c>
      <c r="AT395" s="790">
        <f t="shared" si="246"/>
        <v>7452</v>
      </c>
      <c r="AU395" s="790">
        <f t="shared" si="247"/>
        <v>10309.259999999998</v>
      </c>
    </row>
    <row r="396" spans="1:47" ht="15" customHeight="1" x14ac:dyDescent="0.25">
      <c r="A396" s="842" t="s">
        <v>667</v>
      </c>
      <c r="B396" s="852" t="s">
        <v>1314</v>
      </c>
      <c r="C396" s="778">
        <f t="shared" si="222"/>
        <v>0.19</v>
      </c>
      <c r="D396" s="844">
        <v>5</v>
      </c>
      <c r="E396" s="844" t="s">
        <v>677</v>
      </c>
      <c r="F396" s="853">
        <v>44662</v>
      </c>
      <c r="G396" s="781">
        <f t="shared" si="248"/>
        <v>44662</v>
      </c>
      <c r="H396" s="781">
        <f t="shared" si="223"/>
        <v>46487</v>
      </c>
      <c r="I396" s="897">
        <v>32422</v>
      </c>
      <c r="J396" s="945">
        <f t="shared" si="224"/>
        <v>1621.1000000000001</v>
      </c>
      <c r="K396" s="790"/>
      <c r="L396" s="790">
        <v>0</v>
      </c>
      <c r="M396" s="790">
        <v>0</v>
      </c>
      <c r="N396" s="790">
        <v>0</v>
      </c>
      <c r="O396" s="790">
        <v>0</v>
      </c>
      <c r="P396" s="790">
        <v>0</v>
      </c>
      <c r="Q396" s="790">
        <v>0</v>
      </c>
      <c r="R396" s="790">
        <v>0</v>
      </c>
      <c r="S396" s="790">
        <v>0</v>
      </c>
      <c r="T396" s="790">
        <v>0</v>
      </c>
      <c r="U396" s="790">
        <v>0</v>
      </c>
      <c r="V396" s="790">
        <v>0</v>
      </c>
      <c r="W396" s="790">
        <v>0</v>
      </c>
      <c r="X396" s="790">
        <v>0</v>
      </c>
      <c r="Y396" s="790">
        <v>0</v>
      </c>
      <c r="Z396" s="790">
        <v>0</v>
      </c>
      <c r="AA396" s="790">
        <v>0</v>
      </c>
      <c r="AB396" s="790">
        <v>0</v>
      </c>
      <c r="AC396" s="790">
        <v>0</v>
      </c>
      <c r="AD396" s="790">
        <f t="shared" si="234"/>
        <v>0</v>
      </c>
      <c r="AE396" s="790"/>
      <c r="AF396" s="791"/>
      <c r="AG396" s="791"/>
      <c r="AH396" s="783"/>
      <c r="AI396" s="783"/>
      <c r="AJ396" s="790">
        <f t="shared" si="236"/>
        <v>0</v>
      </c>
      <c r="AK396" s="790">
        <f t="shared" si="237"/>
        <v>32422</v>
      </c>
      <c r="AL396" s="791">
        <f t="shared" si="238"/>
        <v>355</v>
      </c>
      <c r="AM396" s="791">
        <f t="shared" si="239"/>
        <v>5991</v>
      </c>
      <c r="AN396" s="783">
        <f t="shared" si="240"/>
        <v>5991</v>
      </c>
      <c r="AO396" s="783">
        <f t="shared" si="241"/>
        <v>26431</v>
      </c>
      <c r="AP396" s="790">
        <f t="shared" si="242"/>
        <v>26431</v>
      </c>
      <c r="AQ396" s="790">
        <f t="shared" si="243"/>
        <v>32422</v>
      </c>
      <c r="AR396" s="791">
        <f t="shared" si="244"/>
        <v>366</v>
      </c>
      <c r="AS396" s="791">
        <f t="shared" si="245"/>
        <v>6177</v>
      </c>
      <c r="AT396" s="790">
        <f t="shared" si="246"/>
        <v>12168</v>
      </c>
      <c r="AU396" s="790">
        <f t="shared" si="247"/>
        <v>20254</v>
      </c>
    </row>
    <row r="397" spans="1:47" ht="15" customHeight="1" x14ac:dyDescent="0.25">
      <c r="A397" s="842" t="s">
        <v>667</v>
      </c>
      <c r="B397" s="852" t="s">
        <v>1314</v>
      </c>
      <c r="C397" s="778">
        <f t="shared" si="222"/>
        <v>0.19</v>
      </c>
      <c r="D397" s="844">
        <v>5</v>
      </c>
      <c r="E397" s="844" t="s">
        <v>677</v>
      </c>
      <c r="F397" s="853">
        <v>44663</v>
      </c>
      <c r="G397" s="781">
        <f t="shared" si="248"/>
        <v>44663</v>
      </c>
      <c r="H397" s="781">
        <f t="shared" si="223"/>
        <v>46488</v>
      </c>
      <c r="I397" s="897">
        <v>36719</v>
      </c>
      <c r="J397" s="945">
        <f t="shared" si="224"/>
        <v>1835.95</v>
      </c>
      <c r="K397" s="790"/>
      <c r="L397" s="790">
        <v>0</v>
      </c>
      <c r="M397" s="790">
        <v>0</v>
      </c>
      <c r="N397" s="790">
        <v>0</v>
      </c>
      <c r="O397" s="790">
        <v>0</v>
      </c>
      <c r="P397" s="790">
        <v>0</v>
      </c>
      <c r="Q397" s="790">
        <v>0</v>
      </c>
      <c r="R397" s="790">
        <v>0</v>
      </c>
      <c r="S397" s="790">
        <v>0</v>
      </c>
      <c r="T397" s="790">
        <v>0</v>
      </c>
      <c r="U397" s="790">
        <v>0</v>
      </c>
      <c r="V397" s="790">
        <v>0</v>
      </c>
      <c r="W397" s="790">
        <v>0</v>
      </c>
      <c r="X397" s="790">
        <v>0</v>
      </c>
      <c r="Y397" s="790">
        <v>0</v>
      </c>
      <c r="Z397" s="790">
        <v>0</v>
      </c>
      <c r="AA397" s="790">
        <v>0</v>
      </c>
      <c r="AB397" s="790">
        <v>0</v>
      </c>
      <c r="AC397" s="790">
        <v>0</v>
      </c>
      <c r="AD397" s="790">
        <f t="shared" si="234"/>
        <v>0</v>
      </c>
      <c r="AE397" s="790"/>
      <c r="AF397" s="791"/>
      <c r="AG397" s="791"/>
      <c r="AH397" s="783"/>
      <c r="AI397" s="783"/>
      <c r="AJ397" s="790">
        <f t="shared" si="236"/>
        <v>0</v>
      </c>
      <c r="AK397" s="790">
        <f t="shared" si="237"/>
        <v>36719</v>
      </c>
      <c r="AL397" s="791">
        <f t="shared" si="238"/>
        <v>354</v>
      </c>
      <c r="AM397" s="791">
        <f t="shared" si="239"/>
        <v>6766</v>
      </c>
      <c r="AN397" s="783">
        <f t="shared" si="240"/>
        <v>6766</v>
      </c>
      <c r="AO397" s="783">
        <f t="shared" si="241"/>
        <v>29953</v>
      </c>
      <c r="AP397" s="790">
        <f t="shared" si="242"/>
        <v>29953</v>
      </c>
      <c r="AQ397" s="790">
        <f t="shared" si="243"/>
        <v>36719</v>
      </c>
      <c r="AR397" s="791">
        <f t="shared" si="244"/>
        <v>366</v>
      </c>
      <c r="AS397" s="791">
        <f t="shared" si="245"/>
        <v>6996</v>
      </c>
      <c r="AT397" s="790">
        <f t="shared" si="246"/>
        <v>13762</v>
      </c>
      <c r="AU397" s="790">
        <f t="shared" si="247"/>
        <v>22957</v>
      </c>
    </row>
    <row r="398" spans="1:47" ht="15" customHeight="1" x14ac:dyDescent="0.25">
      <c r="A398" s="842" t="s">
        <v>667</v>
      </c>
      <c r="B398" s="852" t="s">
        <v>1315</v>
      </c>
      <c r="C398" s="778">
        <f t="shared" si="222"/>
        <v>0.19</v>
      </c>
      <c r="D398" s="844">
        <v>5</v>
      </c>
      <c r="E398" s="844" t="s">
        <v>677</v>
      </c>
      <c r="F398" s="853">
        <v>44760</v>
      </c>
      <c r="G398" s="781">
        <f t="shared" si="248"/>
        <v>44760</v>
      </c>
      <c r="H398" s="781">
        <f t="shared" si="223"/>
        <v>46585</v>
      </c>
      <c r="I398" s="897">
        <v>8473.7199999999993</v>
      </c>
      <c r="J398" s="945">
        <f t="shared" si="224"/>
        <v>423.68599999999998</v>
      </c>
      <c r="K398" s="790"/>
      <c r="L398" s="790">
        <v>0</v>
      </c>
      <c r="M398" s="790">
        <v>0</v>
      </c>
      <c r="N398" s="790">
        <v>0</v>
      </c>
      <c r="O398" s="790">
        <v>0</v>
      </c>
      <c r="P398" s="790">
        <v>0</v>
      </c>
      <c r="Q398" s="790">
        <v>0</v>
      </c>
      <c r="R398" s="790">
        <v>0</v>
      </c>
      <c r="S398" s="790">
        <v>0</v>
      </c>
      <c r="T398" s="790">
        <v>0</v>
      </c>
      <c r="U398" s="790">
        <v>0</v>
      </c>
      <c r="V398" s="790">
        <v>0</v>
      </c>
      <c r="W398" s="790">
        <v>0</v>
      </c>
      <c r="X398" s="790">
        <v>0</v>
      </c>
      <c r="Y398" s="790">
        <v>0</v>
      </c>
      <c r="Z398" s="790">
        <v>0</v>
      </c>
      <c r="AA398" s="790">
        <v>0</v>
      </c>
      <c r="AB398" s="790">
        <v>0</v>
      </c>
      <c r="AC398" s="790">
        <v>0</v>
      </c>
      <c r="AD398" s="790">
        <f t="shared" si="234"/>
        <v>0</v>
      </c>
      <c r="AE398" s="790"/>
      <c r="AF398" s="791"/>
      <c r="AG398" s="791"/>
      <c r="AH398" s="783"/>
      <c r="AI398" s="783"/>
      <c r="AJ398" s="790">
        <f t="shared" si="236"/>
        <v>0</v>
      </c>
      <c r="AK398" s="790">
        <f t="shared" si="237"/>
        <v>8473.7199999999993</v>
      </c>
      <c r="AL398" s="791">
        <f t="shared" si="238"/>
        <v>257</v>
      </c>
      <c r="AM398" s="791">
        <f t="shared" si="239"/>
        <v>1134</v>
      </c>
      <c r="AN398" s="783">
        <f t="shared" si="240"/>
        <v>1134</v>
      </c>
      <c r="AO398" s="783">
        <f t="shared" si="241"/>
        <v>7339.7199999999993</v>
      </c>
      <c r="AP398" s="790">
        <f t="shared" si="242"/>
        <v>7339.7199999999993</v>
      </c>
      <c r="AQ398" s="790">
        <f t="shared" si="243"/>
        <v>8473.7199999999993</v>
      </c>
      <c r="AR398" s="791">
        <f t="shared" si="244"/>
        <v>366</v>
      </c>
      <c r="AS398" s="791">
        <f t="shared" si="245"/>
        <v>1614</v>
      </c>
      <c r="AT398" s="790">
        <f t="shared" si="246"/>
        <v>2748</v>
      </c>
      <c r="AU398" s="790">
        <f t="shared" si="247"/>
        <v>5725.7199999999993</v>
      </c>
    </row>
    <row r="399" spans="1:47" ht="15" customHeight="1" x14ac:dyDescent="0.25">
      <c r="A399" s="842" t="s">
        <v>667</v>
      </c>
      <c r="B399" s="852" t="s">
        <v>505</v>
      </c>
      <c r="C399" s="778">
        <f t="shared" si="222"/>
        <v>0.19</v>
      </c>
      <c r="D399" s="844">
        <v>5</v>
      </c>
      <c r="E399" s="844" t="s">
        <v>677</v>
      </c>
      <c r="F399" s="853">
        <v>44852</v>
      </c>
      <c r="G399" s="781">
        <f t="shared" si="248"/>
        <v>44852</v>
      </c>
      <c r="H399" s="781">
        <f t="shared" si="223"/>
        <v>46677</v>
      </c>
      <c r="I399" s="897">
        <v>6990</v>
      </c>
      <c r="J399" s="945">
        <f t="shared" si="224"/>
        <v>349.5</v>
      </c>
      <c r="K399" s="790"/>
      <c r="L399" s="790">
        <v>0</v>
      </c>
      <c r="M399" s="790">
        <v>0</v>
      </c>
      <c r="N399" s="790">
        <v>0</v>
      </c>
      <c r="O399" s="790">
        <v>0</v>
      </c>
      <c r="P399" s="790">
        <v>0</v>
      </c>
      <c r="Q399" s="790">
        <v>0</v>
      </c>
      <c r="R399" s="790">
        <v>0</v>
      </c>
      <c r="S399" s="790">
        <v>0</v>
      </c>
      <c r="T399" s="790">
        <v>0</v>
      </c>
      <c r="U399" s="790">
        <v>0</v>
      </c>
      <c r="V399" s="790">
        <v>0</v>
      </c>
      <c r="W399" s="790">
        <v>0</v>
      </c>
      <c r="X399" s="790">
        <v>0</v>
      </c>
      <c r="Y399" s="790">
        <v>0</v>
      </c>
      <c r="Z399" s="790">
        <v>0</v>
      </c>
      <c r="AA399" s="790">
        <v>0</v>
      </c>
      <c r="AB399" s="790">
        <v>0</v>
      </c>
      <c r="AC399" s="790">
        <v>0</v>
      </c>
      <c r="AD399" s="790">
        <f t="shared" si="234"/>
        <v>0</v>
      </c>
      <c r="AE399" s="790"/>
      <c r="AF399" s="791"/>
      <c r="AG399" s="791"/>
      <c r="AH399" s="783"/>
      <c r="AI399" s="783"/>
      <c r="AJ399" s="790">
        <f t="shared" si="236"/>
        <v>0</v>
      </c>
      <c r="AK399" s="790">
        <f t="shared" si="237"/>
        <v>6990</v>
      </c>
      <c r="AL399" s="791">
        <f t="shared" si="238"/>
        <v>165</v>
      </c>
      <c r="AM399" s="791">
        <f t="shared" si="239"/>
        <v>600</v>
      </c>
      <c r="AN399" s="783">
        <f t="shared" si="240"/>
        <v>600</v>
      </c>
      <c r="AO399" s="783">
        <f t="shared" si="241"/>
        <v>6390</v>
      </c>
      <c r="AP399" s="790">
        <f t="shared" si="242"/>
        <v>6390</v>
      </c>
      <c r="AQ399" s="790">
        <f t="shared" si="243"/>
        <v>6990</v>
      </c>
      <c r="AR399" s="791">
        <f t="shared" si="244"/>
        <v>366</v>
      </c>
      <c r="AS399" s="791">
        <f t="shared" si="245"/>
        <v>1332</v>
      </c>
      <c r="AT399" s="790">
        <f t="shared" si="246"/>
        <v>1932</v>
      </c>
      <c r="AU399" s="790">
        <f t="shared" si="247"/>
        <v>5058</v>
      </c>
    </row>
    <row r="400" spans="1:47" ht="15" customHeight="1" x14ac:dyDescent="0.25">
      <c r="A400" s="842" t="s">
        <v>667</v>
      </c>
      <c r="B400" s="943" t="s">
        <v>216</v>
      </c>
      <c r="C400" s="778">
        <f t="shared" si="222"/>
        <v>0.19</v>
      </c>
      <c r="D400" s="844">
        <v>5</v>
      </c>
      <c r="E400" s="844" t="s">
        <v>677</v>
      </c>
      <c r="F400" s="853">
        <v>44702</v>
      </c>
      <c r="G400" s="781">
        <f t="shared" si="248"/>
        <v>44702</v>
      </c>
      <c r="H400" s="781">
        <f t="shared" si="223"/>
        <v>46527</v>
      </c>
      <c r="I400" s="897">
        <v>12250</v>
      </c>
      <c r="J400" s="945">
        <f t="shared" si="224"/>
        <v>612.5</v>
      </c>
      <c r="K400" s="790"/>
      <c r="L400" s="790"/>
      <c r="M400" s="790"/>
      <c r="N400" s="790"/>
      <c r="O400" s="790"/>
      <c r="P400" s="790"/>
      <c r="Q400" s="790"/>
      <c r="R400" s="790"/>
      <c r="S400" s="790"/>
      <c r="T400" s="790"/>
      <c r="U400" s="790"/>
      <c r="V400" s="790"/>
      <c r="W400" s="790"/>
      <c r="X400" s="790"/>
      <c r="Y400" s="790"/>
      <c r="Z400" s="790"/>
      <c r="AA400" s="790"/>
      <c r="AB400" s="790"/>
      <c r="AC400" s="790"/>
      <c r="AD400" s="790"/>
      <c r="AE400" s="790"/>
      <c r="AF400" s="791"/>
      <c r="AG400" s="791"/>
      <c r="AH400" s="783"/>
      <c r="AI400" s="783"/>
      <c r="AJ400" s="790"/>
      <c r="AK400" s="790">
        <f t="shared" si="237"/>
        <v>12250</v>
      </c>
      <c r="AL400" s="791">
        <f t="shared" si="238"/>
        <v>315</v>
      </c>
      <c r="AM400" s="791">
        <f t="shared" si="239"/>
        <v>2009</v>
      </c>
      <c r="AN400" s="783">
        <f t="shared" si="240"/>
        <v>2009</v>
      </c>
      <c r="AO400" s="783">
        <f t="shared" si="241"/>
        <v>10241</v>
      </c>
      <c r="AP400" s="790">
        <f t="shared" si="242"/>
        <v>10241</v>
      </c>
      <c r="AQ400" s="790">
        <f t="shared" si="243"/>
        <v>12250</v>
      </c>
      <c r="AR400" s="791">
        <f t="shared" si="244"/>
        <v>366</v>
      </c>
      <c r="AS400" s="791">
        <f t="shared" si="245"/>
        <v>2334</v>
      </c>
      <c r="AT400" s="790">
        <f t="shared" si="246"/>
        <v>4343</v>
      </c>
      <c r="AU400" s="790">
        <f t="shared" si="247"/>
        <v>7907</v>
      </c>
    </row>
    <row r="401" spans="1:47" ht="15" customHeight="1" x14ac:dyDescent="0.25">
      <c r="A401" s="842" t="s">
        <v>667</v>
      </c>
      <c r="B401" s="943" t="s">
        <v>216</v>
      </c>
      <c r="C401" s="778">
        <f t="shared" si="222"/>
        <v>0.19</v>
      </c>
      <c r="D401" s="844">
        <v>5</v>
      </c>
      <c r="E401" s="844" t="s">
        <v>677</v>
      </c>
      <c r="F401" s="853">
        <v>44705</v>
      </c>
      <c r="G401" s="781">
        <f t="shared" si="248"/>
        <v>44705</v>
      </c>
      <c r="H401" s="781">
        <f t="shared" si="223"/>
        <v>46530</v>
      </c>
      <c r="I401" s="897">
        <v>100</v>
      </c>
      <c r="J401" s="945">
        <f t="shared" si="224"/>
        <v>5</v>
      </c>
      <c r="K401" s="790"/>
      <c r="L401" s="790"/>
      <c r="M401" s="790"/>
      <c r="N401" s="790"/>
      <c r="O401" s="790"/>
      <c r="P401" s="790"/>
      <c r="Q401" s="790"/>
      <c r="R401" s="790"/>
      <c r="S401" s="790"/>
      <c r="T401" s="790"/>
      <c r="U401" s="790"/>
      <c r="V401" s="790"/>
      <c r="W401" s="790"/>
      <c r="X401" s="790"/>
      <c r="Y401" s="790"/>
      <c r="Z401" s="790"/>
      <c r="AA401" s="790"/>
      <c r="AB401" s="790"/>
      <c r="AC401" s="790"/>
      <c r="AD401" s="790"/>
      <c r="AE401" s="790"/>
      <c r="AF401" s="791"/>
      <c r="AG401" s="791"/>
      <c r="AH401" s="783"/>
      <c r="AI401" s="783"/>
      <c r="AJ401" s="790"/>
      <c r="AK401" s="790">
        <f t="shared" si="237"/>
        <v>100</v>
      </c>
      <c r="AL401" s="791">
        <f t="shared" si="238"/>
        <v>312</v>
      </c>
      <c r="AM401" s="791">
        <f t="shared" si="239"/>
        <v>16</v>
      </c>
      <c r="AN401" s="783">
        <f t="shared" si="240"/>
        <v>16</v>
      </c>
      <c r="AO401" s="783">
        <f t="shared" si="241"/>
        <v>84</v>
      </c>
      <c r="AP401" s="790">
        <f t="shared" si="242"/>
        <v>84</v>
      </c>
      <c r="AQ401" s="790">
        <f t="shared" si="243"/>
        <v>100</v>
      </c>
      <c r="AR401" s="791">
        <f t="shared" si="244"/>
        <v>366</v>
      </c>
      <c r="AS401" s="791">
        <f t="shared" si="245"/>
        <v>19</v>
      </c>
      <c r="AT401" s="790">
        <f t="shared" si="246"/>
        <v>35</v>
      </c>
      <c r="AU401" s="790">
        <f t="shared" si="247"/>
        <v>65</v>
      </c>
    </row>
    <row r="402" spans="1:47" ht="15" customHeight="1" x14ac:dyDescent="0.25">
      <c r="A402" s="842" t="s">
        <v>667</v>
      </c>
      <c r="B402" s="943" t="s">
        <v>216</v>
      </c>
      <c r="C402" s="778">
        <f t="shared" si="222"/>
        <v>0.19</v>
      </c>
      <c r="D402" s="844">
        <v>5</v>
      </c>
      <c r="E402" s="844" t="s">
        <v>677</v>
      </c>
      <c r="F402" s="853">
        <v>44805</v>
      </c>
      <c r="G402" s="781">
        <f t="shared" si="248"/>
        <v>44805</v>
      </c>
      <c r="H402" s="781">
        <f t="shared" si="223"/>
        <v>46630</v>
      </c>
      <c r="I402" s="897">
        <v>11950</v>
      </c>
      <c r="J402" s="945">
        <f t="shared" si="224"/>
        <v>597.5</v>
      </c>
      <c r="K402" s="790"/>
      <c r="L402" s="790"/>
      <c r="M402" s="790"/>
      <c r="N402" s="790"/>
      <c r="O402" s="790"/>
      <c r="P402" s="790"/>
      <c r="Q402" s="790"/>
      <c r="R402" s="790"/>
      <c r="S402" s="790"/>
      <c r="T402" s="790"/>
      <c r="U402" s="790"/>
      <c r="V402" s="790"/>
      <c r="W402" s="790"/>
      <c r="X402" s="790"/>
      <c r="Y402" s="790"/>
      <c r="Z402" s="790"/>
      <c r="AA402" s="790"/>
      <c r="AB402" s="790"/>
      <c r="AC402" s="790"/>
      <c r="AD402" s="790"/>
      <c r="AE402" s="790"/>
      <c r="AF402" s="791"/>
      <c r="AG402" s="791"/>
      <c r="AH402" s="783"/>
      <c r="AI402" s="783"/>
      <c r="AJ402" s="790"/>
      <c r="AK402" s="790">
        <f t="shared" si="237"/>
        <v>11950</v>
      </c>
      <c r="AL402" s="791">
        <f t="shared" si="238"/>
        <v>212</v>
      </c>
      <c r="AM402" s="791">
        <f t="shared" si="239"/>
        <v>1319</v>
      </c>
      <c r="AN402" s="783">
        <f t="shared" si="240"/>
        <v>1319</v>
      </c>
      <c r="AO402" s="783">
        <f t="shared" si="241"/>
        <v>10631</v>
      </c>
      <c r="AP402" s="790">
        <f t="shared" si="242"/>
        <v>10631</v>
      </c>
      <c r="AQ402" s="790">
        <f t="shared" si="243"/>
        <v>11950</v>
      </c>
      <c r="AR402" s="791">
        <f t="shared" si="244"/>
        <v>366</v>
      </c>
      <c r="AS402" s="791">
        <f t="shared" si="245"/>
        <v>2277</v>
      </c>
      <c r="AT402" s="790">
        <f t="shared" si="246"/>
        <v>3596</v>
      </c>
      <c r="AU402" s="790">
        <f t="shared" si="247"/>
        <v>8354</v>
      </c>
    </row>
    <row r="403" spans="1:47" ht="15" customHeight="1" x14ac:dyDescent="0.25">
      <c r="A403" s="842" t="s">
        <v>667</v>
      </c>
      <c r="B403" s="943" t="s">
        <v>216</v>
      </c>
      <c r="C403" s="778">
        <f t="shared" si="222"/>
        <v>0.19</v>
      </c>
      <c r="D403" s="844">
        <v>5</v>
      </c>
      <c r="E403" s="844" t="s">
        <v>677</v>
      </c>
      <c r="F403" s="853">
        <v>44898</v>
      </c>
      <c r="G403" s="781">
        <f t="shared" si="248"/>
        <v>44898</v>
      </c>
      <c r="H403" s="781">
        <f t="shared" si="223"/>
        <v>46723</v>
      </c>
      <c r="I403" s="897">
        <v>3200</v>
      </c>
      <c r="J403" s="945">
        <f t="shared" si="224"/>
        <v>160</v>
      </c>
      <c r="K403" s="790"/>
      <c r="L403" s="790"/>
      <c r="M403" s="790"/>
      <c r="N403" s="790"/>
      <c r="O403" s="790"/>
      <c r="P403" s="790"/>
      <c r="Q403" s="790"/>
      <c r="R403" s="790"/>
      <c r="S403" s="790"/>
      <c r="T403" s="790"/>
      <c r="U403" s="790"/>
      <c r="V403" s="790"/>
      <c r="W403" s="790"/>
      <c r="X403" s="790"/>
      <c r="Y403" s="790"/>
      <c r="Z403" s="790"/>
      <c r="AA403" s="790"/>
      <c r="AB403" s="790"/>
      <c r="AC403" s="790"/>
      <c r="AD403" s="790"/>
      <c r="AE403" s="790"/>
      <c r="AF403" s="791"/>
      <c r="AG403" s="791"/>
      <c r="AH403" s="783"/>
      <c r="AI403" s="783"/>
      <c r="AJ403" s="790"/>
      <c r="AK403" s="790">
        <f t="shared" si="237"/>
        <v>3200</v>
      </c>
      <c r="AL403" s="791">
        <f t="shared" si="238"/>
        <v>119</v>
      </c>
      <c r="AM403" s="791">
        <f t="shared" si="239"/>
        <v>198</v>
      </c>
      <c r="AN403" s="783">
        <f t="shared" si="240"/>
        <v>198</v>
      </c>
      <c r="AO403" s="783">
        <f t="shared" si="241"/>
        <v>3002</v>
      </c>
      <c r="AP403" s="790">
        <f t="shared" si="242"/>
        <v>3002</v>
      </c>
      <c r="AQ403" s="790">
        <f t="shared" si="243"/>
        <v>3200</v>
      </c>
      <c r="AR403" s="791">
        <f t="shared" si="244"/>
        <v>366</v>
      </c>
      <c r="AS403" s="791">
        <f t="shared" si="245"/>
        <v>610</v>
      </c>
      <c r="AT403" s="790">
        <f t="shared" si="246"/>
        <v>808</v>
      </c>
      <c r="AU403" s="790">
        <f t="shared" si="247"/>
        <v>2392</v>
      </c>
    </row>
    <row r="404" spans="1:47" ht="15" customHeight="1" x14ac:dyDescent="0.25">
      <c r="A404" s="842" t="s">
        <v>667</v>
      </c>
      <c r="B404" s="943" t="s">
        <v>216</v>
      </c>
      <c r="C404" s="778">
        <f t="shared" si="222"/>
        <v>0.19</v>
      </c>
      <c r="D404" s="844">
        <v>5</v>
      </c>
      <c r="E404" s="844" t="s">
        <v>677</v>
      </c>
      <c r="F404" s="853">
        <v>44902</v>
      </c>
      <c r="G404" s="781">
        <f t="shared" si="248"/>
        <v>44902</v>
      </c>
      <c r="H404" s="781">
        <f t="shared" si="223"/>
        <v>46727</v>
      </c>
      <c r="I404" s="897">
        <v>13600</v>
      </c>
      <c r="J404" s="945">
        <f t="shared" si="224"/>
        <v>680</v>
      </c>
      <c r="K404" s="790"/>
      <c r="L404" s="790"/>
      <c r="M404" s="790"/>
      <c r="N404" s="790"/>
      <c r="O404" s="790"/>
      <c r="P404" s="790"/>
      <c r="Q404" s="790"/>
      <c r="R404" s="790"/>
      <c r="S404" s="790"/>
      <c r="T404" s="790"/>
      <c r="U404" s="790"/>
      <c r="V404" s="790"/>
      <c r="W404" s="790"/>
      <c r="X404" s="790"/>
      <c r="Y404" s="790"/>
      <c r="Z404" s="790"/>
      <c r="AA404" s="790"/>
      <c r="AB404" s="790"/>
      <c r="AC404" s="790"/>
      <c r="AD404" s="790"/>
      <c r="AE404" s="790"/>
      <c r="AF404" s="791"/>
      <c r="AG404" s="791"/>
      <c r="AH404" s="783"/>
      <c r="AI404" s="783"/>
      <c r="AJ404" s="790"/>
      <c r="AK404" s="790">
        <f t="shared" si="237"/>
        <v>13600</v>
      </c>
      <c r="AL404" s="791">
        <f t="shared" si="238"/>
        <v>115</v>
      </c>
      <c r="AM404" s="791">
        <f t="shared" si="239"/>
        <v>814</v>
      </c>
      <c r="AN404" s="783">
        <f t="shared" si="240"/>
        <v>814</v>
      </c>
      <c r="AO404" s="783">
        <f t="shared" si="241"/>
        <v>12786</v>
      </c>
      <c r="AP404" s="790">
        <f t="shared" si="242"/>
        <v>12786</v>
      </c>
      <c r="AQ404" s="790">
        <f t="shared" si="243"/>
        <v>13600</v>
      </c>
      <c r="AR404" s="791">
        <f t="shared" si="244"/>
        <v>366</v>
      </c>
      <c r="AS404" s="791">
        <f t="shared" si="245"/>
        <v>2591</v>
      </c>
      <c r="AT404" s="790">
        <f t="shared" si="246"/>
        <v>3405</v>
      </c>
      <c r="AU404" s="790">
        <f t="shared" si="247"/>
        <v>10195</v>
      </c>
    </row>
    <row r="405" spans="1:47" ht="15" customHeight="1" x14ac:dyDescent="0.25">
      <c r="A405" s="842" t="s">
        <v>667</v>
      </c>
      <c r="B405" s="943" t="s">
        <v>216</v>
      </c>
      <c r="C405" s="778">
        <f t="shared" si="222"/>
        <v>0.19</v>
      </c>
      <c r="D405" s="844">
        <v>5</v>
      </c>
      <c r="E405" s="844" t="s">
        <v>677</v>
      </c>
      <c r="F405" s="853">
        <v>44925</v>
      </c>
      <c r="G405" s="781">
        <f t="shared" si="248"/>
        <v>44925</v>
      </c>
      <c r="H405" s="781">
        <f t="shared" si="223"/>
        <v>46750</v>
      </c>
      <c r="I405" s="897">
        <v>8000</v>
      </c>
      <c r="J405" s="945">
        <f t="shared" si="224"/>
        <v>400</v>
      </c>
      <c r="K405" s="790"/>
      <c r="L405" s="790"/>
      <c r="M405" s="790"/>
      <c r="N405" s="790"/>
      <c r="O405" s="790"/>
      <c r="P405" s="790"/>
      <c r="Q405" s="790"/>
      <c r="R405" s="790"/>
      <c r="S405" s="790"/>
      <c r="T405" s="790"/>
      <c r="U405" s="790"/>
      <c r="V405" s="790"/>
      <c r="W405" s="790"/>
      <c r="X405" s="790"/>
      <c r="Y405" s="790"/>
      <c r="Z405" s="790"/>
      <c r="AA405" s="790"/>
      <c r="AB405" s="790"/>
      <c r="AC405" s="790"/>
      <c r="AD405" s="790"/>
      <c r="AE405" s="790"/>
      <c r="AF405" s="791"/>
      <c r="AG405" s="791"/>
      <c r="AH405" s="783"/>
      <c r="AI405" s="783"/>
      <c r="AJ405" s="790"/>
      <c r="AK405" s="790">
        <f t="shared" si="237"/>
        <v>8000</v>
      </c>
      <c r="AL405" s="791">
        <f t="shared" si="238"/>
        <v>92</v>
      </c>
      <c r="AM405" s="791">
        <f t="shared" si="239"/>
        <v>383</v>
      </c>
      <c r="AN405" s="783">
        <f t="shared" si="240"/>
        <v>383</v>
      </c>
      <c r="AO405" s="783">
        <f t="shared" si="241"/>
        <v>7617</v>
      </c>
      <c r="AP405" s="790">
        <f t="shared" si="242"/>
        <v>7617</v>
      </c>
      <c r="AQ405" s="790">
        <f t="shared" si="243"/>
        <v>8000</v>
      </c>
      <c r="AR405" s="791">
        <f t="shared" si="244"/>
        <v>366</v>
      </c>
      <c r="AS405" s="791">
        <f t="shared" si="245"/>
        <v>1524</v>
      </c>
      <c r="AT405" s="790">
        <f t="shared" si="246"/>
        <v>1907</v>
      </c>
      <c r="AU405" s="790">
        <f t="shared" si="247"/>
        <v>6093</v>
      </c>
    </row>
    <row r="406" spans="1:47" ht="15" customHeight="1" x14ac:dyDescent="0.25">
      <c r="A406" s="842" t="s">
        <v>667</v>
      </c>
      <c r="B406" s="852" t="s">
        <v>1314</v>
      </c>
      <c r="C406" s="778">
        <f t="shared" si="222"/>
        <v>0.19</v>
      </c>
      <c r="D406" s="844">
        <v>5</v>
      </c>
      <c r="E406" s="844" t="s">
        <v>677</v>
      </c>
      <c r="F406" s="853">
        <v>44900</v>
      </c>
      <c r="G406" s="781">
        <f t="shared" si="248"/>
        <v>44900</v>
      </c>
      <c r="H406" s="781">
        <f t="shared" si="223"/>
        <v>46725</v>
      </c>
      <c r="I406" s="897">
        <v>33626.839999999997</v>
      </c>
      <c r="J406" s="945">
        <f t="shared" si="224"/>
        <v>1681.3419999999999</v>
      </c>
      <c r="K406" s="790"/>
      <c r="L406" s="790"/>
      <c r="M406" s="790"/>
      <c r="N406" s="790"/>
      <c r="O406" s="790"/>
      <c r="P406" s="790"/>
      <c r="Q406" s="790"/>
      <c r="R406" s="790"/>
      <c r="S406" s="790"/>
      <c r="T406" s="790"/>
      <c r="U406" s="790"/>
      <c r="V406" s="790"/>
      <c r="W406" s="790"/>
      <c r="X406" s="790"/>
      <c r="Y406" s="790"/>
      <c r="Z406" s="790"/>
      <c r="AA406" s="790"/>
      <c r="AB406" s="790"/>
      <c r="AC406" s="790"/>
      <c r="AD406" s="790"/>
      <c r="AE406" s="790"/>
      <c r="AF406" s="791"/>
      <c r="AG406" s="791"/>
      <c r="AH406" s="783"/>
      <c r="AI406" s="783"/>
      <c r="AJ406" s="790"/>
      <c r="AK406" s="790">
        <f t="shared" si="237"/>
        <v>33626.839999999997</v>
      </c>
      <c r="AL406" s="791">
        <f t="shared" si="238"/>
        <v>117</v>
      </c>
      <c r="AM406" s="791">
        <f t="shared" si="239"/>
        <v>2048</v>
      </c>
      <c r="AN406" s="783">
        <f t="shared" si="240"/>
        <v>2048</v>
      </c>
      <c r="AO406" s="783">
        <f t="shared" si="241"/>
        <v>31578.839999999997</v>
      </c>
      <c r="AP406" s="790">
        <f t="shared" si="242"/>
        <v>31578.839999999997</v>
      </c>
      <c r="AQ406" s="790">
        <f t="shared" si="243"/>
        <v>33626.839999999997</v>
      </c>
      <c r="AR406" s="791">
        <f t="shared" si="244"/>
        <v>366</v>
      </c>
      <c r="AS406" s="791">
        <f t="shared" si="245"/>
        <v>6407</v>
      </c>
      <c r="AT406" s="790">
        <f t="shared" si="246"/>
        <v>8455</v>
      </c>
      <c r="AU406" s="790">
        <f t="shared" si="247"/>
        <v>25171.839999999997</v>
      </c>
    </row>
    <row r="407" spans="1:47" ht="15" customHeight="1" x14ac:dyDescent="0.25">
      <c r="A407" s="842" t="s">
        <v>667</v>
      </c>
      <c r="B407" s="852" t="s">
        <v>1314</v>
      </c>
      <c r="C407" s="778">
        <f t="shared" si="222"/>
        <v>0.19</v>
      </c>
      <c r="D407" s="844">
        <v>5</v>
      </c>
      <c r="E407" s="844" t="s">
        <v>677</v>
      </c>
      <c r="F407" s="853">
        <v>44942</v>
      </c>
      <c r="G407" s="781">
        <f t="shared" si="248"/>
        <v>44942</v>
      </c>
      <c r="H407" s="781">
        <f t="shared" si="223"/>
        <v>46767</v>
      </c>
      <c r="I407" s="897">
        <v>32500</v>
      </c>
      <c r="J407" s="945">
        <f t="shared" si="224"/>
        <v>1625</v>
      </c>
      <c r="K407" s="790"/>
      <c r="L407" s="790"/>
      <c r="M407" s="790"/>
      <c r="N407" s="790"/>
      <c r="O407" s="790"/>
      <c r="P407" s="790"/>
      <c r="Q407" s="790"/>
      <c r="R407" s="790"/>
      <c r="S407" s="790"/>
      <c r="T407" s="790"/>
      <c r="U407" s="790"/>
      <c r="V407" s="790"/>
      <c r="W407" s="790"/>
      <c r="X407" s="790"/>
      <c r="Y407" s="790"/>
      <c r="Z407" s="790"/>
      <c r="AA407" s="790"/>
      <c r="AB407" s="790"/>
      <c r="AC407" s="790"/>
      <c r="AD407" s="790"/>
      <c r="AE407" s="790"/>
      <c r="AF407" s="791"/>
      <c r="AG407" s="791"/>
      <c r="AH407" s="783"/>
      <c r="AI407" s="783"/>
      <c r="AJ407" s="790"/>
      <c r="AK407" s="790">
        <f t="shared" si="237"/>
        <v>32500</v>
      </c>
      <c r="AL407" s="791">
        <f t="shared" si="238"/>
        <v>75</v>
      </c>
      <c r="AM407" s="791">
        <f t="shared" si="239"/>
        <v>1269</v>
      </c>
      <c r="AN407" s="783">
        <f t="shared" si="240"/>
        <v>1269</v>
      </c>
      <c r="AO407" s="783">
        <f t="shared" si="241"/>
        <v>31231</v>
      </c>
      <c r="AP407" s="790">
        <f t="shared" si="242"/>
        <v>31231</v>
      </c>
      <c r="AQ407" s="790">
        <f t="shared" si="243"/>
        <v>32500</v>
      </c>
      <c r="AR407" s="791">
        <f t="shared" si="244"/>
        <v>366</v>
      </c>
      <c r="AS407" s="791">
        <f t="shared" si="245"/>
        <v>6192</v>
      </c>
      <c r="AT407" s="790">
        <f t="shared" si="246"/>
        <v>7461</v>
      </c>
      <c r="AU407" s="790">
        <f t="shared" si="247"/>
        <v>25039</v>
      </c>
    </row>
    <row r="408" spans="1:47" ht="15" customHeight="1" x14ac:dyDescent="0.25">
      <c r="A408" s="842" t="s">
        <v>667</v>
      </c>
      <c r="B408" s="822" t="s">
        <v>505</v>
      </c>
      <c r="C408" s="778">
        <f t="shared" si="222"/>
        <v>0.19</v>
      </c>
      <c r="D408" s="844">
        <v>5</v>
      </c>
      <c r="E408" s="844" t="s">
        <v>884</v>
      </c>
      <c r="F408" s="862">
        <v>45320</v>
      </c>
      <c r="G408" s="862">
        <v>45320</v>
      </c>
      <c r="H408" s="781">
        <f t="shared" si="223"/>
        <v>47145</v>
      </c>
      <c r="I408" s="901">
        <v>102800</v>
      </c>
      <c r="J408" s="945">
        <f t="shared" si="224"/>
        <v>5140</v>
      </c>
      <c r="K408" s="841"/>
      <c r="L408" s="790"/>
      <c r="M408" s="790"/>
      <c r="N408" s="790"/>
      <c r="O408" s="790"/>
      <c r="P408" s="790"/>
      <c r="Q408" s="790"/>
      <c r="R408" s="790"/>
      <c r="S408" s="790"/>
      <c r="T408" s="790"/>
      <c r="U408" s="790"/>
      <c r="V408" s="790"/>
      <c r="W408" s="790"/>
      <c r="X408" s="790"/>
      <c r="Y408" s="790"/>
      <c r="Z408" s="790"/>
      <c r="AA408" s="790"/>
      <c r="AB408" s="790"/>
      <c r="AC408" s="790"/>
      <c r="AD408" s="790"/>
      <c r="AE408" s="790"/>
      <c r="AF408" s="791"/>
      <c r="AG408" s="791"/>
      <c r="AH408" s="783"/>
      <c r="AI408" s="783"/>
      <c r="AJ408" s="790"/>
      <c r="AK408" s="790"/>
      <c r="AL408" s="791"/>
      <c r="AM408" s="791"/>
      <c r="AN408" s="783"/>
      <c r="AO408" s="783"/>
      <c r="AP408" s="790">
        <f t="shared" si="242"/>
        <v>0</v>
      </c>
      <c r="AQ408" s="790">
        <f t="shared" si="243"/>
        <v>102800</v>
      </c>
      <c r="AR408" s="791">
        <f t="shared" si="244"/>
        <v>63</v>
      </c>
      <c r="AS408" s="791">
        <f t="shared" si="245"/>
        <v>3371</v>
      </c>
      <c r="AT408" s="790">
        <f t="shared" si="246"/>
        <v>3371</v>
      </c>
      <c r="AU408" s="790">
        <f t="shared" si="247"/>
        <v>99429</v>
      </c>
    </row>
    <row r="409" spans="1:47" ht="15" customHeight="1" x14ac:dyDescent="0.25">
      <c r="A409" s="842" t="s">
        <v>667</v>
      </c>
      <c r="B409" s="822" t="s">
        <v>222</v>
      </c>
      <c r="C409" s="778">
        <f t="shared" si="222"/>
        <v>0.19</v>
      </c>
      <c r="D409" s="844">
        <v>5</v>
      </c>
      <c r="E409" s="844" t="s">
        <v>884</v>
      </c>
      <c r="F409" s="814">
        <v>45338</v>
      </c>
      <c r="G409" s="814">
        <v>45338</v>
      </c>
      <c r="H409" s="781">
        <f t="shared" si="223"/>
        <v>47163</v>
      </c>
      <c r="I409" s="901">
        <v>257343</v>
      </c>
      <c r="J409" s="945">
        <f t="shared" si="224"/>
        <v>12867.150000000001</v>
      </c>
      <c r="K409" s="841"/>
      <c r="L409" s="790"/>
      <c r="M409" s="790"/>
      <c r="N409" s="790"/>
      <c r="O409" s="790"/>
      <c r="P409" s="790"/>
      <c r="Q409" s="790"/>
      <c r="R409" s="790"/>
      <c r="S409" s="790"/>
      <c r="T409" s="790"/>
      <c r="U409" s="790"/>
      <c r="V409" s="790"/>
      <c r="W409" s="790"/>
      <c r="X409" s="790"/>
      <c r="Y409" s="790"/>
      <c r="Z409" s="790"/>
      <c r="AA409" s="790"/>
      <c r="AB409" s="790"/>
      <c r="AC409" s="790"/>
      <c r="AD409" s="790"/>
      <c r="AE409" s="790"/>
      <c r="AF409" s="791"/>
      <c r="AG409" s="791"/>
      <c r="AH409" s="783"/>
      <c r="AI409" s="783"/>
      <c r="AJ409" s="790"/>
      <c r="AK409" s="790"/>
      <c r="AL409" s="791"/>
      <c r="AM409" s="791"/>
      <c r="AN409" s="783"/>
      <c r="AO409" s="783"/>
      <c r="AP409" s="790">
        <f t="shared" si="242"/>
        <v>0</v>
      </c>
      <c r="AQ409" s="790">
        <f t="shared" si="243"/>
        <v>257343</v>
      </c>
      <c r="AR409" s="791">
        <f t="shared" si="244"/>
        <v>45</v>
      </c>
      <c r="AS409" s="791">
        <f t="shared" si="245"/>
        <v>6028</v>
      </c>
      <c r="AT409" s="790">
        <f t="shared" si="246"/>
        <v>6028</v>
      </c>
      <c r="AU409" s="790">
        <f t="shared" si="247"/>
        <v>251315</v>
      </c>
    </row>
    <row r="410" spans="1:47" ht="15" customHeight="1" x14ac:dyDescent="0.25">
      <c r="A410" s="842" t="s">
        <v>667</v>
      </c>
      <c r="B410" s="822" t="s">
        <v>216</v>
      </c>
      <c r="C410" s="778">
        <f t="shared" si="222"/>
        <v>0.19</v>
      </c>
      <c r="D410" s="844">
        <v>5</v>
      </c>
      <c r="E410" s="844" t="s">
        <v>884</v>
      </c>
      <c r="F410" s="814">
        <v>45338</v>
      </c>
      <c r="G410" s="814">
        <v>45338</v>
      </c>
      <c r="H410" s="781">
        <f t="shared" si="223"/>
        <v>47163</v>
      </c>
      <c r="I410" s="901">
        <v>53250</v>
      </c>
      <c r="J410" s="945">
        <f t="shared" si="224"/>
        <v>2662.5</v>
      </c>
      <c r="K410" s="841"/>
      <c r="L410" s="790"/>
      <c r="M410" s="790"/>
      <c r="N410" s="790"/>
      <c r="O410" s="790"/>
      <c r="P410" s="790"/>
      <c r="Q410" s="790"/>
      <c r="R410" s="790"/>
      <c r="S410" s="790"/>
      <c r="T410" s="790"/>
      <c r="U410" s="790"/>
      <c r="V410" s="790"/>
      <c r="W410" s="790"/>
      <c r="X410" s="790"/>
      <c r="Y410" s="790"/>
      <c r="Z410" s="790"/>
      <c r="AA410" s="790"/>
      <c r="AB410" s="790"/>
      <c r="AC410" s="790"/>
      <c r="AD410" s="790"/>
      <c r="AE410" s="790"/>
      <c r="AF410" s="791"/>
      <c r="AG410" s="791"/>
      <c r="AH410" s="783"/>
      <c r="AI410" s="783"/>
      <c r="AJ410" s="790"/>
      <c r="AK410" s="790"/>
      <c r="AL410" s="791"/>
      <c r="AM410" s="791"/>
      <c r="AN410" s="783"/>
      <c r="AO410" s="783"/>
      <c r="AP410" s="790">
        <f t="shared" si="242"/>
        <v>0</v>
      </c>
      <c r="AQ410" s="790">
        <f t="shared" si="243"/>
        <v>53250</v>
      </c>
      <c r="AR410" s="791">
        <f t="shared" si="244"/>
        <v>45</v>
      </c>
      <c r="AS410" s="791">
        <f t="shared" si="245"/>
        <v>1247</v>
      </c>
      <c r="AT410" s="790">
        <f t="shared" si="246"/>
        <v>1247</v>
      </c>
      <c r="AU410" s="790">
        <f t="shared" si="247"/>
        <v>52003</v>
      </c>
    </row>
    <row r="411" spans="1:47" ht="15" customHeight="1" x14ac:dyDescent="0.25">
      <c r="A411" s="842" t="s">
        <v>667</v>
      </c>
      <c r="B411" s="822" t="s">
        <v>216</v>
      </c>
      <c r="C411" s="778">
        <f t="shared" si="222"/>
        <v>0.19</v>
      </c>
      <c r="D411" s="844">
        <v>5</v>
      </c>
      <c r="E411" s="844" t="s">
        <v>884</v>
      </c>
      <c r="F411" s="814">
        <v>45348</v>
      </c>
      <c r="G411" s="814">
        <v>45348</v>
      </c>
      <c r="H411" s="781">
        <f t="shared" si="223"/>
        <v>47173</v>
      </c>
      <c r="I411" s="901">
        <v>76050</v>
      </c>
      <c r="J411" s="945">
        <f t="shared" si="224"/>
        <v>3802.5</v>
      </c>
      <c r="K411" s="841"/>
      <c r="L411" s="790"/>
      <c r="M411" s="790"/>
      <c r="N411" s="790"/>
      <c r="O411" s="790"/>
      <c r="P411" s="790"/>
      <c r="Q411" s="790"/>
      <c r="R411" s="790"/>
      <c r="S411" s="790"/>
      <c r="T411" s="790"/>
      <c r="U411" s="790"/>
      <c r="V411" s="790"/>
      <c r="W411" s="790"/>
      <c r="X411" s="790"/>
      <c r="Y411" s="790"/>
      <c r="Z411" s="790"/>
      <c r="AA411" s="790"/>
      <c r="AB411" s="790"/>
      <c r="AC411" s="790"/>
      <c r="AD411" s="790"/>
      <c r="AE411" s="790"/>
      <c r="AF411" s="791"/>
      <c r="AG411" s="791"/>
      <c r="AH411" s="783"/>
      <c r="AI411" s="783"/>
      <c r="AJ411" s="790"/>
      <c r="AK411" s="790"/>
      <c r="AL411" s="791"/>
      <c r="AM411" s="791"/>
      <c r="AN411" s="783"/>
      <c r="AO411" s="783"/>
      <c r="AP411" s="790">
        <f t="shared" si="242"/>
        <v>0</v>
      </c>
      <c r="AQ411" s="790">
        <f t="shared" si="243"/>
        <v>76050</v>
      </c>
      <c r="AR411" s="791">
        <f t="shared" si="244"/>
        <v>35</v>
      </c>
      <c r="AS411" s="791">
        <f t="shared" si="245"/>
        <v>1386</v>
      </c>
      <c r="AT411" s="790">
        <f t="shared" si="246"/>
        <v>1386</v>
      </c>
      <c r="AU411" s="790">
        <f t="shared" si="247"/>
        <v>74664</v>
      </c>
    </row>
    <row r="412" spans="1:47" ht="15" customHeight="1" thickBot="1" x14ac:dyDescent="0.3">
      <c r="A412" s="856" t="s">
        <v>667</v>
      </c>
      <c r="B412" s="825" t="s">
        <v>505</v>
      </c>
      <c r="C412" s="826">
        <f t="shared" si="222"/>
        <v>0.19</v>
      </c>
      <c r="D412" s="858">
        <v>5</v>
      </c>
      <c r="E412" s="858" t="s">
        <v>884</v>
      </c>
      <c r="F412" s="827">
        <v>45376</v>
      </c>
      <c r="G412" s="827">
        <v>45376</v>
      </c>
      <c r="H412" s="828">
        <f t="shared" si="223"/>
        <v>47201</v>
      </c>
      <c r="I412" s="904">
        <v>66990</v>
      </c>
      <c r="J412" s="946">
        <f t="shared" si="224"/>
        <v>3349.5</v>
      </c>
      <c r="K412" s="841"/>
      <c r="L412" s="808"/>
      <c r="M412" s="808"/>
      <c r="N412" s="808"/>
      <c r="O412" s="808"/>
      <c r="P412" s="808"/>
      <c r="Q412" s="808"/>
      <c r="R412" s="808"/>
      <c r="S412" s="808"/>
      <c r="T412" s="808"/>
      <c r="U412" s="808"/>
      <c r="V412" s="808"/>
      <c r="W412" s="808"/>
      <c r="X412" s="808"/>
      <c r="Y412" s="808"/>
      <c r="Z412" s="808"/>
      <c r="AA412" s="808"/>
      <c r="AB412" s="808"/>
      <c r="AC412" s="808"/>
      <c r="AD412" s="808"/>
      <c r="AE412" s="808"/>
      <c r="AF412" s="809"/>
      <c r="AG412" s="809"/>
      <c r="AH412" s="812"/>
      <c r="AI412" s="812"/>
      <c r="AJ412" s="808"/>
      <c r="AK412" s="808"/>
      <c r="AL412" s="809"/>
      <c r="AM412" s="809"/>
      <c r="AN412" s="812"/>
      <c r="AO412" s="812"/>
      <c r="AP412" s="808">
        <f t="shared" si="242"/>
        <v>0</v>
      </c>
      <c r="AQ412" s="808">
        <f t="shared" si="243"/>
        <v>66990</v>
      </c>
      <c r="AR412" s="809">
        <f t="shared" si="244"/>
        <v>7</v>
      </c>
      <c r="AS412" s="809">
        <f t="shared" si="245"/>
        <v>244</v>
      </c>
      <c r="AT412" s="808">
        <f t="shared" si="246"/>
        <v>244</v>
      </c>
      <c r="AU412" s="808">
        <f t="shared" si="247"/>
        <v>66746</v>
      </c>
    </row>
    <row r="413" spans="1:47" ht="15" customHeight="1" thickBot="1" x14ac:dyDescent="0.3">
      <c r="A413" s="830" t="s">
        <v>1316</v>
      </c>
      <c r="B413" s="947"/>
      <c r="C413" s="948"/>
      <c r="D413" s="949"/>
      <c r="E413" s="949"/>
      <c r="F413" s="950"/>
      <c r="G413" s="951"/>
      <c r="H413" s="951"/>
      <c r="I413" s="952">
        <f>SUM(I359:I412)</f>
        <v>5345399.6199999992</v>
      </c>
      <c r="J413" s="952">
        <f>SUM(J359:J412)</f>
        <v>267269.98100000003</v>
      </c>
      <c r="K413" s="837"/>
      <c r="L413" s="952">
        <f t="shared" ref="L413:AI413" si="261">SUM(L359:L412)</f>
        <v>0</v>
      </c>
      <c r="M413" s="952">
        <f t="shared" si="261"/>
        <v>3485567.02</v>
      </c>
      <c r="N413" s="952">
        <f t="shared" si="261"/>
        <v>6532</v>
      </c>
      <c r="O413" s="952">
        <f t="shared" si="261"/>
        <v>569375</v>
      </c>
      <c r="P413" s="952">
        <f t="shared" si="261"/>
        <v>569375</v>
      </c>
      <c r="Q413" s="952">
        <f t="shared" si="261"/>
        <v>2916192.02</v>
      </c>
      <c r="R413" s="952">
        <f t="shared" si="261"/>
        <v>2916192.02</v>
      </c>
      <c r="S413" s="952">
        <f t="shared" si="261"/>
        <v>3771217.02</v>
      </c>
      <c r="T413" s="952">
        <f t="shared" si="261"/>
        <v>9762</v>
      </c>
      <c r="U413" s="952">
        <f t="shared" si="261"/>
        <v>714097</v>
      </c>
      <c r="V413" s="952">
        <f t="shared" si="261"/>
        <v>1283472</v>
      </c>
      <c r="W413" s="952">
        <f t="shared" si="261"/>
        <v>2487745.0199999996</v>
      </c>
      <c r="X413" s="952">
        <f t="shared" si="261"/>
        <v>2487745.0199999996</v>
      </c>
      <c r="Y413" s="952">
        <f t="shared" si="261"/>
        <v>3797216.02</v>
      </c>
      <c r="Z413" s="952">
        <f t="shared" si="261"/>
        <v>10363</v>
      </c>
      <c r="AA413" s="952">
        <f t="shared" si="261"/>
        <v>720059</v>
      </c>
      <c r="AB413" s="952">
        <f t="shared" si="261"/>
        <v>2003531</v>
      </c>
      <c r="AC413" s="952">
        <f t="shared" si="261"/>
        <v>1793685.0199999998</v>
      </c>
      <c r="AD413" s="952">
        <f t="shared" si="261"/>
        <v>1793685.0199999998</v>
      </c>
      <c r="AE413" s="952">
        <f t="shared" si="261"/>
        <v>4589135.0599999996</v>
      </c>
      <c r="AF413" s="952">
        <f t="shared" si="261"/>
        <v>11811</v>
      </c>
      <c r="AG413" s="952">
        <f t="shared" si="261"/>
        <v>786999</v>
      </c>
      <c r="AH413" s="952">
        <f>SUM(AH359:AH412)</f>
        <v>2790530</v>
      </c>
      <c r="AI413" s="952">
        <f t="shared" si="261"/>
        <v>1798605.0600000003</v>
      </c>
      <c r="AJ413" s="952">
        <f>SUM(AJ359:AJ412)</f>
        <v>1798605.0600000003</v>
      </c>
      <c r="AK413" s="952">
        <f>SUM(AK359:AK412)</f>
        <v>4788966.6199999992</v>
      </c>
      <c r="AL413" s="952">
        <f>SUM(AL359:AL412)</f>
        <v>15993</v>
      </c>
      <c r="AM413" s="952">
        <f>SUM(AM359:AM412)+261181</f>
        <v>1155667</v>
      </c>
      <c r="AN413" s="952">
        <f>SUM(AN359:AN412)+143</f>
        <v>3685159</v>
      </c>
      <c r="AO413" s="953">
        <f>+AK413-AN413</f>
        <v>1103807.6199999992</v>
      </c>
      <c r="AP413" s="952">
        <f>+AO413</f>
        <v>1103807.6199999992</v>
      </c>
      <c r="AQ413" s="952">
        <f>SUM(AQ359:AQ412)</f>
        <v>5345399.6199999992</v>
      </c>
      <c r="AR413" s="952">
        <f t="shared" ref="AR413:AS413" si="262">SUM(AR359:AR412)</f>
        <v>11574</v>
      </c>
      <c r="AS413" s="952">
        <f t="shared" si="262"/>
        <v>353485</v>
      </c>
      <c r="AT413" s="952">
        <f>SUM(AT359:AT412)+143</f>
        <v>4038644</v>
      </c>
      <c r="AU413" s="952">
        <f>+AQ413-AT413</f>
        <v>1306755.6199999992</v>
      </c>
    </row>
    <row r="414" spans="1:47" ht="15" customHeight="1" x14ac:dyDescent="0.25">
      <c r="A414" s="906"/>
      <c r="B414" s="936"/>
      <c r="C414" s="937"/>
      <c r="D414" s="938"/>
      <c r="E414" s="938"/>
      <c r="F414" s="939"/>
      <c r="G414" s="940"/>
      <c r="H414" s="940"/>
      <c r="I414" s="954"/>
      <c r="J414" s="954"/>
      <c r="K414" s="841"/>
      <c r="L414" s="841"/>
      <c r="M414" s="954"/>
      <c r="N414" s="954"/>
      <c r="O414" s="954"/>
      <c r="P414" s="954"/>
      <c r="Q414" s="954"/>
      <c r="R414" s="954"/>
      <c r="S414" s="954"/>
      <c r="T414" s="954"/>
      <c r="U414" s="954"/>
      <c r="V414" s="954"/>
      <c r="W414" s="954"/>
      <c r="X414" s="954"/>
      <c r="Y414" s="954"/>
      <c r="Z414" s="954"/>
      <c r="AA414" s="954"/>
      <c r="AB414" s="954"/>
      <c r="AC414" s="954"/>
      <c r="AD414" s="954"/>
      <c r="AE414" s="954"/>
      <c r="AF414" s="954"/>
      <c r="AG414" s="954"/>
      <c r="AH414" s="954"/>
      <c r="AI414" s="954"/>
      <c r="AJ414" s="954"/>
      <c r="AK414" s="954"/>
      <c r="AL414" s="954"/>
      <c r="AM414" s="954"/>
      <c r="AN414" s="954"/>
      <c r="AO414" s="954"/>
    </row>
    <row r="415" spans="1:47" ht="15" customHeight="1" x14ac:dyDescent="0.25">
      <c r="A415" s="842" t="s">
        <v>1317</v>
      </c>
      <c r="B415" s="843" t="s">
        <v>1318</v>
      </c>
      <c r="C415" s="778">
        <f t="shared" ref="C415:C478" si="263">(95/D415)/100</f>
        <v>6.3333333333333325E-2</v>
      </c>
      <c r="D415" s="844">
        <v>15</v>
      </c>
      <c r="E415" s="779" t="s">
        <v>1182</v>
      </c>
      <c r="F415" s="845">
        <v>43191</v>
      </c>
      <c r="G415" s="781">
        <f>F415</f>
        <v>43191</v>
      </c>
      <c r="H415" s="781">
        <f t="shared" ref="H415:H478" si="264">G415+(365*D415)</f>
        <v>48666</v>
      </c>
      <c r="I415" s="795">
        <v>3475000</v>
      </c>
      <c r="J415" s="783">
        <f t="shared" ref="J415:J478" si="265">I415*5%</f>
        <v>173750</v>
      </c>
      <c r="K415" s="790"/>
      <c r="L415" s="790">
        <v>0</v>
      </c>
      <c r="M415" s="790">
        <f t="shared" ref="M415:M446" si="266">I415</f>
        <v>3475000</v>
      </c>
      <c r="N415" s="791">
        <f t="shared" ref="N415:N446" si="267">IF(AND(F415&gt;$K$3,F415&lt;$L$3),$L$3-F415+1,IF(H415&lt;=$K$3,0,IF(H415&gt;$L$3,$L$3-$K$3,H415-$K$3)))</f>
        <v>365</v>
      </c>
      <c r="O415" s="791">
        <f t="shared" ref="O415:O446" si="268">ROUND(M415*C415*N415/365,0)</f>
        <v>220083</v>
      </c>
      <c r="P415" s="790">
        <f t="shared" ref="P415:P472" si="269">O415</f>
        <v>220083</v>
      </c>
      <c r="Q415" s="790">
        <f t="shared" ref="Q415:Q446" si="270">+M415-P415</f>
        <v>3254917</v>
      </c>
      <c r="R415" s="790">
        <f t="shared" ref="R415:R472" si="271">+Q415</f>
        <v>3254917</v>
      </c>
      <c r="S415" s="790">
        <f t="shared" ref="S415:S453" si="272">I415</f>
        <v>3475000</v>
      </c>
      <c r="T415" s="792">
        <f t="shared" ref="T415:T453" si="273">IF(AND(F415&gt;$L$3,F415&lt;$R$3),$R$3-F415+1,IF(H415&lt;=$L$3,0,IF(H415&gt;$R$3,$R$3-$L$3,H415-$L$3)))</f>
        <v>366</v>
      </c>
      <c r="U415" s="792">
        <f t="shared" ref="U415:U453" si="274">ROUND(S415*C415*T415/366,0)</f>
        <v>220083</v>
      </c>
      <c r="V415" s="790">
        <f t="shared" ref="V415:V453" si="275">+P415+U415</f>
        <v>440166</v>
      </c>
      <c r="W415" s="790">
        <f t="shared" ref="W415:W453" si="276">+S415-V415</f>
        <v>3034834</v>
      </c>
      <c r="X415" s="790">
        <f t="shared" ref="X415:X472" si="277">W415</f>
        <v>3034834</v>
      </c>
      <c r="Y415" s="783">
        <f t="shared" ref="Y415:Y460" si="278">I415</f>
        <v>3475000</v>
      </c>
      <c r="Z415" s="783">
        <f t="shared" ref="Z415:Z460" si="279">IF(AND(F415&gt;$R$3,F415&lt;$X$3),$X$3-F415+1,IF(H415&lt;=$R$3,0,IF(H415&gt;$X$3,$X$3-$R$3,H415-$R$3)))</f>
        <v>365</v>
      </c>
      <c r="AA415" s="783">
        <f t="shared" ref="AA415:AA460" si="280">ROUND(Y415*C415*Z415/365,0)</f>
        <v>220083</v>
      </c>
      <c r="AB415" s="783">
        <f t="shared" ref="AB415:AB460" si="281">+V415+AA415</f>
        <v>660249</v>
      </c>
      <c r="AC415" s="783">
        <f t="shared" ref="AC415:AC460" si="282">Y415-AB415</f>
        <v>2814751</v>
      </c>
      <c r="AD415" s="790">
        <f t="shared" ref="AD415:AD472" si="283">AC415</f>
        <v>2814751</v>
      </c>
      <c r="AE415" s="790">
        <f t="shared" ref="AE415:AE472" si="284">I415</f>
        <v>3475000</v>
      </c>
      <c r="AF415" s="791">
        <f t="shared" ref="AF415:AF472" si="285">IF(AND(F415&gt;$X$3,F415&lt;$AD$3),$AD$3-F415+1,IF(H415&lt;=$X$3,0,IF(H415&gt;$AD$3,$AD$3-$X$3,H415-$X$3)))</f>
        <v>365</v>
      </c>
      <c r="AG415" s="791">
        <f t="shared" ref="AG415:AG472" si="286">ROUND(AE415*C415*AF415/365,0)</f>
        <v>220083</v>
      </c>
      <c r="AH415" s="783">
        <f t="shared" ref="AH415:AH472" si="287">+AB415+AG415</f>
        <v>880332</v>
      </c>
      <c r="AI415" s="783">
        <f t="shared" ref="AI415:AI472" si="288">AE415-AH415</f>
        <v>2594668</v>
      </c>
      <c r="AJ415" s="790">
        <f t="shared" si="236"/>
        <v>2594668</v>
      </c>
      <c r="AK415" s="790">
        <f t="shared" ref="AK415:AK478" si="289">I415</f>
        <v>3475000</v>
      </c>
      <c r="AL415" s="791">
        <f t="shared" ref="AL415:AL478" si="290">IF(AND(F415&gt;$AD$3,F415&lt;$AJ$3),$AJ$3-F415+1,IF(H415&lt;=$AD$3,0,IF(H415&gt;$AJ$3,$AJ$3-$AD$3,H415-$AD$3)))</f>
        <v>365</v>
      </c>
      <c r="AM415" s="791">
        <f t="shared" ref="AM415:AM478" si="291">ROUND(AK415*C415*AL415/365,0)</f>
        <v>220083</v>
      </c>
      <c r="AN415" s="783">
        <f t="shared" ref="AN415:AN478" si="292">+AH415+AM415</f>
        <v>1100415</v>
      </c>
      <c r="AO415" s="783">
        <f t="shared" ref="AO415:AO478" si="293">AK415-AN415</f>
        <v>2374585</v>
      </c>
      <c r="AP415" s="790">
        <f t="shared" ref="AP415:AP478" si="294">+AO415</f>
        <v>2374585</v>
      </c>
      <c r="AQ415" s="790">
        <f t="shared" ref="AQ415:AQ478" si="295">I415</f>
        <v>3475000</v>
      </c>
      <c r="AR415" s="791">
        <f t="shared" ref="AR415:AR478" si="296">IF(AND(F415&gt;$AJ$3,F415&lt;$AP$3),$AP$3-F415+1,IF(H415&lt;=$AJ$3,0,IF(H415&gt;$AP$3,$AP$3-$AJ$3,H415-$AJ$3)))</f>
        <v>366</v>
      </c>
      <c r="AS415" s="791">
        <f t="shared" ref="AS415:AS478" si="297">ROUND(AQ415*C415*AR415/365,0)</f>
        <v>220686</v>
      </c>
      <c r="AT415" s="790">
        <f t="shared" ref="AT415:AT478" si="298">+AN415+AS415</f>
        <v>1321101</v>
      </c>
      <c r="AU415" s="790">
        <f t="shared" ref="AU415:AU478" si="299">+AQ415-AT415</f>
        <v>2153899</v>
      </c>
    </row>
    <row r="416" spans="1:47" ht="15" customHeight="1" x14ac:dyDescent="0.25">
      <c r="A416" s="955" t="s">
        <v>1317</v>
      </c>
      <c r="B416" s="879" t="s">
        <v>1319</v>
      </c>
      <c r="C416" s="880">
        <f t="shared" si="263"/>
        <v>6.3333333333333325E-2</v>
      </c>
      <c r="D416" s="881">
        <v>15</v>
      </c>
      <c r="E416" s="882" t="s">
        <v>1182</v>
      </c>
      <c r="F416" s="909">
        <v>43191</v>
      </c>
      <c r="G416" s="956">
        <f t="shared" ref="G416:G470" si="300">F416</f>
        <v>43191</v>
      </c>
      <c r="H416" s="884">
        <f t="shared" si="264"/>
        <v>48666</v>
      </c>
      <c r="I416" s="885">
        <v>982000</v>
      </c>
      <c r="J416" s="886">
        <f t="shared" si="265"/>
        <v>49100</v>
      </c>
      <c r="K416" s="887"/>
      <c r="L416" s="888">
        <v>0</v>
      </c>
      <c r="M416" s="889">
        <f t="shared" si="266"/>
        <v>982000</v>
      </c>
      <c r="N416" s="890">
        <f t="shared" si="267"/>
        <v>365</v>
      </c>
      <c r="O416" s="890">
        <f t="shared" si="268"/>
        <v>62193</v>
      </c>
      <c r="P416" s="889">
        <f t="shared" si="269"/>
        <v>62193</v>
      </c>
      <c r="Q416" s="891">
        <f t="shared" si="270"/>
        <v>919807</v>
      </c>
      <c r="R416" s="957">
        <f t="shared" si="271"/>
        <v>919807</v>
      </c>
      <c r="S416" s="889">
        <f t="shared" si="272"/>
        <v>982000</v>
      </c>
      <c r="T416" s="958">
        <f t="shared" si="273"/>
        <v>366</v>
      </c>
      <c r="U416" s="958">
        <f t="shared" si="274"/>
        <v>62193</v>
      </c>
      <c r="V416" s="889">
        <f t="shared" si="275"/>
        <v>124386</v>
      </c>
      <c r="W416" s="891">
        <f t="shared" si="276"/>
        <v>857614</v>
      </c>
      <c r="X416" s="888">
        <f t="shared" si="277"/>
        <v>857614</v>
      </c>
      <c r="Y416" s="886">
        <f t="shared" si="278"/>
        <v>982000</v>
      </c>
      <c r="Z416" s="886">
        <f t="shared" si="279"/>
        <v>365</v>
      </c>
      <c r="AA416" s="886">
        <f t="shared" si="280"/>
        <v>62193</v>
      </c>
      <c r="AB416" s="886">
        <f t="shared" si="281"/>
        <v>186579</v>
      </c>
      <c r="AC416" s="893">
        <f t="shared" si="282"/>
        <v>795421</v>
      </c>
      <c r="AD416" s="892">
        <f t="shared" si="283"/>
        <v>795421</v>
      </c>
      <c r="AE416" s="889">
        <f t="shared" si="284"/>
        <v>982000</v>
      </c>
      <c r="AF416" s="890">
        <f t="shared" si="285"/>
        <v>365</v>
      </c>
      <c r="AG416" s="890">
        <f t="shared" si="286"/>
        <v>62193</v>
      </c>
      <c r="AH416" s="886">
        <f t="shared" si="287"/>
        <v>248772</v>
      </c>
      <c r="AI416" s="886">
        <f t="shared" si="288"/>
        <v>733228</v>
      </c>
      <c r="AJ416" s="889">
        <f t="shared" si="236"/>
        <v>733228</v>
      </c>
      <c r="AK416" s="889">
        <f t="shared" si="289"/>
        <v>982000</v>
      </c>
      <c r="AL416" s="890">
        <f t="shared" si="290"/>
        <v>365</v>
      </c>
      <c r="AM416" s="890">
        <f t="shared" si="291"/>
        <v>62193</v>
      </c>
      <c r="AN416" s="886">
        <f t="shared" si="292"/>
        <v>310965</v>
      </c>
      <c r="AO416" s="886">
        <f t="shared" si="293"/>
        <v>671035</v>
      </c>
      <c r="AP416" s="790">
        <f t="shared" si="294"/>
        <v>671035</v>
      </c>
      <c r="AQ416" s="790">
        <f t="shared" si="295"/>
        <v>982000</v>
      </c>
      <c r="AR416" s="791">
        <f t="shared" si="296"/>
        <v>366</v>
      </c>
      <c r="AS416" s="791">
        <f t="shared" si="297"/>
        <v>62364</v>
      </c>
      <c r="AT416" s="790">
        <f t="shared" si="298"/>
        <v>373329</v>
      </c>
      <c r="AU416" s="790">
        <f t="shared" si="299"/>
        <v>608671</v>
      </c>
    </row>
    <row r="417" spans="1:47" ht="15" customHeight="1" x14ac:dyDescent="0.25">
      <c r="A417" s="955" t="s">
        <v>1317</v>
      </c>
      <c r="B417" s="915" t="s">
        <v>1320</v>
      </c>
      <c r="C417" s="778">
        <f t="shared" si="263"/>
        <v>6.3333333333333325E-2</v>
      </c>
      <c r="D417" s="881">
        <v>15</v>
      </c>
      <c r="E417" s="779" t="s">
        <v>1182</v>
      </c>
      <c r="F417" s="845">
        <v>43191</v>
      </c>
      <c r="G417" s="956">
        <f t="shared" si="300"/>
        <v>43191</v>
      </c>
      <c r="H417" s="781">
        <f t="shared" si="264"/>
        <v>48666</v>
      </c>
      <c r="I417" s="795">
        <v>118500</v>
      </c>
      <c r="J417" s="783">
        <f t="shared" si="265"/>
        <v>5925</v>
      </c>
      <c r="K417" s="887"/>
      <c r="L417" s="846">
        <v>0</v>
      </c>
      <c r="M417" s="790">
        <f t="shared" si="266"/>
        <v>118500</v>
      </c>
      <c r="N417" s="791">
        <f t="shared" si="267"/>
        <v>365</v>
      </c>
      <c r="O417" s="791">
        <f t="shared" si="268"/>
        <v>7505</v>
      </c>
      <c r="P417" s="790">
        <f t="shared" si="269"/>
        <v>7505</v>
      </c>
      <c r="Q417" s="847">
        <f t="shared" si="270"/>
        <v>110995</v>
      </c>
      <c r="R417" s="914">
        <f t="shared" si="271"/>
        <v>110995</v>
      </c>
      <c r="S417" s="790">
        <f t="shared" si="272"/>
        <v>118500</v>
      </c>
      <c r="T417" s="792">
        <f t="shared" si="273"/>
        <v>366</v>
      </c>
      <c r="U417" s="792">
        <f t="shared" si="274"/>
        <v>7505</v>
      </c>
      <c r="V417" s="790">
        <f t="shared" si="275"/>
        <v>15010</v>
      </c>
      <c r="W417" s="847">
        <f t="shared" si="276"/>
        <v>103490</v>
      </c>
      <c r="X417" s="846">
        <f t="shared" si="277"/>
        <v>103490</v>
      </c>
      <c r="Y417" s="783">
        <f t="shared" si="278"/>
        <v>118500</v>
      </c>
      <c r="Z417" s="783">
        <f t="shared" si="279"/>
        <v>365</v>
      </c>
      <c r="AA417" s="783">
        <f t="shared" si="280"/>
        <v>7505</v>
      </c>
      <c r="AB417" s="783">
        <f t="shared" si="281"/>
        <v>22515</v>
      </c>
      <c r="AC417" s="848">
        <f t="shared" si="282"/>
        <v>95985</v>
      </c>
      <c r="AD417" s="789">
        <f t="shared" si="283"/>
        <v>95985</v>
      </c>
      <c r="AE417" s="790">
        <f t="shared" si="284"/>
        <v>118500</v>
      </c>
      <c r="AF417" s="791">
        <f t="shared" si="285"/>
        <v>365</v>
      </c>
      <c r="AG417" s="791">
        <f t="shared" si="286"/>
        <v>7505</v>
      </c>
      <c r="AH417" s="783">
        <f t="shared" si="287"/>
        <v>30020</v>
      </c>
      <c r="AI417" s="783">
        <f t="shared" si="288"/>
        <v>88480</v>
      </c>
      <c r="AJ417" s="790">
        <f t="shared" si="236"/>
        <v>88480</v>
      </c>
      <c r="AK417" s="790">
        <f t="shared" si="289"/>
        <v>118500</v>
      </c>
      <c r="AL417" s="791">
        <f t="shared" si="290"/>
        <v>365</v>
      </c>
      <c r="AM417" s="791">
        <f t="shared" si="291"/>
        <v>7505</v>
      </c>
      <c r="AN417" s="783">
        <f t="shared" si="292"/>
        <v>37525</v>
      </c>
      <c r="AO417" s="783">
        <f t="shared" si="293"/>
        <v>80975</v>
      </c>
      <c r="AP417" s="790">
        <f t="shared" si="294"/>
        <v>80975</v>
      </c>
      <c r="AQ417" s="790">
        <f t="shared" si="295"/>
        <v>118500</v>
      </c>
      <c r="AR417" s="791">
        <f t="shared" si="296"/>
        <v>366</v>
      </c>
      <c r="AS417" s="791">
        <f t="shared" si="297"/>
        <v>7526</v>
      </c>
      <c r="AT417" s="790">
        <f t="shared" si="298"/>
        <v>45051</v>
      </c>
      <c r="AU417" s="790">
        <f t="shared" si="299"/>
        <v>73449</v>
      </c>
    </row>
    <row r="418" spans="1:47" ht="15" customHeight="1" x14ac:dyDescent="0.25">
      <c r="A418" s="955" t="s">
        <v>1317</v>
      </c>
      <c r="B418" s="843" t="s">
        <v>1321</v>
      </c>
      <c r="C418" s="778">
        <f t="shared" si="263"/>
        <v>6.3333333333333325E-2</v>
      </c>
      <c r="D418" s="881">
        <v>15</v>
      </c>
      <c r="E418" s="779" t="s">
        <v>1182</v>
      </c>
      <c r="F418" s="845">
        <v>43191</v>
      </c>
      <c r="G418" s="956">
        <f t="shared" si="300"/>
        <v>43191</v>
      </c>
      <c r="H418" s="781">
        <f t="shared" si="264"/>
        <v>48666</v>
      </c>
      <c r="I418" s="795">
        <v>12600</v>
      </c>
      <c r="J418" s="783">
        <f t="shared" si="265"/>
        <v>630</v>
      </c>
      <c r="K418" s="887"/>
      <c r="L418" s="846">
        <v>0</v>
      </c>
      <c r="M418" s="790">
        <f t="shared" si="266"/>
        <v>12600</v>
      </c>
      <c r="N418" s="791">
        <f t="shared" si="267"/>
        <v>365</v>
      </c>
      <c r="O418" s="791">
        <f t="shared" si="268"/>
        <v>798</v>
      </c>
      <c r="P418" s="790">
        <f t="shared" si="269"/>
        <v>798</v>
      </c>
      <c r="Q418" s="847">
        <f t="shared" si="270"/>
        <v>11802</v>
      </c>
      <c r="R418" s="914">
        <f t="shared" si="271"/>
        <v>11802</v>
      </c>
      <c r="S418" s="790">
        <f t="shared" si="272"/>
        <v>12600</v>
      </c>
      <c r="T418" s="792">
        <f t="shared" si="273"/>
        <v>366</v>
      </c>
      <c r="U418" s="792">
        <f t="shared" si="274"/>
        <v>798</v>
      </c>
      <c r="V418" s="790">
        <f t="shared" si="275"/>
        <v>1596</v>
      </c>
      <c r="W418" s="847">
        <f t="shared" si="276"/>
        <v>11004</v>
      </c>
      <c r="X418" s="846">
        <f t="shared" si="277"/>
        <v>11004</v>
      </c>
      <c r="Y418" s="783">
        <f t="shared" si="278"/>
        <v>12600</v>
      </c>
      <c r="Z418" s="783">
        <f t="shared" si="279"/>
        <v>365</v>
      </c>
      <c r="AA418" s="783">
        <f t="shared" si="280"/>
        <v>798</v>
      </c>
      <c r="AB418" s="783">
        <f t="shared" si="281"/>
        <v>2394</v>
      </c>
      <c r="AC418" s="848">
        <f t="shared" si="282"/>
        <v>10206</v>
      </c>
      <c r="AD418" s="789">
        <f t="shared" si="283"/>
        <v>10206</v>
      </c>
      <c r="AE418" s="790">
        <f t="shared" si="284"/>
        <v>12600</v>
      </c>
      <c r="AF418" s="791">
        <f t="shared" si="285"/>
        <v>365</v>
      </c>
      <c r="AG418" s="791">
        <f t="shared" si="286"/>
        <v>798</v>
      </c>
      <c r="AH418" s="783">
        <f t="shared" si="287"/>
        <v>3192</v>
      </c>
      <c r="AI418" s="783">
        <f t="shared" si="288"/>
        <v>9408</v>
      </c>
      <c r="AJ418" s="790">
        <f t="shared" si="236"/>
        <v>9408</v>
      </c>
      <c r="AK418" s="790">
        <f t="shared" si="289"/>
        <v>12600</v>
      </c>
      <c r="AL418" s="791">
        <f t="shared" si="290"/>
        <v>365</v>
      </c>
      <c r="AM418" s="791">
        <f t="shared" si="291"/>
        <v>798</v>
      </c>
      <c r="AN418" s="783">
        <f t="shared" si="292"/>
        <v>3990</v>
      </c>
      <c r="AO418" s="783">
        <f t="shared" si="293"/>
        <v>8610</v>
      </c>
      <c r="AP418" s="790">
        <f t="shared" si="294"/>
        <v>8610</v>
      </c>
      <c r="AQ418" s="790">
        <f t="shared" si="295"/>
        <v>12600</v>
      </c>
      <c r="AR418" s="791">
        <f t="shared" si="296"/>
        <v>366</v>
      </c>
      <c r="AS418" s="791">
        <f t="shared" si="297"/>
        <v>800</v>
      </c>
      <c r="AT418" s="790">
        <f t="shared" si="298"/>
        <v>4790</v>
      </c>
      <c r="AU418" s="790">
        <f t="shared" si="299"/>
        <v>7810</v>
      </c>
    </row>
    <row r="419" spans="1:47" ht="15" customHeight="1" x14ac:dyDescent="0.25">
      <c r="A419" s="955" t="s">
        <v>1317</v>
      </c>
      <c r="B419" s="843" t="s">
        <v>1322</v>
      </c>
      <c r="C419" s="778">
        <f t="shared" si="263"/>
        <v>6.3333333333333325E-2</v>
      </c>
      <c r="D419" s="881">
        <v>15</v>
      </c>
      <c r="E419" s="779" t="s">
        <v>1182</v>
      </c>
      <c r="F419" s="845">
        <v>43191</v>
      </c>
      <c r="G419" s="956">
        <f t="shared" si="300"/>
        <v>43191</v>
      </c>
      <c r="H419" s="781">
        <f t="shared" si="264"/>
        <v>48666</v>
      </c>
      <c r="I419" s="795">
        <v>195000</v>
      </c>
      <c r="J419" s="783">
        <f t="shared" si="265"/>
        <v>9750</v>
      </c>
      <c r="K419" s="887"/>
      <c r="L419" s="846">
        <v>0</v>
      </c>
      <c r="M419" s="790">
        <f t="shared" si="266"/>
        <v>195000</v>
      </c>
      <c r="N419" s="791">
        <f t="shared" si="267"/>
        <v>365</v>
      </c>
      <c r="O419" s="791">
        <f t="shared" si="268"/>
        <v>12350</v>
      </c>
      <c r="P419" s="790">
        <f t="shared" si="269"/>
        <v>12350</v>
      </c>
      <c r="Q419" s="847">
        <f t="shared" si="270"/>
        <v>182650</v>
      </c>
      <c r="R419" s="914">
        <f t="shared" si="271"/>
        <v>182650</v>
      </c>
      <c r="S419" s="790">
        <f t="shared" si="272"/>
        <v>195000</v>
      </c>
      <c r="T419" s="792">
        <f t="shared" si="273"/>
        <v>366</v>
      </c>
      <c r="U419" s="792">
        <f t="shared" si="274"/>
        <v>12350</v>
      </c>
      <c r="V419" s="790">
        <f t="shared" si="275"/>
        <v>24700</v>
      </c>
      <c r="W419" s="847">
        <f t="shared" si="276"/>
        <v>170300</v>
      </c>
      <c r="X419" s="846">
        <f t="shared" si="277"/>
        <v>170300</v>
      </c>
      <c r="Y419" s="783">
        <f t="shared" si="278"/>
        <v>195000</v>
      </c>
      <c r="Z419" s="783">
        <f t="shared" si="279"/>
        <v>365</v>
      </c>
      <c r="AA419" s="783">
        <f t="shared" si="280"/>
        <v>12350</v>
      </c>
      <c r="AB419" s="783">
        <f t="shared" si="281"/>
        <v>37050</v>
      </c>
      <c r="AC419" s="848">
        <f t="shared" si="282"/>
        <v>157950</v>
      </c>
      <c r="AD419" s="789">
        <f t="shared" si="283"/>
        <v>157950</v>
      </c>
      <c r="AE419" s="790">
        <f t="shared" si="284"/>
        <v>195000</v>
      </c>
      <c r="AF419" s="791">
        <f t="shared" si="285"/>
        <v>365</v>
      </c>
      <c r="AG419" s="791">
        <f t="shared" si="286"/>
        <v>12350</v>
      </c>
      <c r="AH419" s="783">
        <f t="shared" si="287"/>
        <v>49400</v>
      </c>
      <c r="AI419" s="783">
        <f t="shared" si="288"/>
        <v>145600</v>
      </c>
      <c r="AJ419" s="790">
        <f t="shared" si="236"/>
        <v>145600</v>
      </c>
      <c r="AK419" s="790">
        <f t="shared" si="289"/>
        <v>195000</v>
      </c>
      <c r="AL419" s="791">
        <f t="shared" si="290"/>
        <v>365</v>
      </c>
      <c r="AM419" s="791">
        <f t="shared" si="291"/>
        <v>12350</v>
      </c>
      <c r="AN419" s="783">
        <f t="shared" si="292"/>
        <v>61750</v>
      </c>
      <c r="AO419" s="783">
        <f t="shared" si="293"/>
        <v>133250</v>
      </c>
      <c r="AP419" s="790">
        <f t="shared" si="294"/>
        <v>133250</v>
      </c>
      <c r="AQ419" s="790">
        <f t="shared" si="295"/>
        <v>195000</v>
      </c>
      <c r="AR419" s="791">
        <f t="shared" si="296"/>
        <v>366</v>
      </c>
      <c r="AS419" s="791">
        <f t="shared" si="297"/>
        <v>12384</v>
      </c>
      <c r="AT419" s="790">
        <f t="shared" si="298"/>
        <v>74134</v>
      </c>
      <c r="AU419" s="790">
        <f t="shared" si="299"/>
        <v>120866</v>
      </c>
    </row>
    <row r="420" spans="1:47" ht="15" customHeight="1" x14ac:dyDescent="0.25">
      <c r="A420" s="955" t="s">
        <v>1317</v>
      </c>
      <c r="B420" s="843" t="s">
        <v>1323</v>
      </c>
      <c r="C420" s="778">
        <f t="shared" si="263"/>
        <v>6.3333333333333325E-2</v>
      </c>
      <c r="D420" s="881">
        <v>15</v>
      </c>
      <c r="E420" s="779" t="s">
        <v>1182</v>
      </c>
      <c r="F420" s="845">
        <v>43191</v>
      </c>
      <c r="G420" s="956">
        <f t="shared" si="300"/>
        <v>43191</v>
      </c>
      <c r="H420" s="781">
        <f t="shared" si="264"/>
        <v>48666</v>
      </c>
      <c r="I420" s="795">
        <v>600000</v>
      </c>
      <c r="J420" s="783">
        <f t="shared" si="265"/>
        <v>30000</v>
      </c>
      <c r="K420" s="887"/>
      <c r="L420" s="846">
        <v>0</v>
      </c>
      <c r="M420" s="790">
        <f t="shared" si="266"/>
        <v>600000</v>
      </c>
      <c r="N420" s="791">
        <f t="shared" si="267"/>
        <v>365</v>
      </c>
      <c r="O420" s="791">
        <f t="shared" si="268"/>
        <v>38000</v>
      </c>
      <c r="P420" s="790">
        <f t="shared" si="269"/>
        <v>38000</v>
      </c>
      <c r="Q420" s="847">
        <f t="shared" si="270"/>
        <v>562000</v>
      </c>
      <c r="R420" s="914">
        <f t="shared" si="271"/>
        <v>562000</v>
      </c>
      <c r="S420" s="790">
        <f t="shared" si="272"/>
        <v>600000</v>
      </c>
      <c r="T420" s="792">
        <f t="shared" si="273"/>
        <v>366</v>
      </c>
      <c r="U420" s="792">
        <f t="shared" si="274"/>
        <v>38000</v>
      </c>
      <c r="V420" s="790">
        <f t="shared" si="275"/>
        <v>76000</v>
      </c>
      <c r="W420" s="847">
        <f t="shared" si="276"/>
        <v>524000</v>
      </c>
      <c r="X420" s="846">
        <f t="shared" si="277"/>
        <v>524000</v>
      </c>
      <c r="Y420" s="783">
        <f t="shared" si="278"/>
        <v>600000</v>
      </c>
      <c r="Z420" s="783">
        <f t="shared" si="279"/>
        <v>365</v>
      </c>
      <c r="AA420" s="783">
        <f t="shared" si="280"/>
        <v>38000</v>
      </c>
      <c r="AB420" s="783">
        <f t="shared" si="281"/>
        <v>114000</v>
      </c>
      <c r="AC420" s="848">
        <f t="shared" si="282"/>
        <v>486000</v>
      </c>
      <c r="AD420" s="789">
        <f t="shared" si="283"/>
        <v>486000</v>
      </c>
      <c r="AE420" s="790">
        <f t="shared" si="284"/>
        <v>600000</v>
      </c>
      <c r="AF420" s="791">
        <f t="shared" si="285"/>
        <v>365</v>
      </c>
      <c r="AG420" s="791">
        <f t="shared" si="286"/>
        <v>38000</v>
      </c>
      <c r="AH420" s="783">
        <f t="shared" si="287"/>
        <v>152000</v>
      </c>
      <c r="AI420" s="783">
        <f t="shared" si="288"/>
        <v>448000</v>
      </c>
      <c r="AJ420" s="790">
        <f t="shared" si="236"/>
        <v>448000</v>
      </c>
      <c r="AK420" s="790">
        <f t="shared" si="289"/>
        <v>600000</v>
      </c>
      <c r="AL420" s="791">
        <f t="shared" si="290"/>
        <v>365</v>
      </c>
      <c r="AM420" s="791">
        <f t="shared" si="291"/>
        <v>38000</v>
      </c>
      <c r="AN420" s="783">
        <f t="shared" si="292"/>
        <v>190000</v>
      </c>
      <c r="AO420" s="783">
        <f t="shared" si="293"/>
        <v>410000</v>
      </c>
      <c r="AP420" s="790">
        <f t="shared" si="294"/>
        <v>410000</v>
      </c>
      <c r="AQ420" s="790">
        <f t="shared" si="295"/>
        <v>600000</v>
      </c>
      <c r="AR420" s="791">
        <f t="shared" si="296"/>
        <v>366</v>
      </c>
      <c r="AS420" s="791">
        <f t="shared" si="297"/>
        <v>38104</v>
      </c>
      <c r="AT420" s="790">
        <f t="shared" si="298"/>
        <v>228104</v>
      </c>
      <c r="AU420" s="790">
        <f t="shared" si="299"/>
        <v>371896</v>
      </c>
    </row>
    <row r="421" spans="1:47" ht="15" customHeight="1" x14ac:dyDescent="0.25">
      <c r="A421" s="955" t="s">
        <v>1317</v>
      </c>
      <c r="B421" s="843" t="s">
        <v>1324</v>
      </c>
      <c r="C421" s="778">
        <f t="shared" si="263"/>
        <v>6.3333333333333325E-2</v>
      </c>
      <c r="D421" s="881">
        <v>15</v>
      </c>
      <c r="E421" s="779" t="s">
        <v>1182</v>
      </c>
      <c r="F421" s="845">
        <v>43191</v>
      </c>
      <c r="G421" s="956">
        <f t="shared" si="300"/>
        <v>43191</v>
      </c>
      <c r="H421" s="781">
        <f t="shared" si="264"/>
        <v>48666</v>
      </c>
      <c r="I421" s="795">
        <v>19770</v>
      </c>
      <c r="J421" s="783">
        <f t="shared" si="265"/>
        <v>988.5</v>
      </c>
      <c r="K421" s="887"/>
      <c r="L421" s="846">
        <v>0</v>
      </c>
      <c r="M421" s="790">
        <f t="shared" si="266"/>
        <v>19770</v>
      </c>
      <c r="N421" s="791">
        <f t="shared" si="267"/>
        <v>365</v>
      </c>
      <c r="O421" s="791">
        <f t="shared" si="268"/>
        <v>1252</v>
      </c>
      <c r="P421" s="790">
        <f t="shared" si="269"/>
        <v>1252</v>
      </c>
      <c r="Q421" s="847">
        <f t="shared" si="270"/>
        <v>18518</v>
      </c>
      <c r="R421" s="914">
        <f t="shared" si="271"/>
        <v>18518</v>
      </c>
      <c r="S421" s="790">
        <f t="shared" si="272"/>
        <v>19770</v>
      </c>
      <c r="T421" s="792">
        <f t="shared" si="273"/>
        <v>366</v>
      </c>
      <c r="U421" s="792">
        <f t="shared" si="274"/>
        <v>1252</v>
      </c>
      <c r="V421" s="790">
        <f t="shared" si="275"/>
        <v>2504</v>
      </c>
      <c r="W421" s="847">
        <f t="shared" si="276"/>
        <v>17266</v>
      </c>
      <c r="X421" s="846">
        <f t="shared" si="277"/>
        <v>17266</v>
      </c>
      <c r="Y421" s="783">
        <f t="shared" si="278"/>
        <v>19770</v>
      </c>
      <c r="Z421" s="783">
        <f t="shared" si="279"/>
        <v>365</v>
      </c>
      <c r="AA421" s="783">
        <f t="shared" si="280"/>
        <v>1252</v>
      </c>
      <c r="AB421" s="783">
        <f t="shared" si="281"/>
        <v>3756</v>
      </c>
      <c r="AC421" s="848">
        <f t="shared" si="282"/>
        <v>16014</v>
      </c>
      <c r="AD421" s="789">
        <f t="shared" si="283"/>
        <v>16014</v>
      </c>
      <c r="AE421" s="790">
        <f t="shared" si="284"/>
        <v>19770</v>
      </c>
      <c r="AF421" s="791">
        <f t="shared" si="285"/>
        <v>365</v>
      </c>
      <c r="AG421" s="791">
        <f t="shared" si="286"/>
        <v>1252</v>
      </c>
      <c r="AH421" s="783">
        <f t="shared" si="287"/>
        <v>5008</v>
      </c>
      <c r="AI421" s="783">
        <f t="shared" si="288"/>
        <v>14762</v>
      </c>
      <c r="AJ421" s="790">
        <f t="shared" si="236"/>
        <v>14762</v>
      </c>
      <c r="AK421" s="790">
        <f t="shared" si="289"/>
        <v>19770</v>
      </c>
      <c r="AL421" s="791">
        <f t="shared" si="290"/>
        <v>365</v>
      </c>
      <c r="AM421" s="791">
        <f t="shared" si="291"/>
        <v>1252</v>
      </c>
      <c r="AN421" s="783">
        <f t="shared" si="292"/>
        <v>6260</v>
      </c>
      <c r="AO421" s="783">
        <f t="shared" si="293"/>
        <v>13510</v>
      </c>
      <c r="AP421" s="790">
        <f t="shared" si="294"/>
        <v>13510</v>
      </c>
      <c r="AQ421" s="790">
        <f t="shared" si="295"/>
        <v>19770</v>
      </c>
      <c r="AR421" s="791">
        <f t="shared" si="296"/>
        <v>366</v>
      </c>
      <c r="AS421" s="791">
        <f t="shared" si="297"/>
        <v>1256</v>
      </c>
      <c r="AT421" s="790">
        <f t="shared" si="298"/>
        <v>7516</v>
      </c>
      <c r="AU421" s="790">
        <f t="shared" si="299"/>
        <v>12254</v>
      </c>
    </row>
    <row r="422" spans="1:47" ht="15" customHeight="1" x14ac:dyDescent="0.25">
      <c r="A422" s="955" t="s">
        <v>1317</v>
      </c>
      <c r="B422" s="843" t="s">
        <v>1325</v>
      </c>
      <c r="C422" s="778">
        <f t="shared" si="263"/>
        <v>6.3333333333333325E-2</v>
      </c>
      <c r="D422" s="881">
        <v>15</v>
      </c>
      <c r="E422" s="779" t="s">
        <v>1182</v>
      </c>
      <c r="F422" s="845">
        <v>43191</v>
      </c>
      <c r="G422" s="956">
        <f t="shared" si="300"/>
        <v>43191</v>
      </c>
      <c r="H422" s="781">
        <f t="shared" si="264"/>
        <v>48666</v>
      </c>
      <c r="I422" s="795">
        <v>127070</v>
      </c>
      <c r="J422" s="783">
        <f t="shared" si="265"/>
        <v>6353.5</v>
      </c>
      <c r="K422" s="887"/>
      <c r="L422" s="846">
        <v>0</v>
      </c>
      <c r="M422" s="790">
        <f t="shared" si="266"/>
        <v>127070</v>
      </c>
      <c r="N422" s="791">
        <f t="shared" si="267"/>
        <v>365</v>
      </c>
      <c r="O422" s="791">
        <f t="shared" si="268"/>
        <v>8048</v>
      </c>
      <c r="P422" s="790">
        <f t="shared" si="269"/>
        <v>8048</v>
      </c>
      <c r="Q422" s="847">
        <f t="shared" si="270"/>
        <v>119022</v>
      </c>
      <c r="R422" s="914">
        <f t="shared" si="271"/>
        <v>119022</v>
      </c>
      <c r="S422" s="790">
        <f t="shared" si="272"/>
        <v>127070</v>
      </c>
      <c r="T422" s="792">
        <f t="shared" si="273"/>
        <v>366</v>
      </c>
      <c r="U422" s="792">
        <f t="shared" si="274"/>
        <v>8048</v>
      </c>
      <c r="V422" s="790">
        <f t="shared" si="275"/>
        <v>16096</v>
      </c>
      <c r="W422" s="847">
        <f t="shared" si="276"/>
        <v>110974</v>
      </c>
      <c r="X422" s="846">
        <f t="shared" si="277"/>
        <v>110974</v>
      </c>
      <c r="Y422" s="783">
        <f t="shared" si="278"/>
        <v>127070</v>
      </c>
      <c r="Z422" s="783">
        <f t="shared" si="279"/>
        <v>365</v>
      </c>
      <c r="AA422" s="783">
        <f t="shared" si="280"/>
        <v>8048</v>
      </c>
      <c r="AB422" s="783">
        <f t="shared" si="281"/>
        <v>24144</v>
      </c>
      <c r="AC422" s="848">
        <f t="shared" si="282"/>
        <v>102926</v>
      </c>
      <c r="AD422" s="789">
        <f t="shared" si="283"/>
        <v>102926</v>
      </c>
      <c r="AE422" s="790">
        <f t="shared" si="284"/>
        <v>127070</v>
      </c>
      <c r="AF422" s="791">
        <f t="shared" si="285"/>
        <v>365</v>
      </c>
      <c r="AG422" s="791">
        <f t="shared" si="286"/>
        <v>8048</v>
      </c>
      <c r="AH422" s="783">
        <f t="shared" si="287"/>
        <v>32192</v>
      </c>
      <c r="AI422" s="783">
        <f t="shared" si="288"/>
        <v>94878</v>
      </c>
      <c r="AJ422" s="790">
        <f t="shared" si="236"/>
        <v>94878</v>
      </c>
      <c r="AK422" s="790">
        <f t="shared" si="289"/>
        <v>127070</v>
      </c>
      <c r="AL422" s="791">
        <f t="shared" si="290"/>
        <v>365</v>
      </c>
      <c r="AM422" s="791">
        <f t="shared" si="291"/>
        <v>8048</v>
      </c>
      <c r="AN422" s="783">
        <f t="shared" si="292"/>
        <v>40240</v>
      </c>
      <c r="AO422" s="783">
        <f t="shared" si="293"/>
        <v>86830</v>
      </c>
      <c r="AP422" s="790">
        <f t="shared" si="294"/>
        <v>86830</v>
      </c>
      <c r="AQ422" s="790">
        <f t="shared" si="295"/>
        <v>127070</v>
      </c>
      <c r="AR422" s="791">
        <f t="shared" si="296"/>
        <v>366</v>
      </c>
      <c r="AS422" s="791">
        <f t="shared" si="297"/>
        <v>8070</v>
      </c>
      <c r="AT422" s="790">
        <f t="shared" si="298"/>
        <v>48310</v>
      </c>
      <c r="AU422" s="790">
        <f t="shared" si="299"/>
        <v>78760</v>
      </c>
    </row>
    <row r="423" spans="1:47" ht="15" customHeight="1" x14ac:dyDescent="0.25">
      <c r="A423" s="955" t="s">
        <v>1317</v>
      </c>
      <c r="B423" s="915" t="s">
        <v>1326</v>
      </c>
      <c r="C423" s="778">
        <f t="shared" si="263"/>
        <v>6.3333333333333325E-2</v>
      </c>
      <c r="D423" s="881">
        <v>15</v>
      </c>
      <c r="E423" s="779" t="s">
        <v>1182</v>
      </c>
      <c r="F423" s="845">
        <v>43191</v>
      </c>
      <c r="G423" s="956">
        <f t="shared" si="300"/>
        <v>43191</v>
      </c>
      <c r="H423" s="781">
        <f t="shared" si="264"/>
        <v>48666</v>
      </c>
      <c r="I423" s="795">
        <v>36800</v>
      </c>
      <c r="J423" s="783">
        <f t="shared" si="265"/>
        <v>1840</v>
      </c>
      <c r="K423" s="887"/>
      <c r="L423" s="846">
        <v>0</v>
      </c>
      <c r="M423" s="790">
        <f t="shared" si="266"/>
        <v>36800</v>
      </c>
      <c r="N423" s="791">
        <f t="shared" si="267"/>
        <v>365</v>
      </c>
      <c r="O423" s="791">
        <f t="shared" si="268"/>
        <v>2331</v>
      </c>
      <c r="P423" s="790">
        <f t="shared" si="269"/>
        <v>2331</v>
      </c>
      <c r="Q423" s="847">
        <f t="shared" si="270"/>
        <v>34469</v>
      </c>
      <c r="R423" s="914">
        <f t="shared" si="271"/>
        <v>34469</v>
      </c>
      <c r="S423" s="790">
        <f t="shared" si="272"/>
        <v>36800</v>
      </c>
      <c r="T423" s="792">
        <f t="shared" si="273"/>
        <v>366</v>
      </c>
      <c r="U423" s="792">
        <f t="shared" si="274"/>
        <v>2331</v>
      </c>
      <c r="V423" s="790">
        <f t="shared" si="275"/>
        <v>4662</v>
      </c>
      <c r="W423" s="847">
        <f t="shared" si="276"/>
        <v>32138</v>
      </c>
      <c r="X423" s="846">
        <f t="shared" si="277"/>
        <v>32138</v>
      </c>
      <c r="Y423" s="783">
        <f t="shared" si="278"/>
        <v>36800</v>
      </c>
      <c r="Z423" s="783">
        <f t="shared" si="279"/>
        <v>365</v>
      </c>
      <c r="AA423" s="783">
        <f t="shared" si="280"/>
        <v>2331</v>
      </c>
      <c r="AB423" s="783">
        <f t="shared" si="281"/>
        <v>6993</v>
      </c>
      <c r="AC423" s="848">
        <f t="shared" si="282"/>
        <v>29807</v>
      </c>
      <c r="AD423" s="789">
        <f t="shared" si="283"/>
        <v>29807</v>
      </c>
      <c r="AE423" s="790">
        <f t="shared" si="284"/>
        <v>36800</v>
      </c>
      <c r="AF423" s="791">
        <f t="shared" si="285"/>
        <v>365</v>
      </c>
      <c r="AG423" s="791">
        <f t="shared" si="286"/>
        <v>2331</v>
      </c>
      <c r="AH423" s="783">
        <f t="shared" si="287"/>
        <v>9324</v>
      </c>
      <c r="AI423" s="783">
        <f t="shared" si="288"/>
        <v>27476</v>
      </c>
      <c r="AJ423" s="790">
        <f t="shared" si="236"/>
        <v>27476</v>
      </c>
      <c r="AK423" s="790">
        <f t="shared" si="289"/>
        <v>36800</v>
      </c>
      <c r="AL423" s="791">
        <f t="shared" si="290"/>
        <v>365</v>
      </c>
      <c r="AM423" s="791">
        <f t="shared" si="291"/>
        <v>2331</v>
      </c>
      <c r="AN423" s="783">
        <f t="shared" si="292"/>
        <v>11655</v>
      </c>
      <c r="AO423" s="783">
        <f t="shared" si="293"/>
        <v>25145</v>
      </c>
      <c r="AP423" s="790">
        <f t="shared" si="294"/>
        <v>25145</v>
      </c>
      <c r="AQ423" s="790">
        <f t="shared" si="295"/>
        <v>36800</v>
      </c>
      <c r="AR423" s="791">
        <f t="shared" si="296"/>
        <v>366</v>
      </c>
      <c r="AS423" s="791">
        <f t="shared" si="297"/>
        <v>2337</v>
      </c>
      <c r="AT423" s="790">
        <f t="shared" si="298"/>
        <v>13992</v>
      </c>
      <c r="AU423" s="790">
        <f t="shared" si="299"/>
        <v>22808</v>
      </c>
    </row>
    <row r="424" spans="1:47" ht="15" customHeight="1" x14ac:dyDescent="0.25">
      <c r="A424" s="955" t="s">
        <v>1317</v>
      </c>
      <c r="B424" s="915" t="s">
        <v>1327</v>
      </c>
      <c r="C424" s="778">
        <f t="shared" si="263"/>
        <v>6.3333333333333325E-2</v>
      </c>
      <c r="D424" s="881">
        <v>15</v>
      </c>
      <c r="E424" s="779" t="s">
        <v>1182</v>
      </c>
      <c r="F424" s="845">
        <v>43191</v>
      </c>
      <c r="G424" s="956">
        <f t="shared" si="300"/>
        <v>43191</v>
      </c>
      <c r="H424" s="781">
        <f t="shared" si="264"/>
        <v>48666</v>
      </c>
      <c r="I424" s="795">
        <v>3250000</v>
      </c>
      <c r="J424" s="783">
        <f t="shared" si="265"/>
        <v>162500</v>
      </c>
      <c r="K424" s="887"/>
      <c r="L424" s="846">
        <v>0</v>
      </c>
      <c r="M424" s="790">
        <f t="shared" si="266"/>
        <v>3250000</v>
      </c>
      <c r="N424" s="791">
        <f t="shared" si="267"/>
        <v>365</v>
      </c>
      <c r="O424" s="791">
        <f t="shared" si="268"/>
        <v>205833</v>
      </c>
      <c r="P424" s="790">
        <f t="shared" si="269"/>
        <v>205833</v>
      </c>
      <c r="Q424" s="847">
        <f t="shared" si="270"/>
        <v>3044167</v>
      </c>
      <c r="R424" s="914">
        <f t="shared" si="271"/>
        <v>3044167</v>
      </c>
      <c r="S424" s="790">
        <f t="shared" si="272"/>
        <v>3250000</v>
      </c>
      <c r="T424" s="792">
        <f t="shared" si="273"/>
        <v>366</v>
      </c>
      <c r="U424" s="792">
        <f t="shared" si="274"/>
        <v>205833</v>
      </c>
      <c r="V424" s="790">
        <f t="shared" si="275"/>
        <v>411666</v>
      </c>
      <c r="W424" s="847">
        <f t="shared" si="276"/>
        <v>2838334</v>
      </c>
      <c r="X424" s="846">
        <f t="shared" si="277"/>
        <v>2838334</v>
      </c>
      <c r="Y424" s="783">
        <f t="shared" si="278"/>
        <v>3250000</v>
      </c>
      <c r="Z424" s="783">
        <f t="shared" si="279"/>
        <v>365</v>
      </c>
      <c r="AA424" s="783">
        <f t="shared" si="280"/>
        <v>205833</v>
      </c>
      <c r="AB424" s="783">
        <f t="shared" si="281"/>
        <v>617499</v>
      </c>
      <c r="AC424" s="848">
        <f t="shared" si="282"/>
        <v>2632501</v>
      </c>
      <c r="AD424" s="789">
        <f t="shared" si="283"/>
        <v>2632501</v>
      </c>
      <c r="AE424" s="790">
        <f t="shared" si="284"/>
        <v>3250000</v>
      </c>
      <c r="AF424" s="791">
        <f t="shared" si="285"/>
        <v>365</v>
      </c>
      <c r="AG424" s="791">
        <f t="shared" si="286"/>
        <v>205833</v>
      </c>
      <c r="AH424" s="783">
        <f t="shared" si="287"/>
        <v>823332</v>
      </c>
      <c r="AI424" s="783">
        <f t="shared" si="288"/>
        <v>2426668</v>
      </c>
      <c r="AJ424" s="790">
        <f t="shared" si="236"/>
        <v>2426668</v>
      </c>
      <c r="AK424" s="790">
        <f t="shared" si="289"/>
        <v>3250000</v>
      </c>
      <c r="AL424" s="791">
        <f t="shared" si="290"/>
        <v>365</v>
      </c>
      <c r="AM424" s="791">
        <f t="shared" si="291"/>
        <v>205833</v>
      </c>
      <c r="AN424" s="783">
        <f t="shared" si="292"/>
        <v>1029165</v>
      </c>
      <c r="AO424" s="783">
        <f t="shared" si="293"/>
        <v>2220835</v>
      </c>
      <c r="AP424" s="790">
        <f t="shared" si="294"/>
        <v>2220835</v>
      </c>
      <c r="AQ424" s="790">
        <f t="shared" si="295"/>
        <v>3250000</v>
      </c>
      <c r="AR424" s="791">
        <f t="shared" si="296"/>
        <v>366</v>
      </c>
      <c r="AS424" s="791">
        <f t="shared" si="297"/>
        <v>206397</v>
      </c>
      <c r="AT424" s="790">
        <f t="shared" si="298"/>
        <v>1235562</v>
      </c>
      <c r="AU424" s="790">
        <f t="shared" si="299"/>
        <v>2014438</v>
      </c>
    </row>
    <row r="425" spans="1:47" ht="15" customHeight="1" x14ac:dyDescent="0.25">
      <c r="A425" s="955" t="s">
        <v>1317</v>
      </c>
      <c r="B425" s="843" t="s">
        <v>1328</v>
      </c>
      <c r="C425" s="778">
        <f t="shared" si="263"/>
        <v>6.3333333333333325E-2</v>
      </c>
      <c r="D425" s="881">
        <v>15</v>
      </c>
      <c r="E425" s="779" t="s">
        <v>1182</v>
      </c>
      <c r="F425" s="845">
        <v>43191</v>
      </c>
      <c r="G425" s="956">
        <f t="shared" si="300"/>
        <v>43191</v>
      </c>
      <c r="H425" s="781">
        <f t="shared" si="264"/>
        <v>48666</v>
      </c>
      <c r="I425" s="795">
        <v>128000</v>
      </c>
      <c r="J425" s="783">
        <f t="shared" si="265"/>
        <v>6400</v>
      </c>
      <c r="K425" s="887"/>
      <c r="L425" s="846">
        <v>0</v>
      </c>
      <c r="M425" s="790">
        <f t="shared" si="266"/>
        <v>128000</v>
      </c>
      <c r="N425" s="791">
        <f t="shared" si="267"/>
        <v>365</v>
      </c>
      <c r="O425" s="791">
        <f t="shared" si="268"/>
        <v>8107</v>
      </c>
      <c r="P425" s="790">
        <f t="shared" si="269"/>
        <v>8107</v>
      </c>
      <c r="Q425" s="847">
        <f t="shared" si="270"/>
        <v>119893</v>
      </c>
      <c r="R425" s="914">
        <f t="shared" si="271"/>
        <v>119893</v>
      </c>
      <c r="S425" s="790">
        <f t="shared" si="272"/>
        <v>128000</v>
      </c>
      <c r="T425" s="792">
        <f t="shared" si="273"/>
        <v>366</v>
      </c>
      <c r="U425" s="792">
        <f t="shared" si="274"/>
        <v>8107</v>
      </c>
      <c r="V425" s="790">
        <f t="shared" si="275"/>
        <v>16214</v>
      </c>
      <c r="W425" s="847">
        <f t="shared" si="276"/>
        <v>111786</v>
      </c>
      <c r="X425" s="846">
        <f t="shared" si="277"/>
        <v>111786</v>
      </c>
      <c r="Y425" s="783">
        <f t="shared" si="278"/>
        <v>128000</v>
      </c>
      <c r="Z425" s="783">
        <f t="shared" si="279"/>
        <v>365</v>
      </c>
      <c r="AA425" s="783">
        <f t="shared" si="280"/>
        <v>8107</v>
      </c>
      <c r="AB425" s="783">
        <f t="shared" si="281"/>
        <v>24321</v>
      </c>
      <c r="AC425" s="848">
        <f t="shared" si="282"/>
        <v>103679</v>
      </c>
      <c r="AD425" s="789">
        <f t="shared" si="283"/>
        <v>103679</v>
      </c>
      <c r="AE425" s="790">
        <f t="shared" si="284"/>
        <v>128000</v>
      </c>
      <c r="AF425" s="791">
        <f t="shared" si="285"/>
        <v>365</v>
      </c>
      <c r="AG425" s="791">
        <f t="shared" si="286"/>
        <v>8107</v>
      </c>
      <c r="AH425" s="783">
        <f t="shared" si="287"/>
        <v>32428</v>
      </c>
      <c r="AI425" s="783">
        <f t="shared" si="288"/>
        <v>95572</v>
      </c>
      <c r="AJ425" s="790">
        <f t="shared" si="236"/>
        <v>95572</v>
      </c>
      <c r="AK425" s="790">
        <f t="shared" si="289"/>
        <v>128000</v>
      </c>
      <c r="AL425" s="791">
        <f t="shared" si="290"/>
        <v>365</v>
      </c>
      <c r="AM425" s="791">
        <f t="shared" si="291"/>
        <v>8107</v>
      </c>
      <c r="AN425" s="783">
        <f t="shared" si="292"/>
        <v>40535</v>
      </c>
      <c r="AO425" s="783">
        <f t="shared" si="293"/>
        <v>87465</v>
      </c>
      <c r="AP425" s="790">
        <f t="shared" si="294"/>
        <v>87465</v>
      </c>
      <c r="AQ425" s="790">
        <f t="shared" si="295"/>
        <v>128000</v>
      </c>
      <c r="AR425" s="791">
        <f t="shared" si="296"/>
        <v>366</v>
      </c>
      <c r="AS425" s="791">
        <f t="shared" si="297"/>
        <v>8129</v>
      </c>
      <c r="AT425" s="790">
        <f t="shared" si="298"/>
        <v>48664</v>
      </c>
      <c r="AU425" s="790">
        <f t="shared" si="299"/>
        <v>79336</v>
      </c>
    </row>
    <row r="426" spans="1:47" ht="15" customHeight="1" x14ac:dyDescent="0.25">
      <c r="A426" s="955" t="s">
        <v>1317</v>
      </c>
      <c r="B426" s="843" t="s">
        <v>1329</v>
      </c>
      <c r="C426" s="778">
        <f t="shared" si="263"/>
        <v>6.3333333333333325E-2</v>
      </c>
      <c r="D426" s="881">
        <v>15</v>
      </c>
      <c r="E426" s="779" t="s">
        <v>1182</v>
      </c>
      <c r="F426" s="845">
        <v>43191</v>
      </c>
      <c r="G426" s="956">
        <f t="shared" si="300"/>
        <v>43191</v>
      </c>
      <c r="H426" s="781">
        <f t="shared" si="264"/>
        <v>48666</v>
      </c>
      <c r="I426" s="795">
        <v>28071186.52</v>
      </c>
      <c r="J426" s="783">
        <f t="shared" si="265"/>
        <v>1403559.3260000001</v>
      </c>
      <c r="K426" s="887"/>
      <c r="L426" s="846">
        <v>0</v>
      </c>
      <c r="M426" s="790">
        <f t="shared" si="266"/>
        <v>28071186.52</v>
      </c>
      <c r="N426" s="791">
        <f t="shared" si="267"/>
        <v>365</v>
      </c>
      <c r="O426" s="791">
        <f t="shared" si="268"/>
        <v>1777842</v>
      </c>
      <c r="P426" s="790">
        <f t="shared" si="269"/>
        <v>1777842</v>
      </c>
      <c r="Q426" s="847">
        <f t="shared" si="270"/>
        <v>26293344.52</v>
      </c>
      <c r="R426" s="914">
        <f t="shared" si="271"/>
        <v>26293344.52</v>
      </c>
      <c r="S426" s="790">
        <f t="shared" si="272"/>
        <v>28071186.52</v>
      </c>
      <c r="T426" s="792">
        <f t="shared" si="273"/>
        <v>366</v>
      </c>
      <c r="U426" s="792">
        <f t="shared" si="274"/>
        <v>1777842</v>
      </c>
      <c r="V426" s="790">
        <f t="shared" si="275"/>
        <v>3555684</v>
      </c>
      <c r="W426" s="847">
        <f t="shared" si="276"/>
        <v>24515502.52</v>
      </c>
      <c r="X426" s="846">
        <f t="shared" si="277"/>
        <v>24515502.52</v>
      </c>
      <c r="Y426" s="783">
        <f t="shared" si="278"/>
        <v>28071186.52</v>
      </c>
      <c r="Z426" s="783">
        <f t="shared" si="279"/>
        <v>365</v>
      </c>
      <c r="AA426" s="783">
        <f t="shared" si="280"/>
        <v>1777842</v>
      </c>
      <c r="AB426" s="783">
        <f t="shared" si="281"/>
        <v>5333526</v>
      </c>
      <c r="AC426" s="848">
        <f t="shared" si="282"/>
        <v>22737660.52</v>
      </c>
      <c r="AD426" s="789">
        <f t="shared" si="283"/>
        <v>22737660.52</v>
      </c>
      <c r="AE426" s="790">
        <f t="shared" si="284"/>
        <v>28071186.52</v>
      </c>
      <c r="AF426" s="791">
        <f t="shared" si="285"/>
        <v>365</v>
      </c>
      <c r="AG426" s="791">
        <f t="shared" si="286"/>
        <v>1777842</v>
      </c>
      <c r="AH426" s="783">
        <f t="shared" si="287"/>
        <v>7111368</v>
      </c>
      <c r="AI426" s="783">
        <f t="shared" si="288"/>
        <v>20959818.52</v>
      </c>
      <c r="AJ426" s="790">
        <f t="shared" si="236"/>
        <v>20959818.52</v>
      </c>
      <c r="AK426" s="790">
        <f t="shared" si="289"/>
        <v>28071186.52</v>
      </c>
      <c r="AL426" s="791">
        <f t="shared" si="290"/>
        <v>365</v>
      </c>
      <c r="AM426" s="791">
        <f t="shared" si="291"/>
        <v>1777842</v>
      </c>
      <c r="AN426" s="783">
        <f t="shared" si="292"/>
        <v>8889210</v>
      </c>
      <c r="AO426" s="783">
        <f t="shared" si="293"/>
        <v>19181976.52</v>
      </c>
      <c r="AP426" s="790">
        <f t="shared" si="294"/>
        <v>19181976.52</v>
      </c>
      <c r="AQ426" s="790">
        <f t="shared" si="295"/>
        <v>28071186.52</v>
      </c>
      <c r="AR426" s="791">
        <f t="shared" si="296"/>
        <v>366</v>
      </c>
      <c r="AS426" s="791">
        <f t="shared" si="297"/>
        <v>1782713</v>
      </c>
      <c r="AT426" s="790">
        <f t="shared" si="298"/>
        <v>10671923</v>
      </c>
      <c r="AU426" s="790">
        <f t="shared" si="299"/>
        <v>17399263.52</v>
      </c>
    </row>
    <row r="427" spans="1:47" ht="15" customHeight="1" x14ac:dyDescent="0.25">
      <c r="A427" s="955" t="s">
        <v>1317</v>
      </c>
      <c r="B427" s="843" t="s">
        <v>1330</v>
      </c>
      <c r="C427" s="778">
        <f t="shared" si="263"/>
        <v>6.3333333333333325E-2</v>
      </c>
      <c r="D427" s="881">
        <v>15</v>
      </c>
      <c r="E427" s="779" t="s">
        <v>1182</v>
      </c>
      <c r="F427" s="845">
        <v>43191</v>
      </c>
      <c r="G427" s="956">
        <f t="shared" si="300"/>
        <v>43191</v>
      </c>
      <c r="H427" s="781">
        <f t="shared" si="264"/>
        <v>48666</v>
      </c>
      <c r="I427" s="795">
        <v>1374750.66</v>
      </c>
      <c r="J427" s="783">
        <f t="shared" si="265"/>
        <v>68737.532999999996</v>
      </c>
      <c r="K427" s="887"/>
      <c r="L427" s="846">
        <v>0</v>
      </c>
      <c r="M427" s="790">
        <f t="shared" si="266"/>
        <v>1374750.66</v>
      </c>
      <c r="N427" s="791">
        <f t="shared" si="267"/>
        <v>365</v>
      </c>
      <c r="O427" s="791">
        <f t="shared" si="268"/>
        <v>87068</v>
      </c>
      <c r="P427" s="790">
        <f t="shared" si="269"/>
        <v>87068</v>
      </c>
      <c r="Q427" s="847">
        <f t="shared" si="270"/>
        <v>1287682.6599999999</v>
      </c>
      <c r="R427" s="914">
        <f t="shared" si="271"/>
        <v>1287682.6599999999</v>
      </c>
      <c r="S427" s="790">
        <f t="shared" si="272"/>
        <v>1374750.66</v>
      </c>
      <c r="T427" s="792">
        <f t="shared" si="273"/>
        <v>366</v>
      </c>
      <c r="U427" s="792">
        <f t="shared" si="274"/>
        <v>87068</v>
      </c>
      <c r="V427" s="790">
        <f t="shared" si="275"/>
        <v>174136</v>
      </c>
      <c r="W427" s="847">
        <f t="shared" si="276"/>
        <v>1200614.6599999999</v>
      </c>
      <c r="X427" s="846">
        <f t="shared" si="277"/>
        <v>1200614.6599999999</v>
      </c>
      <c r="Y427" s="783">
        <f t="shared" si="278"/>
        <v>1374750.66</v>
      </c>
      <c r="Z427" s="783">
        <f t="shared" si="279"/>
        <v>365</v>
      </c>
      <c r="AA427" s="783">
        <f t="shared" si="280"/>
        <v>87068</v>
      </c>
      <c r="AB427" s="783">
        <f t="shared" si="281"/>
        <v>261204</v>
      </c>
      <c r="AC427" s="848">
        <f t="shared" si="282"/>
        <v>1113546.6599999999</v>
      </c>
      <c r="AD427" s="789">
        <f t="shared" si="283"/>
        <v>1113546.6599999999</v>
      </c>
      <c r="AE427" s="790">
        <f t="shared" si="284"/>
        <v>1374750.66</v>
      </c>
      <c r="AF427" s="791">
        <f t="shared" si="285"/>
        <v>365</v>
      </c>
      <c r="AG427" s="791">
        <f t="shared" si="286"/>
        <v>87068</v>
      </c>
      <c r="AH427" s="783">
        <f t="shared" si="287"/>
        <v>348272</v>
      </c>
      <c r="AI427" s="783">
        <f t="shared" si="288"/>
        <v>1026478.6599999999</v>
      </c>
      <c r="AJ427" s="790">
        <f t="shared" si="236"/>
        <v>1026478.6599999999</v>
      </c>
      <c r="AK427" s="790">
        <f t="shared" si="289"/>
        <v>1374750.66</v>
      </c>
      <c r="AL427" s="791">
        <f t="shared" si="290"/>
        <v>365</v>
      </c>
      <c r="AM427" s="791">
        <f t="shared" si="291"/>
        <v>87068</v>
      </c>
      <c r="AN427" s="783">
        <f t="shared" si="292"/>
        <v>435340</v>
      </c>
      <c r="AO427" s="783">
        <f t="shared" si="293"/>
        <v>939410.65999999992</v>
      </c>
      <c r="AP427" s="790">
        <f t="shared" si="294"/>
        <v>939410.65999999992</v>
      </c>
      <c r="AQ427" s="790">
        <f t="shared" si="295"/>
        <v>1374750.66</v>
      </c>
      <c r="AR427" s="791">
        <f t="shared" si="296"/>
        <v>366</v>
      </c>
      <c r="AS427" s="791">
        <f t="shared" si="297"/>
        <v>87306</v>
      </c>
      <c r="AT427" s="790">
        <f t="shared" si="298"/>
        <v>522646</v>
      </c>
      <c r="AU427" s="790">
        <f t="shared" si="299"/>
        <v>852104.65999999992</v>
      </c>
    </row>
    <row r="428" spans="1:47" ht="15" customHeight="1" x14ac:dyDescent="0.25">
      <c r="A428" s="955" t="s">
        <v>1317</v>
      </c>
      <c r="B428" s="843" t="s">
        <v>1331</v>
      </c>
      <c r="C428" s="778">
        <f t="shared" si="263"/>
        <v>6.3333333333333325E-2</v>
      </c>
      <c r="D428" s="881">
        <v>15</v>
      </c>
      <c r="E428" s="779" t="s">
        <v>1182</v>
      </c>
      <c r="F428" s="845">
        <v>43191</v>
      </c>
      <c r="G428" s="956">
        <f t="shared" si="300"/>
        <v>43191</v>
      </c>
      <c r="H428" s="781">
        <f t="shared" si="264"/>
        <v>48666</v>
      </c>
      <c r="I428" s="795">
        <v>370000</v>
      </c>
      <c r="J428" s="783">
        <f t="shared" si="265"/>
        <v>18500</v>
      </c>
      <c r="K428" s="887"/>
      <c r="L428" s="846">
        <v>0</v>
      </c>
      <c r="M428" s="790">
        <f t="shared" si="266"/>
        <v>370000</v>
      </c>
      <c r="N428" s="791">
        <f t="shared" si="267"/>
        <v>365</v>
      </c>
      <c r="O428" s="791">
        <f t="shared" si="268"/>
        <v>23433</v>
      </c>
      <c r="P428" s="790">
        <f t="shared" si="269"/>
        <v>23433</v>
      </c>
      <c r="Q428" s="847">
        <f t="shared" si="270"/>
        <v>346567</v>
      </c>
      <c r="R428" s="914">
        <f t="shared" si="271"/>
        <v>346567</v>
      </c>
      <c r="S428" s="790">
        <f t="shared" si="272"/>
        <v>370000</v>
      </c>
      <c r="T428" s="792">
        <f t="shared" si="273"/>
        <v>366</v>
      </c>
      <c r="U428" s="792">
        <f t="shared" si="274"/>
        <v>23433</v>
      </c>
      <c r="V428" s="790">
        <f t="shared" si="275"/>
        <v>46866</v>
      </c>
      <c r="W428" s="847">
        <f t="shared" si="276"/>
        <v>323134</v>
      </c>
      <c r="X428" s="846">
        <f t="shared" si="277"/>
        <v>323134</v>
      </c>
      <c r="Y428" s="783">
        <f t="shared" si="278"/>
        <v>370000</v>
      </c>
      <c r="Z428" s="783">
        <f t="shared" si="279"/>
        <v>365</v>
      </c>
      <c r="AA428" s="783">
        <f t="shared" si="280"/>
        <v>23433</v>
      </c>
      <c r="AB428" s="783">
        <f t="shared" si="281"/>
        <v>70299</v>
      </c>
      <c r="AC428" s="848">
        <f t="shared" si="282"/>
        <v>299701</v>
      </c>
      <c r="AD428" s="789">
        <f t="shared" si="283"/>
        <v>299701</v>
      </c>
      <c r="AE428" s="790">
        <f t="shared" si="284"/>
        <v>370000</v>
      </c>
      <c r="AF428" s="791">
        <f t="shared" si="285"/>
        <v>365</v>
      </c>
      <c r="AG428" s="791">
        <f t="shared" si="286"/>
        <v>23433</v>
      </c>
      <c r="AH428" s="783">
        <f t="shared" si="287"/>
        <v>93732</v>
      </c>
      <c r="AI428" s="783">
        <f t="shared" si="288"/>
        <v>276268</v>
      </c>
      <c r="AJ428" s="790">
        <f t="shared" si="236"/>
        <v>276268</v>
      </c>
      <c r="AK428" s="790">
        <f t="shared" si="289"/>
        <v>370000</v>
      </c>
      <c r="AL428" s="791">
        <f t="shared" si="290"/>
        <v>365</v>
      </c>
      <c r="AM428" s="791">
        <f t="shared" si="291"/>
        <v>23433</v>
      </c>
      <c r="AN428" s="783">
        <f t="shared" si="292"/>
        <v>117165</v>
      </c>
      <c r="AO428" s="783">
        <f t="shared" si="293"/>
        <v>252835</v>
      </c>
      <c r="AP428" s="790">
        <f t="shared" si="294"/>
        <v>252835</v>
      </c>
      <c r="AQ428" s="790">
        <f t="shared" si="295"/>
        <v>370000</v>
      </c>
      <c r="AR428" s="791">
        <f t="shared" si="296"/>
        <v>366</v>
      </c>
      <c r="AS428" s="791">
        <f t="shared" si="297"/>
        <v>23498</v>
      </c>
      <c r="AT428" s="790">
        <f t="shared" si="298"/>
        <v>140663</v>
      </c>
      <c r="AU428" s="790">
        <f t="shared" si="299"/>
        <v>229337</v>
      </c>
    </row>
    <row r="429" spans="1:47" ht="15" customHeight="1" x14ac:dyDescent="0.25">
      <c r="A429" s="955" t="s">
        <v>1317</v>
      </c>
      <c r="B429" s="915" t="s">
        <v>1332</v>
      </c>
      <c r="C429" s="778">
        <f t="shared" si="263"/>
        <v>6.3333333333333325E-2</v>
      </c>
      <c r="D429" s="881">
        <v>15</v>
      </c>
      <c r="E429" s="779" t="s">
        <v>1182</v>
      </c>
      <c r="F429" s="845">
        <v>43191</v>
      </c>
      <c r="G429" s="956">
        <f t="shared" si="300"/>
        <v>43191</v>
      </c>
      <c r="H429" s="781">
        <f t="shared" si="264"/>
        <v>48666</v>
      </c>
      <c r="I429" s="795">
        <v>742000</v>
      </c>
      <c r="J429" s="783">
        <f t="shared" si="265"/>
        <v>37100</v>
      </c>
      <c r="K429" s="887"/>
      <c r="L429" s="846">
        <v>0</v>
      </c>
      <c r="M429" s="790">
        <f t="shared" si="266"/>
        <v>742000</v>
      </c>
      <c r="N429" s="791">
        <f t="shared" si="267"/>
        <v>365</v>
      </c>
      <c r="O429" s="791">
        <f t="shared" si="268"/>
        <v>46993</v>
      </c>
      <c r="P429" s="790">
        <f t="shared" si="269"/>
        <v>46993</v>
      </c>
      <c r="Q429" s="847">
        <f t="shared" si="270"/>
        <v>695007</v>
      </c>
      <c r="R429" s="914">
        <f t="shared" si="271"/>
        <v>695007</v>
      </c>
      <c r="S429" s="790">
        <f t="shared" si="272"/>
        <v>742000</v>
      </c>
      <c r="T429" s="792">
        <f t="shared" si="273"/>
        <v>366</v>
      </c>
      <c r="U429" s="792">
        <f t="shared" si="274"/>
        <v>46993</v>
      </c>
      <c r="V429" s="790">
        <f t="shared" si="275"/>
        <v>93986</v>
      </c>
      <c r="W429" s="847">
        <f t="shared" si="276"/>
        <v>648014</v>
      </c>
      <c r="X429" s="846">
        <f t="shared" si="277"/>
        <v>648014</v>
      </c>
      <c r="Y429" s="783">
        <f t="shared" si="278"/>
        <v>742000</v>
      </c>
      <c r="Z429" s="783">
        <f t="shared" si="279"/>
        <v>365</v>
      </c>
      <c r="AA429" s="783">
        <f t="shared" si="280"/>
        <v>46993</v>
      </c>
      <c r="AB429" s="783">
        <f t="shared" si="281"/>
        <v>140979</v>
      </c>
      <c r="AC429" s="848">
        <f t="shared" si="282"/>
        <v>601021</v>
      </c>
      <c r="AD429" s="789">
        <f t="shared" si="283"/>
        <v>601021</v>
      </c>
      <c r="AE429" s="790">
        <f t="shared" si="284"/>
        <v>742000</v>
      </c>
      <c r="AF429" s="791">
        <f t="shared" si="285"/>
        <v>365</v>
      </c>
      <c r="AG429" s="791">
        <f t="shared" si="286"/>
        <v>46993</v>
      </c>
      <c r="AH429" s="783">
        <f t="shared" si="287"/>
        <v>187972</v>
      </c>
      <c r="AI429" s="783">
        <f t="shared" si="288"/>
        <v>554028</v>
      </c>
      <c r="AJ429" s="790">
        <f t="shared" si="236"/>
        <v>554028</v>
      </c>
      <c r="AK429" s="790">
        <f t="shared" si="289"/>
        <v>742000</v>
      </c>
      <c r="AL429" s="791">
        <f t="shared" si="290"/>
        <v>365</v>
      </c>
      <c r="AM429" s="791">
        <f t="shared" si="291"/>
        <v>46993</v>
      </c>
      <c r="AN429" s="783">
        <f t="shared" si="292"/>
        <v>234965</v>
      </c>
      <c r="AO429" s="783">
        <f t="shared" si="293"/>
        <v>507035</v>
      </c>
      <c r="AP429" s="790">
        <f t="shared" si="294"/>
        <v>507035</v>
      </c>
      <c r="AQ429" s="790">
        <f t="shared" si="295"/>
        <v>742000</v>
      </c>
      <c r="AR429" s="791">
        <f t="shared" si="296"/>
        <v>366</v>
      </c>
      <c r="AS429" s="791">
        <f t="shared" si="297"/>
        <v>47122</v>
      </c>
      <c r="AT429" s="790">
        <f t="shared" si="298"/>
        <v>282087</v>
      </c>
      <c r="AU429" s="790">
        <f t="shared" si="299"/>
        <v>459913</v>
      </c>
    </row>
    <row r="430" spans="1:47" ht="15" customHeight="1" x14ac:dyDescent="0.25">
      <c r="A430" s="955" t="s">
        <v>1317</v>
      </c>
      <c r="B430" s="843" t="s">
        <v>1333</v>
      </c>
      <c r="C430" s="778">
        <f t="shared" si="263"/>
        <v>6.3333333333333325E-2</v>
      </c>
      <c r="D430" s="881">
        <v>15</v>
      </c>
      <c r="E430" s="779" t="s">
        <v>1182</v>
      </c>
      <c r="F430" s="845">
        <v>43191</v>
      </c>
      <c r="G430" s="956">
        <f t="shared" si="300"/>
        <v>43191</v>
      </c>
      <c r="H430" s="781">
        <f t="shared" si="264"/>
        <v>48666</v>
      </c>
      <c r="I430" s="795">
        <v>230000</v>
      </c>
      <c r="J430" s="783">
        <f t="shared" si="265"/>
        <v>11500</v>
      </c>
      <c r="K430" s="887"/>
      <c r="L430" s="846">
        <v>0</v>
      </c>
      <c r="M430" s="790">
        <f t="shared" si="266"/>
        <v>230000</v>
      </c>
      <c r="N430" s="791">
        <f t="shared" si="267"/>
        <v>365</v>
      </c>
      <c r="O430" s="791">
        <f t="shared" si="268"/>
        <v>14567</v>
      </c>
      <c r="P430" s="790">
        <f t="shared" si="269"/>
        <v>14567</v>
      </c>
      <c r="Q430" s="847">
        <f t="shared" si="270"/>
        <v>215433</v>
      </c>
      <c r="R430" s="914">
        <f t="shared" si="271"/>
        <v>215433</v>
      </c>
      <c r="S430" s="790">
        <f t="shared" si="272"/>
        <v>230000</v>
      </c>
      <c r="T430" s="792">
        <f t="shared" si="273"/>
        <v>366</v>
      </c>
      <c r="U430" s="792">
        <f t="shared" si="274"/>
        <v>14567</v>
      </c>
      <c r="V430" s="790">
        <f t="shared" si="275"/>
        <v>29134</v>
      </c>
      <c r="W430" s="847">
        <f t="shared" si="276"/>
        <v>200866</v>
      </c>
      <c r="X430" s="846">
        <f t="shared" si="277"/>
        <v>200866</v>
      </c>
      <c r="Y430" s="783">
        <f t="shared" si="278"/>
        <v>230000</v>
      </c>
      <c r="Z430" s="783">
        <f t="shared" si="279"/>
        <v>365</v>
      </c>
      <c r="AA430" s="783">
        <f t="shared" si="280"/>
        <v>14567</v>
      </c>
      <c r="AB430" s="783">
        <f t="shared" si="281"/>
        <v>43701</v>
      </c>
      <c r="AC430" s="848">
        <f t="shared" si="282"/>
        <v>186299</v>
      </c>
      <c r="AD430" s="789">
        <f t="shared" si="283"/>
        <v>186299</v>
      </c>
      <c r="AE430" s="790">
        <f t="shared" si="284"/>
        <v>230000</v>
      </c>
      <c r="AF430" s="791">
        <f t="shared" si="285"/>
        <v>365</v>
      </c>
      <c r="AG430" s="791">
        <f t="shared" si="286"/>
        <v>14567</v>
      </c>
      <c r="AH430" s="783">
        <f t="shared" si="287"/>
        <v>58268</v>
      </c>
      <c r="AI430" s="783">
        <f t="shared" si="288"/>
        <v>171732</v>
      </c>
      <c r="AJ430" s="790">
        <f t="shared" si="236"/>
        <v>171732</v>
      </c>
      <c r="AK430" s="790">
        <f t="shared" si="289"/>
        <v>230000</v>
      </c>
      <c r="AL430" s="791">
        <f t="shared" si="290"/>
        <v>365</v>
      </c>
      <c r="AM430" s="791">
        <f t="shared" si="291"/>
        <v>14567</v>
      </c>
      <c r="AN430" s="783">
        <f t="shared" si="292"/>
        <v>72835</v>
      </c>
      <c r="AO430" s="783">
        <f t="shared" si="293"/>
        <v>157165</v>
      </c>
      <c r="AP430" s="790">
        <f t="shared" si="294"/>
        <v>157165</v>
      </c>
      <c r="AQ430" s="790">
        <f t="shared" si="295"/>
        <v>230000</v>
      </c>
      <c r="AR430" s="791">
        <f t="shared" si="296"/>
        <v>366</v>
      </c>
      <c r="AS430" s="791">
        <f t="shared" si="297"/>
        <v>14607</v>
      </c>
      <c r="AT430" s="790">
        <f t="shared" si="298"/>
        <v>87442</v>
      </c>
      <c r="AU430" s="790">
        <f t="shared" si="299"/>
        <v>142558</v>
      </c>
    </row>
    <row r="431" spans="1:47" ht="15" customHeight="1" x14ac:dyDescent="0.25">
      <c r="A431" s="955" t="s">
        <v>1317</v>
      </c>
      <c r="B431" s="843" t="s">
        <v>1334</v>
      </c>
      <c r="C431" s="778">
        <f t="shared" si="263"/>
        <v>6.3333333333333325E-2</v>
      </c>
      <c r="D431" s="881">
        <v>15</v>
      </c>
      <c r="E431" s="779" t="s">
        <v>1182</v>
      </c>
      <c r="F431" s="845">
        <v>43191</v>
      </c>
      <c r="G431" s="956">
        <f t="shared" si="300"/>
        <v>43191</v>
      </c>
      <c r="H431" s="781">
        <f t="shared" si="264"/>
        <v>48666</v>
      </c>
      <c r="I431" s="795">
        <v>226000</v>
      </c>
      <c r="J431" s="783">
        <f t="shared" si="265"/>
        <v>11300</v>
      </c>
      <c r="K431" s="887"/>
      <c r="L431" s="846">
        <v>0</v>
      </c>
      <c r="M431" s="790">
        <f t="shared" si="266"/>
        <v>226000</v>
      </c>
      <c r="N431" s="791">
        <f t="shared" si="267"/>
        <v>365</v>
      </c>
      <c r="O431" s="791">
        <f t="shared" si="268"/>
        <v>14313</v>
      </c>
      <c r="P431" s="790">
        <f t="shared" si="269"/>
        <v>14313</v>
      </c>
      <c r="Q431" s="847">
        <f t="shared" si="270"/>
        <v>211687</v>
      </c>
      <c r="R431" s="914">
        <f t="shared" si="271"/>
        <v>211687</v>
      </c>
      <c r="S431" s="790">
        <f t="shared" si="272"/>
        <v>226000</v>
      </c>
      <c r="T431" s="792">
        <f t="shared" si="273"/>
        <v>366</v>
      </c>
      <c r="U431" s="792">
        <f t="shared" si="274"/>
        <v>14313</v>
      </c>
      <c r="V431" s="790">
        <f t="shared" si="275"/>
        <v>28626</v>
      </c>
      <c r="W431" s="847">
        <f t="shared" si="276"/>
        <v>197374</v>
      </c>
      <c r="X431" s="846">
        <f t="shared" si="277"/>
        <v>197374</v>
      </c>
      <c r="Y431" s="783">
        <f t="shared" si="278"/>
        <v>226000</v>
      </c>
      <c r="Z431" s="783">
        <f t="shared" si="279"/>
        <v>365</v>
      </c>
      <c r="AA431" s="783">
        <f t="shared" si="280"/>
        <v>14313</v>
      </c>
      <c r="AB431" s="783">
        <f t="shared" si="281"/>
        <v>42939</v>
      </c>
      <c r="AC431" s="848">
        <f t="shared" si="282"/>
        <v>183061</v>
      </c>
      <c r="AD431" s="789">
        <f t="shared" si="283"/>
        <v>183061</v>
      </c>
      <c r="AE431" s="790">
        <f t="shared" si="284"/>
        <v>226000</v>
      </c>
      <c r="AF431" s="791">
        <f t="shared" si="285"/>
        <v>365</v>
      </c>
      <c r="AG431" s="791">
        <f t="shared" si="286"/>
        <v>14313</v>
      </c>
      <c r="AH431" s="783">
        <f t="shared" si="287"/>
        <v>57252</v>
      </c>
      <c r="AI431" s="783">
        <f t="shared" si="288"/>
        <v>168748</v>
      </c>
      <c r="AJ431" s="790">
        <f t="shared" si="236"/>
        <v>168748</v>
      </c>
      <c r="AK431" s="790">
        <f t="shared" si="289"/>
        <v>226000</v>
      </c>
      <c r="AL431" s="791">
        <f t="shared" si="290"/>
        <v>365</v>
      </c>
      <c r="AM431" s="791">
        <f t="shared" si="291"/>
        <v>14313</v>
      </c>
      <c r="AN431" s="783">
        <f t="shared" si="292"/>
        <v>71565</v>
      </c>
      <c r="AO431" s="783">
        <f t="shared" si="293"/>
        <v>154435</v>
      </c>
      <c r="AP431" s="790">
        <f t="shared" si="294"/>
        <v>154435</v>
      </c>
      <c r="AQ431" s="790">
        <f t="shared" si="295"/>
        <v>226000</v>
      </c>
      <c r="AR431" s="791">
        <f t="shared" si="296"/>
        <v>366</v>
      </c>
      <c r="AS431" s="791">
        <f t="shared" si="297"/>
        <v>14353</v>
      </c>
      <c r="AT431" s="790">
        <f t="shared" si="298"/>
        <v>85918</v>
      </c>
      <c r="AU431" s="790">
        <f t="shared" si="299"/>
        <v>140082</v>
      </c>
    </row>
    <row r="432" spans="1:47" ht="15" customHeight="1" x14ac:dyDescent="0.25">
      <c r="A432" s="955" t="s">
        <v>1317</v>
      </c>
      <c r="B432" s="843" t="s">
        <v>1335</v>
      </c>
      <c r="C432" s="778">
        <f t="shared" si="263"/>
        <v>6.3333333333333325E-2</v>
      </c>
      <c r="D432" s="881">
        <v>15</v>
      </c>
      <c r="E432" s="779" t="s">
        <v>1182</v>
      </c>
      <c r="F432" s="845">
        <v>43191</v>
      </c>
      <c r="G432" s="956">
        <f t="shared" si="300"/>
        <v>43191</v>
      </c>
      <c r="H432" s="781">
        <f t="shared" si="264"/>
        <v>48666</v>
      </c>
      <c r="I432" s="795">
        <v>471132</v>
      </c>
      <c r="J432" s="783">
        <f t="shared" si="265"/>
        <v>23556.600000000002</v>
      </c>
      <c r="K432" s="887"/>
      <c r="L432" s="846">
        <v>0</v>
      </c>
      <c r="M432" s="790">
        <f t="shared" si="266"/>
        <v>471132</v>
      </c>
      <c r="N432" s="791">
        <f t="shared" si="267"/>
        <v>365</v>
      </c>
      <c r="O432" s="791">
        <f t="shared" si="268"/>
        <v>29838</v>
      </c>
      <c r="P432" s="790">
        <f t="shared" si="269"/>
        <v>29838</v>
      </c>
      <c r="Q432" s="847">
        <f t="shared" si="270"/>
        <v>441294</v>
      </c>
      <c r="R432" s="914">
        <f t="shared" si="271"/>
        <v>441294</v>
      </c>
      <c r="S432" s="790">
        <f t="shared" si="272"/>
        <v>471132</v>
      </c>
      <c r="T432" s="792">
        <f t="shared" si="273"/>
        <v>366</v>
      </c>
      <c r="U432" s="792">
        <f t="shared" si="274"/>
        <v>29838</v>
      </c>
      <c r="V432" s="790">
        <f t="shared" si="275"/>
        <v>59676</v>
      </c>
      <c r="W432" s="847">
        <f t="shared" si="276"/>
        <v>411456</v>
      </c>
      <c r="X432" s="846">
        <f t="shared" si="277"/>
        <v>411456</v>
      </c>
      <c r="Y432" s="783">
        <f t="shared" si="278"/>
        <v>471132</v>
      </c>
      <c r="Z432" s="783">
        <f t="shared" si="279"/>
        <v>365</v>
      </c>
      <c r="AA432" s="783">
        <f t="shared" si="280"/>
        <v>29838</v>
      </c>
      <c r="AB432" s="783">
        <f t="shared" si="281"/>
        <v>89514</v>
      </c>
      <c r="AC432" s="848">
        <f t="shared" si="282"/>
        <v>381618</v>
      </c>
      <c r="AD432" s="789">
        <f t="shared" si="283"/>
        <v>381618</v>
      </c>
      <c r="AE432" s="790">
        <f t="shared" si="284"/>
        <v>471132</v>
      </c>
      <c r="AF432" s="791">
        <f t="shared" si="285"/>
        <v>365</v>
      </c>
      <c r="AG432" s="791">
        <f t="shared" si="286"/>
        <v>29838</v>
      </c>
      <c r="AH432" s="783">
        <f t="shared" si="287"/>
        <v>119352</v>
      </c>
      <c r="AI432" s="783">
        <f t="shared" si="288"/>
        <v>351780</v>
      </c>
      <c r="AJ432" s="790">
        <f t="shared" si="236"/>
        <v>351780</v>
      </c>
      <c r="AK432" s="790">
        <f t="shared" si="289"/>
        <v>471132</v>
      </c>
      <c r="AL432" s="791">
        <f t="shared" si="290"/>
        <v>365</v>
      </c>
      <c r="AM432" s="791">
        <f t="shared" si="291"/>
        <v>29838</v>
      </c>
      <c r="AN432" s="783">
        <f t="shared" si="292"/>
        <v>149190</v>
      </c>
      <c r="AO432" s="783">
        <f t="shared" si="293"/>
        <v>321942</v>
      </c>
      <c r="AP432" s="790">
        <f t="shared" si="294"/>
        <v>321942</v>
      </c>
      <c r="AQ432" s="790">
        <f t="shared" si="295"/>
        <v>471132</v>
      </c>
      <c r="AR432" s="791">
        <f t="shared" si="296"/>
        <v>366</v>
      </c>
      <c r="AS432" s="791">
        <f t="shared" si="297"/>
        <v>29920</v>
      </c>
      <c r="AT432" s="790">
        <f t="shared" si="298"/>
        <v>179110</v>
      </c>
      <c r="AU432" s="790">
        <f t="shared" si="299"/>
        <v>292022</v>
      </c>
    </row>
    <row r="433" spans="1:47" ht="15" customHeight="1" x14ac:dyDescent="0.25">
      <c r="A433" s="955" t="s">
        <v>1317</v>
      </c>
      <c r="B433" s="843" t="s">
        <v>1336</v>
      </c>
      <c r="C433" s="778">
        <f t="shared" si="263"/>
        <v>6.3333333333333325E-2</v>
      </c>
      <c r="D433" s="881">
        <v>15</v>
      </c>
      <c r="E433" s="779" t="s">
        <v>1182</v>
      </c>
      <c r="F433" s="845">
        <v>43191</v>
      </c>
      <c r="G433" s="956">
        <f t="shared" si="300"/>
        <v>43191</v>
      </c>
      <c r="H433" s="781">
        <f t="shared" si="264"/>
        <v>48666</v>
      </c>
      <c r="I433" s="795">
        <v>216420.86</v>
      </c>
      <c r="J433" s="783">
        <f t="shared" si="265"/>
        <v>10821.043</v>
      </c>
      <c r="K433" s="887"/>
      <c r="L433" s="846">
        <v>0</v>
      </c>
      <c r="M433" s="790">
        <f t="shared" si="266"/>
        <v>216420.86</v>
      </c>
      <c r="N433" s="791">
        <f t="shared" si="267"/>
        <v>365</v>
      </c>
      <c r="O433" s="791">
        <f t="shared" si="268"/>
        <v>13707</v>
      </c>
      <c r="P433" s="790">
        <f t="shared" si="269"/>
        <v>13707</v>
      </c>
      <c r="Q433" s="847">
        <f t="shared" si="270"/>
        <v>202713.86</v>
      </c>
      <c r="R433" s="914">
        <f t="shared" si="271"/>
        <v>202713.86</v>
      </c>
      <c r="S433" s="790">
        <f t="shared" si="272"/>
        <v>216420.86</v>
      </c>
      <c r="T433" s="792">
        <f t="shared" si="273"/>
        <v>366</v>
      </c>
      <c r="U433" s="792">
        <f t="shared" si="274"/>
        <v>13707</v>
      </c>
      <c r="V433" s="790">
        <f t="shared" si="275"/>
        <v>27414</v>
      </c>
      <c r="W433" s="847">
        <f t="shared" si="276"/>
        <v>189006.86</v>
      </c>
      <c r="X433" s="846">
        <f t="shared" si="277"/>
        <v>189006.86</v>
      </c>
      <c r="Y433" s="783">
        <f t="shared" si="278"/>
        <v>216420.86</v>
      </c>
      <c r="Z433" s="783">
        <f t="shared" si="279"/>
        <v>365</v>
      </c>
      <c r="AA433" s="783">
        <f t="shared" si="280"/>
        <v>13707</v>
      </c>
      <c r="AB433" s="783">
        <f t="shared" si="281"/>
        <v>41121</v>
      </c>
      <c r="AC433" s="848">
        <f t="shared" si="282"/>
        <v>175299.86</v>
      </c>
      <c r="AD433" s="789">
        <f t="shared" si="283"/>
        <v>175299.86</v>
      </c>
      <c r="AE433" s="790">
        <f t="shared" si="284"/>
        <v>216420.86</v>
      </c>
      <c r="AF433" s="791">
        <f t="shared" si="285"/>
        <v>365</v>
      </c>
      <c r="AG433" s="791">
        <f t="shared" si="286"/>
        <v>13707</v>
      </c>
      <c r="AH433" s="783">
        <f t="shared" si="287"/>
        <v>54828</v>
      </c>
      <c r="AI433" s="783">
        <f t="shared" si="288"/>
        <v>161592.85999999999</v>
      </c>
      <c r="AJ433" s="790">
        <f t="shared" si="236"/>
        <v>161592.85999999999</v>
      </c>
      <c r="AK433" s="790">
        <f t="shared" si="289"/>
        <v>216420.86</v>
      </c>
      <c r="AL433" s="791">
        <f t="shared" si="290"/>
        <v>365</v>
      </c>
      <c r="AM433" s="791">
        <f t="shared" si="291"/>
        <v>13707</v>
      </c>
      <c r="AN433" s="783">
        <f t="shared" si="292"/>
        <v>68535</v>
      </c>
      <c r="AO433" s="783">
        <f t="shared" si="293"/>
        <v>147885.85999999999</v>
      </c>
      <c r="AP433" s="790">
        <f t="shared" si="294"/>
        <v>147885.85999999999</v>
      </c>
      <c r="AQ433" s="790">
        <f t="shared" si="295"/>
        <v>216420.86</v>
      </c>
      <c r="AR433" s="791">
        <f t="shared" si="296"/>
        <v>366</v>
      </c>
      <c r="AS433" s="791">
        <f t="shared" si="297"/>
        <v>13744</v>
      </c>
      <c r="AT433" s="790">
        <f t="shared" si="298"/>
        <v>82279</v>
      </c>
      <c r="AU433" s="790">
        <f t="shared" si="299"/>
        <v>134141.85999999999</v>
      </c>
    </row>
    <row r="434" spans="1:47" ht="15" customHeight="1" x14ac:dyDescent="0.25">
      <c r="A434" s="955" t="s">
        <v>1317</v>
      </c>
      <c r="B434" s="843" t="s">
        <v>1337</v>
      </c>
      <c r="C434" s="778">
        <f t="shared" si="263"/>
        <v>6.3333333333333325E-2</v>
      </c>
      <c r="D434" s="881">
        <v>15</v>
      </c>
      <c r="E434" s="779" t="s">
        <v>1182</v>
      </c>
      <c r="F434" s="845">
        <v>43191</v>
      </c>
      <c r="G434" s="956">
        <f t="shared" si="300"/>
        <v>43191</v>
      </c>
      <c r="H434" s="781">
        <f t="shared" si="264"/>
        <v>48666</v>
      </c>
      <c r="I434" s="795">
        <v>698000</v>
      </c>
      <c r="J434" s="783">
        <f t="shared" si="265"/>
        <v>34900</v>
      </c>
      <c r="K434" s="887"/>
      <c r="L434" s="846">
        <v>0</v>
      </c>
      <c r="M434" s="790">
        <f t="shared" si="266"/>
        <v>698000</v>
      </c>
      <c r="N434" s="791">
        <f t="shared" si="267"/>
        <v>365</v>
      </c>
      <c r="O434" s="791">
        <f t="shared" si="268"/>
        <v>44207</v>
      </c>
      <c r="P434" s="790">
        <f t="shared" si="269"/>
        <v>44207</v>
      </c>
      <c r="Q434" s="847">
        <f t="shared" si="270"/>
        <v>653793</v>
      </c>
      <c r="R434" s="914">
        <f t="shared" si="271"/>
        <v>653793</v>
      </c>
      <c r="S434" s="790">
        <f t="shared" si="272"/>
        <v>698000</v>
      </c>
      <c r="T434" s="792">
        <f t="shared" si="273"/>
        <v>366</v>
      </c>
      <c r="U434" s="792">
        <f t="shared" si="274"/>
        <v>44207</v>
      </c>
      <c r="V434" s="790">
        <f t="shared" si="275"/>
        <v>88414</v>
      </c>
      <c r="W434" s="847">
        <f t="shared" si="276"/>
        <v>609586</v>
      </c>
      <c r="X434" s="846">
        <f t="shared" si="277"/>
        <v>609586</v>
      </c>
      <c r="Y434" s="783">
        <f t="shared" si="278"/>
        <v>698000</v>
      </c>
      <c r="Z434" s="783">
        <f t="shared" si="279"/>
        <v>365</v>
      </c>
      <c r="AA434" s="783">
        <f t="shared" si="280"/>
        <v>44207</v>
      </c>
      <c r="AB434" s="783">
        <f t="shared" si="281"/>
        <v>132621</v>
      </c>
      <c r="AC434" s="848">
        <f t="shared" si="282"/>
        <v>565379</v>
      </c>
      <c r="AD434" s="789">
        <f t="shared" si="283"/>
        <v>565379</v>
      </c>
      <c r="AE434" s="790">
        <f t="shared" si="284"/>
        <v>698000</v>
      </c>
      <c r="AF434" s="791">
        <f t="shared" si="285"/>
        <v>365</v>
      </c>
      <c r="AG434" s="791">
        <f t="shared" si="286"/>
        <v>44207</v>
      </c>
      <c r="AH434" s="783">
        <f t="shared" si="287"/>
        <v>176828</v>
      </c>
      <c r="AI434" s="783">
        <f t="shared" si="288"/>
        <v>521172</v>
      </c>
      <c r="AJ434" s="790">
        <f t="shared" si="236"/>
        <v>521172</v>
      </c>
      <c r="AK434" s="790">
        <f t="shared" si="289"/>
        <v>698000</v>
      </c>
      <c r="AL434" s="791">
        <f t="shared" si="290"/>
        <v>365</v>
      </c>
      <c r="AM434" s="791">
        <f t="shared" si="291"/>
        <v>44207</v>
      </c>
      <c r="AN434" s="783">
        <f t="shared" si="292"/>
        <v>221035</v>
      </c>
      <c r="AO434" s="783">
        <f t="shared" si="293"/>
        <v>476965</v>
      </c>
      <c r="AP434" s="790">
        <f t="shared" si="294"/>
        <v>476965</v>
      </c>
      <c r="AQ434" s="790">
        <f t="shared" si="295"/>
        <v>698000</v>
      </c>
      <c r="AR434" s="791">
        <f t="shared" si="296"/>
        <v>366</v>
      </c>
      <c r="AS434" s="791">
        <f t="shared" si="297"/>
        <v>44328</v>
      </c>
      <c r="AT434" s="790">
        <f t="shared" si="298"/>
        <v>265363</v>
      </c>
      <c r="AU434" s="790">
        <f t="shared" si="299"/>
        <v>432637</v>
      </c>
    </row>
    <row r="435" spans="1:47" ht="15" customHeight="1" x14ac:dyDescent="0.25">
      <c r="A435" s="955" t="s">
        <v>1317</v>
      </c>
      <c r="B435" s="843" t="s">
        <v>1338</v>
      </c>
      <c r="C435" s="778">
        <f t="shared" si="263"/>
        <v>6.3333333333333325E-2</v>
      </c>
      <c r="D435" s="881">
        <v>15</v>
      </c>
      <c r="E435" s="779" t="s">
        <v>1182</v>
      </c>
      <c r="F435" s="845">
        <v>43191</v>
      </c>
      <c r="G435" s="956">
        <f t="shared" si="300"/>
        <v>43191</v>
      </c>
      <c r="H435" s="781">
        <f t="shared" si="264"/>
        <v>48666</v>
      </c>
      <c r="I435" s="795">
        <v>311865</v>
      </c>
      <c r="J435" s="783">
        <f t="shared" si="265"/>
        <v>15593.25</v>
      </c>
      <c r="K435" s="887"/>
      <c r="L435" s="846">
        <v>0</v>
      </c>
      <c r="M435" s="790">
        <f t="shared" si="266"/>
        <v>311865</v>
      </c>
      <c r="N435" s="791">
        <f t="shared" si="267"/>
        <v>365</v>
      </c>
      <c r="O435" s="791">
        <f t="shared" si="268"/>
        <v>19751</v>
      </c>
      <c r="P435" s="790">
        <f t="shared" si="269"/>
        <v>19751</v>
      </c>
      <c r="Q435" s="847">
        <f t="shared" si="270"/>
        <v>292114</v>
      </c>
      <c r="R435" s="914">
        <f t="shared" si="271"/>
        <v>292114</v>
      </c>
      <c r="S435" s="790">
        <f t="shared" si="272"/>
        <v>311865</v>
      </c>
      <c r="T435" s="792">
        <f t="shared" si="273"/>
        <v>366</v>
      </c>
      <c r="U435" s="792">
        <f t="shared" si="274"/>
        <v>19751</v>
      </c>
      <c r="V435" s="790">
        <f t="shared" si="275"/>
        <v>39502</v>
      </c>
      <c r="W435" s="847">
        <f t="shared" si="276"/>
        <v>272363</v>
      </c>
      <c r="X435" s="846">
        <f t="shared" si="277"/>
        <v>272363</v>
      </c>
      <c r="Y435" s="783">
        <f t="shared" si="278"/>
        <v>311865</v>
      </c>
      <c r="Z435" s="783">
        <f t="shared" si="279"/>
        <v>365</v>
      </c>
      <c r="AA435" s="783">
        <f t="shared" si="280"/>
        <v>19751</v>
      </c>
      <c r="AB435" s="783">
        <f t="shared" si="281"/>
        <v>59253</v>
      </c>
      <c r="AC435" s="848">
        <f t="shared" si="282"/>
        <v>252612</v>
      </c>
      <c r="AD435" s="789">
        <f t="shared" si="283"/>
        <v>252612</v>
      </c>
      <c r="AE435" s="790">
        <f t="shared" si="284"/>
        <v>311865</v>
      </c>
      <c r="AF435" s="791">
        <f t="shared" si="285"/>
        <v>365</v>
      </c>
      <c r="AG435" s="791">
        <f t="shared" si="286"/>
        <v>19751</v>
      </c>
      <c r="AH435" s="783">
        <f t="shared" si="287"/>
        <v>79004</v>
      </c>
      <c r="AI435" s="783">
        <f t="shared" si="288"/>
        <v>232861</v>
      </c>
      <c r="AJ435" s="790">
        <f t="shared" si="236"/>
        <v>232861</v>
      </c>
      <c r="AK435" s="790">
        <f t="shared" si="289"/>
        <v>311865</v>
      </c>
      <c r="AL435" s="791">
        <f t="shared" si="290"/>
        <v>365</v>
      </c>
      <c r="AM435" s="791">
        <f t="shared" si="291"/>
        <v>19751</v>
      </c>
      <c r="AN435" s="783">
        <f t="shared" si="292"/>
        <v>98755</v>
      </c>
      <c r="AO435" s="783">
        <f t="shared" si="293"/>
        <v>213110</v>
      </c>
      <c r="AP435" s="790">
        <f t="shared" si="294"/>
        <v>213110</v>
      </c>
      <c r="AQ435" s="790">
        <f t="shared" si="295"/>
        <v>311865</v>
      </c>
      <c r="AR435" s="791">
        <f t="shared" si="296"/>
        <v>366</v>
      </c>
      <c r="AS435" s="791">
        <f t="shared" si="297"/>
        <v>19806</v>
      </c>
      <c r="AT435" s="790">
        <f t="shared" si="298"/>
        <v>118561</v>
      </c>
      <c r="AU435" s="790">
        <f t="shared" si="299"/>
        <v>193304</v>
      </c>
    </row>
    <row r="436" spans="1:47" ht="15" customHeight="1" x14ac:dyDescent="0.25">
      <c r="A436" s="955" t="s">
        <v>1317</v>
      </c>
      <c r="B436" s="915" t="s">
        <v>1339</v>
      </c>
      <c r="C436" s="778">
        <f t="shared" si="263"/>
        <v>6.3333333333333325E-2</v>
      </c>
      <c r="D436" s="881">
        <v>15</v>
      </c>
      <c r="E436" s="779" t="s">
        <v>1182</v>
      </c>
      <c r="F436" s="845">
        <v>43191</v>
      </c>
      <c r="G436" s="956">
        <f t="shared" si="300"/>
        <v>43191</v>
      </c>
      <c r="H436" s="781">
        <f t="shared" si="264"/>
        <v>48666</v>
      </c>
      <c r="I436" s="795">
        <v>240750</v>
      </c>
      <c r="J436" s="783">
        <f t="shared" si="265"/>
        <v>12037.5</v>
      </c>
      <c r="K436" s="887"/>
      <c r="L436" s="846">
        <v>0</v>
      </c>
      <c r="M436" s="790">
        <f t="shared" si="266"/>
        <v>240750</v>
      </c>
      <c r="N436" s="791">
        <f t="shared" si="267"/>
        <v>365</v>
      </c>
      <c r="O436" s="791">
        <f t="shared" si="268"/>
        <v>15248</v>
      </c>
      <c r="P436" s="790">
        <f t="shared" si="269"/>
        <v>15248</v>
      </c>
      <c r="Q436" s="847">
        <f t="shared" si="270"/>
        <v>225502</v>
      </c>
      <c r="R436" s="914">
        <f t="shared" si="271"/>
        <v>225502</v>
      </c>
      <c r="S436" s="790">
        <f t="shared" si="272"/>
        <v>240750</v>
      </c>
      <c r="T436" s="792">
        <f t="shared" si="273"/>
        <v>366</v>
      </c>
      <c r="U436" s="792">
        <f t="shared" si="274"/>
        <v>15248</v>
      </c>
      <c r="V436" s="790">
        <f t="shared" si="275"/>
        <v>30496</v>
      </c>
      <c r="W436" s="847">
        <f t="shared" si="276"/>
        <v>210254</v>
      </c>
      <c r="X436" s="846">
        <f t="shared" si="277"/>
        <v>210254</v>
      </c>
      <c r="Y436" s="783">
        <f t="shared" si="278"/>
        <v>240750</v>
      </c>
      <c r="Z436" s="783">
        <f t="shared" si="279"/>
        <v>365</v>
      </c>
      <c r="AA436" s="783">
        <f t="shared" si="280"/>
        <v>15248</v>
      </c>
      <c r="AB436" s="783">
        <f t="shared" si="281"/>
        <v>45744</v>
      </c>
      <c r="AC436" s="848">
        <f t="shared" si="282"/>
        <v>195006</v>
      </c>
      <c r="AD436" s="789">
        <f t="shared" si="283"/>
        <v>195006</v>
      </c>
      <c r="AE436" s="790">
        <f t="shared" si="284"/>
        <v>240750</v>
      </c>
      <c r="AF436" s="791">
        <f t="shared" si="285"/>
        <v>365</v>
      </c>
      <c r="AG436" s="791">
        <f t="shared" si="286"/>
        <v>15248</v>
      </c>
      <c r="AH436" s="783">
        <f t="shared" si="287"/>
        <v>60992</v>
      </c>
      <c r="AI436" s="783">
        <f t="shared" si="288"/>
        <v>179758</v>
      </c>
      <c r="AJ436" s="790">
        <f t="shared" si="236"/>
        <v>179758</v>
      </c>
      <c r="AK436" s="790">
        <f t="shared" si="289"/>
        <v>240750</v>
      </c>
      <c r="AL436" s="791">
        <f t="shared" si="290"/>
        <v>365</v>
      </c>
      <c r="AM436" s="791">
        <f t="shared" si="291"/>
        <v>15248</v>
      </c>
      <c r="AN436" s="783">
        <f t="shared" si="292"/>
        <v>76240</v>
      </c>
      <c r="AO436" s="783">
        <f t="shared" si="293"/>
        <v>164510</v>
      </c>
      <c r="AP436" s="790">
        <f t="shared" si="294"/>
        <v>164510</v>
      </c>
      <c r="AQ436" s="790">
        <f t="shared" si="295"/>
        <v>240750</v>
      </c>
      <c r="AR436" s="791">
        <f t="shared" si="296"/>
        <v>366</v>
      </c>
      <c r="AS436" s="791">
        <f t="shared" si="297"/>
        <v>15289</v>
      </c>
      <c r="AT436" s="790">
        <f t="shared" si="298"/>
        <v>91529</v>
      </c>
      <c r="AU436" s="790">
        <f t="shared" si="299"/>
        <v>149221</v>
      </c>
    </row>
    <row r="437" spans="1:47" ht="15" customHeight="1" x14ac:dyDescent="0.25">
      <c r="A437" s="955" t="s">
        <v>1317</v>
      </c>
      <c r="B437" s="843" t="s">
        <v>1340</v>
      </c>
      <c r="C437" s="778">
        <f t="shared" si="263"/>
        <v>6.3333333333333325E-2</v>
      </c>
      <c r="D437" s="881">
        <v>15</v>
      </c>
      <c r="E437" s="779" t="s">
        <v>1182</v>
      </c>
      <c r="F437" s="845">
        <v>43191</v>
      </c>
      <c r="G437" s="956">
        <f t="shared" si="300"/>
        <v>43191</v>
      </c>
      <c r="H437" s="781">
        <f t="shared" si="264"/>
        <v>48666</v>
      </c>
      <c r="I437" s="795">
        <v>500000</v>
      </c>
      <c r="J437" s="783">
        <f t="shared" si="265"/>
        <v>25000</v>
      </c>
      <c r="K437" s="887"/>
      <c r="L437" s="846">
        <v>0</v>
      </c>
      <c r="M437" s="790">
        <f t="shared" si="266"/>
        <v>500000</v>
      </c>
      <c r="N437" s="791">
        <f t="shared" si="267"/>
        <v>365</v>
      </c>
      <c r="O437" s="791">
        <f t="shared" si="268"/>
        <v>31667</v>
      </c>
      <c r="P437" s="790">
        <f t="shared" si="269"/>
        <v>31667</v>
      </c>
      <c r="Q437" s="847">
        <f t="shared" si="270"/>
        <v>468333</v>
      </c>
      <c r="R437" s="914">
        <f t="shared" si="271"/>
        <v>468333</v>
      </c>
      <c r="S437" s="790">
        <f t="shared" si="272"/>
        <v>500000</v>
      </c>
      <c r="T437" s="792">
        <f t="shared" si="273"/>
        <v>366</v>
      </c>
      <c r="U437" s="792">
        <f t="shared" si="274"/>
        <v>31667</v>
      </c>
      <c r="V437" s="790">
        <f t="shared" si="275"/>
        <v>63334</v>
      </c>
      <c r="W437" s="847">
        <f t="shared" si="276"/>
        <v>436666</v>
      </c>
      <c r="X437" s="846">
        <f t="shared" si="277"/>
        <v>436666</v>
      </c>
      <c r="Y437" s="783">
        <f t="shared" si="278"/>
        <v>500000</v>
      </c>
      <c r="Z437" s="783">
        <f t="shared" si="279"/>
        <v>365</v>
      </c>
      <c r="AA437" s="783">
        <f t="shared" si="280"/>
        <v>31667</v>
      </c>
      <c r="AB437" s="783">
        <f t="shared" si="281"/>
        <v>95001</v>
      </c>
      <c r="AC437" s="848">
        <f t="shared" si="282"/>
        <v>404999</v>
      </c>
      <c r="AD437" s="789">
        <f t="shared" si="283"/>
        <v>404999</v>
      </c>
      <c r="AE437" s="790">
        <f t="shared" si="284"/>
        <v>500000</v>
      </c>
      <c r="AF437" s="791">
        <f t="shared" si="285"/>
        <v>365</v>
      </c>
      <c r="AG437" s="791">
        <f t="shared" si="286"/>
        <v>31667</v>
      </c>
      <c r="AH437" s="783">
        <f t="shared" si="287"/>
        <v>126668</v>
      </c>
      <c r="AI437" s="783">
        <f t="shared" si="288"/>
        <v>373332</v>
      </c>
      <c r="AJ437" s="790">
        <f t="shared" ref="AJ437:AJ485" si="301">AI437</f>
        <v>373332</v>
      </c>
      <c r="AK437" s="790">
        <f t="shared" si="289"/>
        <v>500000</v>
      </c>
      <c r="AL437" s="791">
        <f t="shared" si="290"/>
        <v>365</v>
      </c>
      <c r="AM437" s="791">
        <f t="shared" si="291"/>
        <v>31667</v>
      </c>
      <c r="AN437" s="783">
        <f t="shared" si="292"/>
        <v>158335</v>
      </c>
      <c r="AO437" s="783">
        <f t="shared" si="293"/>
        <v>341665</v>
      </c>
      <c r="AP437" s="790">
        <f t="shared" si="294"/>
        <v>341665</v>
      </c>
      <c r="AQ437" s="790">
        <f t="shared" si="295"/>
        <v>500000</v>
      </c>
      <c r="AR437" s="791">
        <f t="shared" si="296"/>
        <v>366</v>
      </c>
      <c r="AS437" s="791">
        <f t="shared" si="297"/>
        <v>31753</v>
      </c>
      <c r="AT437" s="790">
        <f t="shared" si="298"/>
        <v>190088</v>
      </c>
      <c r="AU437" s="790">
        <f t="shared" si="299"/>
        <v>309912</v>
      </c>
    </row>
    <row r="438" spans="1:47" ht="15" customHeight="1" x14ac:dyDescent="0.25">
      <c r="A438" s="955" t="s">
        <v>1317</v>
      </c>
      <c r="B438" s="843" t="s">
        <v>1341</v>
      </c>
      <c r="C438" s="778">
        <f t="shared" si="263"/>
        <v>6.3333333333333325E-2</v>
      </c>
      <c r="D438" s="881">
        <v>15</v>
      </c>
      <c r="E438" s="779" t="s">
        <v>1182</v>
      </c>
      <c r="F438" s="845">
        <v>43191</v>
      </c>
      <c r="G438" s="956">
        <f t="shared" si="300"/>
        <v>43191</v>
      </c>
      <c r="H438" s="781">
        <f t="shared" si="264"/>
        <v>48666</v>
      </c>
      <c r="I438" s="795">
        <v>133482.14000000001</v>
      </c>
      <c r="J438" s="783">
        <f t="shared" si="265"/>
        <v>6674.1070000000009</v>
      </c>
      <c r="K438" s="887"/>
      <c r="L438" s="846">
        <v>0</v>
      </c>
      <c r="M438" s="790">
        <f t="shared" si="266"/>
        <v>133482.14000000001</v>
      </c>
      <c r="N438" s="791">
        <f t="shared" si="267"/>
        <v>365</v>
      </c>
      <c r="O438" s="791">
        <f t="shared" si="268"/>
        <v>8454</v>
      </c>
      <c r="P438" s="790">
        <f t="shared" si="269"/>
        <v>8454</v>
      </c>
      <c r="Q438" s="847">
        <f t="shared" si="270"/>
        <v>125028.14000000001</v>
      </c>
      <c r="R438" s="914">
        <f t="shared" si="271"/>
        <v>125028.14000000001</v>
      </c>
      <c r="S438" s="790">
        <f t="shared" si="272"/>
        <v>133482.14000000001</v>
      </c>
      <c r="T438" s="792">
        <f t="shared" si="273"/>
        <v>366</v>
      </c>
      <c r="U438" s="792">
        <f t="shared" si="274"/>
        <v>8454</v>
      </c>
      <c r="V438" s="790">
        <f t="shared" si="275"/>
        <v>16908</v>
      </c>
      <c r="W438" s="847">
        <f t="shared" si="276"/>
        <v>116574.14000000001</v>
      </c>
      <c r="X438" s="846">
        <f t="shared" si="277"/>
        <v>116574.14000000001</v>
      </c>
      <c r="Y438" s="783">
        <f t="shared" si="278"/>
        <v>133482.14000000001</v>
      </c>
      <c r="Z438" s="783">
        <f t="shared" si="279"/>
        <v>365</v>
      </c>
      <c r="AA438" s="783">
        <f t="shared" si="280"/>
        <v>8454</v>
      </c>
      <c r="AB438" s="783">
        <f t="shared" si="281"/>
        <v>25362</v>
      </c>
      <c r="AC438" s="848">
        <f t="shared" si="282"/>
        <v>108120.14000000001</v>
      </c>
      <c r="AD438" s="789">
        <f t="shared" si="283"/>
        <v>108120.14000000001</v>
      </c>
      <c r="AE438" s="790">
        <f t="shared" si="284"/>
        <v>133482.14000000001</v>
      </c>
      <c r="AF438" s="791">
        <f t="shared" si="285"/>
        <v>365</v>
      </c>
      <c r="AG438" s="791">
        <f t="shared" si="286"/>
        <v>8454</v>
      </c>
      <c r="AH438" s="783">
        <f t="shared" si="287"/>
        <v>33816</v>
      </c>
      <c r="AI438" s="783">
        <f t="shared" si="288"/>
        <v>99666.140000000014</v>
      </c>
      <c r="AJ438" s="790">
        <f t="shared" si="301"/>
        <v>99666.140000000014</v>
      </c>
      <c r="AK438" s="790">
        <f t="shared" si="289"/>
        <v>133482.14000000001</v>
      </c>
      <c r="AL438" s="791">
        <f t="shared" si="290"/>
        <v>365</v>
      </c>
      <c r="AM438" s="791">
        <f t="shared" si="291"/>
        <v>8454</v>
      </c>
      <c r="AN438" s="783">
        <f t="shared" si="292"/>
        <v>42270</v>
      </c>
      <c r="AO438" s="783">
        <f t="shared" si="293"/>
        <v>91212.140000000014</v>
      </c>
      <c r="AP438" s="790">
        <f t="shared" si="294"/>
        <v>91212.140000000014</v>
      </c>
      <c r="AQ438" s="790">
        <f t="shared" si="295"/>
        <v>133482.14000000001</v>
      </c>
      <c r="AR438" s="791">
        <f t="shared" si="296"/>
        <v>366</v>
      </c>
      <c r="AS438" s="791">
        <f t="shared" si="297"/>
        <v>8477</v>
      </c>
      <c r="AT438" s="790">
        <f t="shared" si="298"/>
        <v>50747</v>
      </c>
      <c r="AU438" s="790">
        <f t="shared" si="299"/>
        <v>82735.140000000014</v>
      </c>
    </row>
    <row r="439" spans="1:47" ht="15" customHeight="1" x14ac:dyDescent="0.25">
      <c r="A439" s="955" t="s">
        <v>1317</v>
      </c>
      <c r="B439" s="915" t="s">
        <v>1342</v>
      </c>
      <c r="C439" s="778">
        <f t="shared" si="263"/>
        <v>6.3333333333333325E-2</v>
      </c>
      <c r="D439" s="881">
        <v>15</v>
      </c>
      <c r="E439" s="779" t="s">
        <v>1182</v>
      </c>
      <c r="F439" s="845">
        <v>43191</v>
      </c>
      <c r="G439" s="956">
        <f t="shared" si="300"/>
        <v>43191</v>
      </c>
      <c r="H439" s="781">
        <f t="shared" si="264"/>
        <v>48666</v>
      </c>
      <c r="I439" s="795">
        <v>169644</v>
      </c>
      <c r="J439" s="783">
        <f t="shared" si="265"/>
        <v>8482.2000000000007</v>
      </c>
      <c r="K439" s="887"/>
      <c r="L439" s="846">
        <v>0</v>
      </c>
      <c r="M439" s="790">
        <f t="shared" si="266"/>
        <v>169644</v>
      </c>
      <c r="N439" s="791">
        <f t="shared" si="267"/>
        <v>365</v>
      </c>
      <c r="O439" s="791">
        <f t="shared" si="268"/>
        <v>10744</v>
      </c>
      <c r="P439" s="790">
        <f t="shared" si="269"/>
        <v>10744</v>
      </c>
      <c r="Q439" s="847">
        <f t="shared" si="270"/>
        <v>158900</v>
      </c>
      <c r="R439" s="914">
        <f t="shared" si="271"/>
        <v>158900</v>
      </c>
      <c r="S439" s="790">
        <f t="shared" si="272"/>
        <v>169644</v>
      </c>
      <c r="T439" s="792">
        <f t="shared" si="273"/>
        <v>366</v>
      </c>
      <c r="U439" s="792">
        <f t="shared" si="274"/>
        <v>10744</v>
      </c>
      <c r="V439" s="790">
        <f t="shared" si="275"/>
        <v>21488</v>
      </c>
      <c r="W439" s="847">
        <f t="shared" si="276"/>
        <v>148156</v>
      </c>
      <c r="X439" s="846">
        <f t="shared" si="277"/>
        <v>148156</v>
      </c>
      <c r="Y439" s="783">
        <f t="shared" si="278"/>
        <v>169644</v>
      </c>
      <c r="Z439" s="783">
        <f t="shared" si="279"/>
        <v>365</v>
      </c>
      <c r="AA439" s="783">
        <f t="shared" si="280"/>
        <v>10744</v>
      </c>
      <c r="AB439" s="783">
        <f t="shared" si="281"/>
        <v>32232</v>
      </c>
      <c r="AC439" s="848">
        <f t="shared" si="282"/>
        <v>137412</v>
      </c>
      <c r="AD439" s="789">
        <f t="shared" si="283"/>
        <v>137412</v>
      </c>
      <c r="AE439" s="790">
        <f t="shared" si="284"/>
        <v>169644</v>
      </c>
      <c r="AF439" s="791">
        <f t="shared" si="285"/>
        <v>365</v>
      </c>
      <c r="AG439" s="791">
        <f t="shared" si="286"/>
        <v>10744</v>
      </c>
      <c r="AH439" s="783">
        <f t="shared" si="287"/>
        <v>42976</v>
      </c>
      <c r="AI439" s="783">
        <f t="shared" si="288"/>
        <v>126668</v>
      </c>
      <c r="AJ439" s="790">
        <f t="shared" si="301"/>
        <v>126668</v>
      </c>
      <c r="AK439" s="790">
        <f t="shared" si="289"/>
        <v>169644</v>
      </c>
      <c r="AL439" s="791">
        <f t="shared" si="290"/>
        <v>365</v>
      </c>
      <c r="AM439" s="791">
        <f t="shared" si="291"/>
        <v>10744</v>
      </c>
      <c r="AN439" s="783">
        <f t="shared" si="292"/>
        <v>53720</v>
      </c>
      <c r="AO439" s="783">
        <f t="shared" si="293"/>
        <v>115924</v>
      </c>
      <c r="AP439" s="790">
        <f t="shared" si="294"/>
        <v>115924</v>
      </c>
      <c r="AQ439" s="790">
        <f t="shared" si="295"/>
        <v>169644</v>
      </c>
      <c r="AR439" s="791">
        <f t="shared" si="296"/>
        <v>366</v>
      </c>
      <c r="AS439" s="791">
        <f t="shared" si="297"/>
        <v>10774</v>
      </c>
      <c r="AT439" s="790">
        <f t="shared" si="298"/>
        <v>64494</v>
      </c>
      <c r="AU439" s="790">
        <f t="shared" si="299"/>
        <v>105150</v>
      </c>
    </row>
    <row r="440" spans="1:47" ht="15" customHeight="1" x14ac:dyDescent="0.25">
      <c r="A440" s="955" t="s">
        <v>1317</v>
      </c>
      <c r="B440" s="915" t="s">
        <v>1343</v>
      </c>
      <c r="C440" s="778">
        <f t="shared" si="263"/>
        <v>6.3333333333333325E-2</v>
      </c>
      <c r="D440" s="881">
        <v>15</v>
      </c>
      <c r="E440" s="779" t="s">
        <v>1182</v>
      </c>
      <c r="F440" s="845">
        <v>43191</v>
      </c>
      <c r="G440" s="956">
        <f t="shared" si="300"/>
        <v>43191</v>
      </c>
      <c r="H440" s="781">
        <f t="shared" si="264"/>
        <v>48666</v>
      </c>
      <c r="I440" s="795">
        <v>361607.14</v>
      </c>
      <c r="J440" s="783">
        <f t="shared" si="265"/>
        <v>18080.357</v>
      </c>
      <c r="K440" s="887"/>
      <c r="L440" s="846">
        <v>0</v>
      </c>
      <c r="M440" s="790">
        <f t="shared" si="266"/>
        <v>361607.14</v>
      </c>
      <c r="N440" s="791">
        <f t="shared" si="267"/>
        <v>365</v>
      </c>
      <c r="O440" s="791">
        <f t="shared" si="268"/>
        <v>22902</v>
      </c>
      <c r="P440" s="790">
        <f t="shared" si="269"/>
        <v>22902</v>
      </c>
      <c r="Q440" s="847">
        <f t="shared" si="270"/>
        <v>338705.14</v>
      </c>
      <c r="R440" s="914">
        <f t="shared" si="271"/>
        <v>338705.14</v>
      </c>
      <c r="S440" s="790">
        <f t="shared" si="272"/>
        <v>361607.14</v>
      </c>
      <c r="T440" s="792">
        <f t="shared" si="273"/>
        <v>366</v>
      </c>
      <c r="U440" s="792">
        <f t="shared" si="274"/>
        <v>22902</v>
      </c>
      <c r="V440" s="790">
        <f t="shared" si="275"/>
        <v>45804</v>
      </c>
      <c r="W440" s="847">
        <f t="shared" si="276"/>
        <v>315803.14</v>
      </c>
      <c r="X440" s="846">
        <f t="shared" si="277"/>
        <v>315803.14</v>
      </c>
      <c r="Y440" s="783">
        <f t="shared" si="278"/>
        <v>361607.14</v>
      </c>
      <c r="Z440" s="783">
        <f t="shared" si="279"/>
        <v>365</v>
      </c>
      <c r="AA440" s="783">
        <f t="shared" si="280"/>
        <v>22902</v>
      </c>
      <c r="AB440" s="783">
        <f t="shared" si="281"/>
        <v>68706</v>
      </c>
      <c r="AC440" s="848">
        <f t="shared" si="282"/>
        <v>292901.14</v>
      </c>
      <c r="AD440" s="789">
        <f t="shared" si="283"/>
        <v>292901.14</v>
      </c>
      <c r="AE440" s="790">
        <f t="shared" si="284"/>
        <v>361607.14</v>
      </c>
      <c r="AF440" s="791">
        <f t="shared" si="285"/>
        <v>365</v>
      </c>
      <c r="AG440" s="791">
        <f t="shared" si="286"/>
        <v>22902</v>
      </c>
      <c r="AH440" s="783">
        <f t="shared" si="287"/>
        <v>91608</v>
      </c>
      <c r="AI440" s="783">
        <f t="shared" si="288"/>
        <v>269999.14</v>
      </c>
      <c r="AJ440" s="790">
        <f t="shared" si="301"/>
        <v>269999.14</v>
      </c>
      <c r="AK440" s="790">
        <f t="shared" si="289"/>
        <v>361607.14</v>
      </c>
      <c r="AL440" s="791">
        <f t="shared" si="290"/>
        <v>365</v>
      </c>
      <c r="AM440" s="791">
        <f t="shared" si="291"/>
        <v>22902</v>
      </c>
      <c r="AN440" s="783">
        <f t="shared" si="292"/>
        <v>114510</v>
      </c>
      <c r="AO440" s="783">
        <f t="shared" si="293"/>
        <v>247097.14</v>
      </c>
      <c r="AP440" s="790">
        <f t="shared" si="294"/>
        <v>247097.14</v>
      </c>
      <c r="AQ440" s="790">
        <f t="shared" si="295"/>
        <v>361607.14</v>
      </c>
      <c r="AR440" s="791">
        <f t="shared" si="296"/>
        <v>366</v>
      </c>
      <c r="AS440" s="791">
        <f t="shared" si="297"/>
        <v>22965</v>
      </c>
      <c r="AT440" s="790">
        <f t="shared" si="298"/>
        <v>137475</v>
      </c>
      <c r="AU440" s="790">
        <f t="shared" si="299"/>
        <v>224132.14</v>
      </c>
    </row>
    <row r="441" spans="1:47" ht="15" customHeight="1" x14ac:dyDescent="0.25">
      <c r="A441" s="955" t="s">
        <v>1317</v>
      </c>
      <c r="B441" s="843" t="s">
        <v>1344</v>
      </c>
      <c r="C441" s="778">
        <f t="shared" si="263"/>
        <v>6.3333333333333325E-2</v>
      </c>
      <c r="D441" s="881">
        <v>15</v>
      </c>
      <c r="E441" s="779" t="s">
        <v>1182</v>
      </c>
      <c r="F441" s="845">
        <v>43191</v>
      </c>
      <c r="G441" s="956">
        <f t="shared" si="300"/>
        <v>43191</v>
      </c>
      <c r="H441" s="781">
        <f t="shared" si="264"/>
        <v>48666</v>
      </c>
      <c r="I441" s="795">
        <v>12000</v>
      </c>
      <c r="J441" s="783">
        <f t="shared" si="265"/>
        <v>600</v>
      </c>
      <c r="K441" s="887"/>
      <c r="L441" s="846">
        <v>0</v>
      </c>
      <c r="M441" s="790">
        <f t="shared" si="266"/>
        <v>12000</v>
      </c>
      <c r="N441" s="791">
        <f t="shared" si="267"/>
        <v>365</v>
      </c>
      <c r="O441" s="791">
        <f t="shared" si="268"/>
        <v>760</v>
      </c>
      <c r="P441" s="790">
        <f t="shared" si="269"/>
        <v>760</v>
      </c>
      <c r="Q441" s="847">
        <f t="shared" si="270"/>
        <v>11240</v>
      </c>
      <c r="R441" s="914">
        <f t="shared" si="271"/>
        <v>11240</v>
      </c>
      <c r="S441" s="790">
        <f t="shared" si="272"/>
        <v>12000</v>
      </c>
      <c r="T441" s="792">
        <f t="shared" si="273"/>
        <v>366</v>
      </c>
      <c r="U441" s="792">
        <f t="shared" si="274"/>
        <v>760</v>
      </c>
      <c r="V441" s="790">
        <f t="shared" si="275"/>
        <v>1520</v>
      </c>
      <c r="W441" s="847">
        <f t="shared" si="276"/>
        <v>10480</v>
      </c>
      <c r="X441" s="846">
        <f t="shared" si="277"/>
        <v>10480</v>
      </c>
      <c r="Y441" s="783">
        <f t="shared" si="278"/>
        <v>12000</v>
      </c>
      <c r="Z441" s="783">
        <f t="shared" si="279"/>
        <v>365</v>
      </c>
      <c r="AA441" s="783">
        <f t="shared" si="280"/>
        <v>760</v>
      </c>
      <c r="AB441" s="783">
        <f t="shared" si="281"/>
        <v>2280</v>
      </c>
      <c r="AC441" s="848">
        <f t="shared" si="282"/>
        <v>9720</v>
      </c>
      <c r="AD441" s="789">
        <f t="shared" si="283"/>
        <v>9720</v>
      </c>
      <c r="AE441" s="790">
        <f t="shared" si="284"/>
        <v>12000</v>
      </c>
      <c r="AF441" s="791">
        <f t="shared" si="285"/>
        <v>365</v>
      </c>
      <c r="AG441" s="791">
        <f t="shared" si="286"/>
        <v>760</v>
      </c>
      <c r="AH441" s="783">
        <f t="shared" si="287"/>
        <v>3040</v>
      </c>
      <c r="AI441" s="783">
        <f t="shared" si="288"/>
        <v>8960</v>
      </c>
      <c r="AJ441" s="790">
        <f t="shared" si="301"/>
        <v>8960</v>
      </c>
      <c r="AK441" s="790">
        <f t="shared" si="289"/>
        <v>12000</v>
      </c>
      <c r="AL441" s="791">
        <f t="shared" si="290"/>
        <v>365</v>
      </c>
      <c r="AM441" s="791">
        <f t="shared" si="291"/>
        <v>760</v>
      </c>
      <c r="AN441" s="783">
        <f t="shared" si="292"/>
        <v>3800</v>
      </c>
      <c r="AO441" s="783">
        <f t="shared" si="293"/>
        <v>8200</v>
      </c>
      <c r="AP441" s="790">
        <f t="shared" si="294"/>
        <v>8200</v>
      </c>
      <c r="AQ441" s="790">
        <f t="shared" si="295"/>
        <v>12000</v>
      </c>
      <c r="AR441" s="791">
        <f t="shared" si="296"/>
        <v>366</v>
      </c>
      <c r="AS441" s="791">
        <f t="shared" si="297"/>
        <v>762</v>
      </c>
      <c r="AT441" s="790">
        <f t="shared" si="298"/>
        <v>4562</v>
      </c>
      <c r="AU441" s="790">
        <f t="shared" si="299"/>
        <v>7438</v>
      </c>
    </row>
    <row r="442" spans="1:47" ht="15" customHeight="1" x14ac:dyDescent="0.25">
      <c r="A442" s="955" t="s">
        <v>1317</v>
      </c>
      <c r="B442" s="843" t="s">
        <v>1345</v>
      </c>
      <c r="C442" s="778">
        <f t="shared" si="263"/>
        <v>6.3333333333333325E-2</v>
      </c>
      <c r="D442" s="881">
        <v>15</v>
      </c>
      <c r="E442" s="779" t="s">
        <v>1182</v>
      </c>
      <c r="F442" s="845">
        <v>43191</v>
      </c>
      <c r="G442" s="956">
        <f t="shared" si="300"/>
        <v>43191</v>
      </c>
      <c r="H442" s="781">
        <f t="shared" si="264"/>
        <v>48666</v>
      </c>
      <c r="I442" s="795">
        <v>5100</v>
      </c>
      <c r="J442" s="783">
        <f t="shared" si="265"/>
        <v>255</v>
      </c>
      <c r="K442" s="887"/>
      <c r="L442" s="846">
        <v>0</v>
      </c>
      <c r="M442" s="790">
        <f t="shared" si="266"/>
        <v>5100</v>
      </c>
      <c r="N442" s="791">
        <f t="shared" si="267"/>
        <v>365</v>
      </c>
      <c r="O442" s="791">
        <f t="shared" si="268"/>
        <v>323</v>
      </c>
      <c r="P442" s="790">
        <f t="shared" si="269"/>
        <v>323</v>
      </c>
      <c r="Q442" s="847">
        <f t="shared" si="270"/>
        <v>4777</v>
      </c>
      <c r="R442" s="914">
        <f t="shared" si="271"/>
        <v>4777</v>
      </c>
      <c r="S442" s="790">
        <f t="shared" si="272"/>
        <v>5100</v>
      </c>
      <c r="T442" s="792">
        <f t="shared" si="273"/>
        <v>366</v>
      </c>
      <c r="U442" s="792">
        <f t="shared" si="274"/>
        <v>323</v>
      </c>
      <c r="V442" s="790">
        <f t="shared" si="275"/>
        <v>646</v>
      </c>
      <c r="W442" s="847">
        <f t="shared" si="276"/>
        <v>4454</v>
      </c>
      <c r="X442" s="846">
        <f t="shared" si="277"/>
        <v>4454</v>
      </c>
      <c r="Y442" s="783">
        <f t="shared" si="278"/>
        <v>5100</v>
      </c>
      <c r="Z442" s="783">
        <f t="shared" si="279"/>
        <v>365</v>
      </c>
      <c r="AA442" s="783">
        <f t="shared" si="280"/>
        <v>323</v>
      </c>
      <c r="AB442" s="783">
        <f t="shared" si="281"/>
        <v>969</v>
      </c>
      <c r="AC442" s="848">
        <f t="shared" si="282"/>
        <v>4131</v>
      </c>
      <c r="AD442" s="789">
        <f t="shared" si="283"/>
        <v>4131</v>
      </c>
      <c r="AE442" s="790">
        <f t="shared" si="284"/>
        <v>5100</v>
      </c>
      <c r="AF442" s="791">
        <f t="shared" si="285"/>
        <v>365</v>
      </c>
      <c r="AG442" s="791">
        <f t="shared" si="286"/>
        <v>323</v>
      </c>
      <c r="AH442" s="783">
        <f t="shared" si="287"/>
        <v>1292</v>
      </c>
      <c r="AI442" s="783">
        <f t="shared" si="288"/>
        <v>3808</v>
      </c>
      <c r="AJ442" s="790">
        <f t="shared" si="301"/>
        <v>3808</v>
      </c>
      <c r="AK442" s="790">
        <f t="shared" si="289"/>
        <v>5100</v>
      </c>
      <c r="AL442" s="791">
        <f t="shared" si="290"/>
        <v>365</v>
      </c>
      <c r="AM442" s="791">
        <f t="shared" si="291"/>
        <v>323</v>
      </c>
      <c r="AN442" s="783">
        <f t="shared" si="292"/>
        <v>1615</v>
      </c>
      <c r="AO442" s="783">
        <f t="shared" si="293"/>
        <v>3485</v>
      </c>
      <c r="AP442" s="790">
        <f t="shared" si="294"/>
        <v>3485</v>
      </c>
      <c r="AQ442" s="790">
        <f t="shared" si="295"/>
        <v>5100</v>
      </c>
      <c r="AR442" s="791">
        <f t="shared" si="296"/>
        <v>366</v>
      </c>
      <c r="AS442" s="791">
        <f t="shared" si="297"/>
        <v>324</v>
      </c>
      <c r="AT442" s="790">
        <f t="shared" si="298"/>
        <v>1939</v>
      </c>
      <c r="AU442" s="790">
        <f t="shared" si="299"/>
        <v>3161</v>
      </c>
    </row>
    <row r="443" spans="1:47" ht="15" customHeight="1" x14ac:dyDescent="0.25">
      <c r="A443" s="955" t="s">
        <v>1317</v>
      </c>
      <c r="B443" s="915" t="s">
        <v>1346</v>
      </c>
      <c r="C443" s="778">
        <f t="shared" si="263"/>
        <v>6.3333333333333325E-2</v>
      </c>
      <c r="D443" s="881">
        <v>15</v>
      </c>
      <c r="E443" s="779" t="s">
        <v>1182</v>
      </c>
      <c r="F443" s="845">
        <v>43191</v>
      </c>
      <c r="G443" s="956">
        <f t="shared" si="300"/>
        <v>43191</v>
      </c>
      <c r="H443" s="781">
        <f t="shared" si="264"/>
        <v>48666</v>
      </c>
      <c r="I443" s="795">
        <v>10200</v>
      </c>
      <c r="J443" s="783">
        <f t="shared" si="265"/>
        <v>510</v>
      </c>
      <c r="K443" s="887"/>
      <c r="L443" s="846">
        <v>0</v>
      </c>
      <c r="M443" s="790">
        <f t="shared" si="266"/>
        <v>10200</v>
      </c>
      <c r="N443" s="791">
        <f t="shared" si="267"/>
        <v>365</v>
      </c>
      <c r="O443" s="791">
        <f t="shared" si="268"/>
        <v>646</v>
      </c>
      <c r="P443" s="790">
        <f t="shared" si="269"/>
        <v>646</v>
      </c>
      <c r="Q443" s="847">
        <f t="shared" si="270"/>
        <v>9554</v>
      </c>
      <c r="R443" s="914">
        <f t="shared" si="271"/>
        <v>9554</v>
      </c>
      <c r="S443" s="790">
        <f t="shared" si="272"/>
        <v>10200</v>
      </c>
      <c r="T443" s="792">
        <f t="shared" si="273"/>
        <v>366</v>
      </c>
      <c r="U443" s="792">
        <f t="shared" si="274"/>
        <v>646</v>
      </c>
      <c r="V443" s="790">
        <f t="shared" si="275"/>
        <v>1292</v>
      </c>
      <c r="W443" s="847">
        <f t="shared" si="276"/>
        <v>8908</v>
      </c>
      <c r="X443" s="846">
        <f t="shared" si="277"/>
        <v>8908</v>
      </c>
      <c r="Y443" s="783">
        <f t="shared" si="278"/>
        <v>10200</v>
      </c>
      <c r="Z443" s="783">
        <f t="shared" si="279"/>
        <v>365</v>
      </c>
      <c r="AA443" s="783">
        <f t="shared" si="280"/>
        <v>646</v>
      </c>
      <c r="AB443" s="783">
        <f t="shared" si="281"/>
        <v>1938</v>
      </c>
      <c r="AC443" s="848">
        <f t="shared" si="282"/>
        <v>8262</v>
      </c>
      <c r="AD443" s="789">
        <f t="shared" si="283"/>
        <v>8262</v>
      </c>
      <c r="AE443" s="790">
        <f t="shared" si="284"/>
        <v>10200</v>
      </c>
      <c r="AF443" s="791">
        <f t="shared" si="285"/>
        <v>365</v>
      </c>
      <c r="AG443" s="791">
        <f t="shared" si="286"/>
        <v>646</v>
      </c>
      <c r="AH443" s="783">
        <f t="shared" si="287"/>
        <v>2584</v>
      </c>
      <c r="AI443" s="783">
        <f t="shared" si="288"/>
        <v>7616</v>
      </c>
      <c r="AJ443" s="790">
        <f t="shared" si="301"/>
        <v>7616</v>
      </c>
      <c r="AK443" s="790">
        <f t="shared" si="289"/>
        <v>10200</v>
      </c>
      <c r="AL443" s="791">
        <f t="shared" si="290"/>
        <v>365</v>
      </c>
      <c r="AM443" s="791">
        <f t="shared" si="291"/>
        <v>646</v>
      </c>
      <c r="AN443" s="783">
        <f t="shared" si="292"/>
        <v>3230</v>
      </c>
      <c r="AO443" s="783">
        <f t="shared" si="293"/>
        <v>6970</v>
      </c>
      <c r="AP443" s="790">
        <f t="shared" si="294"/>
        <v>6970</v>
      </c>
      <c r="AQ443" s="790">
        <f t="shared" si="295"/>
        <v>10200</v>
      </c>
      <c r="AR443" s="791">
        <f t="shared" si="296"/>
        <v>366</v>
      </c>
      <c r="AS443" s="791">
        <f t="shared" si="297"/>
        <v>648</v>
      </c>
      <c r="AT443" s="790">
        <f t="shared" si="298"/>
        <v>3878</v>
      </c>
      <c r="AU443" s="790">
        <f t="shared" si="299"/>
        <v>6322</v>
      </c>
    </row>
    <row r="444" spans="1:47" ht="15" customHeight="1" x14ac:dyDescent="0.25">
      <c r="A444" s="955" t="s">
        <v>1317</v>
      </c>
      <c r="B444" s="843" t="s">
        <v>1347</v>
      </c>
      <c r="C444" s="778">
        <f t="shared" si="263"/>
        <v>6.3333333333333325E-2</v>
      </c>
      <c r="D444" s="881">
        <v>15</v>
      </c>
      <c r="E444" s="779" t="s">
        <v>1182</v>
      </c>
      <c r="F444" s="845">
        <v>43529</v>
      </c>
      <c r="G444" s="956">
        <f t="shared" si="300"/>
        <v>43529</v>
      </c>
      <c r="H444" s="781">
        <f t="shared" si="264"/>
        <v>49004</v>
      </c>
      <c r="I444" s="795">
        <v>300000</v>
      </c>
      <c r="J444" s="783">
        <f t="shared" si="265"/>
        <v>15000</v>
      </c>
      <c r="K444" s="887"/>
      <c r="L444" s="846">
        <v>0</v>
      </c>
      <c r="M444" s="790">
        <f t="shared" si="266"/>
        <v>300000</v>
      </c>
      <c r="N444" s="791">
        <f t="shared" si="267"/>
        <v>27</v>
      </c>
      <c r="O444" s="791">
        <f t="shared" si="268"/>
        <v>1405</v>
      </c>
      <c r="P444" s="790">
        <f t="shared" si="269"/>
        <v>1405</v>
      </c>
      <c r="Q444" s="847">
        <f t="shared" si="270"/>
        <v>298595</v>
      </c>
      <c r="R444" s="914">
        <f t="shared" si="271"/>
        <v>298595</v>
      </c>
      <c r="S444" s="790">
        <f t="shared" si="272"/>
        <v>300000</v>
      </c>
      <c r="T444" s="792">
        <f t="shared" si="273"/>
        <v>366</v>
      </c>
      <c r="U444" s="792">
        <f t="shared" si="274"/>
        <v>19000</v>
      </c>
      <c r="V444" s="790">
        <f t="shared" si="275"/>
        <v>20405</v>
      </c>
      <c r="W444" s="847">
        <f t="shared" si="276"/>
        <v>279595</v>
      </c>
      <c r="X444" s="846">
        <f t="shared" si="277"/>
        <v>279595</v>
      </c>
      <c r="Y444" s="783">
        <f t="shared" si="278"/>
        <v>300000</v>
      </c>
      <c r="Z444" s="783">
        <f t="shared" si="279"/>
        <v>365</v>
      </c>
      <c r="AA444" s="783">
        <f t="shared" si="280"/>
        <v>19000</v>
      </c>
      <c r="AB444" s="783">
        <f t="shared" si="281"/>
        <v>39405</v>
      </c>
      <c r="AC444" s="848">
        <f t="shared" si="282"/>
        <v>260595</v>
      </c>
      <c r="AD444" s="789">
        <f t="shared" si="283"/>
        <v>260595</v>
      </c>
      <c r="AE444" s="790">
        <f t="shared" si="284"/>
        <v>300000</v>
      </c>
      <c r="AF444" s="791">
        <f t="shared" si="285"/>
        <v>365</v>
      </c>
      <c r="AG444" s="791">
        <f t="shared" si="286"/>
        <v>19000</v>
      </c>
      <c r="AH444" s="783">
        <f t="shared" si="287"/>
        <v>58405</v>
      </c>
      <c r="AI444" s="783">
        <f t="shared" si="288"/>
        <v>241595</v>
      </c>
      <c r="AJ444" s="790">
        <f t="shared" si="301"/>
        <v>241595</v>
      </c>
      <c r="AK444" s="790">
        <f t="shared" si="289"/>
        <v>300000</v>
      </c>
      <c r="AL444" s="791">
        <f t="shared" si="290"/>
        <v>365</v>
      </c>
      <c r="AM444" s="791">
        <f t="shared" si="291"/>
        <v>19000</v>
      </c>
      <c r="AN444" s="783">
        <f t="shared" si="292"/>
        <v>77405</v>
      </c>
      <c r="AO444" s="783">
        <f t="shared" si="293"/>
        <v>222595</v>
      </c>
      <c r="AP444" s="790">
        <f t="shared" si="294"/>
        <v>222595</v>
      </c>
      <c r="AQ444" s="790">
        <f t="shared" si="295"/>
        <v>300000</v>
      </c>
      <c r="AR444" s="791">
        <f t="shared" si="296"/>
        <v>366</v>
      </c>
      <c r="AS444" s="791">
        <f t="shared" si="297"/>
        <v>19052</v>
      </c>
      <c r="AT444" s="790">
        <f t="shared" si="298"/>
        <v>96457</v>
      </c>
      <c r="AU444" s="790">
        <f t="shared" si="299"/>
        <v>203543</v>
      </c>
    </row>
    <row r="445" spans="1:47" ht="15" customHeight="1" x14ac:dyDescent="0.25">
      <c r="A445" s="955" t="s">
        <v>1317</v>
      </c>
      <c r="B445" s="843" t="s">
        <v>1348</v>
      </c>
      <c r="C445" s="778">
        <f t="shared" si="263"/>
        <v>6.3333333333333325E-2</v>
      </c>
      <c r="D445" s="881">
        <v>15</v>
      </c>
      <c r="E445" s="779" t="s">
        <v>1182</v>
      </c>
      <c r="F445" s="845">
        <v>43301</v>
      </c>
      <c r="G445" s="956">
        <f t="shared" si="300"/>
        <v>43301</v>
      </c>
      <c r="H445" s="781">
        <f t="shared" si="264"/>
        <v>48776</v>
      </c>
      <c r="I445" s="795">
        <v>195000</v>
      </c>
      <c r="J445" s="783">
        <f t="shared" si="265"/>
        <v>9750</v>
      </c>
      <c r="K445" s="887"/>
      <c r="L445" s="846">
        <v>0</v>
      </c>
      <c r="M445" s="790">
        <f t="shared" si="266"/>
        <v>195000</v>
      </c>
      <c r="N445" s="791">
        <f t="shared" si="267"/>
        <v>255</v>
      </c>
      <c r="O445" s="791">
        <f t="shared" si="268"/>
        <v>8628</v>
      </c>
      <c r="P445" s="790">
        <f t="shared" si="269"/>
        <v>8628</v>
      </c>
      <c r="Q445" s="847">
        <f t="shared" si="270"/>
        <v>186372</v>
      </c>
      <c r="R445" s="914">
        <f t="shared" si="271"/>
        <v>186372</v>
      </c>
      <c r="S445" s="790">
        <f t="shared" si="272"/>
        <v>195000</v>
      </c>
      <c r="T445" s="792">
        <f t="shared" si="273"/>
        <v>366</v>
      </c>
      <c r="U445" s="792">
        <f t="shared" si="274"/>
        <v>12350</v>
      </c>
      <c r="V445" s="790">
        <f t="shared" si="275"/>
        <v>20978</v>
      </c>
      <c r="W445" s="847">
        <f t="shared" si="276"/>
        <v>174022</v>
      </c>
      <c r="X445" s="846">
        <f t="shared" si="277"/>
        <v>174022</v>
      </c>
      <c r="Y445" s="783">
        <f t="shared" si="278"/>
        <v>195000</v>
      </c>
      <c r="Z445" s="783">
        <f t="shared" si="279"/>
        <v>365</v>
      </c>
      <c r="AA445" s="783">
        <f t="shared" si="280"/>
        <v>12350</v>
      </c>
      <c r="AB445" s="783">
        <f t="shared" si="281"/>
        <v>33328</v>
      </c>
      <c r="AC445" s="848">
        <f t="shared" si="282"/>
        <v>161672</v>
      </c>
      <c r="AD445" s="789">
        <f t="shared" si="283"/>
        <v>161672</v>
      </c>
      <c r="AE445" s="790">
        <f t="shared" si="284"/>
        <v>195000</v>
      </c>
      <c r="AF445" s="791">
        <f t="shared" si="285"/>
        <v>365</v>
      </c>
      <c r="AG445" s="791">
        <f t="shared" si="286"/>
        <v>12350</v>
      </c>
      <c r="AH445" s="783">
        <f t="shared" si="287"/>
        <v>45678</v>
      </c>
      <c r="AI445" s="783">
        <f t="shared" si="288"/>
        <v>149322</v>
      </c>
      <c r="AJ445" s="790">
        <f t="shared" si="301"/>
        <v>149322</v>
      </c>
      <c r="AK445" s="790">
        <f t="shared" si="289"/>
        <v>195000</v>
      </c>
      <c r="AL445" s="791">
        <f t="shared" si="290"/>
        <v>365</v>
      </c>
      <c r="AM445" s="791">
        <f t="shared" si="291"/>
        <v>12350</v>
      </c>
      <c r="AN445" s="783">
        <f t="shared" si="292"/>
        <v>58028</v>
      </c>
      <c r="AO445" s="783">
        <f t="shared" si="293"/>
        <v>136972</v>
      </c>
      <c r="AP445" s="790">
        <f t="shared" si="294"/>
        <v>136972</v>
      </c>
      <c r="AQ445" s="790">
        <f t="shared" si="295"/>
        <v>195000</v>
      </c>
      <c r="AR445" s="791">
        <f t="shared" si="296"/>
        <v>366</v>
      </c>
      <c r="AS445" s="791">
        <f t="shared" si="297"/>
        <v>12384</v>
      </c>
      <c r="AT445" s="790">
        <f t="shared" si="298"/>
        <v>70412</v>
      </c>
      <c r="AU445" s="790">
        <f t="shared" si="299"/>
        <v>124588</v>
      </c>
    </row>
    <row r="446" spans="1:47" ht="15" customHeight="1" x14ac:dyDescent="0.25">
      <c r="A446" s="955" t="s">
        <v>1317</v>
      </c>
      <c r="B446" s="843" t="s">
        <v>1349</v>
      </c>
      <c r="C446" s="778">
        <f t="shared" si="263"/>
        <v>6.3333333333333325E-2</v>
      </c>
      <c r="D446" s="881">
        <v>15</v>
      </c>
      <c r="E446" s="779" t="s">
        <v>1182</v>
      </c>
      <c r="F446" s="845">
        <v>43533</v>
      </c>
      <c r="G446" s="956">
        <f t="shared" si="300"/>
        <v>43533</v>
      </c>
      <c r="H446" s="781">
        <f t="shared" si="264"/>
        <v>49008</v>
      </c>
      <c r="I446" s="795">
        <v>2181815</v>
      </c>
      <c r="J446" s="783">
        <f t="shared" si="265"/>
        <v>109090.75</v>
      </c>
      <c r="K446" s="887"/>
      <c r="L446" s="849">
        <v>0</v>
      </c>
      <c r="M446" s="808">
        <f t="shared" si="266"/>
        <v>2181815</v>
      </c>
      <c r="N446" s="809">
        <f t="shared" si="267"/>
        <v>23</v>
      </c>
      <c r="O446" s="809">
        <f t="shared" si="268"/>
        <v>8707</v>
      </c>
      <c r="P446" s="808">
        <f t="shared" si="269"/>
        <v>8707</v>
      </c>
      <c r="Q446" s="850">
        <f t="shared" si="270"/>
        <v>2173108</v>
      </c>
      <c r="R446" s="916">
        <f t="shared" si="271"/>
        <v>2173108</v>
      </c>
      <c r="S446" s="808">
        <f t="shared" si="272"/>
        <v>2181815</v>
      </c>
      <c r="T446" s="917">
        <f t="shared" si="273"/>
        <v>366</v>
      </c>
      <c r="U446" s="917">
        <f t="shared" si="274"/>
        <v>138182</v>
      </c>
      <c r="V446" s="808">
        <f t="shared" si="275"/>
        <v>146889</v>
      </c>
      <c r="W446" s="850">
        <f t="shared" si="276"/>
        <v>2034926</v>
      </c>
      <c r="X446" s="849">
        <f t="shared" si="277"/>
        <v>2034926</v>
      </c>
      <c r="Y446" s="812">
        <f t="shared" si="278"/>
        <v>2181815</v>
      </c>
      <c r="Z446" s="812">
        <f t="shared" si="279"/>
        <v>365</v>
      </c>
      <c r="AA446" s="812">
        <f t="shared" si="280"/>
        <v>138182</v>
      </c>
      <c r="AB446" s="812">
        <f t="shared" si="281"/>
        <v>285071</v>
      </c>
      <c r="AC446" s="851">
        <f t="shared" si="282"/>
        <v>1896744</v>
      </c>
      <c r="AD446" s="807">
        <f t="shared" si="283"/>
        <v>1896744</v>
      </c>
      <c r="AE446" s="808">
        <f t="shared" si="284"/>
        <v>2181815</v>
      </c>
      <c r="AF446" s="809">
        <f t="shared" si="285"/>
        <v>365</v>
      </c>
      <c r="AG446" s="809">
        <f t="shared" si="286"/>
        <v>138182</v>
      </c>
      <c r="AH446" s="812">
        <f t="shared" si="287"/>
        <v>423253</v>
      </c>
      <c r="AI446" s="812">
        <f t="shared" si="288"/>
        <v>1758562</v>
      </c>
      <c r="AJ446" s="808">
        <f t="shared" si="301"/>
        <v>1758562</v>
      </c>
      <c r="AK446" s="808">
        <f t="shared" si="289"/>
        <v>2181815</v>
      </c>
      <c r="AL446" s="809">
        <f t="shared" si="290"/>
        <v>365</v>
      </c>
      <c r="AM446" s="809">
        <f t="shared" si="291"/>
        <v>138182</v>
      </c>
      <c r="AN446" s="812">
        <f t="shared" si="292"/>
        <v>561435</v>
      </c>
      <c r="AO446" s="812">
        <f t="shared" si="293"/>
        <v>1620380</v>
      </c>
      <c r="AP446" s="790">
        <f t="shared" si="294"/>
        <v>1620380</v>
      </c>
      <c r="AQ446" s="790">
        <f t="shared" si="295"/>
        <v>2181815</v>
      </c>
      <c r="AR446" s="791">
        <f t="shared" si="296"/>
        <v>366</v>
      </c>
      <c r="AS446" s="791">
        <f t="shared" si="297"/>
        <v>138560</v>
      </c>
      <c r="AT446" s="790">
        <f t="shared" si="298"/>
        <v>699995</v>
      </c>
      <c r="AU446" s="790">
        <f t="shared" si="299"/>
        <v>1481820</v>
      </c>
    </row>
    <row r="447" spans="1:47" ht="15" customHeight="1" x14ac:dyDescent="0.25">
      <c r="A447" s="955" t="s">
        <v>1317</v>
      </c>
      <c r="B447" s="843" t="s">
        <v>367</v>
      </c>
      <c r="C447" s="778">
        <f t="shared" si="263"/>
        <v>6.3333333333333325E-2</v>
      </c>
      <c r="D447" s="881">
        <v>15</v>
      </c>
      <c r="E447" s="844" t="s">
        <v>1205</v>
      </c>
      <c r="F447" s="845">
        <v>43557</v>
      </c>
      <c r="G447" s="956">
        <f t="shared" si="300"/>
        <v>43557</v>
      </c>
      <c r="H447" s="781">
        <f t="shared" si="264"/>
        <v>49032</v>
      </c>
      <c r="I447" s="959">
        <f>26211864.42</f>
        <v>26211864.420000002</v>
      </c>
      <c r="J447" s="783">
        <f t="shared" si="265"/>
        <v>1310593.2210000001</v>
      </c>
      <c r="K447" s="887"/>
      <c r="L447" s="790">
        <v>0</v>
      </c>
      <c r="M447" s="790">
        <v>0</v>
      </c>
      <c r="N447" s="790">
        <v>0</v>
      </c>
      <c r="O447" s="790">
        <v>0</v>
      </c>
      <c r="P447" s="790">
        <v>0</v>
      </c>
      <c r="Q447" s="790">
        <v>0</v>
      </c>
      <c r="R447" s="790">
        <f t="shared" si="271"/>
        <v>0</v>
      </c>
      <c r="S447" s="790">
        <f t="shared" si="272"/>
        <v>26211864.420000002</v>
      </c>
      <c r="T447" s="792">
        <f t="shared" si="273"/>
        <v>365</v>
      </c>
      <c r="U447" s="792">
        <f t="shared" si="274"/>
        <v>1655549</v>
      </c>
      <c r="V447" s="790">
        <f t="shared" si="275"/>
        <v>1655549</v>
      </c>
      <c r="W447" s="790">
        <f t="shared" si="276"/>
        <v>24556315.420000002</v>
      </c>
      <c r="X447" s="790">
        <f t="shared" si="277"/>
        <v>24556315.420000002</v>
      </c>
      <c r="Y447" s="783">
        <f t="shared" si="278"/>
        <v>26211864.420000002</v>
      </c>
      <c r="Z447" s="783">
        <f t="shared" si="279"/>
        <v>365</v>
      </c>
      <c r="AA447" s="783">
        <f t="shared" si="280"/>
        <v>1660085</v>
      </c>
      <c r="AB447" s="783">
        <f t="shared" si="281"/>
        <v>3315634</v>
      </c>
      <c r="AC447" s="783">
        <f t="shared" si="282"/>
        <v>22896230.420000002</v>
      </c>
      <c r="AD447" s="790">
        <f t="shared" si="283"/>
        <v>22896230.420000002</v>
      </c>
      <c r="AE447" s="790">
        <f t="shared" si="284"/>
        <v>26211864.420000002</v>
      </c>
      <c r="AF447" s="791">
        <f t="shared" si="285"/>
        <v>365</v>
      </c>
      <c r="AG447" s="791">
        <f t="shared" si="286"/>
        <v>1660085</v>
      </c>
      <c r="AH447" s="783">
        <f t="shared" si="287"/>
        <v>4975719</v>
      </c>
      <c r="AI447" s="783">
        <f t="shared" si="288"/>
        <v>21236145.420000002</v>
      </c>
      <c r="AJ447" s="790">
        <f t="shared" si="301"/>
        <v>21236145.420000002</v>
      </c>
      <c r="AK447" s="790">
        <f t="shared" si="289"/>
        <v>26211864.420000002</v>
      </c>
      <c r="AL447" s="791">
        <f t="shared" si="290"/>
        <v>365</v>
      </c>
      <c r="AM447" s="791">
        <f t="shared" si="291"/>
        <v>1660085</v>
      </c>
      <c r="AN447" s="783">
        <f t="shared" si="292"/>
        <v>6635804</v>
      </c>
      <c r="AO447" s="783">
        <f t="shared" si="293"/>
        <v>19576060.420000002</v>
      </c>
      <c r="AP447" s="790">
        <f t="shared" si="294"/>
        <v>19576060.420000002</v>
      </c>
      <c r="AQ447" s="790">
        <f t="shared" si="295"/>
        <v>26211864.420000002</v>
      </c>
      <c r="AR447" s="791">
        <f t="shared" si="296"/>
        <v>366</v>
      </c>
      <c r="AS447" s="791">
        <f t="shared" si="297"/>
        <v>1664633</v>
      </c>
      <c r="AT447" s="790">
        <f t="shared" si="298"/>
        <v>8300437</v>
      </c>
      <c r="AU447" s="790">
        <f t="shared" si="299"/>
        <v>17911427.420000002</v>
      </c>
    </row>
    <row r="448" spans="1:47" ht="15" customHeight="1" x14ac:dyDescent="0.25">
      <c r="A448" s="955" t="s">
        <v>1317</v>
      </c>
      <c r="B448" s="843" t="s">
        <v>1350</v>
      </c>
      <c r="C448" s="778">
        <f t="shared" si="263"/>
        <v>6.3333333333333325E-2</v>
      </c>
      <c r="D448" s="881">
        <v>15</v>
      </c>
      <c r="E448" s="844" t="s">
        <v>1205</v>
      </c>
      <c r="F448" s="845">
        <v>43619</v>
      </c>
      <c r="G448" s="956">
        <f t="shared" si="300"/>
        <v>43619</v>
      </c>
      <c r="H448" s="781">
        <f t="shared" si="264"/>
        <v>49094</v>
      </c>
      <c r="I448" s="795">
        <f>600000</f>
        <v>600000</v>
      </c>
      <c r="J448" s="783">
        <f t="shared" si="265"/>
        <v>30000</v>
      </c>
      <c r="K448" s="887"/>
      <c r="L448" s="790">
        <v>0</v>
      </c>
      <c r="M448" s="790">
        <v>0</v>
      </c>
      <c r="N448" s="790">
        <v>0</v>
      </c>
      <c r="O448" s="790">
        <v>0</v>
      </c>
      <c r="P448" s="790">
        <v>0</v>
      </c>
      <c r="Q448" s="790">
        <v>0</v>
      </c>
      <c r="R448" s="790">
        <f t="shared" si="271"/>
        <v>0</v>
      </c>
      <c r="S448" s="790">
        <f t="shared" si="272"/>
        <v>600000</v>
      </c>
      <c r="T448" s="792">
        <f t="shared" si="273"/>
        <v>303</v>
      </c>
      <c r="U448" s="792">
        <f t="shared" si="274"/>
        <v>31459</v>
      </c>
      <c r="V448" s="790">
        <f t="shared" si="275"/>
        <v>31459</v>
      </c>
      <c r="W448" s="790">
        <f t="shared" si="276"/>
        <v>568541</v>
      </c>
      <c r="X448" s="790">
        <f t="shared" si="277"/>
        <v>568541</v>
      </c>
      <c r="Y448" s="783">
        <f t="shared" si="278"/>
        <v>600000</v>
      </c>
      <c r="Z448" s="783">
        <f t="shared" si="279"/>
        <v>365</v>
      </c>
      <c r="AA448" s="783">
        <f t="shared" si="280"/>
        <v>38000</v>
      </c>
      <c r="AB448" s="783">
        <f t="shared" si="281"/>
        <v>69459</v>
      </c>
      <c r="AC448" s="783">
        <f t="shared" si="282"/>
        <v>530541</v>
      </c>
      <c r="AD448" s="790">
        <f t="shared" si="283"/>
        <v>530541</v>
      </c>
      <c r="AE448" s="790">
        <f t="shared" si="284"/>
        <v>600000</v>
      </c>
      <c r="AF448" s="791">
        <f t="shared" si="285"/>
        <v>365</v>
      </c>
      <c r="AG448" s="791">
        <f t="shared" si="286"/>
        <v>38000</v>
      </c>
      <c r="AH448" s="783">
        <f t="shared" si="287"/>
        <v>107459</v>
      </c>
      <c r="AI448" s="783">
        <f t="shared" si="288"/>
        <v>492541</v>
      </c>
      <c r="AJ448" s="790">
        <f t="shared" si="301"/>
        <v>492541</v>
      </c>
      <c r="AK448" s="790">
        <f t="shared" si="289"/>
        <v>600000</v>
      </c>
      <c r="AL448" s="791">
        <f t="shared" si="290"/>
        <v>365</v>
      </c>
      <c r="AM448" s="791">
        <f t="shared" si="291"/>
        <v>38000</v>
      </c>
      <c r="AN448" s="783">
        <f t="shared" si="292"/>
        <v>145459</v>
      </c>
      <c r="AO448" s="783">
        <f t="shared" si="293"/>
        <v>454541</v>
      </c>
      <c r="AP448" s="790">
        <f t="shared" si="294"/>
        <v>454541</v>
      </c>
      <c r="AQ448" s="790">
        <f t="shared" si="295"/>
        <v>600000</v>
      </c>
      <c r="AR448" s="791">
        <f t="shared" si="296"/>
        <v>366</v>
      </c>
      <c r="AS448" s="791">
        <f t="shared" si="297"/>
        <v>38104</v>
      </c>
      <c r="AT448" s="790">
        <f t="shared" si="298"/>
        <v>183563</v>
      </c>
      <c r="AU448" s="790">
        <f t="shared" si="299"/>
        <v>416437</v>
      </c>
    </row>
    <row r="449" spans="1:47" ht="15" customHeight="1" x14ac:dyDescent="0.25">
      <c r="A449" s="955" t="s">
        <v>1317</v>
      </c>
      <c r="B449" s="843" t="s">
        <v>1351</v>
      </c>
      <c r="C449" s="778">
        <f t="shared" si="263"/>
        <v>6.3333333333333325E-2</v>
      </c>
      <c r="D449" s="881">
        <v>15</v>
      </c>
      <c r="E449" s="844" t="s">
        <v>1205</v>
      </c>
      <c r="F449" s="845">
        <v>43628</v>
      </c>
      <c r="G449" s="956">
        <f t="shared" si="300"/>
        <v>43628</v>
      </c>
      <c r="H449" s="781">
        <f t="shared" si="264"/>
        <v>49103</v>
      </c>
      <c r="I449" s="795">
        <v>1749200</v>
      </c>
      <c r="J449" s="783">
        <f t="shared" si="265"/>
        <v>87460</v>
      </c>
      <c r="K449" s="887"/>
      <c r="L449" s="790">
        <v>0</v>
      </c>
      <c r="M449" s="790">
        <v>0</v>
      </c>
      <c r="N449" s="790">
        <v>0</v>
      </c>
      <c r="O449" s="790">
        <v>0</v>
      </c>
      <c r="P449" s="790">
        <v>0</v>
      </c>
      <c r="Q449" s="790">
        <v>0</v>
      </c>
      <c r="R449" s="790">
        <f t="shared" si="271"/>
        <v>0</v>
      </c>
      <c r="S449" s="790">
        <f t="shared" si="272"/>
        <v>1749200</v>
      </c>
      <c r="T449" s="792">
        <f t="shared" si="273"/>
        <v>294</v>
      </c>
      <c r="U449" s="792">
        <f t="shared" si="274"/>
        <v>88989</v>
      </c>
      <c r="V449" s="790">
        <f t="shared" si="275"/>
        <v>88989</v>
      </c>
      <c r="W449" s="790">
        <f t="shared" si="276"/>
        <v>1660211</v>
      </c>
      <c r="X449" s="790">
        <f t="shared" si="277"/>
        <v>1660211</v>
      </c>
      <c r="Y449" s="783">
        <f t="shared" si="278"/>
        <v>1749200</v>
      </c>
      <c r="Z449" s="783">
        <f t="shared" si="279"/>
        <v>365</v>
      </c>
      <c r="AA449" s="783">
        <f t="shared" si="280"/>
        <v>110783</v>
      </c>
      <c r="AB449" s="783">
        <f t="shared" si="281"/>
        <v>199772</v>
      </c>
      <c r="AC449" s="783">
        <f t="shared" si="282"/>
        <v>1549428</v>
      </c>
      <c r="AD449" s="790">
        <f t="shared" si="283"/>
        <v>1549428</v>
      </c>
      <c r="AE449" s="790">
        <f t="shared" si="284"/>
        <v>1749200</v>
      </c>
      <c r="AF449" s="791">
        <f t="shared" si="285"/>
        <v>365</v>
      </c>
      <c r="AG449" s="791">
        <f t="shared" si="286"/>
        <v>110783</v>
      </c>
      <c r="AH449" s="783">
        <f t="shared" si="287"/>
        <v>310555</v>
      </c>
      <c r="AI449" s="783">
        <f t="shared" si="288"/>
        <v>1438645</v>
      </c>
      <c r="AJ449" s="790">
        <f t="shared" si="301"/>
        <v>1438645</v>
      </c>
      <c r="AK449" s="790">
        <f t="shared" si="289"/>
        <v>1749200</v>
      </c>
      <c r="AL449" s="791">
        <f t="shared" si="290"/>
        <v>365</v>
      </c>
      <c r="AM449" s="791">
        <f t="shared" si="291"/>
        <v>110783</v>
      </c>
      <c r="AN449" s="783">
        <f t="shared" si="292"/>
        <v>421338</v>
      </c>
      <c r="AO449" s="783">
        <f t="shared" si="293"/>
        <v>1327862</v>
      </c>
      <c r="AP449" s="790">
        <f t="shared" si="294"/>
        <v>1327862</v>
      </c>
      <c r="AQ449" s="790">
        <f t="shared" si="295"/>
        <v>1749200</v>
      </c>
      <c r="AR449" s="791">
        <f t="shared" si="296"/>
        <v>366</v>
      </c>
      <c r="AS449" s="791">
        <f t="shared" si="297"/>
        <v>111086</v>
      </c>
      <c r="AT449" s="790">
        <f t="shared" si="298"/>
        <v>532424</v>
      </c>
      <c r="AU449" s="790">
        <f t="shared" si="299"/>
        <v>1216776</v>
      </c>
    </row>
    <row r="450" spans="1:47" ht="15" customHeight="1" x14ac:dyDescent="0.25">
      <c r="A450" s="955" t="s">
        <v>1317</v>
      </c>
      <c r="B450" s="843" t="s">
        <v>1350</v>
      </c>
      <c r="C450" s="778">
        <f t="shared" si="263"/>
        <v>6.3333333333333325E-2</v>
      </c>
      <c r="D450" s="881">
        <v>15</v>
      </c>
      <c r="E450" s="844" t="s">
        <v>1205</v>
      </c>
      <c r="F450" s="845">
        <v>43729</v>
      </c>
      <c r="G450" s="956">
        <f t="shared" si="300"/>
        <v>43729</v>
      </c>
      <c r="H450" s="781">
        <f t="shared" si="264"/>
        <v>49204</v>
      </c>
      <c r="I450" s="795">
        <v>3021</v>
      </c>
      <c r="J450" s="783">
        <f t="shared" si="265"/>
        <v>151.05000000000001</v>
      </c>
      <c r="K450" s="887"/>
      <c r="L450" s="790">
        <v>0</v>
      </c>
      <c r="M450" s="790">
        <v>0</v>
      </c>
      <c r="N450" s="790">
        <v>0</v>
      </c>
      <c r="O450" s="790">
        <v>0</v>
      </c>
      <c r="P450" s="790">
        <v>0</v>
      </c>
      <c r="Q450" s="790">
        <v>0</v>
      </c>
      <c r="R450" s="790">
        <f t="shared" si="271"/>
        <v>0</v>
      </c>
      <c r="S450" s="790">
        <f t="shared" si="272"/>
        <v>3021</v>
      </c>
      <c r="T450" s="792">
        <f t="shared" si="273"/>
        <v>193</v>
      </c>
      <c r="U450" s="792">
        <f t="shared" si="274"/>
        <v>101</v>
      </c>
      <c r="V450" s="790">
        <f t="shared" si="275"/>
        <v>101</v>
      </c>
      <c r="W450" s="790">
        <f t="shared" si="276"/>
        <v>2920</v>
      </c>
      <c r="X450" s="790">
        <f t="shared" si="277"/>
        <v>2920</v>
      </c>
      <c r="Y450" s="783">
        <f t="shared" si="278"/>
        <v>3021</v>
      </c>
      <c r="Z450" s="783">
        <f t="shared" si="279"/>
        <v>365</v>
      </c>
      <c r="AA450" s="783">
        <f t="shared" si="280"/>
        <v>191</v>
      </c>
      <c r="AB450" s="783">
        <f t="shared" si="281"/>
        <v>292</v>
      </c>
      <c r="AC450" s="783">
        <f t="shared" si="282"/>
        <v>2729</v>
      </c>
      <c r="AD450" s="790">
        <f t="shared" si="283"/>
        <v>2729</v>
      </c>
      <c r="AE450" s="790">
        <f t="shared" si="284"/>
        <v>3021</v>
      </c>
      <c r="AF450" s="791">
        <f t="shared" si="285"/>
        <v>365</v>
      </c>
      <c r="AG450" s="791">
        <f t="shared" si="286"/>
        <v>191</v>
      </c>
      <c r="AH450" s="783">
        <f t="shared" si="287"/>
        <v>483</v>
      </c>
      <c r="AI450" s="783">
        <f t="shared" si="288"/>
        <v>2538</v>
      </c>
      <c r="AJ450" s="790">
        <f t="shared" si="301"/>
        <v>2538</v>
      </c>
      <c r="AK450" s="790">
        <f t="shared" si="289"/>
        <v>3021</v>
      </c>
      <c r="AL450" s="791">
        <f t="shared" si="290"/>
        <v>365</v>
      </c>
      <c r="AM450" s="791">
        <f t="shared" si="291"/>
        <v>191</v>
      </c>
      <c r="AN450" s="783">
        <f t="shared" si="292"/>
        <v>674</v>
      </c>
      <c r="AO450" s="783">
        <f t="shared" si="293"/>
        <v>2347</v>
      </c>
      <c r="AP450" s="790">
        <f t="shared" si="294"/>
        <v>2347</v>
      </c>
      <c r="AQ450" s="790">
        <f t="shared" si="295"/>
        <v>3021</v>
      </c>
      <c r="AR450" s="791">
        <f t="shared" si="296"/>
        <v>366</v>
      </c>
      <c r="AS450" s="791">
        <f t="shared" si="297"/>
        <v>192</v>
      </c>
      <c r="AT450" s="790">
        <f t="shared" si="298"/>
        <v>866</v>
      </c>
      <c r="AU450" s="790">
        <f t="shared" si="299"/>
        <v>2155</v>
      </c>
    </row>
    <row r="451" spans="1:47" ht="15" customHeight="1" x14ac:dyDescent="0.25">
      <c r="A451" s="955" t="s">
        <v>1317</v>
      </c>
      <c r="B451" s="843" t="s">
        <v>1336</v>
      </c>
      <c r="C451" s="778">
        <f t="shared" si="263"/>
        <v>6.3333333333333325E-2</v>
      </c>
      <c r="D451" s="881">
        <v>15</v>
      </c>
      <c r="E451" s="844" t="s">
        <v>1205</v>
      </c>
      <c r="F451" s="845">
        <v>43887</v>
      </c>
      <c r="G451" s="956">
        <f t="shared" si="300"/>
        <v>43887</v>
      </c>
      <c r="H451" s="781">
        <f t="shared" si="264"/>
        <v>49362</v>
      </c>
      <c r="I451" s="795">
        <v>1600</v>
      </c>
      <c r="J451" s="783">
        <f t="shared" si="265"/>
        <v>80</v>
      </c>
      <c r="K451" s="887"/>
      <c r="L451" s="790">
        <v>0</v>
      </c>
      <c r="M451" s="790">
        <v>0</v>
      </c>
      <c r="N451" s="790">
        <v>0</v>
      </c>
      <c r="O451" s="790">
        <v>0</v>
      </c>
      <c r="P451" s="790">
        <v>0</v>
      </c>
      <c r="Q451" s="790">
        <v>0</v>
      </c>
      <c r="R451" s="790">
        <v>0</v>
      </c>
      <c r="S451" s="790">
        <f t="shared" si="272"/>
        <v>1600</v>
      </c>
      <c r="T451" s="792">
        <f t="shared" si="273"/>
        <v>35</v>
      </c>
      <c r="U451" s="792">
        <f t="shared" si="274"/>
        <v>10</v>
      </c>
      <c r="V451" s="790">
        <f t="shared" si="275"/>
        <v>10</v>
      </c>
      <c r="W451" s="790">
        <f t="shared" si="276"/>
        <v>1590</v>
      </c>
      <c r="X451" s="790">
        <f t="shared" si="277"/>
        <v>1590</v>
      </c>
      <c r="Y451" s="783">
        <f t="shared" si="278"/>
        <v>1600</v>
      </c>
      <c r="Z451" s="783">
        <f t="shared" si="279"/>
        <v>365</v>
      </c>
      <c r="AA451" s="783">
        <f t="shared" si="280"/>
        <v>101</v>
      </c>
      <c r="AB451" s="783">
        <f t="shared" si="281"/>
        <v>111</v>
      </c>
      <c r="AC451" s="783">
        <f t="shared" si="282"/>
        <v>1489</v>
      </c>
      <c r="AD451" s="790">
        <f t="shared" si="283"/>
        <v>1489</v>
      </c>
      <c r="AE451" s="790">
        <f t="shared" si="284"/>
        <v>1600</v>
      </c>
      <c r="AF451" s="791">
        <f t="shared" si="285"/>
        <v>365</v>
      </c>
      <c r="AG451" s="791">
        <f t="shared" si="286"/>
        <v>101</v>
      </c>
      <c r="AH451" s="783">
        <f t="shared" si="287"/>
        <v>212</v>
      </c>
      <c r="AI451" s="783">
        <f t="shared" si="288"/>
        <v>1388</v>
      </c>
      <c r="AJ451" s="790">
        <f t="shared" si="301"/>
        <v>1388</v>
      </c>
      <c r="AK451" s="790">
        <f t="shared" si="289"/>
        <v>1600</v>
      </c>
      <c r="AL451" s="791">
        <f t="shared" si="290"/>
        <v>365</v>
      </c>
      <c r="AM451" s="791">
        <f t="shared" si="291"/>
        <v>101</v>
      </c>
      <c r="AN451" s="783">
        <f t="shared" si="292"/>
        <v>313</v>
      </c>
      <c r="AO451" s="783">
        <f t="shared" si="293"/>
        <v>1287</v>
      </c>
      <c r="AP451" s="790">
        <f t="shared" si="294"/>
        <v>1287</v>
      </c>
      <c r="AQ451" s="790">
        <f t="shared" si="295"/>
        <v>1600</v>
      </c>
      <c r="AR451" s="791">
        <f t="shared" si="296"/>
        <v>366</v>
      </c>
      <c r="AS451" s="791">
        <f t="shared" si="297"/>
        <v>102</v>
      </c>
      <c r="AT451" s="790">
        <f t="shared" si="298"/>
        <v>415</v>
      </c>
      <c r="AU451" s="790">
        <f t="shared" si="299"/>
        <v>1185</v>
      </c>
    </row>
    <row r="452" spans="1:47" ht="15" customHeight="1" x14ac:dyDescent="0.25">
      <c r="A452" s="955" t="s">
        <v>1317</v>
      </c>
      <c r="B452" s="843" t="s">
        <v>1336</v>
      </c>
      <c r="C452" s="778">
        <f t="shared" si="263"/>
        <v>6.3333333333333325E-2</v>
      </c>
      <c r="D452" s="881">
        <v>15</v>
      </c>
      <c r="E452" s="844" t="s">
        <v>1205</v>
      </c>
      <c r="F452" s="845">
        <v>43889</v>
      </c>
      <c r="G452" s="956">
        <f t="shared" si="300"/>
        <v>43889</v>
      </c>
      <c r="H452" s="781">
        <f t="shared" si="264"/>
        <v>49364</v>
      </c>
      <c r="I452" s="795">
        <v>3720</v>
      </c>
      <c r="J452" s="783">
        <f t="shared" si="265"/>
        <v>186</v>
      </c>
      <c r="K452" s="887"/>
      <c r="L452" s="790">
        <v>0</v>
      </c>
      <c r="M452" s="790">
        <v>0</v>
      </c>
      <c r="N452" s="790">
        <v>0</v>
      </c>
      <c r="O452" s="790">
        <v>0</v>
      </c>
      <c r="P452" s="790">
        <v>0</v>
      </c>
      <c r="Q452" s="790">
        <v>0</v>
      </c>
      <c r="R452" s="790">
        <v>0</v>
      </c>
      <c r="S452" s="790">
        <f t="shared" si="272"/>
        <v>3720</v>
      </c>
      <c r="T452" s="792">
        <f t="shared" si="273"/>
        <v>33</v>
      </c>
      <c r="U452" s="792">
        <f t="shared" si="274"/>
        <v>21</v>
      </c>
      <c r="V452" s="790">
        <f t="shared" si="275"/>
        <v>21</v>
      </c>
      <c r="W452" s="790">
        <f t="shared" si="276"/>
        <v>3699</v>
      </c>
      <c r="X452" s="790">
        <f t="shared" si="277"/>
        <v>3699</v>
      </c>
      <c r="Y452" s="783">
        <f t="shared" si="278"/>
        <v>3720</v>
      </c>
      <c r="Z452" s="783">
        <f t="shared" si="279"/>
        <v>365</v>
      </c>
      <c r="AA452" s="783">
        <f t="shared" si="280"/>
        <v>236</v>
      </c>
      <c r="AB452" s="783">
        <f t="shared" si="281"/>
        <v>257</v>
      </c>
      <c r="AC452" s="783">
        <f t="shared" si="282"/>
        <v>3463</v>
      </c>
      <c r="AD452" s="790">
        <f t="shared" si="283"/>
        <v>3463</v>
      </c>
      <c r="AE452" s="790">
        <f t="shared" si="284"/>
        <v>3720</v>
      </c>
      <c r="AF452" s="791">
        <f t="shared" si="285"/>
        <v>365</v>
      </c>
      <c r="AG452" s="791">
        <f t="shared" si="286"/>
        <v>236</v>
      </c>
      <c r="AH452" s="783">
        <f t="shared" si="287"/>
        <v>493</v>
      </c>
      <c r="AI452" s="783">
        <f t="shared" si="288"/>
        <v>3227</v>
      </c>
      <c r="AJ452" s="790">
        <f t="shared" si="301"/>
        <v>3227</v>
      </c>
      <c r="AK452" s="790">
        <f t="shared" si="289"/>
        <v>3720</v>
      </c>
      <c r="AL452" s="791">
        <f t="shared" si="290"/>
        <v>365</v>
      </c>
      <c r="AM452" s="791">
        <f t="shared" si="291"/>
        <v>236</v>
      </c>
      <c r="AN452" s="783">
        <f t="shared" si="292"/>
        <v>729</v>
      </c>
      <c r="AO452" s="783">
        <f t="shared" si="293"/>
        <v>2991</v>
      </c>
      <c r="AP452" s="790">
        <f t="shared" si="294"/>
        <v>2991</v>
      </c>
      <c r="AQ452" s="790">
        <f t="shared" si="295"/>
        <v>3720</v>
      </c>
      <c r="AR452" s="791">
        <f t="shared" si="296"/>
        <v>366</v>
      </c>
      <c r="AS452" s="791">
        <f t="shared" si="297"/>
        <v>236</v>
      </c>
      <c r="AT452" s="790">
        <f t="shared" si="298"/>
        <v>965</v>
      </c>
      <c r="AU452" s="790">
        <f t="shared" si="299"/>
        <v>2755</v>
      </c>
    </row>
    <row r="453" spans="1:47" ht="15" customHeight="1" x14ac:dyDescent="0.25">
      <c r="A453" s="955" t="s">
        <v>1317</v>
      </c>
      <c r="B453" s="843" t="s">
        <v>1336</v>
      </c>
      <c r="C453" s="778">
        <f t="shared" si="263"/>
        <v>6.3333333333333325E-2</v>
      </c>
      <c r="D453" s="881">
        <v>15</v>
      </c>
      <c r="E453" s="844" t="s">
        <v>1205</v>
      </c>
      <c r="F453" s="845">
        <v>43907</v>
      </c>
      <c r="G453" s="956">
        <f t="shared" si="300"/>
        <v>43907</v>
      </c>
      <c r="H453" s="781">
        <f t="shared" si="264"/>
        <v>49382</v>
      </c>
      <c r="I453" s="795">
        <v>600</v>
      </c>
      <c r="J453" s="783">
        <f t="shared" si="265"/>
        <v>30</v>
      </c>
      <c r="K453" s="887"/>
      <c r="L453" s="790">
        <v>0</v>
      </c>
      <c r="M453" s="790">
        <v>0</v>
      </c>
      <c r="N453" s="790">
        <v>0</v>
      </c>
      <c r="O453" s="790">
        <v>0</v>
      </c>
      <c r="P453" s="790">
        <v>0</v>
      </c>
      <c r="Q453" s="790">
        <v>0</v>
      </c>
      <c r="R453" s="790">
        <v>0</v>
      </c>
      <c r="S453" s="790">
        <f t="shared" si="272"/>
        <v>600</v>
      </c>
      <c r="T453" s="792">
        <f t="shared" si="273"/>
        <v>15</v>
      </c>
      <c r="U453" s="792">
        <f t="shared" si="274"/>
        <v>2</v>
      </c>
      <c r="V453" s="790">
        <f t="shared" si="275"/>
        <v>2</v>
      </c>
      <c r="W453" s="790">
        <f t="shared" si="276"/>
        <v>598</v>
      </c>
      <c r="X453" s="790">
        <f t="shared" si="277"/>
        <v>598</v>
      </c>
      <c r="Y453" s="783">
        <f t="shared" si="278"/>
        <v>600</v>
      </c>
      <c r="Z453" s="783">
        <f t="shared" si="279"/>
        <v>365</v>
      </c>
      <c r="AA453" s="783">
        <f t="shared" si="280"/>
        <v>38</v>
      </c>
      <c r="AB453" s="783">
        <f t="shared" si="281"/>
        <v>40</v>
      </c>
      <c r="AC453" s="783">
        <f t="shared" si="282"/>
        <v>560</v>
      </c>
      <c r="AD453" s="790">
        <f t="shared" si="283"/>
        <v>560</v>
      </c>
      <c r="AE453" s="790">
        <f t="shared" si="284"/>
        <v>600</v>
      </c>
      <c r="AF453" s="791">
        <f t="shared" si="285"/>
        <v>365</v>
      </c>
      <c r="AG453" s="791">
        <f t="shared" si="286"/>
        <v>38</v>
      </c>
      <c r="AH453" s="783">
        <f t="shared" si="287"/>
        <v>78</v>
      </c>
      <c r="AI453" s="783">
        <f t="shared" si="288"/>
        <v>522</v>
      </c>
      <c r="AJ453" s="790">
        <f t="shared" si="301"/>
        <v>522</v>
      </c>
      <c r="AK453" s="790">
        <f t="shared" si="289"/>
        <v>600</v>
      </c>
      <c r="AL453" s="791">
        <f t="shared" si="290"/>
        <v>365</v>
      </c>
      <c r="AM453" s="791">
        <f t="shared" si="291"/>
        <v>38</v>
      </c>
      <c r="AN453" s="783">
        <f t="shared" si="292"/>
        <v>116</v>
      </c>
      <c r="AO453" s="783">
        <f t="shared" si="293"/>
        <v>484</v>
      </c>
      <c r="AP453" s="790">
        <f t="shared" si="294"/>
        <v>484</v>
      </c>
      <c r="AQ453" s="790">
        <f t="shared" si="295"/>
        <v>600</v>
      </c>
      <c r="AR453" s="791">
        <f t="shared" si="296"/>
        <v>366</v>
      </c>
      <c r="AS453" s="791">
        <f t="shared" si="297"/>
        <v>38</v>
      </c>
      <c r="AT453" s="790">
        <f t="shared" si="298"/>
        <v>154</v>
      </c>
      <c r="AU453" s="790">
        <f t="shared" si="299"/>
        <v>446</v>
      </c>
    </row>
    <row r="454" spans="1:47" ht="15" customHeight="1" x14ac:dyDescent="0.25">
      <c r="A454" s="955" t="s">
        <v>1317</v>
      </c>
      <c r="B454" s="843" t="s">
        <v>1352</v>
      </c>
      <c r="C454" s="778">
        <f t="shared" si="263"/>
        <v>6.3333333333333325E-2</v>
      </c>
      <c r="D454" s="881">
        <v>15</v>
      </c>
      <c r="E454" s="844" t="s">
        <v>1207</v>
      </c>
      <c r="F454" s="845">
        <v>44174</v>
      </c>
      <c r="G454" s="956">
        <f t="shared" si="300"/>
        <v>44174</v>
      </c>
      <c r="H454" s="781">
        <f t="shared" si="264"/>
        <v>49649</v>
      </c>
      <c r="I454" s="795">
        <f>554400</f>
        <v>554400</v>
      </c>
      <c r="J454" s="783">
        <f t="shared" si="265"/>
        <v>27720</v>
      </c>
      <c r="K454" s="887"/>
      <c r="L454" s="846">
        <v>0</v>
      </c>
      <c r="M454" s="846">
        <v>0</v>
      </c>
      <c r="N454" s="846">
        <v>0</v>
      </c>
      <c r="O454" s="846">
        <v>0</v>
      </c>
      <c r="P454" s="846">
        <v>0</v>
      </c>
      <c r="Q454" s="846">
        <v>0</v>
      </c>
      <c r="R454" s="846">
        <v>0</v>
      </c>
      <c r="S454" s="846">
        <v>0</v>
      </c>
      <c r="T454" s="846">
        <v>0</v>
      </c>
      <c r="U454" s="846">
        <v>0</v>
      </c>
      <c r="V454" s="846">
        <v>0</v>
      </c>
      <c r="W454" s="846">
        <v>0</v>
      </c>
      <c r="X454" s="846">
        <v>0</v>
      </c>
      <c r="Y454" s="783">
        <f t="shared" si="278"/>
        <v>554400</v>
      </c>
      <c r="Z454" s="783">
        <f t="shared" si="279"/>
        <v>113</v>
      </c>
      <c r="AA454" s="783">
        <f t="shared" si="280"/>
        <v>10870</v>
      </c>
      <c r="AB454" s="783">
        <f t="shared" si="281"/>
        <v>10870</v>
      </c>
      <c r="AC454" s="848">
        <f t="shared" si="282"/>
        <v>543530</v>
      </c>
      <c r="AD454" s="789">
        <f t="shared" si="283"/>
        <v>543530</v>
      </c>
      <c r="AE454" s="790">
        <f t="shared" si="284"/>
        <v>554400</v>
      </c>
      <c r="AF454" s="791">
        <f t="shared" si="285"/>
        <v>365</v>
      </c>
      <c r="AG454" s="791">
        <f t="shared" si="286"/>
        <v>35112</v>
      </c>
      <c r="AH454" s="783">
        <f t="shared" si="287"/>
        <v>45982</v>
      </c>
      <c r="AI454" s="783">
        <f t="shared" si="288"/>
        <v>508418</v>
      </c>
      <c r="AJ454" s="790">
        <f t="shared" si="301"/>
        <v>508418</v>
      </c>
      <c r="AK454" s="790">
        <f t="shared" si="289"/>
        <v>554400</v>
      </c>
      <c r="AL454" s="791">
        <f t="shared" si="290"/>
        <v>365</v>
      </c>
      <c r="AM454" s="791">
        <f t="shared" si="291"/>
        <v>35112</v>
      </c>
      <c r="AN454" s="783">
        <f t="shared" si="292"/>
        <v>81094</v>
      </c>
      <c r="AO454" s="783">
        <f t="shared" si="293"/>
        <v>473306</v>
      </c>
      <c r="AP454" s="790">
        <f t="shared" si="294"/>
        <v>473306</v>
      </c>
      <c r="AQ454" s="790">
        <f t="shared" si="295"/>
        <v>554400</v>
      </c>
      <c r="AR454" s="791">
        <f t="shared" si="296"/>
        <v>366</v>
      </c>
      <c r="AS454" s="791">
        <f t="shared" si="297"/>
        <v>35208</v>
      </c>
      <c r="AT454" s="790">
        <f t="shared" si="298"/>
        <v>116302</v>
      </c>
      <c r="AU454" s="790">
        <f t="shared" si="299"/>
        <v>438098</v>
      </c>
    </row>
    <row r="455" spans="1:47" ht="15" customHeight="1" x14ac:dyDescent="0.25">
      <c r="A455" s="955" t="s">
        <v>1317</v>
      </c>
      <c r="B455" s="843" t="s">
        <v>1353</v>
      </c>
      <c r="C455" s="778">
        <f t="shared" si="263"/>
        <v>6.3333333333333325E-2</v>
      </c>
      <c r="D455" s="881">
        <v>15</v>
      </c>
      <c r="E455" s="844" t="s">
        <v>1207</v>
      </c>
      <c r="F455" s="845">
        <v>44183</v>
      </c>
      <c r="G455" s="956">
        <f t="shared" si="300"/>
        <v>44183</v>
      </c>
      <c r="H455" s="781">
        <f t="shared" si="264"/>
        <v>49658</v>
      </c>
      <c r="I455" s="795">
        <f>33250</f>
        <v>33250</v>
      </c>
      <c r="J455" s="783">
        <f t="shared" si="265"/>
        <v>1662.5</v>
      </c>
      <c r="K455" s="887"/>
      <c r="L455" s="846">
        <v>0</v>
      </c>
      <c r="M455" s="846">
        <v>0</v>
      </c>
      <c r="N455" s="846">
        <v>0</v>
      </c>
      <c r="O455" s="846">
        <v>0</v>
      </c>
      <c r="P455" s="846">
        <v>0</v>
      </c>
      <c r="Q455" s="846">
        <v>0</v>
      </c>
      <c r="R455" s="846">
        <v>0</v>
      </c>
      <c r="S455" s="846">
        <v>0</v>
      </c>
      <c r="T455" s="846">
        <v>0</v>
      </c>
      <c r="U455" s="846">
        <v>0</v>
      </c>
      <c r="V455" s="846">
        <v>0</v>
      </c>
      <c r="W455" s="846">
        <v>0</v>
      </c>
      <c r="X455" s="846">
        <v>0</v>
      </c>
      <c r="Y455" s="783">
        <f t="shared" si="278"/>
        <v>33250</v>
      </c>
      <c r="Z455" s="783">
        <f t="shared" si="279"/>
        <v>104</v>
      </c>
      <c r="AA455" s="783">
        <f t="shared" si="280"/>
        <v>600</v>
      </c>
      <c r="AB455" s="783">
        <f t="shared" si="281"/>
        <v>600</v>
      </c>
      <c r="AC455" s="848">
        <f t="shared" si="282"/>
        <v>32650</v>
      </c>
      <c r="AD455" s="789">
        <f t="shared" si="283"/>
        <v>32650</v>
      </c>
      <c r="AE455" s="790">
        <f t="shared" si="284"/>
        <v>33250</v>
      </c>
      <c r="AF455" s="791">
        <f t="shared" si="285"/>
        <v>365</v>
      </c>
      <c r="AG455" s="791">
        <f t="shared" si="286"/>
        <v>2106</v>
      </c>
      <c r="AH455" s="783">
        <f t="shared" si="287"/>
        <v>2706</v>
      </c>
      <c r="AI455" s="783">
        <f t="shared" si="288"/>
        <v>30544</v>
      </c>
      <c r="AJ455" s="790">
        <f t="shared" si="301"/>
        <v>30544</v>
      </c>
      <c r="AK455" s="790">
        <f t="shared" si="289"/>
        <v>33250</v>
      </c>
      <c r="AL455" s="791">
        <f t="shared" si="290"/>
        <v>365</v>
      </c>
      <c r="AM455" s="791">
        <f t="shared" si="291"/>
        <v>2106</v>
      </c>
      <c r="AN455" s="783">
        <f t="shared" si="292"/>
        <v>4812</v>
      </c>
      <c r="AO455" s="783">
        <f t="shared" si="293"/>
        <v>28438</v>
      </c>
      <c r="AP455" s="790">
        <f t="shared" si="294"/>
        <v>28438</v>
      </c>
      <c r="AQ455" s="790">
        <f t="shared" si="295"/>
        <v>33250</v>
      </c>
      <c r="AR455" s="791">
        <f t="shared" si="296"/>
        <v>366</v>
      </c>
      <c r="AS455" s="791">
        <f t="shared" si="297"/>
        <v>2112</v>
      </c>
      <c r="AT455" s="790">
        <f t="shared" si="298"/>
        <v>6924</v>
      </c>
      <c r="AU455" s="790">
        <f t="shared" si="299"/>
        <v>26326</v>
      </c>
    </row>
    <row r="456" spans="1:47" ht="15" customHeight="1" x14ac:dyDescent="0.25">
      <c r="A456" s="955" t="s">
        <v>1317</v>
      </c>
      <c r="B456" s="843" t="s">
        <v>1354</v>
      </c>
      <c r="C456" s="778">
        <f t="shared" si="263"/>
        <v>6.3333333333333325E-2</v>
      </c>
      <c r="D456" s="881">
        <v>15</v>
      </c>
      <c r="E456" s="844" t="s">
        <v>1207</v>
      </c>
      <c r="F456" s="845">
        <v>44180</v>
      </c>
      <c r="G456" s="956">
        <f t="shared" si="300"/>
        <v>44180</v>
      </c>
      <c r="H456" s="781">
        <f t="shared" si="264"/>
        <v>49655</v>
      </c>
      <c r="I456" s="795">
        <f>12711864.41+800</f>
        <v>12712664.41</v>
      </c>
      <c r="J456" s="783">
        <f t="shared" si="265"/>
        <v>635633.22050000005</v>
      </c>
      <c r="K456" s="887"/>
      <c r="L456" s="846">
        <v>0</v>
      </c>
      <c r="M456" s="846">
        <v>0</v>
      </c>
      <c r="N456" s="846">
        <v>0</v>
      </c>
      <c r="O456" s="846">
        <v>0</v>
      </c>
      <c r="P456" s="846">
        <v>0</v>
      </c>
      <c r="Q456" s="846">
        <v>0</v>
      </c>
      <c r="R456" s="846">
        <v>0</v>
      </c>
      <c r="S456" s="846">
        <v>0</v>
      </c>
      <c r="T456" s="846">
        <v>0</v>
      </c>
      <c r="U456" s="846">
        <v>0</v>
      </c>
      <c r="V456" s="846">
        <v>0</v>
      </c>
      <c r="W456" s="846">
        <v>0</v>
      </c>
      <c r="X456" s="846">
        <v>0</v>
      </c>
      <c r="Y456" s="783">
        <f t="shared" si="278"/>
        <v>12712664.41</v>
      </c>
      <c r="Z456" s="783">
        <f t="shared" si="279"/>
        <v>107</v>
      </c>
      <c r="AA456" s="783">
        <f t="shared" si="280"/>
        <v>236026</v>
      </c>
      <c r="AB456" s="783">
        <f t="shared" si="281"/>
        <v>236026</v>
      </c>
      <c r="AC456" s="848">
        <f t="shared" si="282"/>
        <v>12476638.41</v>
      </c>
      <c r="AD456" s="789">
        <f t="shared" si="283"/>
        <v>12476638.41</v>
      </c>
      <c r="AE456" s="790">
        <f t="shared" si="284"/>
        <v>12712664.41</v>
      </c>
      <c r="AF456" s="791">
        <f t="shared" si="285"/>
        <v>365</v>
      </c>
      <c r="AG456" s="791">
        <f t="shared" si="286"/>
        <v>805135</v>
      </c>
      <c r="AH456" s="783">
        <f t="shared" si="287"/>
        <v>1041161</v>
      </c>
      <c r="AI456" s="783">
        <f t="shared" si="288"/>
        <v>11671503.41</v>
      </c>
      <c r="AJ456" s="790">
        <f t="shared" si="301"/>
        <v>11671503.41</v>
      </c>
      <c r="AK456" s="790">
        <f t="shared" si="289"/>
        <v>12712664.41</v>
      </c>
      <c r="AL456" s="791">
        <f t="shared" si="290"/>
        <v>365</v>
      </c>
      <c r="AM456" s="791">
        <f t="shared" si="291"/>
        <v>805135</v>
      </c>
      <c r="AN456" s="783">
        <f t="shared" si="292"/>
        <v>1846296</v>
      </c>
      <c r="AO456" s="783">
        <f t="shared" si="293"/>
        <v>10866368.41</v>
      </c>
      <c r="AP456" s="790">
        <f t="shared" si="294"/>
        <v>10866368.41</v>
      </c>
      <c r="AQ456" s="790">
        <f t="shared" si="295"/>
        <v>12712664.41</v>
      </c>
      <c r="AR456" s="791">
        <f t="shared" si="296"/>
        <v>366</v>
      </c>
      <c r="AS456" s="791">
        <f t="shared" si="297"/>
        <v>807341</v>
      </c>
      <c r="AT456" s="790">
        <f t="shared" si="298"/>
        <v>2653637</v>
      </c>
      <c r="AU456" s="790">
        <f t="shared" si="299"/>
        <v>10059027.41</v>
      </c>
    </row>
    <row r="457" spans="1:47" ht="15" customHeight="1" x14ac:dyDescent="0.25">
      <c r="A457" s="955" t="s">
        <v>1317</v>
      </c>
      <c r="B457" s="843" t="s">
        <v>1355</v>
      </c>
      <c r="C457" s="778">
        <f t="shared" si="263"/>
        <v>6.3333333333333325E-2</v>
      </c>
      <c r="D457" s="881">
        <v>15</v>
      </c>
      <c r="E457" s="844" t="s">
        <v>1207</v>
      </c>
      <c r="F457" s="845">
        <v>44125</v>
      </c>
      <c r="G457" s="956">
        <f t="shared" si="300"/>
        <v>44125</v>
      </c>
      <c r="H457" s="781">
        <f t="shared" si="264"/>
        <v>49600</v>
      </c>
      <c r="I457" s="795">
        <v>725000</v>
      </c>
      <c r="J457" s="783">
        <f t="shared" si="265"/>
        <v>36250</v>
      </c>
      <c r="K457" s="960"/>
      <c r="L457" s="846">
        <v>0</v>
      </c>
      <c r="M457" s="846">
        <v>0</v>
      </c>
      <c r="N457" s="846">
        <v>0</v>
      </c>
      <c r="O457" s="846">
        <v>0</v>
      </c>
      <c r="P457" s="846">
        <v>0</v>
      </c>
      <c r="Q457" s="846">
        <v>0</v>
      </c>
      <c r="R457" s="846">
        <v>0</v>
      </c>
      <c r="S457" s="846">
        <v>0</v>
      </c>
      <c r="T457" s="846">
        <v>0</v>
      </c>
      <c r="U457" s="846">
        <v>0</v>
      </c>
      <c r="V457" s="846">
        <v>0</v>
      </c>
      <c r="W457" s="846">
        <v>0</v>
      </c>
      <c r="X457" s="846">
        <v>0</v>
      </c>
      <c r="Y457" s="783">
        <f t="shared" si="278"/>
        <v>725000</v>
      </c>
      <c r="Z457" s="783">
        <f t="shared" si="279"/>
        <v>162</v>
      </c>
      <c r="AA457" s="783">
        <f t="shared" si="280"/>
        <v>20379</v>
      </c>
      <c r="AB457" s="783">
        <f t="shared" si="281"/>
        <v>20379</v>
      </c>
      <c r="AC457" s="848">
        <f t="shared" si="282"/>
        <v>704621</v>
      </c>
      <c r="AD457" s="789">
        <f t="shared" si="283"/>
        <v>704621</v>
      </c>
      <c r="AE457" s="790">
        <f t="shared" si="284"/>
        <v>725000</v>
      </c>
      <c r="AF457" s="791">
        <f t="shared" si="285"/>
        <v>365</v>
      </c>
      <c r="AG457" s="791">
        <f t="shared" si="286"/>
        <v>45917</v>
      </c>
      <c r="AH457" s="783">
        <f t="shared" si="287"/>
        <v>66296</v>
      </c>
      <c r="AI457" s="783">
        <f t="shared" si="288"/>
        <v>658704</v>
      </c>
      <c r="AJ457" s="790">
        <f t="shared" si="301"/>
        <v>658704</v>
      </c>
      <c r="AK457" s="790">
        <f t="shared" si="289"/>
        <v>725000</v>
      </c>
      <c r="AL457" s="791">
        <f t="shared" si="290"/>
        <v>365</v>
      </c>
      <c r="AM457" s="791">
        <f t="shared" si="291"/>
        <v>45917</v>
      </c>
      <c r="AN457" s="783">
        <f t="shared" si="292"/>
        <v>112213</v>
      </c>
      <c r="AO457" s="783">
        <f t="shared" si="293"/>
        <v>612787</v>
      </c>
      <c r="AP457" s="790">
        <f t="shared" si="294"/>
        <v>612787</v>
      </c>
      <c r="AQ457" s="790">
        <f t="shared" si="295"/>
        <v>725000</v>
      </c>
      <c r="AR457" s="791">
        <f t="shared" si="296"/>
        <v>366</v>
      </c>
      <c r="AS457" s="791">
        <f t="shared" si="297"/>
        <v>46042</v>
      </c>
      <c r="AT457" s="790">
        <f t="shared" si="298"/>
        <v>158255</v>
      </c>
      <c r="AU457" s="790">
        <f t="shared" si="299"/>
        <v>566745</v>
      </c>
    </row>
    <row r="458" spans="1:47" ht="15.75" customHeight="1" thickBot="1" x14ac:dyDescent="0.3">
      <c r="A458" s="955" t="s">
        <v>1317</v>
      </c>
      <c r="B458" s="843" t="s">
        <v>1353</v>
      </c>
      <c r="C458" s="778">
        <f t="shared" si="263"/>
        <v>6.3333333333333325E-2</v>
      </c>
      <c r="D458" s="881">
        <v>15</v>
      </c>
      <c r="E458" s="844" t="s">
        <v>1207</v>
      </c>
      <c r="F458" s="845">
        <v>44198</v>
      </c>
      <c r="G458" s="956">
        <f t="shared" si="300"/>
        <v>44198</v>
      </c>
      <c r="H458" s="781">
        <f t="shared" si="264"/>
        <v>49673</v>
      </c>
      <c r="I458" s="795">
        <v>590000</v>
      </c>
      <c r="J458" s="783">
        <f t="shared" si="265"/>
        <v>29500</v>
      </c>
      <c r="K458" s="961"/>
      <c r="L458" s="846">
        <v>0</v>
      </c>
      <c r="M458" s="846">
        <v>0</v>
      </c>
      <c r="N458" s="846">
        <v>0</v>
      </c>
      <c r="O458" s="846">
        <v>0</v>
      </c>
      <c r="P458" s="846">
        <v>0</v>
      </c>
      <c r="Q458" s="846">
        <v>0</v>
      </c>
      <c r="R458" s="846">
        <v>0</v>
      </c>
      <c r="S458" s="846">
        <v>0</v>
      </c>
      <c r="T458" s="846">
        <v>0</v>
      </c>
      <c r="U458" s="846">
        <v>0</v>
      </c>
      <c r="V458" s="846">
        <v>0</v>
      </c>
      <c r="W458" s="846">
        <v>0</v>
      </c>
      <c r="X458" s="846">
        <f t="shared" si="277"/>
        <v>0</v>
      </c>
      <c r="Y458" s="783">
        <f t="shared" si="278"/>
        <v>590000</v>
      </c>
      <c r="Z458" s="783">
        <f t="shared" si="279"/>
        <v>89</v>
      </c>
      <c r="AA458" s="783">
        <f t="shared" si="280"/>
        <v>9111</v>
      </c>
      <c r="AB458" s="783">
        <f t="shared" si="281"/>
        <v>9111</v>
      </c>
      <c r="AC458" s="848">
        <f t="shared" si="282"/>
        <v>580889</v>
      </c>
      <c r="AD458" s="789">
        <f t="shared" si="283"/>
        <v>580889</v>
      </c>
      <c r="AE458" s="790">
        <f t="shared" si="284"/>
        <v>590000</v>
      </c>
      <c r="AF458" s="791">
        <f t="shared" si="285"/>
        <v>365</v>
      </c>
      <c r="AG458" s="791">
        <f t="shared" si="286"/>
        <v>37367</v>
      </c>
      <c r="AH458" s="783">
        <f t="shared" si="287"/>
        <v>46478</v>
      </c>
      <c r="AI458" s="783">
        <f t="shared" si="288"/>
        <v>543522</v>
      </c>
      <c r="AJ458" s="790">
        <f t="shared" si="301"/>
        <v>543522</v>
      </c>
      <c r="AK458" s="790">
        <f t="shared" si="289"/>
        <v>590000</v>
      </c>
      <c r="AL458" s="791">
        <f t="shared" si="290"/>
        <v>365</v>
      </c>
      <c r="AM458" s="791">
        <f t="shared" si="291"/>
        <v>37367</v>
      </c>
      <c r="AN458" s="783">
        <f t="shared" si="292"/>
        <v>83845</v>
      </c>
      <c r="AO458" s="783">
        <f t="shared" si="293"/>
        <v>506155</v>
      </c>
      <c r="AP458" s="790">
        <f t="shared" si="294"/>
        <v>506155</v>
      </c>
      <c r="AQ458" s="790">
        <f t="shared" si="295"/>
        <v>590000</v>
      </c>
      <c r="AR458" s="791">
        <f t="shared" si="296"/>
        <v>366</v>
      </c>
      <c r="AS458" s="791">
        <f t="shared" si="297"/>
        <v>37469</v>
      </c>
      <c r="AT458" s="790">
        <f t="shared" si="298"/>
        <v>121314</v>
      </c>
      <c r="AU458" s="790">
        <f t="shared" si="299"/>
        <v>468686</v>
      </c>
    </row>
    <row r="459" spans="1:47" ht="16.5" thickTop="1" x14ac:dyDescent="0.25">
      <c r="A459" s="955" t="s">
        <v>1317</v>
      </c>
      <c r="B459" s="843" t="s">
        <v>1354</v>
      </c>
      <c r="C459" s="778">
        <f t="shared" si="263"/>
        <v>6.3333333333333325E-2</v>
      </c>
      <c r="D459" s="881">
        <v>15</v>
      </c>
      <c r="E459" s="844" t="s">
        <v>1207</v>
      </c>
      <c r="F459" s="845">
        <v>44279</v>
      </c>
      <c r="G459" s="956">
        <f t="shared" si="300"/>
        <v>44279</v>
      </c>
      <c r="H459" s="781">
        <f t="shared" si="264"/>
        <v>49754</v>
      </c>
      <c r="I459" s="795">
        <v>2985000</v>
      </c>
      <c r="J459" s="783">
        <f t="shared" si="265"/>
        <v>149250</v>
      </c>
      <c r="K459" s="960"/>
      <c r="L459" s="846">
        <v>0</v>
      </c>
      <c r="M459" s="846">
        <v>0</v>
      </c>
      <c r="N459" s="846">
        <v>0</v>
      </c>
      <c r="O459" s="846">
        <v>0</v>
      </c>
      <c r="P459" s="846">
        <v>0</v>
      </c>
      <c r="Q459" s="846">
        <v>0</v>
      </c>
      <c r="R459" s="846">
        <v>0</v>
      </c>
      <c r="S459" s="846">
        <v>0</v>
      </c>
      <c r="T459" s="846">
        <v>0</v>
      </c>
      <c r="U459" s="846">
        <v>0</v>
      </c>
      <c r="V459" s="846">
        <v>0</v>
      </c>
      <c r="W459" s="846">
        <v>0</v>
      </c>
      <c r="X459" s="846">
        <f t="shared" si="277"/>
        <v>0</v>
      </c>
      <c r="Y459" s="783">
        <f t="shared" si="278"/>
        <v>2985000</v>
      </c>
      <c r="Z459" s="783">
        <f t="shared" si="279"/>
        <v>8</v>
      </c>
      <c r="AA459" s="783">
        <f t="shared" si="280"/>
        <v>4144</v>
      </c>
      <c r="AB459" s="783">
        <f t="shared" si="281"/>
        <v>4144</v>
      </c>
      <c r="AC459" s="848">
        <f t="shared" si="282"/>
        <v>2980856</v>
      </c>
      <c r="AD459" s="789">
        <f t="shared" si="283"/>
        <v>2980856</v>
      </c>
      <c r="AE459" s="790">
        <f t="shared" si="284"/>
        <v>2985000</v>
      </c>
      <c r="AF459" s="791">
        <f t="shared" si="285"/>
        <v>365</v>
      </c>
      <c r="AG459" s="791">
        <f t="shared" si="286"/>
        <v>189050</v>
      </c>
      <c r="AH459" s="783">
        <f t="shared" si="287"/>
        <v>193194</v>
      </c>
      <c r="AI459" s="783">
        <f t="shared" si="288"/>
        <v>2791806</v>
      </c>
      <c r="AJ459" s="790">
        <f t="shared" si="301"/>
        <v>2791806</v>
      </c>
      <c r="AK459" s="790">
        <f t="shared" si="289"/>
        <v>2985000</v>
      </c>
      <c r="AL459" s="791">
        <f t="shared" si="290"/>
        <v>365</v>
      </c>
      <c r="AM459" s="791">
        <f t="shared" si="291"/>
        <v>189050</v>
      </c>
      <c r="AN459" s="783">
        <f t="shared" si="292"/>
        <v>382244</v>
      </c>
      <c r="AO459" s="783">
        <f t="shared" si="293"/>
        <v>2602756</v>
      </c>
      <c r="AP459" s="790">
        <f t="shared" si="294"/>
        <v>2602756</v>
      </c>
      <c r="AQ459" s="790">
        <f t="shared" si="295"/>
        <v>2985000</v>
      </c>
      <c r="AR459" s="791">
        <f t="shared" si="296"/>
        <v>366</v>
      </c>
      <c r="AS459" s="791">
        <f t="shared" si="297"/>
        <v>189568</v>
      </c>
      <c r="AT459" s="790">
        <f t="shared" si="298"/>
        <v>571812</v>
      </c>
      <c r="AU459" s="790">
        <f t="shared" si="299"/>
        <v>2413188</v>
      </c>
    </row>
    <row r="460" spans="1:47" ht="16.5" thickBot="1" x14ac:dyDescent="0.3">
      <c r="A460" s="955" t="s">
        <v>1317</v>
      </c>
      <c r="B460" s="843" t="s">
        <v>1356</v>
      </c>
      <c r="C460" s="778">
        <f t="shared" si="263"/>
        <v>6.3333333333333325E-2</v>
      </c>
      <c r="D460" s="881">
        <v>15</v>
      </c>
      <c r="E460" s="844" t="s">
        <v>1207</v>
      </c>
      <c r="F460" s="845">
        <v>44268</v>
      </c>
      <c r="G460" s="956">
        <f t="shared" si="300"/>
        <v>44268</v>
      </c>
      <c r="H460" s="781">
        <f t="shared" si="264"/>
        <v>49743</v>
      </c>
      <c r="I460" s="795">
        <v>554400</v>
      </c>
      <c r="J460" s="783">
        <f t="shared" si="265"/>
        <v>27720</v>
      </c>
      <c r="K460" s="962"/>
      <c r="L460" s="846">
        <v>0</v>
      </c>
      <c r="M460" s="846">
        <v>0</v>
      </c>
      <c r="N460" s="846">
        <v>0</v>
      </c>
      <c r="O460" s="846">
        <v>0</v>
      </c>
      <c r="P460" s="846">
        <v>0</v>
      </c>
      <c r="Q460" s="846">
        <v>0</v>
      </c>
      <c r="R460" s="846">
        <v>0</v>
      </c>
      <c r="S460" s="846">
        <v>0</v>
      </c>
      <c r="T460" s="846">
        <v>0</v>
      </c>
      <c r="U460" s="846">
        <v>0</v>
      </c>
      <c r="V460" s="846">
        <v>0</v>
      </c>
      <c r="W460" s="846">
        <v>0</v>
      </c>
      <c r="X460" s="846">
        <f t="shared" si="277"/>
        <v>0</v>
      </c>
      <c r="Y460" s="783">
        <f t="shared" si="278"/>
        <v>554400</v>
      </c>
      <c r="Z460" s="783">
        <f t="shared" si="279"/>
        <v>19</v>
      </c>
      <c r="AA460" s="783">
        <f t="shared" si="280"/>
        <v>1828</v>
      </c>
      <c r="AB460" s="783">
        <f t="shared" si="281"/>
        <v>1828</v>
      </c>
      <c r="AC460" s="848">
        <f t="shared" si="282"/>
        <v>552572</v>
      </c>
      <c r="AD460" s="789">
        <f t="shared" si="283"/>
        <v>552572</v>
      </c>
      <c r="AE460" s="790">
        <f t="shared" si="284"/>
        <v>554400</v>
      </c>
      <c r="AF460" s="791">
        <f t="shared" si="285"/>
        <v>365</v>
      </c>
      <c r="AG460" s="791">
        <f t="shared" si="286"/>
        <v>35112</v>
      </c>
      <c r="AH460" s="783">
        <f t="shared" si="287"/>
        <v>36940</v>
      </c>
      <c r="AI460" s="783">
        <f t="shared" si="288"/>
        <v>517460</v>
      </c>
      <c r="AJ460" s="790">
        <f t="shared" si="301"/>
        <v>517460</v>
      </c>
      <c r="AK460" s="790">
        <f t="shared" si="289"/>
        <v>554400</v>
      </c>
      <c r="AL460" s="791">
        <f t="shared" si="290"/>
        <v>365</v>
      </c>
      <c r="AM460" s="791">
        <f t="shared" si="291"/>
        <v>35112</v>
      </c>
      <c r="AN460" s="783">
        <f t="shared" si="292"/>
        <v>72052</v>
      </c>
      <c r="AO460" s="783">
        <f t="shared" si="293"/>
        <v>482348</v>
      </c>
      <c r="AP460" s="790">
        <f t="shared" si="294"/>
        <v>482348</v>
      </c>
      <c r="AQ460" s="790">
        <f t="shared" si="295"/>
        <v>554400</v>
      </c>
      <c r="AR460" s="791">
        <f t="shared" si="296"/>
        <v>366</v>
      </c>
      <c r="AS460" s="791">
        <f t="shared" si="297"/>
        <v>35208</v>
      </c>
      <c r="AT460" s="790">
        <f t="shared" si="298"/>
        <v>107260</v>
      </c>
      <c r="AU460" s="790">
        <f t="shared" si="299"/>
        <v>447140</v>
      </c>
    </row>
    <row r="461" spans="1:47" ht="15.75" x14ac:dyDescent="0.25">
      <c r="A461" s="955" t="s">
        <v>1317</v>
      </c>
      <c r="B461" s="843" t="s">
        <v>1353</v>
      </c>
      <c r="C461" s="778">
        <f t="shared" si="263"/>
        <v>6.3333333333333325E-2</v>
      </c>
      <c r="D461" s="881">
        <v>15</v>
      </c>
      <c r="E461" s="844" t="s">
        <v>723</v>
      </c>
      <c r="F461" s="845">
        <v>44298</v>
      </c>
      <c r="G461" s="956">
        <f t="shared" si="300"/>
        <v>44298</v>
      </c>
      <c r="H461" s="781">
        <f t="shared" si="264"/>
        <v>49773</v>
      </c>
      <c r="I461" s="795">
        <v>640000</v>
      </c>
      <c r="J461" s="783">
        <f t="shared" si="265"/>
        <v>32000</v>
      </c>
      <c r="L461" s="846">
        <v>0</v>
      </c>
      <c r="M461" s="846">
        <v>0</v>
      </c>
      <c r="N461" s="846">
        <v>0</v>
      </c>
      <c r="O461" s="846">
        <v>0</v>
      </c>
      <c r="P461" s="846">
        <v>0</v>
      </c>
      <c r="Q461" s="846">
        <v>0</v>
      </c>
      <c r="R461" s="846">
        <v>0</v>
      </c>
      <c r="S461" s="846">
        <v>0</v>
      </c>
      <c r="T461" s="846">
        <v>0</v>
      </c>
      <c r="U461" s="846">
        <v>0</v>
      </c>
      <c r="V461" s="846">
        <v>0</v>
      </c>
      <c r="W461" s="846">
        <v>0</v>
      </c>
      <c r="X461" s="846">
        <v>0</v>
      </c>
      <c r="Y461" s="846">
        <v>0</v>
      </c>
      <c r="Z461" s="846">
        <v>0</v>
      </c>
      <c r="AA461" s="846">
        <v>0</v>
      </c>
      <c r="AB461" s="846">
        <v>0</v>
      </c>
      <c r="AC461" s="846">
        <v>0</v>
      </c>
      <c r="AD461" s="789">
        <f t="shared" si="283"/>
        <v>0</v>
      </c>
      <c r="AE461" s="790">
        <f t="shared" si="284"/>
        <v>640000</v>
      </c>
      <c r="AF461" s="791">
        <f t="shared" si="285"/>
        <v>354</v>
      </c>
      <c r="AG461" s="791">
        <f t="shared" si="286"/>
        <v>39312</v>
      </c>
      <c r="AH461" s="783">
        <f t="shared" si="287"/>
        <v>39312</v>
      </c>
      <c r="AI461" s="783">
        <f t="shared" si="288"/>
        <v>600688</v>
      </c>
      <c r="AJ461" s="790">
        <f t="shared" si="301"/>
        <v>600688</v>
      </c>
      <c r="AK461" s="790">
        <f t="shared" si="289"/>
        <v>640000</v>
      </c>
      <c r="AL461" s="791">
        <f t="shared" si="290"/>
        <v>365</v>
      </c>
      <c r="AM461" s="791">
        <f t="shared" si="291"/>
        <v>40533</v>
      </c>
      <c r="AN461" s="783">
        <f t="shared" si="292"/>
        <v>79845</v>
      </c>
      <c r="AO461" s="783">
        <f t="shared" si="293"/>
        <v>560155</v>
      </c>
      <c r="AP461" s="790">
        <f t="shared" si="294"/>
        <v>560155</v>
      </c>
      <c r="AQ461" s="790">
        <f t="shared" si="295"/>
        <v>640000</v>
      </c>
      <c r="AR461" s="791">
        <f t="shared" si="296"/>
        <v>366</v>
      </c>
      <c r="AS461" s="791">
        <f t="shared" si="297"/>
        <v>40644</v>
      </c>
      <c r="AT461" s="790">
        <f t="shared" si="298"/>
        <v>120489</v>
      </c>
      <c r="AU461" s="790">
        <f t="shared" si="299"/>
        <v>519511</v>
      </c>
    </row>
    <row r="462" spans="1:47" ht="16.5" thickBot="1" x14ac:dyDescent="0.3">
      <c r="A462" s="955" t="s">
        <v>1317</v>
      </c>
      <c r="B462" s="843" t="s">
        <v>1354</v>
      </c>
      <c r="C462" s="778">
        <f t="shared" si="263"/>
        <v>6.3333333333333325E-2</v>
      </c>
      <c r="D462" s="881">
        <v>15</v>
      </c>
      <c r="E462" s="844" t="s">
        <v>723</v>
      </c>
      <c r="F462" s="845">
        <v>44412</v>
      </c>
      <c r="G462" s="956">
        <f t="shared" si="300"/>
        <v>44412</v>
      </c>
      <c r="H462" s="781">
        <f t="shared" si="264"/>
        <v>49887</v>
      </c>
      <c r="I462" s="795">
        <f>15835859.06-380000</f>
        <v>15455859.060000001</v>
      </c>
      <c r="J462" s="783">
        <f t="shared" si="265"/>
        <v>772792.9530000001</v>
      </c>
      <c r="K462" s="963"/>
      <c r="L462" s="846">
        <v>0</v>
      </c>
      <c r="M462" s="846">
        <v>0</v>
      </c>
      <c r="N462" s="846">
        <v>0</v>
      </c>
      <c r="O462" s="846">
        <v>0</v>
      </c>
      <c r="P462" s="846">
        <v>0</v>
      </c>
      <c r="Q462" s="846">
        <v>0</v>
      </c>
      <c r="R462" s="846">
        <v>0</v>
      </c>
      <c r="S462" s="846">
        <v>0</v>
      </c>
      <c r="T462" s="846">
        <v>0</v>
      </c>
      <c r="U462" s="846">
        <v>0</v>
      </c>
      <c r="V462" s="846">
        <v>0</v>
      </c>
      <c r="W462" s="846">
        <v>0</v>
      </c>
      <c r="X462" s="846">
        <v>0</v>
      </c>
      <c r="Y462" s="846">
        <v>0</v>
      </c>
      <c r="Z462" s="846">
        <v>0</v>
      </c>
      <c r="AA462" s="846">
        <v>0</v>
      </c>
      <c r="AB462" s="846">
        <v>0</v>
      </c>
      <c r="AC462" s="846">
        <v>0</v>
      </c>
      <c r="AD462" s="789">
        <f t="shared" si="283"/>
        <v>0</v>
      </c>
      <c r="AE462" s="790">
        <f t="shared" si="284"/>
        <v>15455859.060000001</v>
      </c>
      <c r="AF462" s="791">
        <f t="shared" si="285"/>
        <v>240</v>
      </c>
      <c r="AG462" s="791">
        <f t="shared" si="286"/>
        <v>643641</v>
      </c>
      <c r="AH462" s="783">
        <f t="shared" si="287"/>
        <v>643641</v>
      </c>
      <c r="AI462" s="783">
        <f t="shared" si="288"/>
        <v>14812218.060000001</v>
      </c>
      <c r="AJ462" s="790">
        <f t="shared" si="301"/>
        <v>14812218.060000001</v>
      </c>
      <c r="AK462" s="790">
        <f t="shared" si="289"/>
        <v>15455859.060000001</v>
      </c>
      <c r="AL462" s="791">
        <f t="shared" si="290"/>
        <v>365</v>
      </c>
      <c r="AM462" s="791">
        <f t="shared" si="291"/>
        <v>978871</v>
      </c>
      <c r="AN462" s="783">
        <f t="shared" si="292"/>
        <v>1622512</v>
      </c>
      <c r="AO462" s="783">
        <f t="shared" si="293"/>
        <v>13833347.060000001</v>
      </c>
      <c r="AP462" s="790">
        <f t="shared" si="294"/>
        <v>13833347.060000001</v>
      </c>
      <c r="AQ462" s="790">
        <f t="shared" si="295"/>
        <v>15455859.060000001</v>
      </c>
      <c r="AR462" s="791">
        <f t="shared" si="296"/>
        <v>366</v>
      </c>
      <c r="AS462" s="791">
        <f t="shared" si="297"/>
        <v>981553</v>
      </c>
      <c r="AT462" s="790">
        <f t="shared" si="298"/>
        <v>2604065</v>
      </c>
      <c r="AU462" s="790">
        <f t="shared" si="299"/>
        <v>12851794.060000001</v>
      </c>
    </row>
    <row r="463" spans="1:47" ht="16.5" thickTop="1" x14ac:dyDescent="0.25">
      <c r="A463" s="955" t="s">
        <v>1317</v>
      </c>
      <c r="B463" s="843" t="s">
        <v>1354</v>
      </c>
      <c r="C463" s="778">
        <f t="shared" si="263"/>
        <v>6.3333333333333325E-2</v>
      </c>
      <c r="D463" s="881">
        <v>15</v>
      </c>
      <c r="E463" s="844" t="s">
        <v>723</v>
      </c>
      <c r="F463" s="845">
        <v>44446</v>
      </c>
      <c r="G463" s="956">
        <f t="shared" si="300"/>
        <v>44446</v>
      </c>
      <c r="H463" s="781">
        <f t="shared" si="264"/>
        <v>49921</v>
      </c>
      <c r="I463" s="795">
        <v>4675000</v>
      </c>
      <c r="J463" s="783">
        <f t="shared" si="265"/>
        <v>233750</v>
      </c>
      <c r="L463" s="846">
        <v>0</v>
      </c>
      <c r="M463" s="846">
        <v>0</v>
      </c>
      <c r="N463" s="846">
        <v>0</v>
      </c>
      <c r="O463" s="846">
        <v>0</v>
      </c>
      <c r="P463" s="846">
        <v>0</v>
      </c>
      <c r="Q463" s="846">
        <v>0</v>
      </c>
      <c r="R463" s="846">
        <v>0</v>
      </c>
      <c r="S463" s="846">
        <v>0</v>
      </c>
      <c r="T463" s="846">
        <v>0</v>
      </c>
      <c r="U463" s="846">
        <v>0</v>
      </c>
      <c r="V463" s="846">
        <v>0</v>
      </c>
      <c r="W463" s="846">
        <v>0</v>
      </c>
      <c r="X463" s="846">
        <v>0</v>
      </c>
      <c r="Y463" s="846">
        <v>0</v>
      </c>
      <c r="Z463" s="846">
        <v>0</v>
      </c>
      <c r="AA463" s="846">
        <v>0</v>
      </c>
      <c r="AB463" s="846">
        <v>0</v>
      </c>
      <c r="AC463" s="846">
        <v>0</v>
      </c>
      <c r="AD463" s="789">
        <f t="shared" si="283"/>
        <v>0</v>
      </c>
      <c r="AE463" s="790">
        <f t="shared" si="284"/>
        <v>4675000</v>
      </c>
      <c r="AF463" s="791">
        <f t="shared" si="285"/>
        <v>206</v>
      </c>
      <c r="AG463" s="791">
        <f t="shared" si="286"/>
        <v>167105</v>
      </c>
      <c r="AH463" s="783">
        <f t="shared" si="287"/>
        <v>167105</v>
      </c>
      <c r="AI463" s="783">
        <f t="shared" si="288"/>
        <v>4507895</v>
      </c>
      <c r="AJ463" s="790">
        <f t="shared" si="301"/>
        <v>4507895</v>
      </c>
      <c r="AK463" s="790">
        <f t="shared" si="289"/>
        <v>4675000</v>
      </c>
      <c r="AL463" s="791">
        <f t="shared" si="290"/>
        <v>365</v>
      </c>
      <c r="AM463" s="791">
        <f t="shared" si="291"/>
        <v>296083</v>
      </c>
      <c r="AN463" s="783">
        <f t="shared" si="292"/>
        <v>463188</v>
      </c>
      <c r="AO463" s="783">
        <f t="shared" si="293"/>
        <v>4211812</v>
      </c>
      <c r="AP463" s="790">
        <f t="shared" si="294"/>
        <v>4211812</v>
      </c>
      <c r="AQ463" s="790">
        <f t="shared" si="295"/>
        <v>4675000</v>
      </c>
      <c r="AR463" s="791">
        <f t="shared" si="296"/>
        <v>366</v>
      </c>
      <c r="AS463" s="791">
        <f t="shared" si="297"/>
        <v>296895</v>
      </c>
      <c r="AT463" s="790">
        <f t="shared" si="298"/>
        <v>760083</v>
      </c>
      <c r="AU463" s="790">
        <f t="shared" si="299"/>
        <v>3914917</v>
      </c>
    </row>
    <row r="464" spans="1:47" ht="15.75" x14ac:dyDescent="0.25">
      <c r="A464" s="955" t="s">
        <v>1317</v>
      </c>
      <c r="B464" s="843" t="s">
        <v>1357</v>
      </c>
      <c r="C464" s="778">
        <f t="shared" si="263"/>
        <v>6.3333333333333325E-2</v>
      </c>
      <c r="D464" s="881">
        <v>15</v>
      </c>
      <c r="E464" s="844" t="s">
        <v>723</v>
      </c>
      <c r="F464" s="845">
        <v>44489</v>
      </c>
      <c r="G464" s="956">
        <f t="shared" si="300"/>
        <v>44489</v>
      </c>
      <c r="H464" s="781">
        <f t="shared" si="264"/>
        <v>49964</v>
      </c>
      <c r="I464" s="795">
        <f>8950000+50000</f>
        <v>9000000</v>
      </c>
      <c r="J464" s="783">
        <f t="shared" si="265"/>
        <v>450000</v>
      </c>
      <c r="L464" s="846">
        <v>0</v>
      </c>
      <c r="M464" s="846">
        <v>0</v>
      </c>
      <c r="N464" s="846">
        <v>0</v>
      </c>
      <c r="O464" s="846">
        <v>0</v>
      </c>
      <c r="P464" s="846">
        <v>0</v>
      </c>
      <c r="Q464" s="846">
        <v>0</v>
      </c>
      <c r="R464" s="846">
        <v>0</v>
      </c>
      <c r="S464" s="846">
        <v>0</v>
      </c>
      <c r="T464" s="846">
        <v>0</v>
      </c>
      <c r="U464" s="846">
        <v>0</v>
      </c>
      <c r="V464" s="846">
        <v>0</v>
      </c>
      <c r="W464" s="846">
        <v>0</v>
      </c>
      <c r="X464" s="846">
        <v>0</v>
      </c>
      <c r="Y464" s="846">
        <v>0</v>
      </c>
      <c r="Z464" s="846">
        <v>0</v>
      </c>
      <c r="AA464" s="846">
        <v>0</v>
      </c>
      <c r="AB464" s="846">
        <v>0</v>
      </c>
      <c r="AC464" s="846">
        <v>0</v>
      </c>
      <c r="AD464" s="789">
        <f t="shared" si="283"/>
        <v>0</v>
      </c>
      <c r="AE464" s="790">
        <f t="shared" si="284"/>
        <v>9000000</v>
      </c>
      <c r="AF464" s="791">
        <f t="shared" si="285"/>
        <v>163</v>
      </c>
      <c r="AG464" s="791">
        <f t="shared" si="286"/>
        <v>254548</v>
      </c>
      <c r="AH464" s="783">
        <f t="shared" si="287"/>
        <v>254548</v>
      </c>
      <c r="AI464" s="783">
        <f t="shared" si="288"/>
        <v>8745452</v>
      </c>
      <c r="AJ464" s="790">
        <f t="shared" si="301"/>
        <v>8745452</v>
      </c>
      <c r="AK464" s="790">
        <f t="shared" si="289"/>
        <v>9000000</v>
      </c>
      <c r="AL464" s="791">
        <f t="shared" si="290"/>
        <v>365</v>
      </c>
      <c r="AM464" s="791">
        <f t="shared" si="291"/>
        <v>570000</v>
      </c>
      <c r="AN464" s="783">
        <f t="shared" si="292"/>
        <v>824548</v>
      </c>
      <c r="AO464" s="783">
        <f t="shared" si="293"/>
        <v>8175452</v>
      </c>
      <c r="AP464" s="790">
        <f t="shared" si="294"/>
        <v>8175452</v>
      </c>
      <c r="AQ464" s="790">
        <f t="shared" si="295"/>
        <v>9000000</v>
      </c>
      <c r="AR464" s="791">
        <f t="shared" si="296"/>
        <v>366</v>
      </c>
      <c r="AS464" s="791">
        <f t="shared" si="297"/>
        <v>571562</v>
      </c>
      <c r="AT464" s="790">
        <f t="shared" si="298"/>
        <v>1396110</v>
      </c>
      <c r="AU464" s="790">
        <f t="shared" si="299"/>
        <v>7603890</v>
      </c>
    </row>
    <row r="465" spans="1:47" ht="15.75" x14ac:dyDescent="0.25">
      <c r="A465" s="955" t="s">
        <v>1317</v>
      </c>
      <c r="B465" s="843" t="s">
        <v>1353</v>
      </c>
      <c r="C465" s="778">
        <f t="shared" si="263"/>
        <v>6.3333333333333325E-2</v>
      </c>
      <c r="D465" s="881">
        <v>15</v>
      </c>
      <c r="E465" s="844" t="s">
        <v>723</v>
      </c>
      <c r="F465" s="845">
        <v>44518</v>
      </c>
      <c r="G465" s="956">
        <f t="shared" si="300"/>
        <v>44518</v>
      </c>
      <c r="H465" s="781">
        <f t="shared" si="264"/>
        <v>49993</v>
      </c>
      <c r="I465" s="795">
        <v>920000</v>
      </c>
      <c r="J465" s="783">
        <f t="shared" si="265"/>
        <v>46000</v>
      </c>
      <c r="L465" s="846">
        <v>0</v>
      </c>
      <c r="M465" s="846">
        <v>0</v>
      </c>
      <c r="N465" s="846">
        <v>0</v>
      </c>
      <c r="O465" s="846">
        <v>0</v>
      </c>
      <c r="P465" s="846">
        <v>0</v>
      </c>
      <c r="Q465" s="846">
        <v>0</v>
      </c>
      <c r="R465" s="846">
        <v>0</v>
      </c>
      <c r="S465" s="846">
        <v>0</v>
      </c>
      <c r="T465" s="846">
        <v>0</v>
      </c>
      <c r="U465" s="846">
        <v>0</v>
      </c>
      <c r="V465" s="846">
        <v>0</v>
      </c>
      <c r="W465" s="846">
        <v>0</v>
      </c>
      <c r="X465" s="846">
        <v>0</v>
      </c>
      <c r="Y465" s="846">
        <v>0</v>
      </c>
      <c r="Z465" s="846">
        <v>0</v>
      </c>
      <c r="AA465" s="846">
        <v>0</v>
      </c>
      <c r="AB465" s="846">
        <v>0</v>
      </c>
      <c r="AC465" s="846">
        <v>0</v>
      </c>
      <c r="AD465" s="789">
        <f t="shared" si="283"/>
        <v>0</v>
      </c>
      <c r="AE465" s="790">
        <f t="shared" si="284"/>
        <v>920000</v>
      </c>
      <c r="AF465" s="791">
        <f t="shared" si="285"/>
        <v>134</v>
      </c>
      <c r="AG465" s="791">
        <f t="shared" si="286"/>
        <v>21391</v>
      </c>
      <c r="AH465" s="783">
        <f t="shared" si="287"/>
        <v>21391</v>
      </c>
      <c r="AI465" s="783">
        <f t="shared" si="288"/>
        <v>898609</v>
      </c>
      <c r="AJ465" s="790">
        <f t="shared" si="301"/>
        <v>898609</v>
      </c>
      <c r="AK465" s="790">
        <f t="shared" si="289"/>
        <v>920000</v>
      </c>
      <c r="AL465" s="791">
        <f t="shared" si="290"/>
        <v>365</v>
      </c>
      <c r="AM465" s="791">
        <f t="shared" si="291"/>
        <v>58267</v>
      </c>
      <c r="AN465" s="783">
        <f t="shared" si="292"/>
        <v>79658</v>
      </c>
      <c r="AO465" s="783">
        <f t="shared" si="293"/>
        <v>840342</v>
      </c>
      <c r="AP465" s="790">
        <f t="shared" si="294"/>
        <v>840342</v>
      </c>
      <c r="AQ465" s="790">
        <f t="shared" si="295"/>
        <v>920000</v>
      </c>
      <c r="AR465" s="791">
        <f t="shared" si="296"/>
        <v>366</v>
      </c>
      <c r="AS465" s="791">
        <f t="shared" si="297"/>
        <v>58426</v>
      </c>
      <c r="AT465" s="790">
        <f t="shared" si="298"/>
        <v>138084</v>
      </c>
      <c r="AU465" s="790">
        <f t="shared" si="299"/>
        <v>781916</v>
      </c>
    </row>
    <row r="466" spans="1:47" ht="15.75" x14ac:dyDescent="0.25">
      <c r="A466" s="955" t="s">
        <v>1317</v>
      </c>
      <c r="B466" s="843" t="s">
        <v>1353</v>
      </c>
      <c r="C466" s="778">
        <f t="shared" si="263"/>
        <v>6.3333333333333325E-2</v>
      </c>
      <c r="D466" s="881">
        <v>15</v>
      </c>
      <c r="E466" s="844" t="s">
        <v>723</v>
      </c>
      <c r="F466" s="845">
        <v>44543</v>
      </c>
      <c r="G466" s="956">
        <f t="shared" si="300"/>
        <v>44543</v>
      </c>
      <c r="H466" s="781">
        <f t="shared" si="264"/>
        <v>50018</v>
      </c>
      <c r="I466" s="795">
        <f>965073.5+55000</f>
        <v>1020073.5</v>
      </c>
      <c r="J466" s="783">
        <f t="shared" si="265"/>
        <v>51003.675000000003</v>
      </c>
      <c r="L466" s="846">
        <v>0</v>
      </c>
      <c r="M466" s="846">
        <v>0</v>
      </c>
      <c r="N466" s="846">
        <v>0</v>
      </c>
      <c r="O466" s="846">
        <v>0</v>
      </c>
      <c r="P466" s="846">
        <v>0</v>
      </c>
      <c r="Q466" s="846">
        <v>0</v>
      </c>
      <c r="R466" s="846">
        <v>0</v>
      </c>
      <c r="S466" s="846">
        <v>0</v>
      </c>
      <c r="T466" s="846">
        <v>0</v>
      </c>
      <c r="U466" s="846">
        <v>0</v>
      </c>
      <c r="V466" s="846">
        <v>0</v>
      </c>
      <c r="W466" s="846">
        <v>0</v>
      </c>
      <c r="X466" s="846">
        <v>0</v>
      </c>
      <c r="Y466" s="846">
        <v>0</v>
      </c>
      <c r="Z466" s="846">
        <v>0</v>
      </c>
      <c r="AA466" s="846">
        <v>0</v>
      </c>
      <c r="AB466" s="846">
        <v>0</v>
      </c>
      <c r="AC466" s="846">
        <v>0</v>
      </c>
      <c r="AD466" s="789">
        <f t="shared" si="283"/>
        <v>0</v>
      </c>
      <c r="AE466" s="790">
        <f t="shared" si="284"/>
        <v>1020073.5</v>
      </c>
      <c r="AF466" s="791">
        <f t="shared" si="285"/>
        <v>109</v>
      </c>
      <c r="AG466" s="791">
        <f t="shared" si="286"/>
        <v>19293</v>
      </c>
      <c r="AH466" s="783">
        <f t="shared" si="287"/>
        <v>19293</v>
      </c>
      <c r="AI466" s="783">
        <f t="shared" si="288"/>
        <v>1000780.5</v>
      </c>
      <c r="AJ466" s="790">
        <f t="shared" si="301"/>
        <v>1000780.5</v>
      </c>
      <c r="AK466" s="790">
        <f t="shared" si="289"/>
        <v>1020073.5</v>
      </c>
      <c r="AL466" s="791">
        <f t="shared" si="290"/>
        <v>365</v>
      </c>
      <c r="AM466" s="791">
        <f t="shared" si="291"/>
        <v>64605</v>
      </c>
      <c r="AN466" s="783">
        <f t="shared" si="292"/>
        <v>83898</v>
      </c>
      <c r="AO466" s="783">
        <f t="shared" si="293"/>
        <v>936175.5</v>
      </c>
      <c r="AP466" s="790">
        <f t="shared" si="294"/>
        <v>936175.5</v>
      </c>
      <c r="AQ466" s="790">
        <f t="shared" si="295"/>
        <v>1020073.5</v>
      </c>
      <c r="AR466" s="791">
        <f t="shared" si="296"/>
        <v>366</v>
      </c>
      <c r="AS466" s="791">
        <f t="shared" si="297"/>
        <v>64782</v>
      </c>
      <c r="AT466" s="790">
        <f t="shared" si="298"/>
        <v>148680</v>
      </c>
      <c r="AU466" s="790">
        <f t="shared" si="299"/>
        <v>871393.5</v>
      </c>
    </row>
    <row r="467" spans="1:47" ht="15.75" x14ac:dyDescent="0.25">
      <c r="A467" s="955" t="s">
        <v>1317</v>
      </c>
      <c r="B467" s="843" t="s">
        <v>1353</v>
      </c>
      <c r="C467" s="778">
        <f t="shared" si="263"/>
        <v>6.3333333333333325E-2</v>
      </c>
      <c r="D467" s="881">
        <v>15</v>
      </c>
      <c r="E467" s="844" t="s">
        <v>723</v>
      </c>
      <c r="F467" s="845">
        <v>44579</v>
      </c>
      <c r="G467" s="956">
        <f t="shared" si="300"/>
        <v>44579</v>
      </c>
      <c r="H467" s="781">
        <f t="shared" si="264"/>
        <v>50054</v>
      </c>
      <c r="I467" s="795">
        <v>3880000</v>
      </c>
      <c r="J467" s="783">
        <f t="shared" si="265"/>
        <v>194000</v>
      </c>
      <c r="L467" s="846">
        <v>0</v>
      </c>
      <c r="M467" s="846">
        <v>0</v>
      </c>
      <c r="N467" s="846">
        <v>0</v>
      </c>
      <c r="O467" s="846">
        <v>0</v>
      </c>
      <c r="P467" s="846">
        <v>0</v>
      </c>
      <c r="Q467" s="846">
        <v>0</v>
      </c>
      <c r="R467" s="846">
        <v>0</v>
      </c>
      <c r="S467" s="846">
        <v>0</v>
      </c>
      <c r="T467" s="846">
        <v>0</v>
      </c>
      <c r="U467" s="846">
        <v>0</v>
      </c>
      <c r="V467" s="846">
        <v>0</v>
      </c>
      <c r="W467" s="846">
        <v>0</v>
      </c>
      <c r="X467" s="846">
        <v>0</v>
      </c>
      <c r="Y467" s="846">
        <v>0</v>
      </c>
      <c r="Z467" s="846">
        <v>0</v>
      </c>
      <c r="AA467" s="846">
        <v>0</v>
      </c>
      <c r="AB467" s="846">
        <v>0</v>
      </c>
      <c r="AC467" s="846">
        <v>0</v>
      </c>
      <c r="AD467" s="789">
        <f t="shared" si="283"/>
        <v>0</v>
      </c>
      <c r="AE467" s="790">
        <f t="shared" si="284"/>
        <v>3880000</v>
      </c>
      <c r="AF467" s="791">
        <f t="shared" si="285"/>
        <v>73</v>
      </c>
      <c r="AG467" s="791">
        <f t="shared" si="286"/>
        <v>49147</v>
      </c>
      <c r="AH467" s="783">
        <f t="shared" si="287"/>
        <v>49147</v>
      </c>
      <c r="AI467" s="783">
        <f t="shared" si="288"/>
        <v>3830853</v>
      </c>
      <c r="AJ467" s="790">
        <f t="shared" si="301"/>
        <v>3830853</v>
      </c>
      <c r="AK467" s="790">
        <f t="shared" si="289"/>
        <v>3880000</v>
      </c>
      <c r="AL467" s="791">
        <f t="shared" si="290"/>
        <v>365</v>
      </c>
      <c r="AM467" s="791">
        <f t="shared" si="291"/>
        <v>245733</v>
      </c>
      <c r="AN467" s="783">
        <f t="shared" si="292"/>
        <v>294880</v>
      </c>
      <c r="AO467" s="783">
        <f t="shared" si="293"/>
        <v>3585120</v>
      </c>
      <c r="AP467" s="790">
        <f t="shared" si="294"/>
        <v>3585120</v>
      </c>
      <c r="AQ467" s="790">
        <f t="shared" si="295"/>
        <v>3880000</v>
      </c>
      <c r="AR467" s="791">
        <f t="shared" si="296"/>
        <v>366</v>
      </c>
      <c r="AS467" s="791">
        <f t="shared" si="297"/>
        <v>246407</v>
      </c>
      <c r="AT467" s="790">
        <f t="shared" si="298"/>
        <v>541287</v>
      </c>
      <c r="AU467" s="790">
        <f t="shared" si="299"/>
        <v>3338713</v>
      </c>
    </row>
    <row r="468" spans="1:47" ht="15.75" x14ac:dyDescent="0.25">
      <c r="A468" s="955" t="s">
        <v>1317</v>
      </c>
      <c r="B468" s="843" t="s">
        <v>1353</v>
      </c>
      <c r="C468" s="778">
        <f t="shared" si="263"/>
        <v>6.3333333333333325E-2</v>
      </c>
      <c r="D468" s="881">
        <v>15</v>
      </c>
      <c r="E468" s="844" t="s">
        <v>723</v>
      </c>
      <c r="F468" s="845">
        <v>44620</v>
      </c>
      <c r="G468" s="956">
        <f t="shared" si="300"/>
        <v>44620</v>
      </c>
      <c r="H468" s="781">
        <f t="shared" si="264"/>
        <v>50095</v>
      </c>
      <c r="I468" s="795">
        <v>904103</v>
      </c>
      <c r="J468" s="783">
        <f t="shared" si="265"/>
        <v>45205.15</v>
      </c>
      <c r="L468" s="846">
        <v>0</v>
      </c>
      <c r="M468" s="846">
        <v>0</v>
      </c>
      <c r="N468" s="846">
        <v>0</v>
      </c>
      <c r="O468" s="846">
        <v>0</v>
      </c>
      <c r="P468" s="846">
        <v>0</v>
      </c>
      <c r="Q468" s="846">
        <v>0</v>
      </c>
      <c r="R468" s="846">
        <v>0</v>
      </c>
      <c r="S468" s="846">
        <v>0</v>
      </c>
      <c r="T468" s="846">
        <v>0</v>
      </c>
      <c r="U468" s="846">
        <v>0</v>
      </c>
      <c r="V468" s="846">
        <v>0</v>
      </c>
      <c r="W468" s="846">
        <v>0</v>
      </c>
      <c r="X468" s="846">
        <v>0</v>
      </c>
      <c r="Y468" s="846">
        <v>0</v>
      </c>
      <c r="Z468" s="846">
        <v>0</v>
      </c>
      <c r="AA468" s="846">
        <v>0</v>
      </c>
      <c r="AB468" s="846">
        <v>0</v>
      </c>
      <c r="AC468" s="846">
        <v>0</v>
      </c>
      <c r="AD468" s="789">
        <f t="shared" si="283"/>
        <v>0</v>
      </c>
      <c r="AE468" s="790">
        <f t="shared" si="284"/>
        <v>904103</v>
      </c>
      <c r="AF468" s="791">
        <f t="shared" si="285"/>
        <v>32</v>
      </c>
      <c r="AG468" s="791">
        <f t="shared" si="286"/>
        <v>5020</v>
      </c>
      <c r="AH468" s="783">
        <f t="shared" si="287"/>
        <v>5020</v>
      </c>
      <c r="AI468" s="783">
        <f t="shared" si="288"/>
        <v>899083</v>
      </c>
      <c r="AJ468" s="790">
        <f t="shared" si="301"/>
        <v>899083</v>
      </c>
      <c r="AK468" s="790">
        <f t="shared" si="289"/>
        <v>904103</v>
      </c>
      <c r="AL468" s="791">
        <f t="shared" si="290"/>
        <v>365</v>
      </c>
      <c r="AM468" s="791">
        <f t="shared" si="291"/>
        <v>57260</v>
      </c>
      <c r="AN468" s="783">
        <f t="shared" si="292"/>
        <v>62280</v>
      </c>
      <c r="AO468" s="783">
        <f t="shared" si="293"/>
        <v>841823</v>
      </c>
      <c r="AP468" s="790">
        <f t="shared" si="294"/>
        <v>841823</v>
      </c>
      <c r="AQ468" s="790">
        <f t="shared" si="295"/>
        <v>904103</v>
      </c>
      <c r="AR468" s="791">
        <f t="shared" si="296"/>
        <v>366</v>
      </c>
      <c r="AS468" s="791">
        <f t="shared" si="297"/>
        <v>57417</v>
      </c>
      <c r="AT468" s="790">
        <f t="shared" si="298"/>
        <v>119697</v>
      </c>
      <c r="AU468" s="790">
        <f t="shared" si="299"/>
        <v>784406</v>
      </c>
    </row>
    <row r="469" spans="1:47" ht="15.75" x14ac:dyDescent="0.25">
      <c r="A469" s="955" t="s">
        <v>1317</v>
      </c>
      <c r="B469" s="843" t="s">
        <v>1353</v>
      </c>
      <c r="C469" s="778">
        <f t="shared" si="263"/>
        <v>6.3333333333333325E-2</v>
      </c>
      <c r="D469" s="881">
        <v>15</v>
      </c>
      <c r="E469" s="844" t="s">
        <v>723</v>
      </c>
      <c r="F469" s="845">
        <v>44631</v>
      </c>
      <c r="G469" s="956">
        <f t="shared" si="300"/>
        <v>44631</v>
      </c>
      <c r="H469" s="781">
        <f t="shared" si="264"/>
        <v>50106</v>
      </c>
      <c r="I469" s="795">
        <v>215000</v>
      </c>
      <c r="J469" s="783">
        <f t="shared" si="265"/>
        <v>10750</v>
      </c>
      <c r="L469" s="846">
        <v>0</v>
      </c>
      <c r="M469" s="846">
        <v>0</v>
      </c>
      <c r="N469" s="846">
        <v>0</v>
      </c>
      <c r="O469" s="846">
        <v>0</v>
      </c>
      <c r="P469" s="846">
        <v>0</v>
      </c>
      <c r="Q469" s="846">
        <v>0</v>
      </c>
      <c r="R469" s="846">
        <v>0</v>
      </c>
      <c r="S469" s="846">
        <v>0</v>
      </c>
      <c r="T469" s="846">
        <v>0</v>
      </c>
      <c r="U469" s="846">
        <v>0</v>
      </c>
      <c r="V469" s="846">
        <v>0</v>
      </c>
      <c r="W469" s="846">
        <v>0</v>
      </c>
      <c r="X469" s="846">
        <v>0</v>
      </c>
      <c r="Y469" s="846">
        <v>0</v>
      </c>
      <c r="Z469" s="846">
        <v>0</v>
      </c>
      <c r="AA469" s="846">
        <v>0</v>
      </c>
      <c r="AB469" s="846">
        <v>0</v>
      </c>
      <c r="AC469" s="846">
        <v>0</v>
      </c>
      <c r="AD469" s="789">
        <f t="shared" si="283"/>
        <v>0</v>
      </c>
      <c r="AE469" s="790">
        <f t="shared" si="284"/>
        <v>215000</v>
      </c>
      <c r="AF469" s="791">
        <f t="shared" si="285"/>
        <v>21</v>
      </c>
      <c r="AG469" s="791">
        <f t="shared" si="286"/>
        <v>783</v>
      </c>
      <c r="AH469" s="783">
        <f t="shared" si="287"/>
        <v>783</v>
      </c>
      <c r="AI469" s="783">
        <f t="shared" si="288"/>
        <v>214217</v>
      </c>
      <c r="AJ469" s="790">
        <f t="shared" si="301"/>
        <v>214217</v>
      </c>
      <c r="AK469" s="790">
        <f t="shared" si="289"/>
        <v>215000</v>
      </c>
      <c r="AL469" s="791">
        <f t="shared" si="290"/>
        <v>365</v>
      </c>
      <c r="AM469" s="791">
        <f t="shared" si="291"/>
        <v>13617</v>
      </c>
      <c r="AN469" s="783">
        <f t="shared" si="292"/>
        <v>14400</v>
      </c>
      <c r="AO469" s="783">
        <f t="shared" si="293"/>
        <v>200600</v>
      </c>
      <c r="AP469" s="790">
        <f t="shared" si="294"/>
        <v>200600</v>
      </c>
      <c r="AQ469" s="790">
        <f t="shared" si="295"/>
        <v>215000</v>
      </c>
      <c r="AR469" s="791">
        <f t="shared" si="296"/>
        <v>366</v>
      </c>
      <c r="AS469" s="791">
        <f t="shared" si="297"/>
        <v>13654</v>
      </c>
      <c r="AT469" s="790">
        <f t="shared" si="298"/>
        <v>28054</v>
      </c>
      <c r="AU469" s="790">
        <f t="shared" si="299"/>
        <v>186946</v>
      </c>
    </row>
    <row r="470" spans="1:47" ht="16.5" thickBot="1" x14ac:dyDescent="0.3">
      <c r="A470" s="955" t="s">
        <v>1317</v>
      </c>
      <c r="B470" s="843" t="s">
        <v>1352</v>
      </c>
      <c r="C470" s="778">
        <f t="shared" si="263"/>
        <v>6.3333333333333325E-2</v>
      </c>
      <c r="D470" s="881">
        <v>15</v>
      </c>
      <c r="E470" s="844" t="s">
        <v>723</v>
      </c>
      <c r="F470" s="845">
        <v>44601</v>
      </c>
      <c r="G470" s="956">
        <f t="shared" si="300"/>
        <v>44601</v>
      </c>
      <c r="H470" s="781">
        <f t="shared" si="264"/>
        <v>50076</v>
      </c>
      <c r="I470" s="795">
        <f>580000+390000</f>
        <v>970000</v>
      </c>
      <c r="J470" s="783">
        <f t="shared" si="265"/>
        <v>48500</v>
      </c>
      <c r="L470" s="849">
        <v>0</v>
      </c>
      <c r="M470" s="849">
        <v>0</v>
      </c>
      <c r="N470" s="849">
        <v>0</v>
      </c>
      <c r="O470" s="849">
        <v>0</v>
      </c>
      <c r="P470" s="849">
        <v>0</v>
      </c>
      <c r="Q470" s="849">
        <v>0</v>
      </c>
      <c r="R470" s="846">
        <v>0</v>
      </c>
      <c r="S470" s="846">
        <v>0</v>
      </c>
      <c r="T470" s="846">
        <v>0</v>
      </c>
      <c r="U470" s="846">
        <v>0</v>
      </c>
      <c r="V470" s="846">
        <v>0</v>
      </c>
      <c r="W470" s="846">
        <v>0</v>
      </c>
      <c r="X470" s="846">
        <v>0</v>
      </c>
      <c r="Y470" s="846">
        <v>0</v>
      </c>
      <c r="Z470" s="846">
        <v>0</v>
      </c>
      <c r="AA470" s="846">
        <v>0</v>
      </c>
      <c r="AB470" s="846">
        <v>0</v>
      </c>
      <c r="AC470" s="846">
        <v>0</v>
      </c>
      <c r="AD470" s="789">
        <f t="shared" si="283"/>
        <v>0</v>
      </c>
      <c r="AE470" s="790">
        <f t="shared" si="284"/>
        <v>970000</v>
      </c>
      <c r="AF470" s="791">
        <f t="shared" si="285"/>
        <v>51</v>
      </c>
      <c r="AG470" s="791">
        <f t="shared" si="286"/>
        <v>8584</v>
      </c>
      <c r="AH470" s="783">
        <f t="shared" si="287"/>
        <v>8584</v>
      </c>
      <c r="AI470" s="783">
        <f t="shared" si="288"/>
        <v>961416</v>
      </c>
      <c r="AJ470" s="790">
        <f t="shared" si="301"/>
        <v>961416</v>
      </c>
      <c r="AK470" s="790">
        <f t="shared" si="289"/>
        <v>970000</v>
      </c>
      <c r="AL470" s="791">
        <f t="shared" si="290"/>
        <v>365</v>
      </c>
      <c r="AM470" s="791">
        <f t="shared" si="291"/>
        <v>61433</v>
      </c>
      <c r="AN470" s="783">
        <f t="shared" si="292"/>
        <v>70017</v>
      </c>
      <c r="AO470" s="783">
        <f t="shared" si="293"/>
        <v>899983</v>
      </c>
      <c r="AP470" s="790">
        <f t="shared" si="294"/>
        <v>899983</v>
      </c>
      <c r="AQ470" s="790">
        <f t="shared" si="295"/>
        <v>970000</v>
      </c>
      <c r="AR470" s="791">
        <f t="shared" si="296"/>
        <v>366</v>
      </c>
      <c r="AS470" s="791">
        <f t="shared" si="297"/>
        <v>61602</v>
      </c>
      <c r="AT470" s="790">
        <f t="shared" si="298"/>
        <v>131619</v>
      </c>
      <c r="AU470" s="790">
        <f t="shared" si="299"/>
        <v>838381</v>
      </c>
    </row>
    <row r="471" spans="1:47" x14ac:dyDescent="0.25">
      <c r="A471" s="955" t="s">
        <v>1317</v>
      </c>
      <c r="B471" s="943" t="s">
        <v>1358</v>
      </c>
      <c r="C471" s="778">
        <f t="shared" si="263"/>
        <v>6.3333333333333325E-2</v>
      </c>
      <c r="D471" s="881">
        <v>15</v>
      </c>
      <c r="E471" s="779" t="s">
        <v>1182</v>
      </c>
      <c r="F471" s="877">
        <v>43191</v>
      </c>
      <c r="G471" s="877">
        <v>43374</v>
      </c>
      <c r="H471" s="781">
        <f t="shared" si="264"/>
        <v>48849</v>
      </c>
      <c r="I471" s="964">
        <f>8130067+4053506</f>
        <v>12183573</v>
      </c>
      <c r="J471" s="783">
        <f t="shared" si="265"/>
        <v>609178.65</v>
      </c>
      <c r="L471" s="785">
        <v>0</v>
      </c>
      <c r="M471" s="786">
        <f t="shared" ref="M471:M472" si="302">I471</f>
        <v>12183573</v>
      </c>
      <c r="N471" s="787">
        <f t="shared" ref="N471:N472" si="303">IF(AND(F471&gt;$K$3,F471&lt;$L$3),$L$3-F471+1,IF(H471&lt;=$K$3,0,IF(H471&gt;$L$3,$L$3-$K$3,H471-$K$3)))</f>
        <v>365</v>
      </c>
      <c r="O471" s="787">
        <f t="shared" ref="O471:O472" si="304">ROUND(M471*C471*N471/365,0)</f>
        <v>771626</v>
      </c>
      <c r="P471" s="786">
        <f t="shared" si="269"/>
        <v>771626</v>
      </c>
      <c r="Q471" s="788">
        <f t="shared" ref="Q471:Q472" si="305">+M471-P471</f>
        <v>11411947</v>
      </c>
      <c r="R471" s="914">
        <f t="shared" si="271"/>
        <v>11411947</v>
      </c>
      <c r="S471" s="790">
        <f t="shared" ref="S471:S472" si="306">I471</f>
        <v>12183573</v>
      </c>
      <c r="T471" s="792">
        <f t="shared" ref="T471:T472" si="307">IF(AND(F471&gt;$L$3,F471&lt;$R$3),$R$3-F471+1,IF(H471&lt;=$L$3,0,IF(H471&gt;$R$3,$R$3-$L$3,H471-$L$3)))</f>
        <v>366</v>
      </c>
      <c r="U471" s="792">
        <f t="shared" ref="U471:U472" si="308">ROUND(S471*C471*T471/366,0)</f>
        <v>771626</v>
      </c>
      <c r="V471" s="790">
        <f t="shared" ref="V471:V472" si="309">+P471+U471</f>
        <v>1543252</v>
      </c>
      <c r="W471" s="847">
        <f t="shared" ref="W471:W472" si="310">+S471-V471</f>
        <v>10640321</v>
      </c>
      <c r="X471" s="846">
        <f t="shared" si="277"/>
        <v>10640321</v>
      </c>
      <c r="Y471" s="783">
        <f t="shared" ref="Y471:Y472" si="311">I471</f>
        <v>12183573</v>
      </c>
      <c r="Z471" s="783">
        <f t="shared" ref="Z471:Z472" si="312">IF(AND(F471&gt;$R$3,F471&lt;$X$3),$X$3-F471+1,IF(H471&lt;=$R$3,0,IF(H471&gt;$X$3,$X$3-$R$3,H471-$R$3)))</f>
        <v>365</v>
      </c>
      <c r="AA471" s="783">
        <f t="shared" ref="AA471:AA472" si="313">ROUND(Y471*C471*Z471/365,0)</f>
        <v>771626</v>
      </c>
      <c r="AB471" s="783">
        <f t="shared" ref="AB471:AB472" si="314">+V471+AA471</f>
        <v>2314878</v>
      </c>
      <c r="AC471" s="848">
        <f t="shared" ref="AC471:AC472" si="315">Y471-AB471</f>
        <v>9868695</v>
      </c>
      <c r="AD471" s="789">
        <f t="shared" si="283"/>
        <v>9868695</v>
      </c>
      <c r="AE471" s="790">
        <f t="shared" si="284"/>
        <v>12183573</v>
      </c>
      <c r="AF471" s="791">
        <f t="shared" si="285"/>
        <v>365</v>
      </c>
      <c r="AG471" s="791">
        <f t="shared" si="286"/>
        <v>771626</v>
      </c>
      <c r="AH471" s="783">
        <f t="shared" si="287"/>
        <v>3086504</v>
      </c>
      <c r="AI471" s="783">
        <f t="shared" si="288"/>
        <v>9097069</v>
      </c>
      <c r="AJ471" s="790">
        <f t="shared" si="301"/>
        <v>9097069</v>
      </c>
      <c r="AK471" s="790">
        <f t="shared" si="289"/>
        <v>12183573</v>
      </c>
      <c r="AL471" s="791">
        <f t="shared" si="290"/>
        <v>365</v>
      </c>
      <c r="AM471" s="791">
        <f t="shared" si="291"/>
        <v>771626</v>
      </c>
      <c r="AN471" s="783">
        <f t="shared" si="292"/>
        <v>3858130</v>
      </c>
      <c r="AO471" s="783">
        <f t="shared" si="293"/>
        <v>8325443</v>
      </c>
      <c r="AP471" s="790">
        <f t="shared" si="294"/>
        <v>8325443</v>
      </c>
      <c r="AQ471" s="790">
        <f t="shared" si="295"/>
        <v>12183573</v>
      </c>
      <c r="AR471" s="791">
        <f t="shared" si="296"/>
        <v>366</v>
      </c>
      <c r="AS471" s="791">
        <f t="shared" si="297"/>
        <v>773740</v>
      </c>
      <c r="AT471" s="790">
        <f t="shared" si="298"/>
        <v>4631870</v>
      </c>
      <c r="AU471" s="790">
        <f t="shared" si="299"/>
        <v>7551703</v>
      </c>
    </row>
    <row r="472" spans="1:47" x14ac:dyDescent="0.25">
      <c r="A472" s="955" t="s">
        <v>1317</v>
      </c>
      <c r="B472" s="943" t="s">
        <v>1358</v>
      </c>
      <c r="C472" s="778">
        <f t="shared" si="263"/>
        <v>6.3333333333333325E-2</v>
      </c>
      <c r="D472" s="881">
        <v>15</v>
      </c>
      <c r="E472" s="779" t="s">
        <v>1182</v>
      </c>
      <c r="F472" s="877">
        <v>43373</v>
      </c>
      <c r="G472" s="877">
        <v>43374</v>
      </c>
      <c r="H472" s="781">
        <f t="shared" si="264"/>
        <v>48849</v>
      </c>
      <c r="I472" s="964">
        <f>20130226</f>
        <v>20130226</v>
      </c>
      <c r="J472" s="783">
        <f t="shared" si="265"/>
        <v>1006511.3</v>
      </c>
      <c r="L472" s="849">
        <v>0</v>
      </c>
      <c r="M472" s="808">
        <f t="shared" si="302"/>
        <v>20130226</v>
      </c>
      <c r="N472" s="809">
        <f t="shared" si="303"/>
        <v>183</v>
      </c>
      <c r="O472" s="809">
        <f t="shared" si="304"/>
        <v>639204</v>
      </c>
      <c r="P472" s="808">
        <f t="shared" si="269"/>
        <v>639204</v>
      </c>
      <c r="Q472" s="850">
        <f t="shared" si="305"/>
        <v>19491022</v>
      </c>
      <c r="R472" s="916">
        <f t="shared" si="271"/>
        <v>19491022</v>
      </c>
      <c r="S472" s="808">
        <f t="shared" si="306"/>
        <v>20130226</v>
      </c>
      <c r="T472" s="917">
        <f t="shared" si="307"/>
        <v>366</v>
      </c>
      <c r="U472" s="917">
        <f t="shared" si="308"/>
        <v>1274914</v>
      </c>
      <c r="V472" s="808">
        <f t="shared" si="309"/>
        <v>1914118</v>
      </c>
      <c r="W472" s="850">
        <f t="shared" si="310"/>
        <v>18216108</v>
      </c>
      <c r="X472" s="849">
        <f t="shared" si="277"/>
        <v>18216108</v>
      </c>
      <c r="Y472" s="812">
        <f t="shared" si="311"/>
        <v>20130226</v>
      </c>
      <c r="Z472" s="812">
        <f t="shared" si="312"/>
        <v>365</v>
      </c>
      <c r="AA472" s="812">
        <f t="shared" si="313"/>
        <v>1274914</v>
      </c>
      <c r="AB472" s="812">
        <f t="shared" si="314"/>
        <v>3189032</v>
      </c>
      <c r="AC472" s="851">
        <f t="shared" si="315"/>
        <v>16941194</v>
      </c>
      <c r="AD472" s="807">
        <f t="shared" si="283"/>
        <v>16941194</v>
      </c>
      <c r="AE472" s="808">
        <f t="shared" si="284"/>
        <v>20130226</v>
      </c>
      <c r="AF472" s="809">
        <f t="shared" si="285"/>
        <v>365</v>
      </c>
      <c r="AG472" s="809">
        <f t="shared" si="286"/>
        <v>1274914</v>
      </c>
      <c r="AH472" s="812">
        <f t="shared" si="287"/>
        <v>4463946</v>
      </c>
      <c r="AI472" s="812">
        <f t="shared" si="288"/>
        <v>15666280</v>
      </c>
      <c r="AJ472" s="808">
        <f t="shared" si="301"/>
        <v>15666280</v>
      </c>
      <c r="AK472" s="808">
        <f t="shared" si="289"/>
        <v>20130226</v>
      </c>
      <c r="AL472" s="809">
        <f t="shared" si="290"/>
        <v>365</v>
      </c>
      <c r="AM472" s="809">
        <f t="shared" si="291"/>
        <v>1274914</v>
      </c>
      <c r="AN472" s="812">
        <f t="shared" si="292"/>
        <v>5738860</v>
      </c>
      <c r="AO472" s="812">
        <f t="shared" si="293"/>
        <v>14391366</v>
      </c>
      <c r="AP472" s="790">
        <f t="shared" si="294"/>
        <v>14391366</v>
      </c>
      <c r="AQ472" s="790">
        <f t="shared" si="295"/>
        <v>20130226</v>
      </c>
      <c r="AR472" s="791">
        <f t="shared" si="296"/>
        <v>366</v>
      </c>
      <c r="AS472" s="791">
        <f t="shared" si="297"/>
        <v>1278407</v>
      </c>
      <c r="AT472" s="790">
        <f t="shared" si="298"/>
        <v>7017267</v>
      </c>
      <c r="AU472" s="790">
        <f t="shared" si="299"/>
        <v>13112959</v>
      </c>
    </row>
    <row r="473" spans="1:47" x14ac:dyDescent="0.25">
      <c r="A473" s="955" t="s">
        <v>1317</v>
      </c>
      <c r="B473" s="852" t="s">
        <v>1359</v>
      </c>
      <c r="C473" s="778">
        <f t="shared" si="263"/>
        <v>6.3333333333333325E-2</v>
      </c>
      <c r="D473" s="881">
        <v>15</v>
      </c>
      <c r="E473" s="844" t="s">
        <v>677</v>
      </c>
      <c r="F473" s="853">
        <v>44728</v>
      </c>
      <c r="G473" s="781">
        <f>F473</f>
        <v>44728</v>
      </c>
      <c r="H473" s="781">
        <f t="shared" si="264"/>
        <v>50203</v>
      </c>
      <c r="I473" s="965">
        <v>53964.480000000003</v>
      </c>
      <c r="J473" s="783">
        <f t="shared" si="265"/>
        <v>2698.2240000000002</v>
      </c>
      <c r="L473" s="790">
        <v>0</v>
      </c>
      <c r="M473" s="790">
        <v>0</v>
      </c>
      <c r="N473" s="790">
        <v>0</v>
      </c>
      <c r="O473" s="790">
        <v>0</v>
      </c>
      <c r="P473" s="790">
        <v>0</v>
      </c>
      <c r="Q473" s="790">
        <v>0</v>
      </c>
      <c r="R473" s="790">
        <v>0</v>
      </c>
      <c r="S473" s="790">
        <v>0</v>
      </c>
      <c r="T473" s="790">
        <v>0</v>
      </c>
      <c r="U473" s="790">
        <v>0</v>
      </c>
      <c r="V473" s="790">
        <v>0</v>
      </c>
      <c r="W473" s="790">
        <v>0</v>
      </c>
      <c r="X473" s="790">
        <v>0</v>
      </c>
      <c r="Y473" s="790">
        <v>0</v>
      </c>
      <c r="Z473" s="790">
        <v>0</v>
      </c>
      <c r="AA473" s="790">
        <v>0</v>
      </c>
      <c r="AB473" s="790">
        <v>0</v>
      </c>
      <c r="AC473" s="790">
        <v>0</v>
      </c>
      <c r="AD473" s="790">
        <v>0</v>
      </c>
      <c r="AE473" s="790">
        <v>0</v>
      </c>
      <c r="AF473" s="790">
        <v>0</v>
      </c>
      <c r="AG473" s="790">
        <v>0</v>
      </c>
      <c r="AH473" s="790">
        <v>0</v>
      </c>
      <c r="AI473" s="790">
        <v>0</v>
      </c>
      <c r="AJ473" s="790">
        <f t="shared" si="301"/>
        <v>0</v>
      </c>
      <c r="AK473" s="790">
        <f t="shared" si="289"/>
        <v>53964.480000000003</v>
      </c>
      <c r="AL473" s="791">
        <f t="shared" si="290"/>
        <v>289</v>
      </c>
      <c r="AM473" s="791">
        <f t="shared" si="291"/>
        <v>2706</v>
      </c>
      <c r="AN473" s="783">
        <f t="shared" si="292"/>
        <v>2706</v>
      </c>
      <c r="AO473" s="783">
        <f t="shared" si="293"/>
        <v>51258.48</v>
      </c>
      <c r="AP473" s="790">
        <f t="shared" si="294"/>
        <v>51258.48</v>
      </c>
      <c r="AQ473" s="790">
        <f t="shared" si="295"/>
        <v>53964.480000000003</v>
      </c>
      <c r="AR473" s="791">
        <f t="shared" si="296"/>
        <v>366</v>
      </c>
      <c r="AS473" s="791">
        <f t="shared" si="297"/>
        <v>3427</v>
      </c>
      <c r="AT473" s="790">
        <f t="shared" si="298"/>
        <v>6133</v>
      </c>
      <c r="AU473" s="790">
        <f t="shared" si="299"/>
        <v>47831.48</v>
      </c>
    </row>
    <row r="474" spans="1:47" x14ac:dyDescent="0.25">
      <c r="A474" s="955" t="s">
        <v>1317</v>
      </c>
      <c r="B474" s="852" t="s">
        <v>1360</v>
      </c>
      <c r="C474" s="778">
        <f t="shared" si="263"/>
        <v>6.3333333333333325E-2</v>
      </c>
      <c r="D474" s="881">
        <v>15</v>
      </c>
      <c r="E474" s="844" t="s">
        <v>677</v>
      </c>
      <c r="F474" s="853">
        <v>44663</v>
      </c>
      <c r="G474" s="781">
        <f t="shared" ref="G474:G485" si="316">F474</f>
        <v>44663</v>
      </c>
      <c r="H474" s="781">
        <f t="shared" si="264"/>
        <v>50138</v>
      </c>
      <c r="I474" s="965">
        <v>16000</v>
      </c>
      <c r="J474" s="783">
        <f t="shared" si="265"/>
        <v>800</v>
      </c>
      <c r="L474" s="790">
        <v>0</v>
      </c>
      <c r="M474" s="790">
        <v>0</v>
      </c>
      <c r="N474" s="790">
        <v>0</v>
      </c>
      <c r="O474" s="790">
        <v>0</v>
      </c>
      <c r="P474" s="790">
        <v>0</v>
      </c>
      <c r="Q474" s="790">
        <v>0</v>
      </c>
      <c r="R474" s="790">
        <v>0</v>
      </c>
      <c r="S474" s="790">
        <v>0</v>
      </c>
      <c r="T474" s="790">
        <v>0</v>
      </c>
      <c r="U474" s="790">
        <v>0</v>
      </c>
      <c r="V474" s="790">
        <v>0</v>
      </c>
      <c r="W474" s="790">
        <v>0</v>
      </c>
      <c r="X474" s="790">
        <v>0</v>
      </c>
      <c r="Y474" s="790">
        <v>0</v>
      </c>
      <c r="Z474" s="790">
        <v>0</v>
      </c>
      <c r="AA474" s="790">
        <v>0</v>
      </c>
      <c r="AB474" s="790">
        <v>0</v>
      </c>
      <c r="AC474" s="790">
        <v>0</v>
      </c>
      <c r="AD474" s="790">
        <v>0</v>
      </c>
      <c r="AE474" s="790">
        <v>0</v>
      </c>
      <c r="AF474" s="790">
        <v>0</v>
      </c>
      <c r="AG474" s="790">
        <v>0</v>
      </c>
      <c r="AH474" s="790">
        <v>0</v>
      </c>
      <c r="AI474" s="790">
        <v>0</v>
      </c>
      <c r="AJ474" s="790">
        <f t="shared" si="301"/>
        <v>0</v>
      </c>
      <c r="AK474" s="790">
        <f t="shared" si="289"/>
        <v>16000</v>
      </c>
      <c r="AL474" s="791">
        <f t="shared" si="290"/>
        <v>354</v>
      </c>
      <c r="AM474" s="791">
        <f t="shared" si="291"/>
        <v>983</v>
      </c>
      <c r="AN474" s="783">
        <f t="shared" si="292"/>
        <v>983</v>
      </c>
      <c r="AO474" s="783">
        <f t="shared" si="293"/>
        <v>15017</v>
      </c>
      <c r="AP474" s="790">
        <f t="shared" si="294"/>
        <v>15017</v>
      </c>
      <c r="AQ474" s="790">
        <f t="shared" si="295"/>
        <v>16000</v>
      </c>
      <c r="AR474" s="791">
        <f t="shared" si="296"/>
        <v>366</v>
      </c>
      <c r="AS474" s="791">
        <f t="shared" si="297"/>
        <v>1016</v>
      </c>
      <c r="AT474" s="790">
        <f t="shared" si="298"/>
        <v>1999</v>
      </c>
      <c r="AU474" s="790">
        <f t="shared" si="299"/>
        <v>14001</v>
      </c>
    </row>
    <row r="475" spans="1:47" x14ac:dyDescent="0.25">
      <c r="A475" s="955" t="s">
        <v>1317</v>
      </c>
      <c r="B475" s="852" t="s">
        <v>1361</v>
      </c>
      <c r="C475" s="778">
        <f t="shared" si="263"/>
        <v>6.3333333333333325E-2</v>
      </c>
      <c r="D475" s="881">
        <v>15</v>
      </c>
      <c r="E475" s="844" t="s">
        <v>677</v>
      </c>
      <c r="F475" s="853">
        <v>44697</v>
      </c>
      <c r="G475" s="781">
        <f t="shared" si="316"/>
        <v>44697</v>
      </c>
      <c r="H475" s="781">
        <f t="shared" si="264"/>
        <v>50172</v>
      </c>
      <c r="I475" s="965">
        <v>800000</v>
      </c>
      <c r="J475" s="783">
        <f t="shared" si="265"/>
        <v>40000</v>
      </c>
      <c r="L475" s="790">
        <v>0</v>
      </c>
      <c r="M475" s="790">
        <v>0</v>
      </c>
      <c r="N475" s="790">
        <v>0</v>
      </c>
      <c r="O475" s="790">
        <v>0</v>
      </c>
      <c r="P475" s="790">
        <v>0</v>
      </c>
      <c r="Q475" s="790">
        <v>0</v>
      </c>
      <c r="R475" s="790">
        <v>0</v>
      </c>
      <c r="S475" s="790">
        <v>0</v>
      </c>
      <c r="T475" s="790">
        <v>0</v>
      </c>
      <c r="U475" s="790">
        <v>0</v>
      </c>
      <c r="V475" s="790">
        <v>0</v>
      </c>
      <c r="W475" s="790">
        <v>0</v>
      </c>
      <c r="X475" s="790">
        <v>0</v>
      </c>
      <c r="Y475" s="790">
        <v>0</v>
      </c>
      <c r="Z475" s="790">
        <v>0</v>
      </c>
      <c r="AA475" s="790">
        <v>0</v>
      </c>
      <c r="AB475" s="790">
        <v>0</v>
      </c>
      <c r="AC475" s="790">
        <v>0</v>
      </c>
      <c r="AD475" s="790">
        <v>0</v>
      </c>
      <c r="AE475" s="790">
        <v>0</v>
      </c>
      <c r="AF475" s="790">
        <v>0</v>
      </c>
      <c r="AG475" s="790">
        <v>0</v>
      </c>
      <c r="AH475" s="790">
        <v>0</v>
      </c>
      <c r="AI475" s="790">
        <v>0</v>
      </c>
      <c r="AJ475" s="790">
        <f t="shared" si="301"/>
        <v>0</v>
      </c>
      <c r="AK475" s="790">
        <f t="shared" si="289"/>
        <v>800000</v>
      </c>
      <c r="AL475" s="791">
        <f t="shared" si="290"/>
        <v>320</v>
      </c>
      <c r="AM475" s="791">
        <f t="shared" si="291"/>
        <v>44420</v>
      </c>
      <c r="AN475" s="783">
        <f t="shared" si="292"/>
        <v>44420</v>
      </c>
      <c r="AO475" s="783">
        <f t="shared" si="293"/>
        <v>755580</v>
      </c>
      <c r="AP475" s="790">
        <f t="shared" si="294"/>
        <v>755580</v>
      </c>
      <c r="AQ475" s="790">
        <f t="shared" si="295"/>
        <v>800000</v>
      </c>
      <c r="AR475" s="791">
        <f t="shared" si="296"/>
        <v>366</v>
      </c>
      <c r="AS475" s="791">
        <f t="shared" si="297"/>
        <v>50805</v>
      </c>
      <c r="AT475" s="790">
        <f t="shared" si="298"/>
        <v>95225</v>
      </c>
      <c r="AU475" s="790">
        <f t="shared" si="299"/>
        <v>704775</v>
      </c>
    </row>
    <row r="476" spans="1:47" x14ac:dyDescent="0.25">
      <c r="A476" s="955" t="s">
        <v>1317</v>
      </c>
      <c r="B476" s="852" t="s">
        <v>1361</v>
      </c>
      <c r="C476" s="778">
        <f t="shared" si="263"/>
        <v>6.3333333333333325E-2</v>
      </c>
      <c r="D476" s="881">
        <v>15</v>
      </c>
      <c r="E476" s="844" t="s">
        <v>677</v>
      </c>
      <c r="F476" s="853">
        <v>44827</v>
      </c>
      <c r="G476" s="781">
        <f t="shared" si="316"/>
        <v>44827</v>
      </c>
      <c r="H476" s="781">
        <f t="shared" si="264"/>
        <v>50302</v>
      </c>
      <c r="I476" s="965">
        <v>8759.3799999999992</v>
      </c>
      <c r="J476" s="783">
        <f t="shared" si="265"/>
        <v>437.96899999999999</v>
      </c>
      <c r="L476" s="790">
        <v>0</v>
      </c>
      <c r="M476" s="790">
        <v>0</v>
      </c>
      <c r="N476" s="790">
        <v>0</v>
      </c>
      <c r="O476" s="790">
        <v>0</v>
      </c>
      <c r="P476" s="790">
        <v>0</v>
      </c>
      <c r="Q476" s="790">
        <v>0</v>
      </c>
      <c r="R476" s="790">
        <v>0</v>
      </c>
      <c r="S476" s="790">
        <v>0</v>
      </c>
      <c r="T476" s="790">
        <v>0</v>
      </c>
      <c r="U476" s="790">
        <v>0</v>
      </c>
      <c r="V476" s="790">
        <v>0</v>
      </c>
      <c r="W476" s="790">
        <v>0</v>
      </c>
      <c r="X476" s="790">
        <v>0</v>
      </c>
      <c r="Y476" s="790">
        <v>0</v>
      </c>
      <c r="Z476" s="790">
        <v>0</v>
      </c>
      <c r="AA476" s="790">
        <v>0</v>
      </c>
      <c r="AB476" s="790">
        <v>0</v>
      </c>
      <c r="AC476" s="790">
        <v>0</v>
      </c>
      <c r="AD476" s="790">
        <v>0</v>
      </c>
      <c r="AE476" s="790">
        <v>0</v>
      </c>
      <c r="AF476" s="790">
        <v>0</v>
      </c>
      <c r="AG476" s="790">
        <v>0</v>
      </c>
      <c r="AH476" s="790">
        <v>0</v>
      </c>
      <c r="AI476" s="790">
        <v>0</v>
      </c>
      <c r="AJ476" s="790">
        <f t="shared" si="301"/>
        <v>0</v>
      </c>
      <c r="AK476" s="790">
        <f t="shared" si="289"/>
        <v>8759.3799999999992</v>
      </c>
      <c r="AL476" s="791">
        <f t="shared" si="290"/>
        <v>190</v>
      </c>
      <c r="AM476" s="791">
        <f t="shared" si="291"/>
        <v>289</v>
      </c>
      <c r="AN476" s="783">
        <f t="shared" si="292"/>
        <v>289</v>
      </c>
      <c r="AO476" s="783">
        <f t="shared" si="293"/>
        <v>8470.3799999999992</v>
      </c>
      <c r="AP476" s="790">
        <f t="shared" si="294"/>
        <v>8470.3799999999992</v>
      </c>
      <c r="AQ476" s="790">
        <f t="shared" si="295"/>
        <v>8759.3799999999992</v>
      </c>
      <c r="AR476" s="791">
        <f t="shared" si="296"/>
        <v>366</v>
      </c>
      <c r="AS476" s="791">
        <f t="shared" si="297"/>
        <v>556</v>
      </c>
      <c r="AT476" s="790">
        <f t="shared" si="298"/>
        <v>845</v>
      </c>
      <c r="AU476" s="790">
        <f t="shared" si="299"/>
        <v>7914.3799999999992</v>
      </c>
    </row>
    <row r="477" spans="1:47" x14ac:dyDescent="0.25">
      <c r="A477" s="955" t="s">
        <v>1317</v>
      </c>
      <c r="B477" s="852" t="s">
        <v>1361</v>
      </c>
      <c r="C477" s="778">
        <f t="shared" si="263"/>
        <v>6.3333333333333325E-2</v>
      </c>
      <c r="D477" s="881">
        <v>15</v>
      </c>
      <c r="E477" s="844" t="s">
        <v>677</v>
      </c>
      <c r="F477" s="853">
        <v>44832</v>
      </c>
      <c r="G477" s="781">
        <f t="shared" si="316"/>
        <v>44832</v>
      </c>
      <c r="H477" s="781">
        <f t="shared" si="264"/>
        <v>50307</v>
      </c>
      <c r="I477" s="965">
        <v>125000</v>
      </c>
      <c r="J477" s="783">
        <f t="shared" si="265"/>
        <v>6250</v>
      </c>
      <c r="L477" s="790">
        <v>0</v>
      </c>
      <c r="M477" s="790">
        <v>0</v>
      </c>
      <c r="N477" s="790">
        <v>0</v>
      </c>
      <c r="O477" s="790">
        <v>0</v>
      </c>
      <c r="P477" s="790">
        <v>0</v>
      </c>
      <c r="Q477" s="790">
        <v>0</v>
      </c>
      <c r="R477" s="790">
        <v>0</v>
      </c>
      <c r="S477" s="790">
        <v>0</v>
      </c>
      <c r="T477" s="790">
        <v>0</v>
      </c>
      <c r="U477" s="790">
        <v>0</v>
      </c>
      <c r="V477" s="790">
        <v>0</v>
      </c>
      <c r="W477" s="790">
        <v>0</v>
      </c>
      <c r="X477" s="790">
        <v>0</v>
      </c>
      <c r="Y477" s="790">
        <v>0</v>
      </c>
      <c r="Z477" s="790">
        <v>0</v>
      </c>
      <c r="AA477" s="790">
        <v>0</v>
      </c>
      <c r="AB477" s="790">
        <v>0</v>
      </c>
      <c r="AC477" s="790">
        <v>0</v>
      </c>
      <c r="AD477" s="790">
        <v>0</v>
      </c>
      <c r="AE477" s="790">
        <v>0</v>
      </c>
      <c r="AF477" s="790">
        <v>0</v>
      </c>
      <c r="AG477" s="790">
        <v>0</v>
      </c>
      <c r="AH477" s="790">
        <v>0</v>
      </c>
      <c r="AI477" s="790">
        <v>0</v>
      </c>
      <c r="AJ477" s="790">
        <f t="shared" si="301"/>
        <v>0</v>
      </c>
      <c r="AK477" s="790">
        <f t="shared" si="289"/>
        <v>125000</v>
      </c>
      <c r="AL477" s="791">
        <f t="shared" si="290"/>
        <v>185</v>
      </c>
      <c r="AM477" s="791">
        <f t="shared" si="291"/>
        <v>4013</v>
      </c>
      <c r="AN477" s="783">
        <f t="shared" si="292"/>
        <v>4013</v>
      </c>
      <c r="AO477" s="783">
        <f t="shared" si="293"/>
        <v>120987</v>
      </c>
      <c r="AP477" s="790">
        <f t="shared" si="294"/>
        <v>120987</v>
      </c>
      <c r="AQ477" s="790">
        <f t="shared" si="295"/>
        <v>125000</v>
      </c>
      <c r="AR477" s="791">
        <f t="shared" si="296"/>
        <v>366</v>
      </c>
      <c r="AS477" s="791">
        <f t="shared" si="297"/>
        <v>7938</v>
      </c>
      <c r="AT477" s="790">
        <f t="shared" si="298"/>
        <v>11951</v>
      </c>
      <c r="AU477" s="790">
        <f t="shared" si="299"/>
        <v>113049</v>
      </c>
    </row>
    <row r="478" spans="1:47" x14ac:dyDescent="0.25">
      <c r="A478" s="955" t="s">
        <v>1317</v>
      </c>
      <c r="B478" s="852" t="s">
        <v>1361</v>
      </c>
      <c r="C478" s="778">
        <f t="shared" si="263"/>
        <v>6.3333333333333325E-2</v>
      </c>
      <c r="D478" s="881">
        <v>15</v>
      </c>
      <c r="E478" s="844" t="s">
        <v>677</v>
      </c>
      <c r="F478" s="853">
        <v>44886</v>
      </c>
      <c r="G478" s="781">
        <f t="shared" si="316"/>
        <v>44886</v>
      </c>
      <c r="H478" s="781">
        <f t="shared" si="264"/>
        <v>50361</v>
      </c>
      <c r="I478" s="965">
        <v>12900</v>
      </c>
      <c r="J478" s="783">
        <f t="shared" si="265"/>
        <v>645</v>
      </c>
      <c r="L478" s="790">
        <v>0</v>
      </c>
      <c r="M478" s="790">
        <v>0</v>
      </c>
      <c r="N478" s="790">
        <v>0</v>
      </c>
      <c r="O478" s="790">
        <v>0</v>
      </c>
      <c r="P478" s="790">
        <v>0</v>
      </c>
      <c r="Q478" s="790">
        <v>0</v>
      </c>
      <c r="R478" s="790">
        <v>0</v>
      </c>
      <c r="S478" s="790">
        <v>0</v>
      </c>
      <c r="T478" s="790">
        <v>0</v>
      </c>
      <c r="U478" s="790">
        <v>0</v>
      </c>
      <c r="V478" s="790">
        <v>0</v>
      </c>
      <c r="W478" s="790">
        <v>0</v>
      </c>
      <c r="X478" s="790">
        <v>0</v>
      </c>
      <c r="Y478" s="790">
        <v>0</v>
      </c>
      <c r="Z478" s="790">
        <v>0</v>
      </c>
      <c r="AA478" s="790">
        <v>0</v>
      </c>
      <c r="AB478" s="790">
        <v>0</v>
      </c>
      <c r="AC478" s="790">
        <v>0</v>
      </c>
      <c r="AD478" s="790">
        <v>0</v>
      </c>
      <c r="AE478" s="790">
        <v>0</v>
      </c>
      <c r="AF478" s="790">
        <v>0</v>
      </c>
      <c r="AG478" s="790">
        <v>0</v>
      </c>
      <c r="AH478" s="790">
        <v>0</v>
      </c>
      <c r="AI478" s="790">
        <v>0</v>
      </c>
      <c r="AJ478" s="790">
        <f t="shared" si="301"/>
        <v>0</v>
      </c>
      <c r="AK478" s="790">
        <f t="shared" si="289"/>
        <v>12900</v>
      </c>
      <c r="AL478" s="791">
        <f t="shared" si="290"/>
        <v>131</v>
      </c>
      <c r="AM478" s="791">
        <f t="shared" si="291"/>
        <v>293</v>
      </c>
      <c r="AN478" s="783">
        <f t="shared" si="292"/>
        <v>293</v>
      </c>
      <c r="AO478" s="783">
        <f t="shared" si="293"/>
        <v>12607</v>
      </c>
      <c r="AP478" s="790">
        <f t="shared" si="294"/>
        <v>12607</v>
      </c>
      <c r="AQ478" s="790">
        <f t="shared" si="295"/>
        <v>12900</v>
      </c>
      <c r="AR478" s="791">
        <f t="shared" si="296"/>
        <v>366</v>
      </c>
      <c r="AS478" s="791">
        <f t="shared" si="297"/>
        <v>819</v>
      </c>
      <c r="AT478" s="790">
        <f t="shared" si="298"/>
        <v>1112</v>
      </c>
      <c r="AU478" s="790">
        <f t="shared" si="299"/>
        <v>11788</v>
      </c>
    </row>
    <row r="479" spans="1:47" x14ac:dyDescent="0.25">
      <c r="A479" s="955" t="s">
        <v>1317</v>
      </c>
      <c r="B479" s="852" t="s">
        <v>1361</v>
      </c>
      <c r="C479" s="778">
        <f t="shared" ref="C479:C516" si="317">(95/D479)/100</f>
        <v>6.3333333333333325E-2</v>
      </c>
      <c r="D479" s="881">
        <v>15</v>
      </c>
      <c r="E479" s="844" t="s">
        <v>677</v>
      </c>
      <c r="F479" s="853">
        <v>44887</v>
      </c>
      <c r="G479" s="781">
        <f t="shared" si="316"/>
        <v>44887</v>
      </c>
      <c r="H479" s="781">
        <f t="shared" ref="H479:H516" si="318">G479+(365*D479)</f>
        <v>50362</v>
      </c>
      <c r="I479" s="965">
        <v>2500</v>
      </c>
      <c r="J479" s="783">
        <f t="shared" ref="J479:J516" si="319">I479*5%</f>
        <v>125</v>
      </c>
      <c r="L479" s="790">
        <v>0</v>
      </c>
      <c r="M479" s="790">
        <v>0</v>
      </c>
      <c r="N479" s="790">
        <v>0</v>
      </c>
      <c r="O479" s="790">
        <v>0</v>
      </c>
      <c r="P479" s="790">
        <v>0</v>
      </c>
      <c r="Q479" s="790">
        <v>0</v>
      </c>
      <c r="R479" s="790">
        <v>0</v>
      </c>
      <c r="S479" s="790">
        <v>0</v>
      </c>
      <c r="T479" s="790">
        <v>0</v>
      </c>
      <c r="U479" s="790">
        <v>0</v>
      </c>
      <c r="V479" s="790">
        <v>0</v>
      </c>
      <c r="W479" s="790">
        <v>0</v>
      </c>
      <c r="X479" s="790">
        <v>0</v>
      </c>
      <c r="Y479" s="790">
        <v>0</v>
      </c>
      <c r="Z479" s="790">
        <v>0</v>
      </c>
      <c r="AA479" s="790">
        <v>0</v>
      </c>
      <c r="AB479" s="790">
        <v>0</v>
      </c>
      <c r="AC479" s="790">
        <v>0</v>
      </c>
      <c r="AD479" s="790">
        <v>0</v>
      </c>
      <c r="AE479" s="790">
        <v>0</v>
      </c>
      <c r="AF479" s="790">
        <v>0</v>
      </c>
      <c r="AG479" s="790">
        <v>0</v>
      </c>
      <c r="AH479" s="790">
        <v>0</v>
      </c>
      <c r="AI479" s="790">
        <v>0</v>
      </c>
      <c r="AJ479" s="790">
        <f t="shared" si="301"/>
        <v>0</v>
      </c>
      <c r="AK479" s="790">
        <f t="shared" ref="AK479:AK485" si="320">I479</f>
        <v>2500</v>
      </c>
      <c r="AL479" s="791">
        <f t="shared" ref="AL479:AL485" si="321">IF(AND(F479&gt;$AD$3,F479&lt;$AJ$3),$AJ$3-F479+1,IF(H479&lt;=$AD$3,0,IF(H479&gt;$AJ$3,$AJ$3-$AD$3,H479-$AD$3)))</f>
        <v>130</v>
      </c>
      <c r="AM479" s="791">
        <f t="shared" ref="AM479:AM485" si="322">ROUND(AK479*C479*AL479/365,0)</f>
        <v>56</v>
      </c>
      <c r="AN479" s="783">
        <f t="shared" ref="AN479:AN485" si="323">+AH479+AM479</f>
        <v>56</v>
      </c>
      <c r="AO479" s="783">
        <f t="shared" ref="AO479:AO485" si="324">AK479-AN479</f>
        <v>2444</v>
      </c>
      <c r="AP479" s="790">
        <f t="shared" ref="AP479:AP516" si="325">+AO479</f>
        <v>2444</v>
      </c>
      <c r="AQ479" s="790">
        <f t="shared" ref="AQ479:AQ516" si="326">I479</f>
        <v>2500</v>
      </c>
      <c r="AR479" s="791">
        <f t="shared" ref="AR479:AR516" si="327">IF(AND(F479&gt;$AJ$3,F479&lt;$AP$3),$AP$3-F479+1,IF(H479&lt;=$AJ$3,0,IF(H479&gt;$AP$3,$AP$3-$AJ$3,H479-$AJ$3)))</f>
        <v>366</v>
      </c>
      <c r="AS479" s="791">
        <f t="shared" ref="AS479:AS516" si="328">ROUND(AQ479*C479*AR479/365,0)</f>
        <v>159</v>
      </c>
      <c r="AT479" s="790">
        <f t="shared" ref="AT479:AT516" si="329">+AN479+AS479</f>
        <v>215</v>
      </c>
      <c r="AU479" s="790">
        <f t="shared" ref="AU479:AU516" si="330">+AQ479-AT479</f>
        <v>2285</v>
      </c>
    </row>
    <row r="480" spans="1:47" x14ac:dyDescent="0.25">
      <c r="A480" s="955" t="s">
        <v>1317</v>
      </c>
      <c r="B480" s="852" t="s">
        <v>1361</v>
      </c>
      <c r="C480" s="778">
        <f t="shared" si="317"/>
        <v>6.3333333333333325E-2</v>
      </c>
      <c r="D480" s="881">
        <v>15</v>
      </c>
      <c r="E480" s="844" t="s">
        <v>677</v>
      </c>
      <c r="F480" s="853">
        <v>44922</v>
      </c>
      <c r="G480" s="781">
        <f t="shared" si="316"/>
        <v>44922</v>
      </c>
      <c r="H480" s="781">
        <f t="shared" si="318"/>
        <v>50397</v>
      </c>
      <c r="I480" s="965">
        <v>9151.7800000000007</v>
      </c>
      <c r="J480" s="783">
        <f t="shared" si="319"/>
        <v>457.58900000000006</v>
      </c>
      <c r="L480" s="790">
        <v>0</v>
      </c>
      <c r="M480" s="790">
        <v>0</v>
      </c>
      <c r="N480" s="790">
        <v>0</v>
      </c>
      <c r="O480" s="790">
        <v>0</v>
      </c>
      <c r="P480" s="790">
        <v>0</v>
      </c>
      <c r="Q480" s="790">
        <v>0</v>
      </c>
      <c r="R480" s="790">
        <v>0</v>
      </c>
      <c r="S480" s="790">
        <v>0</v>
      </c>
      <c r="T480" s="790">
        <v>0</v>
      </c>
      <c r="U480" s="790">
        <v>0</v>
      </c>
      <c r="V480" s="790">
        <v>0</v>
      </c>
      <c r="W480" s="790">
        <v>0</v>
      </c>
      <c r="X480" s="790">
        <v>0</v>
      </c>
      <c r="Y480" s="790">
        <v>0</v>
      </c>
      <c r="Z480" s="790">
        <v>0</v>
      </c>
      <c r="AA480" s="790">
        <v>0</v>
      </c>
      <c r="AB480" s="790">
        <v>0</v>
      </c>
      <c r="AC480" s="790">
        <v>0</v>
      </c>
      <c r="AD480" s="790">
        <v>0</v>
      </c>
      <c r="AE480" s="790">
        <v>0</v>
      </c>
      <c r="AF480" s="790">
        <v>0</v>
      </c>
      <c r="AG480" s="790">
        <v>0</v>
      </c>
      <c r="AH480" s="790">
        <v>0</v>
      </c>
      <c r="AI480" s="790">
        <v>0</v>
      </c>
      <c r="AJ480" s="790">
        <f t="shared" si="301"/>
        <v>0</v>
      </c>
      <c r="AK480" s="790">
        <f t="shared" si="320"/>
        <v>9151.7800000000007</v>
      </c>
      <c r="AL480" s="791">
        <f t="shared" si="321"/>
        <v>95</v>
      </c>
      <c r="AM480" s="791">
        <f t="shared" si="322"/>
        <v>151</v>
      </c>
      <c r="AN480" s="783">
        <f t="shared" si="323"/>
        <v>151</v>
      </c>
      <c r="AO480" s="783">
        <f t="shared" si="324"/>
        <v>9000.7800000000007</v>
      </c>
      <c r="AP480" s="790">
        <f t="shared" si="325"/>
        <v>9000.7800000000007</v>
      </c>
      <c r="AQ480" s="790">
        <f t="shared" si="326"/>
        <v>9151.7800000000007</v>
      </c>
      <c r="AR480" s="791">
        <f t="shared" si="327"/>
        <v>366</v>
      </c>
      <c r="AS480" s="791">
        <f t="shared" si="328"/>
        <v>581</v>
      </c>
      <c r="AT480" s="790">
        <f t="shared" si="329"/>
        <v>732</v>
      </c>
      <c r="AU480" s="790">
        <f t="shared" si="330"/>
        <v>8419.7800000000007</v>
      </c>
    </row>
    <row r="481" spans="1:47" x14ac:dyDescent="0.25">
      <c r="A481" s="955" t="s">
        <v>1317</v>
      </c>
      <c r="B481" s="852" t="s">
        <v>1361</v>
      </c>
      <c r="C481" s="778">
        <f t="shared" si="317"/>
        <v>6.3333333333333325E-2</v>
      </c>
      <c r="D481" s="881">
        <v>15</v>
      </c>
      <c r="E481" s="844" t="s">
        <v>677</v>
      </c>
      <c r="F481" s="853">
        <v>44939</v>
      </c>
      <c r="G481" s="781">
        <f t="shared" si="316"/>
        <v>44939</v>
      </c>
      <c r="H481" s="781">
        <f t="shared" si="318"/>
        <v>50414</v>
      </c>
      <c r="I481" s="965">
        <v>8274.82</v>
      </c>
      <c r="J481" s="783">
        <f t="shared" si="319"/>
        <v>413.74099999999999</v>
      </c>
      <c r="L481" s="790">
        <v>0</v>
      </c>
      <c r="M481" s="790">
        <v>0</v>
      </c>
      <c r="N481" s="790">
        <v>0</v>
      </c>
      <c r="O481" s="790">
        <v>0</v>
      </c>
      <c r="P481" s="790">
        <v>0</v>
      </c>
      <c r="Q481" s="790">
        <v>0</v>
      </c>
      <c r="R481" s="790">
        <v>0</v>
      </c>
      <c r="S481" s="790">
        <v>0</v>
      </c>
      <c r="T481" s="790">
        <v>0</v>
      </c>
      <c r="U481" s="790">
        <v>0</v>
      </c>
      <c r="V481" s="790">
        <v>0</v>
      </c>
      <c r="W481" s="790">
        <v>0</v>
      </c>
      <c r="X481" s="790">
        <v>0</v>
      </c>
      <c r="Y481" s="790">
        <v>0</v>
      </c>
      <c r="Z481" s="790">
        <v>0</v>
      </c>
      <c r="AA481" s="790">
        <v>0</v>
      </c>
      <c r="AB481" s="790">
        <v>0</v>
      </c>
      <c r="AC481" s="790">
        <v>0</v>
      </c>
      <c r="AD481" s="790">
        <v>0</v>
      </c>
      <c r="AE481" s="790">
        <v>0</v>
      </c>
      <c r="AF481" s="790">
        <v>0</v>
      </c>
      <c r="AG481" s="790">
        <v>0</v>
      </c>
      <c r="AH481" s="790">
        <v>0</v>
      </c>
      <c r="AI481" s="790">
        <v>0</v>
      </c>
      <c r="AJ481" s="790">
        <f t="shared" si="301"/>
        <v>0</v>
      </c>
      <c r="AK481" s="790">
        <f t="shared" si="320"/>
        <v>8274.82</v>
      </c>
      <c r="AL481" s="791">
        <f t="shared" si="321"/>
        <v>78</v>
      </c>
      <c r="AM481" s="791">
        <f t="shared" si="322"/>
        <v>112</v>
      </c>
      <c r="AN481" s="783">
        <f t="shared" si="323"/>
        <v>112</v>
      </c>
      <c r="AO481" s="783">
        <f t="shared" si="324"/>
        <v>8162.82</v>
      </c>
      <c r="AP481" s="790">
        <f t="shared" si="325"/>
        <v>8162.82</v>
      </c>
      <c r="AQ481" s="790">
        <f t="shared" si="326"/>
        <v>8274.82</v>
      </c>
      <c r="AR481" s="791">
        <f t="shared" si="327"/>
        <v>366</v>
      </c>
      <c r="AS481" s="791">
        <f t="shared" si="328"/>
        <v>526</v>
      </c>
      <c r="AT481" s="790">
        <f t="shared" si="329"/>
        <v>638</v>
      </c>
      <c r="AU481" s="790">
        <f t="shared" si="330"/>
        <v>7636.82</v>
      </c>
    </row>
    <row r="482" spans="1:47" x14ac:dyDescent="0.25">
      <c r="A482" s="955" t="s">
        <v>1317</v>
      </c>
      <c r="B482" s="852" t="s">
        <v>1362</v>
      </c>
      <c r="C482" s="778">
        <f t="shared" si="317"/>
        <v>6.3333333333333325E-2</v>
      </c>
      <c r="D482" s="881">
        <v>15</v>
      </c>
      <c r="E482" s="844" t="s">
        <v>677</v>
      </c>
      <c r="F482" s="853">
        <v>44817</v>
      </c>
      <c r="G482" s="781">
        <f t="shared" si="316"/>
        <v>44817</v>
      </c>
      <c r="H482" s="781">
        <f t="shared" si="318"/>
        <v>50292</v>
      </c>
      <c r="I482" s="965">
        <v>620000</v>
      </c>
      <c r="J482" s="783">
        <f t="shared" si="319"/>
        <v>31000</v>
      </c>
      <c r="L482" s="790">
        <v>0</v>
      </c>
      <c r="M482" s="790">
        <v>0</v>
      </c>
      <c r="N482" s="790">
        <v>0</v>
      </c>
      <c r="O482" s="790">
        <v>0</v>
      </c>
      <c r="P482" s="790">
        <v>0</v>
      </c>
      <c r="Q482" s="790">
        <v>0</v>
      </c>
      <c r="R482" s="790">
        <v>0</v>
      </c>
      <c r="S482" s="790">
        <v>0</v>
      </c>
      <c r="T482" s="790">
        <v>0</v>
      </c>
      <c r="U482" s="790">
        <v>0</v>
      </c>
      <c r="V482" s="790">
        <v>0</v>
      </c>
      <c r="W482" s="790">
        <v>0</v>
      </c>
      <c r="X482" s="790">
        <v>0</v>
      </c>
      <c r="Y482" s="790">
        <v>0</v>
      </c>
      <c r="Z482" s="790">
        <v>0</v>
      </c>
      <c r="AA482" s="790">
        <v>0</v>
      </c>
      <c r="AB482" s="790">
        <v>0</v>
      </c>
      <c r="AC482" s="790">
        <v>0</v>
      </c>
      <c r="AD482" s="790">
        <v>0</v>
      </c>
      <c r="AE482" s="790">
        <v>0</v>
      </c>
      <c r="AF482" s="790">
        <v>0</v>
      </c>
      <c r="AG482" s="790">
        <v>0</v>
      </c>
      <c r="AH482" s="790">
        <v>0</v>
      </c>
      <c r="AI482" s="790">
        <v>0</v>
      </c>
      <c r="AJ482" s="790">
        <f t="shared" si="301"/>
        <v>0</v>
      </c>
      <c r="AK482" s="790">
        <f t="shared" si="320"/>
        <v>620000</v>
      </c>
      <c r="AL482" s="791">
        <f t="shared" si="321"/>
        <v>200</v>
      </c>
      <c r="AM482" s="791">
        <f t="shared" si="322"/>
        <v>21516</v>
      </c>
      <c r="AN482" s="783">
        <f t="shared" si="323"/>
        <v>21516</v>
      </c>
      <c r="AO482" s="783">
        <f t="shared" si="324"/>
        <v>598484</v>
      </c>
      <c r="AP482" s="790">
        <f t="shared" si="325"/>
        <v>598484</v>
      </c>
      <c r="AQ482" s="790">
        <f t="shared" si="326"/>
        <v>620000</v>
      </c>
      <c r="AR482" s="791">
        <f t="shared" si="327"/>
        <v>366</v>
      </c>
      <c r="AS482" s="791">
        <f t="shared" si="328"/>
        <v>39374</v>
      </c>
      <c r="AT482" s="790">
        <f t="shared" si="329"/>
        <v>60890</v>
      </c>
      <c r="AU482" s="790">
        <f t="shared" si="330"/>
        <v>559110</v>
      </c>
    </row>
    <row r="483" spans="1:47" x14ac:dyDescent="0.25">
      <c r="A483" s="955" t="s">
        <v>1317</v>
      </c>
      <c r="B483" s="852" t="s">
        <v>1353</v>
      </c>
      <c r="C483" s="778">
        <f t="shared" si="317"/>
        <v>6.3333333333333325E-2</v>
      </c>
      <c r="D483" s="881">
        <v>15</v>
      </c>
      <c r="E483" s="844" t="s">
        <v>677</v>
      </c>
      <c r="F483" s="853">
        <v>44748</v>
      </c>
      <c r="G483" s="781">
        <f t="shared" si="316"/>
        <v>44748</v>
      </c>
      <c r="H483" s="781">
        <f t="shared" si="318"/>
        <v>50223</v>
      </c>
      <c r="I483" s="965">
        <v>48000</v>
      </c>
      <c r="J483" s="783">
        <f t="shared" si="319"/>
        <v>2400</v>
      </c>
      <c r="L483" s="790">
        <v>0</v>
      </c>
      <c r="M483" s="790">
        <v>0</v>
      </c>
      <c r="N483" s="790">
        <v>0</v>
      </c>
      <c r="O483" s="790">
        <v>0</v>
      </c>
      <c r="P483" s="790">
        <v>0</v>
      </c>
      <c r="Q483" s="790">
        <v>0</v>
      </c>
      <c r="R483" s="790">
        <v>0</v>
      </c>
      <c r="S483" s="790">
        <v>0</v>
      </c>
      <c r="T483" s="790">
        <v>0</v>
      </c>
      <c r="U483" s="790">
        <v>0</v>
      </c>
      <c r="V483" s="790">
        <v>0</v>
      </c>
      <c r="W483" s="790">
        <v>0</v>
      </c>
      <c r="X483" s="790">
        <v>0</v>
      </c>
      <c r="Y483" s="790">
        <v>0</v>
      </c>
      <c r="Z483" s="790">
        <v>0</v>
      </c>
      <c r="AA483" s="790">
        <v>0</v>
      </c>
      <c r="AB483" s="790">
        <v>0</v>
      </c>
      <c r="AC483" s="790">
        <v>0</v>
      </c>
      <c r="AD483" s="790">
        <v>0</v>
      </c>
      <c r="AE483" s="790">
        <v>0</v>
      </c>
      <c r="AF483" s="790">
        <v>0</v>
      </c>
      <c r="AG483" s="790">
        <v>0</v>
      </c>
      <c r="AH483" s="790">
        <v>0</v>
      </c>
      <c r="AI483" s="790">
        <v>0</v>
      </c>
      <c r="AJ483" s="790">
        <f t="shared" si="301"/>
        <v>0</v>
      </c>
      <c r="AK483" s="790">
        <f t="shared" si="320"/>
        <v>48000</v>
      </c>
      <c r="AL483" s="791">
        <f t="shared" si="321"/>
        <v>269</v>
      </c>
      <c r="AM483" s="791">
        <f t="shared" si="322"/>
        <v>2240</v>
      </c>
      <c r="AN483" s="783">
        <f t="shared" si="323"/>
        <v>2240</v>
      </c>
      <c r="AO483" s="783">
        <f t="shared" si="324"/>
        <v>45760</v>
      </c>
      <c r="AP483" s="790">
        <f t="shared" si="325"/>
        <v>45760</v>
      </c>
      <c r="AQ483" s="790">
        <f t="shared" si="326"/>
        <v>48000</v>
      </c>
      <c r="AR483" s="791">
        <f t="shared" si="327"/>
        <v>366</v>
      </c>
      <c r="AS483" s="791">
        <f t="shared" si="328"/>
        <v>3048</v>
      </c>
      <c r="AT483" s="790">
        <f t="shared" si="329"/>
        <v>5288</v>
      </c>
      <c r="AU483" s="790">
        <f t="shared" si="330"/>
        <v>42712</v>
      </c>
    </row>
    <row r="484" spans="1:47" x14ac:dyDescent="0.25">
      <c r="A484" s="955" t="s">
        <v>1317</v>
      </c>
      <c r="B484" s="852" t="s">
        <v>1354</v>
      </c>
      <c r="C484" s="778">
        <f t="shared" si="317"/>
        <v>6.3333333333333325E-2</v>
      </c>
      <c r="D484" s="881">
        <v>15</v>
      </c>
      <c r="E484" s="844" t="s">
        <v>677</v>
      </c>
      <c r="F484" s="853">
        <v>44691</v>
      </c>
      <c r="G484" s="781">
        <f t="shared" si="316"/>
        <v>44691</v>
      </c>
      <c r="H484" s="781">
        <f t="shared" si="318"/>
        <v>50166</v>
      </c>
      <c r="I484" s="965">
        <v>669026.25</v>
      </c>
      <c r="J484" s="783">
        <f t="shared" si="319"/>
        <v>33451.3125</v>
      </c>
      <c r="L484" s="790">
        <v>0</v>
      </c>
      <c r="M484" s="790">
        <v>0</v>
      </c>
      <c r="N484" s="790">
        <v>0</v>
      </c>
      <c r="O484" s="790">
        <v>0</v>
      </c>
      <c r="P484" s="790">
        <v>0</v>
      </c>
      <c r="Q484" s="790">
        <v>0</v>
      </c>
      <c r="R484" s="790">
        <v>0</v>
      </c>
      <c r="S484" s="790">
        <v>0</v>
      </c>
      <c r="T484" s="790">
        <v>0</v>
      </c>
      <c r="U484" s="790">
        <v>0</v>
      </c>
      <c r="V484" s="790">
        <v>0</v>
      </c>
      <c r="W484" s="790">
        <v>0</v>
      </c>
      <c r="X484" s="790">
        <v>0</v>
      </c>
      <c r="Y484" s="790">
        <v>0</v>
      </c>
      <c r="Z484" s="790">
        <v>0</v>
      </c>
      <c r="AA484" s="790">
        <v>0</v>
      </c>
      <c r="AB484" s="790">
        <v>0</v>
      </c>
      <c r="AC484" s="790">
        <v>0</v>
      </c>
      <c r="AD484" s="790">
        <v>0</v>
      </c>
      <c r="AE484" s="790">
        <v>0</v>
      </c>
      <c r="AF484" s="790">
        <v>0</v>
      </c>
      <c r="AG484" s="790">
        <v>0</v>
      </c>
      <c r="AH484" s="790">
        <v>0</v>
      </c>
      <c r="AI484" s="790">
        <v>0</v>
      </c>
      <c r="AJ484" s="790">
        <f t="shared" si="301"/>
        <v>0</v>
      </c>
      <c r="AK484" s="790">
        <f t="shared" si="320"/>
        <v>669026.25</v>
      </c>
      <c r="AL484" s="791">
        <f t="shared" si="321"/>
        <v>326</v>
      </c>
      <c r="AM484" s="791">
        <f t="shared" si="322"/>
        <v>37844</v>
      </c>
      <c r="AN484" s="783">
        <f t="shared" si="323"/>
        <v>37844</v>
      </c>
      <c r="AO484" s="783">
        <f t="shared" si="324"/>
        <v>631182.25</v>
      </c>
      <c r="AP484" s="790">
        <f t="shared" si="325"/>
        <v>631182.25</v>
      </c>
      <c r="AQ484" s="790">
        <f t="shared" si="326"/>
        <v>669026.25</v>
      </c>
      <c r="AR484" s="791">
        <f t="shared" si="327"/>
        <v>366</v>
      </c>
      <c r="AS484" s="791">
        <f t="shared" si="328"/>
        <v>42488</v>
      </c>
      <c r="AT484" s="790">
        <f t="shared" si="329"/>
        <v>80332</v>
      </c>
      <c r="AU484" s="790">
        <f t="shared" si="330"/>
        <v>588694.25</v>
      </c>
    </row>
    <row r="485" spans="1:47" x14ac:dyDescent="0.25">
      <c r="A485" s="966" t="s">
        <v>1317</v>
      </c>
      <c r="B485" s="899" t="s">
        <v>1354</v>
      </c>
      <c r="C485" s="826">
        <f t="shared" si="317"/>
        <v>6.3333333333333325E-2</v>
      </c>
      <c r="D485" s="967">
        <v>15</v>
      </c>
      <c r="E485" s="858" t="s">
        <v>677</v>
      </c>
      <c r="F485" s="859">
        <v>44727</v>
      </c>
      <c r="G485" s="828">
        <f t="shared" si="316"/>
        <v>44727</v>
      </c>
      <c r="H485" s="828">
        <f t="shared" si="318"/>
        <v>50202</v>
      </c>
      <c r="I485" s="900">
        <v>11889983.369999999</v>
      </c>
      <c r="J485" s="812">
        <f t="shared" si="319"/>
        <v>594499.16850000003</v>
      </c>
      <c r="L485" s="808">
        <v>0</v>
      </c>
      <c r="M485" s="808">
        <v>0</v>
      </c>
      <c r="N485" s="808">
        <v>0</v>
      </c>
      <c r="O485" s="808">
        <v>0</v>
      </c>
      <c r="P485" s="808">
        <v>0</v>
      </c>
      <c r="Q485" s="808">
        <v>0</v>
      </c>
      <c r="R485" s="808">
        <v>0</v>
      </c>
      <c r="S485" s="808">
        <v>0</v>
      </c>
      <c r="T485" s="808">
        <v>0</v>
      </c>
      <c r="U485" s="808">
        <v>0</v>
      </c>
      <c r="V485" s="808">
        <v>0</v>
      </c>
      <c r="W485" s="808">
        <v>0</v>
      </c>
      <c r="X485" s="808">
        <v>0</v>
      </c>
      <c r="Y485" s="808">
        <v>0</v>
      </c>
      <c r="Z485" s="808">
        <v>0</v>
      </c>
      <c r="AA485" s="808">
        <v>0</v>
      </c>
      <c r="AB485" s="808">
        <v>0</v>
      </c>
      <c r="AC485" s="808">
        <v>0</v>
      </c>
      <c r="AD485" s="808">
        <v>0</v>
      </c>
      <c r="AE485" s="808">
        <v>0</v>
      </c>
      <c r="AF485" s="808">
        <v>0</v>
      </c>
      <c r="AG485" s="808">
        <v>0</v>
      </c>
      <c r="AH485" s="808">
        <v>0</v>
      </c>
      <c r="AI485" s="808">
        <v>0</v>
      </c>
      <c r="AJ485" s="808">
        <f t="shared" si="301"/>
        <v>0</v>
      </c>
      <c r="AK485" s="808">
        <f t="shared" si="320"/>
        <v>11889983.369999999</v>
      </c>
      <c r="AL485" s="809">
        <f t="shared" si="321"/>
        <v>290</v>
      </c>
      <c r="AM485" s="809">
        <f t="shared" si="322"/>
        <v>598300</v>
      </c>
      <c r="AN485" s="812">
        <f t="shared" si="323"/>
        <v>598300</v>
      </c>
      <c r="AO485" s="812">
        <f t="shared" si="324"/>
        <v>11291683.369999999</v>
      </c>
      <c r="AP485" s="790">
        <f t="shared" si="325"/>
        <v>11291683.369999999</v>
      </c>
      <c r="AQ485" s="790">
        <f t="shared" si="326"/>
        <v>11889983.369999999</v>
      </c>
      <c r="AR485" s="791">
        <f t="shared" si="327"/>
        <v>366</v>
      </c>
      <c r="AS485" s="791">
        <f t="shared" si="328"/>
        <v>755095</v>
      </c>
      <c r="AT485" s="790">
        <f t="shared" si="329"/>
        <v>1353395</v>
      </c>
      <c r="AU485" s="790">
        <f t="shared" si="330"/>
        <v>10536588.369999999</v>
      </c>
    </row>
    <row r="486" spans="1:47" x14ac:dyDescent="0.25">
      <c r="A486" s="842" t="s">
        <v>1317</v>
      </c>
      <c r="B486" s="822" t="s">
        <v>494</v>
      </c>
      <c r="C486" s="778">
        <f t="shared" si="317"/>
        <v>6.3333333333333325E-2</v>
      </c>
      <c r="D486" s="844">
        <v>15</v>
      </c>
      <c r="E486" s="844" t="s">
        <v>884</v>
      </c>
      <c r="F486" s="862">
        <v>45019</v>
      </c>
      <c r="G486" s="862">
        <v>45019</v>
      </c>
      <c r="H486" s="781">
        <f t="shared" si="318"/>
        <v>50494</v>
      </c>
      <c r="I486" s="815">
        <v>800000</v>
      </c>
      <c r="J486" s="805">
        <f t="shared" si="319"/>
        <v>40000</v>
      </c>
      <c r="K486" s="791"/>
      <c r="L486" s="790"/>
      <c r="M486" s="790"/>
      <c r="N486" s="790"/>
      <c r="O486" s="790"/>
      <c r="P486" s="790"/>
      <c r="Q486" s="790"/>
      <c r="R486" s="790"/>
      <c r="S486" s="790"/>
      <c r="T486" s="790"/>
      <c r="U486" s="790"/>
      <c r="V486" s="790"/>
      <c r="W486" s="790"/>
      <c r="X486" s="789"/>
      <c r="Y486" s="790"/>
      <c r="Z486" s="790"/>
      <c r="AA486" s="790"/>
      <c r="AB486" s="790"/>
      <c r="AC486" s="790"/>
      <c r="AD486" s="790"/>
      <c r="AE486" s="790"/>
      <c r="AF486" s="790"/>
      <c r="AG486" s="790"/>
      <c r="AH486" s="790"/>
      <c r="AI486" s="790"/>
      <c r="AJ486" s="790"/>
      <c r="AK486" s="790"/>
      <c r="AL486" s="791"/>
      <c r="AM486" s="791"/>
      <c r="AN486" s="783"/>
      <c r="AO486" s="783"/>
      <c r="AP486" s="790">
        <f t="shared" si="325"/>
        <v>0</v>
      </c>
      <c r="AQ486" s="790">
        <f t="shared" si="326"/>
        <v>800000</v>
      </c>
      <c r="AR486" s="791">
        <f t="shared" si="327"/>
        <v>364</v>
      </c>
      <c r="AS486" s="791">
        <f t="shared" si="328"/>
        <v>50528</v>
      </c>
      <c r="AT486" s="790">
        <f t="shared" si="329"/>
        <v>50528</v>
      </c>
      <c r="AU486" s="790">
        <f t="shared" si="330"/>
        <v>749472</v>
      </c>
    </row>
    <row r="487" spans="1:47" x14ac:dyDescent="0.25">
      <c r="A487" s="842" t="s">
        <v>1317</v>
      </c>
      <c r="B487" s="822" t="s">
        <v>358</v>
      </c>
      <c r="C487" s="778">
        <f t="shared" si="317"/>
        <v>6.3333333333333325E-2</v>
      </c>
      <c r="D487" s="844">
        <v>15</v>
      </c>
      <c r="E487" s="844" t="s">
        <v>884</v>
      </c>
      <c r="F487" s="862">
        <v>45027</v>
      </c>
      <c r="G487" s="862">
        <v>45027</v>
      </c>
      <c r="H487" s="781">
        <f t="shared" si="318"/>
        <v>50502</v>
      </c>
      <c r="I487" s="815">
        <v>9860</v>
      </c>
      <c r="J487" s="805">
        <f t="shared" si="319"/>
        <v>493</v>
      </c>
      <c r="K487" s="791"/>
      <c r="L487" s="790"/>
      <c r="M487" s="790"/>
      <c r="N487" s="790"/>
      <c r="O487" s="790"/>
      <c r="P487" s="790"/>
      <c r="Q487" s="790"/>
      <c r="R487" s="790"/>
      <c r="S487" s="790"/>
      <c r="T487" s="790"/>
      <c r="U487" s="790"/>
      <c r="V487" s="790"/>
      <c r="W487" s="790"/>
      <c r="X487" s="789"/>
      <c r="Y487" s="790"/>
      <c r="Z487" s="790"/>
      <c r="AA487" s="790"/>
      <c r="AB487" s="790"/>
      <c r="AC487" s="790"/>
      <c r="AD487" s="790"/>
      <c r="AE487" s="790"/>
      <c r="AF487" s="790"/>
      <c r="AG487" s="790"/>
      <c r="AH487" s="790"/>
      <c r="AI487" s="790"/>
      <c r="AJ487" s="790"/>
      <c r="AK487" s="790"/>
      <c r="AL487" s="791"/>
      <c r="AM487" s="791"/>
      <c r="AN487" s="783"/>
      <c r="AO487" s="783"/>
      <c r="AP487" s="790">
        <f t="shared" si="325"/>
        <v>0</v>
      </c>
      <c r="AQ487" s="790">
        <f t="shared" si="326"/>
        <v>9860</v>
      </c>
      <c r="AR487" s="791">
        <f t="shared" si="327"/>
        <v>356</v>
      </c>
      <c r="AS487" s="791">
        <f t="shared" si="328"/>
        <v>609</v>
      </c>
      <c r="AT487" s="790">
        <f t="shared" si="329"/>
        <v>609</v>
      </c>
      <c r="AU487" s="790">
        <f t="shared" si="330"/>
        <v>9251</v>
      </c>
    </row>
    <row r="488" spans="1:47" x14ac:dyDescent="0.25">
      <c r="A488" s="842" t="s">
        <v>1317</v>
      </c>
      <c r="B488" s="863" t="s">
        <v>1354</v>
      </c>
      <c r="C488" s="778">
        <f t="shared" si="317"/>
        <v>6.3333333333333325E-2</v>
      </c>
      <c r="D488" s="844">
        <v>15</v>
      </c>
      <c r="E488" s="844" t="s">
        <v>884</v>
      </c>
      <c r="F488" s="862">
        <v>45028</v>
      </c>
      <c r="G488" s="862">
        <v>45028</v>
      </c>
      <c r="H488" s="781">
        <f t="shared" si="318"/>
        <v>50503</v>
      </c>
      <c r="I488" s="815">
        <v>139310</v>
      </c>
      <c r="J488" s="805">
        <f t="shared" si="319"/>
        <v>6965.5</v>
      </c>
      <c r="K488" s="791"/>
      <c r="L488" s="790"/>
      <c r="M488" s="790"/>
      <c r="N488" s="790"/>
      <c r="O488" s="790"/>
      <c r="P488" s="790"/>
      <c r="Q488" s="790"/>
      <c r="R488" s="790"/>
      <c r="S488" s="790"/>
      <c r="T488" s="790"/>
      <c r="U488" s="790"/>
      <c r="V488" s="790"/>
      <c r="W488" s="790"/>
      <c r="X488" s="789"/>
      <c r="Y488" s="790"/>
      <c r="Z488" s="790"/>
      <c r="AA488" s="790"/>
      <c r="AB488" s="790"/>
      <c r="AC488" s="790"/>
      <c r="AD488" s="790"/>
      <c r="AE488" s="790"/>
      <c r="AF488" s="790"/>
      <c r="AG488" s="790"/>
      <c r="AH488" s="790"/>
      <c r="AI488" s="790"/>
      <c r="AJ488" s="790"/>
      <c r="AK488" s="790"/>
      <c r="AL488" s="791"/>
      <c r="AM488" s="791"/>
      <c r="AN488" s="783"/>
      <c r="AO488" s="783"/>
      <c r="AP488" s="790">
        <f t="shared" si="325"/>
        <v>0</v>
      </c>
      <c r="AQ488" s="790">
        <f t="shared" si="326"/>
        <v>139310</v>
      </c>
      <c r="AR488" s="791">
        <f t="shared" si="327"/>
        <v>355</v>
      </c>
      <c r="AS488" s="791">
        <f t="shared" si="328"/>
        <v>8581</v>
      </c>
      <c r="AT488" s="790">
        <f t="shared" si="329"/>
        <v>8581</v>
      </c>
      <c r="AU488" s="790">
        <f t="shared" si="330"/>
        <v>130729</v>
      </c>
    </row>
    <row r="489" spans="1:47" x14ac:dyDescent="0.25">
      <c r="A489" s="842" t="s">
        <v>1317</v>
      </c>
      <c r="B489" s="822" t="s">
        <v>358</v>
      </c>
      <c r="C489" s="778">
        <f t="shared" si="317"/>
        <v>6.3333333333333325E-2</v>
      </c>
      <c r="D489" s="844">
        <v>15</v>
      </c>
      <c r="E489" s="844" t="s">
        <v>884</v>
      </c>
      <c r="F489" s="862">
        <v>45027</v>
      </c>
      <c r="G489" s="862">
        <v>45027</v>
      </c>
      <c r="H489" s="781">
        <f t="shared" si="318"/>
        <v>50502</v>
      </c>
      <c r="I489" s="815">
        <v>30000</v>
      </c>
      <c r="J489" s="805">
        <f t="shared" si="319"/>
        <v>1500</v>
      </c>
      <c r="K489" s="791"/>
      <c r="L489" s="790"/>
      <c r="M489" s="790"/>
      <c r="N489" s="790"/>
      <c r="O489" s="790"/>
      <c r="P489" s="790"/>
      <c r="Q489" s="790"/>
      <c r="R489" s="790"/>
      <c r="S489" s="790"/>
      <c r="T489" s="790"/>
      <c r="U489" s="790"/>
      <c r="V489" s="790"/>
      <c r="W489" s="790"/>
      <c r="X489" s="789"/>
      <c r="Y489" s="790"/>
      <c r="Z489" s="790"/>
      <c r="AA489" s="790"/>
      <c r="AB489" s="790"/>
      <c r="AC489" s="790"/>
      <c r="AD489" s="790"/>
      <c r="AE489" s="790"/>
      <c r="AF489" s="790"/>
      <c r="AG489" s="790"/>
      <c r="AH489" s="790"/>
      <c r="AI489" s="790"/>
      <c r="AJ489" s="790"/>
      <c r="AK489" s="790"/>
      <c r="AL489" s="791"/>
      <c r="AM489" s="791"/>
      <c r="AN489" s="783"/>
      <c r="AO489" s="783"/>
      <c r="AP489" s="790">
        <f t="shared" si="325"/>
        <v>0</v>
      </c>
      <c r="AQ489" s="790">
        <f t="shared" si="326"/>
        <v>30000</v>
      </c>
      <c r="AR489" s="791">
        <f t="shared" si="327"/>
        <v>356</v>
      </c>
      <c r="AS489" s="791">
        <f t="shared" si="328"/>
        <v>1853</v>
      </c>
      <c r="AT489" s="790">
        <f t="shared" si="329"/>
        <v>1853</v>
      </c>
      <c r="AU489" s="790">
        <f t="shared" si="330"/>
        <v>28147</v>
      </c>
    </row>
    <row r="490" spans="1:47" x14ac:dyDescent="0.25">
      <c r="A490" s="842" t="s">
        <v>1317</v>
      </c>
      <c r="B490" s="863" t="s">
        <v>1354</v>
      </c>
      <c r="C490" s="778">
        <f t="shared" si="317"/>
        <v>6.3333333333333325E-2</v>
      </c>
      <c r="D490" s="844">
        <v>15</v>
      </c>
      <c r="E490" s="844" t="s">
        <v>884</v>
      </c>
      <c r="F490" s="862">
        <v>45065</v>
      </c>
      <c r="G490" s="862">
        <v>45065</v>
      </c>
      <c r="H490" s="781">
        <f t="shared" si="318"/>
        <v>50540</v>
      </c>
      <c r="I490" s="815">
        <v>275000</v>
      </c>
      <c r="J490" s="805">
        <f t="shared" si="319"/>
        <v>13750</v>
      </c>
      <c r="K490" s="791"/>
      <c r="L490" s="790"/>
      <c r="M490" s="790"/>
      <c r="N490" s="790"/>
      <c r="O490" s="790"/>
      <c r="P490" s="790"/>
      <c r="Q490" s="790"/>
      <c r="R490" s="790"/>
      <c r="S490" s="790"/>
      <c r="T490" s="790"/>
      <c r="U490" s="790"/>
      <c r="V490" s="790"/>
      <c r="W490" s="790"/>
      <c r="X490" s="789"/>
      <c r="Y490" s="790"/>
      <c r="Z490" s="790"/>
      <c r="AA490" s="790"/>
      <c r="AB490" s="790"/>
      <c r="AC490" s="790"/>
      <c r="AD490" s="790"/>
      <c r="AE490" s="790"/>
      <c r="AF490" s="790"/>
      <c r="AG490" s="790"/>
      <c r="AH490" s="790"/>
      <c r="AI490" s="790"/>
      <c r="AJ490" s="790"/>
      <c r="AK490" s="790"/>
      <c r="AL490" s="791"/>
      <c r="AM490" s="791"/>
      <c r="AN490" s="783"/>
      <c r="AO490" s="783"/>
      <c r="AP490" s="790">
        <f t="shared" si="325"/>
        <v>0</v>
      </c>
      <c r="AQ490" s="790">
        <f t="shared" si="326"/>
        <v>275000</v>
      </c>
      <c r="AR490" s="791">
        <f t="shared" si="327"/>
        <v>318</v>
      </c>
      <c r="AS490" s="791">
        <f t="shared" si="328"/>
        <v>15174</v>
      </c>
      <c r="AT490" s="790">
        <f t="shared" si="329"/>
        <v>15174</v>
      </c>
      <c r="AU490" s="790">
        <f t="shared" si="330"/>
        <v>259826</v>
      </c>
    </row>
    <row r="491" spans="1:47" x14ac:dyDescent="0.25">
      <c r="A491" s="842" t="s">
        <v>1317</v>
      </c>
      <c r="B491" s="863" t="s">
        <v>1354</v>
      </c>
      <c r="C491" s="778">
        <f t="shared" si="317"/>
        <v>6.3333333333333325E-2</v>
      </c>
      <c r="D491" s="844">
        <v>15</v>
      </c>
      <c r="E491" s="844" t="s">
        <v>884</v>
      </c>
      <c r="F491" s="862">
        <v>45073</v>
      </c>
      <c r="G491" s="862">
        <v>45073</v>
      </c>
      <c r="H491" s="781">
        <f t="shared" si="318"/>
        <v>50548</v>
      </c>
      <c r="I491" s="815">
        <v>175350</v>
      </c>
      <c r="J491" s="805">
        <f t="shared" si="319"/>
        <v>8767.5</v>
      </c>
      <c r="K491" s="791"/>
      <c r="L491" s="790"/>
      <c r="M491" s="790"/>
      <c r="N491" s="790"/>
      <c r="O491" s="790"/>
      <c r="P491" s="790"/>
      <c r="Q491" s="790"/>
      <c r="R491" s="790"/>
      <c r="S491" s="790"/>
      <c r="T491" s="790"/>
      <c r="U491" s="790"/>
      <c r="V491" s="790"/>
      <c r="W491" s="790"/>
      <c r="X491" s="789"/>
      <c r="Y491" s="790"/>
      <c r="Z491" s="790"/>
      <c r="AA491" s="790"/>
      <c r="AB491" s="790"/>
      <c r="AC491" s="790"/>
      <c r="AD491" s="790"/>
      <c r="AE491" s="790"/>
      <c r="AF491" s="790"/>
      <c r="AG491" s="790"/>
      <c r="AH491" s="790"/>
      <c r="AI491" s="790"/>
      <c r="AJ491" s="790"/>
      <c r="AK491" s="790"/>
      <c r="AL491" s="791"/>
      <c r="AM491" s="791"/>
      <c r="AN491" s="783"/>
      <c r="AO491" s="783"/>
      <c r="AP491" s="790">
        <f t="shared" si="325"/>
        <v>0</v>
      </c>
      <c r="AQ491" s="790">
        <f t="shared" si="326"/>
        <v>175350</v>
      </c>
      <c r="AR491" s="791">
        <f t="shared" si="327"/>
        <v>310</v>
      </c>
      <c r="AS491" s="791">
        <f t="shared" si="328"/>
        <v>9432</v>
      </c>
      <c r="AT491" s="790">
        <f t="shared" si="329"/>
        <v>9432</v>
      </c>
      <c r="AU491" s="790">
        <f t="shared" si="330"/>
        <v>165918</v>
      </c>
    </row>
    <row r="492" spans="1:47" x14ac:dyDescent="0.25">
      <c r="A492" s="842" t="s">
        <v>1317</v>
      </c>
      <c r="B492" s="822" t="s">
        <v>358</v>
      </c>
      <c r="C492" s="778">
        <f t="shared" si="317"/>
        <v>6.3333333333333325E-2</v>
      </c>
      <c r="D492" s="844">
        <v>15</v>
      </c>
      <c r="E492" s="844" t="s">
        <v>884</v>
      </c>
      <c r="F492" s="862">
        <v>45076</v>
      </c>
      <c r="G492" s="862">
        <v>45076</v>
      </c>
      <c r="H492" s="781">
        <f t="shared" si="318"/>
        <v>50551</v>
      </c>
      <c r="I492" s="815">
        <v>210000</v>
      </c>
      <c r="J492" s="805">
        <f t="shared" si="319"/>
        <v>10500</v>
      </c>
      <c r="K492" s="791"/>
      <c r="L492" s="790"/>
      <c r="M492" s="790"/>
      <c r="N492" s="790"/>
      <c r="O492" s="790"/>
      <c r="P492" s="790"/>
      <c r="Q492" s="790"/>
      <c r="R492" s="790"/>
      <c r="S492" s="790"/>
      <c r="T492" s="790"/>
      <c r="U492" s="790"/>
      <c r="V492" s="790"/>
      <c r="W492" s="790"/>
      <c r="X492" s="789"/>
      <c r="Y492" s="790"/>
      <c r="Z492" s="790"/>
      <c r="AA492" s="790"/>
      <c r="AB492" s="790"/>
      <c r="AC492" s="790"/>
      <c r="AD492" s="790"/>
      <c r="AE492" s="790"/>
      <c r="AF492" s="790"/>
      <c r="AG492" s="790"/>
      <c r="AH492" s="790"/>
      <c r="AI492" s="790"/>
      <c r="AJ492" s="790"/>
      <c r="AK492" s="790"/>
      <c r="AL492" s="791"/>
      <c r="AM492" s="791"/>
      <c r="AN492" s="783"/>
      <c r="AO492" s="783"/>
      <c r="AP492" s="790">
        <f t="shared" si="325"/>
        <v>0</v>
      </c>
      <c r="AQ492" s="790">
        <f t="shared" si="326"/>
        <v>210000</v>
      </c>
      <c r="AR492" s="791">
        <f t="shared" si="327"/>
        <v>307</v>
      </c>
      <c r="AS492" s="791">
        <f t="shared" si="328"/>
        <v>11187</v>
      </c>
      <c r="AT492" s="790">
        <f t="shared" si="329"/>
        <v>11187</v>
      </c>
      <c r="AU492" s="790">
        <f t="shared" si="330"/>
        <v>198813</v>
      </c>
    </row>
    <row r="493" spans="1:47" x14ac:dyDescent="0.25">
      <c r="A493" s="842" t="s">
        <v>1317</v>
      </c>
      <c r="B493" s="863" t="s">
        <v>1354</v>
      </c>
      <c r="C493" s="778">
        <f t="shared" si="317"/>
        <v>6.3333333333333325E-2</v>
      </c>
      <c r="D493" s="844">
        <v>15</v>
      </c>
      <c r="E493" s="844" t="s">
        <v>884</v>
      </c>
      <c r="F493" s="862">
        <v>45096</v>
      </c>
      <c r="G493" s="862">
        <v>45096</v>
      </c>
      <c r="H493" s="781">
        <f t="shared" si="318"/>
        <v>50571</v>
      </c>
      <c r="I493" s="815">
        <v>570666</v>
      </c>
      <c r="J493" s="805">
        <f t="shared" si="319"/>
        <v>28533.300000000003</v>
      </c>
      <c r="K493" s="791"/>
      <c r="L493" s="790"/>
      <c r="M493" s="790"/>
      <c r="N493" s="790"/>
      <c r="O493" s="790"/>
      <c r="P493" s="790"/>
      <c r="Q493" s="790"/>
      <c r="R493" s="790"/>
      <c r="S493" s="790"/>
      <c r="T493" s="790"/>
      <c r="U493" s="790"/>
      <c r="V493" s="790"/>
      <c r="W493" s="790"/>
      <c r="X493" s="789"/>
      <c r="Y493" s="790"/>
      <c r="Z493" s="790"/>
      <c r="AA493" s="790"/>
      <c r="AB493" s="790"/>
      <c r="AC493" s="790"/>
      <c r="AD493" s="790"/>
      <c r="AE493" s="790"/>
      <c r="AF493" s="790"/>
      <c r="AG493" s="790"/>
      <c r="AH493" s="790"/>
      <c r="AI493" s="790"/>
      <c r="AJ493" s="790"/>
      <c r="AK493" s="790"/>
      <c r="AL493" s="791"/>
      <c r="AM493" s="791"/>
      <c r="AN493" s="783"/>
      <c r="AO493" s="783"/>
      <c r="AP493" s="790">
        <f t="shared" si="325"/>
        <v>0</v>
      </c>
      <c r="AQ493" s="790">
        <f t="shared" si="326"/>
        <v>570666</v>
      </c>
      <c r="AR493" s="791">
        <f t="shared" si="327"/>
        <v>287</v>
      </c>
      <c r="AS493" s="791">
        <f t="shared" si="328"/>
        <v>28419</v>
      </c>
      <c r="AT493" s="790">
        <f t="shared" si="329"/>
        <v>28419</v>
      </c>
      <c r="AU493" s="790">
        <f t="shared" si="330"/>
        <v>542247</v>
      </c>
    </row>
    <row r="494" spans="1:47" x14ac:dyDescent="0.25">
      <c r="A494" s="842" t="s">
        <v>1317</v>
      </c>
      <c r="B494" s="822" t="s">
        <v>359</v>
      </c>
      <c r="C494" s="778">
        <f t="shared" si="317"/>
        <v>6.3333333333333325E-2</v>
      </c>
      <c r="D494" s="844">
        <v>15</v>
      </c>
      <c r="E494" s="844" t="s">
        <v>884</v>
      </c>
      <c r="F494" s="862">
        <v>45135</v>
      </c>
      <c r="G494" s="862">
        <v>45135</v>
      </c>
      <c r="H494" s="781">
        <f t="shared" si="318"/>
        <v>50610</v>
      </c>
      <c r="I494" s="815">
        <v>31288</v>
      </c>
      <c r="J494" s="805">
        <f t="shared" si="319"/>
        <v>1564.4</v>
      </c>
      <c r="K494" s="791"/>
      <c r="L494" s="790"/>
      <c r="M494" s="790"/>
      <c r="N494" s="790"/>
      <c r="O494" s="790"/>
      <c r="P494" s="790"/>
      <c r="Q494" s="790"/>
      <c r="R494" s="790"/>
      <c r="S494" s="790"/>
      <c r="T494" s="790"/>
      <c r="U494" s="790"/>
      <c r="V494" s="790"/>
      <c r="W494" s="790"/>
      <c r="X494" s="789"/>
      <c r="Y494" s="790"/>
      <c r="Z494" s="790"/>
      <c r="AA494" s="790"/>
      <c r="AB494" s="790"/>
      <c r="AC494" s="790"/>
      <c r="AD494" s="790"/>
      <c r="AE494" s="790"/>
      <c r="AF494" s="790"/>
      <c r="AG494" s="790"/>
      <c r="AH494" s="790"/>
      <c r="AI494" s="790"/>
      <c r="AJ494" s="790"/>
      <c r="AK494" s="790"/>
      <c r="AL494" s="791"/>
      <c r="AM494" s="791"/>
      <c r="AN494" s="783"/>
      <c r="AO494" s="783"/>
      <c r="AP494" s="790">
        <f t="shared" si="325"/>
        <v>0</v>
      </c>
      <c r="AQ494" s="790">
        <f t="shared" si="326"/>
        <v>31288</v>
      </c>
      <c r="AR494" s="791">
        <f t="shared" si="327"/>
        <v>248</v>
      </c>
      <c r="AS494" s="791">
        <f t="shared" si="328"/>
        <v>1346</v>
      </c>
      <c r="AT494" s="790">
        <f t="shared" si="329"/>
        <v>1346</v>
      </c>
      <c r="AU494" s="790">
        <f t="shared" si="330"/>
        <v>29942</v>
      </c>
    </row>
    <row r="495" spans="1:47" x14ac:dyDescent="0.25">
      <c r="A495" s="842" t="s">
        <v>1317</v>
      </c>
      <c r="B495" s="822" t="s">
        <v>257</v>
      </c>
      <c r="C495" s="778">
        <f t="shared" si="317"/>
        <v>6.3333333333333325E-2</v>
      </c>
      <c r="D495" s="844">
        <v>15</v>
      </c>
      <c r="E495" s="844" t="s">
        <v>884</v>
      </c>
      <c r="F495" s="862">
        <v>45133</v>
      </c>
      <c r="G495" s="862">
        <v>45133</v>
      </c>
      <c r="H495" s="781">
        <f t="shared" si="318"/>
        <v>50608</v>
      </c>
      <c r="I495" s="815">
        <v>14990</v>
      </c>
      <c r="J495" s="805">
        <f t="shared" si="319"/>
        <v>749.5</v>
      </c>
      <c r="K495" s="791"/>
      <c r="L495" s="790"/>
      <c r="M495" s="790"/>
      <c r="N495" s="790"/>
      <c r="O495" s="790"/>
      <c r="P495" s="790"/>
      <c r="Q495" s="790"/>
      <c r="R495" s="790"/>
      <c r="S495" s="790"/>
      <c r="T495" s="790"/>
      <c r="U495" s="790"/>
      <c r="V495" s="790"/>
      <c r="W495" s="790"/>
      <c r="X495" s="789"/>
      <c r="Y495" s="790"/>
      <c r="Z495" s="790"/>
      <c r="AA495" s="790"/>
      <c r="AB495" s="790"/>
      <c r="AC495" s="790"/>
      <c r="AD495" s="790"/>
      <c r="AE495" s="790"/>
      <c r="AF495" s="790"/>
      <c r="AG495" s="790"/>
      <c r="AH495" s="790"/>
      <c r="AI495" s="790"/>
      <c r="AJ495" s="790"/>
      <c r="AK495" s="790"/>
      <c r="AL495" s="791"/>
      <c r="AM495" s="791"/>
      <c r="AN495" s="783"/>
      <c r="AO495" s="783"/>
      <c r="AP495" s="790">
        <f t="shared" si="325"/>
        <v>0</v>
      </c>
      <c r="AQ495" s="790">
        <f t="shared" si="326"/>
        <v>14990</v>
      </c>
      <c r="AR495" s="791">
        <f t="shared" si="327"/>
        <v>250</v>
      </c>
      <c r="AS495" s="791">
        <f t="shared" si="328"/>
        <v>650</v>
      </c>
      <c r="AT495" s="790">
        <f t="shared" si="329"/>
        <v>650</v>
      </c>
      <c r="AU495" s="790">
        <f t="shared" si="330"/>
        <v>14340</v>
      </c>
    </row>
    <row r="496" spans="1:47" x14ac:dyDescent="0.25">
      <c r="A496" s="842" t="s">
        <v>1317</v>
      </c>
      <c r="B496" s="863" t="s">
        <v>1354</v>
      </c>
      <c r="C496" s="778">
        <f t="shared" si="317"/>
        <v>6.3333333333333325E-2</v>
      </c>
      <c r="D496" s="844">
        <v>15</v>
      </c>
      <c r="E496" s="844" t="s">
        <v>884</v>
      </c>
      <c r="F496" s="862">
        <v>45139</v>
      </c>
      <c r="G496" s="862">
        <v>45139</v>
      </c>
      <c r="H496" s="781">
        <f t="shared" si="318"/>
        <v>50614</v>
      </c>
      <c r="I496" s="815">
        <v>220000</v>
      </c>
      <c r="J496" s="805">
        <f t="shared" si="319"/>
        <v>11000</v>
      </c>
      <c r="K496" s="791"/>
      <c r="L496" s="790"/>
      <c r="M496" s="790"/>
      <c r="N496" s="790"/>
      <c r="O496" s="790"/>
      <c r="P496" s="790"/>
      <c r="Q496" s="790"/>
      <c r="R496" s="790"/>
      <c r="S496" s="790"/>
      <c r="T496" s="790"/>
      <c r="U496" s="790"/>
      <c r="V496" s="790"/>
      <c r="W496" s="790"/>
      <c r="X496" s="789"/>
      <c r="Y496" s="790"/>
      <c r="Z496" s="790"/>
      <c r="AA496" s="790"/>
      <c r="AB496" s="790"/>
      <c r="AC496" s="790"/>
      <c r="AD496" s="790"/>
      <c r="AE496" s="790"/>
      <c r="AF496" s="790"/>
      <c r="AG496" s="790"/>
      <c r="AH496" s="790"/>
      <c r="AI496" s="790"/>
      <c r="AJ496" s="790"/>
      <c r="AK496" s="790"/>
      <c r="AL496" s="791"/>
      <c r="AM496" s="791"/>
      <c r="AN496" s="783"/>
      <c r="AO496" s="783"/>
      <c r="AP496" s="790">
        <f t="shared" si="325"/>
        <v>0</v>
      </c>
      <c r="AQ496" s="790">
        <f t="shared" si="326"/>
        <v>220000</v>
      </c>
      <c r="AR496" s="791">
        <f t="shared" si="327"/>
        <v>244</v>
      </c>
      <c r="AS496" s="791">
        <f t="shared" si="328"/>
        <v>9314</v>
      </c>
      <c r="AT496" s="790">
        <f t="shared" si="329"/>
        <v>9314</v>
      </c>
      <c r="AU496" s="790">
        <f t="shared" si="330"/>
        <v>210686</v>
      </c>
    </row>
    <row r="497" spans="1:47" x14ac:dyDescent="0.25">
      <c r="A497" s="842" t="s">
        <v>1317</v>
      </c>
      <c r="B497" s="822" t="s">
        <v>358</v>
      </c>
      <c r="C497" s="778">
        <f t="shared" si="317"/>
        <v>6.3333333333333325E-2</v>
      </c>
      <c r="D497" s="844">
        <v>15</v>
      </c>
      <c r="E497" s="844" t="s">
        <v>884</v>
      </c>
      <c r="F497" s="862">
        <v>45145</v>
      </c>
      <c r="G497" s="862">
        <v>45145</v>
      </c>
      <c r="H497" s="781">
        <f t="shared" si="318"/>
        <v>50620</v>
      </c>
      <c r="I497" s="815">
        <v>120000</v>
      </c>
      <c r="J497" s="805">
        <f t="shared" si="319"/>
        <v>6000</v>
      </c>
      <c r="K497" s="791"/>
      <c r="L497" s="790"/>
      <c r="M497" s="790"/>
      <c r="N497" s="790"/>
      <c r="O497" s="790"/>
      <c r="P497" s="790"/>
      <c r="Q497" s="790"/>
      <c r="R497" s="790"/>
      <c r="S497" s="790"/>
      <c r="T497" s="790"/>
      <c r="U497" s="790"/>
      <c r="V497" s="790"/>
      <c r="W497" s="790"/>
      <c r="X497" s="789"/>
      <c r="Y497" s="790"/>
      <c r="Z497" s="790"/>
      <c r="AA497" s="790"/>
      <c r="AB497" s="790"/>
      <c r="AC497" s="790"/>
      <c r="AD497" s="790"/>
      <c r="AE497" s="790"/>
      <c r="AF497" s="790"/>
      <c r="AG497" s="790"/>
      <c r="AH497" s="790"/>
      <c r="AI497" s="790"/>
      <c r="AJ497" s="790"/>
      <c r="AK497" s="790"/>
      <c r="AL497" s="791"/>
      <c r="AM497" s="791"/>
      <c r="AN497" s="783"/>
      <c r="AO497" s="783"/>
      <c r="AP497" s="790">
        <f t="shared" si="325"/>
        <v>0</v>
      </c>
      <c r="AQ497" s="790">
        <f t="shared" si="326"/>
        <v>120000</v>
      </c>
      <c r="AR497" s="791">
        <f t="shared" si="327"/>
        <v>238</v>
      </c>
      <c r="AS497" s="791">
        <f t="shared" si="328"/>
        <v>4956</v>
      </c>
      <c r="AT497" s="790">
        <f t="shared" si="329"/>
        <v>4956</v>
      </c>
      <c r="AU497" s="790">
        <f t="shared" si="330"/>
        <v>115044</v>
      </c>
    </row>
    <row r="498" spans="1:47" x14ac:dyDescent="0.25">
      <c r="A498" s="842" t="s">
        <v>1317</v>
      </c>
      <c r="B498" s="822" t="s">
        <v>358</v>
      </c>
      <c r="C498" s="778">
        <f t="shared" si="317"/>
        <v>6.3333333333333325E-2</v>
      </c>
      <c r="D498" s="844">
        <v>15</v>
      </c>
      <c r="E498" s="844" t="s">
        <v>884</v>
      </c>
      <c r="F498" s="862">
        <v>45182</v>
      </c>
      <c r="G498" s="862">
        <v>45182</v>
      </c>
      <c r="H498" s="781">
        <f t="shared" si="318"/>
        <v>50657</v>
      </c>
      <c r="I498" s="815">
        <v>38300</v>
      </c>
      <c r="J498" s="805">
        <f t="shared" si="319"/>
        <v>1915</v>
      </c>
      <c r="K498" s="791"/>
      <c r="L498" s="790"/>
      <c r="M498" s="790"/>
      <c r="N498" s="790"/>
      <c r="O498" s="790"/>
      <c r="P498" s="790"/>
      <c r="Q498" s="790"/>
      <c r="R498" s="790"/>
      <c r="S498" s="790"/>
      <c r="T498" s="790"/>
      <c r="U498" s="790"/>
      <c r="V498" s="790"/>
      <c r="W498" s="790"/>
      <c r="X498" s="789"/>
      <c r="Y498" s="790"/>
      <c r="Z498" s="790"/>
      <c r="AA498" s="790"/>
      <c r="AB498" s="790"/>
      <c r="AC498" s="790"/>
      <c r="AD498" s="790"/>
      <c r="AE498" s="790"/>
      <c r="AF498" s="790"/>
      <c r="AG498" s="790"/>
      <c r="AH498" s="790"/>
      <c r="AI498" s="790"/>
      <c r="AJ498" s="790"/>
      <c r="AK498" s="790"/>
      <c r="AL498" s="791"/>
      <c r="AM498" s="791"/>
      <c r="AN498" s="783"/>
      <c r="AO498" s="783"/>
      <c r="AP498" s="790">
        <f t="shared" si="325"/>
        <v>0</v>
      </c>
      <c r="AQ498" s="790">
        <f t="shared" si="326"/>
        <v>38300</v>
      </c>
      <c r="AR498" s="791">
        <f t="shared" si="327"/>
        <v>201</v>
      </c>
      <c r="AS498" s="791">
        <f t="shared" si="328"/>
        <v>1336</v>
      </c>
      <c r="AT498" s="790">
        <f t="shared" si="329"/>
        <v>1336</v>
      </c>
      <c r="AU498" s="790">
        <f t="shared" si="330"/>
        <v>36964</v>
      </c>
    </row>
    <row r="499" spans="1:47" x14ac:dyDescent="0.25">
      <c r="A499" s="842" t="s">
        <v>1317</v>
      </c>
      <c r="B499" s="863" t="s">
        <v>1354</v>
      </c>
      <c r="C499" s="778">
        <f t="shared" si="317"/>
        <v>6.3333333333333325E-2</v>
      </c>
      <c r="D499" s="844">
        <v>15</v>
      </c>
      <c r="E499" s="844" t="s">
        <v>884</v>
      </c>
      <c r="F499" s="862">
        <v>45218</v>
      </c>
      <c r="G499" s="862">
        <v>45218</v>
      </c>
      <c r="H499" s="781">
        <f t="shared" si="318"/>
        <v>50693</v>
      </c>
      <c r="I499" s="815">
        <v>125000</v>
      </c>
      <c r="J499" s="805">
        <f t="shared" si="319"/>
        <v>6250</v>
      </c>
      <c r="K499" s="791"/>
      <c r="L499" s="790"/>
      <c r="M499" s="790"/>
      <c r="N499" s="790"/>
      <c r="O499" s="790"/>
      <c r="P499" s="790"/>
      <c r="Q499" s="790"/>
      <c r="R499" s="790"/>
      <c r="S499" s="790"/>
      <c r="T499" s="790"/>
      <c r="U499" s="790"/>
      <c r="V499" s="790"/>
      <c r="W499" s="790"/>
      <c r="X499" s="789"/>
      <c r="Y499" s="790"/>
      <c r="Z499" s="790"/>
      <c r="AA499" s="790"/>
      <c r="AB499" s="790"/>
      <c r="AC499" s="790"/>
      <c r="AD499" s="790"/>
      <c r="AE499" s="790"/>
      <c r="AF499" s="790"/>
      <c r="AG499" s="790"/>
      <c r="AH499" s="790"/>
      <c r="AI499" s="790"/>
      <c r="AJ499" s="790"/>
      <c r="AK499" s="790"/>
      <c r="AL499" s="791"/>
      <c r="AM499" s="791"/>
      <c r="AN499" s="783"/>
      <c r="AO499" s="783"/>
      <c r="AP499" s="790">
        <f t="shared" si="325"/>
        <v>0</v>
      </c>
      <c r="AQ499" s="790">
        <f t="shared" si="326"/>
        <v>125000</v>
      </c>
      <c r="AR499" s="791">
        <f t="shared" si="327"/>
        <v>165</v>
      </c>
      <c r="AS499" s="791">
        <f t="shared" si="328"/>
        <v>3579</v>
      </c>
      <c r="AT499" s="790">
        <f t="shared" si="329"/>
        <v>3579</v>
      </c>
      <c r="AU499" s="790">
        <f t="shared" si="330"/>
        <v>121421</v>
      </c>
    </row>
    <row r="500" spans="1:47" x14ac:dyDescent="0.25">
      <c r="A500" s="842" t="s">
        <v>1317</v>
      </c>
      <c r="B500" s="822" t="s">
        <v>358</v>
      </c>
      <c r="C500" s="778">
        <f t="shared" si="317"/>
        <v>6.3333333333333325E-2</v>
      </c>
      <c r="D500" s="844">
        <v>15</v>
      </c>
      <c r="E500" s="844" t="s">
        <v>884</v>
      </c>
      <c r="F500" s="862">
        <v>45239</v>
      </c>
      <c r="G500" s="862">
        <v>45239</v>
      </c>
      <c r="H500" s="781">
        <f t="shared" si="318"/>
        <v>50714</v>
      </c>
      <c r="I500" s="815">
        <v>65500</v>
      </c>
      <c r="J500" s="805">
        <f t="shared" si="319"/>
        <v>3275</v>
      </c>
      <c r="K500" s="791"/>
      <c r="L500" s="790"/>
      <c r="M500" s="790"/>
      <c r="N500" s="790"/>
      <c r="O500" s="790"/>
      <c r="P500" s="790"/>
      <c r="Q500" s="790"/>
      <c r="R500" s="790"/>
      <c r="S500" s="790"/>
      <c r="T500" s="790"/>
      <c r="U500" s="790"/>
      <c r="V500" s="790"/>
      <c r="W500" s="790"/>
      <c r="X500" s="789"/>
      <c r="Y500" s="790"/>
      <c r="Z500" s="790"/>
      <c r="AA500" s="790"/>
      <c r="AB500" s="790"/>
      <c r="AC500" s="790"/>
      <c r="AD500" s="790"/>
      <c r="AE500" s="790"/>
      <c r="AF500" s="790"/>
      <c r="AG500" s="790"/>
      <c r="AH500" s="790"/>
      <c r="AI500" s="790"/>
      <c r="AJ500" s="790"/>
      <c r="AK500" s="790"/>
      <c r="AL500" s="791"/>
      <c r="AM500" s="791"/>
      <c r="AN500" s="783"/>
      <c r="AO500" s="783"/>
      <c r="AP500" s="790">
        <f t="shared" si="325"/>
        <v>0</v>
      </c>
      <c r="AQ500" s="790">
        <f t="shared" si="326"/>
        <v>65500</v>
      </c>
      <c r="AR500" s="791">
        <f t="shared" si="327"/>
        <v>144</v>
      </c>
      <c r="AS500" s="791">
        <f t="shared" si="328"/>
        <v>1637</v>
      </c>
      <c r="AT500" s="790">
        <f t="shared" si="329"/>
        <v>1637</v>
      </c>
      <c r="AU500" s="790">
        <f t="shared" si="330"/>
        <v>63863</v>
      </c>
    </row>
    <row r="501" spans="1:47" x14ac:dyDescent="0.25">
      <c r="A501" s="842" t="s">
        <v>1317</v>
      </c>
      <c r="B501" s="863" t="s">
        <v>1354</v>
      </c>
      <c r="C501" s="778">
        <f t="shared" si="317"/>
        <v>6.3333333333333325E-2</v>
      </c>
      <c r="D501" s="844">
        <v>15</v>
      </c>
      <c r="E501" s="844" t="s">
        <v>884</v>
      </c>
      <c r="F501" s="862">
        <v>45239</v>
      </c>
      <c r="G501" s="862">
        <v>45239</v>
      </c>
      <c r="H501" s="781">
        <f t="shared" si="318"/>
        <v>50714</v>
      </c>
      <c r="I501" s="815">
        <v>116000</v>
      </c>
      <c r="J501" s="805">
        <f t="shared" si="319"/>
        <v>5800</v>
      </c>
      <c r="K501" s="791"/>
      <c r="L501" s="790"/>
      <c r="M501" s="790"/>
      <c r="N501" s="790"/>
      <c r="O501" s="790"/>
      <c r="P501" s="790"/>
      <c r="Q501" s="790"/>
      <c r="R501" s="790"/>
      <c r="S501" s="790"/>
      <c r="T501" s="790"/>
      <c r="U501" s="790"/>
      <c r="V501" s="790"/>
      <c r="W501" s="790"/>
      <c r="X501" s="789"/>
      <c r="Y501" s="790"/>
      <c r="Z501" s="790"/>
      <c r="AA501" s="790"/>
      <c r="AB501" s="790"/>
      <c r="AC501" s="790"/>
      <c r="AD501" s="790"/>
      <c r="AE501" s="790"/>
      <c r="AF501" s="790"/>
      <c r="AG501" s="790"/>
      <c r="AH501" s="790"/>
      <c r="AI501" s="790"/>
      <c r="AJ501" s="790"/>
      <c r="AK501" s="790"/>
      <c r="AL501" s="791"/>
      <c r="AM501" s="791"/>
      <c r="AN501" s="783"/>
      <c r="AO501" s="783"/>
      <c r="AP501" s="790">
        <f t="shared" si="325"/>
        <v>0</v>
      </c>
      <c r="AQ501" s="790">
        <f t="shared" si="326"/>
        <v>116000</v>
      </c>
      <c r="AR501" s="791">
        <f t="shared" si="327"/>
        <v>144</v>
      </c>
      <c r="AS501" s="791">
        <f t="shared" si="328"/>
        <v>2898</v>
      </c>
      <c r="AT501" s="790">
        <f t="shared" si="329"/>
        <v>2898</v>
      </c>
      <c r="AU501" s="790">
        <f t="shared" si="330"/>
        <v>113102</v>
      </c>
    </row>
    <row r="502" spans="1:47" x14ac:dyDescent="0.25">
      <c r="A502" s="842" t="s">
        <v>1317</v>
      </c>
      <c r="B502" s="822" t="s">
        <v>359</v>
      </c>
      <c r="C502" s="778">
        <f t="shared" si="317"/>
        <v>6.3333333333333325E-2</v>
      </c>
      <c r="D502" s="844">
        <v>15</v>
      </c>
      <c r="E502" s="844" t="s">
        <v>884</v>
      </c>
      <c r="F502" s="862">
        <v>45253</v>
      </c>
      <c r="G502" s="862">
        <v>45253</v>
      </c>
      <c r="H502" s="781">
        <f t="shared" si="318"/>
        <v>50728</v>
      </c>
      <c r="I502" s="815">
        <v>20859</v>
      </c>
      <c r="J502" s="805">
        <f t="shared" si="319"/>
        <v>1042.95</v>
      </c>
      <c r="K502" s="791"/>
      <c r="L502" s="790"/>
      <c r="M502" s="790"/>
      <c r="N502" s="790"/>
      <c r="O502" s="790"/>
      <c r="P502" s="790"/>
      <c r="Q502" s="790"/>
      <c r="R502" s="790"/>
      <c r="S502" s="790"/>
      <c r="T502" s="790"/>
      <c r="U502" s="790"/>
      <c r="V502" s="790"/>
      <c r="W502" s="790"/>
      <c r="X502" s="789"/>
      <c r="Y502" s="790"/>
      <c r="Z502" s="790"/>
      <c r="AA502" s="790"/>
      <c r="AB502" s="790"/>
      <c r="AC502" s="790"/>
      <c r="AD502" s="790"/>
      <c r="AE502" s="790"/>
      <c r="AF502" s="790"/>
      <c r="AG502" s="790"/>
      <c r="AH502" s="790"/>
      <c r="AI502" s="790"/>
      <c r="AJ502" s="790"/>
      <c r="AK502" s="790"/>
      <c r="AL502" s="791"/>
      <c r="AM502" s="791"/>
      <c r="AN502" s="783"/>
      <c r="AO502" s="783"/>
      <c r="AP502" s="790">
        <f t="shared" si="325"/>
        <v>0</v>
      </c>
      <c r="AQ502" s="790">
        <f t="shared" si="326"/>
        <v>20859</v>
      </c>
      <c r="AR502" s="791">
        <f t="shared" si="327"/>
        <v>130</v>
      </c>
      <c r="AS502" s="791">
        <f t="shared" si="328"/>
        <v>471</v>
      </c>
      <c r="AT502" s="790">
        <f t="shared" si="329"/>
        <v>471</v>
      </c>
      <c r="AU502" s="790">
        <f t="shared" si="330"/>
        <v>20388</v>
      </c>
    </row>
    <row r="503" spans="1:47" x14ac:dyDescent="0.25">
      <c r="A503" s="842" t="s">
        <v>1317</v>
      </c>
      <c r="B503" s="822" t="s">
        <v>494</v>
      </c>
      <c r="C503" s="778">
        <f t="shared" si="317"/>
        <v>6.3333333333333325E-2</v>
      </c>
      <c r="D503" s="844">
        <v>15</v>
      </c>
      <c r="E503" s="844" t="s">
        <v>884</v>
      </c>
      <c r="F503" s="862">
        <v>45259</v>
      </c>
      <c r="G503" s="862">
        <v>45259</v>
      </c>
      <c r="H503" s="781">
        <f t="shared" si="318"/>
        <v>50734</v>
      </c>
      <c r="I503" s="815">
        <v>3650000</v>
      </c>
      <c r="J503" s="805">
        <f t="shared" si="319"/>
        <v>182500</v>
      </c>
      <c r="K503" s="791"/>
      <c r="L503" s="790"/>
      <c r="M503" s="790"/>
      <c r="N503" s="790"/>
      <c r="O503" s="790"/>
      <c r="P503" s="790"/>
      <c r="Q503" s="790"/>
      <c r="R503" s="790"/>
      <c r="S503" s="790"/>
      <c r="T503" s="790"/>
      <c r="U503" s="790"/>
      <c r="V503" s="790"/>
      <c r="W503" s="790"/>
      <c r="X503" s="789"/>
      <c r="Y503" s="790"/>
      <c r="Z503" s="790"/>
      <c r="AA503" s="790"/>
      <c r="AB503" s="790"/>
      <c r="AC503" s="790"/>
      <c r="AD503" s="790"/>
      <c r="AE503" s="790"/>
      <c r="AF503" s="790"/>
      <c r="AG503" s="790"/>
      <c r="AH503" s="790"/>
      <c r="AI503" s="790"/>
      <c r="AJ503" s="790"/>
      <c r="AK503" s="790"/>
      <c r="AL503" s="791"/>
      <c r="AM503" s="791"/>
      <c r="AN503" s="783"/>
      <c r="AO503" s="783"/>
      <c r="AP503" s="790">
        <f t="shared" si="325"/>
        <v>0</v>
      </c>
      <c r="AQ503" s="790">
        <f t="shared" si="326"/>
        <v>3650000</v>
      </c>
      <c r="AR503" s="791">
        <f t="shared" si="327"/>
        <v>124</v>
      </c>
      <c r="AS503" s="791">
        <f t="shared" si="328"/>
        <v>78533</v>
      </c>
      <c r="AT503" s="790">
        <f t="shared" si="329"/>
        <v>78533</v>
      </c>
      <c r="AU503" s="790">
        <f t="shared" si="330"/>
        <v>3571467</v>
      </c>
    </row>
    <row r="504" spans="1:47" x14ac:dyDescent="0.25">
      <c r="A504" s="842" t="s">
        <v>1317</v>
      </c>
      <c r="B504" s="863" t="s">
        <v>1354</v>
      </c>
      <c r="C504" s="778">
        <f t="shared" si="317"/>
        <v>6.3333333333333325E-2</v>
      </c>
      <c r="D504" s="844">
        <v>15</v>
      </c>
      <c r="E504" s="844" t="s">
        <v>884</v>
      </c>
      <c r="F504" s="862">
        <v>45284</v>
      </c>
      <c r="G504" s="862">
        <v>45284</v>
      </c>
      <c r="H504" s="781">
        <f t="shared" si="318"/>
        <v>50759</v>
      </c>
      <c r="I504" s="815">
        <v>148000</v>
      </c>
      <c r="J504" s="805">
        <f t="shared" si="319"/>
        <v>7400</v>
      </c>
      <c r="K504" s="791"/>
      <c r="L504" s="790"/>
      <c r="M504" s="790"/>
      <c r="N504" s="790"/>
      <c r="O504" s="790"/>
      <c r="P504" s="790"/>
      <c r="Q504" s="790"/>
      <c r="R504" s="790"/>
      <c r="S504" s="790"/>
      <c r="T504" s="790"/>
      <c r="U504" s="790"/>
      <c r="V504" s="790"/>
      <c r="W504" s="790"/>
      <c r="X504" s="789"/>
      <c r="Y504" s="790"/>
      <c r="Z504" s="790"/>
      <c r="AA504" s="790"/>
      <c r="AB504" s="790"/>
      <c r="AC504" s="790"/>
      <c r="AD504" s="790"/>
      <c r="AE504" s="790"/>
      <c r="AF504" s="790"/>
      <c r="AG504" s="790"/>
      <c r="AH504" s="790"/>
      <c r="AI504" s="790"/>
      <c r="AJ504" s="790"/>
      <c r="AK504" s="790"/>
      <c r="AL504" s="791"/>
      <c r="AM504" s="791"/>
      <c r="AN504" s="783"/>
      <c r="AO504" s="783"/>
      <c r="AP504" s="790">
        <f t="shared" si="325"/>
        <v>0</v>
      </c>
      <c r="AQ504" s="790">
        <f t="shared" si="326"/>
        <v>148000</v>
      </c>
      <c r="AR504" s="791">
        <f t="shared" si="327"/>
        <v>99</v>
      </c>
      <c r="AS504" s="791">
        <f t="shared" si="328"/>
        <v>2542</v>
      </c>
      <c r="AT504" s="790">
        <f t="shared" si="329"/>
        <v>2542</v>
      </c>
      <c r="AU504" s="790">
        <f t="shared" si="330"/>
        <v>145458</v>
      </c>
    </row>
    <row r="505" spans="1:47" x14ac:dyDescent="0.25">
      <c r="A505" s="842" t="s">
        <v>1317</v>
      </c>
      <c r="B505" s="822" t="s">
        <v>358</v>
      </c>
      <c r="C505" s="778">
        <f t="shared" si="317"/>
        <v>6.3333333333333325E-2</v>
      </c>
      <c r="D505" s="844">
        <v>15</v>
      </c>
      <c r="E505" s="844" t="s">
        <v>884</v>
      </c>
      <c r="F505" s="862">
        <v>45296</v>
      </c>
      <c r="G505" s="862">
        <v>45296</v>
      </c>
      <c r="H505" s="781">
        <f t="shared" si="318"/>
        <v>50771</v>
      </c>
      <c r="I505" s="815">
        <v>877500</v>
      </c>
      <c r="J505" s="805">
        <f t="shared" si="319"/>
        <v>43875</v>
      </c>
      <c r="K505" s="791"/>
      <c r="L505" s="790"/>
      <c r="M505" s="790"/>
      <c r="N505" s="790"/>
      <c r="O505" s="790"/>
      <c r="P505" s="790"/>
      <c r="Q505" s="790"/>
      <c r="R505" s="790"/>
      <c r="S505" s="790"/>
      <c r="T505" s="790"/>
      <c r="U505" s="790"/>
      <c r="V505" s="790"/>
      <c r="W505" s="790"/>
      <c r="X505" s="789"/>
      <c r="Y505" s="790"/>
      <c r="Z505" s="790"/>
      <c r="AA505" s="790"/>
      <c r="AB505" s="790"/>
      <c r="AC505" s="790"/>
      <c r="AD505" s="790"/>
      <c r="AE505" s="790"/>
      <c r="AF505" s="790"/>
      <c r="AG505" s="790"/>
      <c r="AH505" s="790"/>
      <c r="AI505" s="790"/>
      <c r="AJ505" s="790"/>
      <c r="AK505" s="790"/>
      <c r="AL505" s="791"/>
      <c r="AM505" s="791"/>
      <c r="AN505" s="783"/>
      <c r="AO505" s="783"/>
      <c r="AP505" s="790">
        <f t="shared" si="325"/>
        <v>0</v>
      </c>
      <c r="AQ505" s="790">
        <f t="shared" si="326"/>
        <v>877500</v>
      </c>
      <c r="AR505" s="791">
        <f t="shared" si="327"/>
        <v>87</v>
      </c>
      <c r="AS505" s="791">
        <f t="shared" si="328"/>
        <v>13247</v>
      </c>
      <c r="AT505" s="790">
        <f t="shared" si="329"/>
        <v>13247</v>
      </c>
      <c r="AU505" s="790">
        <f t="shared" si="330"/>
        <v>864253</v>
      </c>
    </row>
    <row r="506" spans="1:47" x14ac:dyDescent="0.25">
      <c r="A506" s="842" t="s">
        <v>1317</v>
      </c>
      <c r="B506" s="822" t="s">
        <v>1354</v>
      </c>
      <c r="C506" s="778">
        <f t="shared" si="317"/>
        <v>6.3333333333333325E-2</v>
      </c>
      <c r="D506" s="844">
        <v>15</v>
      </c>
      <c r="E506" s="844" t="s">
        <v>884</v>
      </c>
      <c r="F506" s="862">
        <v>45300</v>
      </c>
      <c r="G506" s="862">
        <v>45300</v>
      </c>
      <c r="H506" s="781">
        <f t="shared" si="318"/>
        <v>50775</v>
      </c>
      <c r="I506" s="815">
        <v>180000</v>
      </c>
      <c r="J506" s="805">
        <f t="shared" si="319"/>
        <v>9000</v>
      </c>
      <c r="K506" s="791"/>
      <c r="L506" s="790"/>
      <c r="M506" s="790"/>
      <c r="N506" s="790"/>
      <c r="O506" s="790"/>
      <c r="P506" s="790"/>
      <c r="Q506" s="790"/>
      <c r="R506" s="790"/>
      <c r="S506" s="790"/>
      <c r="T506" s="790"/>
      <c r="U506" s="790"/>
      <c r="V506" s="790"/>
      <c r="W506" s="790"/>
      <c r="X506" s="789"/>
      <c r="Y506" s="790"/>
      <c r="Z506" s="790"/>
      <c r="AA506" s="790"/>
      <c r="AB506" s="790"/>
      <c r="AC506" s="790"/>
      <c r="AD506" s="790"/>
      <c r="AE506" s="790"/>
      <c r="AF506" s="790"/>
      <c r="AG506" s="790"/>
      <c r="AH506" s="790"/>
      <c r="AI506" s="790"/>
      <c r="AJ506" s="790"/>
      <c r="AK506" s="790"/>
      <c r="AL506" s="791"/>
      <c r="AM506" s="791"/>
      <c r="AN506" s="783"/>
      <c r="AO506" s="783"/>
      <c r="AP506" s="790">
        <f t="shared" si="325"/>
        <v>0</v>
      </c>
      <c r="AQ506" s="790">
        <f t="shared" si="326"/>
        <v>180000</v>
      </c>
      <c r="AR506" s="791">
        <f t="shared" si="327"/>
        <v>83</v>
      </c>
      <c r="AS506" s="791">
        <f t="shared" si="328"/>
        <v>2592</v>
      </c>
      <c r="AT506" s="790">
        <f t="shared" si="329"/>
        <v>2592</v>
      </c>
      <c r="AU506" s="790">
        <f t="shared" si="330"/>
        <v>177408</v>
      </c>
    </row>
    <row r="507" spans="1:47" x14ac:dyDescent="0.25">
      <c r="A507" s="842" t="s">
        <v>1317</v>
      </c>
      <c r="B507" s="822" t="s">
        <v>1354</v>
      </c>
      <c r="C507" s="778">
        <f t="shared" si="317"/>
        <v>6.3333333333333325E-2</v>
      </c>
      <c r="D507" s="844">
        <v>15</v>
      </c>
      <c r="E507" s="844" t="s">
        <v>884</v>
      </c>
      <c r="F507" s="862">
        <v>45302</v>
      </c>
      <c r="G507" s="862">
        <v>45302</v>
      </c>
      <c r="H507" s="781">
        <f t="shared" si="318"/>
        <v>50777</v>
      </c>
      <c r="I507" s="815">
        <v>320340</v>
      </c>
      <c r="J507" s="805">
        <f t="shared" si="319"/>
        <v>16017</v>
      </c>
      <c r="K507" s="791"/>
      <c r="L507" s="790"/>
      <c r="M507" s="790"/>
      <c r="N507" s="790"/>
      <c r="O507" s="790"/>
      <c r="P507" s="790"/>
      <c r="Q507" s="790"/>
      <c r="R507" s="790"/>
      <c r="S507" s="790"/>
      <c r="T507" s="790"/>
      <c r="U507" s="790"/>
      <c r="V507" s="790"/>
      <c r="W507" s="790"/>
      <c r="X507" s="789"/>
      <c r="Y507" s="790"/>
      <c r="Z507" s="790"/>
      <c r="AA507" s="790"/>
      <c r="AB507" s="790"/>
      <c r="AC507" s="790"/>
      <c r="AD507" s="790"/>
      <c r="AE507" s="790"/>
      <c r="AF507" s="790"/>
      <c r="AG507" s="790"/>
      <c r="AH507" s="790"/>
      <c r="AI507" s="790"/>
      <c r="AJ507" s="790"/>
      <c r="AK507" s="790"/>
      <c r="AL507" s="791"/>
      <c r="AM507" s="791"/>
      <c r="AN507" s="783"/>
      <c r="AO507" s="783"/>
      <c r="AP507" s="790">
        <f t="shared" si="325"/>
        <v>0</v>
      </c>
      <c r="AQ507" s="790">
        <f t="shared" si="326"/>
        <v>320340</v>
      </c>
      <c r="AR507" s="791">
        <f t="shared" si="327"/>
        <v>81</v>
      </c>
      <c r="AS507" s="791">
        <f t="shared" si="328"/>
        <v>4502</v>
      </c>
      <c r="AT507" s="790">
        <f t="shared" si="329"/>
        <v>4502</v>
      </c>
      <c r="AU507" s="790">
        <f t="shared" si="330"/>
        <v>315838</v>
      </c>
    </row>
    <row r="508" spans="1:47" x14ac:dyDescent="0.25">
      <c r="A508" s="842" t="s">
        <v>1317</v>
      </c>
      <c r="B508" s="822" t="s">
        <v>358</v>
      </c>
      <c r="C508" s="778">
        <f t="shared" si="317"/>
        <v>6.3333333333333325E-2</v>
      </c>
      <c r="D508" s="844">
        <v>15</v>
      </c>
      <c r="E508" s="844" t="s">
        <v>884</v>
      </c>
      <c r="F508" s="862">
        <v>45310</v>
      </c>
      <c r="G508" s="862">
        <v>45310</v>
      </c>
      <c r="H508" s="781">
        <f t="shared" si="318"/>
        <v>50785</v>
      </c>
      <c r="I508" s="815">
        <v>61000</v>
      </c>
      <c r="J508" s="805">
        <f t="shared" si="319"/>
        <v>3050</v>
      </c>
      <c r="K508" s="791"/>
      <c r="L508" s="790"/>
      <c r="M508" s="790"/>
      <c r="N508" s="790"/>
      <c r="O508" s="790"/>
      <c r="P508" s="790"/>
      <c r="Q508" s="790"/>
      <c r="R508" s="790"/>
      <c r="S508" s="790"/>
      <c r="T508" s="790"/>
      <c r="U508" s="790"/>
      <c r="V508" s="790"/>
      <c r="W508" s="790"/>
      <c r="X508" s="789"/>
      <c r="Y508" s="790"/>
      <c r="Z508" s="790"/>
      <c r="AA508" s="790"/>
      <c r="AB508" s="790"/>
      <c r="AC508" s="790"/>
      <c r="AD508" s="790"/>
      <c r="AE508" s="790"/>
      <c r="AF508" s="790"/>
      <c r="AG508" s="790"/>
      <c r="AH508" s="790"/>
      <c r="AI508" s="790"/>
      <c r="AJ508" s="790"/>
      <c r="AK508" s="790"/>
      <c r="AL508" s="791"/>
      <c r="AM508" s="791"/>
      <c r="AN508" s="783"/>
      <c r="AO508" s="783"/>
      <c r="AP508" s="790">
        <f t="shared" si="325"/>
        <v>0</v>
      </c>
      <c r="AQ508" s="790">
        <f t="shared" si="326"/>
        <v>61000</v>
      </c>
      <c r="AR508" s="791">
        <f t="shared" si="327"/>
        <v>73</v>
      </c>
      <c r="AS508" s="791">
        <f t="shared" si="328"/>
        <v>773</v>
      </c>
      <c r="AT508" s="790">
        <f t="shared" si="329"/>
        <v>773</v>
      </c>
      <c r="AU508" s="790">
        <f t="shared" si="330"/>
        <v>60227</v>
      </c>
    </row>
    <row r="509" spans="1:47" x14ac:dyDescent="0.25">
      <c r="A509" s="842" t="s">
        <v>1317</v>
      </c>
      <c r="B509" s="822" t="s">
        <v>358</v>
      </c>
      <c r="C509" s="778">
        <f t="shared" si="317"/>
        <v>6.3333333333333325E-2</v>
      </c>
      <c r="D509" s="844">
        <v>15</v>
      </c>
      <c r="E509" s="844" t="s">
        <v>884</v>
      </c>
      <c r="F509" s="862">
        <v>45320</v>
      </c>
      <c r="G509" s="862">
        <v>45320</v>
      </c>
      <c r="H509" s="781">
        <f t="shared" si="318"/>
        <v>50795</v>
      </c>
      <c r="I509" s="815">
        <v>345000</v>
      </c>
      <c r="J509" s="805">
        <f t="shared" si="319"/>
        <v>17250</v>
      </c>
      <c r="K509" s="791"/>
      <c r="L509" s="790"/>
      <c r="M509" s="790"/>
      <c r="N509" s="790"/>
      <c r="O509" s="790"/>
      <c r="P509" s="790"/>
      <c r="Q509" s="790"/>
      <c r="R509" s="790"/>
      <c r="S509" s="790"/>
      <c r="T509" s="790"/>
      <c r="U509" s="790"/>
      <c r="V509" s="790"/>
      <c r="W509" s="790"/>
      <c r="X509" s="790"/>
      <c r="Y509" s="790"/>
      <c r="Z509" s="790"/>
      <c r="AA509" s="790"/>
      <c r="AB509" s="790"/>
      <c r="AC509" s="790"/>
      <c r="AD509" s="790"/>
      <c r="AE509" s="790"/>
      <c r="AF509" s="790"/>
      <c r="AG509" s="790"/>
      <c r="AH509" s="790"/>
      <c r="AI509" s="790"/>
      <c r="AJ509" s="790"/>
      <c r="AK509" s="790"/>
      <c r="AL509" s="791"/>
      <c r="AM509" s="791"/>
      <c r="AN509" s="783"/>
      <c r="AO509" s="783"/>
      <c r="AP509" s="790">
        <f t="shared" si="325"/>
        <v>0</v>
      </c>
      <c r="AQ509" s="790">
        <f t="shared" si="326"/>
        <v>345000</v>
      </c>
      <c r="AR509" s="791">
        <f t="shared" si="327"/>
        <v>63</v>
      </c>
      <c r="AS509" s="791">
        <f t="shared" si="328"/>
        <v>3771</v>
      </c>
      <c r="AT509" s="790">
        <f t="shared" si="329"/>
        <v>3771</v>
      </c>
      <c r="AU509" s="790">
        <f t="shared" si="330"/>
        <v>341229</v>
      </c>
    </row>
    <row r="510" spans="1:47" x14ac:dyDescent="0.25">
      <c r="A510" s="842" t="s">
        <v>1317</v>
      </c>
      <c r="B510" s="822" t="s">
        <v>358</v>
      </c>
      <c r="C510" s="778">
        <f t="shared" si="317"/>
        <v>6.3333333333333325E-2</v>
      </c>
      <c r="D510" s="844">
        <v>15</v>
      </c>
      <c r="E510" s="844" t="s">
        <v>884</v>
      </c>
      <c r="F510" s="814">
        <v>45324</v>
      </c>
      <c r="G510" s="814">
        <v>45324</v>
      </c>
      <c r="H510" s="781">
        <f t="shared" si="318"/>
        <v>50799</v>
      </c>
      <c r="I510" s="815">
        <v>5850</v>
      </c>
      <c r="J510" s="805">
        <f t="shared" si="319"/>
        <v>292.5</v>
      </c>
      <c r="K510" s="791"/>
      <c r="L510" s="790"/>
      <c r="M510" s="790"/>
      <c r="N510" s="790"/>
      <c r="O510" s="790"/>
      <c r="P510" s="790"/>
      <c r="Q510" s="790"/>
      <c r="R510" s="790"/>
      <c r="S510" s="790"/>
      <c r="T510" s="790"/>
      <c r="U510" s="790"/>
      <c r="V510" s="790"/>
      <c r="W510" s="790"/>
      <c r="X510" s="790"/>
      <c r="Y510" s="790"/>
      <c r="Z510" s="790"/>
      <c r="AA510" s="790"/>
      <c r="AB510" s="790"/>
      <c r="AC510" s="790"/>
      <c r="AD510" s="790"/>
      <c r="AE510" s="790"/>
      <c r="AF510" s="790"/>
      <c r="AG510" s="790"/>
      <c r="AH510" s="790"/>
      <c r="AI510" s="790"/>
      <c r="AJ510" s="790"/>
      <c r="AK510" s="790"/>
      <c r="AL510" s="791"/>
      <c r="AM510" s="791"/>
      <c r="AN510" s="783"/>
      <c r="AO510" s="783"/>
      <c r="AP510" s="790">
        <f t="shared" si="325"/>
        <v>0</v>
      </c>
      <c r="AQ510" s="790">
        <f t="shared" si="326"/>
        <v>5850</v>
      </c>
      <c r="AR510" s="791">
        <f t="shared" si="327"/>
        <v>59</v>
      </c>
      <c r="AS510" s="791">
        <f t="shared" si="328"/>
        <v>60</v>
      </c>
      <c r="AT510" s="790">
        <f t="shared" si="329"/>
        <v>60</v>
      </c>
      <c r="AU510" s="790">
        <f t="shared" si="330"/>
        <v>5790</v>
      </c>
    </row>
    <row r="511" spans="1:47" x14ac:dyDescent="0.25">
      <c r="A511" s="842" t="s">
        <v>1317</v>
      </c>
      <c r="B511" s="822" t="s">
        <v>358</v>
      </c>
      <c r="C511" s="778">
        <f t="shared" si="317"/>
        <v>6.3333333333333325E-2</v>
      </c>
      <c r="D511" s="844">
        <v>15</v>
      </c>
      <c r="E511" s="844" t="s">
        <v>884</v>
      </c>
      <c r="F511" s="814">
        <v>45327</v>
      </c>
      <c r="G511" s="814">
        <v>45327</v>
      </c>
      <c r="H511" s="781">
        <f t="shared" si="318"/>
        <v>50802</v>
      </c>
      <c r="I511" s="815">
        <v>10499</v>
      </c>
      <c r="J511" s="805">
        <f t="shared" si="319"/>
        <v>524.95000000000005</v>
      </c>
      <c r="K511" s="791"/>
      <c r="L511" s="790"/>
      <c r="M511" s="790"/>
      <c r="N511" s="790"/>
      <c r="O511" s="790"/>
      <c r="P511" s="790"/>
      <c r="Q511" s="790"/>
      <c r="R511" s="790"/>
      <c r="S511" s="790"/>
      <c r="T511" s="790"/>
      <c r="U511" s="790"/>
      <c r="V511" s="790"/>
      <c r="W511" s="790"/>
      <c r="X511" s="790"/>
      <c r="Y511" s="790"/>
      <c r="Z511" s="790"/>
      <c r="AA511" s="790"/>
      <c r="AB511" s="790"/>
      <c r="AC511" s="790"/>
      <c r="AD511" s="790"/>
      <c r="AE511" s="790"/>
      <c r="AF511" s="790"/>
      <c r="AG511" s="790"/>
      <c r="AH511" s="790"/>
      <c r="AI511" s="790"/>
      <c r="AJ511" s="790"/>
      <c r="AK511" s="790"/>
      <c r="AL511" s="791"/>
      <c r="AM511" s="791"/>
      <c r="AN511" s="783"/>
      <c r="AO511" s="783"/>
      <c r="AP511" s="790">
        <f t="shared" si="325"/>
        <v>0</v>
      </c>
      <c r="AQ511" s="790">
        <f t="shared" si="326"/>
        <v>10499</v>
      </c>
      <c r="AR511" s="791">
        <f t="shared" si="327"/>
        <v>56</v>
      </c>
      <c r="AS511" s="791">
        <f t="shared" si="328"/>
        <v>102</v>
      </c>
      <c r="AT511" s="790">
        <f t="shared" si="329"/>
        <v>102</v>
      </c>
      <c r="AU511" s="790">
        <f t="shared" si="330"/>
        <v>10397</v>
      </c>
    </row>
    <row r="512" spans="1:47" x14ac:dyDescent="0.25">
      <c r="A512" s="842" t="s">
        <v>1317</v>
      </c>
      <c r="B512" s="863" t="s">
        <v>1362</v>
      </c>
      <c r="C512" s="778">
        <f t="shared" si="317"/>
        <v>6.3333333333333325E-2</v>
      </c>
      <c r="D512" s="844">
        <v>15</v>
      </c>
      <c r="E512" s="844" t="s">
        <v>884</v>
      </c>
      <c r="F512" s="814">
        <v>45328</v>
      </c>
      <c r="G512" s="814">
        <v>45328</v>
      </c>
      <c r="H512" s="781">
        <f t="shared" si="318"/>
        <v>50803</v>
      </c>
      <c r="I512" s="815">
        <v>890000</v>
      </c>
      <c r="J512" s="805">
        <f t="shared" si="319"/>
        <v>44500</v>
      </c>
      <c r="K512" s="791"/>
      <c r="L512" s="790"/>
      <c r="M512" s="790"/>
      <c r="N512" s="790"/>
      <c r="O512" s="790"/>
      <c r="P512" s="790"/>
      <c r="Q512" s="790"/>
      <c r="R512" s="790"/>
      <c r="S512" s="790"/>
      <c r="T512" s="790"/>
      <c r="U512" s="790"/>
      <c r="V512" s="790"/>
      <c r="W512" s="790"/>
      <c r="X512" s="790"/>
      <c r="Y512" s="790"/>
      <c r="Z512" s="790"/>
      <c r="AA512" s="790"/>
      <c r="AB512" s="790"/>
      <c r="AC512" s="790"/>
      <c r="AD512" s="790"/>
      <c r="AE512" s="790"/>
      <c r="AF512" s="790"/>
      <c r="AG512" s="790"/>
      <c r="AH512" s="790"/>
      <c r="AI512" s="790"/>
      <c r="AJ512" s="790"/>
      <c r="AK512" s="790"/>
      <c r="AL512" s="791"/>
      <c r="AM512" s="791"/>
      <c r="AN512" s="783"/>
      <c r="AO512" s="783"/>
      <c r="AP512" s="790">
        <f t="shared" si="325"/>
        <v>0</v>
      </c>
      <c r="AQ512" s="790">
        <f t="shared" si="326"/>
        <v>890000</v>
      </c>
      <c r="AR512" s="791">
        <f t="shared" si="327"/>
        <v>55</v>
      </c>
      <c r="AS512" s="791">
        <f t="shared" si="328"/>
        <v>8494</v>
      </c>
      <c r="AT512" s="790">
        <f t="shared" si="329"/>
        <v>8494</v>
      </c>
      <c r="AU512" s="790">
        <f t="shared" si="330"/>
        <v>881506</v>
      </c>
    </row>
    <row r="513" spans="1:47" x14ac:dyDescent="0.25">
      <c r="A513" s="842" t="s">
        <v>1317</v>
      </c>
      <c r="B513" s="822" t="s">
        <v>358</v>
      </c>
      <c r="C513" s="778">
        <f t="shared" si="317"/>
        <v>6.3333333333333325E-2</v>
      </c>
      <c r="D513" s="844">
        <v>15</v>
      </c>
      <c r="E513" s="844" t="s">
        <v>884</v>
      </c>
      <c r="F513" s="814">
        <v>45334</v>
      </c>
      <c r="G513" s="814">
        <v>45334</v>
      </c>
      <c r="H513" s="781">
        <f t="shared" si="318"/>
        <v>50809</v>
      </c>
      <c r="I513" s="815">
        <v>27000</v>
      </c>
      <c r="J513" s="805">
        <f t="shared" si="319"/>
        <v>1350</v>
      </c>
      <c r="K513" s="791"/>
      <c r="L513" s="790"/>
      <c r="M513" s="790"/>
      <c r="N513" s="790"/>
      <c r="O513" s="790"/>
      <c r="P513" s="790"/>
      <c r="Q513" s="790"/>
      <c r="R513" s="790"/>
      <c r="S513" s="790"/>
      <c r="T513" s="790"/>
      <c r="U513" s="790"/>
      <c r="V513" s="790"/>
      <c r="W513" s="790"/>
      <c r="X513" s="790"/>
      <c r="Y513" s="790"/>
      <c r="Z513" s="790"/>
      <c r="AA513" s="790"/>
      <c r="AB513" s="790"/>
      <c r="AC513" s="790"/>
      <c r="AD513" s="790"/>
      <c r="AE513" s="790"/>
      <c r="AF513" s="790"/>
      <c r="AG513" s="790"/>
      <c r="AH513" s="790"/>
      <c r="AI513" s="790"/>
      <c r="AJ513" s="790"/>
      <c r="AK513" s="790"/>
      <c r="AL513" s="791"/>
      <c r="AM513" s="791"/>
      <c r="AN513" s="783"/>
      <c r="AO513" s="783"/>
      <c r="AP513" s="790">
        <f t="shared" si="325"/>
        <v>0</v>
      </c>
      <c r="AQ513" s="790">
        <f t="shared" si="326"/>
        <v>27000</v>
      </c>
      <c r="AR513" s="791">
        <f t="shared" si="327"/>
        <v>49</v>
      </c>
      <c r="AS513" s="791">
        <f t="shared" si="328"/>
        <v>230</v>
      </c>
      <c r="AT513" s="790">
        <f t="shared" si="329"/>
        <v>230</v>
      </c>
      <c r="AU513" s="790">
        <f t="shared" si="330"/>
        <v>26770</v>
      </c>
    </row>
    <row r="514" spans="1:47" x14ac:dyDescent="0.25">
      <c r="A514" s="842" t="s">
        <v>1317</v>
      </c>
      <c r="B514" s="822" t="s">
        <v>257</v>
      </c>
      <c r="C514" s="778">
        <f t="shared" si="317"/>
        <v>6.3333333333333325E-2</v>
      </c>
      <c r="D514" s="844">
        <v>15</v>
      </c>
      <c r="E514" s="844" t="s">
        <v>884</v>
      </c>
      <c r="F514" s="814">
        <v>45345</v>
      </c>
      <c r="G514" s="814">
        <v>45345</v>
      </c>
      <c r="H514" s="781">
        <f t="shared" si="318"/>
        <v>50820</v>
      </c>
      <c r="I514" s="815">
        <v>14990</v>
      </c>
      <c r="J514" s="805">
        <f t="shared" si="319"/>
        <v>749.5</v>
      </c>
      <c r="K514" s="791"/>
      <c r="L514" s="790"/>
      <c r="M514" s="790"/>
      <c r="N514" s="790"/>
      <c r="O514" s="790"/>
      <c r="P514" s="790"/>
      <c r="Q514" s="790"/>
      <c r="R514" s="790"/>
      <c r="S514" s="790"/>
      <c r="T514" s="790"/>
      <c r="U514" s="790"/>
      <c r="V514" s="790"/>
      <c r="W514" s="790"/>
      <c r="X514" s="790"/>
      <c r="Y514" s="790"/>
      <c r="Z514" s="790"/>
      <c r="AA514" s="790"/>
      <c r="AB514" s="790"/>
      <c r="AC514" s="790"/>
      <c r="AD514" s="790"/>
      <c r="AE514" s="790"/>
      <c r="AF514" s="790"/>
      <c r="AG514" s="790"/>
      <c r="AH514" s="790"/>
      <c r="AI514" s="790"/>
      <c r="AJ514" s="790"/>
      <c r="AK514" s="790"/>
      <c r="AL514" s="791"/>
      <c r="AM514" s="791"/>
      <c r="AN514" s="783"/>
      <c r="AO514" s="783"/>
      <c r="AP514" s="790">
        <f t="shared" si="325"/>
        <v>0</v>
      </c>
      <c r="AQ514" s="790">
        <f t="shared" si="326"/>
        <v>14990</v>
      </c>
      <c r="AR514" s="791">
        <f t="shared" si="327"/>
        <v>38</v>
      </c>
      <c r="AS514" s="791">
        <f t="shared" si="328"/>
        <v>99</v>
      </c>
      <c r="AT514" s="790">
        <f t="shared" si="329"/>
        <v>99</v>
      </c>
      <c r="AU514" s="790">
        <f t="shared" si="330"/>
        <v>14891</v>
      </c>
    </row>
    <row r="515" spans="1:47" x14ac:dyDescent="0.25">
      <c r="A515" s="842" t="s">
        <v>1317</v>
      </c>
      <c r="B515" s="822" t="s">
        <v>358</v>
      </c>
      <c r="C515" s="778">
        <f t="shared" si="317"/>
        <v>6.3333333333333325E-2</v>
      </c>
      <c r="D515" s="844">
        <v>15</v>
      </c>
      <c r="E515" s="844" t="s">
        <v>884</v>
      </c>
      <c r="F515" s="814">
        <v>45349</v>
      </c>
      <c r="G515" s="814">
        <v>45349</v>
      </c>
      <c r="H515" s="781">
        <f t="shared" si="318"/>
        <v>50824</v>
      </c>
      <c r="I515" s="815">
        <v>124600</v>
      </c>
      <c r="J515" s="805">
        <f t="shared" si="319"/>
        <v>6230</v>
      </c>
      <c r="K515" s="791"/>
      <c r="L515" s="790"/>
      <c r="M515" s="790"/>
      <c r="N515" s="790"/>
      <c r="O515" s="790"/>
      <c r="P515" s="790"/>
      <c r="Q515" s="790"/>
      <c r="R515" s="790"/>
      <c r="S515" s="790"/>
      <c r="T515" s="790"/>
      <c r="U515" s="790"/>
      <c r="V515" s="790"/>
      <c r="W515" s="790"/>
      <c r="X515" s="790"/>
      <c r="Y515" s="790"/>
      <c r="Z515" s="790"/>
      <c r="AA515" s="790"/>
      <c r="AB515" s="790"/>
      <c r="AC515" s="790"/>
      <c r="AD515" s="790"/>
      <c r="AE515" s="790"/>
      <c r="AF515" s="790"/>
      <c r="AG515" s="790"/>
      <c r="AH515" s="790"/>
      <c r="AI515" s="790"/>
      <c r="AJ515" s="790"/>
      <c r="AK515" s="790"/>
      <c r="AL515" s="791"/>
      <c r="AM515" s="791"/>
      <c r="AN515" s="783"/>
      <c r="AO515" s="783"/>
      <c r="AP515" s="790">
        <f t="shared" si="325"/>
        <v>0</v>
      </c>
      <c r="AQ515" s="790">
        <f t="shared" si="326"/>
        <v>124600</v>
      </c>
      <c r="AR515" s="791">
        <f t="shared" si="327"/>
        <v>34</v>
      </c>
      <c r="AS515" s="791">
        <f t="shared" si="328"/>
        <v>735</v>
      </c>
      <c r="AT515" s="790">
        <f t="shared" si="329"/>
        <v>735</v>
      </c>
      <c r="AU515" s="790">
        <f t="shared" si="330"/>
        <v>123865</v>
      </c>
    </row>
    <row r="516" spans="1:47" ht="15.75" thickBot="1" x14ac:dyDescent="0.3">
      <c r="A516" s="856" t="s">
        <v>1317</v>
      </c>
      <c r="B516" s="927" t="s">
        <v>1363</v>
      </c>
      <c r="C516" s="826">
        <f t="shared" si="317"/>
        <v>6.3333333333333325E-2</v>
      </c>
      <c r="D516" s="858">
        <v>15</v>
      </c>
      <c r="E516" s="844" t="s">
        <v>884</v>
      </c>
      <c r="F516" s="827">
        <v>45346</v>
      </c>
      <c r="G516" s="827">
        <v>45346</v>
      </c>
      <c r="H516" s="828">
        <f t="shared" si="318"/>
        <v>50821</v>
      </c>
      <c r="I516" s="968">
        <v>26704.1</v>
      </c>
      <c r="J516" s="821">
        <f t="shared" si="319"/>
        <v>1335.2049999999999</v>
      </c>
      <c r="K516" s="809"/>
      <c r="L516" s="808"/>
      <c r="M516" s="808"/>
      <c r="N516" s="808"/>
      <c r="O516" s="808"/>
      <c r="P516" s="808"/>
      <c r="Q516" s="808"/>
      <c r="R516" s="808"/>
      <c r="S516" s="808"/>
      <c r="T516" s="808"/>
      <c r="U516" s="808"/>
      <c r="V516" s="808"/>
      <c r="W516" s="808"/>
      <c r="X516" s="808"/>
      <c r="Y516" s="808"/>
      <c r="Z516" s="808"/>
      <c r="AA516" s="808"/>
      <c r="AB516" s="808"/>
      <c r="AC516" s="808"/>
      <c r="AD516" s="808"/>
      <c r="AE516" s="808"/>
      <c r="AF516" s="808"/>
      <c r="AG516" s="808"/>
      <c r="AH516" s="808"/>
      <c r="AI516" s="808"/>
      <c r="AJ516" s="808"/>
      <c r="AK516" s="808"/>
      <c r="AL516" s="809"/>
      <c r="AM516" s="809"/>
      <c r="AN516" s="812"/>
      <c r="AO516" s="812"/>
      <c r="AP516" s="808">
        <f t="shared" si="325"/>
        <v>0</v>
      </c>
      <c r="AQ516" s="808">
        <f t="shared" si="326"/>
        <v>26704.1</v>
      </c>
      <c r="AR516" s="809">
        <f t="shared" si="327"/>
        <v>37</v>
      </c>
      <c r="AS516" s="809">
        <f t="shared" si="328"/>
        <v>171</v>
      </c>
      <c r="AT516" s="808">
        <f t="shared" si="329"/>
        <v>171</v>
      </c>
      <c r="AU516" s="808">
        <f t="shared" si="330"/>
        <v>26533.1</v>
      </c>
    </row>
    <row r="517" spans="1:47" ht="15.75" thickBot="1" x14ac:dyDescent="0.3">
      <c r="A517" s="830" t="s">
        <v>1364</v>
      </c>
      <c r="B517" s="969" t="s">
        <v>183</v>
      </c>
      <c r="C517" s="969"/>
      <c r="D517" s="969"/>
      <c r="E517" s="969"/>
      <c r="F517" s="969"/>
      <c r="G517" s="969"/>
      <c r="H517" s="969"/>
      <c r="I517" s="834">
        <f>SUM(I415:I516)</f>
        <v>186391413.88999996</v>
      </c>
      <c r="J517" s="834">
        <f>SUM(J415:J516)</f>
        <v>9319570.6944999993</v>
      </c>
      <c r="K517" s="831"/>
      <c r="L517" s="831"/>
      <c r="M517" s="834">
        <f t="shared" ref="M517:AJ517" si="331">SUM(M415:M485)</f>
        <v>78079492.319999993</v>
      </c>
      <c r="N517" s="834">
        <f t="shared" si="331"/>
        <v>11438</v>
      </c>
      <c r="O517" s="834">
        <f t="shared" si="331"/>
        <v>4158533</v>
      </c>
      <c r="P517" s="834">
        <f t="shared" si="331"/>
        <v>4158533</v>
      </c>
      <c r="Q517" s="834">
        <f t="shared" si="331"/>
        <v>73920959.319999993</v>
      </c>
      <c r="R517" s="834">
        <f t="shared" si="331"/>
        <v>73920959.319999993</v>
      </c>
      <c r="S517" s="834">
        <f t="shared" si="331"/>
        <v>106649497.73999999</v>
      </c>
      <c r="T517" s="834">
        <f t="shared" si="331"/>
        <v>13682</v>
      </c>
      <c r="U517" s="834">
        <f t="shared" si="331"/>
        <v>6721166</v>
      </c>
      <c r="V517" s="834">
        <f t="shared" si="331"/>
        <v>10879699</v>
      </c>
      <c r="W517" s="834">
        <f t="shared" si="331"/>
        <v>95769798.74000001</v>
      </c>
      <c r="X517" s="834">
        <f t="shared" si="331"/>
        <v>95769798.74000001</v>
      </c>
      <c r="Y517" s="834">
        <f t="shared" si="331"/>
        <v>124804212.14999999</v>
      </c>
      <c r="Z517" s="834">
        <f t="shared" si="331"/>
        <v>15567</v>
      </c>
      <c r="AA517" s="834">
        <f t="shared" si="331"/>
        <v>7037427</v>
      </c>
      <c r="AB517" s="834">
        <f t="shared" si="331"/>
        <v>17917126</v>
      </c>
      <c r="AC517" s="834">
        <f t="shared" si="331"/>
        <v>106887086.15000001</v>
      </c>
      <c r="AD517" s="834">
        <f t="shared" si="331"/>
        <v>106887086.15000001</v>
      </c>
      <c r="AE517" s="834">
        <f t="shared" si="331"/>
        <v>162484247.70999998</v>
      </c>
      <c r="AF517" s="834">
        <f t="shared" si="331"/>
        <v>18903</v>
      </c>
      <c r="AG517" s="834">
        <f t="shared" si="331"/>
        <v>9113092</v>
      </c>
      <c r="AH517" s="834">
        <f t="shared" si="331"/>
        <v>27030218</v>
      </c>
      <c r="AI517" s="834">
        <f t="shared" si="331"/>
        <v>135454029.71000001</v>
      </c>
      <c r="AJ517" s="834">
        <f t="shared" si="331"/>
        <v>135454029.71000001</v>
      </c>
      <c r="AK517" s="834">
        <f>SUM(AK415:AK516)</f>
        <v>176747807.78999996</v>
      </c>
      <c r="AL517" s="834">
        <f>SUM(AL415:AL516)</f>
        <v>24027</v>
      </c>
      <c r="AM517" s="834">
        <f>SUM(AM415:AM516)+145117</f>
        <v>11148710</v>
      </c>
      <c r="AN517" s="834">
        <f>SUM(AN415:AN516)-1595248</f>
        <v>36438563</v>
      </c>
      <c r="AO517" s="873">
        <f>+AK517-AN517</f>
        <v>140309244.78999996</v>
      </c>
      <c r="AP517" s="873">
        <f>+AO517</f>
        <v>140309244.78999996</v>
      </c>
      <c r="AQ517" s="873">
        <f>SUM(AQ415:AQ516)</f>
        <v>186391413.88999996</v>
      </c>
      <c r="AR517" s="873">
        <f>SUM(AR415:AR516)</f>
        <v>31341</v>
      </c>
      <c r="AS517" s="873">
        <f>SUM(AS415:AS516)</f>
        <v>11492519</v>
      </c>
      <c r="AT517" s="873">
        <f>SUM(AT415:AT516)-1595248</f>
        <v>47931082</v>
      </c>
      <c r="AU517" s="873">
        <f>+AQ517-AT517</f>
        <v>138460331.88999996</v>
      </c>
    </row>
    <row r="519" spans="1:47" ht="16.5" thickBot="1" x14ac:dyDescent="0.3">
      <c r="A519" s="970" t="s">
        <v>669</v>
      </c>
      <c r="B519" s="971" t="s">
        <v>1365</v>
      </c>
      <c r="C519" s="972">
        <f t="shared" ref="C519:C537" si="332">(95/D519)/100</f>
        <v>0.11874999999999999</v>
      </c>
      <c r="D519" s="973">
        <v>8</v>
      </c>
      <c r="E519" s="844" t="s">
        <v>723</v>
      </c>
      <c r="F519" s="974">
        <v>44639</v>
      </c>
      <c r="G519" s="974">
        <f>F519</f>
        <v>44639</v>
      </c>
      <c r="H519" s="975">
        <f t="shared" ref="H519:H537" si="333">G519+(365*D519)</f>
        <v>47559</v>
      </c>
      <c r="I519" s="976">
        <f>5905744.47</f>
        <v>5905744.4699999997</v>
      </c>
      <c r="J519" s="977">
        <f t="shared" ref="J519:J520" si="334">I519*5%</f>
        <v>295287.22350000002</v>
      </c>
      <c r="K519" s="978"/>
      <c r="L519" s="790"/>
      <c r="M519" s="790"/>
      <c r="N519" s="791"/>
      <c r="O519" s="791"/>
      <c r="P519" s="790"/>
      <c r="Q519" s="790"/>
      <c r="R519" s="790"/>
      <c r="S519" s="790"/>
      <c r="T519" s="792"/>
      <c r="U519" s="792"/>
      <c r="V519" s="790"/>
      <c r="W519" s="790"/>
      <c r="X519" s="790"/>
      <c r="Y519" s="783"/>
      <c r="Z519" s="783"/>
      <c r="AA519" s="783"/>
      <c r="AB519" s="783"/>
      <c r="AC519" s="783"/>
      <c r="AD519" s="790">
        <f t="shared" ref="AD519" si="335">AC519</f>
        <v>0</v>
      </c>
      <c r="AE519" s="979">
        <f t="shared" ref="AE519" si="336">I519</f>
        <v>5905744.4699999997</v>
      </c>
      <c r="AF519" s="973">
        <f t="shared" ref="AF519" si="337">IF(AND(F519&gt;$X$3,F519&lt;$AD$3),$AD$3-F519+1,IF(H519&lt;=$X$3,0,IF(H519&gt;$AD$3,$AD$3-$X$3,H519-$X$3)))</f>
        <v>13</v>
      </c>
      <c r="AG519" s="980">
        <f t="shared" ref="AG519:AG520" si="338">ROUND(AE519*C519*AF519/365,0)</f>
        <v>24978</v>
      </c>
      <c r="AH519" s="977">
        <f t="shared" ref="AH519:AH520" si="339">+AB519+AG519</f>
        <v>24978</v>
      </c>
      <c r="AI519" s="977">
        <f t="shared" ref="AI519:AI520" si="340">AE519-AH519</f>
        <v>5880766.4699999997</v>
      </c>
      <c r="AJ519" s="790">
        <f t="shared" ref="AJ519:AJ532" si="341">AI519</f>
        <v>5880766.4699999997</v>
      </c>
      <c r="AK519" s="790">
        <f t="shared" ref="AK519:AK520" si="342">I519</f>
        <v>5905744.4699999997</v>
      </c>
      <c r="AL519" s="791">
        <f t="shared" ref="AL519:AL520" si="343">IF(AND(F519&gt;$AD$3,F519&lt;$AJ$3),$AJ$3-F519+1,IF(H519&lt;=$AD$3,0,IF(H519&gt;$AJ$3,$AJ$3-$AD$3,H519-$AD$3)))</f>
        <v>365</v>
      </c>
      <c r="AM519" s="981">
        <f t="shared" ref="AM519:AM520" si="344">ROUND(AK519*C519*AL519/365,0)</f>
        <v>701307</v>
      </c>
      <c r="AN519" s="783">
        <f t="shared" ref="AN519:AN520" si="345">+AH519+AM519</f>
        <v>726285</v>
      </c>
      <c r="AO519" s="783">
        <f t="shared" ref="AO519:AO520" si="346">AK519-AN519</f>
        <v>5179459.47</v>
      </c>
      <c r="AP519" s="790">
        <f t="shared" ref="AP519:AP520" si="347">+AO519</f>
        <v>5179459.47</v>
      </c>
      <c r="AQ519" s="790">
        <f>I519</f>
        <v>5905744.4699999997</v>
      </c>
      <c r="AR519" s="791">
        <f t="shared" ref="AR519:AR520" si="348">IF(AND(F519&gt;$AJ$3,F519&lt;$AP$3),$AP$3-F519+1,IF(H519&lt;=$AJ$3,0,IF(H519&gt;$AP$3,$AP$3-$AJ$3,H519-$AJ$3)))</f>
        <v>366</v>
      </c>
      <c r="AS519" s="791">
        <f t="shared" ref="AS519:AS520" si="349">ROUND(AQ519*C519*AR519/365,0)</f>
        <v>703229</v>
      </c>
      <c r="AT519" s="790">
        <f t="shared" ref="AT519:AT520" si="350">+AN519+AS519</f>
        <v>1429514</v>
      </c>
      <c r="AU519" s="790">
        <f t="shared" ref="AU519:AU520" si="351">+AQ519-AT519</f>
        <v>4476230.47</v>
      </c>
    </row>
    <row r="520" spans="1:47" ht="17.25" thickTop="1" thickBot="1" x14ac:dyDescent="0.3">
      <c r="A520" s="982" t="s">
        <v>669</v>
      </c>
      <c r="B520" s="983" t="s">
        <v>1366</v>
      </c>
      <c r="C520" s="826">
        <f t="shared" si="332"/>
        <v>0.11874999999999999</v>
      </c>
      <c r="D520" s="809">
        <v>8</v>
      </c>
      <c r="E520" s="858" t="s">
        <v>677</v>
      </c>
      <c r="F520" s="860">
        <v>44652</v>
      </c>
      <c r="G520" s="860">
        <f>F520</f>
        <v>44652</v>
      </c>
      <c r="H520" s="828">
        <f t="shared" si="333"/>
        <v>47572</v>
      </c>
      <c r="I520" s="920">
        <v>1285666</v>
      </c>
      <c r="J520" s="812">
        <f t="shared" si="334"/>
        <v>64283.3</v>
      </c>
      <c r="L520" s="808"/>
      <c r="M520" s="808"/>
      <c r="N520" s="809"/>
      <c r="O520" s="809"/>
      <c r="P520" s="808"/>
      <c r="Q520" s="808"/>
      <c r="R520" s="808"/>
      <c r="S520" s="808"/>
      <c r="T520" s="917"/>
      <c r="U520" s="917"/>
      <c r="V520" s="808"/>
      <c r="W520" s="808"/>
      <c r="X520" s="808"/>
      <c r="Y520" s="812"/>
      <c r="Z520" s="812"/>
      <c r="AA520" s="812"/>
      <c r="AB520" s="812"/>
      <c r="AC520" s="812"/>
      <c r="AD520" s="808"/>
      <c r="AE520" s="807"/>
      <c r="AF520" s="809"/>
      <c r="AG520" s="984">
        <f t="shared" si="338"/>
        <v>0</v>
      </c>
      <c r="AH520" s="812">
        <f t="shared" si="339"/>
        <v>0</v>
      </c>
      <c r="AI520" s="812">
        <f t="shared" si="340"/>
        <v>0</v>
      </c>
      <c r="AJ520" s="808">
        <f t="shared" si="341"/>
        <v>0</v>
      </c>
      <c r="AK520" s="808">
        <f t="shared" si="342"/>
        <v>1285666</v>
      </c>
      <c r="AL520" s="809">
        <f t="shared" si="343"/>
        <v>365</v>
      </c>
      <c r="AM520" s="984">
        <f t="shared" si="344"/>
        <v>152673</v>
      </c>
      <c r="AN520" s="812">
        <f t="shared" si="345"/>
        <v>152673</v>
      </c>
      <c r="AO520" s="812">
        <f t="shared" si="346"/>
        <v>1132993</v>
      </c>
      <c r="AP520" s="790">
        <f t="shared" si="347"/>
        <v>1132993</v>
      </c>
      <c r="AQ520" s="790">
        <f>I520</f>
        <v>1285666</v>
      </c>
      <c r="AR520" s="791">
        <f t="shared" si="348"/>
        <v>366</v>
      </c>
      <c r="AS520" s="791">
        <f t="shared" si="349"/>
        <v>153091</v>
      </c>
      <c r="AT520" s="790">
        <f t="shared" si="350"/>
        <v>305764</v>
      </c>
      <c r="AU520" s="790">
        <f t="shared" si="351"/>
        <v>979902</v>
      </c>
    </row>
    <row r="521" spans="1:47" ht="16.5" thickBot="1" x14ac:dyDescent="0.3">
      <c r="A521" s="830" t="s">
        <v>1367</v>
      </c>
      <c r="B521" s="985"/>
      <c r="C521" s="948"/>
      <c r="D521" s="831"/>
      <c r="E521" s="949"/>
      <c r="F521" s="950"/>
      <c r="G521" s="950"/>
      <c r="H521" s="951"/>
      <c r="I521" s="952">
        <f>SUM(I519:I520)</f>
        <v>7191410.4699999997</v>
      </c>
      <c r="J521" s="952">
        <f>SUM(J519:J520)</f>
        <v>359570.52350000001</v>
      </c>
      <c r="K521" s="969"/>
      <c r="L521" s="986"/>
      <c r="M521" s="986"/>
      <c r="N521" s="969"/>
      <c r="O521" s="969"/>
      <c r="P521" s="986"/>
      <c r="Q521" s="986"/>
      <c r="R521" s="986"/>
      <c r="S521" s="986"/>
      <c r="T521" s="987"/>
      <c r="U521" s="987"/>
      <c r="V521" s="986"/>
      <c r="W521" s="986"/>
      <c r="X521" s="986"/>
      <c r="Y521" s="988"/>
      <c r="Z521" s="988"/>
      <c r="AA521" s="988"/>
      <c r="AB521" s="988"/>
      <c r="AC521" s="988"/>
      <c r="AD521" s="986"/>
      <c r="AE521" s="988">
        <f t="shared" ref="AE521:AL521" si="352">SUM(AE519:AE520)</f>
        <v>5905744.4699999997</v>
      </c>
      <c r="AF521" s="988">
        <f t="shared" si="352"/>
        <v>13</v>
      </c>
      <c r="AG521" s="988">
        <f t="shared" si="352"/>
        <v>24978</v>
      </c>
      <c r="AH521" s="988">
        <f t="shared" si="352"/>
        <v>24978</v>
      </c>
      <c r="AI521" s="988">
        <f t="shared" si="352"/>
        <v>5880766.4699999997</v>
      </c>
      <c r="AJ521" s="988">
        <f t="shared" si="352"/>
        <v>5880766.4699999997</v>
      </c>
      <c r="AK521" s="988">
        <f t="shared" si="352"/>
        <v>7191410.4699999997</v>
      </c>
      <c r="AL521" s="988">
        <f t="shared" si="352"/>
        <v>730</v>
      </c>
      <c r="AM521" s="988">
        <f>SUM(AM519:AM520)-1</f>
        <v>853979</v>
      </c>
      <c r="AN521" s="988">
        <f>SUM(AN519:AN520)+10</f>
        <v>878968</v>
      </c>
      <c r="AO521" s="989">
        <f>SUM(AO519:AO520)</f>
        <v>6312452.4699999997</v>
      </c>
      <c r="AP521" s="988">
        <f>SUM(AP519:AP520)</f>
        <v>6312452.4699999997</v>
      </c>
      <c r="AQ521" s="988">
        <f>SUM(AQ519:AQ520)</f>
        <v>7191410.4699999997</v>
      </c>
      <c r="AR521" s="988">
        <f>SUM(AR519:AR520)</f>
        <v>732</v>
      </c>
      <c r="AS521" s="988">
        <f>SUM(AS519:AS520)</f>
        <v>856320</v>
      </c>
      <c r="AT521" s="988">
        <f>SUM(AT519:AT520)+10</f>
        <v>1735288</v>
      </c>
      <c r="AU521" s="989">
        <f>+AQ521-AT521</f>
        <v>5456122.4699999997</v>
      </c>
    </row>
    <row r="522" spans="1:47" ht="15.75" thickBot="1" x14ac:dyDescent="0.3">
      <c r="AO522" s="841"/>
    </row>
    <row r="523" spans="1:47" ht="15.75" x14ac:dyDescent="0.25">
      <c r="A523" s="776" t="s">
        <v>670</v>
      </c>
      <c r="B523" s="943" t="s">
        <v>1368</v>
      </c>
      <c r="C523" s="778">
        <f t="shared" si="332"/>
        <v>0.23749999999999999</v>
      </c>
      <c r="D523" s="791">
        <v>4</v>
      </c>
      <c r="E523" s="779" t="s">
        <v>1182</v>
      </c>
      <c r="F523" s="845">
        <v>43191</v>
      </c>
      <c r="G523" s="991">
        <f>F523</f>
        <v>43191</v>
      </c>
      <c r="H523" s="781">
        <f t="shared" si="333"/>
        <v>44651</v>
      </c>
      <c r="I523" s="992">
        <v>150000</v>
      </c>
      <c r="J523" s="783">
        <f t="shared" ref="J523:J537" si="353">I523*5%</f>
        <v>7500</v>
      </c>
      <c r="L523" s="785">
        <v>0</v>
      </c>
      <c r="M523" s="786">
        <f t="shared" ref="M523:M530" si="354">I523</f>
        <v>150000</v>
      </c>
      <c r="N523" s="787">
        <f t="shared" ref="N523:N530" si="355">IF(AND(F523&gt;$K$3,F523&lt;$L$3),$L$3-F523+1,IF(H523&lt;=$K$3,0,IF(H523&gt;$L$3,$L$3-$K$3,H523-$K$3)))</f>
        <v>365</v>
      </c>
      <c r="O523" s="787">
        <f t="shared" ref="O523:O532" si="356">ROUND(M523*C523*N523/365,0)</f>
        <v>35625</v>
      </c>
      <c r="P523" s="786">
        <f t="shared" ref="P523:P532" si="357">O523</f>
        <v>35625</v>
      </c>
      <c r="Q523" s="788">
        <f t="shared" ref="Q523:Q532" si="358">+M523-P523</f>
        <v>114375</v>
      </c>
      <c r="R523" s="914">
        <f t="shared" ref="R523:R530" si="359">+Q523</f>
        <v>114375</v>
      </c>
      <c r="S523" s="790">
        <f t="shared" ref="S523:S530" si="360">I523</f>
        <v>150000</v>
      </c>
      <c r="T523" s="792">
        <f t="shared" ref="T523:T530" si="361">IF(AND(F523&gt;$L$3,F523&lt;$R$3),$R$3-F523+1,IF(H523&lt;=$L$3,0,IF(H523&gt;$R$3,$R$3-$L$3,H523-$L$3)))</f>
        <v>366</v>
      </c>
      <c r="U523" s="792">
        <f t="shared" ref="U523:U530" si="362">ROUND(S523*C523*T523/366,0)</f>
        <v>35625</v>
      </c>
      <c r="V523" s="790">
        <f t="shared" ref="V523:V530" si="363">+P523+U523</f>
        <v>71250</v>
      </c>
      <c r="W523" s="847">
        <f t="shared" ref="W523:W532" si="364">+S523-V523</f>
        <v>78750</v>
      </c>
      <c r="X523" s="846">
        <f t="shared" ref="X523:X530" si="365">W523</f>
        <v>78750</v>
      </c>
      <c r="Y523" s="783">
        <f t="shared" ref="Y523:Y530" si="366">I523</f>
        <v>150000</v>
      </c>
      <c r="Z523" s="783">
        <f t="shared" ref="Z523:Z530" si="367">IF(AND(F523&gt;$R$3,F523&lt;$X$3),$X$3-F523+1,IF(H523&lt;=$R$3,0,IF(H523&gt;$X$3,$X$3-$R$3,H523-$R$3)))</f>
        <v>365</v>
      </c>
      <c r="AA523" s="783">
        <f t="shared" ref="AA523:AA530" si="368">ROUND(Y523*C523*Z523/365,0)</f>
        <v>35625</v>
      </c>
      <c r="AB523" s="783">
        <f t="shared" ref="AB523:AB530" si="369">+V523+AA523</f>
        <v>106875</v>
      </c>
      <c r="AC523" s="848">
        <f t="shared" ref="AC523:AC530" si="370">Y523-AB523</f>
        <v>43125</v>
      </c>
      <c r="AD523" s="789">
        <f t="shared" ref="AD523:AD530" si="371">AC523</f>
        <v>43125</v>
      </c>
      <c r="AE523" s="790">
        <f t="shared" ref="AE523:AE530" si="372">I523</f>
        <v>150000</v>
      </c>
      <c r="AF523" s="791">
        <f t="shared" ref="AF523:AF530" si="373">IF(AND(F523&gt;$X$3,F523&lt;$AD$3),$AD$3-F523+1,IF(H523&lt;=$X$3,0,IF(H523&gt;$AD$3,$AD$3-$X$3,H523-$X$3)))</f>
        <v>365</v>
      </c>
      <c r="AG523" s="791">
        <f t="shared" ref="AG523:AG530" si="374">ROUND(AE523*C523*AF523/365,0)</f>
        <v>35625</v>
      </c>
      <c r="AH523" s="783">
        <f t="shared" ref="AH523:AH530" si="375">+AB523+AG523</f>
        <v>142500</v>
      </c>
      <c r="AI523" s="783">
        <f t="shared" ref="AI523:AI531" si="376">AE523-AH523</f>
        <v>7500</v>
      </c>
      <c r="AJ523" s="790">
        <f t="shared" si="341"/>
        <v>7500</v>
      </c>
      <c r="AK523" s="790">
        <f t="shared" ref="AK523:AK532" si="377">I523</f>
        <v>150000</v>
      </c>
      <c r="AL523" s="791">
        <f t="shared" ref="AL523:AL532" si="378">IF(AND(F523&gt;$AD$3,F523&lt;$AJ$3),$AJ$3-F523+1,IF(H523&lt;=$AD$3,0,IF(H523&gt;$AJ$3,$AJ$3-$AD$3,H523-$AD$3)))</f>
        <v>0</v>
      </c>
      <c r="AM523" s="791">
        <f t="shared" ref="AM523:AM532" si="379">ROUND(AK523*C523*AL523/365,0)</f>
        <v>0</v>
      </c>
      <c r="AN523" s="783">
        <f t="shared" ref="AN523:AN532" si="380">+AH523+AM523</f>
        <v>142500</v>
      </c>
      <c r="AO523" s="783">
        <f t="shared" ref="AO523:AO532" si="381">AK523-AN523</f>
        <v>7500</v>
      </c>
      <c r="AP523" s="790">
        <f t="shared" ref="AP523:AP537" si="382">+AO523</f>
        <v>7500</v>
      </c>
      <c r="AQ523" s="790">
        <f t="shared" ref="AQ523:AQ537" si="383">I523</f>
        <v>150000</v>
      </c>
      <c r="AR523" s="791">
        <f t="shared" ref="AR523:AR537" si="384">IF(AND(F523&gt;$AJ$3,F523&lt;$AP$3),$AP$3-F523+1,IF(H523&lt;=$AJ$3,0,IF(H523&gt;$AP$3,$AP$3-$AJ$3,H523-$AJ$3)))</f>
        <v>0</v>
      </c>
      <c r="AS523" s="791">
        <f t="shared" ref="AS523:AS537" si="385">ROUND(AQ523*C523*AR523/365,0)</f>
        <v>0</v>
      </c>
      <c r="AT523" s="790">
        <f t="shared" ref="AT523:AT537" si="386">+AN523+AS523</f>
        <v>142500</v>
      </c>
      <c r="AU523" s="790">
        <f t="shared" ref="AU523:AU537" si="387">+AQ523-AT523</f>
        <v>7500</v>
      </c>
    </row>
    <row r="524" spans="1:47" ht="15.75" x14ac:dyDescent="0.25">
      <c r="A524" s="776" t="s">
        <v>670</v>
      </c>
      <c r="B524" s="943" t="s">
        <v>1369</v>
      </c>
      <c r="C524" s="778">
        <f t="shared" si="332"/>
        <v>0.23749999999999999</v>
      </c>
      <c r="D524" s="791">
        <v>4</v>
      </c>
      <c r="E524" s="779" t="s">
        <v>1182</v>
      </c>
      <c r="F524" s="845">
        <v>43191</v>
      </c>
      <c r="G524" s="991">
        <f t="shared" ref="G524:G532" si="388">F524</f>
        <v>43191</v>
      </c>
      <c r="H524" s="781">
        <f t="shared" si="333"/>
        <v>44651</v>
      </c>
      <c r="I524" s="992">
        <v>54000</v>
      </c>
      <c r="J524" s="783">
        <f t="shared" si="353"/>
        <v>2700</v>
      </c>
      <c r="L524" s="846">
        <v>0</v>
      </c>
      <c r="M524" s="790">
        <f t="shared" si="354"/>
        <v>54000</v>
      </c>
      <c r="N524" s="791">
        <f t="shared" si="355"/>
        <v>365</v>
      </c>
      <c r="O524" s="791">
        <f t="shared" si="356"/>
        <v>12825</v>
      </c>
      <c r="P524" s="790">
        <f t="shared" si="357"/>
        <v>12825</v>
      </c>
      <c r="Q524" s="847">
        <f t="shared" si="358"/>
        <v>41175</v>
      </c>
      <c r="R524" s="914">
        <f t="shared" si="359"/>
        <v>41175</v>
      </c>
      <c r="S524" s="790">
        <f t="shared" si="360"/>
        <v>54000</v>
      </c>
      <c r="T524" s="792">
        <f t="shared" si="361"/>
        <v>366</v>
      </c>
      <c r="U524" s="792">
        <f t="shared" si="362"/>
        <v>12825</v>
      </c>
      <c r="V524" s="790">
        <f t="shared" si="363"/>
        <v>25650</v>
      </c>
      <c r="W524" s="847">
        <f t="shared" si="364"/>
        <v>28350</v>
      </c>
      <c r="X524" s="846">
        <f t="shared" si="365"/>
        <v>28350</v>
      </c>
      <c r="Y524" s="783">
        <f t="shared" si="366"/>
        <v>54000</v>
      </c>
      <c r="Z524" s="783">
        <f t="shared" si="367"/>
        <v>365</v>
      </c>
      <c r="AA524" s="783">
        <f t="shared" si="368"/>
        <v>12825</v>
      </c>
      <c r="AB524" s="783">
        <f t="shared" si="369"/>
        <v>38475</v>
      </c>
      <c r="AC524" s="848">
        <f t="shared" si="370"/>
        <v>15525</v>
      </c>
      <c r="AD524" s="789">
        <f t="shared" si="371"/>
        <v>15525</v>
      </c>
      <c r="AE524" s="790">
        <f t="shared" si="372"/>
        <v>54000</v>
      </c>
      <c r="AF524" s="791">
        <f t="shared" si="373"/>
        <v>365</v>
      </c>
      <c r="AG524" s="791">
        <f t="shared" si="374"/>
        <v>12825</v>
      </c>
      <c r="AH524" s="783">
        <f t="shared" si="375"/>
        <v>51300</v>
      </c>
      <c r="AI524" s="783">
        <f t="shared" si="376"/>
        <v>2700</v>
      </c>
      <c r="AJ524" s="790">
        <f t="shared" si="341"/>
        <v>2700</v>
      </c>
      <c r="AK524" s="790">
        <f t="shared" si="377"/>
        <v>54000</v>
      </c>
      <c r="AL524" s="791">
        <f t="shared" si="378"/>
        <v>0</v>
      </c>
      <c r="AM524" s="791">
        <f t="shared" si="379"/>
        <v>0</v>
      </c>
      <c r="AN524" s="783">
        <f t="shared" si="380"/>
        <v>51300</v>
      </c>
      <c r="AO524" s="783">
        <f t="shared" si="381"/>
        <v>2700</v>
      </c>
      <c r="AP524" s="790">
        <f t="shared" si="382"/>
        <v>2700</v>
      </c>
      <c r="AQ524" s="790">
        <f t="shared" si="383"/>
        <v>54000</v>
      </c>
      <c r="AR524" s="791">
        <f t="shared" si="384"/>
        <v>0</v>
      </c>
      <c r="AS524" s="791">
        <f t="shared" si="385"/>
        <v>0</v>
      </c>
      <c r="AT524" s="790">
        <f t="shared" si="386"/>
        <v>51300</v>
      </c>
      <c r="AU524" s="790">
        <f t="shared" si="387"/>
        <v>2700</v>
      </c>
    </row>
    <row r="525" spans="1:47" ht="15.75" x14ac:dyDescent="0.25">
      <c r="A525" s="776" t="s">
        <v>670</v>
      </c>
      <c r="B525" s="943" t="s">
        <v>1370</v>
      </c>
      <c r="C525" s="778">
        <f t="shared" si="332"/>
        <v>0.23749999999999999</v>
      </c>
      <c r="D525" s="791">
        <v>4</v>
      </c>
      <c r="E525" s="779" t="s">
        <v>1182</v>
      </c>
      <c r="F525" s="845">
        <v>43191</v>
      </c>
      <c r="G525" s="991">
        <f t="shared" si="388"/>
        <v>43191</v>
      </c>
      <c r="H525" s="781">
        <f t="shared" si="333"/>
        <v>44651</v>
      </c>
      <c r="I525" s="992">
        <v>696500</v>
      </c>
      <c r="J525" s="783">
        <f t="shared" si="353"/>
        <v>34825</v>
      </c>
      <c r="L525" s="846">
        <v>0</v>
      </c>
      <c r="M525" s="790">
        <f t="shared" si="354"/>
        <v>696500</v>
      </c>
      <c r="N525" s="791">
        <f t="shared" si="355"/>
        <v>365</v>
      </c>
      <c r="O525" s="791">
        <f t="shared" si="356"/>
        <v>165419</v>
      </c>
      <c r="P525" s="790">
        <f t="shared" si="357"/>
        <v>165419</v>
      </c>
      <c r="Q525" s="847">
        <f t="shared" si="358"/>
        <v>531081</v>
      </c>
      <c r="R525" s="914">
        <f t="shared" si="359"/>
        <v>531081</v>
      </c>
      <c r="S525" s="790">
        <f t="shared" si="360"/>
        <v>696500</v>
      </c>
      <c r="T525" s="792">
        <f t="shared" si="361"/>
        <v>366</v>
      </c>
      <c r="U525" s="792">
        <f t="shared" si="362"/>
        <v>165419</v>
      </c>
      <c r="V525" s="790">
        <f t="shared" si="363"/>
        <v>330838</v>
      </c>
      <c r="W525" s="847">
        <f t="shared" si="364"/>
        <v>365662</v>
      </c>
      <c r="X525" s="846">
        <f t="shared" si="365"/>
        <v>365662</v>
      </c>
      <c r="Y525" s="783">
        <f t="shared" si="366"/>
        <v>696500</v>
      </c>
      <c r="Z525" s="783">
        <f t="shared" si="367"/>
        <v>365</v>
      </c>
      <c r="AA525" s="783">
        <f t="shared" si="368"/>
        <v>165419</v>
      </c>
      <c r="AB525" s="783">
        <f t="shared" si="369"/>
        <v>496257</v>
      </c>
      <c r="AC525" s="848">
        <f t="shared" si="370"/>
        <v>200243</v>
      </c>
      <c r="AD525" s="789">
        <f t="shared" si="371"/>
        <v>200243</v>
      </c>
      <c r="AE525" s="790">
        <f t="shared" si="372"/>
        <v>696500</v>
      </c>
      <c r="AF525" s="791">
        <f t="shared" si="373"/>
        <v>365</v>
      </c>
      <c r="AG525" s="791">
        <f t="shared" si="374"/>
        <v>165419</v>
      </c>
      <c r="AH525" s="783">
        <f t="shared" si="375"/>
        <v>661676</v>
      </c>
      <c r="AI525" s="783">
        <f t="shared" si="376"/>
        <v>34824</v>
      </c>
      <c r="AJ525" s="790">
        <f t="shared" si="341"/>
        <v>34824</v>
      </c>
      <c r="AK525" s="790">
        <f t="shared" si="377"/>
        <v>696500</v>
      </c>
      <c r="AL525" s="791">
        <f t="shared" si="378"/>
        <v>0</v>
      </c>
      <c r="AM525" s="791">
        <f t="shared" si="379"/>
        <v>0</v>
      </c>
      <c r="AN525" s="783">
        <f t="shared" si="380"/>
        <v>661676</v>
      </c>
      <c r="AO525" s="783">
        <f t="shared" si="381"/>
        <v>34824</v>
      </c>
      <c r="AP525" s="790">
        <f t="shared" si="382"/>
        <v>34824</v>
      </c>
      <c r="AQ525" s="790">
        <f t="shared" si="383"/>
        <v>696500</v>
      </c>
      <c r="AR525" s="791">
        <f t="shared" si="384"/>
        <v>0</v>
      </c>
      <c r="AS525" s="791">
        <f t="shared" si="385"/>
        <v>0</v>
      </c>
      <c r="AT525" s="790">
        <f t="shared" si="386"/>
        <v>661676</v>
      </c>
      <c r="AU525" s="790">
        <f t="shared" si="387"/>
        <v>34824</v>
      </c>
    </row>
    <row r="526" spans="1:47" ht="15.75" x14ac:dyDescent="0.25">
      <c r="A526" s="776" t="s">
        <v>670</v>
      </c>
      <c r="B526" s="943" t="s">
        <v>331</v>
      </c>
      <c r="C526" s="778">
        <f t="shared" si="332"/>
        <v>0.23749999999999999</v>
      </c>
      <c r="D526" s="791">
        <v>4</v>
      </c>
      <c r="E526" s="779" t="s">
        <v>1182</v>
      </c>
      <c r="F526" s="845">
        <v>43398</v>
      </c>
      <c r="G526" s="991">
        <f t="shared" si="388"/>
        <v>43398</v>
      </c>
      <c r="H526" s="781">
        <f t="shared" si="333"/>
        <v>44858</v>
      </c>
      <c r="I526" s="992">
        <v>250000</v>
      </c>
      <c r="J526" s="783">
        <f t="shared" si="353"/>
        <v>12500</v>
      </c>
      <c r="L526" s="846">
        <v>0</v>
      </c>
      <c r="M526" s="790">
        <f t="shared" si="354"/>
        <v>250000</v>
      </c>
      <c r="N526" s="791">
        <f t="shared" si="355"/>
        <v>158</v>
      </c>
      <c r="O526" s="791">
        <f t="shared" si="356"/>
        <v>25702</v>
      </c>
      <c r="P526" s="790">
        <f t="shared" si="357"/>
        <v>25702</v>
      </c>
      <c r="Q526" s="847">
        <f t="shared" si="358"/>
        <v>224298</v>
      </c>
      <c r="R526" s="914">
        <f t="shared" si="359"/>
        <v>224298</v>
      </c>
      <c r="S526" s="790">
        <f t="shared" si="360"/>
        <v>250000</v>
      </c>
      <c r="T526" s="792">
        <f t="shared" si="361"/>
        <v>366</v>
      </c>
      <c r="U526" s="792">
        <f t="shared" si="362"/>
        <v>59375</v>
      </c>
      <c r="V526" s="790">
        <f t="shared" si="363"/>
        <v>85077</v>
      </c>
      <c r="W526" s="847">
        <f t="shared" si="364"/>
        <v>164923</v>
      </c>
      <c r="X526" s="846">
        <f t="shared" si="365"/>
        <v>164923</v>
      </c>
      <c r="Y526" s="783">
        <f t="shared" si="366"/>
        <v>250000</v>
      </c>
      <c r="Z526" s="783">
        <f t="shared" si="367"/>
        <v>365</v>
      </c>
      <c r="AA526" s="783">
        <f t="shared" si="368"/>
        <v>59375</v>
      </c>
      <c r="AB526" s="783">
        <f t="shared" si="369"/>
        <v>144452</v>
      </c>
      <c r="AC526" s="848">
        <f t="shared" si="370"/>
        <v>105548</v>
      </c>
      <c r="AD526" s="789">
        <f t="shared" si="371"/>
        <v>105548</v>
      </c>
      <c r="AE526" s="790">
        <f t="shared" si="372"/>
        <v>250000</v>
      </c>
      <c r="AF526" s="791">
        <f t="shared" si="373"/>
        <v>365</v>
      </c>
      <c r="AG526" s="791">
        <f t="shared" si="374"/>
        <v>59375</v>
      </c>
      <c r="AH526" s="783">
        <f t="shared" si="375"/>
        <v>203827</v>
      </c>
      <c r="AI526" s="783">
        <f t="shared" si="376"/>
        <v>46173</v>
      </c>
      <c r="AJ526" s="790">
        <f t="shared" si="341"/>
        <v>46173</v>
      </c>
      <c r="AK526" s="790">
        <f t="shared" si="377"/>
        <v>250000</v>
      </c>
      <c r="AL526" s="791">
        <f t="shared" si="378"/>
        <v>207</v>
      </c>
      <c r="AM526" s="993">
        <f t="shared" si="379"/>
        <v>33673</v>
      </c>
      <c r="AN526" s="783">
        <f t="shared" si="380"/>
        <v>237500</v>
      </c>
      <c r="AO526" s="783">
        <f t="shared" si="381"/>
        <v>12500</v>
      </c>
      <c r="AP526" s="790">
        <f t="shared" si="382"/>
        <v>12500</v>
      </c>
      <c r="AQ526" s="790">
        <f t="shared" si="383"/>
        <v>250000</v>
      </c>
      <c r="AR526" s="791">
        <f t="shared" si="384"/>
        <v>0</v>
      </c>
      <c r="AS526" s="791">
        <f t="shared" si="385"/>
        <v>0</v>
      </c>
      <c r="AT526" s="790">
        <f t="shared" si="386"/>
        <v>237500</v>
      </c>
      <c r="AU526" s="790">
        <f t="shared" si="387"/>
        <v>12500</v>
      </c>
    </row>
    <row r="527" spans="1:47" ht="15.75" x14ac:dyDescent="0.25">
      <c r="A527" s="776" t="s">
        <v>670</v>
      </c>
      <c r="B527" s="943" t="s">
        <v>331</v>
      </c>
      <c r="C527" s="778">
        <f t="shared" si="332"/>
        <v>0.23749999999999999</v>
      </c>
      <c r="D527" s="791">
        <v>4</v>
      </c>
      <c r="E527" s="779" t="s">
        <v>1182</v>
      </c>
      <c r="F527" s="845">
        <v>43531</v>
      </c>
      <c r="G527" s="991">
        <f t="shared" si="388"/>
        <v>43531</v>
      </c>
      <c r="H527" s="781">
        <f t="shared" si="333"/>
        <v>44991</v>
      </c>
      <c r="I527" s="992">
        <v>150000</v>
      </c>
      <c r="J527" s="783">
        <f t="shared" si="353"/>
        <v>7500</v>
      </c>
      <c r="L527" s="846">
        <v>0</v>
      </c>
      <c r="M527" s="790">
        <f t="shared" si="354"/>
        <v>150000</v>
      </c>
      <c r="N527" s="791">
        <f t="shared" si="355"/>
        <v>25</v>
      </c>
      <c r="O527" s="791">
        <f t="shared" si="356"/>
        <v>2440</v>
      </c>
      <c r="P527" s="790">
        <f t="shared" si="357"/>
        <v>2440</v>
      </c>
      <c r="Q527" s="847">
        <f t="shared" si="358"/>
        <v>147560</v>
      </c>
      <c r="R527" s="914">
        <f t="shared" si="359"/>
        <v>147560</v>
      </c>
      <c r="S527" s="790">
        <f t="shared" si="360"/>
        <v>150000</v>
      </c>
      <c r="T527" s="792">
        <f t="shared" si="361"/>
        <v>366</v>
      </c>
      <c r="U527" s="792">
        <f t="shared" si="362"/>
        <v>35625</v>
      </c>
      <c r="V527" s="790">
        <f t="shared" si="363"/>
        <v>38065</v>
      </c>
      <c r="W527" s="847">
        <f t="shared" si="364"/>
        <v>111935</v>
      </c>
      <c r="X527" s="846">
        <f t="shared" si="365"/>
        <v>111935</v>
      </c>
      <c r="Y527" s="783">
        <f t="shared" si="366"/>
        <v>150000</v>
      </c>
      <c r="Z527" s="783">
        <f t="shared" si="367"/>
        <v>365</v>
      </c>
      <c r="AA527" s="783">
        <f t="shared" si="368"/>
        <v>35625</v>
      </c>
      <c r="AB527" s="783">
        <f t="shared" si="369"/>
        <v>73690</v>
      </c>
      <c r="AC527" s="848">
        <f t="shared" si="370"/>
        <v>76310</v>
      </c>
      <c r="AD527" s="789">
        <f t="shared" si="371"/>
        <v>76310</v>
      </c>
      <c r="AE527" s="790">
        <f t="shared" si="372"/>
        <v>150000</v>
      </c>
      <c r="AF527" s="791">
        <f t="shared" si="373"/>
        <v>365</v>
      </c>
      <c r="AG527" s="791">
        <f t="shared" si="374"/>
        <v>35625</v>
      </c>
      <c r="AH527" s="783">
        <f t="shared" si="375"/>
        <v>109315</v>
      </c>
      <c r="AI527" s="783">
        <f t="shared" si="376"/>
        <v>40685</v>
      </c>
      <c r="AJ527" s="790">
        <f t="shared" si="341"/>
        <v>40685</v>
      </c>
      <c r="AK527" s="790">
        <f t="shared" si="377"/>
        <v>150000</v>
      </c>
      <c r="AL527" s="791">
        <f t="shared" si="378"/>
        <v>340</v>
      </c>
      <c r="AM527" s="993">
        <f t="shared" si="379"/>
        <v>33185</v>
      </c>
      <c r="AN527" s="783">
        <f t="shared" si="380"/>
        <v>142500</v>
      </c>
      <c r="AO527" s="783">
        <f t="shared" si="381"/>
        <v>7500</v>
      </c>
      <c r="AP527" s="790">
        <f t="shared" si="382"/>
        <v>7500</v>
      </c>
      <c r="AQ527" s="790">
        <f t="shared" si="383"/>
        <v>150000</v>
      </c>
      <c r="AR527" s="791">
        <f t="shared" si="384"/>
        <v>0</v>
      </c>
      <c r="AS527" s="791">
        <f t="shared" si="385"/>
        <v>0</v>
      </c>
      <c r="AT527" s="790">
        <f t="shared" si="386"/>
        <v>142500</v>
      </c>
      <c r="AU527" s="790">
        <f t="shared" si="387"/>
        <v>7500</v>
      </c>
    </row>
    <row r="528" spans="1:47" ht="15.75" x14ac:dyDescent="0.25">
      <c r="A528" s="776" t="s">
        <v>670</v>
      </c>
      <c r="B528" s="943" t="s">
        <v>331</v>
      </c>
      <c r="C528" s="778">
        <f t="shared" si="332"/>
        <v>0.23749999999999999</v>
      </c>
      <c r="D528" s="791">
        <v>4</v>
      </c>
      <c r="E528" s="779" t="s">
        <v>1182</v>
      </c>
      <c r="F528" s="845">
        <v>43549</v>
      </c>
      <c r="G528" s="991">
        <f t="shared" si="388"/>
        <v>43549</v>
      </c>
      <c r="H528" s="781">
        <f t="shared" si="333"/>
        <v>45009</v>
      </c>
      <c r="I528" s="992">
        <v>150000</v>
      </c>
      <c r="J528" s="783">
        <f t="shared" si="353"/>
        <v>7500</v>
      </c>
      <c r="L528" s="846">
        <v>0</v>
      </c>
      <c r="M528" s="790">
        <f t="shared" si="354"/>
        <v>150000</v>
      </c>
      <c r="N528" s="791">
        <f t="shared" si="355"/>
        <v>7</v>
      </c>
      <c r="O528" s="791">
        <f t="shared" si="356"/>
        <v>683</v>
      </c>
      <c r="P528" s="790">
        <f t="shared" si="357"/>
        <v>683</v>
      </c>
      <c r="Q528" s="847">
        <f t="shared" si="358"/>
        <v>149317</v>
      </c>
      <c r="R528" s="914">
        <f t="shared" si="359"/>
        <v>149317</v>
      </c>
      <c r="S528" s="790">
        <f t="shared" si="360"/>
        <v>150000</v>
      </c>
      <c r="T528" s="792">
        <f t="shared" si="361"/>
        <v>366</v>
      </c>
      <c r="U528" s="792">
        <f t="shared" si="362"/>
        <v>35625</v>
      </c>
      <c r="V528" s="790">
        <f t="shared" si="363"/>
        <v>36308</v>
      </c>
      <c r="W528" s="847">
        <f t="shared" si="364"/>
        <v>113692</v>
      </c>
      <c r="X528" s="846">
        <f t="shared" si="365"/>
        <v>113692</v>
      </c>
      <c r="Y528" s="783">
        <f t="shared" si="366"/>
        <v>150000</v>
      </c>
      <c r="Z528" s="783">
        <f t="shared" si="367"/>
        <v>365</v>
      </c>
      <c r="AA528" s="783">
        <f t="shared" si="368"/>
        <v>35625</v>
      </c>
      <c r="AB528" s="783">
        <f t="shared" si="369"/>
        <v>71933</v>
      </c>
      <c r="AC528" s="848">
        <f t="shared" si="370"/>
        <v>78067</v>
      </c>
      <c r="AD528" s="789">
        <f t="shared" si="371"/>
        <v>78067</v>
      </c>
      <c r="AE528" s="790">
        <f t="shared" si="372"/>
        <v>150000</v>
      </c>
      <c r="AF528" s="791">
        <f t="shared" si="373"/>
        <v>365</v>
      </c>
      <c r="AG528" s="791">
        <f t="shared" si="374"/>
        <v>35625</v>
      </c>
      <c r="AH528" s="783">
        <f t="shared" si="375"/>
        <v>107558</v>
      </c>
      <c r="AI528" s="783">
        <f t="shared" si="376"/>
        <v>42442</v>
      </c>
      <c r="AJ528" s="790">
        <f t="shared" si="341"/>
        <v>42442</v>
      </c>
      <c r="AK528" s="790">
        <f t="shared" si="377"/>
        <v>150000</v>
      </c>
      <c r="AL528" s="791">
        <f t="shared" si="378"/>
        <v>358</v>
      </c>
      <c r="AM528" s="993">
        <f t="shared" si="379"/>
        <v>34942</v>
      </c>
      <c r="AN528" s="783">
        <f t="shared" si="380"/>
        <v>142500</v>
      </c>
      <c r="AO528" s="783">
        <f t="shared" si="381"/>
        <v>7500</v>
      </c>
      <c r="AP528" s="790">
        <f t="shared" si="382"/>
        <v>7500</v>
      </c>
      <c r="AQ528" s="790">
        <f t="shared" si="383"/>
        <v>150000</v>
      </c>
      <c r="AR528" s="791">
        <f t="shared" si="384"/>
        <v>0</v>
      </c>
      <c r="AS528" s="791">
        <f t="shared" si="385"/>
        <v>0</v>
      </c>
      <c r="AT528" s="790">
        <f t="shared" si="386"/>
        <v>142500</v>
      </c>
      <c r="AU528" s="790">
        <f t="shared" si="387"/>
        <v>7500</v>
      </c>
    </row>
    <row r="529" spans="1:47" ht="15.75" x14ac:dyDescent="0.25">
      <c r="A529" s="776" t="s">
        <v>670</v>
      </c>
      <c r="B529" s="943" t="s">
        <v>1371</v>
      </c>
      <c r="C529" s="778">
        <f t="shared" si="332"/>
        <v>0.23749999999999999</v>
      </c>
      <c r="D529" s="791">
        <v>4</v>
      </c>
      <c r="E529" s="779" t="s">
        <v>1182</v>
      </c>
      <c r="F529" s="845">
        <v>43269</v>
      </c>
      <c r="G529" s="991">
        <f t="shared" si="388"/>
        <v>43269</v>
      </c>
      <c r="H529" s="781">
        <f t="shared" si="333"/>
        <v>44729</v>
      </c>
      <c r="I529" s="992">
        <v>228198</v>
      </c>
      <c r="J529" s="783">
        <f t="shared" si="353"/>
        <v>11409.900000000001</v>
      </c>
      <c r="L529" s="846">
        <v>0</v>
      </c>
      <c r="M529" s="790">
        <f t="shared" si="354"/>
        <v>228198</v>
      </c>
      <c r="N529" s="791">
        <f t="shared" si="355"/>
        <v>287</v>
      </c>
      <c r="O529" s="791">
        <f t="shared" si="356"/>
        <v>42615</v>
      </c>
      <c r="P529" s="790">
        <f t="shared" si="357"/>
        <v>42615</v>
      </c>
      <c r="Q529" s="847">
        <f t="shared" si="358"/>
        <v>185583</v>
      </c>
      <c r="R529" s="914">
        <f t="shared" si="359"/>
        <v>185583</v>
      </c>
      <c r="S529" s="790">
        <f t="shared" si="360"/>
        <v>228198</v>
      </c>
      <c r="T529" s="792">
        <f t="shared" si="361"/>
        <v>366</v>
      </c>
      <c r="U529" s="792">
        <f t="shared" si="362"/>
        <v>54197</v>
      </c>
      <c r="V529" s="790">
        <f t="shared" si="363"/>
        <v>96812</v>
      </c>
      <c r="W529" s="847">
        <f t="shared" si="364"/>
        <v>131386</v>
      </c>
      <c r="X529" s="846">
        <f t="shared" si="365"/>
        <v>131386</v>
      </c>
      <c r="Y529" s="783">
        <f t="shared" si="366"/>
        <v>228198</v>
      </c>
      <c r="Z529" s="783">
        <f t="shared" si="367"/>
        <v>365</v>
      </c>
      <c r="AA529" s="783">
        <f t="shared" si="368"/>
        <v>54197</v>
      </c>
      <c r="AB529" s="783">
        <f t="shared" si="369"/>
        <v>151009</v>
      </c>
      <c r="AC529" s="848">
        <f t="shared" si="370"/>
        <v>77189</v>
      </c>
      <c r="AD529" s="789">
        <f t="shared" si="371"/>
        <v>77189</v>
      </c>
      <c r="AE529" s="790">
        <f t="shared" si="372"/>
        <v>228198</v>
      </c>
      <c r="AF529" s="791">
        <f t="shared" si="373"/>
        <v>365</v>
      </c>
      <c r="AG529" s="791">
        <f t="shared" si="374"/>
        <v>54197</v>
      </c>
      <c r="AH529" s="783">
        <f t="shared" si="375"/>
        <v>205206</v>
      </c>
      <c r="AI529" s="783">
        <f t="shared" si="376"/>
        <v>22992</v>
      </c>
      <c r="AJ529" s="790">
        <f t="shared" si="341"/>
        <v>22992</v>
      </c>
      <c r="AK529" s="790">
        <f t="shared" si="377"/>
        <v>228198</v>
      </c>
      <c r="AL529" s="791">
        <f t="shared" si="378"/>
        <v>78</v>
      </c>
      <c r="AM529" s="993">
        <f t="shared" si="379"/>
        <v>11582</v>
      </c>
      <c r="AN529" s="783">
        <f t="shared" si="380"/>
        <v>216788</v>
      </c>
      <c r="AO529" s="783">
        <f t="shared" si="381"/>
        <v>11410</v>
      </c>
      <c r="AP529" s="790">
        <f t="shared" si="382"/>
        <v>11410</v>
      </c>
      <c r="AQ529" s="790">
        <f t="shared" si="383"/>
        <v>228198</v>
      </c>
      <c r="AR529" s="791">
        <f t="shared" si="384"/>
        <v>0</v>
      </c>
      <c r="AS529" s="791">
        <f t="shared" si="385"/>
        <v>0</v>
      </c>
      <c r="AT529" s="790">
        <f t="shared" si="386"/>
        <v>216788</v>
      </c>
      <c r="AU529" s="790">
        <f t="shared" si="387"/>
        <v>11410</v>
      </c>
    </row>
    <row r="530" spans="1:47" ht="15.75" x14ac:dyDescent="0.25">
      <c r="A530" s="776" t="s">
        <v>670</v>
      </c>
      <c r="B530" s="943" t="s">
        <v>1372</v>
      </c>
      <c r="C530" s="778">
        <f t="shared" si="332"/>
        <v>0.23749999999999999</v>
      </c>
      <c r="D530" s="791">
        <v>4</v>
      </c>
      <c r="E530" s="779" t="s">
        <v>1182</v>
      </c>
      <c r="F530" s="845">
        <v>43308</v>
      </c>
      <c r="G530" s="991">
        <f t="shared" si="388"/>
        <v>43308</v>
      </c>
      <c r="H530" s="781">
        <f t="shared" si="333"/>
        <v>44768</v>
      </c>
      <c r="I530" s="992">
        <v>108000</v>
      </c>
      <c r="J530" s="783">
        <f t="shared" si="353"/>
        <v>5400</v>
      </c>
      <c r="L530" s="849">
        <v>0</v>
      </c>
      <c r="M530" s="808">
        <f t="shared" si="354"/>
        <v>108000</v>
      </c>
      <c r="N530" s="809">
        <f t="shared" si="355"/>
        <v>248</v>
      </c>
      <c r="O530" s="809">
        <f t="shared" si="356"/>
        <v>17428</v>
      </c>
      <c r="P530" s="808">
        <f t="shared" si="357"/>
        <v>17428</v>
      </c>
      <c r="Q530" s="850">
        <f t="shared" si="358"/>
        <v>90572</v>
      </c>
      <c r="R530" s="916">
        <f t="shared" si="359"/>
        <v>90572</v>
      </c>
      <c r="S530" s="808">
        <f t="shared" si="360"/>
        <v>108000</v>
      </c>
      <c r="T530" s="917">
        <f t="shared" si="361"/>
        <v>366</v>
      </c>
      <c r="U530" s="917">
        <f t="shared" si="362"/>
        <v>25650</v>
      </c>
      <c r="V530" s="808">
        <f t="shared" si="363"/>
        <v>43078</v>
      </c>
      <c r="W530" s="850">
        <f t="shared" si="364"/>
        <v>64922</v>
      </c>
      <c r="X530" s="849">
        <f t="shared" si="365"/>
        <v>64922</v>
      </c>
      <c r="Y530" s="812">
        <f t="shared" si="366"/>
        <v>108000</v>
      </c>
      <c r="Z530" s="812">
        <f t="shared" si="367"/>
        <v>365</v>
      </c>
      <c r="AA530" s="812">
        <f t="shared" si="368"/>
        <v>25650</v>
      </c>
      <c r="AB530" s="812">
        <f t="shared" si="369"/>
        <v>68728</v>
      </c>
      <c r="AC530" s="851">
        <f t="shared" si="370"/>
        <v>39272</v>
      </c>
      <c r="AD530" s="807">
        <f t="shared" si="371"/>
        <v>39272</v>
      </c>
      <c r="AE530" s="808">
        <f t="shared" si="372"/>
        <v>108000</v>
      </c>
      <c r="AF530" s="809">
        <f t="shared" si="373"/>
        <v>365</v>
      </c>
      <c r="AG530" s="809">
        <f t="shared" si="374"/>
        <v>25650</v>
      </c>
      <c r="AH530" s="812">
        <f t="shared" si="375"/>
        <v>94378</v>
      </c>
      <c r="AI530" s="812">
        <f t="shared" si="376"/>
        <v>13622</v>
      </c>
      <c r="AJ530" s="808">
        <f t="shared" si="341"/>
        <v>13622</v>
      </c>
      <c r="AK530" s="808">
        <f t="shared" si="377"/>
        <v>108000</v>
      </c>
      <c r="AL530" s="809">
        <f t="shared" si="378"/>
        <v>117</v>
      </c>
      <c r="AM530" s="994">
        <f t="shared" si="379"/>
        <v>8222</v>
      </c>
      <c r="AN530" s="812">
        <f t="shared" si="380"/>
        <v>102600</v>
      </c>
      <c r="AO530" s="812">
        <f t="shared" si="381"/>
        <v>5400</v>
      </c>
      <c r="AP530" s="790">
        <f t="shared" si="382"/>
        <v>5400</v>
      </c>
      <c r="AQ530" s="790">
        <f t="shared" si="383"/>
        <v>108000</v>
      </c>
      <c r="AR530" s="791">
        <f t="shared" si="384"/>
        <v>0</v>
      </c>
      <c r="AS530" s="791">
        <f t="shared" si="385"/>
        <v>0</v>
      </c>
      <c r="AT530" s="790">
        <f t="shared" si="386"/>
        <v>102600</v>
      </c>
      <c r="AU530" s="790">
        <f t="shared" si="387"/>
        <v>5400</v>
      </c>
    </row>
    <row r="531" spans="1:47" ht="15.75" x14ac:dyDescent="0.25">
      <c r="A531" s="776" t="s">
        <v>670</v>
      </c>
      <c r="B531" s="852" t="s">
        <v>331</v>
      </c>
      <c r="C531" s="778">
        <f t="shared" si="332"/>
        <v>0.23749999999999999</v>
      </c>
      <c r="D531" s="791">
        <v>4</v>
      </c>
      <c r="E531" s="844" t="s">
        <v>677</v>
      </c>
      <c r="F531" s="853">
        <v>44676</v>
      </c>
      <c r="G531" s="991">
        <f t="shared" si="388"/>
        <v>44676</v>
      </c>
      <c r="H531" s="781">
        <f t="shared" si="333"/>
        <v>46136</v>
      </c>
      <c r="I531" s="897">
        <v>85000</v>
      </c>
      <c r="J531" s="783">
        <f t="shared" si="353"/>
        <v>4250</v>
      </c>
      <c r="L531" s="790">
        <v>0</v>
      </c>
      <c r="M531" s="790"/>
      <c r="N531" s="790">
        <v>0</v>
      </c>
      <c r="O531" s="791">
        <f t="shared" si="356"/>
        <v>0</v>
      </c>
      <c r="P531" s="790">
        <f t="shared" si="357"/>
        <v>0</v>
      </c>
      <c r="Q531" s="790">
        <f t="shared" si="358"/>
        <v>0</v>
      </c>
      <c r="R531" s="790">
        <v>0</v>
      </c>
      <c r="S531" s="790">
        <v>0</v>
      </c>
      <c r="T531" s="790">
        <v>0</v>
      </c>
      <c r="U531" s="791">
        <f t="shared" ref="U531:U532" si="389">ROUND(S531*J531*T531/365,0)</f>
        <v>0</v>
      </c>
      <c r="V531" s="790">
        <f t="shared" ref="V531:V532" si="390">U531</f>
        <v>0</v>
      </c>
      <c r="W531" s="790">
        <f t="shared" si="364"/>
        <v>0</v>
      </c>
      <c r="X531" s="790">
        <v>0</v>
      </c>
      <c r="Y531" s="790">
        <v>0</v>
      </c>
      <c r="Z531" s="790">
        <v>0</v>
      </c>
      <c r="AA531" s="791">
        <f t="shared" ref="AA531:AA532" si="391">ROUND(Y531*P531*Z531/365,0)</f>
        <v>0</v>
      </c>
      <c r="AB531" s="790">
        <f t="shared" ref="AB531:AB532" si="392">AA531</f>
        <v>0</v>
      </c>
      <c r="AC531" s="790">
        <f t="shared" ref="AC531:AC532" si="393">+Y531-AB531</f>
        <v>0</v>
      </c>
      <c r="AD531" s="790">
        <v>0</v>
      </c>
      <c r="AE531" s="790">
        <v>0</v>
      </c>
      <c r="AF531" s="790">
        <v>0</v>
      </c>
      <c r="AG531" s="791">
        <f t="shared" ref="AG531:AG532" si="394">ROUND(AE531*V531*AF531/365,0)</f>
        <v>0</v>
      </c>
      <c r="AH531" s="790">
        <f t="shared" ref="AH531:AH532" si="395">AG531</f>
        <v>0</v>
      </c>
      <c r="AI531" s="783">
        <f t="shared" si="376"/>
        <v>0</v>
      </c>
      <c r="AJ531" s="790">
        <f t="shared" si="341"/>
        <v>0</v>
      </c>
      <c r="AK531" s="790">
        <f t="shared" si="377"/>
        <v>85000</v>
      </c>
      <c r="AL531" s="791">
        <f t="shared" si="378"/>
        <v>341</v>
      </c>
      <c r="AM531" s="993">
        <f t="shared" si="379"/>
        <v>18860</v>
      </c>
      <c r="AN531" s="783">
        <f t="shared" si="380"/>
        <v>18860</v>
      </c>
      <c r="AO531" s="783">
        <f t="shared" si="381"/>
        <v>66140</v>
      </c>
      <c r="AP531" s="790">
        <f t="shared" si="382"/>
        <v>66140</v>
      </c>
      <c r="AQ531" s="790">
        <f t="shared" si="383"/>
        <v>85000</v>
      </c>
      <c r="AR531" s="791">
        <f t="shared" si="384"/>
        <v>366</v>
      </c>
      <c r="AS531" s="791">
        <f t="shared" si="385"/>
        <v>20243</v>
      </c>
      <c r="AT531" s="790">
        <f t="shared" si="386"/>
        <v>39103</v>
      </c>
      <c r="AU531" s="790">
        <f t="shared" si="387"/>
        <v>45897</v>
      </c>
    </row>
    <row r="532" spans="1:47" ht="15.75" x14ac:dyDescent="0.25">
      <c r="A532" s="982" t="s">
        <v>670</v>
      </c>
      <c r="B532" s="899" t="s">
        <v>1373</v>
      </c>
      <c r="C532" s="826">
        <f t="shared" si="332"/>
        <v>0.23749999999999999</v>
      </c>
      <c r="D532" s="809">
        <v>4</v>
      </c>
      <c r="E532" s="858" t="s">
        <v>677</v>
      </c>
      <c r="F532" s="859">
        <v>44880</v>
      </c>
      <c r="G532" s="995">
        <f t="shared" si="388"/>
        <v>44880</v>
      </c>
      <c r="H532" s="828">
        <f t="shared" si="333"/>
        <v>46340</v>
      </c>
      <c r="I532" s="900">
        <v>237500</v>
      </c>
      <c r="J532" s="812">
        <f t="shared" si="353"/>
        <v>11875</v>
      </c>
      <c r="L532" s="808">
        <v>0</v>
      </c>
      <c r="M532" s="808"/>
      <c r="N532" s="808">
        <v>0</v>
      </c>
      <c r="O532" s="809">
        <f t="shared" si="356"/>
        <v>0</v>
      </c>
      <c r="P532" s="808">
        <f t="shared" si="357"/>
        <v>0</v>
      </c>
      <c r="Q532" s="808">
        <f t="shared" si="358"/>
        <v>0</v>
      </c>
      <c r="R532" s="808">
        <v>0</v>
      </c>
      <c r="S532" s="808">
        <v>0</v>
      </c>
      <c r="T532" s="808">
        <v>0</v>
      </c>
      <c r="U532" s="809">
        <f t="shared" si="389"/>
        <v>0</v>
      </c>
      <c r="V532" s="808">
        <f t="shared" si="390"/>
        <v>0</v>
      </c>
      <c r="W532" s="808">
        <f t="shared" si="364"/>
        <v>0</v>
      </c>
      <c r="X532" s="808">
        <v>0</v>
      </c>
      <c r="Y532" s="808">
        <v>0</v>
      </c>
      <c r="Z532" s="808">
        <v>0</v>
      </c>
      <c r="AA532" s="809">
        <f t="shared" si="391"/>
        <v>0</v>
      </c>
      <c r="AB532" s="808">
        <f t="shared" si="392"/>
        <v>0</v>
      </c>
      <c r="AC532" s="808">
        <f t="shared" si="393"/>
        <v>0</v>
      </c>
      <c r="AD532" s="808">
        <v>0</v>
      </c>
      <c r="AE532" s="808">
        <v>0</v>
      </c>
      <c r="AF532" s="808">
        <v>0</v>
      </c>
      <c r="AG532" s="809">
        <f t="shared" si="394"/>
        <v>0</v>
      </c>
      <c r="AH532" s="808">
        <f t="shared" si="395"/>
        <v>0</v>
      </c>
      <c r="AI532" s="808">
        <f t="shared" ref="AI532" si="396">+AE532-AH532</f>
        <v>0</v>
      </c>
      <c r="AJ532" s="808">
        <f t="shared" si="341"/>
        <v>0</v>
      </c>
      <c r="AK532" s="808">
        <f t="shared" si="377"/>
        <v>237500</v>
      </c>
      <c r="AL532" s="809">
        <f t="shared" si="378"/>
        <v>137</v>
      </c>
      <c r="AM532" s="994">
        <f t="shared" si="379"/>
        <v>21172</v>
      </c>
      <c r="AN532" s="812">
        <f t="shared" si="380"/>
        <v>21172</v>
      </c>
      <c r="AO532" s="812">
        <f t="shared" si="381"/>
        <v>216328</v>
      </c>
      <c r="AP532" s="790">
        <f t="shared" si="382"/>
        <v>216328</v>
      </c>
      <c r="AQ532" s="790">
        <f t="shared" si="383"/>
        <v>237500</v>
      </c>
      <c r="AR532" s="791">
        <f t="shared" si="384"/>
        <v>366</v>
      </c>
      <c r="AS532" s="791">
        <f t="shared" si="385"/>
        <v>56561</v>
      </c>
      <c r="AT532" s="790">
        <f t="shared" si="386"/>
        <v>77733</v>
      </c>
      <c r="AU532" s="790">
        <f t="shared" si="387"/>
        <v>159767</v>
      </c>
    </row>
    <row r="533" spans="1:47" x14ac:dyDescent="0.25">
      <c r="A533" s="824" t="s">
        <v>670</v>
      </c>
      <c r="B533" s="863" t="s">
        <v>1374</v>
      </c>
      <c r="C533" s="826">
        <f t="shared" si="332"/>
        <v>0.23749999999999999</v>
      </c>
      <c r="D533" s="809">
        <v>4</v>
      </c>
      <c r="E533" s="858" t="s">
        <v>884</v>
      </c>
      <c r="F533" s="862">
        <v>45138</v>
      </c>
      <c r="G533" s="862">
        <v>45138</v>
      </c>
      <c r="H533" s="828">
        <f t="shared" si="333"/>
        <v>46598</v>
      </c>
      <c r="I533" s="901">
        <v>108700</v>
      </c>
      <c r="J533" s="812">
        <f t="shared" si="353"/>
        <v>5435</v>
      </c>
      <c r="L533" s="790"/>
      <c r="M533" s="790"/>
      <c r="N533" s="790"/>
      <c r="O533" s="791"/>
      <c r="P533" s="790"/>
      <c r="Q533" s="790"/>
      <c r="R533" s="790"/>
      <c r="S533" s="790"/>
      <c r="T533" s="790"/>
      <c r="U533" s="791"/>
      <c r="V533" s="790"/>
      <c r="W533" s="790"/>
      <c r="X533" s="790"/>
      <c r="Y533" s="790"/>
      <c r="Z533" s="790"/>
      <c r="AA533" s="791"/>
      <c r="AB533" s="790"/>
      <c r="AC533" s="790"/>
      <c r="AD533" s="790"/>
      <c r="AE533" s="790"/>
      <c r="AF533" s="790"/>
      <c r="AG533" s="791"/>
      <c r="AH533" s="790"/>
      <c r="AI533" s="790"/>
      <c r="AJ533" s="790"/>
      <c r="AK533" s="790"/>
      <c r="AL533" s="791"/>
      <c r="AM533" s="993"/>
      <c r="AN533" s="783"/>
      <c r="AO533" s="783"/>
      <c r="AP533" s="790">
        <f t="shared" si="382"/>
        <v>0</v>
      </c>
      <c r="AQ533" s="790">
        <f t="shared" si="383"/>
        <v>108700</v>
      </c>
      <c r="AR533" s="791">
        <f t="shared" si="384"/>
        <v>245</v>
      </c>
      <c r="AS533" s="791">
        <f t="shared" si="385"/>
        <v>17329</v>
      </c>
      <c r="AT533" s="790">
        <f t="shared" si="386"/>
        <v>17329</v>
      </c>
      <c r="AU533" s="790">
        <f t="shared" si="387"/>
        <v>91371</v>
      </c>
    </row>
    <row r="534" spans="1:47" x14ac:dyDescent="0.25">
      <c r="A534" s="824" t="s">
        <v>670</v>
      </c>
      <c r="B534" s="863" t="s">
        <v>1374</v>
      </c>
      <c r="C534" s="826">
        <f t="shared" si="332"/>
        <v>0.23749999999999999</v>
      </c>
      <c r="D534" s="809">
        <v>4</v>
      </c>
      <c r="E534" s="858" t="s">
        <v>884</v>
      </c>
      <c r="F534" s="862">
        <v>45145</v>
      </c>
      <c r="G534" s="862">
        <v>45145</v>
      </c>
      <c r="H534" s="828">
        <f t="shared" si="333"/>
        <v>46605</v>
      </c>
      <c r="I534" s="901">
        <v>76800</v>
      </c>
      <c r="J534" s="812">
        <f t="shared" si="353"/>
        <v>3840</v>
      </c>
      <c r="L534" s="790"/>
      <c r="M534" s="790"/>
      <c r="N534" s="790"/>
      <c r="O534" s="791"/>
      <c r="P534" s="790"/>
      <c r="Q534" s="790"/>
      <c r="R534" s="790"/>
      <c r="S534" s="790"/>
      <c r="T534" s="790"/>
      <c r="U534" s="791"/>
      <c r="V534" s="790"/>
      <c r="W534" s="790"/>
      <c r="X534" s="790"/>
      <c r="Y534" s="790"/>
      <c r="Z534" s="790"/>
      <c r="AA534" s="791"/>
      <c r="AB534" s="790"/>
      <c r="AC534" s="790"/>
      <c r="AD534" s="790"/>
      <c r="AE534" s="790"/>
      <c r="AF534" s="790"/>
      <c r="AG534" s="791"/>
      <c r="AH534" s="790"/>
      <c r="AI534" s="790"/>
      <c r="AJ534" s="790"/>
      <c r="AK534" s="790"/>
      <c r="AL534" s="791"/>
      <c r="AM534" s="993"/>
      <c r="AN534" s="783"/>
      <c r="AO534" s="783"/>
      <c r="AP534" s="790">
        <f t="shared" si="382"/>
        <v>0</v>
      </c>
      <c r="AQ534" s="790">
        <f t="shared" si="383"/>
        <v>76800</v>
      </c>
      <c r="AR534" s="791">
        <f t="shared" si="384"/>
        <v>238</v>
      </c>
      <c r="AS534" s="791">
        <f t="shared" si="385"/>
        <v>11893</v>
      </c>
      <c r="AT534" s="790">
        <f t="shared" si="386"/>
        <v>11893</v>
      </c>
      <c r="AU534" s="790">
        <f t="shared" si="387"/>
        <v>64907</v>
      </c>
    </row>
    <row r="535" spans="1:47" x14ac:dyDescent="0.25">
      <c r="A535" s="824" t="s">
        <v>670</v>
      </c>
      <c r="B535" s="822" t="s">
        <v>480</v>
      </c>
      <c r="C535" s="826">
        <f t="shared" si="332"/>
        <v>0.23749999999999999</v>
      </c>
      <c r="D535" s="809">
        <v>4</v>
      </c>
      <c r="E535" s="858" t="s">
        <v>884</v>
      </c>
      <c r="F535" s="862">
        <v>45294</v>
      </c>
      <c r="G535" s="862">
        <v>45294</v>
      </c>
      <c r="H535" s="828">
        <f t="shared" si="333"/>
        <v>46754</v>
      </c>
      <c r="I535" s="901">
        <v>897395</v>
      </c>
      <c r="J535" s="812">
        <f t="shared" si="353"/>
        <v>44869.75</v>
      </c>
      <c r="L535" s="790"/>
      <c r="M535" s="790"/>
      <c r="N535" s="790"/>
      <c r="O535" s="791"/>
      <c r="P535" s="790"/>
      <c r="Q535" s="790"/>
      <c r="R535" s="790"/>
      <c r="S535" s="790"/>
      <c r="T535" s="790"/>
      <c r="U535" s="791"/>
      <c r="V535" s="790"/>
      <c r="W535" s="790"/>
      <c r="X535" s="790"/>
      <c r="Y535" s="790"/>
      <c r="Z535" s="790"/>
      <c r="AA535" s="791"/>
      <c r="AB535" s="790"/>
      <c r="AC535" s="790"/>
      <c r="AD535" s="790"/>
      <c r="AE535" s="790"/>
      <c r="AF535" s="790"/>
      <c r="AG535" s="791"/>
      <c r="AH535" s="790"/>
      <c r="AI535" s="790"/>
      <c r="AJ535" s="790"/>
      <c r="AK535" s="790"/>
      <c r="AL535" s="791"/>
      <c r="AM535" s="993"/>
      <c r="AN535" s="783"/>
      <c r="AO535" s="783"/>
      <c r="AP535" s="790">
        <f t="shared" si="382"/>
        <v>0</v>
      </c>
      <c r="AQ535" s="790">
        <f t="shared" si="383"/>
        <v>897395</v>
      </c>
      <c r="AR535" s="791">
        <f t="shared" si="384"/>
        <v>89</v>
      </c>
      <c r="AS535" s="791">
        <f t="shared" si="385"/>
        <v>51969</v>
      </c>
      <c r="AT535" s="790">
        <f t="shared" si="386"/>
        <v>51969</v>
      </c>
      <c r="AU535" s="790">
        <f t="shared" si="387"/>
        <v>845426</v>
      </c>
    </row>
    <row r="536" spans="1:47" x14ac:dyDescent="0.25">
      <c r="A536" s="824" t="s">
        <v>670</v>
      </c>
      <c r="B536" s="822" t="s">
        <v>480</v>
      </c>
      <c r="C536" s="826">
        <f t="shared" si="332"/>
        <v>0.23749999999999999</v>
      </c>
      <c r="D536" s="809">
        <v>4</v>
      </c>
      <c r="E536" s="858" t="s">
        <v>884</v>
      </c>
      <c r="F536" s="862">
        <v>45309</v>
      </c>
      <c r="G536" s="862">
        <v>45309</v>
      </c>
      <c r="H536" s="828">
        <f t="shared" si="333"/>
        <v>46769</v>
      </c>
      <c r="I536" s="901">
        <v>64424</v>
      </c>
      <c r="J536" s="812">
        <f t="shared" si="353"/>
        <v>3221.2000000000003</v>
      </c>
      <c r="L536" s="790"/>
      <c r="M536" s="790"/>
      <c r="N536" s="790"/>
      <c r="O536" s="791"/>
      <c r="P536" s="790"/>
      <c r="Q536" s="790"/>
      <c r="R536" s="790"/>
      <c r="S536" s="790"/>
      <c r="T536" s="790"/>
      <c r="U536" s="791"/>
      <c r="V536" s="790"/>
      <c r="W536" s="790"/>
      <c r="X536" s="790"/>
      <c r="Y536" s="790"/>
      <c r="Z536" s="790"/>
      <c r="AA536" s="791"/>
      <c r="AB536" s="790"/>
      <c r="AC536" s="790"/>
      <c r="AD536" s="790"/>
      <c r="AE536" s="790"/>
      <c r="AF536" s="790"/>
      <c r="AG536" s="791"/>
      <c r="AH536" s="790"/>
      <c r="AI536" s="790"/>
      <c r="AJ536" s="790"/>
      <c r="AK536" s="790"/>
      <c r="AL536" s="791"/>
      <c r="AM536" s="993"/>
      <c r="AN536" s="783"/>
      <c r="AO536" s="783"/>
      <c r="AP536" s="790">
        <f t="shared" si="382"/>
        <v>0</v>
      </c>
      <c r="AQ536" s="790">
        <f t="shared" si="383"/>
        <v>64424</v>
      </c>
      <c r="AR536" s="791">
        <f t="shared" si="384"/>
        <v>74</v>
      </c>
      <c r="AS536" s="791">
        <f t="shared" si="385"/>
        <v>3102</v>
      </c>
      <c r="AT536" s="790">
        <f t="shared" si="386"/>
        <v>3102</v>
      </c>
      <c r="AU536" s="790">
        <f t="shared" si="387"/>
        <v>61322</v>
      </c>
    </row>
    <row r="537" spans="1:47" ht="15.75" thickBot="1" x14ac:dyDescent="0.3">
      <c r="A537" s="824" t="s">
        <v>670</v>
      </c>
      <c r="B537" s="825" t="s">
        <v>480</v>
      </c>
      <c r="C537" s="826">
        <f t="shared" si="332"/>
        <v>0.23749999999999999</v>
      </c>
      <c r="D537" s="809">
        <v>4</v>
      </c>
      <c r="E537" s="858" t="s">
        <v>884</v>
      </c>
      <c r="F537" s="996">
        <v>45315</v>
      </c>
      <c r="G537" s="996">
        <v>45315</v>
      </c>
      <c r="H537" s="828">
        <f t="shared" si="333"/>
        <v>46775</v>
      </c>
      <c r="I537" s="904">
        <v>623984</v>
      </c>
      <c r="J537" s="812">
        <f t="shared" si="353"/>
        <v>31199.200000000001</v>
      </c>
      <c r="L537" s="808"/>
      <c r="M537" s="808"/>
      <c r="N537" s="808"/>
      <c r="O537" s="809"/>
      <c r="P537" s="808"/>
      <c r="Q537" s="808"/>
      <c r="R537" s="808"/>
      <c r="S537" s="808"/>
      <c r="T537" s="808"/>
      <c r="U537" s="809"/>
      <c r="V537" s="808"/>
      <c r="W537" s="808"/>
      <c r="X537" s="808"/>
      <c r="Y537" s="808"/>
      <c r="Z537" s="808"/>
      <c r="AA537" s="809"/>
      <c r="AB537" s="808"/>
      <c r="AC537" s="808"/>
      <c r="AD537" s="808"/>
      <c r="AE537" s="808"/>
      <c r="AF537" s="808"/>
      <c r="AG537" s="809"/>
      <c r="AH537" s="808"/>
      <c r="AI537" s="808"/>
      <c r="AJ537" s="808"/>
      <c r="AK537" s="808"/>
      <c r="AL537" s="809"/>
      <c r="AM537" s="994"/>
      <c r="AN537" s="812"/>
      <c r="AO537" s="812"/>
      <c r="AP537" s="808">
        <f t="shared" si="382"/>
        <v>0</v>
      </c>
      <c r="AQ537" s="808">
        <f t="shared" si="383"/>
        <v>623984</v>
      </c>
      <c r="AR537" s="809">
        <f t="shared" si="384"/>
        <v>68</v>
      </c>
      <c r="AS537" s="809">
        <f t="shared" si="385"/>
        <v>27609</v>
      </c>
      <c r="AT537" s="808">
        <f t="shared" si="386"/>
        <v>27609</v>
      </c>
      <c r="AU537" s="808">
        <f t="shared" si="387"/>
        <v>596375</v>
      </c>
    </row>
    <row r="538" spans="1:47" ht="15.75" thickBot="1" x14ac:dyDescent="0.3">
      <c r="A538" s="830" t="s">
        <v>1375</v>
      </c>
      <c r="B538" s="969"/>
      <c r="C538" s="969"/>
      <c r="D538" s="969"/>
      <c r="E538" s="969"/>
      <c r="F538" s="969"/>
      <c r="G538" s="969"/>
      <c r="H538" s="969"/>
      <c r="I538" s="834">
        <f>SUM(I523:I537)</f>
        <v>3880501</v>
      </c>
      <c r="J538" s="834">
        <f>SUM(J523:J537)</f>
        <v>194025.05000000002</v>
      </c>
      <c r="K538" s="834">
        <f t="shared" ref="K538:AI538" si="397">SUM(K523:K537)</f>
        <v>0</v>
      </c>
      <c r="L538" s="834">
        <f t="shared" si="397"/>
        <v>0</v>
      </c>
      <c r="M538" s="834">
        <f>SUM(M523:M537)</f>
        <v>1786698</v>
      </c>
      <c r="N538" s="834">
        <f t="shared" si="397"/>
        <v>1820</v>
      </c>
      <c r="O538" s="834">
        <f t="shared" si="397"/>
        <v>302737</v>
      </c>
      <c r="P538" s="834">
        <f t="shared" si="397"/>
        <v>302737</v>
      </c>
      <c r="Q538" s="834">
        <f t="shared" si="397"/>
        <v>1483961</v>
      </c>
      <c r="R538" s="834">
        <f t="shared" si="397"/>
        <v>1483961</v>
      </c>
      <c r="S538" s="834">
        <f t="shared" si="397"/>
        <v>1786698</v>
      </c>
      <c r="T538" s="834">
        <f t="shared" si="397"/>
        <v>2928</v>
      </c>
      <c r="U538" s="834">
        <f t="shared" si="397"/>
        <v>424341</v>
      </c>
      <c r="V538" s="834">
        <f t="shared" si="397"/>
        <v>727078</v>
      </c>
      <c r="W538" s="834">
        <f t="shared" si="397"/>
        <v>1059620</v>
      </c>
      <c r="X538" s="834">
        <f t="shared" si="397"/>
        <v>1059620</v>
      </c>
      <c r="Y538" s="834">
        <f t="shared" si="397"/>
        <v>1786698</v>
      </c>
      <c r="Z538" s="834">
        <f t="shared" si="397"/>
        <v>2920</v>
      </c>
      <c r="AA538" s="834">
        <f t="shared" si="397"/>
        <v>424341</v>
      </c>
      <c r="AB538" s="834">
        <f t="shared" si="397"/>
        <v>1151419</v>
      </c>
      <c r="AC538" s="834">
        <f t="shared" si="397"/>
        <v>635279</v>
      </c>
      <c r="AD538" s="834">
        <f t="shared" si="397"/>
        <v>635279</v>
      </c>
      <c r="AE538" s="834">
        <f t="shared" si="397"/>
        <v>1786698</v>
      </c>
      <c r="AF538" s="834">
        <f t="shared" si="397"/>
        <v>2920</v>
      </c>
      <c r="AG538" s="834">
        <f t="shared" si="397"/>
        <v>424341</v>
      </c>
      <c r="AH538" s="834">
        <f t="shared" si="397"/>
        <v>1575760</v>
      </c>
      <c r="AI538" s="834">
        <f t="shared" si="397"/>
        <v>210938</v>
      </c>
      <c r="AJ538" s="834">
        <f>SUM(AJ523:AJ537)</f>
        <v>210938</v>
      </c>
      <c r="AK538" s="834">
        <f>SUM(AK523:AK537)</f>
        <v>2109198</v>
      </c>
      <c r="AL538" s="834">
        <f>SUM(AL523:AL537)</f>
        <v>1578</v>
      </c>
      <c r="AM538" s="834">
        <f>SUM(AM523:AM537)-107026</f>
        <v>54610</v>
      </c>
      <c r="AN538" s="834">
        <f>SUM(AN523:AN537)-234483</f>
        <v>1502913</v>
      </c>
      <c r="AO538" s="873">
        <f>+AK538-AN538</f>
        <v>606285</v>
      </c>
      <c r="AP538" s="834">
        <f>+AO538</f>
        <v>606285</v>
      </c>
      <c r="AQ538" s="834">
        <f>SUM(AQ523:AQ537)</f>
        <v>3880501</v>
      </c>
      <c r="AR538" s="834">
        <f>SUM(AR523:AR537)</f>
        <v>1446</v>
      </c>
      <c r="AS538" s="834">
        <f>SUM(AS523:AS537)</f>
        <v>188706</v>
      </c>
      <c r="AT538" s="834">
        <f>SUM(AT523:AT537)-234483</f>
        <v>1691619</v>
      </c>
      <c r="AU538" s="873">
        <f>+AQ538-AT538</f>
        <v>2188882</v>
      </c>
    </row>
    <row r="539" spans="1:47" x14ac:dyDescent="0.25">
      <c r="AP539" s="841"/>
    </row>
    <row r="541" spans="1:47" ht="15.75" thickBot="1" x14ac:dyDescent="0.3">
      <c r="H541" s="738" t="s">
        <v>1376</v>
      </c>
      <c r="I541" s="990">
        <f>I538+I519+I517+I413+I357+I185+I121+I12</f>
        <v>393066106.4799999</v>
      </c>
      <c r="AK541" s="841"/>
    </row>
    <row r="542" spans="1:47" ht="15.75" thickBot="1" x14ac:dyDescent="0.3">
      <c r="D542" s="1646" t="s">
        <v>677</v>
      </c>
      <c r="E542" s="1647"/>
      <c r="F542" s="1647"/>
      <c r="G542" s="1647"/>
      <c r="H542" s="1647"/>
      <c r="I542" s="1647"/>
      <c r="J542" s="1647"/>
      <c r="K542" s="1647"/>
      <c r="L542" s="1647"/>
      <c r="M542" s="1659"/>
    </row>
    <row r="543" spans="1:47" ht="45.75" thickBot="1" x14ac:dyDescent="0.3">
      <c r="D543" s="1660" t="s">
        <v>1377</v>
      </c>
      <c r="E543" s="1661"/>
      <c r="F543" s="1662"/>
      <c r="G543" s="1662"/>
      <c r="H543" s="1662"/>
      <c r="I543" s="997" t="s">
        <v>1378</v>
      </c>
      <c r="J543" s="998" t="s">
        <v>1379</v>
      </c>
      <c r="K543" s="999"/>
      <c r="L543" s="1000" t="s">
        <v>1380</v>
      </c>
      <c r="M543" s="1001" t="s">
        <v>1381</v>
      </c>
      <c r="N543" s="1002"/>
      <c r="P543" s="1003" t="s">
        <v>1382</v>
      </c>
      <c r="Q543" s="839" t="s">
        <v>1077</v>
      </c>
      <c r="R543" s="1639" t="s">
        <v>1379</v>
      </c>
      <c r="S543" s="1639"/>
      <c r="U543" s="1639" t="s">
        <v>1383</v>
      </c>
      <c r="V543" s="1639"/>
    </row>
    <row r="544" spans="1:47" ht="16.5" x14ac:dyDescent="0.25">
      <c r="D544" s="1663" t="s">
        <v>1180</v>
      </c>
      <c r="E544" s="1664"/>
      <c r="F544" s="1665"/>
      <c r="G544" s="1665"/>
      <c r="H544" s="1665"/>
      <c r="I544" s="1004">
        <f>+AK12</f>
        <v>312655</v>
      </c>
      <c r="J544" s="1004">
        <f>AM12</f>
        <v>0</v>
      </c>
      <c r="K544" s="743"/>
      <c r="L544" s="1005">
        <f>AN12</f>
        <v>312654</v>
      </c>
      <c r="M544" s="889">
        <f>I544-L544</f>
        <v>1</v>
      </c>
      <c r="N544" s="941"/>
      <c r="O544" s="841"/>
      <c r="P544" s="783">
        <v>1</v>
      </c>
      <c r="Q544" s="790">
        <f t="shared" ref="Q544" si="398">+M544-P544</f>
        <v>0</v>
      </c>
      <c r="R544" s="1006">
        <v>0</v>
      </c>
      <c r="S544" s="790">
        <f>+J544-R544</f>
        <v>0</v>
      </c>
      <c r="U544" s="1006">
        <v>312654</v>
      </c>
      <c r="V544" s="790">
        <f>+L544-U544</f>
        <v>0</v>
      </c>
    </row>
    <row r="545" spans="4:22" ht="16.5" x14ac:dyDescent="0.25">
      <c r="D545" s="1637" t="s">
        <v>1187</v>
      </c>
      <c r="E545" s="1638"/>
      <c r="F545" s="1639"/>
      <c r="G545" s="1639"/>
      <c r="H545" s="1639"/>
      <c r="I545" s="1007">
        <f>+AK121</f>
        <v>4662075.4499999993</v>
      </c>
      <c r="J545" s="1007">
        <f>AM121</f>
        <v>495692</v>
      </c>
      <c r="L545" s="1008">
        <f>AN121</f>
        <v>3649584</v>
      </c>
      <c r="M545" s="790">
        <f>I545-L545</f>
        <v>1012491.4499999993</v>
      </c>
      <c r="N545" s="941"/>
      <c r="P545" s="1009">
        <v>1012491.69029406</v>
      </c>
      <c r="Q545" s="790">
        <f>+M545-P545</f>
        <v>-0.2402940607862547</v>
      </c>
      <c r="R545" s="1006">
        <v>330043</v>
      </c>
      <c r="S545" s="790">
        <f>+R545-J545</f>
        <v>-165649</v>
      </c>
      <c r="U545" s="1006">
        <v>3649584</v>
      </c>
      <c r="V545" s="790">
        <f>+L545-U545</f>
        <v>0</v>
      </c>
    </row>
    <row r="546" spans="4:22" ht="16.5" x14ac:dyDescent="0.25">
      <c r="D546" s="1634" t="s">
        <v>1224</v>
      </c>
      <c r="E546" s="1635"/>
      <c r="F546" s="1636"/>
      <c r="G546" s="1636"/>
      <c r="H546" s="1636"/>
      <c r="I546" s="1007">
        <f>+AK185</f>
        <v>15090714.159999998</v>
      </c>
      <c r="J546" s="1007">
        <f>AM185</f>
        <v>1549114</v>
      </c>
      <c r="L546" s="1008">
        <f>AN185</f>
        <v>6475893</v>
      </c>
      <c r="M546" s="790">
        <f>I546-L546</f>
        <v>8614821.1599999983</v>
      </c>
      <c r="N546" s="941"/>
      <c r="P546" s="1009">
        <v>8614821.6270137001</v>
      </c>
      <c r="Q546" s="790">
        <f t="shared" ref="Q546:Q550" si="399">+M546-P546</f>
        <v>-0.46701370179653168</v>
      </c>
      <c r="R546" s="1006">
        <v>1549114</v>
      </c>
      <c r="S546" s="790">
        <f t="shared" ref="S546:S551" si="400">+R546-J546</f>
        <v>0</v>
      </c>
      <c r="U546" s="1006">
        <v>6475893</v>
      </c>
      <c r="V546" s="790">
        <f t="shared" ref="V546:V551" si="401">+L546-U546</f>
        <v>0</v>
      </c>
    </row>
    <row r="547" spans="4:22" ht="16.5" x14ac:dyDescent="0.25">
      <c r="D547" s="1637" t="s">
        <v>133</v>
      </c>
      <c r="E547" s="1638"/>
      <c r="F547" s="1639"/>
      <c r="G547" s="1639"/>
      <c r="H547" s="1639"/>
      <c r="I547" s="1007">
        <f>+AK357</f>
        <v>19252880.019999996</v>
      </c>
      <c r="J547" s="1007">
        <f>AM357</f>
        <v>1905868</v>
      </c>
      <c r="L547" s="1008">
        <f>AN357</f>
        <v>7400630</v>
      </c>
      <c r="M547" s="790">
        <f>I547-L547</f>
        <v>11852250.019999996</v>
      </c>
      <c r="N547" s="941"/>
      <c r="P547" s="1009">
        <v>11852250.4967282</v>
      </c>
      <c r="Q547" s="790">
        <f t="shared" si="399"/>
        <v>-0.47672820463776588</v>
      </c>
      <c r="R547" s="1006">
        <v>1905868</v>
      </c>
      <c r="S547" s="790">
        <f t="shared" si="400"/>
        <v>0</v>
      </c>
      <c r="U547" s="1006">
        <v>7400630</v>
      </c>
      <c r="V547" s="790">
        <f t="shared" si="401"/>
        <v>0</v>
      </c>
    </row>
    <row r="548" spans="4:22" ht="16.5" x14ac:dyDescent="0.25">
      <c r="D548" s="1637" t="s">
        <v>667</v>
      </c>
      <c r="E548" s="1638"/>
      <c r="F548" s="1639"/>
      <c r="G548" s="1639"/>
      <c r="H548" s="1639"/>
      <c r="I548" s="1007">
        <f>+AK413</f>
        <v>4788966.6199999992</v>
      </c>
      <c r="J548" s="1007">
        <f>AM413</f>
        <v>1155667</v>
      </c>
      <c r="L548" s="1008">
        <f>AN413</f>
        <v>3685159</v>
      </c>
      <c r="M548" s="790">
        <f t="shared" ref="M548:M551" si="402">I548-L548</f>
        <v>1103807.6199999992</v>
      </c>
      <c r="N548" s="941"/>
      <c r="P548" s="1009">
        <v>1103808.0200504099</v>
      </c>
      <c r="Q548" s="790">
        <f t="shared" si="399"/>
        <v>-0.40005041076801717</v>
      </c>
      <c r="R548" s="1006">
        <v>1155667</v>
      </c>
      <c r="S548" s="790">
        <f t="shared" si="400"/>
        <v>0</v>
      </c>
      <c r="U548" s="1006">
        <v>3685159</v>
      </c>
      <c r="V548" s="790">
        <f t="shared" si="401"/>
        <v>0</v>
      </c>
    </row>
    <row r="549" spans="4:22" ht="16.5" x14ac:dyDescent="0.25">
      <c r="D549" s="1637" t="s">
        <v>1317</v>
      </c>
      <c r="E549" s="1638"/>
      <c r="F549" s="1639"/>
      <c r="G549" s="1639"/>
      <c r="H549" s="1639"/>
      <c r="I549" s="1007">
        <f>+AK517</f>
        <v>176747807.78999996</v>
      </c>
      <c r="J549" s="1007">
        <f>AM517</f>
        <v>11148710</v>
      </c>
      <c r="L549" s="1008">
        <f>AN517</f>
        <v>36438563</v>
      </c>
      <c r="M549" s="790">
        <f t="shared" si="402"/>
        <v>140309244.78999996</v>
      </c>
      <c r="N549" s="941"/>
      <c r="P549" s="1009">
        <v>140309244.38218999</v>
      </c>
      <c r="Q549" s="790">
        <f>+M549-P549</f>
        <v>0.40780997276306152</v>
      </c>
      <c r="R549" s="1006">
        <v>11148710</v>
      </c>
      <c r="S549" s="790">
        <f t="shared" si="400"/>
        <v>0</v>
      </c>
      <c r="U549" s="1006">
        <v>36438563</v>
      </c>
      <c r="V549" s="790">
        <f t="shared" si="401"/>
        <v>0</v>
      </c>
    </row>
    <row r="550" spans="4:22" ht="16.5" x14ac:dyDescent="0.25">
      <c r="D550" s="1640" t="s">
        <v>669</v>
      </c>
      <c r="E550" s="1641"/>
      <c r="F550" s="1642"/>
      <c r="G550" s="1642"/>
      <c r="H550" s="1642"/>
      <c r="I550" s="1007">
        <f>I521</f>
        <v>7191410.4699999997</v>
      </c>
      <c r="J550" s="1007">
        <f>AM521</f>
        <v>853979</v>
      </c>
      <c r="L550" s="1008">
        <f>AN521</f>
        <v>878968</v>
      </c>
      <c r="M550" s="790">
        <f t="shared" si="402"/>
        <v>6312442.4699999997</v>
      </c>
      <c r="N550" s="941"/>
      <c r="P550" s="1009">
        <v>6312442.8898370704</v>
      </c>
      <c r="Q550" s="790">
        <f t="shared" si="399"/>
        <v>-0.41983707062900066</v>
      </c>
      <c r="R550" s="1006">
        <v>853979</v>
      </c>
      <c r="S550" s="790">
        <f t="shared" si="400"/>
        <v>0</v>
      </c>
      <c r="U550" s="1006">
        <v>878968</v>
      </c>
      <c r="V550" s="790">
        <f t="shared" si="401"/>
        <v>0</v>
      </c>
    </row>
    <row r="551" spans="4:22" ht="17.25" thickBot="1" x14ac:dyDescent="0.3">
      <c r="D551" s="1643" t="s">
        <v>670</v>
      </c>
      <c r="E551" s="1644"/>
      <c r="F551" s="1645"/>
      <c r="G551" s="1645"/>
      <c r="H551" s="1645"/>
      <c r="I551" s="1010">
        <f>+AK538</f>
        <v>2109198</v>
      </c>
      <c r="J551" s="1010">
        <f>AM538</f>
        <v>54610</v>
      </c>
      <c r="L551" s="1011">
        <f>AN538</f>
        <v>1502913</v>
      </c>
      <c r="M551" s="790">
        <f t="shared" si="402"/>
        <v>606285</v>
      </c>
      <c r="N551" s="941"/>
      <c r="P551" s="783">
        <v>606285</v>
      </c>
      <c r="Q551" s="790">
        <f>+M551-P551</f>
        <v>0</v>
      </c>
      <c r="R551" s="1006">
        <v>54610</v>
      </c>
      <c r="S551" s="790">
        <f t="shared" si="400"/>
        <v>0</v>
      </c>
      <c r="U551" s="1006">
        <v>1502913</v>
      </c>
      <c r="V551" s="790">
        <f t="shared" si="401"/>
        <v>0</v>
      </c>
    </row>
    <row r="552" spans="4:22" x14ac:dyDescent="0.25">
      <c r="I552" s="1012">
        <f>SUM(I544:I551)</f>
        <v>230155707.50999996</v>
      </c>
      <c r="J552" s="1012">
        <f>SUM(J544:J551)</f>
        <v>17163640</v>
      </c>
      <c r="K552" s="791"/>
      <c r="L552" s="1013">
        <f>SUM(L544:L551)</f>
        <v>60344364</v>
      </c>
      <c r="M552" s="1012">
        <f>SUM(M544:M551)</f>
        <v>169811343.50999996</v>
      </c>
      <c r="N552" s="907"/>
      <c r="P552" s="1014">
        <f>SUM(P544:P551)</f>
        <v>169811345.1061134</v>
      </c>
      <c r="Q552" s="1015">
        <f>SUM(Q544:Q551)</f>
        <v>-1.5961134758545086</v>
      </c>
      <c r="R552" s="1015">
        <f>SUM(R544:R551)</f>
        <v>16997991</v>
      </c>
      <c r="S552" s="1015">
        <f>SUM(S544:S551)</f>
        <v>-165649</v>
      </c>
      <c r="T552" s="1016"/>
      <c r="U552" s="1015">
        <f>SUM(U544:U551)</f>
        <v>60344364</v>
      </c>
      <c r="V552" s="1015">
        <f>SUM(V544:V551)</f>
        <v>0</v>
      </c>
    </row>
    <row r="553" spans="4:22" x14ac:dyDescent="0.25">
      <c r="I553" s="990">
        <v>230155708</v>
      </c>
      <c r="J553" s="1017">
        <f>L552-J552</f>
        <v>43180724</v>
      </c>
      <c r="M553" s="738">
        <v>169811344</v>
      </c>
      <c r="N553" s="841"/>
    </row>
    <row r="554" spans="4:22" x14ac:dyDescent="0.25">
      <c r="I554" s="990">
        <f>+I552-I553</f>
        <v>-0.49000003933906555</v>
      </c>
      <c r="J554" s="1017">
        <v>43346372</v>
      </c>
      <c r="L554" s="841">
        <v>60344363</v>
      </c>
      <c r="M554" s="1018"/>
      <c r="N554" s="875"/>
    </row>
    <row r="555" spans="4:22" x14ac:dyDescent="0.25">
      <c r="J555" s="841">
        <f>J553-J554</f>
        <v>-165648</v>
      </c>
      <c r="L555" s="841">
        <f>+L552-L554</f>
        <v>1</v>
      </c>
      <c r="M555" s="875"/>
      <c r="N555" s="875"/>
    </row>
    <row r="556" spans="4:22" x14ac:dyDescent="0.25">
      <c r="L556" s="841"/>
      <c r="M556" s="841"/>
    </row>
    <row r="557" spans="4:22" x14ac:dyDescent="0.25">
      <c r="L557" s="841"/>
    </row>
    <row r="558" spans="4:22" ht="15.75" thickBot="1" x14ac:dyDescent="0.3">
      <c r="J558" s="841"/>
    </row>
    <row r="559" spans="4:22" ht="15.75" thickBot="1" x14ac:dyDescent="0.3">
      <c r="D559" s="1646" t="s">
        <v>884</v>
      </c>
      <c r="E559" s="1647"/>
      <c r="F559" s="1647"/>
      <c r="G559" s="1647"/>
      <c r="H559" s="1647"/>
      <c r="I559" s="1647"/>
      <c r="J559" s="1647"/>
      <c r="K559" s="1647"/>
      <c r="L559" s="1647"/>
      <c r="M559" s="1647"/>
      <c r="N559" s="1647"/>
      <c r="O559" s="1647"/>
      <c r="P559" s="1647"/>
      <c r="Q559" s="1647"/>
      <c r="R559" s="1648"/>
    </row>
    <row r="560" spans="4:22" ht="15.75" thickBot="1" x14ac:dyDescent="0.3">
      <c r="D560" s="1019"/>
      <c r="E560" s="1020"/>
      <c r="F560" s="1020"/>
      <c r="G560" s="1020"/>
      <c r="H560" s="1020"/>
      <c r="I560" s="1649" t="s">
        <v>1384</v>
      </c>
      <c r="J560" s="1650"/>
      <c r="K560" s="1650"/>
      <c r="L560" s="1650"/>
      <c r="M560" s="1651"/>
      <c r="N560" s="1649" t="s">
        <v>1385</v>
      </c>
      <c r="O560" s="1650"/>
      <c r="P560" s="1650"/>
      <c r="Q560" s="1651"/>
      <c r="R560" s="1021"/>
    </row>
    <row r="561" spans="4:24" ht="43.5" thickBot="1" x14ac:dyDescent="0.3">
      <c r="D561" s="1652" t="s">
        <v>1377</v>
      </c>
      <c r="E561" s="1653"/>
      <c r="F561" s="1654"/>
      <c r="G561" s="1654"/>
      <c r="H561" s="1655"/>
      <c r="I561" s="1022" t="s">
        <v>1386</v>
      </c>
      <c r="J561" s="1023" t="s">
        <v>1387</v>
      </c>
      <c r="K561" s="1023" t="s">
        <v>1387</v>
      </c>
      <c r="L561" s="1023" t="s">
        <v>1388</v>
      </c>
      <c r="M561" s="1022" t="s">
        <v>1378</v>
      </c>
      <c r="N561" s="1024" t="s">
        <v>1389</v>
      </c>
      <c r="O561" s="1031" t="s">
        <v>1379</v>
      </c>
      <c r="P561" s="1024" t="s">
        <v>1388</v>
      </c>
      <c r="Q561" s="1032" t="s">
        <v>1390</v>
      </c>
      <c r="R561" s="1025" t="s">
        <v>1381</v>
      </c>
    </row>
    <row r="562" spans="4:24" ht="15.75" x14ac:dyDescent="0.25">
      <c r="D562" s="1656" t="s">
        <v>1180</v>
      </c>
      <c r="E562" s="1657"/>
      <c r="F562" s="1658"/>
      <c r="G562" s="1658"/>
      <c r="H562" s="1658"/>
      <c r="I562" s="1026">
        <f>+AK12</f>
        <v>312655</v>
      </c>
      <c r="J562" s="889">
        <f>+SUM(I7:I11)</f>
        <v>141900462.75</v>
      </c>
      <c r="K562" s="1026">
        <f>+AQ12</f>
        <v>142213117.75</v>
      </c>
      <c r="L562" s="889">
        <v>0</v>
      </c>
      <c r="M562" s="1026">
        <f>+AQ12</f>
        <v>142213117.75</v>
      </c>
      <c r="N562" s="889">
        <f>+AN12</f>
        <v>312654</v>
      </c>
      <c r="O562" s="1033">
        <f>+AS12</f>
        <v>1478808</v>
      </c>
      <c r="P562" s="889">
        <v>0</v>
      </c>
      <c r="Q562" s="1026">
        <f>+AT12</f>
        <v>1791462</v>
      </c>
      <c r="R562" s="891">
        <f>+M562-Q562</f>
        <v>140421655.75</v>
      </c>
      <c r="S562" s="841">
        <f>+AU12</f>
        <v>140421655.75</v>
      </c>
      <c r="T562" s="841">
        <f t="shared" ref="T562:T569" si="403">+R562-S562</f>
        <v>0</v>
      </c>
      <c r="U562" s="740">
        <f t="shared" ref="U562:U569" si="404">+I562+J562-L562</f>
        <v>142213117.75</v>
      </c>
      <c r="V562" s="841">
        <f t="shared" ref="V562:V569" si="405">+U562-M562</f>
        <v>0</v>
      </c>
      <c r="W562" s="841">
        <f>+N562+O562</f>
        <v>1791462</v>
      </c>
      <c r="X562" s="841">
        <f t="shared" ref="X562:X569" si="406">+W562-Q562</f>
        <v>0</v>
      </c>
    </row>
    <row r="563" spans="4:24" x14ac:dyDescent="0.25">
      <c r="D563" s="1637" t="s">
        <v>1187</v>
      </c>
      <c r="E563" s="1638"/>
      <c r="F563" s="1639"/>
      <c r="G563" s="1639"/>
      <c r="H563" s="1639"/>
      <c r="I563" s="1007">
        <f>+AK121</f>
        <v>4662075.4499999993</v>
      </c>
      <c r="J563" s="1027">
        <f>SUM(AQ107:AQ119)</f>
        <v>379707</v>
      </c>
      <c r="K563" s="791"/>
      <c r="L563" s="1027">
        <f>+AQ120</f>
        <v>15000</v>
      </c>
      <c r="M563" s="1007">
        <f>+AQ121</f>
        <v>5026782.4499999993</v>
      </c>
      <c r="N563" s="790">
        <f>+AN121</f>
        <v>3649584</v>
      </c>
      <c r="O563" s="1008">
        <f>+AS121+AS120</f>
        <v>622167</v>
      </c>
      <c r="P563" s="1027">
        <f>+AS120</f>
        <v>1210</v>
      </c>
      <c r="Q563" s="1007">
        <f>+AT121</f>
        <v>4270541</v>
      </c>
      <c r="R563" s="891">
        <f>+M563-Q563</f>
        <v>756241.44999999925</v>
      </c>
      <c r="S563" s="841">
        <f>+AU121</f>
        <v>756241.44999999925</v>
      </c>
      <c r="T563" s="841">
        <f t="shared" si="403"/>
        <v>0</v>
      </c>
      <c r="U563" s="740">
        <f t="shared" si="404"/>
        <v>5026782.4499999993</v>
      </c>
      <c r="V563" s="841">
        <f t="shared" si="405"/>
        <v>0</v>
      </c>
      <c r="W563" s="841">
        <f>+N563+O563-P563</f>
        <v>4270541</v>
      </c>
      <c r="X563" s="841">
        <f t="shared" si="406"/>
        <v>0</v>
      </c>
    </row>
    <row r="564" spans="4:24" x14ac:dyDescent="0.25">
      <c r="D564" s="1634" t="s">
        <v>1224</v>
      </c>
      <c r="E564" s="1635"/>
      <c r="F564" s="1636"/>
      <c r="G564" s="1636"/>
      <c r="H564" s="1636"/>
      <c r="I564" s="1007">
        <f>+AK185</f>
        <v>15090714.159999998</v>
      </c>
      <c r="J564" s="790">
        <f>+SUM(AQ168:AQ184)</f>
        <v>6928996</v>
      </c>
      <c r="K564" s="791"/>
      <c r="L564" s="889">
        <v>0</v>
      </c>
      <c r="M564" s="1007">
        <f>+AQ185</f>
        <v>22019710.159999996</v>
      </c>
      <c r="N564" s="790">
        <f>+AN185</f>
        <v>6475893</v>
      </c>
      <c r="O564" s="1008">
        <f>+AS185</f>
        <v>1590674</v>
      </c>
      <c r="P564" s="889">
        <v>0</v>
      </c>
      <c r="Q564" s="1007">
        <f>+AT185</f>
        <v>8066567</v>
      </c>
      <c r="R564" s="847">
        <f t="shared" ref="R564:R569" si="407">M564-Q564</f>
        <v>13953143.159999996</v>
      </c>
      <c r="S564" s="841">
        <f>+AU185</f>
        <v>13953143.159999996</v>
      </c>
      <c r="T564" s="841">
        <f t="shared" si="403"/>
        <v>0</v>
      </c>
      <c r="U564" s="740">
        <f t="shared" si="404"/>
        <v>22019710.159999996</v>
      </c>
      <c r="V564" s="841">
        <f t="shared" si="405"/>
        <v>0</v>
      </c>
      <c r="W564" s="841">
        <f t="shared" ref="W564:W569" si="408">+N564+O564</f>
        <v>8066567</v>
      </c>
      <c r="X564" s="841">
        <f t="shared" si="406"/>
        <v>0</v>
      </c>
    </row>
    <row r="565" spans="4:24" x14ac:dyDescent="0.25">
      <c r="D565" s="1637" t="s">
        <v>133</v>
      </c>
      <c r="E565" s="1638"/>
      <c r="F565" s="1639"/>
      <c r="G565" s="1639"/>
      <c r="H565" s="1639"/>
      <c r="I565" s="1007">
        <f>+AK357</f>
        <v>19252880.019999996</v>
      </c>
      <c r="J565" s="790">
        <f>+SUM(AQ329:AQ356)</f>
        <v>3030557.12</v>
      </c>
      <c r="K565" s="791"/>
      <c r="L565" s="889">
        <v>0</v>
      </c>
      <c r="M565" s="1007">
        <f>+AQ357</f>
        <v>22283437.139999997</v>
      </c>
      <c r="N565" s="1027">
        <f>+AN357</f>
        <v>7400630</v>
      </c>
      <c r="O565" s="1008">
        <f>AS357</f>
        <v>1898309</v>
      </c>
      <c r="P565" s="889">
        <v>0</v>
      </c>
      <c r="Q565" s="1007">
        <f>+AT357</f>
        <v>9298939</v>
      </c>
      <c r="R565" s="847">
        <f t="shared" si="407"/>
        <v>12984498.139999997</v>
      </c>
      <c r="S565" s="740">
        <f>+AU357</f>
        <v>12984498.139999997</v>
      </c>
      <c r="T565" s="841">
        <f t="shared" si="403"/>
        <v>0</v>
      </c>
      <c r="U565" s="740">
        <f t="shared" si="404"/>
        <v>22283437.139999997</v>
      </c>
      <c r="V565" s="841">
        <f t="shared" si="405"/>
        <v>0</v>
      </c>
      <c r="W565" s="841">
        <f t="shared" si="408"/>
        <v>9298939</v>
      </c>
      <c r="X565" s="841">
        <f t="shared" si="406"/>
        <v>0</v>
      </c>
    </row>
    <row r="566" spans="4:24" x14ac:dyDescent="0.25">
      <c r="D566" s="1637" t="s">
        <v>667</v>
      </c>
      <c r="E566" s="1638"/>
      <c r="F566" s="1639"/>
      <c r="G566" s="1639"/>
      <c r="H566" s="1639"/>
      <c r="I566" s="1007">
        <f>+AK413</f>
        <v>4788966.6199999992</v>
      </c>
      <c r="J566" s="790">
        <f>SUM(AQ408:AQ412)</f>
        <v>556433</v>
      </c>
      <c r="K566" s="791"/>
      <c r="L566" s="889">
        <v>0</v>
      </c>
      <c r="M566" s="1007">
        <f>+AQ413</f>
        <v>5345399.6199999992</v>
      </c>
      <c r="N566" s="1027">
        <f>+AN413</f>
        <v>3685159</v>
      </c>
      <c r="O566" s="1008">
        <f>+AS413</f>
        <v>353485</v>
      </c>
      <c r="P566" s="889">
        <v>0</v>
      </c>
      <c r="Q566" s="1007">
        <f>+AT413</f>
        <v>4038644</v>
      </c>
      <c r="R566" s="847">
        <f t="shared" si="407"/>
        <v>1306755.6199999992</v>
      </c>
      <c r="S566" s="841">
        <f>+AU413</f>
        <v>1306755.6199999992</v>
      </c>
      <c r="T566" s="841">
        <f t="shared" si="403"/>
        <v>0</v>
      </c>
      <c r="U566" s="740">
        <f t="shared" si="404"/>
        <v>5345399.6199999992</v>
      </c>
      <c r="V566" s="841">
        <f t="shared" si="405"/>
        <v>0</v>
      </c>
      <c r="W566" s="841">
        <f t="shared" si="408"/>
        <v>4038644</v>
      </c>
      <c r="X566" s="841">
        <f t="shared" si="406"/>
        <v>0</v>
      </c>
    </row>
    <row r="567" spans="4:24" x14ac:dyDescent="0.25">
      <c r="D567" s="1637" t="s">
        <v>1317</v>
      </c>
      <c r="E567" s="1638"/>
      <c r="F567" s="1639"/>
      <c r="G567" s="1639"/>
      <c r="H567" s="1639"/>
      <c r="I567" s="1007">
        <f>+AK517</f>
        <v>176747807.78999996</v>
      </c>
      <c r="J567" s="790">
        <f>+SUM(AQ486:AQ516)</f>
        <v>9643606.0999999996</v>
      </c>
      <c r="K567" s="791"/>
      <c r="L567" s="889">
        <v>0</v>
      </c>
      <c r="M567" s="1007">
        <f>+AQ517</f>
        <v>186391413.88999996</v>
      </c>
      <c r="N567" s="1027">
        <f>+AN517</f>
        <v>36438563</v>
      </c>
      <c r="O567" s="1008">
        <f>+AS517</f>
        <v>11492519</v>
      </c>
      <c r="P567" s="889">
        <v>0</v>
      </c>
      <c r="Q567" s="1007">
        <f>+AT517</f>
        <v>47931082</v>
      </c>
      <c r="R567" s="847">
        <f t="shared" si="407"/>
        <v>138460331.88999996</v>
      </c>
      <c r="S567" s="841">
        <f>+AU517</f>
        <v>138460331.88999996</v>
      </c>
      <c r="T567" s="841">
        <f t="shared" si="403"/>
        <v>0</v>
      </c>
      <c r="U567" s="740">
        <f t="shared" si="404"/>
        <v>186391413.88999996</v>
      </c>
      <c r="V567" s="841">
        <f t="shared" si="405"/>
        <v>0</v>
      </c>
      <c r="W567" s="841">
        <f t="shared" si="408"/>
        <v>47931082</v>
      </c>
      <c r="X567" s="841">
        <f t="shared" si="406"/>
        <v>0</v>
      </c>
    </row>
    <row r="568" spans="4:24" ht="15.75" x14ac:dyDescent="0.25">
      <c r="D568" s="1640" t="s">
        <v>669</v>
      </c>
      <c r="E568" s="1641"/>
      <c r="F568" s="1642"/>
      <c r="G568" s="1642"/>
      <c r="H568" s="1642"/>
      <c r="I568" s="1007">
        <f>+AK521</f>
        <v>7191410.4699999997</v>
      </c>
      <c r="J568" s="790">
        <v>0</v>
      </c>
      <c r="K568" s="791"/>
      <c r="L568" s="889">
        <v>0</v>
      </c>
      <c r="M568" s="1007">
        <f>+AQ521</f>
        <v>7191410.4699999997</v>
      </c>
      <c r="N568" s="1027">
        <f>+AN521</f>
        <v>878968</v>
      </c>
      <c r="O568" s="1008">
        <f>+AS521</f>
        <v>856320</v>
      </c>
      <c r="P568" s="889">
        <v>0</v>
      </c>
      <c r="Q568" s="1007">
        <f>+AT521</f>
        <v>1735288</v>
      </c>
      <c r="R568" s="847">
        <f t="shared" si="407"/>
        <v>5456122.4699999997</v>
      </c>
      <c r="S568" s="841">
        <f>+AU521</f>
        <v>5456122.4699999997</v>
      </c>
      <c r="T568" s="841">
        <f t="shared" si="403"/>
        <v>0</v>
      </c>
      <c r="U568" s="740">
        <f t="shared" si="404"/>
        <v>7191410.4699999997</v>
      </c>
      <c r="V568" s="841">
        <f t="shared" si="405"/>
        <v>0</v>
      </c>
      <c r="W568" s="841">
        <f t="shared" si="408"/>
        <v>1735288</v>
      </c>
      <c r="X568" s="841">
        <f t="shared" si="406"/>
        <v>0</v>
      </c>
    </row>
    <row r="569" spans="4:24" ht="16.5" thickBot="1" x14ac:dyDescent="0.3">
      <c r="D569" s="1643" t="s">
        <v>670</v>
      </c>
      <c r="E569" s="1644"/>
      <c r="F569" s="1645"/>
      <c r="G569" s="1645"/>
      <c r="H569" s="1645"/>
      <c r="I569" s="1007">
        <f>+AK538</f>
        <v>2109198</v>
      </c>
      <c r="J569" s="790">
        <f>+SUM(AQ533:AQ537)</f>
        <v>1771303</v>
      </c>
      <c r="K569" s="791"/>
      <c r="L569" s="889">
        <v>0</v>
      </c>
      <c r="M569" s="1007">
        <f>+AQ538</f>
        <v>3880501</v>
      </c>
      <c r="N569" s="1027">
        <f>+AN538</f>
        <v>1502913</v>
      </c>
      <c r="O569" s="1008">
        <f>+AS538</f>
        <v>188706</v>
      </c>
      <c r="P569" s="889">
        <v>0</v>
      </c>
      <c r="Q569" s="1007">
        <f>+AT538</f>
        <v>1691619</v>
      </c>
      <c r="R569" s="847">
        <f t="shared" si="407"/>
        <v>2188882</v>
      </c>
      <c r="S569" s="841">
        <f>+AU538</f>
        <v>2188882</v>
      </c>
      <c r="T569" s="841">
        <f t="shared" si="403"/>
        <v>0</v>
      </c>
      <c r="U569" s="740">
        <f t="shared" si="404"/>
        <v>3880501</v>
      </c>
      <c r="V569" s="841">
        <f t="shared" si="405"/>
        <v>0</v>
      </c>
      <c r="W569" s="841">
        <f t="shared" si="408"/>
        <v>1691619</v>
      </c>
      <c r="X569" s="841">
        <f t="shared" si="406"/>
        <v>0</v>
      </c>
    </row>
    <row r="570" spans="4:24" ht="15.75" thickBot="1" x14ac:dyDescent="0.3">
      <c r="I570" s="834">
        <f>SUM(I562:I569)</f>
        <v>230155707.50999996</v>
      </c>
      <c r="J570" s="834">
        <f>SUM(J562:J569)</f>
        <v>164211064.97</v>
      </c>
      <c r="K570" s="1028"/>
      <c r="L570" s="834">
        <f>SUM(L562:L569)</f>
        <v>15000</v>
      </c>
      <c r="M570" s="1029">
        <f>SUM(M562:M569)</f>
        <v>394351772.47999996</v>
      </c>
      <c r="N570" s="835">
        <f t="shared" ref="N570:O570" si="409">SUM(N562:N569)</f>
        <v>60344364</v>
      </c>
      <c r="O570" s="835">
        <f t="shared" si="409"/>
        <v>18480988</v>
      </c>
      <c r="P570" s="835">
        <f>SUM(P562:P569)</f>
        <v>1210</v>
      </c>
      <c r="Q570" s="1029">
        <f>SUM(Q562:Q569)</f>
        <v>78824142</v>
      </c>
      <c r="R570" s="1030">
        <f>SUM(R562:R569)</f>
        <v>315527630.47999996</v>
      </c>
    </row>
    <row r="571" spans="4:24" x14ac:dyDescent="0.25">
      <c r="J571" s="990"/>
      <c r="K571" s="1017">
        <f>Q570-O570</f>
        <v>60343154</v>
      </c>
    </row>
    <row r="572" spans="4:24" ht="15.75" thickBot="1" x14ac:dyDescent="0.3">
      <c r="J572" s="990"/>
      <c r="K572" s="1017">
        <v>43346372</v>
      </c>
      <c r="N572" s="841"/>
      <c r="O572" s="1018"/>
    </row>
    <row r="573" spans="4:24" ht="15.75" thickBot="1" x14ac:dyDescent="0.3">
      <c r="D573" s="1646" t="s">
        <v>1567</v>
      </c>
      <c r="E573" s="1647"/>
      <c r="F573" s="1647"/>
      <c r="G573" s="1647"/>
      <c r="H573" s="1647"/>
      <c r="I573" s="1647"/>
      <c r="J573" s="1647"/>
      <c r="K573" s="1647"/>
      <c r="L573" s="1647"/>
      <c r="M573" s="1647"/>
      <c r="N573" s="1647"/>
      <c r="O573" s="1647"/>
      <c r="P573" s="1647"/>
      <c r="Q573" s="1647"/>
      <c r="R573" s="1648"/>
    </row>
    <row r="574" spans="4:24" ht="15.75" thickBot="1" x14ac:dyDescent="0.3">
      <c r="D574" s="1019"/>
      <c r="E574" s="1020"/>
      <c r="F574" s="1020"/>
      <c r="G574" s="1020"/>
      <c r="H574" s="1020"/>
      <c r="I574" s="1649" t="s">
        <v>1384</v>
      </c>
      <c r="J574" s="1650"/>
      <c r="K574" s="1650"/>
      <c r="L574" s="1650"/>
      <c r="M574" s="1651"/>
      <c r="N574" s="1649" t="s">
        <v>1385</v>
      </c>
      <c r="O574" s="1650"/>
      <c r="P574" s="1650"/>
      <c r="Q574" s="1651"/>
      <c r="R574" s="1021"/>
    </row>
    <row r="575" spans="4:24" ht="43.5" thickBot="1" x14ac:dyDescent="0.3">
      <c r="D575" s="1652" t="s">
        <v>1377</v>
      </c>
      <c r="E575" s="1653"/>
      <c r="F575" s="1654"/>
      <c r="G575" s="1654"/>
      <c r="H575" s="1655"/>
      <c r="I575" s="1022" t="s">
        <v>1386</v>
      </c>
      <c r="J575" s="1023" t="s">
        <v>1387</v>
      </c>
      <c r="K575" s="1023" t="s">
        <v>1387</v>
      </c>
      <c r="L575" s="1023" t="s">
        <v>1388</v>
      </c>
      <c r="M575" s="1022" t="s">
        <v>1378</v>
      </c>
      <c r="N575" s="1024" t="s">
        <v>1389</v>
      </c>
      <c r="O575" s="1031" t="s">
        <v>1379</v>
      </c>
      <c r="P575" s="1024" t="s">
        <v>1388</v>
      </c>
      <c r="Q575" s="1032" t="s">
        <v>1390</v>
      </c>
      <c r="R575" s="1025" t="s">
        <v>1381</v>
      </c>
    </row>
    <row r="576" spans="4:24" ht="15.75" x14ac:dyDescent="0.25">
      <c r="D576" s="1656" t="s">
        <v>1180</v>
      </c>
      <c r="E576" s="1657"/>
      <c r="F576" s="1658"/>
      <c r="G576" s="1658"/>
      <c r="H576" s="1658"/>
      <c r="I576" s="1026">
        <f>+M562</f>
        <v>142213117.75</v>
      </c>
      <c r="J576" s="889">
        <v>0</v>
      </c>
      <c r="K576" s="1026">
        <f>+AQ26</f>
        <v>28650</v>
      </c>
      <c r="L576" s="889">
        <v>0</v>
      </c>
      <c r="M576" s="1026">
        <f>+I576+J576-L576</f>
        <v>142213117.75</v>
      </c>
      <c r="N576" s="889">
        <f>+Q562</f>
        <v>1791462</v>
      </c>
      <c r="O576" s="1033">
        <v>0</v>
      </c>
      <c r="P576" s="889">
        <v>0</v>
      </c>
      <c r="Q576" s="1026">
        <f>+N576+O576-P576</f>
        <v>1791462</v>
      </c>
      <c r="R576" s="891">
        <f>+M576-Q576</f>
        <v>140421655.75</v>
      </c>
    </row>
    <row r="577" spans="4:18" x14ac:dyDescent="0.25">
      <c r="D577" s="1637" t="s">
        <v>1187</v>
      </c>
      <c r="E577" s="1638"/>
      <c r="F577" s="1639"/>
      <c r="G577" s="1639"/>
      <c r="H577" s="1639"/>
      <c r="I577" s="1026">
        <f t="shared" ref="I577:I583" si="410">+M563</f>
        <v>5026782.4499999993</v>
      </c>
      <c r="J577" s="1027">
        <v>0</v>
      </c>
      <c r="K577" s="791"/>
      <c r="L577" s="1027">
        <v>0</v>
      </c>
      <c r="M577" s="1026">
        <f t="shared" ref="M577:M583" si="411">+I577+J577-L577</f>
        <v>5026782.4499999993</v>
      </c>
      <c r="N577" s="889">
        <f t="shared" ref="N577:N583" si="412">+Q563</f>
        <v>4270541</v>
      </c>
      <c r="O577" s="1008">
        <v>0</v>
      </c>
      <c r="P577" s="1027">
        <v>0</v>
      </c>
      <c r="Q577" s="1026">
        <f t="shared" ref="Q577:Q583" si="413">+N577+O577-P577</f>
        <v>4270541</v>
      </c>
      <c r="R577" s="891">
        <f>+M577-Q577</f>
        <v>756241.44999999925</v>
      </c>
    </row>
    <row r="578" spans="4:18" x14ac:dyDescent="0.25">
      <c r="D578" s="1634" t="s">
        <v>1224</v>
      </c>
      <c r="E578" s="1635"/>
      <c r="F578" s="1636"/>
      <c r="G578" s="1636"/>
      <c r="H578" s="1636"/>
      <c r="I578" s="1026">
        <f t="shared" si="410"/>
        <v>22019710.159999996</v>
      </c>
      <c r="J578" s="790">
        <v>0</v>
      </c>
      <c r="K578" s="791"/>
      <c r="L578" s="889">
        <v>0</v>
      </c>
      <c r="M578" s="1026">
        <f t="shared" si="411"/>
        <v>22019710.159999996</v>
      </c>
      <c r="N578" s="889">
        <f t="shared" si="412"/>
        <v>8066567</v>
      </c>
      <c r="O578" s="1008">
        <v>0</v>
      </c>
      <c r="P578" s="1027">
        <v>0</v>
      </c>
      <c r="Q578" s="1026">
        <f t="shared" si="413"/>
        <v>8066567</v>
      </c>
      <c r="R578" s="847">
        <f t="shared" ref="R578:R583" si="414">M578-Q578</f>
        <v>13953143.159999996</v>
      </c>
    </row>
    <row r="579" spans="4:18" x14ac:dyDescent="0.25">
      <c r="D579" s="1637" t="s">
        <v>133</v>
      </c>
      <c r="E579" s="1638"/>
      <c r="F579" s="1639"/>
      <c r="G579" s="1639"/>
      <c r="H579" s="1639"/>
      <c r="I579" s="1026">
        <f t="shared" si="410"/>
        <v>22283437.139999997</v>
      </c>
      <c r="J579" s="790">
        <v>0</v>
      </c>
      <c r="K579" s="791"/>
      <c r="L579" s="889">
        <v>0</v>
      </c>
      <c r="M579" s="1026">
        <f t="shared" si="411"/>
        <v>22283437.139999997</v>
      </c>
      <c r="N579" s="889">
        <f t="shared" si="412"/>
        <v>9298939</v>
      </c>
      <c r="O579" s="1008">
        <v>0</v>
      </c>
      <c r="P579" s="1027">
        <v>0</v>
      </c>
      <c r="Q579" s="1026">
        <f t="shared" si="413"/>
        <v>9298939</v>
      </c>
      <c r="R579" s="847">
        <f t="shared" si="414"/>
        <v>12984498.139999997</v>
      </c>
    </row>
    <row r="580" spans="4:18" x14ac:dyDescent="0.25">
      <c r="D580" s="1637" t="s">
        <v>667</v>
      </c>
      <c r="E580" s="1638"/>
      <c r="F580" s="1639"/>
      <c r="G580" s="1639"/>
      <c r="H580" s="1639"/>
      <c r="I580" s="1026">
        <f t="shared" si="410"/>
        <v>5345399.6199999992</v>
      </c>
      <c r="J580" s="790">
        <v>0</v>
      </c>
      <c r="K580" s="791"/>
      <c r="L580" s="889">
        <v>0</v>
      </c>
      <c r="M580" s="1026">
        <f t="shared" si="411"/>
        <v>5345399.6199999992</v>
      </c>
      <c r="N580" s="889">
        <f t="shared" si="412"/>
        <v>4038644</v>
      </c>
      <c r="O580" s="1008">
        <v>0</v>
      </c>
      <c r="P580" s="1027">
        <v>0</v>
      </c>
      <c r="Q580" s="1026">
        <f t="shared" si="413"/>
        <v>4038644</v>
      </c>
      <c r="R580" s="847">
        <f t="shared" si="414"/>
        <v>1306755.6199999992</v>
      </c>
    </row>
    <row r="581" spans="4:18" x14ac:dyDescent="0.25">
      <c r="D581" s="1637" t="s">
        <v>1317</v>
      </c>
      <c r="E581" s="1638"/>
      <c r="F581" s="1639"/>
      <c r="G581" s="1639"/>
      <c r="H581" s="1639"/>
      <c r="I581" s="1026">
        <f t="shared" si="410"/>
        <v>186391413.88999996</v>
      </c>
      <c r="J581" s="790">
        <v>0</v>
      </c>
      <c r="K581" s="791"/>
      <c r="L581" s="889">
        <v>0</v>
      </c>
      <c r="M581" s="1026">
        <f t="shared" si="411"/>
        <v>186391413.88999996</v>
      </c>
      <c r="N581" s="889">
        <f t="shared" si="412"/>
        <v>47931082</v>
      </c>
      <c r="O581" s="1008">
        <v>0</v>
      </c>
      <c r="P581" s="1027">
        <v>0</v>
      </c>
      <c r="Q581" s="1026">
        <f t="shared" si="413"/>
        <v>47931082</v>
      </c>
      <c r="R581" s="847">
        <f t="shared" si="414"/>
        <v>138460331.88999996</v>
      </c>
    </row>
    <row r="582" spans="4:18" ht="15.75" x14ac:dyDescent="0.25">
      <c r="D582" s="1640" t="s">
        <v>669</v>
      </c>
      <c r="E582" s="1641"/>
      <c r="F582" s="1642"/>
      <c r="G582" s="1642"/>
      <c r="H582" s="1642"/>
      <c r="I582" s="1026">
        <f t="shared" si="410"/>
        <v>7191410.4699999997</v>
      </c>
      <c r="J582" s="790">
        <v>0</v>
      </c>
      <c r="K582" s="791"/>
      <c r="L582" s="889">
        <v>0</v>
      </c>
      <c r="M582" s="1026">
        <f t="shared" si="411"/>
        <v>7191410.4699999997</v>
      </c>
      <c r="N582" s="889">
        <f t="shared" si="412"/>
        <v>1735288</v>
      </c>
      <c r="O582" s="1008">
        <v>0</v>
      </c>
      <c r="P582" s="1027">
        <v>0</v>
      </c>
      <c r="Q582" s="1026">
        <f t="shared" si="413"/>
        <v>1735288</v>
      </c>
      <c r="R582" s="847">
        <f t="shared" si="414"/>
        <v>5456122.4699999997</v>
      </c>
    </row>
    <row r="583" spans="4:18" ht="16.5" thickBot="1" x14ac:dyDescent="0.3">
      <c r="D583" s="1643" t="s">
        <v>670</v>
      </c>
      <c r="E583" s="1644"/>
      <c r="F583" s="1645"/>
      <c r="G583" s="1645"/>
      <c r="H583" s="1645"/>
      <c r="I583" s="1026">
        <f t="shared" si="410"/>
        <v>3880501</v>
      </c>
      <c r="J583" s="790">
        <f>+SUM(AQ547:AQ551)</f>
        <v>0</v>
      </c>
      <c r="K583" s="791"/>
      <c r="L583" s="889">
        <v>0</v>
      </c>
      <c r="M583" s="1026">
        <f t="shared" si="411"/>
        <v>3880501</v>
      </c>
      <c r="N583" s="889">
        <f t="shared" si="412"/>
        <v>1691619</v>
      </c>
      <c r="O583" s="1008">
        <v>0</v>
      </c>
      <c r="P583" s="1027">
        <v>0</v>
      </c>
      <c r="Q583" s="1026">
        <f t="shared" si="413"/>
        <v>1691619</v>
      </c>
      <c r="R583" s="847">
        <f t="shared" si="414"/>
        <v>2188882</v>
      </c>
    </row>
    <row r="584" spans="4:18" ht="15.75" thickBot="1" x14ac:dyDescent="0.3">
      <c r="I584" s="834">
        <f>SUM(I576:I583)</f>
        <v>394351772.47999996</v>
      </c>
      <c r="J584" s="834">
        <f>SUM(J576:J583)</f>
        <v>0</v>
      </c>
      <c r="K584" s="1028"/>
      <c r="L584" s="834">
        <f>SUM(L576:L583)</f>
        <v>0</v>
      </c>
      <c r="M584" s="1029">
        <f>SUM(M576:M583)</f>
        <v>394351772.47999996</v>
      </c>
      <c r="N584" s="835">
        <f t="shared" ref="N584:O584" si="415">SUM(N576:N583)</f>
        <v>78824142</v>
      </c>
      <c r="O584" s="835">
        <f t="shared" si="415"/>
        <v>0</v>
      </c>
      <c r="P584" s="835">
        <f>SUM(P576:P583)</f>
        <v>0</v>
      </c>
      <c r="Q584" s="1029">
        <f>SUM(Q576:Q583)</f>
        <v>78824142</v>
      </c>
      <c r="R584" s="1030">
        <f>SUM(R576:R583)</f>
        <v>315527630.47999996</v>
      </c>
    </row>
  </sheetData>
  <autoFilter ref="A4:AU4" xr:uid="{00000000-0009-0000-0000-000019000000}"/>
  <mergeCells count="48">
    <mergeCell ref="AJ3:AO3"/>
    <mergeCell ref="AP3:AU3"/>
    <mergeCell ref="L2:Q2"/>
    <mergeCell ref="R2:W2"/>
    <mergeCell ref="X2:AC2"/>
    <mergeCell ref="AD2:AI2"/>
    <mergeCell ref="AJ2:AO2"/>
    <mergeCell ref="AP2:AU2"/>
    <mergeCell ref="D545:H545"/>
    <mergeCell ref="L3:Q3"/>
    <mergeCell ref="R3:W3"/>
    <mergeCell ref="X3:AC3"/>
    <mergeCell ref="AD3:AI3"/>
    <mergeCell ref="D542:M542"/>
    <mergeCell ref="D543:H543"/>
    <mergeCell ref="R543:S543"/>
    <mergeCell ref="U543:V543"/>
    <mergeCell ref="D544:H544"/>
    <mergeCell ref="D559:R559"/>
    <mergeCell ref="N560:Q560"/>
    <mergeCell ref="D546:H546"/>
    <mergeCell ref="D547:H547"/>
    <mergeCell ref="D548:H548"/>
    <mergeCell ref="D549:H549"/>
    <mergeCell ref="D550:H550"/>
    <mergeCell ref="D551:H551"/>
    <mergeCell ref="D569:H569"/>
    <mergeCell ref="I560:M560"/>
    <mergeCell ref="D561:H561"/>
    <mergeCell ref="D562:H562"/>
    <mergeCell ref="D563:H563"/>
    <mergeCell ref="D564:H564"/>
    <mergeCell ref="D565:H565"/>
    <mergeCell ref="D566:H566"/>
    <mergeCell ref="D567:H567"/>
    <mergeCell ref="D568:H568"/>
    <mergeCell ref="D573:R573"/>
    <mergeCell ref="I574:M574"/>
    <mergeCell ref="N574:Q574"/>
    <mergeCell ref="D575:H575"/>
    <mergeCell ref="D576:H576"/>
    <mergeCell ref="D582:H582"/>
    <mergeCell ref="D583:H583"/>
    <mergeCell ref="D577:H577"/>
    <mergeCell ref="D578:H578"/>
    <mergeCell ref="D579:H579"/>
    <mergeCell ref="D580:H580"/>
    <mergeCell ref="D581:H581"/>
  </mergeCell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3FBC-2958-4DAD-984F-C9AD5F432043}">
  <dimension ref="A1:I580"/>
  <sheetViews>
    <sheetView topLeftCell="A111" workbookViewId="0">
      <selection activeCell="E129" sqref="E129"/>
    </sheetView>
  </sheetViews>
  <sheetFormatPr defaultRowHeight="15" x14ac:dyDescent="0.25"/>
  <cols>
    <col min="1" max="1" width="44.85546875" bestFit="1" customWidth="1"/>
    <col min="2" max="2" width="13.28515625" bestFit="1" customWidth="1"/>
    <col min="3" max="4" width="12.28515625" bestFit="1" customWidth="1"/>
    <col min="5" max="5" width="13.28515625" bestFit="1" customWidth="1"/>
    <col min="8" max="8" width="14" bestFit="1" customWidth="1"/>
    <col min="9" max="9" width="14" style="1306" bestFit="1" customWidth="1"/>
  </cols>
  <sheetData>
    <row r="1" spans="1:5" ht="15.75" x14ac:dyDescent="0.25">
      <c r="A1" s="1705" t="s">
        <v>1576</v>
      </c>
      <c r="B1" s="1705"/>
      <c r="C1" s="1705"/>
      <c r="D1" s="485"/>
      <c r="E1" s="485"/>
    </row>
    <row r="2" spans="1:5" x14ac:dyDescent="0.25">
      <c r="A2" s="1698" t="s">
        <v>205</v>
      </c>
      <c r="B2" s="1698"/>
      <c r="C2" s="1698"/>
      <c r="D2" s="485"/>
      <c r="E2" s="485"/>
    </row>
    <row r="3" spans="1:5" x14ac:dyDescent="0.25">
      <c r="A3" s="1698" t="s">
        <v>206</v>
      </c>
      <c r="B3" s="1698"/>
      <c r="C3" s="1698"/>
      <c r="D3" s="485"/>
      <c r="E3" s="485"/>
    </row>
    <row r="4" spans="1:5" x14ac:dyDescent="0.25">
      <c r="A4" s="1698" t="s">
        <v>207</v>
      </c>
      <c r="B4" s="1698"/>
      <c r="C4" s="1698"/>
      <c r="D4" s="485"/>
      <c r="E4" s="485"/>
    </row>
    <row r="5" spans="1:5" x14ac:dyDescent="0.25">
      <c r="A5" s="1706" t="s">
        <v>1577</v>
      </c>
      <c r="B5" s="1706"/>
      <c r="C5" s="1706"/>
      <c r="D5" s="485"/>
      <c r="E5" s="485"/>
    </row>
    <row r="6" spans="1:5" ht="15.75" x14ac:dyDescent="0.25">
      <c r="A6" s="1707" t="s">
        <v>199</v>
      </c>
      <c r="B6" s="1707"/>
      <c r="C6" s="1707"/>
      <c r="D6" s="485"/>
      <c r="E6" s="485"/>
    </row>
    <row r="7" spans="1:5" x14ac:dyDescent="0.25">
      <c r="A7" s="1698" t="s">
        <v>1578</v>
      </c>
      <c r="B7" s="1698"/>
      <c r="C7" s="1698"/>
      <c r="D7" s="485"/>
      <c r="E7" s="485"/>
    </row>
    <row r="8" spans="1:5" x14ac:dyDescent="0.25">
      <c r="A8" s="1082" t="s">
        <v>197</v>
      </c>
      <c r="B8" s="1699" t="s">
        <v>1579</v>
      </c>
      <c r="C8" s="1700"/>
      <c r="D8" s="1700"/>
      <c r="E8" s="1700"/>
    </row>
    <row r="9" spans="1:5" x14ac:dyDescent="0.25">
      <c r="A9" s="1083" t="s">
        <v>0</v>
      </c>
      <c r="B9" s="1701" t="s">
        <v>1578</v>
      </c>
      <c r="C9" s="1702"/>
      <c r="D9" s="1702"/>
      <c r="E9" s="1702"/>
    </row>
    <row r="10" spans="1:5" x14ac:dyDescent="0.25">
      <c r="A10" s="1083" t="s">
        <v>197</v>
      </c>
      <c r="B10" s="486" t="s">
        <v>869</v>
      </c>
      <c r="C10" s="1703" t="s">
        <v>866</v>
      </c>
      <c r="D10" s="1704"/>
      <c r="E10" s="486" t="s">
        <v>867</v>
      </c>
    </row>
    <row r="11" spans="1:5" x14ac:dyDescent="0.25">
      <c r="A11" s="1085" t="s">
        <v>197</v>
      </c>
      <c r="B11" s="487" t="s">
        <v>865</v>
      </c>
      <c r="C11" s="368" t="s">
        <v>194</v>
      </c>
      <c r="D11" s="368" t="s">
        <v>195</v>
      </c>
      <c r="E11" s="487" t="s">
        <v>865</v>
      </c>
    </row>
    <row r="12" spans="1:5" x14ac:dyDescent="0.25">
      <c r="A12" s="253" t="s">
        <v>208</v>
      </c>
      <c r="B12" s="1307">
        <v>992170</v>
      </c>
      <c r="C12" s="497"/>
      <c r="D12" s="497"/>
      <c r="E12" s="1307">
        <v>684295</v>
      </c>
    </row>
    <row r="13" spans="1:5" x14ac:dyDescent="0.25">
      <c r="A13" s="252" t="s">
        <v>1580</v>
      </c>
      <c r="B13" s="490">
        <v>0.66</v>
      </c>
      <c r="C13" s="497"/>
      <c r="D13" s="497"/>
      <c r="E13" s="490">
        <v>0.66</v>
      </c>
    </row>
    <row r="14" spans="1:5" x14ac:dyDescent="0.25">
      <c r="A14" s="252" t="s">
        <v>901</v>
      </c>
      <c r="B14" s="496">
        <v>0.2</v>
      </c>
      <c r="C14" s="535">
        <v>2403046.64</v>
      </c>
      <c r="D14" s="535">
        <v>2377516.69</v>
      </c>
      <c r="E14" s="496">
        <v>25530.15</v>
      </c>
    </row>
    <row r="15" spans="1:5" x14ac:dyDescent="0.25">
      <c r="A15" s="252" t="s">
        <v>1412</v>
      </c>
      <c r="B15" s="491"/>
      <c r="C15" s="535">
        <v>173187.14</v>
      </c>
      <c r="D15" s="535">
        <v>2419.7600000000002</v>
      </c>
      <c r="E15" s="496">
        <v>170767.38</v>
      </c>
    </row>
    <row r="16" spans="1:5" x14ac:dyDescent="0.25">
      <c r="A16" s="252" t="s">
        <v>1413</v>
      </c>
      <c r="B16" s="491"/>
      <c r="C16" s="535">
        <v>173187.14</v>
      </c>
      <c r="D16" s="535">
        <v>2419.7600000000002</v>
      </c>
      <c r="E16" s="496">
        <v>170767.38</v>
      </c>
    </row>
    <row r="17" spans="1:5" x14ac:dyDescent="0.25">
      <c r="A17" s="252" t="s">
        <v>542</v>
      </c>
      <c r="B17" s="496">
        <v>3601.79</v>
      </c>
      <c r="C17" s="535">
        <v>2774761.26</v>
      </c>
      <c r="D17" s="535">
        <v>2736397.2</v>
      </c>
      <c r="E17" s="496">
        <v>41965.85</v>
      </c>
    </row>
    <row r="18" spans="1:5" x14ac:dyDescent="0.25">
      <c r="A18" s="252" t="s">
        <v>209</v>
      </c>
      <c r="B18" s="490">
        <v>176229.92</v>
      </c>
      <c r="C18" s="535">
        <v>3654679</v>
      </c>
      <c r="D18" s="535">
        <v>3594374.4</v>
      </c>
      <c r="E18" s="490">
        <v>115925.32</v>
      </c>
    </row>
    <row r="19" spans="1:5" x14ac:dyDescent="0.25">
      <c r="A19" s="252" t="s">
        <v>902</v>
      </c>
      <c r="B19" s="496">
        <v>36</v>
      </c>
      <c r="C19" s="535">
        <v>58193.74</v>
      </c>
      <c r="D19" s="535">
        <v>52339.6</v>
      </c>
      <c r="E19" s="496">
        <v>5890.14</v>
      </c>
    </row>
    <row r="20" spans="1:5" x14ac:dyDescent="0.25">
      <c r="A20" s="252" t="s">
        <v>903</v>
      </c>
      <c r="B20" s="496">
        <v>36</v>
      </c>
      <c r="C20" s="535">
        <v>58193.74</v>
      </c>
      <c r="D20" s="535">
        <v>52339.6</v>
      </c>
      <c r="E20" s="496">
        <v>5890.14</v>
      </c>
    </row>
    <row r="21" spans="1:5" x14ac:dyDescent="0.25">
      <c r="A21" s="252" t="s">
        <v>1581</v>
      </c>
      <c r="B21" s="491"/>
      <c r="C21" s="535">
        <v>13900</v>
      </c>
      <c r="D21" s="535">
        <v>13900</v>
      </c>
      <c r="E21" s="491"/>
    </row>
    <row r="22" spans="1:5" x14ac:dyDescent="0.25">
      <c r="A22" s="252" t="s">
        <v>904</v>
      </c>
      <c r="B22" s="496">
        <v>1213.77</v>
      </c>
      <c r="C22" s="535">
        <v>175193.01</v>
      </c>
      <c r="D22" s="535">
        <v>109083.33</v>
      </c>
      <c r="E22" s="496">
        <v>67323.45</v>
      </c>
    </row>
    <row r="23" spans="1:5" x14ac:dyDescent="0.25">
      <c r="A23" s="252" t="s">
        <v>905</v>
      </c>
      <c r="B23" s="496">
        <v>1213.77</v>
      </c>
      <c r="C23" s="535">
        <v>175193.01</v>
      </c>
      <c r="D23" s="535">
        <v>109083.33</v>
      </c>
      <c r="E23" s="496">
        <v>67323.45</v>
      </c>
    </row>
    <row r="24" spans="1:5" x14ac:dyDescent="0.25">
      <c r="A24" s="252" t="s">
        <v>210</v>
      </c>
      <c r="B24" s="496">
        <v>21012.18</v>
      </c>
      <c r="C24" s="535">
        <v>4804609.78</v>
      </c>
      <c r="D24" s="535">
        <v>4933230.9000000004</v>
      </c>
      <c r="E24" s="490">
        <v>107608.94</v>
      </c>
    </row>
    <row r="25" spans="1:5" x14ac:dyDescent="0.25">
      <c r="A25" s="252" t="s">
        <v>211</v>
      </c>
      <c r="B25" s="490">
        <v>1305793.6200000001</v>
      </c>
      <c r="C25" s="535">
        <v>12842168.33</v>
      </c>
      <c r="D25" s="535">
        <v>11474593.33</v>
      </c>
      <c r="E25" s="496">
        <v>61781.38</v>
      </c>
    </row>
    <row r="26" spans="1:5" x14ac:dyDescent="0.25">
      <c r="A26" s="252" t="s">
        <v>212</v>
      </c>
      <c r="B26" s="496">
        <v>21011.7</v>
      </c>
      <c r="C26" s="535">
        <v>4849654.78</v>
      </c>
      <c r="D26" s="535">
        <v>4933230.9000000004</v>
      </c>
      <c r="E26" s="490">
        <v>62564.42</v>
      </c>
    </row>
    <row r="27" spans="1:5" x14ac:dyDescent="0.25">
      <c r="A27" s="252" t="s">
        <v>1414</v>
      </c>
      <c r="B27" s="490">
        <v>1421717.18</v>
      </c>
      <c r="C27" s="535">
        <v>12842168.33</v>
      </c>
      <c r="D27" s="535">
        <v>11474593.33</v>
      </c>
      <c r="E27" s="490">
        <v>54142.18</v>
      </c>
    </row>
    <row r="28" spans="1:5" x14ac:dyDescent="0.25">
      <c r="A28" s="252" t="s">
        <v>214</v>
      </c>
      <c r="B28" s="496">
        <v>3475000</v>
      </c>
      <c r="C28" s="497"/>
      <c r="D28" s="497"/>
      <c r="E28" s="496">
        <v>3475000</v>
      </c>
    </row>
    <row r="29" spans="1:5" x14ac:dyDescent="0.25">
      <c r="A29" s="252" t="s">
        <v>215</v>
      </c>
      <c r="B29" s="496">
        <v>480935</v>
      </c>
      <c r="C29" s="497"/>
      <c r="D29" s="497"/>
      <c r="E29" s="496">
        <v>480935</v>
      </c>
    </row>
    <row r="30" spans="1:5" x14ac:dyDescent="0.25">
      <c r="A30" s="252" t="s">
        <v>129</v>
      </c>
      <c r="B30" s="490">
        <v>78824140</v>
      </c>
      <c r="C30" s="497"/>
      <c r="D30" s="497"/>
      <c r="E30" s="490">
        <v>78824140</v>
      </c>
    </row>
    <row r="31" spans="1:5" x14ac:dyDescent="0.25">
      <c r="A31" s="252" t="s">
        <v>1582</v>
      </c>
      <c r="B31" s="491"/>
      <c r="C31" s="535">
        <v>12000</v>
      </c>
      <c r="D31" s="497"/>
      <c r="E31" s="496">
        <v>12000</v>
      </c>
    </row>
    <row r="32" spans="1:5" x14ac:dyDescent="0.25">
      <c r="A32" s="252" t="s">
        <v>216</v>
      </c>
      <c r="B32" s="496">
        <v>967679</v>
      </c>
      <c r="C32" s="535">
        <v>20500</v>
      </c>
      <c r="D32" s="497"/>
      <c r="E32" s="496">
        <v>988179</v>
      </c>
    </row>
    <row r="33" spans="1:5" x14ac:dyDescent="0.25">
      <c r="A33" s="252" t="s">
        <v>217</v>
      </c>
      <c r="B33" s="496">
        <v>7500</v>
      </c>
      <c r="C33" s="497"/>
      <c r="D33" s="497"/>
      <c r="E33" s="496">
        <v>7500</v>
      </c>
    </row>
    <row r="34" spans="1:5" x14ac:dyDescent="0.25">
      <c r="A34" s="252" t="s">
        <v>1583</v>
      </c>
      <c r="B34" s="491"/>
      <c r="C34" s="535">
        <v>896700</v>
      </c>
      <c r="D34" s="497"/>
      <c r="E34" s="496">
        <v>896700</v>
      </c>
    </row>
    <row r="35" spans="1:5" x14ac:dyDescent="0.25">
      <c r="A35" s="252" t="s">
        <v>1584</v>
      </c>
      <c r="B35" s="491"/>
      <c r="C35" s="535">
        <v>297000</v>
      </c>
      <c r="D35" s="535">
        <v>297000</v>
      </c>
      <c r="E35" s="491"/>
    </row>
    <row r="36" spans="1:5" x14ac:dyDescent="0.25">
      <c r="A36" s="252" t="s">
        <v>1585</v>
      </c>
      <c r="B36" s="491"/>
      <c r="C36" s="535">
        <v>80000</v>
      </c>
      <c r="D36" s="535">
        <v>80000</v>
      </c>
      <c r="E36" s="491"/>
    </row>
    <row r="37" spans="1:5" x14ac:dyDescent="0.25">
      <c r="A37" s="252" t="s">
        <v>1586</v>
      </c>
      <c r="B37" s="491"/>
      <c r="C37" s="535">
        <v>280000</v>
      </c>
      <c r="D37" s="535">
        <v>280000</v>
      </c>
      <c r="E37" s="491"/>
    </row>
    <row r="38" spans="1:5" x14ac:dyDescent="0.25">
      <c r="A38" s="252" t="s">
        <v>1587</v>
      </c>
      <c r="B38" s="491"/>
      <c r="C38" s="535">
        <v>280000</v>
      </c>
      <c r="D38" s="535">
        <v>280000</v>
      </c>
      <c r="E38" s="491"/>
    </row>
    <row r="39" spans="1:5" x14ac:dyDescent="0.25">
      <c r="A39" s="252" t="s">
        <v>1588</v>
      </c>
      <c r="B39" s="491"/>
      <c r="C39" s="535">
        <v>120000</v>
      </c>
      <c r="D39" s="535">
        <v>120000</v>
      </c>
      <c r="E39" s="491"/>
    </row>
    <row r="40" spans="1:5" x14ac:dyDescent="0.25">
      <c r="A40" s="252" t="s">
        <v>1589</v>
      </c>
      <c r="B40" s="491"/>
      <c r="C40" s="535">
        <v>240000</v>
      </c>
      <c r="D40" s="535">
        <v>240000</v>
      </c>
      <c r="E40" s="491"/>
    </row>
    <row r="41" spans="1:5" x14ac:dyDescent="0.25">
      <c r="A41" s="252" t="s">
        <v>1590</v>
      </c>
      <c r="B41" s="491"/>
      <c r="C41" s="535">
        <v>80000</v>
      </c>
      <c r="D41" s="535">
        <v>80000</v>
      </c>
      <c r="E41" s="491"/>
    </row>
    <row r="42" spans="1:5" x14ac:dyDescent="0.25">
      <c r="A42" s="252" t="s">
        <v>1591</v>
      </c>
      <c r="B42" s="491"/>
      <c r="C42" s="535">
        <v>320000</v>
      </c>
      <c r="D42" s="535">
        <v>320000</v>
      </c>
      <c r="E42" s="491"/>
    </row>
    <row r="43" spans="1:5" x14ac:dyDescent="0.25">
      <c r="A43" s="252" t="s">
        <v>906</v>
      </c>
      <c r="B43" s="496">
        <v>200000</v>
      </c>
      <c r="C43" s="497"/>
      <c r="D43" s="535">
        <v>150000</v>
      </c>
      <c r="E43" s="496">
        <v>50000</v>
      </c>
    </row>
    <row r="44" spans="1:5" x14ac:dyDescent="0.25">
      <c r="A44" s="252" t="s">
        <v>907</v>
      </c>
      <c r="B44" s="496">
        <v>10000</v>
      </c>
      <c r="C44" s="535">
        <v>50000</v>
      </c>
      <c r="D44" s="535">
        <v>60000</v>
      </c>
      <c r="E44" s="491"/>
    </row>
    <row r="45" spans="1:5" x14ac:dyDescent="0.25">
      <c r="A45" s="252" t="s">
        <v>1592</v>
      </c>
      <c r="B45" s="491"/>
      <c r="C45" s="535">
        <v>360000</v>
      </c>
      <c r="D45" s="535">
        <v>240000</v>
      </c>
      <c r="E45" s="496">
        <v>120000</v>
      </c>
    </row>
    <row r="46" spans="1:5" x14ac:dyDescent="0.25">
      <c r="A46" s="252" t="s">
        <v>1593</v>
      </c>
      <c r="B46" s="491"/>
      <c r="C46" s="535">
        <v>200000</v>
      </c>
      <c r="D46" s="535">
        <v>80000</v>
      </c>
      <c r="E46" s="496">
        <v>120000</v>
      </c>
    </row>
    <row r="47" spans="1:5" x14ac:dyDescent="0.25">
      <c r="A47" s="252" t="s">
        <v>908</v>
      </c>
      <c r="B47" s="496">
        <v>1794</v>
      </c>
      <c r="C47" s="497"/>
      <c r="D47" s="497"/>
      <c r="E47" s="496">
        <v>1794</v>
      </c>
    </row>
    <row r="48" spans="1:5" x14ac:dyDescent="0.25">
      <c r="A48" s="252" t="s">
        <v>911</v>
      </c>
      <c r="B48" s="496">
        <v>175255</v>
      </c>
      <c r="C48" s="497"/>
      <c r="D48" s="497"/>
      <c r="E48" s="496">
        <v>175255</v>
      </c>
    </row>
    <row r="49" spans="1:5" x14ac:dyDescent="0.25">
      <c r="A49" s="252" t="s">
        <v>912</v>
      </c>
      <c r="B49" s="496">
        <v>180000</v>
      </c>
      <c r="C49" s="497"/>
      <c r="D49" s="535">
        <v>60000</v>
      </c>
      <c r="E49" s="496">
        <v>120000</v>
      </c>
    </row>
    <row r="50" spans="1:5" x14ac:dyDescent="0.25">
      <c r="A50" s="252" t="s">
        <v>1594</v>
      </c>
      <c r="B50" s="491"/>
      <c r="C50" s="535">
        <v>25000</v>
      </c>
      <c r="D50" s="535">
        <v>18581</v>
      </c>
      <c r="E50" s="496">
        <v>6419</v>
      </c>
    </row>
    <row r="51" spans="1:5" x14ac:dyDescent="0.25">
      <c r="A51" s="252" t="s">
        <v>913</v>
      </c>
      <c r="B51" s="496">
        <v>5000</v>
      </c>
      <c r="C51" s="497"/>
      <c r="D51" s="535">
        <v>5000</v>
      </c>
      <c r="E51" s="491"/>
    </row>
    <row r="52" spans="1:5" x14ac:dyDescent="0.25">
      <c r="A52" s="252" t="s">
        <v>1595</v>
      </c>
      <c r="B52" s="491"/>
      <c r="C52" s="535">
        <v>60000</v>
      </c>
      <c r="D52" s="535">
        <v>40000</v>
      </c>
      <c r="E52" s="496">
        <v>20000</v>
      </c>
    </row>
    <row r="53" spans="1:5" x14ac:dyDescent="0.25">
      <c r="A53" s="252" t="s">
        <v>1596</v>
      </c>
      <c r="B53" s="491"/>
      <c r="C53" s="535">
        <v>200000</v>
      </c>
      <c r="D53" s="535">
        <v>25000</v>
      </c>
      <c r="E53" s="496">
        <v>175000</v>
      </c>
    </row>
    <row r="54" spans="1:5" x14ac:dyDescent="0.25">
      <c r="A54" s="252" t="s">
        <v>220</v>
      </c>
      <c r="B54" s="496">
        <v>3776</v>
      </c>
      <c r="C54" s="497"/>
      <c r="D54" s="497"/>
      <c r="E54" s="496">
        <v>3776</v>
      </c>
    </row>
    <row r="55" spans="1:5" x14ac:dyDescent="0.25">
      <c r="A55" s="252" t="s">
        <v>915</v>
      </c>
      <c r="B55" s="496">
        <v>35000</v>
      </c>
      <c r="C55" s="497"/>
      <c r="D55" s="535">
        <v>35000</v>
      </c>
      <c r="E55" s="491"/>
    </row>
    <row r="56" spans="1:5" x14ac:dyDescent="0.25">
      <c r="A56" s="252" t="s">
        <v>916</v>
      </c>
      <c r="B56" s="496">
        <v>25000000</v>
      </c>
      <c r="C56" s="497"/>
      <c r="D56" s="497"/>
      <c r="E56" s="496">
        <v>25000000</v>
      </c>
    </row>
    <row r="57" spans="1:5" x14ac:dyDescent="0.25">
      <c r="A57" s="252" t="s">
        <v>1597</v>
      </c>
      <c r="B57" s="491"/>
      <c r="C57" s="535">
        <v>8651318.6500000004</v>
      </c>
      <c r="D57" s="535">
        <v>8651318.6500000004</v>
      </c>
      <c r="E57" s="491"/>
    </row>
    <row r="58" spans="1:5" x14ac:dyDescent="0.25">
      <c r="A58" s="252" t="s">
        <v>1598</v>
      </c>
      <c r="B58" s="491"/>
      <c r="C58" s="497"/>
      <c r="D58" s="535">
        <v>22500</v>
      </c>
      <c r="E58" s="490">
        <v>22500</v>
      </c>
    </row>
    <row r="59" spans="1:5" x14ac:dyDescent="0.25">
      <c r="A59" s="252" t="s">
        <v>221</v>
      </c>
      <c r="B59" s="490">
        <v>54000</v>
      </c>
      <c r="C59" s="535">
        <v>594173</v>
      </c>
      <c r="D59" s="535">
        <v>702173</v>
      </c>
      <c r="E59" s="490">
        <v>162000</v>
      </c>
    </row>
    <row r="60" spans="1:5" x14ac:dyDescent="0.25">
      <c r="A60" s="252" t="s">
        <v>222</v>
      </c>
      <c r="B60" s="496">
        <v>3718197.5</v>
      </c>
      <c r="C60" s="535">
        <v>50370</v>
      </c>
      <c r="D60" s="497"/>
      <c r="E60" s="496">
        <v>3768567.5</v>
      </c>
    </row>
    <row r="61" spans="1:5" x14ac:dyDescent="0.25">
      <c r="A61" s="252" t="s">
        <v>839</v>
      </c>
      <c r="B61" s="491"/>
      <c r="C61" s="535">
        <v>66150</v>
      </c>
      <c r="D61" s="497"/>
      <c r="E61" s="496">
        <v>66150</v>
      </c>
    </row>
    <row r="62" spans="1:5" x14ac:dyDescent="0.25">
      <c r="A62" s="252" t="s">
        <v>223</v>
      </c>
      <c r="B62" s="491"/>
      <c r="C62" s="497"/>
      <c r="D62" s="535">
        <v>33099</v>
      </c>
      <c r="E62" s="490">
        <v>33099</v>
      </c>
    </row>
    <row r="63" spans="1:5" x14ac:dyDescent="0.25">
      <c r="A63" s="252" t="s">
        <v>1599</v>
      </c>
      <c r="B63" s="491"/>
      <c r="C63" s="535">
        <v>7493</v>
      </c>
      <c r="D63" s="535">
        <v>44893</v>
      </c>
      <c r="E63" s="490">
        <v>37400</v>
      </c>
    </row>
    <row r="64" spans="1:5" x14ac:dyDescent="0.25">
      <c r="A64" s="252" t="s">
        <v>224</v>
      </c>
      <c r="B64" s="490">
        <v>193740.9</v>
      </c>
      <c r="C64" s="535">
        <v>1050114.28</v>
      </c>
      <c r="D64" s="535">
        <v>1007145.94</v>
      </c>
      <c r="E64" s="490">
        <v>150772.56</v>
      </c>
    </row>
    <row r="65" spans="1:5" x14ac:dyDescent="0.25">
      <c r="A65" s="252" t="s">
        <v>534</v>
      </c>
      <c r="B65" s="491"/>
      <c r="C65" s="535">
        <v>3538.82</v>
      </c>
      <c r="D65" s="535">
        <v>3538.82</v>
      </c>
      <c r="E65" s="491"/>
    </row>
    <row r="66" spans="1:5" x14ac:dyDescent="0.25">
      <c r="A66" s="252" t="s">
        <v>917</v>
      </c>
      <c r="B66" s="491"/>
      <c r="C66" s="535">
        <v>95957</v>
      </c>
      <c r="D66" s="535">
        <v>95957</v>
      </c>
      <c r="E66" s="491"/>
    </row>
    <row r="67" spans="1:5" x14ac:dyDescent="0.25">
      <c r="A67" s="252" t="s">
        <v>1600</v>
      </c>
      <c r="B67" s="491"/>
      <c r="C67" s="535">
        <v>153683</v>
      </c>
      <c r="D67" s="535">
        <v>151587</v>
      </c>
      <c r="E67" s="496">
        <v>2096</v>
      </c>
    </row>
    <row r="68" spans="1:5" x14ac:dyDescent="0.25">
      <c r="A68" s="252" t="s">
        <v>225</v>
      </c>
      <c r="B68" s="491"/>
      <c r="C68" s="535">
        <v>216000</v>
      </c>
      <c r="D68" s="497"/>
      <c r="E68" s="496">
        <v>216000</v>
      </c>
    </row>
    <row r="69" spans="1:5" x14ac:dyDescent="0.25">
      <c r="A69" s="252" t="s">
        <v>1601</v>
      </c>
      <c r="B69" s="491"/>
      <c r="C69" s="535">
        <v>32395.72</v>
      </c>
      <c r="D69" s="535">
        <v>32395.72</v>
      </c>
      <c r="E69" s="491"/>
    </row>
    <row r="70" spans="1:5" x14ac:dyDescent="0.25">
      <c r="A70" s="252" t="s">
        <v>546</v>
      </c>
      <c r="B70" s="490">
        <v>63362</v>
      </c>
      <c r="C70" s="535">
        <v>284633</v>
      </c>
      <c r="D70" s="535">
        <v>221271</v>
      </c>
      <c r="E70" s="491"/>
    </row>
    <row r="71" spans="1:5" x14ac:dyDescent="0.25">
      <c r="A71" s="252" t="s">
        <v>918</v>
      </c>
      <c r="B71" s="490">
        <v>324264</v>
      </c>
      <c r="C71" s="535">
        <v>394592</v>
      </c>
      <c r="D71" s="535">
        <v>276828</v>
      </c>
      <c r="E71" s="490">
        <v>206500</v>
      </c>
    </row>
    <row r="72" spans="1:5" x14ac:dyDescent="0.25">
      <c r="A72" s="252" t="s">
        <v>1602</v>
      </c>
      <c r="B72" s="491"/>
      <c r="C72" s="535">
        <v>26550</v>
      </c>
      <c r="D72" s="535">
        <v>26550</v>
      </c>
      <c r="E72" s="491"/>
    </row>
    <row r="73" spans="1:5" x14ac:dyDescent="0.25">
      <c r="A73" s="252" t="s">
        <v>1603</v>
      </c>
      <c r="B73" s="491"/>
      <c r="C73" s="535">
        <v>7250</v>
      </c>
      <c r="D73" s="497"/>
      <c r="E73" s="496">
        <v>7250</v>
      </c>
    </row>
    <row r="74" spans="1:5" x14ac:dyDescent="0.25">
      <c r="A74" s="252" t="s">
        <v>226</v>
      </c>
      <c r="B74" s="491"/>
      <c r="C74" s="535">
        <v>2653566</v>
      </c>
      <c r="D74" s="497"/>
      <c r="E74" s="496">
        <v>2653566</v>
      </c>
    </row>
    <row r="75" spans="1:5" x14ac:dyDescent="0.25">
      <c r="A75" s="252" t="s">
        <v>228</v>
      </c>
      <c r="B75" s="496">
        <v>24797781.170000002</v>
      </c>
      <c r="C75" s="535">
        <v>15820489.640000001</v>
      </c>
      <c r="D75" s="535">
        <v>35984349.600000001</v>
      </c>
      <c r="E75" s="496">
        <v>4633921.21</v>
      </c>
    </row>
    <row r="76" spans="1:5" x14ac:dyDescent="0.25">
      <c r="A76" s="252" t="s">
        <v>229</v>
      </c>
      <c r="B76" s="496">
        <v>14014410.4</v>
      </c>
      <c r="C76" s="535">
        <v>10700629.18</v>
      </c>
      <c r="D76" s="535">
        <v>19846555.379999999</v>
      </c>
      <c r="E76" s="496">
        <v>4868484.2</v>
      </c>
    </row>
    <row r="77" spans="1:5" x14ac:dyDescent="0.25">
      <c r="A77" s="252" t="s">
        <v>1604</v>
      </c>
      <c r="B77" s="491"/>
      <c r="C77" s="535">
        <v>169286</v>
      </c>
      <c r="D77" s="535">
        <v>169728</v>
      </c>
      <c r="E77" s="490">
        <v>442</v>
      </c>
    </row>
    <row r="78" spans="1:5" x14ac:dyDescent="0.25">
      <c r="A78" s="252" t="s">
        <v>919</v>
      </c>
      <c r="B78" s="490">
        <v>53396.4</v>
      </c>
      <c r="C78" s="535">
        <v>53396.4</v>
      </c>
      <c r="D78" s="535">
        <v>35535.699999999997</v>
      </c>
      <c r="E78" s="490">
        <v>35535.699999999997</v>
      </c>
    </row>
    <row r="79" spans="1:5" ht="14.45" customHeight="1" x14ac:dyDescent="0.25">
      <c r="A79" s="1308" t="s">
        <v>1605</v>
      </c>
      <c r="B79" s="491"/>
      <c r="C79" s="535">
        <v>1720</v>
      </c>
      <c r="D79" s="535">
        <v>1720</v>
      </c>
      <c r="E79" s="491"/>
    </row>
    <row r="80" spans="1:5" x14ac:dyDescent="0.25">
      <c r="A80" s="252" t="s">
        <v>230</v>
      </c>
      <c r="B80" s="490">
        <v>51489</v>
      </c>
      <c r="C80" s="535">
        <v>365012</v>
      </c>
      <c r="D80" s="535">
        <v>485185</v>
      </c>
      <c r="E80" s="490">
        <v>171662</v>
      </c>
    </row>
    <row r="81" spans="1:5" x14ac:dyDescent="0.25">
      <c r="A81" s="252" t="s">
        <v>1606</v>
      </c>
      <c r="B81" s="491"/>
      <c r="C81" s="535">
        <v>736748</v>
      </c>
      <c r="D81" s="535">
        <v>736748</v>
      </c>
      <c r="E81" s="491"/>
    </row>
    <row r="82" spans="1:5" x14ac:dyDescent="0.25">
      <c r="A82" s="252" t="s">
        <v>1607</v>
      </c>
      <c r="B82" s="491"/>
      <c r="C82" s="535">
        <v>1780</v>
      </c>
      <c r="D82" s="535">
        <v>1780</v>
      </c>
      <c r="E82" s="491"/>
    </row>
    <row r="83" spans="1:5" x14ac:dyDescent="0.25">
      <c r="A83" s="252" t="s">
        <v>1608</v>
      </c>
      <c r="B83" s="491"/>
      <c r="C83" s="535">
        <v>23600</v>
      </c>
      <c r="D83" s="535">
        <v>23600</v>
      </c>
      <c r="E83" s="491"/>
    </row>
    <row r="84" spans="1:5" x14ac:dyDescent="0.25">
      <c r="A84" s="252" t="s">
        <v>1609</v>
      </c>
      <c r="B84" s="491"/>
      <c r="C84" s="535">
        <v>159817.04</v>
      </c>
      <c r="D84" s="535">
        <v>159817.04</v>
      </c>
      <c r="E84" s="491"/>
    </row>
    <row r="85" spans="1:5" x14ac:dyDescent="0.25">
      <c r="A85" s="252" t="s">
        <v>231</v>
      </c>
      <c r="B85" s="491"/>
      <c r="C85" s="535">
        <v>35000</v>
      </c>
      <c r="D85" s="497"/>
      <c r="E85" s="496">
        <v>35000</v>
      </c>
    </row>
    <row r="86" spans="1:5" x14ac:dyDescent="0.25">
      <c r="A86" s="252" t="s">
        <v>232</v>
      </c>
      <c r="B86" s="490">
        <v>35000</v>
      </c>
      <c r="C86" s="535">
        <v>35000</v>
      </c>
      <c r="D86" s="535">
        <v>31500</v>
      </c>
      <c r="E86" s="490">
        <v>31500</v>
      </c>
    </row>
    <row r="87" spans="1:5" x14ac:dyDescent="0.25">
      <c r="A87" s="252" t="s">
        <v>233</v>
      </c>
      <c r="B87" s="491"/>
      <c r="C87" s="535">
        <v>6994846</v>
      </c>
      <c r="D87" s="535">
        <v>6994846</v>
      </c>
      <c r="E87" s="491"/>
    </row>
    <row r="88" spans="1:5" x14ac:dyDescent="0.25">
      <c r="A88" s="252" t="s">
        <v>1610</v>
      </c>
      <c r="B88" s="491"/>
      <c r="C88" s="535">
        <v>289334</v>
      </c>
      <c r="D88" s="535">
        <v>289334</v>
      </c>
      <c r="E88" s="491"/>
    </row>
    <row r="89" spans="1:5" x14ac:dyDescent="0.25">
      <c r="A89" s="252" t="s">
        <v>235</v>
      </c>
      <c r="B89" s="496">
        <v>265412</v>
      </c>
      <c r="C89" s="497"/>
      <c r="D89" s="535">
        <v>236</v>
      </c>
      <c r="E89" s="496">
        <v>265176</v>
      </c>
    </row>
    <row r="90" spans="1:5" x14ac:dyDescent="0.25">
      <c r="A90" s="252" t="s">
        <v>236</v>
      </c>
      <c r="B90" s="496">
        <v>115642.91</v>
      </c>
      <c r="C90" s="497"/>
      <c r="D90" s="535">
        <v>236</v>
      </c>
      <c r="E90" s="496">
        <v>115406.91</v>
      </c>
    </row>
    <row r="91" spans="1:5" x14ac:dyDescent="0.25">
      <c r="A91" s="252" t="s">
        <v>237</v>
      </c>
      <c r="B91" s="496">
        <v>36557</v>
      </c>
      <c r="C91" s="497"/>
      <c r="D91" s="535">
        <v>36557</v>
      </c>
      <c r="E91" s="491"/>
    </row>
    <row r="92" spans="1:5" x14ac:dyDescent="0.25">
      <c r="A92" s="252" t="s">
        <v>920</v>
      </c>
      <c r="B92" s="490">
        <v>14160</v>
      </c>
      <c r="C92" s="535">
        <v>14160</v>
      </c>
      <c r="D92" s="497"/>
      <c r="E92" s="491"/>
    </row>
    <row r="93" spans="1:5" x14ac:dyDescent="0.25">
      <c r="A93" s="252" t="s">
        <v>238</v>
      </c>
      <c r="B93" s="490">
        <v>20790</v>
      </c>
      <c r="C93" s="535">
        <v>234630</v>
      </c>
      <c r="D93" s="535">
        <v>213840</v>
      </c>
      <c r="E93" s="491"/>
    </row>
    <row r="94" spans="1:5" x14ac:dyDescent="0.25">
      <c r="A94" s="252" t="s">
        <v>239</v>
      </c>
      <c r="B94" s="490">
        <v>467094</v>
      </c>
      <c r="C94" s="535">
        <v>5105401</v>
      </c>
      <c r="D94" s="535">
        <v>5077237.96</v>
      </c>
      <c r="E94" s="490">
        <v>438930.96</v>
      </c>
    </row>
    <row r="95" spans="1:5" x14ac:dyDescent="0.25">
      <c r="A95" s="252" t="s">
        <v>1611</v>
      </c>
      <c r="B95" s="491"/>
      <c r="C95" s="535">
        <v>7532454.4000000004</v>
      </c>
      <c r="D95" s="535">
        <v>397946</v>
      </c>
      <c r="E95" s="496">
        <v>7134508.4000000004</v>
      </c>
    </row>
    <row r="96" spans="1:5" x14ac:dyDescent="0.25">
      <c r="A96" s="252" t="s">
        <v>1612</v>
      </c>
      <c r="B96" s="491"/>
      <c r="C96" s="535">
        <v>254178</v>
      </c>
      <c r="D96" s="535">
        <v>254178</v>
      </c>
      <c r="E96" s="491"/>
    </row>
    <row r="97" spans="1:5" x14ac:dyDescent="0.25">
      <c r="A97" s="252" t="s">
        <v>240</v>
      </c>
      <c r="B97" s="491"/>
      <c r="C97" s="535">
        <v>11580016.52</v>
      </c>
      <c r="D97" s="535">
        <v>1200000</v>
      </c>
      <c r="E97" s="496">
        <v>10380016.52</v>
      </c>
    </row>
    <row r="98" spans="1:5" x14ac:dyDescent="0.25">
      <c r="A98" s="252" t="s">
        <v>241</v>
      </c>
      <c r="B98" s="490">
        <v>4950</v>
      </c>
      <c r="C98" s="535">
        <v>125730</v>
      </c>
      <c r="D98" s="535">
        <v>128700</v>
      </c>
      <c r="E98" s="490">
        <v>7920</v>
      </c>
    </row>
    <row r="99" spans="1:5" x14ac:dyDescent="0.25">
      <c r="A99" s="252" t="s">
        <v>242</v>
      </c>
      <c r="B99" s="491"/>
      <c r="C99" s="535">
        <v>79319.679999999993</v>
      </c>
      <c r="D99" s="497"/>
      <c r="E99" s="496">
        <v>79319.679999999993</v>
      </c>
    </row>
    <row r="100" spans="1:5" x14ac:dyDescent="0.25">
      <c r="A100" s="252" t="s">
        <v>1613</v>
      </c>
      <c r="B100" s="491"/>
      <c r="C100" s="535">
        <v>141600</v>
      </c>
      <c r="D100" s="535">
        <v>141600</v>
      </c>
      <c r="E100" s="491"/>
    </row>
    <row r="101" spans="1:5" x14ac:dyDescent="0.25">
      <c r="A101" s="252" t="s">
        <v>243</v>
      </c>
      <c r="B101" s="491"/>
      <c r="C101" s="535">
        <v>94490.62</v>
      </c>
      <c r="D101" s="535">
        <v>71.08</v>
      </c>
      <c r="E101" s="496">
        <v>94419.54</v>
      </c>
    </row>
    <row r="102" spans="1:5" x14ac:dyDescent="0.25">
      <c r="A102" s="252" t="s">
        <v>244</v>
      </c>
      <c r="B102" s="496">
        <v>19038.12</v>
      </c>
      <c r="C102" s="535">
        <v>69245.78</v>
      </c>
      <c r="D102" s="497"/>
      <c r="E102" s="496">
        <v>88283.9</v>
      </c>
    </row>
    <row r="103" spans="1:5" x14ac:dyDescent="0.25">
      <c r="A103" s="252" t="s">
        <v>1415</v>
      </c>
      <c r="B103" s="490">
        <v>90000</v>
      </c>
      <c r="C103" s="535">
        <v>90000</v>
      </c>
      <c r="D103" s="497"/>
      <c r="E103" s="491"/>
    </row>
    <row r="104" spans="1:5" x14ac:dyDescent="0.25">
      <c r="A104" s="252" t="s">
        <v>245</v>
      </c>
      <c r="B104" s="491"/>
      <c r="C104" s="535">
        <v>956199.16</v>
      </c>
      <c r="D104" s="497"/>
      <c r="E104" s="496">
        <v>956199.16</v>
      </c>
    </row>
    <row r="105" spans="1:5" x14ac:dyDescent="0.25">
      <c r="A105" s="252" t="s">
        <v>246</v>
      </c>
      <c r="B105" s="496">
        <v>590</v>
      </c>
      <c r="C105" s="497"/>
      <c r="D105" s="497"/>
      <c r="E105" s="496">
        <v>590</v>
      </c>
    </row>
    <row r="106" spans="1:5" x14ac:dyDescent="0.25">
      <c r="A106" s="252" t="s">
        <v>1614</v>
      </c>
      <c r="B106" s="491"/>
      <c r="C106" s="535">
        <v>759403.16</v>
      </c>
      <c r="D106" s="535">
        <v>759403.16</v>
      </c>
      <c r="E106" s="491"/>
    </row>
    <row r="107" spans="1:5" x14ac:dyDescent="0.25">
      <c r="A107" s="252" t="s">
        <v>1615</v>
      </c>
      <c r="B107" s="491"/>
      <c r="C107" s="535">
        <v>2005354.28</v>
      </c>
      <c r="D107" s="535">
        <v>2005354.28</v>
      </c>
      <c r="E107" s="491"/>
    </row>
    <row r="108" spans="1:5" x14ac:dyDescent="0.25">
      <c r="A108" s="252" t="s">
        <v>247</v>
      </c>
      <c r="B108" s="490">
        <v>11443</v>
      </c>
      <c r="C108" s="535">
        <v>137768.34</v>
      </c>
      <c r="D108" s="535">
        <v>137827.82</v>
      </c>
      <c r="E108" s="490">
        <v>11502.48</v>
      </c>
    </row>
    <row r="109" spans="1:5" x14ac:dyDescent="0.25">
      <c r="A109" s="252" t="s">
        <v>248</v>
      </c>
      <c r="B109" s="490">
        <v>612601.11</v>
      </c>
      <c r="C109" s="535">
        <v>2672355.0699999998</v>
      </c>
      <c r="D109" s="535">
        <v>2826959.28</v>
      </c>
      <c r="E109" s="490">
        <v>767205.32</v>
      </c>
    </row>
    <row r="110" spans="1:5" x14ac:dyDescent="0.25">
      <c r="A110" s="252" t="s">
        <v>922</v>
      </c>
      <c r="B110" s="491"/>
      <c r="C110" s="535">
        <v>487526</v>
      </c>
      <c r="D110" s="535">
        <v>487526</v>
      </c>
      <c r="E110" s="491"/>
    </row>
    <row r="111" spans="1:5" x14ac:dyDescent="0.25">
      <c r="A111" s="252" t="s">
        <v>923</v>
      </c>
      <c r="B111" s="490">
        <v>6951</v>
      </c>
      <c r="C111" s="535">
        <v>216768.26</v>
      </c>
      <c r="D111" s="535">
        <v>211261.58</v>
      </c>
      <c r="E111" s="490">
        <v>1444.32</v>
      </c>
    </row>
    <row r="112" spans="1:5" x14ac:dyDescent="0.25">
      <c r="A112" s="252" t="s">
        <v>924</v>
      </c>
      <c r="B112" s="496">
        <v>24624</v>
      </c>
      <c r="C112" s="497"/>
      <c r="D112" s="497"/>
      <c r="E112" s="496">
        <v>24624</v>
      </c>
    </row>
    <row r="113" spans="1:5" x14ac:dyDescent="0.25">
      <c r="A113" s="252" t="s">
        <v>842</v>
      </c>
      <c r="B113" s="491"/>
      <c r="C113" s="535">
        <v>11900</v>
      </c>
      <c r="D113" s="497"/>
      <c r="E113" s="496">
        <v>11900</v>
      </c>
    </row>
    <row r="114" spans="1:5" x14ac:dyDescent="0.25">
      <c r="A114" s="252" t="s">
        <v>250</v>
      </c>
      <c r="B114" s="491"/>
      <c r="C114" s="535">
        <v>190000</v>
      </c>
      <c r="D114" s="497"/>
      <c r="E114" s="496">
        <v>190000</v>
      </c>
    </row>
    <row r="115" spans="1:5" x14ac:dyDescent="0.25">
      <c r="A115" s="252" t="s">
        <v>251</v>
      </c>
      <c r="B115" s="490">
        <v>224790</v>
      </c>
      <c r="C115" s="535">
        <v>1101490.67</v>
      </c>
      <c r="D115" s="535">
        <v>1062550.67</v>
      </c>
      <c r="E115" s="490">
        <v>185850</v>
      </c>
    </row>
    <row r="116" spans="1:5" x14ac:dyDescent="0.25">
      <c r="A116" s="252" t="s">
        <v>1616</v>
      </c>
      <c r="B116" s="491"/>
      <c r="C116" s="535">
        <v>1615000</v>
      </c>
      <c r="D116" s="497"/>
      <c r="E116" s="496">
        <v>1615000</v>
      </c>
    </row>
    <row r="117" spans="1:5" x14ac:dyDescent="0.25">
      <c r="A117" s="252" t="s">
        <v>1617</v>
      </c>
      <c r="B117" s="491"/>
      <c r="C117" s="535">
        <v>389536</v>
      </c>
      <c r="D117" s="535">
        <v>389536</v>
      </c>
      <c r="E117" s="491"/>
    </row>
    <row r="118" spans="1:5" x14ac:dyDescent="0.25">
      <c r="A118" s="252" t="s">
        <v>252</v>
      </c>
      <c r="B118" s="496">
        <v>226000</v>
      </c>
      <c r="C118" s="497"/>
      <c r="D118" s="497"/>
      <c r="E118" s="496">
        <v>226000</v>
      </c>
    </row>
    <row r="119" spans="1:5" x14ac:dyDescent="0.25">
      <c r="A119" s="252" t="s">
        <v>1618</v>
      </c>
      <c r="B119" s="491"/>
      <c r="C119" s="535">
        <v>49728</v>
      </c>
      <c r="D119" s="535">
        <v>54936</v>
      </c>
      <c r="E119" s="490">
        <v>5208</v>
      </c>
    </row>
    <row r="120" spans="1:5" x14ac:dyDescent="0.25">
      <c r="A120" s="252" t="s">
        <v>925</v>
      </c>
      <c r="B120" s="496">
        <v>1500000</v>
      </c>
      <c r="C120" s="497"/>
      <c r="D120" s="497"/>
      <c r="E120" s="496">
        <v>1500000</v>
      </c>
    </row>
    <row r="121" spans="1:5" x14ac:dyDescent="0.25">
      <c r="A121" s="252" t="s">
        <v>1619</v>
      </c>
      <c r="B121" s="491"/>
      <c r="C121" s="535">
        <v>78057</v>
      </c>
      <c r="D121" s="535">
        <v>78057</v>
      </c>
      <c r="E121" s="491"/>
    </row>
    <row r="122" spans="1:5" x14ac:dyDescent="0.25">
      <c r="A122" s="252" t="s">
        <v>254</v>
      </c>
      <c r="B122" s="491"/>
      <c r="C122" s="535">
        <v>4227716.42</v>
      </c>
      <c r="D122" s="535">
        <v>223871</v>
      </c>
      <c r="E122" s="496">
        <v>4003845.42</v>
      </c>
    </row>
    <row r="123" spans="1:5" x14ac:dyDescent="0.25">
      <c r="A123" s="252" t="s">
        <v>1620</v>
      </c>
      <c r="B123" s="491"/>
      <c r="C123" s="535">
        <v>205199.8</v>
      </c>
      <c r="D123" s="535">
        <v>208562.8</v>
      </c>
      <c r="E123" s="490">
        <v>3363</v>
      </c>
    </row>
    <row r="124" spans="1:5" x14ac:dyDescent="0.25">
      <c r="A124" s="252" t="s">
        <v>255</v>
      </c>
      <c r="B124" s="490">
        <v>34450</v>
      </c>
      <c r="C124" s="535">
        <v>155292</v>
      </c>
      <c r="D124" s="535">
        <v>147058</v>
      </c>
      <c r="E124" s="490">
        <v>26216</v>
      </c>
    </row>
    <row r="125" spans="1:5" x14ac:dyDescent="0.25">
      <c r="A125" s="252" t="s">
        <v>256</v>
      </c>
      <c r="B125" s="491"/>
      <c r="C125" s="535">
        <v>277934.74</v>
      </c>
      <c r="D125" s="497"/>
      <c r="E125" s="496">
        <v>277934.74</v>
      </c>
    </row>
    <row r="126" spans="1:5" x14ac:dyDescent="0.25">
      <c r="A126" s="252" t="s">
        <v>257</v>
      </c>
      <c r="B126" s="496">
        <v>555676.48</v>
      </c>
      <c r="C126" s="497"/>
      <c r="D126" s="497"/>
      <c r="E126" s="496">
        <v>555676.48</v>
      </c>
    </row>
    <row r="127" spans="1:5" x14ac:dyDescent="0.25">
      <c r="A127" s="252" t="s">
        <v>549</v>
      </c>
      <c r="B127" s="490">
        <v>2700</v>
      </c>
      <c r="C127" s="535">
        <v>22770</v>
      </c>
      <c r="D127" s="535">
        <v>22770</v>
      </c>
      <c r="E127" s="490">
        <v>2700</v>
      </c>
    </row>
    <row r="128" spans="1:5" x14ac:dyDescent="0.25">
      <c r="A128" s="252" t="s">
        <v>1621</v>
      </c>
      <c r="B128" s="491"/>
      <c r="C128" s="535">
        <v>1979262</v>
      </c>
      <c r="D128" s="535">
        <v>1979262</v>
      </c>
      <c r="E128" s="491"/>
    </row>
    <row r="129" spans="1:5" x14ac:dyDescent="0.25">
      <c r="A129" s="252" t="s">
        <v>1622</v>
      </c>
      <c r="B129" s="496">
        <v>6521806.0999999996</v>
      </c>
      <c r="C129" s="535">
        <v>269086</v>
      </c>
      <c r="D129" s="497"/>
      <c r="E129" s="496">
        <v>6790892.0999999996</v>
      </c>
    </row>
    <row r="130" spans="1:5" x14ac:dyDescent="0.25">
      <c r="A130" s="252" t="s">
        <v>258</v>
      </c>
      <c r="B130" s="491"/>
      <c r="C130" s="535">
        <v>57707</v>
      </c>
      <c r="D130" s="497"/>
      <c r="E130" s="496">
        <v>57707</v>
      </c>
    </row>
    <row r="131" spans="1:5" x14ac:dyDescent="0.25">
      <c r="A131" s="252" t="s">
        <v>1623</v>
      </c>
      <c r="B131" s="491"/>
      <c r="C131" s="535">
        <v>55972</v>
      </c>
      <c r="D131" s="535">
        <v>55972</v>
      </c>
      <c r="E131" s="491"/>
    </row>
    <row r="132" spans="1:5" x14ac:dyDescent="0.25">
      <c r="A132" s="252" t="s">
        <v>259</v>
      </c>
      <c r="B132" s="496">
        <v>199836</v>
      </c>
      <c r="C132" s="535">
        <v>9894268</v>
      </c>
      <c r="D132" s="535">
        <v>9625871</v>
      </c>
      <c r="E132" s="496">
        <v>468233</v>
      </c>
    </row>
    <row r="133" spans="1:5" x14ac:dyDescent="0.25">
      <c r="A133" s="252" t="s">
        <v>926</v>
      </c>
      <c r="B133" s="496">
        <v>168390</v>
      </c>
      <c r="C133" s="535">
        <v>1702448.92</v>
      </c>
      <c r="D133" s="535">
        <v>1306217.17</v>
      </c>
      <c r="E133" s="496">
        <v>564621.75</v>
      </c>
    </row>
    <row r="134" spans="1:5" x14ac:dyDescent="0.25">
      <c r="A134" s="252" t="s">
        <v>260</v>
      </c>
      <c r="B134" s="496">
        <v>190889.52</v>
      </c>
      <c r="C134" s="497"/>
      <c r="D134" s="497"/>
      <c r="E134" s="496">
        <v>190889.52</v>
      </c>
    </row>
    <row r="135" spans="1:5" x14ac:dyDescent="0.25">
      <c r="A135" s="252" t="s">
        <v>261</v>
      </c>
      <c r="B135" s="491"/>
      <c r="C135" s="535">
        <v>1758400</v>
      </c>
      <c r="D135" s="497"/>
      <c r="E135" s="496">
        <v>1758400</v>
      </c>
    </row>
    <row r="136" spans="1:5" x14ac:dyDescent="0.25">
      <c r="A136" s="252" t="s">
        <v>550</v>
      </c>
      <c r="B136" s="491"/>
      <c r="C136" s="535">
        <v>68440</v>
      </c>
      <c r="D136" s="535">
        <v>186440</v>
      </c>
      <c r="E136" s="490">
        <v>118000</v>
      </c>
    </row>
    <row r="137" spans="1:5" x14ac:dyDescent="0.25">
      <c r="A137" s="252" t="s">
        <v>1624</v>
      </c>
      <c r="B137" s="491"/>
      <c r="C137" s="535">
        <v>43448</v>
      </c>
      <c r="D137" s="535">
        <v>43448</v>
      </c>
      <c r="E137" s="491"/>
    </row>
    <row r="138" spans="1:5" x14ac:dyDescent="0.25">
      <c r="A138" s="252" t="s">
        <v>927</v>
      </c>
      <c r="B138" s="491"/>
      <c r="C138" s="535">
        <v>298603</v>
      </c>
      <c r="D138" s="535">
        <v>298603</v>
      </c>
      <c r="E138" s="491"/>
    </row>
    <row r="139" spans="1:5" x14ac:dyDescent="0.25">
      <c r="A139" s="252" t="s">
        <v>264</v>
      </c>
      <c r="B139" s="490">
        <v>148444</v>
      </c>
      <c r="C139" s="535">
        <v>440848</v>
      </c>
      <c r="D139" s="535">
        <v>362614</v>
      </c>
      <c r="E139" s="490">
        <v>70210</v>
      </c>
    </row>
    <row r="140" spans="1:5" x14ac:dyDescent="0.25">
      <c r="A140" s="252" t="s">
        <v>1625</v>
      </c>
      <c r="B140" s="491"/>
      <c r="C140" s="535">
        <v>57161</v>
      </c>
      <c r="D140" s="535">
        <v>57161</v>
      </c>
      <c r="E140" s="491"/>
    </row>
    <row r="141" spans="1:5" x14ac:dyDescent="0.25">
      <c r="A141" s="252" t="s">
        <v>265</v>
      </c>
      <c r="B141" s="490">
        <v>683435</v>
      </c>
      <c r="C141" s="535">
        <v>1135988.1200000001</v>
      </c>
      <c r="D141" s="535">
        <v>617278.12</v>
      </c>
      <c r="E141" s="490">
        <v>164725</v>
      </c>
    </row>
    <row r="142" spans="1:5" x14ac:dyDescent="0.25">
      <c r="A142" s="252" t="s">
        <v>1626</v>
      </c>
      <c r="B142" s="491"/>
      <c r="C142" s="497"/>
      <c r="D142" s="535">
        <v>77408</v>
      </c>
      <c r="E142" s="490">
        <v>77408</v>
      </c>
    </row>
    <row r="143" spans="1:5" x14ac:dyDescent="0.25">
      <c r="A143" s="252" t="s">
        <v>1627</v>
      </c>
      <c r="B143" s="496">
        <v>49000</v>
      </c>
      <c r="C143" s="535">
        <v>77260</v>
      </c>
      <c r="D143" s="535">
        <v>126260</v>
      </c>
      <c r="E143" s="491"/>
    </row>
    <row r="144" spans="1:5" x14ac:dyDescent="0.25">
      <c r="A144" s="252" t="s">
        <v>266</v>
      </c>
      <c r="B144" s="491"/>
      <c r="C144" s="535">
        <v>384765.2</v>
      </c>
      <c r="D144" s="497"/>
      <c r="E144" s="496">
        <v>384765.2</v>
      </c>
    </row>
    <row r="145" spans="1:5" x14ac:dyDescent="0.25">
      <c r="A145" s="252" t="s">
        <v>1628</v>
      </c>
      <c r="B145" s="491"/>
      <c r="C145" s="535">
        <v>1741767.46</v>
      </c>
      <c r="D145" s="497"/>
      <c r="E145" s="496">
        <v>1741767.46</v>
      </c>
    </row>
    <row r="146" spans="1:5" x14ac:dyDescent="0.25">
      <c r="A146" s="252" t="s">
        <v>267</v>
      </c>
      <c r="B146" s="490">
        <v>107380</v>
      </c>
      <c r="C146" s="535">
        <v>618582</v>
      </c>
      <c r="D146" s="535">
        <v>511202</v>
      </c>
      <c r="E146" s="491"/>
    </row>
    <row r="147" spans="1:5" x14ac:dyDescent="0.25">
      <c r="A147" s="252" t="s">
        <v>1629</v>
      </c>
      <c r="B147" s="491"/>
      <c r="C147" s="535">
        <v>133460</v>
      </c>
      <c r="D147" s="535">
        <v>181958</v>
      </c>
      <c r="E147" s="490">
        <v>48498</v>
      </c>
    </row>
    <row r="148" spans="1:5" x14ac:dyDescent="0.25">
      <c r="A148" s="252" t="s">
        <v>268</v>
      </c>
      <c r="B148" s="496">
        <v>2158726.84</v>
      </c>
      <c r="C148" s="497"/>
      <c r="D148" s="497"/>
      <c r="E148" s="496">
        <v>2158726.84</v>
      </c>
    </row>
    <row r="149" spans="1:5" x14ac:dyDescent="0.25">
      <c r="A149" s="252" t="s">
        <v>269</v>
      </c>
      <c r="B149" s="491"/>
      <c r="C149" s="535">
        <v>110876</v>
      </c>
      <c r="D149" s="497"/>
      <c r="E149" s="496">
        <v>110876</v>
      </c>
    </row>
    <row r="150" spans="1:5" x14ac:dyDescent="0.25">
      <c r="A150" s="252" t="s">
        <v>1630</v>
      </c>
      <c r="B150" s="491"/>
      <c r="C150" s="497"/>
      <c r="D150" s="535">
        <v>27000</v>
      </c>
      <c r="E150" s="490">
        <v>27000</v>
      </c>
    </row>
    <row r="151" spans="1:5" x14ac:dyDescent="0.25">
      <c r="A151" s="252" t="s">
        <v>270</v>
      </c>
      <c r="B151" s="490">
        <v>109340</v>
      </c>
      <c r="C151" s="535">
        <v>208340</v>
      </c>
      <c r="D151" s="535">
        <v>235620</v>
      </c>
      <c r="E151" s="490">
        <v>136620</v>
      </c>
    </row>
    <row r="152" spans="1:5" x14ac:dyDescent="0.25">
      <c r="A152" s="252" t="s">
        <v>271</v>
      </c>
      <c r="B152" s="491"/>
      <c r="C152" s="535">
        <v>119694</v>
      </c>
      <c r="D152" s="497"/>
      <c r="E152" s="496">
        <v>119694</v>
      </c>
    </row>
    <row r="153" spans="1:5" x14ac:dyDescent="0.25">
      <c r="A153" s="252" t="s">
        <v>1631</v>
      </c>
      <c r="B153" s="491"/>
      <c r="C153" s="535">
        <v>97200</v>
      </c>
      <c r="D153" s="535">
        <v>95580</v>
      </c>
      <c r="E153" s="496">
        <v>1620</v>
      </c>
    </row>
    <row r="154" spans="1:5" x14ac:dyDescent="0.25">
      <c r="A154" s="252" t="s">
        <v>1632</v>
      </c>
      <c r="B154" s="491"/>
      <c r="C154" s="535">
        <v>1551811</v>
      </c>
      <c r="D154" s="497"/>
      <c r="E154" s="496">
        <v>1551811</v>
      </c>
    </row>
    <row r="155" spans="1:5" x14ac:dyDescent="0.25">
      <c r="A155" s="252" t="s">
        <v>275</v>
      </c>
      <c r="B155" s="496">
        <v>117760</v>
      </c>
      <c r="C155" s="535">
        <v>37720</v>
      </c>
      <c r="D155" s="535">
        <v>117760</v>
      </c>
      <c r="E155" s="496">
        <v>37720</v>
      </c>
    </row>
    <row r="156" spans="1:5" x14ac:dyDescent="0.25">
      <c r="A156" s="252" t="s">
        <v>276</v>
      </c>
      <c r="B156" s="496">
        <v>3926400</v>
      </c>
      <c r="C156" s="497"/>
      <c r="D156" s="497"/>
      <c r="E156" s="496">
        <v>3926400</v>
      </c>
    </row>
    <row r="157" spans="1:5" x14ac:dyDescent="0.25">
      <c r="A157" s="252" t="s">
        <v>277</v>
      </c>
      <c r="B157" s="496">
        <v>2447200</v>
      </c>
      <c r="C157" s="497"/>
      <c r="D157" s="497"/>
      <c r="E157" s="496">
        <v>2447200</v>
      </c>
    </row>
    <row r="158" spans="1:5" x14ac:dyDescent="0.25">
      <c r="A158" s="252" t="s">
        <v>1633</v>
      </c>
      <c r="B158" s="491"/>
      <c r="C158" s="535">
        <v>946867.12</v>
      </c>
      <c r="D158" s="497"/>
      <c r="E158" s="496">
        <v>946867.12</v>
      </c>
    </row>
    <row r="159" spans="1:5" x14ac:dyDescent="0.25">
      <c r="A159" s="252" t="s">
        <v>278</v>
      </c>
      <c r="B159" s="491"/>
      <c r="C159" s="535">
        <v>78383.259999999995</v>
      </c>
      <c r="D159" s="497"/>
      <c r="E159" s="496">
        <v>78383.259999999995</v>
      </c>
    </row>
    <row r="160" spans="1:5" x14ac:dyDescent="0.25">
      <c r="A160" s="252" t="s">
        <v>928</v>
      </c>
      <c r="B160" s="491"/>
      <c r="C160" s="535">
        <v>74094.3</v>
      </c>
      <c r="D160" s="535">
        <v>74094.3</v>
      </c>
      <c r="E160" s="491"/>
    </row>
    <row r="161" spans="1:5" x14ac:dyDescent="0.25">
      <c r="A161" s="252" t="s">
        <v>279</v>
      </c>
      <c r="B161" s="490">
        <v>18703</v>
      </c>
      <c r="C161" s="535">
        <v>106200</v>
      </c>
      <c r="D161" s="535">
        <v>143724</v>
      </c>
      <c r="E161" s="490">
        <v>56227</v>
      </c>
    </row>
    <row r="162" spans="1:5" x14ac:dyDescent="0.25">
      <c r="A162" s="252" t="s">
        <v>280</v>
      </c>
      <c r="B162" s="491"/>
      <c r="C162" s="535">
        <v>2497238.5099999998</v>
      </c>
      <c r="D162" s="497"/>
      <c r="E162" s="496">
        <v>2497238.5099999998</v>
      </c>
    </row>
    <row r="163" spans="1:5" x14ac:dyDescent="0.25">
      <c r="A163" s="252" t="s">
        <v>1634</v>
      </c>
      <c r="B163" s="496">
        <v>32447</v>
      </c>
      <c r="C163" s="497"/>
      <c r="D163" s="497"/>
      <c r="E163" s="496">
        <v>32447</v>
      </c>
    </row>
    <row r="164" spans="1:5" x14ac:dyDescent="0.25">
      <c r="A164" s="252" t="s">
        <v>282</v>
      </c>
      <c r="B164" s="490">
        <v>4469387.0999999996</v>
      </c>
      <c r="C164" s="535">
        <v>1212250</v>
      </c>
      <c r="D164" s="535">
        <v>348043.38</v>
      </c>
      <c r="E164" s="490">
        <v>3605180.48</v>
      </c>
    </row>
    <row r="165" spans="1:5" x14ac:dyDescent="0.25">
      <c r="A165" s="252" t="s">
        <v>929</v>
      </c>
      <c r="B165" s="490">
        <v>25165</v>
      </c>
      <c r="C165" s="535">
        <v>129653</v>
      </c>
      <c r="D165" s="535">
        <v>105792</v>
      </c>
      <c r="E165" s="490">
        <v>1304</v>
      </c>
    </row>
    <row r="166" spans="1:5" x14ac:dyDescent="0.25">
      <c r="A166" s="252" t="s">
        <v>283</v>
      </c>
      <c r="B166" s="490">
        <v>4892105</v>
      </c>
      <c r="C166" s="497"/>
      <c r="D166" s="497"/>
      <c r="E166" s="490">
        <v>4892105</v>
      </c>
    </row>
    <row r="167" spans="1:5" x14ac:dyDescent="0.25">
      <c r="A167" s="252" t="s">
        <v>284</v>
      </c>
      <c r="B167" s="496">
        <v>10000</v>
      </c>
      <c r="C167" s="535">
        <v>14560</v>
      </c>
      <c r="D167" s="497"/>
      <c r="E167" s="496">
        <v>24560</v>
      </c>
    </row>
    <row r="168" spans="1:5" x14ac:dyDescent="0.25">
      <c r="A168" s="252" t="s">
        <v>1635</v>
      </c>
      <c r="B168" s="491"/>
      <c r="C168" s="535">
        <v>34000</v>
      </c>
      <c r="D168" s="497"/>
      <c r="E168" s="496">
        <v>34000</v>
      </c>
    </row>
    <row r="169" spans="1:5" x14ac:dyDescent="0.25">
      <c r="A169" s="252" t="s">
        <v>285</v>
      </c>
      <c r="B169" s="496">
        <v>1873380.51</v>
      </c>
      <c r="C169" s="535">
        <v>211991.14</v>
      </c>
      <c r="D169" s="497"/>
      <c r="E169" s="496">
        <v>2085371.65</v>
      </c>
    </row>
    <row r="170" spans="1:5" x14ac:dyDescent="0.25">
      <c r="A170" s="252" t="s">
        <v>1636</v>
      </c>
      <c r="B170" s="491"/>
      <c r="C170" s="535">
        <v>3062</v>
      </c>
      <c r="D170" s="535">
        <v>3062</v>
      </c>
      <c r="E170" s="491"/>
    </row>
    <row r="171" spans="1:5" x14ac:dyDescent="0.25">
      <c r="A171" s="252" t="s">
        <v>286</v>
      </c>
      <c r="B171" s="490">
        <v>408240</v>
      </c>
      <c r="C171" s="535">
        <v>453600</v>
      </c>
      <c r="D171" s="535">
        <v>45360</v>
      </c>
      <c r="E171" s="491"/>
    </row>
    <row r="172" spans="1:5" x14ac:dyDescent="0.25">
      <c r="A172" s="252" t="s">
        <v>287</v>
      </c>
      <c r="B172" s="491"/>
      <c r="C172" s="535">
        <v>99660.17</v>
      </c>
      <c r="D172" s="497"/>
      <c r="E172" s="496">
        <v>99660.17</v>
      </c>
    </row>
    <row r="173" spans="1:5" x14ac:dyDescent="0.25">
      <c r="A173" s="252" t="s">
        <v>288</v>
      </c>
      <c r="B173" s="491"/>
      <c r="C173" s="535">
        <v>120000</v>
      </c>
      <c r="D173" s="497"/>
      <c r="E173" s="496">
        <v>120000</v>
      </c>
    </row>
    <row r="174" spans="1:5" x14ac:dyDescent="0.25">
      <c r="A174" s="252" t="s">
        <v>289</v>
      </c>
      <c r="B174" s="490">
        <v>4145.34</v>
      </c>
      <c r="C174" s="535">
        <v>321447.96000000002</v>
      </c>
      <c r="D174" s="535">
        <v>421695.62</v>
      </c>
      <c r="E174" s="490">
        <v>104393</v>
      </c>
    </row>
    <row r="175" spans="1:5" x14ac:dyDescent="0.25">
      <c r="A175" s="252" t="s">
        <v>1637</v>
      </c>
      <c r="B175" s="491"/>
      <c r="C175" s="535">
        <v>136464</v>
      </c>
      <c r="D175" s="535">
        <v>136464</v>
      </c>
      <c r="E175" s="491"/>
    </row>
    <row r="176" spans="1:5" x14ac:dyDescent="0.25">
      <c r="A176" s="252" t="s">
        <v>1638</v>
      </c>
      <c r="B176" s="491"/>
      <c r="C176" s="535">
        <v>779990</v>
      </c>
      <c r="D176" s="535">
        <v>779990</v>
      </c>
      <c r="E176" s="491"/>
    </row>
    <row r="177" spans="1:5" x14ac:dyDescent="0.25">
      <c r="A177" s="252" t="s">
        <v>938</v>
      </c>
      <c r="B177" s="490">
        <v>26640</v>
      </c>
      <c r="C177" s="535">
        <v>189630</v>
      </c>
      <c r="D177" s="535">
        <v>203625</v>
      </c>
      <c r="E177" s="490">
        <v>40635</v>
      </c>
    </row>
    <row r="178" spans="1:5" x14ac:dyDescent="0.25">
      <c r="A178" s="252" t="s">
        <v>1639</v>
      </c>
      <c r="B178" s="491"/>
      <c r="C178" s="535">
        <v>78000</v>
      </c>
      <c r="D178" s="535">
        <v>78000</v>
      </c>
      <c r="E178" s="491"/>
    </row>
    <row r="179" spans="1:5" x14ac:dyDescent="0.25">
      <c r="A179" s="252" t="s">
        <v>290</v>
      </c>
      <c r="B179" s="496">
        <v>9005633.9399999995</v>
      </c>
      <c r="C179" s="535">
        <v>55045054.649999999</v>
      </c>
      <c r="D179" s="535">
        <v>60857994</v>
      </c>
      <c r="E179" s="496">
        <v>3192694.59</v>
      </c>
    </row>
    <row r="180" spans="1:5" x14ac:dyDescent="0.25">
      <c r="A180" s="252" t="s">
        <v>1640</v>
      </c>
      <c r="B180" s="491"/>
      <c r="C180" s="497"/>
      <c r="D180" s="535">
        <v>1380</v>
      </c>
      <c r="E180" s="490">
        <v>1380</v>
      </c>
    </row>
    <row r="181" spans="1:5" x14ac:dyDescent="0.25">
      <c r="A181" s="252" t="s">
        <v>1641</v>
      </c>
      <c r="B181" s="491"/>
      <c r="C181" s="535">
        <v>31000</v>
      </c>
      <c r="D181" s="535">
        <v>31000</v>
      </c>
      <c r="E181" s="491"/>
    </row>
    <row r="182" spans="1:5" x14ac:dyDescent="0.25">
      <c r="A182" s="252" t="s">
        <v>291</v>
      </c>
      <c r="B182" s="496">
        <v>177404.76</v>
      </c>
      <c r="C182" s="497"/>
      <c r="D182" s="497"/>
      <c r="E182" s="496">
        <v>177404.76</v>
      </c>
    </row>
    <row r="183" spans="1:5" x14ac:dyDescent="0.25">
      <c r="A183" s="252" t="s">
        <v>292</v>
      </c>
      <c r="B183" s="496">
        <v>314685</v>
      </c>
      <c r="C183" s="497"/>
      <c r="D183" s="497"/>
      <c r="E183" s="496">
        <v>314685</v>
      </c>
    </row>
    <row r="184" spans="1:5" x14ac:dyDescent="0.25">
      <c r="A184" s="252" t="s">
        <v>293</v>
      </c>
      <c r="B184" s="491"/>
      <c r="C184" s="535">
        <v>230000</v>
      </c>
      <c r="D184" s="497"/>
      <c r="E184" s="496">
        <v>230000</v>
      </c>
    </row>
    <row r="185" spans="1:5" x14ac:dyDescent="0.25">
      <c r="A185" s="252" t="s">
        <v>294</v>
      </c>
      <c r="B185" s="496">
        <v>11856585.1</v>
      </c>
      <c r="C185" s="535">
        <v>43000</v>
      </c>
      <c r="D185" s="497"/>
      <c r="E185" s="496">
        <v>11899585.1</v>
      </c>
    </row>
    <row r="186" spans="1:5" x14ac:dyDescent="0.25">
      <c r="A186" s="252" t="s">
        <v>295</v>
      </c>
      <c r="B186" s="496">
        <v>1572550</v>
      </c>
      <c r="C186" s="497"/>
      <c r="D186" s="497"/>
      <c r="E186" s="496">
        <v>1572550</v>
      </c>
    </row>
    <row r="187" spans="1:5" x14ac:dyDescent="0.25">
      <c r="A187" s="252" t="s">
        <v>296</v>
      </c>
      <c r="B187" s="491"/>
      <c r="C187" s="535">
        <v>681596.28</v>
      </c>
      <c r="D187" s="497"/>
      <c r="E187" s="496">
        <v>681596.28</v>
      </c>
    </row>
    <row r="188" spans="1:5" x14ac:dyDescent="0.25">
      <c r="A188" s="252" t="s">
        <v>297</v>
      </c>
      <c r="B188" s="496">
        <v>196354.06</v>
      </c>
      <c r="C188" s="497"/>
      <c r="D188" s="497"/>
      <c r="E188" s="496">
        <v>196354.06</v>
      </c>
    </row>
    <row r="189" spans="1:5" x14ac:dyDescent="0.25">
      <c r="A189" s="252" t="s">
        <v>298</v>
      </c>
      <c r="B189" s="496">
        <v>4994535</v>
      </c>
      <c r="C189" s="497"/>
      <c r="D189" s="497"/>
      <c r="E189" s="496">
        <v>4994535</v>
      </c>
    </row>
    <row r="190" spans="1:5" x14ac:dyDescent="0.25">
      <c r="A190" s="252" t="s">
        <v>153</v>
      </c>
      <c r="B190" s="491"/>
      <c r="C190" s="535">
        <v>11553060.539999999</v>
      </c>
      <c r="D190" s="497"/>
      <c r="E190" s="496">
        <v>11553060.539999999</v>
      </c>
    </row>
    <row r="191" spans="1:5" x14ac:dyDescent="0.25">
      <c r="A191" s="252" t="s">
        <v>299</v>
      </c>
      <c r="B191" s="491"/>
      <c r="C191" s="535">
        <v>112907.15</v>
      </c>
      <c r="D191" s="535">
        <v>147</v>
      </c>
      <c r="E191" s="496">
        <v>112760.15</v>
      </c>
    </row>
    <row r="192" spans="1:5" x14ac:dyDescent="0.25">
      <c r="A192" s="252" t="s">
        <v>1642</v>
      </c>
      <c r="B192" s="491"/>
      <c r="C192" s="535">
        <v>3363</v>
      </c>
      <c r="D192" s="535">
        <v>3363</v>
      </c>
      <c r="E192" s="491"/>
    </row>
    <row r="193" spans="1:5" x14ac:dyDescent="0.25">
      <c r="A193" s="252" t="s">
        <v>300</v>
      </c>
      <c r="B193" s="490">
        <v>323568</v>
      </c>
      <c r="C193" s="535">
        <v>1805976</v>
      </c>
      <c r="D193" s="535">
        <v>2006640</v>
      </c>
      <c r="E193" s="490">
        <v>524232</v>
      </c>
    </row>
    <row r="194" spans="1:5" x14ac:dyDescent="0.25">
      <c r="A194" s="252" t="s">
        <v>301</v>
      </c>
      <c r="B194" s="490">
        <v>467727</v>
      </c>
      <c r="C194" s="535">
        <v>5310251</v>
      </c>
      <c r="D194" s="535">
        <v>5264240</v>
      </c>
      <c r="E194" s="490">
        <v>421716</v>
      </c>
    </row>
    <row r="195" spans="1:5" x14ac:dyDescent="0.25">
      <c r="A195" s="252" t="s">
        <v>940</v>
      </c>
      <c r="B195" s="491"/>
      <c r="C195" s="535">
        <v>14573340</v>
      </c>
      <c r="D195" s="535">
        <v>14573340</v>
      </c>
      <c r="E195" s="491"/>
    </row>
    <row r="196" spans="1:5" x14ac:dyDescent="0.25">
      <c r="A196" s="252" t="s">
        <v>1643</v>
      </c>
      <c r="B196" s="491"/>
      <c r="C196" s="535">
        <v>8119</v>
      </c>
      <c r="D196" s="497"/>
      <c r="E196" s="496">
        <v>8119</v>
      </c>
    </row>
    <row r="197" spans="1:5" x14ac:dyDescent="0.25">
      <c r="A197" s="252" t="s">
        <v>302</v>
      </c>
      <c r="B197" s="490">
        <v>32989</v>
      </c>
      <c r="C197" s="535">
        <v>354860</v>
      </c>
      <c r="D197" s="535">
        <v>350028</v>
      </c>
      <c r="E197" s="490">
        <v>28157</v>
      </c>
    </row>
    <row r="198" spans="1:5" x14ac:dyDescent="0.25">
      <c r="A198" s="252" t="s">
        <v>1644</v>
      </c>
      <c r="B198" s="491"/>
      <c r="C198" s="535">
        <v>17700</v>
      </c>
      <c r="D198" s="535">
        <v>17700</v>
      </c>
      <c r="E198" s="491"/>
    </row>
    <row r="199" spans="1:5" x14ac:dyDescent="0.25">
      <c r="A199" s="252" t="s">
        <v>1645</v>
      </c>
      <c r="B199" s="491"/>
      <c r="C199" s="535">
        <v>35931</v>
      </c>
      <c r="D199" s="535">
        <v>35931</v>
      </c>
      <c r="E199" s="491"/>
    </row>
    <row r="200" spans="1:5" x14ac:dyDescent="0.25">
      <c r="A200" s="252" t="s">
        <v>306</v>
      </c>
      <c r="B200" s="496">
        <v>97960</v>
      </c>
      <c r="C200" s="535">
        <v>30115</v>
      </c>
      <c r="D200" s="497"/>
      <c r="E200" s="496">
        <v>128075</v>
      </c>
    </row>
    <row r="201" spans="1:5" x14ac:dyDescent="0.25">
      <c r="A201" s="252" t="s">
        <v>1646</v>
      </c>
      <c r="B201" s="491"/>
      <c r="C201" s="535">
        <v>5263</v>
      </c>
      <c r="D201" s="535">
        <v>5263</v>
      </c>
      <c r="E201" s="491"/>
    </row>
    <row r="202" spans="1:5" x14ac:dyDescent="0.25">
      <c r="A202" s="252" t="s">
        <v>307</v>
      </c>
      <c r="B202" s="491"/>
      <c r="C202" s="535">
        <v>72800</v>
      </c>
      <c r="D202" s="497"/>
      <c r="E202" s="496">
        <v>72800</v>
      </c>
    </row>
    <row r="203" spans="1:5" x14ac:dyDescent="0.25">
      <c r="A203" s="252" t="s">
        <v>941</v>
      </c>
      <c r="B203" s="496">
        <v>5000000</v>
      </c>
      <c r="C203" s="497"/>
      <c r="D203" s="535">
        <v>5000000</v>
      </c>
      <c r="E203" s="491"/>
    </row>
    <row r="204" spans="1:5" x14ac:dyDescent="0.25">
      <c r="A204" s="252" t="s">
        <v>942</v>
      </c>
      <c r="B204" s="496">
        <v>5000000</v>
      </c>
      <c r="C204" s="497"/>
      <c r="D204" s="535">
        <v>5000000</v>
      </c>
      <c r="E204" s="491"/>
    </row>
    <row r="205" spans="1:5" x14ac:dyDescent="0.25">
      <c r="A205" s="252" t="s">
        <v>943</v>
      </c>
      <c r="B205" s="496">
        <v>5000000</v>
      </c>
      <c r="C205" s="497"/>
      <c r="D205" s="535">
        <v>5000000</v>
      </c>
      <c r="E205" s="491"/>
    </row>
    <row r="206" spans="1:5" x14ac:dyDescent="0.25">
      <c r="A206" s="252" t="s">
        <v>944</v>
      </c>
      <c r="B206" s="496">
        <v>5000000</v>
      </c>
      <c r="C206" s="497"/>
      <c r="D206" s="535">
        <v>5000000</v>
      </c>
      <c r="E206" s="491"/>
    </row>
    <row r="207" spans="1:5" x14ac:dyDescent="0.25">
      <c r="A207" s="252" t="s">
        <v>945</v>
      </c>
      <c r="B207" s="496">
        <v>5000000</v>
      </c>
      <c r="C207" s="497"/>
      <c r="D207" s="535">
        <v>5000000</v>
      </c>
      <c r="E207" s="491"/>
    </row>
    <row r="208" spans="1:5" x14ac:dyDescent="0.25">
      <c r="A208" s="252" t="s">
        <v>946</v>
      </c>
      <c r="B208" s="496">
        <v>5000000</v>
      </c>
      <c r="C208" s="497"/>
      <c r="D208" s="535">
        <v>5000000</v>
      </c>
      <c r="E208" s="491"/>
    </row>
    <row r="209" spans="1:5" x14ac:dyDescent="0.25">
      <c r="A209" s="252" t="s">
        <v>947</v>
      </c>
      <c r="B209" s="496">
        <v>5000000</v>
      </c>
      <c r="C209" s="497"/>
      <c r="D209" s="535">
        <v>5000000</v>
      </c>
      <c r="E209" s="491"/>
    </row>
    <row r="210" spans="1:5" x14ac:dyDescent="0.25">
      <c r="A210" s="252" t="s">
        <v>1647</v>
      </c>
      <c r="B210" s="491"/>
      <c r="C210" s="535">
        <v>5000000</v>
      </c>
      <c r="D210" s="535">
        <v>5000000</v>
      </c>
      <c r="E210" s="491"/>
    </row>
    <row r="211" spans="1:5" x14ac:dyDescent="0.25">
      <c r="A211" s="252" t="s">
        <v>1648</v>
      </c>
      <c r="B211" s="491"/>
      <c r="C211" s="535">
        <v>5000000</v>
      </c>
      <c r="D211" s="535">
        <v>5000000</v>
      </c>
      <c r="E211" s="491"/>
    </row>
    <row r="212" spans="1:5" x14ac:dyDescent="0.25">
      <c r="A212" s="252" t="s">
        <v>308</v>
      </c>
      <c r="B212" s="496">
        <v>2152877</v>
      </c>
      <c r="C212" s="497"/>
      <c r="D212" s="497"/>
      <c r="E212" s="496">
        <v>2152877</v>
      </c>
    </row>
    <row r="213" spans="1:5" x14ac:dyDescent="0.25">
      <c r="A213" s="252" t="s">
        <v>310</v>
      </c>
      <c r="B213" s="496">
        <v>3146077</v>
      </c>
      <c r="C213" s="497"/>
      <c r="D213" s="497"/>
      <c r="E213" s="496">
        <v>3146077</v>
      </c>
    </row>
    <row r="214" spans="1:5" x14ac:dyDescent="0.25">
      <c r="A214" s="252" t="s">
        <v>1649</v>
      </c>
      <c r="B214" s="491"/>
      <c r="C214" s="535">
        <v>306495</v>
      </c>
      <c r="D214" s="535">
        <v>306495</v>
      </c>
      <c r="E214" s="491"/>
    </row>
    <row r="215" spans="1:5" x14ac:dyDescent="0.25">
      <c r="A215" s="252" t="s">
        <v>311</v>
      </c>
      <c r="B215" s="491"/>
      <c r="C215" s="535">
        <v>116552</v>
      </c>
      <c r="D215" s="497"/>
      <c r="E215" s="496">
        <v>116552</v>
      </c>
    </row>
    <row r="216" spans="1:5" x14ac:dyDescent="0.25">
      <c r="A216" s="252" t="s">
        <v>312</v>
      </c>
      <c r="B216" s="496">
        <v>2352</v>
      </c>
      <c r="C216" s="535">
        <v>274100.44</v>
      </c>
      <c r="D216" s="535">
        <v>20452</v>
      </c>
      <c r="E216" s="496">
        <v>256000.44</v>
      </c>
    </row>
    <row r="217" spans="1:5" x14ac:dyDescent="0.25">
      <c r="A217" s="252" t="s">
        <v>313</v>
      </c>
      <c r="B217" s="491"/>
      <c r="C217" s="535">
        <v>230998.86</v>
      </c>
      <c r="D217" s="535">
        <v>3207333.58</v>
      </c>
      <c r="E217" s="490">
        <v>2976334.72</v>
      </c>
    </row>
    <row r="218" spans="1:5" x14ac:dyDescent="0.25">
      <c r="A218" s="252" t="s">
        <v>1650</v>
      </c>
      <c r="B218" s="491"/>
      <c r="C218" s="535">
        <v>16520</v>
      </c>
      <c r="D218" s="535">
        <v>16520</v>
      </c>
      <c r="E218" s="491"/>
    </row>
    <row r="219" spans="1:5" x14ac:dyDescent="0.25">
      <c r="A219" s="252" t="s">
        <v>1651</v>
      </c>
      <c r="B219" s="491"/>
      <c r="C219" s="535">
        <v>21600</v>
      </c>
      <c r="D219" s="535">
        <v>21600</v>
      </c>
      <c r="E219" s="491"/>
    </row>
    <row r="220" spans="1:5" x14ac:dyDescent="0.25">
      <c r="A220" s="252" t="s">
        <v>314</v>
      </c>
      <c r="B220" s="496">
        <v>3666625.18</v>
      </c>
      <c r="C220" s="535">
        <v>17100</v>
      </c>
      <c r="D220" s="497"/>
      <c r="E220" s="496">
        <v>3683725.18</v>
      </c>
    </row>
    <row r="221" spans="1:5" x14ac:dyDescent="0.25">
      <c r="A221" s="252" t="s">
        <v>315</v>
      </c>
      <c r="B221" s="496">
        <v>294940</v>
      </c>
      <c r="C221" s="497"/>
      <c r="D221" s="497"/>
      <c r="E221" s="496">
        <v>294940</v>
      </c>
    </row>
    <row r="222" spans="1:5" x14ac:dyDescent="0.25">
      <c r="A222" s="252" t="s">
        <v>1652</v>
      </c>
      <c r="B222" s="491"/>
      <c r="C222" s="535">
        <v>8119</v>
      </c>
      <c r="D222" s="535">
        <v>8119</v>
      </c>
      <c r="E222" s="491"/>
    </row>
    <row r="223" spans="1:5" x14ac:dyDescent="0.25">
      <c r="A223" s="252" t="s">
        <v>1653</v>
      </c>
      <c r="B223" s="491"/>
      <c r="C223" s="535">
        <v>55165</v>
      </c>
      <c r="D223" s="535">
        <v>55165</v>
      </c>
      <c r="E223" s="491"/>
    </row>
    <row r="224" spans="1:5" x14ac:dyDescent="0.25">
      <c r="A224" s="252" t="s">
        <v>1654</v>
      </c>
      <c r="B224" s="491"/>
      <c r="C224" s="535">
        <v>392751.2</v>
      </c>
      <c r="D224" s="535">
        <v>392751.2</v>
      </c>
      <c r="E224" s="491"/>
    </row>
    <row r="225" spans="1:5" x14ac:dyDescent="0.25">
      <c r="A225" s="252" t="s">
        <v>948</v>
      </c>
      <c r="B225" s="490">
        <v>42560</v>
      </c>
      <c r="C225" s="535">
        <v>68096</v>
      </c>
      <c r="D225" s="535">
        <v>25536</v>
      </c>
      <c r="E225" s="491"/>
    </row>
    <row r="226" spans="1:5" x14ac:dyDescent="0.25">
      <c r="A226" s="252" t="s">
        <v>316</v>
      </c>
      <c r="B226" s="496">
        <v>2828316.24</v>
      </c>
      <c r="C226" s="497"/>
      <c r="D226" s="497"/>
      <c r="E226" s="496">
        <v>2828316.24</v>
      </c>
    </row>
    <row r="227" spans="1:5" x14ac:dyDescent="0.25">
      <c r="A227" s="252" t="s">
        <v>317</v>
      </c>
      <c r="B227" s="491"/>
      <c r="C227" s="535">
        <v>395821.76</v>
      </c>
      <c r="D227" s="497"/>
      <c r="E227" s="496">
        <v>395821.76</v>
      </c>
    </row>
    <row r="228" spans="1:5" x14ac:dyDescent="0.25">
      <c r="A228" s="252" t="s">
        <v>318</v>
      </c>
      <c r="B228" s="490">
        <v>16500</v>
      </c>
      <c r="C228" s="535">
        <v>203500</v>
      </c>
      <c r="D228" s="535">
        <v>209000</v>
      </c>
      <c r="E228" s="490">
        <v>22000</v>
      </c>
    </row>
    <row r="229" spans="1:5" x14ac:dyDescent="0.25">
      <c r="A229" s="252" t="s">
        <v>319</v>
      </c>
      <c r="B229" s="490">
        <v>194400</v>
      </c>
      <c r="C229" s="535">
        <v>2575254.7999999998</v>
      </c>
      <c r="D229" s="535">
        <v>2380854.7999999998</v>
      </c>
      <c r="E229" s="491"/>
    </row>
    <row r="230" spans="1:5" x14ac:dyDescent="0.25">
      <c r="A230" s="252" t="s">
        <v>1655</v>
      </c>
      <c r="B230" s="491"/>
      <c r="C230" s="535">
        <v>5475</v>
      </c>
      <c r="D230" s="535">
        <v>5475</v>
      </c>
      <c r="E230" s="491"/>
    </row>
    <row r="231" spans="1:5" x14ac:dyDescent="0.25">
      <c r="A231" s="252" t="s">
        <v>1656</v>
      </c>
      <c r="B231" s="491"/>
      <c r="C231" s="535">
        <v>28000</v>
      </c>
      <c r="D231" s="535">
        <v>28000</v>
      </c>
      <c r="E231" s="491"/>
    </row>
    <row r="232" spans="1:5" x14ac:dyDescent="0.25">
      <c r="A232" s="252" t="s">
        <v>320</v>
      </c>
      <c r="B232" s="496">
        <v>322454.09999999998</v>
      </c>
      <c r="C232" s="497"/>
      <c r="D232" s="497"/>
      <c r="E232" s="496">
        <v>322454.09999999998</v>
      </c>
    </row>
    <row r="233" spans="1:5" x14ac:dyDescent="0.25">
      <c r="A233" s="252" t="s">
        <v>1657</v>
      </c>
      <c r="B233" s="491"/>
      <c r="C233" s="535">
        <v>68000</v>
      </c>
      <c r="D233" s="535">
        <v>68000</v>
      </c>
      <c r="E233" s="491"/>
    </row>
    <row r="234" spans="1:5" x14ac:dyDescent="0.25">
      <c r="A234" s="252" t="s">
        <v>566</v>
      </c>
      <c r="B234" s="496">
        <v>336940</v>
      </c>
      <c r="C234" s="535">
        <v>7592575</v>
      </c>
      <c r="D234" s="535">
        <v>5162725</v>
      </c>
      <c r="E234" s="496">
        <v>2766790</v>
      </c>
    </row>
    <row r="235" spans="1:5" x14ac:dyDescent="0.25">
      <c r="A235" s="252" t="s">
        <v>838</v>
      </c>
      <c r="B235" s="491"/>
      <c r="C235" s="535">
        <v>248367</v>
      </c>
      <c r="D235" s="497"/>
      <c r="E235" s="496">
        <v>248367</v>
      </c>
    </row>
    <row r="236" spans="1:5" x14ac:dyDescent="0.25">
      <c r="A236" s="252" t="s">
        <v>321</v>
      </c>
      <c r="B236" s="496">
        <v>6033685</v>
      </c>
      <c r="C236" s="535">
        <v>2356560</v>
      </c>
      <c r="D236" s="535">
        <v>7283606</v>
      </c>
      <c r="E236" s="496">
        <v>1106639</v>
      </c>
    </row>
    <row r="237" spans="1:5" x14ac:dyDescent="0.25">
      <c r="A237" s="252" t="s">
        <v>949</v>
      </c>
      <c r="B237" s="496">
        <v>469397.75</v>
      </c>
      <c r="C237" s="535">
        <v>312102</v>
      </c>
      <c r="D237" s="497"/>
      <c r="E237" s="496">
        <v>781499.75</v>
      </c>
    </row>
    <row r="238" spans="1:5" x14ac:dyDescent="0.25">
      <c r="A238" s="252" t="s">
        <v>323</v>
      </c>
      <c r="B238" s="491"/>
      <c r="C238" s="535">
        <v>1267149.1599999999</v>
      </c>
      <c r="D238" s="535">
        <v>756385</v>
      </c>
      <c r="E238" s="496">
        <v>510764.16</v>
      </c>
    </row>
    <row r="239" spans="1:5" x14ac:dyDescent="0.25">
      <c r="A239" s="252" t="s">
        <v>1658</v>
      </c>
      <c r="B239" s="491"/>
      <c r="C239" s="535">
        <v>9594731</v>
      </c>
      <c r="D239" s="535">
        <v>11154394</v>
      </c>
      <c r="E239" s="490">
        <v>1559663</v>
      </c>
    </row>
    <row r="240" spans="1:5" x14ac:dyDescent="0.25">
      <c r="A240" s="252" t="s">
        <v>324</v>
      </c>
      <c r="B240" s="490">
        <v>50606</v>
      </c>
      <c r="C240" s="535">
        <v>380114.28</v>
      </c>
      <c r="D240" s="535">
        <v>329508.28000000003</v>
      </c>
      <c r="E240" s="491"/>
    </row>
    <row r="241" spans="1:5" x14ac:dyDescent="0.25">
      <c r="A241" s="252" t="s">
        <v>1659</v>
      </c>
      <c r="B241" s="491"/>
      <c r="C241" s="535">
        <v>58150</v>
      </c>
      <c r="D241" s="535">
        <v>120240.04</v>
      </c>
      <c r="E241" s="490">
        <v>62090.04</v>
      </c>
    </row>
    <row r="242" spans="1:5" x14ac:dyDescent="0.25">
      <c r="A242" s="252" t="s">
        <v>1660</v>
      </c>
      <c r="B242" s="491"/>
      <c r="C242" s="535">
        <v>1804688.8</v>
      </c>
      <c r="D242" s="535">
        <v>131200</v>
      </c>
      <c r="E242" s="496">
        <v>1673488.8</v>
      </c>
    </row>
    <row r="243" spans="1:5" x14ac:dyDescent="0.25">
      <c r="A243" s="252" t="s">
        <v>1661</v>
      </c>
      <c r="B243" s="491"/>
      <c r="C243" s="535">
        <v>377200</v>
      </c>
      <c r="D243" s="535">
        <v>377200</v>
      </c>
      <c r="E243" s="491"/>
    </row>
    <row r="244" spans="1:5" x14ac:dyDescent="0.25">
      <c r="A244" s="252" t="s">
        <v>325</v>
      </c>
      <c r="B244" s="490">
        <v>80000</v>
      </c>
      <c r="C244" s="535">
        <v>80000</v>
      </c>
      <c r="D244" s="497"/>
      <c r="E244" s="491"/>
    </row>
    <row r="245" spans="1:5" x14ac:dyDescent="0.25">
      <c r="A245" s="252" t="s">
        <v>1662</v>
      </c>
      <c r="B245" s="491"/>
      <c r="C245" s="535">
        <v>4216.75</v>
      </c>
      <c r="D245" s="535">
        <v>4216.75</v>
      </c>
      <c r="E245" s="491"/>
    </row>
    <row r="246" spans="1:5" x14ac:dyDescent="0.25">
      <c r="A246" s="252" t="s">
        <v>836</v>
      </c>
      <c r="B246" s="491"/>
      <c r="C246" s="535">
        <v>50202</v>
      </c>
      <c r="D246" s="535">
        <v>50202</v>
      </c>
      <c r="E246" s="491"/>
    </row>
    <row r="247" spans="1:5" x14ac:dyDescent="0.25">
      <c r="A247" s="252" t="s">
        <v>327</v>
      </c>
      <c r="B247" s="490">
        <v>290066</v>
      </c>
      <c r="C247" s="535">
        <v>951182</v>
      </c>
      <c r="D247" s="535">
        <v>830631</v>
      </c>
      <c r="E247" s="490">
        <v>169515</v>
      </c>
    </row>
    <row r="248" spans="1:5" x14ac:dyDescent="0.25">
      <c r="A248" s="252" t="s">
        <v>1663</v>
      </c>
      <c r="B248" s="491"/>
      <c r="C248" s="497"/>
      <c r="D248" s="535">
        <v>75600</v>
      </c>
      <c r="E248" s="490">
        <v>75600</v>
      </c>
    </row>
    <row r="249" spans="1:5" x14ac:dyDescent="0.25">
      <c r="A249" s="252" t="s">
        <v>328</v>
      </c>
      <c r="B249" s="490">
        <v>27150</v>
      </c>
      <c r="C249" s="535">
        <v>295341</v>
      </c>
      <c r="D249" s="535">
        <v>287377</v>
      </c>
      <c r="E249" s="490">
        <v>19186</v>
      </c>
    </row>
    <row r="250" spans="1:5" x14ac:dyDescent="0.25">
      <c r="A250" s="252" t="s">
        <v>1664</v>
      </c>
      <c r="B250" s="491"/>
      <c r="C250" s="535">
        <v>85904</v>
      </c>
      <c r="D250" s="535">
        <v>85904</v>
      </c>
      <c r="E250" s="491"/>
    </row>
    <row r="251" spans="1:5" x14ac:dyDescent="0.25">
      <c r="A251" s="252" t="s">
        <v>329</v>
      </c>
      <c r="B251" s="491"/>
      <c r="C251" s="535">
        <v>2896320.78</v>
      </c>
      <c r="D251" s="497"/>
      <c r="E251" s="496">
        <v>2896320.78</v>
      </c>
    </row>
    <row r="252" spans="1:5" x14ac:dyDescent="0.25">
      <c r="A252" s="252" t="s">
        <v>331</v>
      </c>
      <c r="B252" s="496">
        <v>785000</v>
      </c>
      <c r="C252" s="497"/>
      <c r="D252" s="497"/>
      <c r="E252" s="496">
        <v>785000</v>
      </c>
    </row>
    <row r="253" spans="1:5" x14ac:dyDescent="0.25">
      <c r="A253" s="252" t="s">
        <v>332</v>
      </c>
      <c r="B253" s="496">
        <v>500000</v>
      </c>
      <c r="C253" s="497"/>
      <c r="D253" s="497"/>
      <c r="E253" s="496">
        <v>500000</v>
      </c>
    </row>
    <row r="254" spans="1:5" x14ac:dyDescent="0.25">
      <c r="A254" s="252" t="s">
        <v>333</v>
      </c>
      <c r="B254" s="490">
        <v>17688</v>
      </c>
      <c r="C254" s="535">
        <v>267541.8</v>
      </c>
      <c r="D254" s="535">
        <v>267406.8</v>
      </c>
      <c r="E254" s="490">
        <v>17553</v>
      </c>
    </row>
    <row r="255" spans="1:5" x14ac:dyDescent="0.25">
      <c r="A255" s="252" t="s">
        <v>950</v>
      </c>
      <c r="B255" s="496">
        <v>2628752</v>
      </c>
      <c r="C255" s="535">
        <v>17718855.120000001</v>
      </c>
      <c r="D255" s="535">
        <v>5653653.2000000002</v>
      </c>
      <c r="E255" s="496">
        <v>14693953.92</v>
      </c>
    </row>
    <row r="256" spans="1:5" x14ac:dyDescent="0.25">
      <c r="A256" s="252" t="s">
        <v>334</v>
      </c>
      <c r="B256" s="496">
        <v>1672065</v>
      </c>
      <c r="C256" s="535">
        <v>38846277.200000003</v>
      </c>
      <c r="D256" s="535">
        <v>39568023.840000004</v>
      </c>
      <c r="E256" s="496">
        <v>950318.36</v>
      </c>
    </row>
    <row r="257" spans="1:5" x14ac:dyDescent="0.25">
      <c r="A257" s="252" t="s">
        <v>335</v>
      </c>
      <c r="B257" s="496">
        <v>16580186.52</v>
      </c>
      <c r="C257" s="535">
        <v>326438946.37</v>
      </c>
      <c r="D257" s="535">
        <v>334301875.98000002</v>
      </c>
      <c r="E257" s="496">
        <v>8717256.9100000001</v>
      </c>
    </row>
    <row r="258" spans="1:5" x14ac:dyDescent="0.25">
      <c r="A258" s="252" t="s">
        <v>951</v>
      </c>
      <c r="B258" s="496">
        <v>207728.75</v>
      </c>
      <c r="C258" s="497"/>
      <c r="D258" s="497"/>
      <c r="E258" s="496">
        <v>207728.75</v>
      </c>
    </row>
    <row r="259" spans="1:5" x14ac:dyDescent="0.25">
      <c r="A259" s="252" t="s">
        <v>336</v>
      </c>
      <c r="B259" s="491"/>
      <c r="C259" s="535">
        <v>1758767</v>
      </c>
      <c r="D259" s="535">
        <v>1758767</v>
      </c>
      <c r="E259" s="491"/>
    </row>
    <row r="260" spans="1:5" x14ac:dyDescent="0.25">
      <c r="A260" s="252" t="s">
        <v>1665</v>
      </c>
      <c r="B260" s="491"/>
      <c r="C260" s="535">
        <v>66348</v>
      </c>
      <c r="D260" s="535">
        <v>66348</v>
      </c>
      <c r="E260" s="491"/>
    </row>
    <row r="261" spans="1:5" x14ac:dyDescent="0.25">
      <c r="A261" s="252" t="s">
        <v>1666</v>
      </c>
      <c r="B261" s="491"/>
      <c r="C261" s="535">
        <v>7331625.9699999997</v>
      </c>
      <c r="D261" s="497"/>
      <c r="E261" s="496">
        <v>7331625.9699999997</v>
      </c>
    </row>
    <row r="262" spans="1:5" x14ac:dyDescent="0.25">
      <c r="A262" s="252" t="s">
        <v>337</v>
      </c>
      <c r="B262" s="496">
        <v>669818</v>
      </c>
      <c r="C262" s="497"/>
      <c r="D262" s="497"/>
      <c r="E262" s="496">
        <v>669818</v>
      </c>
    </row>
    <row r="263" spans="1:5" x14ac:dyDescent="0.25">
      <c r="A263" s="252" t="s">
        <v>952</v>
      </c>
      <c r="B263" s="490">
        <v>41400</v>
      </c>
      <c r="C263" s="535">
        <v>48600</v>
      </c>
      <c r="D263" s="535">
        <v>7200</v>
      </c>
      <c r="E263" s="491"/>
    </row>
    <row r="264" spans="1:5" x14ac:dyDescent="0.25">
      <c r="A264" s="252" t="s">
        <v>1667</v>
      </c>
      <c r="B264" s="491"/>
      <c r="C264" s="497"/>
      <c r="D264" s="535">
        <v>1079268</v>
      </c>
      <c r="E264" s="490">
        <v>1079268</v>
      </c>
    </row>
    <row r="265" spans="1:5" x14ac:dyDescent="0.25">
      <c r="A265" s="252" t="s">
        <v>570</v>
      </c>
      <c r="B265" s="491"/>
      <c r="C265" s="535">
        <v>5945131</v>
      </c>
      <c r="D265" s="535">
        <v>5945131</v>
      </c>
      <c r="E265" s="491"/>
    </row>
    <row r="266" spans="1:5" x14ac:dyDescent="0.25">
      <c r="A266" s="252" t="s">
        <v>339</v>
      </c>
      <c r="B266" s="491"/>
      <c r="C266" s="535">
        <v>286200</v>
      </c>
      <c r="D266" s="535">
        <v>583200</v>
      </c>
      <c r="E266" s="490">
        <v>297000</v>
      </c>
    </row>
    <row r="267" spans="1:5" x14ac:dyDescent="0.25">
      <c r="A267" s="252" t="s">
        <v>1668</v>
      </c>
      <c r="B267" s="491"/>
      <c r="C267" s="535">
        <v>596835.72</v>
      </c>
      <c r="D267" s="497"/>
      <c r="E267" s="496">
        <v>596835.72</v>
      </c>
    </row>
    <row r="268" spans="1:5" x14ac:dyDescent="0.25">
      <c r="A268" s="252" t="s">
        <v>953</v>
      </c>
      <c r="B268" s="490">
        <v>333200</v>
      </c>
      <c r="C268" s="535">
        <v>333200</v>
      </c>
      <c r="D268" s="497"/>
      <c r="E268" s="491"/>
    </row>
    <row r="269" spans="1:5" x14ac:dyDescent="0.25">
      <c r="A269" s="252" t="s">
        <v>340</v>
      </c>
      <c r="B269" s="491"/>
      <c r="C269" s="535">
        <v>22302</v>
      </c>
      <c r="D269" s="535">
        <v>152102</v>
      </c>
      <c r="E269" s="490">
        <v>129800</v>
      </c>
    </row>
    <row r="270" spans="1:5" x14ac:dyDescent="0.25">
      <c r="A270" s="252" t="s">
        <v>1669</v>
      </c>
      <c r="B270" s="491"/>
      <c r="C270" s="535">
        <v>163046</v>
      </c>
      <c r="D270" s="535">
        <v>227846</v>
      </c>
      <c r="E270" s="490">
        <v>64800</v>
      </c>
    </row>
    <row r="271" spans="1:5" x14ac:dyDescent="0.25">
      <c r="A271" s="252" t="s">
        <v>341</v>
      </c>
      <c r="B271" s="490">
        <v>35153</v>
      </c>
      <c r="C271" s="535">
        <v>405792</v>
      </c>
      <c r="D271" s="535">
        <v>407044</v>
      </c>
      <c r="E271" s="490">
        <v>36405</v>
      </c>
    </row>
    <row r="272" spans="1:5" x14ac:dyDescent="0.25">
      <c r="A272" s="252" t="s">
        <v>342</v>
      </c>
      <c r="B272" s="491"/>
      <c r="C272" s="535">
        <v>11902</v>
      </c>
      <c r="D272" s="497"/>
      <c r="E272" s="496">
        <v>11902</v>
      </c>
    </row>
    <row r="273" spans="1:5" x14ac:dyDescent="0.25">
      <c r="A273" s="252" t="s">
        <v>343</v>
      </c>
      <c r="B273" s="491"/>
      <c r="C273" s="535">
        <v>181117</v>
      </c>
      <c r="D273" s="497"/>
      <c r="E273" s="496">
        <v>181117</v>
      </c>
    </row>
    <row r="274" spans="1:5" x14ac:dyDescent="0.25">
      <c r="A274" s="252" t="s">
        <v>1670</v>
      </c>
      <c r="B274" s="491"/>
      <c r="C274" s="535">
        <v>195128.93</v>
      </c>
      <c r="D274" s="535">
        <v>195128.93</v>
      </c>
      <c r="E274" s="491"/>
    </row>
    <row r="275" spans="1:5" x14ac:dyDescent="0.25">
      <c r="A275" s="252" t="s">
        <v>344</v>
      </c>
      <c r="B275" s="491"/>
      <c r="C275" s="535">
        <v>321990.38</v>
      </c>
      <c r="D275" s="497"/>
      <c r="E275" s="496">
        <v>321990.38</v>
      </c>
    </row>
    <row r="276" spans="1:5" x14ac:dyDescent="0.25">
      <c r="A276" s="252" t="s">
        <v>345</v>
      </c>
      <c r="B276" s="491"/>
      <c r="C276" s="535">
        <v>1134304</v>
      </c>
      <c r="D276" s="497"/>
      <c r="E276" s="496">
        <v>1134304</v>
      </c>
    </row>
    <row r="277" spans="1:5" x14ac:dyDescent="0.25">
      <c r="A277" s="252" t="s">
        <v>346</v>
      </c>
      <c r="B277" s="491"/>
      <c r="C277" s="497"/>
      <c r="D277" s="535">
        <v>675838</v>
      </c>
      <c r="E277" s="490">
        <v>675838</v>
      </c>
    </row>
    <row r="278" spans="1:5" x14ac:dyDescent="0.25">
      <c r="A278" s="252" t="s">
        <v>347</v>
      </c>
      <c r="B278" s="496">
        <v>218107</v>
      </c>
      <c r="C278" s="497"/>
      <c r="D278" s="535">
        <v>19714</v>
      </c>
      <c r="E278" s="496">
        <v>198393</v>
      </c>
    </row>
    <row r="279" spans="1:5" x14ac:dyDescent="0.25">
      <c r="A279" s="252" t="s">
        <v>834</v>
      </c>
      <c r="B279" s="491"/>
      <c r="C279" s="535">
        <v>6643922.7000000002</v>
      </c>
      <c r="D279" s="497"/>
      <c r="E279" s="496">
        <v>6643922.7000000002</v>
      </c>
    </row>
    <row r="280" spans="1:5" x14ac:dyDescent="0.25">
      <c r="A280" s="252" t="s">
        <v>348</v>
      </c>
      <c r="B280" s="491"/>
      <c r="C280" s="497"/>
      <c r="D280" s="535">
        <v>208079</v>
      </c>
      <c r="E280" s="490">
        <v>208079</v>
      </c>
    </row>
    <row r="281" spans="1:5" x14ac:dyDescent="0.25">
      <c r="A281" s="252" t="s">
        <v>350</v>
      </c>
      <c r="B281" s="491"/>
      <c r="C281" s="535">
        <v>1407</v>
      </c>
      <c r="D281" s="497"/>
      <c r="E281" s="496">
        <v>1407</v>
      </c>
    </row>
    <row r="282" spans="1:5" x14ac:dyDescent="0.25">
      <c r="A282" s="252" t="s">
        <v>351</v>
      </c>
      <c r="B282" s="490">
        <v>184767</v>
      </c>
      <c r="C282" s="535">
        <v>1319071</v>
      </c>
      <c r="D282" s="535">
        <v>1134304</v>
      </c>
      <c r="E282" s="491"/>
    </row>
    <row r="283" spans="1:5" x14ac:dyDescent="0.25">
      <c r="A283" s="252" t="s">
        <v>1671</v>
      </c>
      <c r="B283" s="491"/>
      <c r="C283" s="535">
        <v>12371</v>
      </c>
      <c r="D283" s="535">
        <v>12371</v>
      </c>
      <c r="E283" s="491"/>
    </row>
    <row r="284" spans="1:5" x14ac:dyDescent="0.25">
      <c r="A284" s="252" t="s">
        <v>353</v>
      </c>
      <c r="B284" s="496">
        <v>110000</v>
      </c>
      <c r="C284" s="497"/>
      <c r="D284" s="497"/>
      <c r="E284" s="496">
        <v>110000</v>
      </c>
    </row>
    <row r="285" spans="1:5" x14ac:dyDescent="0.25">
      <c r="A285" s="252" t="s">
        <v>354</v>
      </c>
      <c r="B285" s="491"/>
      <c r="C285" s="535">
        <v>86131.28</v>
      </c>
      <c r="D285" s="497"/>
      <c r="E285" s="496">
        <v>86131.28</v>
      </c>
    </row>
    <row r="286" spans="1:5" x14ac:dyDescent="0.25">
      <c r="A286" s="252" t="s">
        <v>955</v>
      </c>
      <c r="B286" s="490">
        <v>1505</v>
      </c>
      <c r="C286" s="535">
        <v>1505</v>
      </c>
      <c r="D286" s="497"/>
      <c r="E286" s="491"/>
    </row>
    <row r="287" spans="1:5" x14ac:dyDescent="0.25">
      <c r="A287" s="252" t="s">
        <v>355</v>
      </c>
      <c r="B287" s="490">
        <v>126124</v>
      </c>
      <c r="C287" s="535">
        <v>550314</v>
      </c>
      <c r="D287" s="535">
        <v>527671</v>
      </c>
      <c r="E287" s="490">
        <v>103481</v>
      </c>
    </row>
    <row r="288" spans="1:5" x14ac:dyDescent="0.25">
      <c r="A288" s="252" t="s">
        <v>956</v>
      </c>
      <c r="B288" s="490">
        <v>84728</v>
      </c>
      <c r="C288" s="535">
        <v>84728</v>
      </c>
      <c r="D288" s="497"/>
      <c r="E288" s="491"/>
    </row>
    <row r="289" spans="1:5" x14ac:dyDescent="0.25">
      <c r="A289" s="252" t="s">
        <v>957</v>
      </c>
      <c r="B289" s="490">
        <v>140675</v>
      </c>
      <c r="C289" s="535">
        <v>579902</v>
      </c>
      <c r="D289" s="535">
        <v>551607</v>
      </c>
      <c r="E289" s="490">
        <v>112380</v>
      </c>
    </row>
    <row r="290" spans="1:5" x14ac:dyDescent="0.25">
      <c r="A290" s="252" t="s">
        <v>356</v>
      </c>
      <c r="B290" s="490">
        <v>66886</v>
      </c>
      <c r="C290" s="535">
        <v>205855</v>
      </c>
      <c r="D290" s="535">
        <v>166969</v>
      </c>
      <c r="E290" s="490">
        <v>28000</v>
      </c>
    </row>
    <row r="291" spans="1:5" x14ac:dyDescent="0.25">
      <c r="A291" s="252" t="s">
        <v>357</v>
      </c>
      <c r="B291" s="490">
        <v>56990</v>
      </c>
      <c r="C291" s="497"/>
      <c r="D291" s="497"/>
      <c r="E291" s="490">
        <v>56990</v>
      </c>
    </row>
    <row r="292" spans="1:5" x14ac:dyDescent="0.25">
      <c r="A292" s="252" t="s">
        <v>1672</v>
      </c>
      <c r="B292" s="491"/>
      <c r="C292" s="535">
        <v>45135</v>
      </c>
      <c r="D292" s="535">
        <v>45135</v>
      </c>
      <c r="E292" s="491"/>
    </row>
    <row r="293" spans="1:5" x14ac:dyDescent="0.25">
      <c r="A293" s="252" t="s">
        <v>1673</v>
      </c>
      <c r="B293" s="491"/>
      <c r="C293" s="535">
        <v>42090</v>
      </c>
      <c r="D293" s="535">
        <v>42090</v>
      </c>
      <c r="E293" s="491"/>
    </row>
    <row r="294" spans="1:5" x14ac:dyDescent="0.25">
      <c r="A294" s="252" t="s">
        <v>958</v>
      </c>
      <c r="B294" s="490">
        <v>18354</v>
      </c>
      <c r="C294" s="535">
        <v>143078</v>
      </c>
      <c r="D294" s="535">
        <v>124724</v>
      </c>
      <c r="E294" s="491"/>
    </row>
    <row r="295" spans="1:5" x14ac:dyDescent="0.25">
      <c r="A295" s="252" t="s">
        <v>1674</v>
      </c>
      <c r="B295" s="491"/>
      <c r="C295" s="535">
        <v>9367</v>
      </c>
      <c r="D295" s="535">
        <v>9367</v>
      </c>
      <c r="E295" s="491"/>
    </row>
    <row r="296" spans="1:5" x14ac:dyDescent="0.25">
      <c r="A296" s="252" t="s">
        <v>358</v>
      </c>
      <c r="B296" s="496">
        <v>17455090.5</v>
      </c>
      <c r="C296" s="497"/>
      <c r="D296" s="497"/>
      <c r="E296" s="496">
        <v>17455090.5</v>
      </c>
    </row>
    <row r="297" spans="1:5" x14ac:dyDescent="0.25">
      <c r="A297" s="252" t="s">
        <v>359</v>
      </c>
      <c r="B297" s="496">
        <v>1026868</v>
      </c>
      <c r="C297" s="497"/>
      <c r="D297" s="497"/>
      <c r="E297" s="496">
        <v>1026868</v>
      </c>
    </row>
    <row r="298" spans="1:5" x14ac:dyDescent="0.25">
      <c r="A298" s="252" t="s">
        <v>959</v>
      </c>
      <c r="B298" s="490">
        <v>23469</v>
      </c>
      <c r="C298" s="535">
        <v>251243</v>
      </c>
      <c r="D298" s="535">
        <v>451154</v>
      </c>
      <c r="E298" s="490">
        <v>223380</v>
      </c>
    </row>
    <row r="299" spans="1:5" x14ac:dyDescent="0.25">
      <c r="A299" s="252" t="s">
        <v>360</v>
      </c>
      <c r="B299" s="496">
        <v>2354146</v>
      </c>
      <c r="C299" s="497"/>
      <c r="D299" s="497"/>
      <c r="E299" s="496">
        <v>2354146</v>
      </c>
    </row>
    <row r="300" spans="1:5" x14ac:dyDescent="0.25">
      <c r="A300" s="252" t="s">
        <v>572</v>
      </c>
      <c r="B300" s="491"/>
      <c r="C300" s="535">
        <v>1463</v>
      </c>
      <c r="D300" s="535">
        <v>2926</v>
      </c>
      <c r="E300" s="490">
        <v>1463</v>
      </c>
    </row>
    <row r="301" spans="1:5" x14ac:dyDescent="0.25">
      <c r="A301" s="252" t="s">
        <v>361</v>
      </c>
      <c r="B301" s="490">
        <v>291460</v>
      </c>
      <c r="C301" s="535">
        <v>464001</v>
      </c>
      <c r="D301" s="535">
        <v>212794</v>
      </c>
      <c r="E301" s="490">
        <v>40253</v>
      </c>
    </row>
    <row r="302" spans="1:5" x14ac:dyDescent="0.25">
      <c r="A302" s="252" t="s">
        <v>960</v>
      </c>
      <c r="B302" s="490">
        <v>121304</v>
      </c>
      <c r="C302" s="535">
        <v>121304</v>
      </c>
      <c r="D302" s="497"/>
      <c r="E302" s="491"/>
    </row>
    <row r="303" spans="1:5" x14ac:dyDescent="0.25">
      <c r="A303" s="252" t="s">
        <v>362</v>
      </c>
      <c r="B303" s="491"/>
      <c r="C303" s="535">
        <v>15000</v>
      </c>
      <c r="D303" s="497"/>
      <c r="E303" s="496">
        <v>15000</v>
      </c>
    </row>
    <row r="304" spans="1:5" x14ac:dyDescent="0.25">
      <c r="A304" s="252" t="s">
        <v>363</v>
      </c>
      <c r="B304" s="491"/>
      <c r="C304" s="535">
        <v>3948880</v>
      </c>
      <c r="D304" s="535">
        <v>133810</v>
      </c>
      <c r="E304" s="496">
        <v>3815070</v>
      </c>
    </row>
    <row r="305" spans="1:5" x14ac:dyDescent="0.25">
      <c r="A305" s="252" t="s">
        <v>961</v>
      </c>
      <c r="B305" s="496">
        <v>5605</v>
      </c>
      <c r="C305" s="497"/>
      <c r="D305" s="535">
        <v>5605</v>
      </c>
      <c r="E305" s="491"/>
    </row>
    <row r="306" spans="1:5" x14ac:dyDescent="0.25">
      <c r="A306" s="252" t="s">
        <v>1675</v>
      </c>
      <c r="B306" s="491"/>
      <c r="C306" s="535">
        <v>216000</v>
      </c>
      <c r="D306" s="535">
        <v>216000</v>
      </c>
      <c r="E306" s="491"/>
    </row>
    <row r="307" spans="1:5" x14ac:dyDescent="0.25">
      <c r="A307" s="252" t="s">
        <v>364</v>
      </c>
      <c r="B307" s="496">
        <v>709287.5</v>
      </c>
      <c r="C307" s="497"/>
      <c r="D307" s="497"/>
      <c r="E307" s="496">
        <v>709287.5</v>
      </c>
    </row>
    <row r="308" spans="1:5" x14ac:dyDescent="0.25">
      <c r="A308" s="252" t="s">
        <v>366</v>
      </c>
      <c r="B308" s="490">
        <v>189428</v>
      </c>
      <c r="C308" s="535">
        <v>1607906</v>
      </c>
      <c r="D308" s="535">
        <v>1783713</v>
      </c>
      <c r="E308" s="490">
        <v>365235</v>
      </c>
    </row>
    <row r="309" spans="1:5" x14ac:dyDescent="0.25">
      <c r="A309" s="252" t="s">
        <v>367</v>
      </c>
      <c r="B309" s="496">
        <v>114269450.03</v>
      </c>
      <c r="C309" s="497"/>
      <c r="D309" s="497"/>
      <c r="E309" s="496">
        <v>114269450.03</v>
      </c>
    </row>
    <row r="310" spans="1:5" x14ac:dyDescent="0.25">
      <c r="A310" s="252" t="s">
        <v>1676</v>
      </c>
      <c r="B310" s="491"/>
      <c r="C310" s="535">
        <v>11505</v>
      </c>
      <c r="D310" s="535">
        <v>11505</v>
      </c>
      <c r="E310" s="491"/>
    </row>
    <row r="311" spans="1:5" x14ac:dyDescent="0.25">
      <c r="A311" s="252" t="s">
        <v>574</v>
      </c>
      <c r="B311" s="490">
        <v>526400</v>
      </c>
      <c r="C311" s="535">
        <v>3007994</v>
      </c>
      <c r="D311" s="535">
        <v>3544539</v>
      </c>
      <c r="E311" s="490">
        <v>1062945</v>
      </c>
    </row>
    <row r="312" spans="1:5" x14ac:dyDescent="0.25">
      <c r="A312" s="252" t="s">
        <v>1677</v>
      </c>
      <c r="B312" s="491"/>
      <c r="C312" s="535">
        <v>31921</v>
      </c>
      <c r="D312" s="535">
        <v>59189</v>
      </c>
      <c r="E312" s="490">
        <v>27268</v>
      </c>
    </row>
    <row r="313" spans="1:5" x14ac:dyDescent="0.25">
      <c r="A313" s="252" t="s">
        <v>368</v>
      </c>
      <c r="B313" s="490">
        <v>19799790</v>
      </c>
      <c r="C313" s="535">
        <v>20065290</v>
      </c>
      <c r="D313" s="535">
        <v>265500</v>
      </c>
      <c r="E313" s="491"/>
    </row>
    <row r="314" spans="1:5" x14ac:dyDescent="0.25">
      <c r="A314" s="252" t="s">
        <v>860</v>
      </c>
      <c r="B314" s="490">
        <v>80785714.319999993</v>
      </c>
      <c r="C314" s="535">
        <v>19072494.059999999</v>
      </c>
      <c r="D314" s="535">
        <v>6643922.7000000002</v>
      </c>
      <c r="E314" s="490">
        <v>68357142.959999993</v>
      </c>
    </row>
    <row r="315" spans="1:5" x14ac:dyDescent="0.25">
      <c r="A315" s="252" t="s">
        <v>643</v>
      </c>
      <c r="B315" s="491"/>
      <c r="C315" s="535">
        <v>67500</v>
      </c>
      <c r="D315" s="497"/>
      <c r="E315" s="496">
        <v>67500</v>
      </c>
    </row>
    <row r="316" spans="1:5" x14ac:dyDescent="0.25">
      <c r="A316" s="252" t="s">
        <v>1678</v>
      </c>
      <c r="B316" s="491"/>
      <c r="C316" s="535">
        <v>67500</v>
      </c>
      <c r="D316" s="535">
        <v>90000</v>
      </c>
      <c r="E316" s="490">
        <v>22500</v>
      </c>
    </row>
    <row r="317" spans="1:5" x14ac:dyDescent="0.25">
      <c r="A317" s="252" t="s">
        <v>962</v>
      </c>
      <c r="B317" s="496">
        <v>1029391.2</v>
      </c>
      <c r="C317" s="535">
        <v>488008.8</v>
      </c>
      <c r="D317" s="535">
        <v>1323000</v>
      </c>
      <c r="E317" s="496">
        <v>194400</v>
      </c>
    </row>
    <row r="318" spans="1:5" x14ac:dyDescent="0.25">
      <c r="A318" s="252" t="s">
        <v>370</v>
      </c>
      <c r="B318" s="491"/>
      <c r="C318" s="535">
        <v>2925</v>
      </c>
      <c r="D318" s="535">
        <v>3425</v>
      </c>
      <c r="E318" s="490">
        <v>500</v>
      </c>
    </row>
    <row r="319" spans="1:5" x14ac:dyDescent="0.25">
      <c r="A319" s="252" t="s">
        <v>963</v>
      </c>
      <c r="B319" s="490">
        <v>247532.48</v>
      </c>
      <c r="C319" s="535">
        <v>718116.48</v>
      </c>
      <c r="D319" s="535">
        <v>643839</v>
      </c>
      <c r="E319" s="490">
        <v>173255</v>
      </c>
    </row>
    <row r="320" spans="1:5" x14ac:dyDescent="0.25">
      <c r="A320" s="252" t="s">
        <v>371</v>
      </c>
      <c r="B320" s="496">
        <v>685885</v>
      </c>
      <c r="C320" s="535">
        <v>10732543.16</v>
      </c>
      <c r="D320" s="535">
        <v>6655610.7599999998</v>
      </c>
      <c r="E320" s="496">
        <v>4762817.4000000004</v>
      </c>
    </row>
    <row r="321" spans="1:5" x14ac:dyDescent="0.25">
      <c r="A321" s="252" t="s">
        <v>372</v>
      </c>
      <c r="B321" s="490">
        <v>198000</v>
      </c>
      <c r="C321" s="535">
        <v>409199</v>
      </c>
      <c r="D321" s="535">
        <v>359519</v>
      </c>
      <c r="E321" s="490">
        <v>148320</v>
      </c>
    </row>
    <row r="322" spans="1:5" x14ac:dyDescent="0.25">
      <c r="A322" s="252" t="s">
        <v>1679</v>
      </c>
      <c r="B322" s="491"/>
      <c r="C322" s="535">
        <v>50175</v>
      </c>
      <c r="D322" s="535">
        <v>50175</v>
      </c>
      <c r="E322" s="491"/>
    </row>
    <row r="323" spans="1:5" x14ac:dyDescent="0.25">
      <c r="A323" s="252" t="s">
        <v>1680</v>
      </c>
      <c r="B323" s="491"/>
      <c r="C323" s="535">
        <v>191001</v>
      </c>
      <c r="D323" s="535">
        <v>191001</v>
      </c>
      <c r="E323" s="491"/>
    </row>
    <row r="324" spans="1:5" x14ac:dyDescent="0.25">
      <c r="A324" s="252" t="s">
        <v>373</v>
      </c>
      <c r="B324" s="491"/>
      <c r="C324" s="535">
        <v>4426.5200000000004</v>
      </c>
      <c r="D324" s="535">
        <v>4426.5200000000004</v>
      </c>
      <c r="E324" s="491"/>
    </row>
    <row r="325" spans="1:5" x14ac:dyDescent="0.25">
      <c r="A325" s="252" t="s">
        <v>1681</v>
      </c>
      <c r="B325" s="491"/>
      <c r="C325" s="535">
        <v>600</v>
      </c>
      <c r="D325" s="497"/>
      <c r="E325" s="496">
        <v>600</v>
      </c>
    </row>
    <row r="326" spans="1:5" x14ac:dyDescent="0.25">
      <c r="A326" s="252" t="s">
        <v>374</v>
      </c>
      <c r="B326" s="490">
        <v>95768.8</v>
      </c>
      <c r="C326" s="535">
        <v>95768.8</v>
      </c>
      <c r="D326" s="497"/>
      <c r="E326" s="491"/>
    </row>
    <row r="327" spans="1:5" x14ac:dyDescent="0.25">
      <c r="A327" s="252" t="s">
        <v>1682</v>
      </c>
      <c r="B327" s="491"/>
      <c r="C327" s="535">
        <v>1820510</v>
      </c>
      <c r="D327" s="535">
        <v>2479310</v>
      </c>
      <c r="E327" s="490">
        <v>658800</v>
      </c>
    </row>
    <row r="328" spans="1:5" x14ac:dyDescent="0.25">
      <c r="A328" s="252" t="s">
        <v>375</v>
      </c>
      <c r="B328" s="491"/>
      <c r="C328" s="535">
        <v>14160</v>
      </c>
      <c r="D328" s="535">
        <v>31860</v>
      </c>
      <c r="E328" s="490">
        <v>17700</v>
      </c>
    </row>
    <row r="329" spans="1:5" x14ac:dyDescent="0.25">
      <c r="A329" s="252" t="s">
        <v>376</v>
      </c>
      <c r="B329" s="496">
        <v>7191410.4699999997</v>
      </c>
      <c r="C329" s="497"/>
      <c r="D329" s="497"/>
      <c r="E329" s="496">
        <v>7191410.4699999997</v>
      </c>
    </row>
    <row r="330" spans="1:5" x14ac:dyDescent="0.25">
      <c r="A330" s="252" t="s">
        <v>964</v>
      </c>
      <c r="B330" s="490">
        <v>21600</v>
      </c>
      <c r="C330" s="535">
        <v>100360</v>
      </c>
      <c r="D330" s="535">
        <v>160760</v>
      </c>
      <c r="E330" s="490">
        <v>82000</v>
      </c>
    </row>
    <row r="331" spans="1:5" x14ac:dyDescent="0.25">
      <c r="A331" s="252" t="s">
        <v>1683</v>
      </c>
      <c r="B331" s="491"/>
      <c r="C331" s="535">
        <v>4534.92</v>
      </c>
      <c r="D331" s="535">
        <v>4534.92</v>
      </c>
      <c r="E331" s="491"/>
    </row>
    <row r="332" spans="1:5" x14ac:dyDescent="0.25">
      <c r="A332" s="252" t="s">
        <v>1684</v>
      </c>
      <c r="B332" s="491"/>
      <c r="C332" s="535">
        <v>5731331.0099999998</v>
      </c>
      <c r="D332" s="535">
        <v>5731331.0099999998</v>
      </c>
      <c r="E332" s="491"/>
    </row>
    <row r="333" spans="1:5" x14ac:dyDescent="0.25">
      <c r="A333" s="252" t="s">
        <v>1685</v>
      </c>
      <c r="B333" s="491"/>
      <c r="C333" s="535">
        <v>624363.1</v>
      </c>
      <c r="D333" s="497"/>
      <c r="E333" s="496">
        <v>624363.1</v>
      </c>
    </row>
    <row r="334" spans="1:5" x14ac:dyDescent="0.25">
      <c r="A334" s="252" t="s">
        <v>379</v>
      </c>
      <c r="B334" s="490">
        <v>247072</v>
      </c>
      <c r="C334" s="535">
        <v>930048</v>
      </c>
      <c r="D334" s="535">
        <v>730576</v>
      </c>
      <c r="E334" s="490">
        <v>47600</v>
      </c>
    </row>
    <row r="335" spans="1:5" x14ac:dyDescent="0.25">
      <c r="A335" s="252" t="s">
        <v>1686</v>
      </c>
      <c r="B335" s="491"/>
      <c r="C335" s="535">
        <v>383458</v>
      </c>
      <c r="D335" s="535">
        <v>383458</v>
      </c>
      <c r="E335" s="491"/>
    </row>
    <row r="336" spans="1:5" x14ac:dyDescent="0.25">
      <c r="A336" s="252" t="s">
        <v>1687</v>
      </c>
      <c r="B336" s="491"/>
      <c r="C336" s="535">
        <v>17464</v>
      </c>
      <c r="D336" s="535">
        <v>17464</v>
      </c>
      <c r="E336" s="491"/>
    </row>
    <row r="337" spans="1:5" x14ac:dyDescent="0.25">
      <c r="A337" s="252" t="s">
        <v>965</v>
      </c>
      <c r="B337" s="496">
        <v>191700</v>
      </c>
      <c r="C337" s="497"/>
      <c r="D337" s="497"/>
      <c r="E337" s="496">
        <v>191700</v>
      </c>
    </row>
    <row r="338" spans="1:5" x14ac:dyDescent="0.25">
      <c r="A338" s="252" t="s">
        <v>575</v>
      </c>
      <c r="B338" s="491"/>
      <c r="C338" s="497"/>
      <c r="D338" s="535">
        <v>4130</v>
      </c>
      <c r="E338" s="490">
        <v>4130</v>
      </c>
    </row>
    <row r="339" spans="1:5" x14ac:dyDescent="0.25">
      <c r="A339" s="252" t="s">
        <v>380</v>
      </c>
      <c r="B339" s="496">
        <v>1758304.4</v>
      </c>
      <c r="C339" s="535">
        <v>25574824.530000001</v>
      </c>
      <c r="D339" s="535">
        <v>21676084.57</v>
      </c>
      <c r="E339" s="496">
        <v>5657044.3600000003</v>
      </c>
    </row>
    <row r="340" spans="1:5" x14ac:dyDescent="0.25">
      <c r="A340" s="252" t="s">
        <v>578</v>
      </c>
      <c r="B340" s="496">
        <v>2749052</v>
      </c>
      <c r="C340" s="535">
        <v>20700971.199999999</v>
      </c>
      <c r="D340" s="535">
        <v>23291614</v>
      </c>
      <c r="E340" s="496">
        <v>158409.20000000001</v>
      </c>
    </row>
    <row r="341" spans="1:5" x14ac:dyDescent="0.25">
      <c r="A341" s="252" t="s">
        <v>1416</v>
      </c>
      <c r="B341" s="496">
        <v>30000</v>
      </c>
      <c r="C341" s="535">
        <v>119465</v>
      </c>
      <c r="D341" s="535">
        <v>149465</v>
      </c>
      <c r="E341" s="491"/>
    </row>
    <row r="342" spans="1:5" x14ac:dyDescent="0.25">
      <c r="A342" s="252" t="s">
        <v>1688</v>
      </c>
      <c r="B342" s="491"/>
      <c r="C342" s="535">
        <v>7198</v>
      </c>
      <c r="D342" s="535">
        <v>7198</v>
      </c>
      <c r="E342" s="491"/>
    </row>
    <row r="343" spans="1:5" x14ac:dyDescent="0.25">
      <c r="A343" s="252" t="s">
        <v>1689</v>
      </c>
      <c r="B343" s="491"/>
      <c r="C343" s="497"/>
      <c r="D343" s="535">
        <v>43660</v>
      </c>
      <c r="E343" s="490">
        <v>43660</v>
      </c>
    </row>
    <row r="344" spans="1:5" x14ac:dyDescent="0.25">
      <c r="A344" s="252" t="s">
        <v>1690</v>
      </c>
      <c r="B344" s="491"/>
      <c r="C344" s="535">
        <v>269369.76</v>
      </c>
      <c r="D344" s="535">
        <v>269369.76</v>
      </c>
      <c r="E344" s="491"/>
    </row>
    <row r="345" spans="1:5" x14ac:dyDescent="0.25">
      <c r="A345" s="252" t="s">
        <v>382</v>
      </c>
      <c r="B345" s="496">
        <v>413.95</v>
      </c>
      <c r="C345" s="535">
        <v>-3.95</v>
      </c>
      <c r="D345" s="497"/>
      <c r="E345" s="496">
        <v>410</v>
      </c>
    </row>
    <row r="346" spans="1:5" x14ac:dyDescent="0.25">
      <c r="A346" s="252" t="s">
        <v>1691</v>
      </c>
      <c r="B346" s="491"/>
      <c r="C346" s="535">
        <v>71550</v>
      </c>
      <c r="D346" s="497"/>
      <c r="E346" s="496">
        <v>71550</v>
      </c>
    </row>
    <row r="347" spans="1:5" x14ac:dyDescent="0.25">
      <c r="A347" s="252" t="s">
        <v>877</v>
      </c>
      <c r="B347" s="491"/>
      <c r="C347" s="535">
        <v>13393</v>
      </c>
      <c r="D347" s="497"/>
      <c r="E347" s="496">
        <v>13393</v>
      </c>
    </row>
    <row r="348" spans="1:5" x14ac:dyDescent="0.25">
      <c r="A348" s="252" t="s">
        <v>383</v>
      </c>
      <c r="B348" s="491"/>
      <c r="C348" s="535">
        <v>977053.16</v>
      </c>
      <c r="D348" s="535">
        <v>50764</v>
      </c>
      <c r="E348" s="496">
        <v>926289.16</v>
      </c>
    </row>
    <row r="349" spans="1:5" x14ac:dyDescent="0.25">
      <c r="A349" s="252" t="s">
        <v>384</v>
      </c>
      <c r="B349" s="491"/>
      <c r="C349" s="535">
        <v>2065939</v>
      </c>
      <c r="D349" s="535">
        <v>794</v>
      </c>
      <c r="E349" s="496">
        <v>2065145</v>
      </c>
    </row>
    <row r="350" spans="1:5" x14ac:dyDescent="0.25">
      <c r="A350" s="252" t="s">
        <v>385</v>
      </c>
      <c r="B350" s="491"/>
      <c r="C350" s="535">
        <v>238295</v>
      </c>
      <c r="D350" s="497"/>
      <c r="E350" s="496">
        <v>238295</v>
      </c>
    </row>
    <row r="351" spans="1:5" x14ac:dyDescent="0.25">
      <c r="A351" s="252" t="s">
        <v>386</v>
      </c>
      <c r="B351" s="496">
        <v>1509698</v>
      </c>
      <c r="C351" s="497"/>
      <c r="D351" s="497"/>
      <c r="E351" s="496">
        <v>1509698</v>
      </c>
    </row>
    <row r="352" spans="1:5" x14ac:dyDescent="0.25">
      <c r="A352" s="252" t="s">
        <v>387</v>
      </c>
      <c r="B352" s="490">
        <v>80090</v>
      </c>
      <c r="C352" s="535">
        <v>80090</v>
      </c>
      <c r="D352" s="497"/>
      <c r="E352" s="491"/>
    </row>
    <row r="353" spans="1:5" x14ac:dyDescent="0.25">
      <c r="A353" s="252" t="s">
        <v>1692</v>
      </c>
      <c r="B353" s="491"/>
      <c r="C353" s="535">
        <v>92800</v>
      </c>
      <c r="D353" s="535">
        <v>92800</v>
      </c>
      <c r="E353" s="491"/>
    </row>
    <row r="354" spans="1:5" x14ac:dyDescent="0.25">
      <c r="A354" s="252" t="s">
        <v>966</v>
      </c>
      <c r="B354" s="490">
        <v>20898</v>
      </c>
      <c r="C354" s="535">
        <v>41796</v>
      </c>
      <c r="D354" s="535">
        <v>41796</v>
      </c>
      <c r="E354" s="490">
        <v>20898</v>
      </c>
    </row>
    <row r="355" spans="1:5" x14ac:dyDescent="0.25">
      <c r="A355" s="252" t="s">
        <v>388</v>
      </c>
      <c r="B355" s="490">
        <v>2119954</v>
      </c>
      <c r="C355" s="497"/>
      <c r="D355" s="535">
        <v>2068643</v>
      </c>
      <c r="E355" s="490">
        <v>4188597</v>
      </c>
    </row>
    <row r="356" spans="1:5" x14ac:dyDescent="0.25">
      <c r="A356" s="252" t="s">
        <v>389</v>
      </c>
      <c r="B356" s="491"/>
      <c r="C356" s="535">
        <v>410570.78</v>
      </c>
      <c r="D356" s="497"/>
      <c r="E356" s="496">
        <v>410570.78</v>
      </c>
    </row>
    <row r="357" spans="1:5" x14ac:dyDescent="0.25">
      <c r="A357" s="252" t="s">
        <v>390</v>
      </c>
      <c r="B357" s="490">
        <v>3150</v>
      </c>
      <c r="C357" s="535">
        <v>37800</v>
      </c>
      <c r="D357" s="535">
        <v>37800</v>
      </c>
      <c r="E357" s="490">
        <v>3150</v>
      </c>
    </row>
    <row r="358" spans="1:5" x14ac:dyDescent="0.25">
      <c r="A358" s="252" t="s">
        <v>967</v>
      </c>
      <c r="B358" s="491"/>
      <c r="C358" s="535">
        <v>1006958</v>
      </c>
      <c r="D358" s="535">
        <v>1006958</v>
      </c>
      <c r="E358" s="491"/>
    </row>
    <row r="359" spans="1:5" x14ac:dyDescent="0.25">
      <c r="A359" s="252" t="s">
        <v>391</v>
      </c>
      <c r="B359" s="490">
        <v>4361763</v>
      </c>
      <c r="C359" s="535">
        <v>4401410.97</v>
      </c>
      <c r="D359" s="535">
        <v>39647.97</v>
      </c>
      <c r="E359" s="491"/>
    </row>
    <row r="360" spans="1:5" x14ac:dyDescent="0.25">
      <c r="A360" s="252" t="s">
        <v>1693</v>
      </c>
      <c r="B360" s="491"/>
      <c r="C360" s="535">
        <v>295000</v>
      </c>
      <c r="D360" s="535">
        <v>295000</v>
      </c>
      <c r="E360" s="491"/>
    </row>
    <row r="361" spans="1:5" x14ac:dyDescent="0.25">
      <c r="A361" s="252" t="s">
        <v>1694</v>
      </c>
      <c r="B361" s="491"/>
      <c r="C361" s="535">
        <v>309437.95</v>
      </c>
      <c r="D361" s="535">
        <v>309437.95</v>
      </c>
      <c r="E361" s="491"/>
    </row>
    <row r="362" spans="1:5" x14ac:dyDescent="0.25">
      <c r="A362" s="252" t="s">
        <v>392</v>
      </c>
      <c r="B362" s="491"/>
      <c r="C362" s="535">
        <v>124000</v>
      </c>
      <c r="D362" s="497"/>
      <c r="E362" s="496">
        <v>124000</v>
      </c>
    </row>
    <row r="363" spans="1:5" x14ac:dyDescent="0.25">
      <c r="A363" s="252" t="s">
        <v>393</v>
      </c>
      <c r="B363" s="490">
        <v>17820</v>
      </c>
      <c r="C363" s="535">
        <v>107910</v>
      </c>
      <c r="D363" s="535">
        <v>122760</v>
      </c>
      <c r="E363" s="490">
        <v>32670</v>
      </c>
    </row>
    <row r="364" spans="1:5" x14ac:dyDescent="0.25">
      <c r="A364" s="252" t="s">
        <v>394</v>
      </c>
      <c r="B364" s="490">
        <v>84052</v>
      </c>
      <c r="C364" s="535">
        <v>803289.63</v>
      </c>
      <c r="D364" s="535">
        <v>894327.13</v>
      </c>
      <c r="E364" s="490">
        <v>175089.5</v>
      </c>
    </row>
    <row r="365" spans="1:5" x14ac:dyDescent="0.25">
      <c r="A365" s="252" t="s">
        <v>395</v>
      </c>
      <c r="B365" s="496">
        <v>59075.06</v>
      </c>
      <c r="C365" s="497"/>
      <c r="D365" s="497"/>
      <c r="E365" s="496">
        <v>59075.06</v>
      </c>
    </row>
    <row r="366" spans="1:5" x14ac:dyDescent="0.25">
      <c r="A366" s="252" t="s">
        <v>1695</v>
      </c>
      <c r="B366" s="491"/>
      <c r="C366" s="535">
        <v>1756868.84</v>
      </c>
      <c r="D366" s="497"/>
      <c r="E366" s="496">
        <v>1756868.84</v>
      </c>
    </row>
    <row r="367" spans="1:5" x14ac:dyDescent="0.25">
      <c r="A367" s="252" t="s">
        <v>396</v>
      </c>
      <c r="B367" s="491"/>
      <c r="C367" s="535">
        <v>2744495.52</v>
      </c>
      <c r="D367" s="497"/>
      <c r="E367" s="496">
        <v>2744495.52</v>
      </c>
    </row>
    <row r="368" spans="1:5" x14ac:dyDescent="0.25">
      <c r="A368" s="252" t="s">
        <v>398</v>
      </c>
      <c r="B368" s="491"/>
      <c r="C368" s="535">
        <v>203505</v>
      </c>
      <c r="D368" s="497"/>
      <c r="E368" s="496">
        <v>203505</v>
      </c>
    </row>
    <row r="369" spans="1:5" x14ac:dyDescent="0.25">
      <c r="A369" s="252" t="s">
        <v>399</v>
      </c>
      <c r="B369" s="491"/>
      <c r="C369" s="535">
        <v>537723.72</v>
      </c>
      <c r="D369" s="497"/>
      <c r="E369" s="496">
        <v>537723.72</v>
      </c>
    </row>
    <row r="370" spans="1:5" x14ac:dyDescent="0.25">
      <c r="A370" s="252" t="s">
        <v>1696</v>
      </c>
      <c r="B370" s="491"/>
      <c r="C370" s="535">
        <v>44770.04</v>
      </c>
      <c r="D370" s="535">
        <v>44770.04</v>
      </c>
      <c r="E370" s="491"/>
    </row>
    <row r="371" spans="1:5" x14ac:dyDescent="0.25">
      <c r="A371" s="252" t="s">
        <v>401</v>
      </c>
      <c r="B371" s="490">
        <v>44840</v>
      </c>
      <c r="C371" s="535">
        <v>270228.26</v>
      </c>
      <c r="D371" s="535">
        <v>225388.26</v>
      </c>
      <c r="E371" s="491"/>
    </row>
    <row r="372" spans="1:5" x14ac:dyDescent="0.25">
      <c r="A372" s="252" t="s">
        <v>968</v>
      </c>
      <c r="B372" s="490">
        <v>8552</v>
      </c>
      <c r="C372" s="535">
        <v>25656</v>
      </c>
      <c r="D372" s="535">
        <v>25656</v>
      </c>
      <c r="E372" s="490">
        <v>8552</v>
      </c>
    </row>
    <row r="373" spans="1:5" x14ac:dyDescent="0.25">
      <c r="A373" s="252" t="s">
        <v>969</v>
      </c>
      <c r="B373" s="490">
        <v>8178</v>
      </c>
      <c r="C373" s="535">
        <v>24534</v>
      </c>
      <c r="D373" s="535">
        <v>24534</v>
      </c>
      <c r="E373" s="490">
        <v>8178</v>
      </c>
    </row>
    <row r="374" spans="1:5" x14ac:dyDescent="0.25">
      <c r="A374" s="252" t="s">
        <v>1697</v>
      </c>
      <c r="B374" s="491"/>
      <c r="C374" s="535">
        <v>225000</v>
      </c>
      <c r="D374" s="497"/>
      <c r="E374" s="496">
        <v>225000</v>
      </c>
    </row>
    <row r="375" spans="1:5" x14ac:dyDescent="0.25">
      <c r="A375" s="252" t="s">
        <v>1698</v>
      </c>
      <c r="B375" s="491"/>
      <c r="C375" s="497"/>
      <c r="D375" s="535">
        <v>154462</v>
      </c>
      <c r="E375" s="490">
        <v>154462</v>
      </c>
    </row>
    <row r="376" spans="1:5" x14ac:dyDescent="0.25">
      <c r="A376" s="252" t="s">
        <v>402</v>
      </c>
      <c r="B376" s="496">
        <v>954414</v>
      </c>
      <c r="C376" s="497"/>
      <c r="D376" s="497"/>
      <c r="E376" s="496">
        <v>954414</v>
      </c>
    </row>
    <row r="377" spans="1:5" x14ac:dyDescent="0.25">
      <c r="A377" s="252" t="s">
        <v>403</v>
      </c>
      <c r="B377" s="496">
        <v>32313799</v>
      </c>
      <c r="C377" s="497"/>
      <c r="D377" s="497"/>
      <c r="E377" s="496">
        <v>32313799</v>
      </c>
    </row>
    <row r="378" spans="1:5" x14ac:dyDescent="0.25">
      <c r="A378" s="252" t="s">
        <v>140</v>
      </c>
      <c r="B378" s="496">
        <v>1589845</v>
      </c>
      <c r="C378" s="535">
        <v>944163.14</v>
      </c>
      <c r="D378" s="535">
        <v>1220935</v>
      </c>
      <c r="E378" s="496">
        <v>1313073.1399999999</v>
      </c>
    </row>
    <row r="379" spans="1:5" x14ac:dyDescent="0.25">
      <c r="A379" s="252" t="s">
        <v>404</v>
      </c>
      <c r="B379" s="496">
        <v>494266.02</v>
      </c>
      <c r="C379" s="497"/>
      <c r="D379" s="497"/>
      <c r="E379" s="496">
        <v>494266.02</v>
      </c>
    </row>
    <row r="380" spans="1:5" x14ac:dyDescent="0.25">
      <c r="A380" s="252" t="s">
        <v>405</v>
      </c>
      <c r="B380" s="491"/>
      <c r="C380" s="535">
        <v>846274.58</v>
      </c>
      <c r="D380" s="497"/>
      <c r="E380" s="496">
        <v>846274.58</v>
      </c>
    </row>
    <row r="381" spans="1:5" x14ac:dyDescent="0.25">
      <c r="A381" s="252" t="s">
        <v>406</v>
      </c>
      <c r="B381" s="490">
        <v>8383.9</v>
      </c>
      <c r="C381" s="535">
        <v>29660.799999999999</v>
      </c>
      <c r="D381" s="535">
        <v>29102.400000000001</v>
      </c>
      <c r="E381" s="490">
        <v>7825.5</v>
      </c>
    </row>
    <row r="382" spans="1:5" x14ac:dyDescent="0.25">
      <c r="A382" s="252" t="s">
        <v>1699</v>
      </c>
      <c r="B382" s="491"/>
      <c r="C382" s="535">
        <v>8350</v>
      </c>
      <c r="D382" s="535">
        <v>8350</v>
      </c>
      <c r="E382" s="491"/>
    </row>
    <row r="383" spans="1:5" x14ac:dyDescent="0.25">
      <c r="A383" s="252" t="s">
        <v>407</v>
      </c>
      <c r="B383" s="491"/>
      <c r="C383" s="535">
        <v>174000</v>
      </c>
      <c r="D383" s="497"/>
      <c r="E383" s="496">
        <v>174000</v>
      </c>
    </row>
    <row r="384" spans="1:5" x14ac:dyDescent="0.25">
      <c r="A384" s="252" t="s">
        <v>832</v>
      </c>
      <c r="B384" s="491"/>
      <c r="C384" s="535">
        <v>41000</v>
      </c>
      <c r="D384" s="497"/>
      <c r="E384" s="496">
        <v>41000</v>
      </c>
    </row>
    <row r="385" spans="1:5" x14ac:dyDescent="0.25">
      <c r="A385" s="252" t="s">
        <v>408</v>
      </c>
      <c r="B385" s="490">
        <v>266216948.25</v>
      </c>
      <c r="C385" s="497"/>
      <c r="D385" s="497"/>
      <c r="E385" s="490">
        <v>266216948.25</v>
      </c>
    </row>
    <row r="386" spans="1:5" x14ac:dyDescent="0.25">
      <c r="A386" s="252" t="s">
        <v>409</v>
      </c>
      <c r="B386" s="490">
        <v>26050</v>
      </c>
      <c r="C386" s="535">
        <v>293150</v>
      </c>
      <c r="D386" s="535">
        <v>289550</v>
      </c>
      <c r="E386" s="490">
        <v>22450</v>
      </c>
    </row>
    <row r="387" spans="1:5" x14ac:dyDescent="0.25">
      <c r="A387" s="252" t="s">
        <v>410</v>
      </c>
      <c r="B387" s="496">
        <v>54999</v>
      </c>
      <c r="C387" s="497"/>
      <c r="D387" s="497"/>
      <c r="E387" s="496">
        <v>54999</v>
      </c>
    </row>
    <row r="388" spans="1:5" x14ac:dyDescent="0.25">
      <c r="A388" s="252" t="s">
        <v>831</v>
      </c>
      <c r="B388" s="491"/>
      <c r="C388" s="535">
        <v>209770</v>
      </c>
      <c r="D388" s="497"/>
      <c r="E388" s="496">
        <v>209770</v>
      </c>
    </row>
    <row r="389" spans="1:5" x14ac:dyDescent="0.25">
      <c r="A389" s="252" t="s">
        <v>411</v>
      </c>
      <c r="B389" s="491"/>
      <c r="C389" s="535">
        <v>1216555</v>
      </c>
      <c r="D389" s="497"/>
      <c r="E389" s="496">
        <v>1216555</v>
      </c>
    </row>
    <row r="390" spans="1:5" x14ac:dyDescent="0.25">
      <c r="A390" s="252" t="s">
        <v>412</v>
      </c>
      <c r="B390" s="490">
        <v>17927262</v>
      </c>
      <c r="C390" s="535">
        <v>17927262</v>
      </c>
      <c r="D390" s="497"/>
      <c r="E390" s="491"/>
    </row>
    <row r="391" spans="1:5" x14ac:dyDescent="0.25">
      <c r="A391" s="252" t="s">
        <v>970</v>
      </c>
      <c r="B391" s="491"/>
      <c r="C391" s="535">
        <v>28556</v>
      </c>
      <c r="D391" s="535">
        <v>28556</v>
      </c>
      <c r="E391" s="491"/>
    </row>
    <row r="392" spans="1:5" x14ac:dyDescent="0.25">
      <c r="A392" s="252" t="s">
        <v>1700</v>
      </c>
      <c r="B392" s="491"/>
      <c r="C392" s="535">
        <v>96600</v>
      </c>
      <c r="D392" s="535">
        <v>94990</v>
      </c>
      <c r="E392" s="496">
        <v>1610</v>
      </c>
    </row>
    <row r="393" spans="1:5" x14ac:dyDescent="0.25">
      <c r="A393" s="252" t="s">
        <v>413</v>
      </c>
      <c r="B393" s="491"/>
      <c r="C393" s="535">
        <v>23653220.969999999</v>
      </c>
      <c r="D393" s="535">
        <v>54928.82</v>
      </c>
      <c r="E393" s="496">
        <v>23598292.149999999</v>
      </c>
    </row>
    <row r="394" spans="1:5" x14ac:dyDescent="0.25">
      <c r="A394" s="252" t="s">
        <v>852</v>
      </c>
      <c r="B394" s="496">
        <v>141181065</v>
      </c>
      <c r="C394" s="497"/>
      <c r="D394" s="497"/>
      <c r="E394" s="496">
        <v>141181065</v>
      </c>
    </row>
    <row r="395" spans="1:5" x14ac:dyDescent="0.25">
      <c r="A395" s="252" t="s">
        <v>1701</v>
      </c>
      <c r="B395" s="491"/>
      <c r="C395" s="535">
        <v>67608</v>
      </c>
      <c r="D395" s="535">
        <v>74088</v>
      </c>
      <c r="E395" s="490">
        <v>6480</v>
      </c>
    </row>
    <row r="396" spans="1:5" x14ac:dyDescent="0.25">
      <c r="A396" s="252" t="s">
        <v>1702</v>
      </c>
      <c r="B396" s="491"/>
      <c r="C396" s="535">
        <v>99799</v>
      </c>
      <c r="D396" s="535">
        <v>99799</v>
      </c>
      <c r="E396" s="491"/>
    </row>
    <row r="397" spans="1:5" x14ac:dyDescent="0.25">
      <c r="A397" s="252" t="s">
        <v>1703</v>
      </c>
      <c r="B397" s="491"/>
      <c r="C397" s="535">
        <v>165440.43</v>
      </c>
      <c r="D397" s="535">
        <v>165440.43</v>
      </c>
      <c r="E397" s="491"/>
    </row>
    <row r="398" spans="1:5" x14ac:dyDescent="0.25">
      <c r="A398" s="252" t="s">
        <v>1704</v>
      </c>
      <c r="B398" s="491"/>
      <c r="C398" s="535">
        <v>45430</v>
      </c>
      <c r="D398" s="535">
        <v>45430</v>
      </c>
      <c r="E398" s="491"/>
    </row>
    <row r="399" spans="1:5" x14ac:dyDescent="0.25">
      <c r="A399" s="252" t="s">
        <v>1705</v>
      </c>
      <c r="B399" s="491"/>
      <c r="C399" s="535">
        <v>22000</v>
      </c>
      <c r="D399" s="535">
        <v>22000</v>
      </c>
      <c r="E399" s="491"/>
    </row>
    <row r="400" spans="1:5" x14ac:dyDescent="0.25">
      <c r="A400" s="252" t="s">
        <v>414</v>
      </c>
      <c r="B400" s="490">
        <v>91836</v>
      </c>
      <c r="C400" s="535">
        <v>91836</v>
      </c>
      <c r="D400" s="497"/>
      <c r="E400" s="491"/>
    </row>
    <row r="401" spans="1:9" x14ac:dyDescent="0.25">
      <c r="A401" s="252" t="s">
        <v>415</v>
      </c>
      <c r="B401" s="490">
        <v>115279</v>
      </c>
      <c r="C401" s="535">
        <v>115279</v>
      </c>
      <c r="D401" s="497"/>
      <c r="E401" s="491"/>
    </row>
    <row r="402" spans="1:9" x14ac:dyDescent="0.25">
      <c r="A402" s="252" t="s">
        <v>1706</v>
      </c>
      <c r="B402" s="491"/>
      <c r="C402" s="497"/>
      <c r="D402" s="535">
        <v>143640</v>
      </c>
      <c r="E402" s="490">
        <v>143640</v>
      </c>
    </row>
    <row r="403" spans="1:9" x14ac:dyDescent="0.25">
      <c r="A403" s="252" t="s">
        <v>416</v>
      </c>
      <c r="B403" s="490">
        <v>108171</v>
      </c>
      <c r="C403" s="535">
        <v>288710</v>
      </c>
      <c r="D403" s="535">
        <v>214735</v>
      </c>
      <c r="E403" s="490">
        <v>34196</v>
      </c>
    </row>
    <row r="404" spans="1:9" x14ac:dyDescent="0.25">
      <c r="A404" s="252" t="s">
        <v>1707</v>
      </c>
      <c r="B404" s="491"/>
      <c r="C404" s="535">
        <v>56049</v>
      </c>
      <c r="D404" s="535">
        <v>56049</v>
      </c>
      <c r="E404" s="491"/>
    </row>
    <row r="405" spans="1:9" x14ac:dyDescent="0.25">
      <c r="A405" s="252" t="s">
        <v>971</v>
      </c>
      <c r="B405" s="490">
        <v>29524</v>
      </c>
      <c r="C405" s="535">
        <v>127456</v>
      </c>
      <c r="D405" s="535">
        <v>97932</v>
      </c>
      <c r="E405" s="491"/>
    </row>
    <row r="406" spans="1:9" x14ac:dyDescent="0.25">
      <c r="A406" s="252" t="s">
        <v>417</v>
      </c>
      <c r="B406" s="490">
        <v>36816</v>
      </c>
      <c r="C406" s="497"/>
      <c r="D406" s="497"/>
      <c r="E406" s="490">
        <v>36816</v>
      </c>
    </row>
    <row r="407" spans="1:9" x14ac:dyDescent="0.25">
      <c r="A407" s="252" t="s">
        <v>418</v>
      </c>
      <c r="B407" s="491"/>
      <c r="C407" s="535">
        <v>24777937</v>
      </c>
      <c r="D407" s="497"/>
      <c r="E407" s="496">
        <v>24777937</v>
      </c>
    </row>
    <row r="408" spans="1:9" x14ac:dyDescent="0.25">
      <c r="A408" s="252" t="s">
        <v>1708</v>
      </c>
      <c r="B408" s="491"/>
      <c r="C408" s="535">
        <v>1400000</v>
      </c>
      <c r="D408" s="497"/>
      <c r="E408" s="496">
        <v>1400000</v>
      </c>
    </row>
    <row r="409" spans="1:9" x14ac:dyDescent="0.25">
      <c r="A409" s="252" t="s">
        <v>419</v>
      </c>
      <c r="B409" s="491"/>
      <c r="C409" s="535">
        <v>19983600</v>
      </c>
      <c r="D409" s="497"/>
      <c r="E409" s="496">
        <v>19983600</v>
      </c>
    </row>
    <row r="410" spans="1:9" x14ac:dyDescent="0.25">
      <c r="A410" s="252" t="s">
        <v>420</v>
      </c>
      <c r="B410" s="491"/>
      <c r="C410" s="535">
        <v>563013.57999999996</v>
      </c>
      <c r="D410" s="535">
        <v>3233</v>
      </c>
      <c r="E410" s="496">
        <v>559780.57999999996</v>
      </c>
    </row>
    <row r="411" spans="1:9" x14ac:dyDescent="0.25">
      <c r="A411" s="252" t="s">
        <v>201</v>
      </c>
      <c r="B411" s="490">
        <v>31530868</v>
      </c>
      <c r="C411" s="497"/>
      <c r="D411" s="497"/>
      <c r="E411" s="490">
        <v>31530868</v>
      </c>
    </row>
    <row r="412" spans="1:9" x14ac:dyDescent="0.25">
      <c r="A412" s="252" t="s">
        <v>421</v>
      </c>
      <c r="B412" s="491"/>
      <c r="C412" s="535">
        <v>600000</v>
      </c>
      <c r="D412" s="497"/>
      <c r="E412" s="496">
        <v>600000</v>
      </c>
    </row>
    <row r="413" spans="1:9" x14ac:dyDescent="0.25">
      <c r="A413" s="252" t="s">
        <v>423</v>
      </c>
      <c r="B413" s="496">
        <v>12391644.800000001</v>
      </c>
      <c r="C413" s="535">
        <v>28590638.199999999</v>
      </c>
      <c r="D413" s="535">
        <v>37710089.399999999</v>
      </c>
      <c r="E413" s="496">
        <v>3272193.6</v>
      </c>
    </row>
    <row r="414" spans="1:9" x14ac:dyDescent="0.25">
      <c r="A414" s="252" t="s">
        <v>424</v>
      </c>
      <c r="B414" s="490">
        <v>66358</v>
      </c>
      <c r="C414" s="535">
        <v>100119</v>
      </c>
      <c r="D414" s="535">
        <v>33761</v>
      </c>
      <c r="E414" s="491"/>
    </row>
    <row r="415" spans="1:9" x14ac:dyDescent="0.25">
      <c r="A415" s="252" t="s">
        <v>425</v>
      </c>
      <c r="B415" s="491"/>
      <c r="C415" s="535">
        <v>2603926.4</v>
      </c>
      <c r="D415" s="535">
        <v>1304210</v>
      </c>
      <c r="E415" s="496">
        <v>1299716.3999999999</v>
      </c>
      <c r="H415" t="s">
        <v>429</v>
      </c>
      <c r="I415" s="1306">
        <f>+E421</f>
        <v>65106972</v>
      </c>
    </row>
    <row r="416" spans="1:9" x14ac:dyDescent="0.25">
      <c r="A416" s="252" t="s">
        <v>426</v>
      </c>
      <c r="B416" s="491"/>
      <c r="C416" s="535">
        <v>111.42</v>
      </c>
      <c r="D416" s="535">
        <v>64.14</v>
      </c>
      <c r="E416" s="496">
        <v>47.28</v>
      </c>
    </row>
    <row r="417" spans="1:9" x14ac:dyDescent="0.25">
      <c r="A417" s="252" t="s">
        <v>428</v>
      </c>
      <c r="B417" s="490">
        <v>24894</v>
      </c>
      <c r="C417" s="535">
        <v>158490</v>
      </c>
      <c r="D417" s="535">
        <v>144072</v>
      </c>
      <c r="E417" s="490">
        <v>10476</v>
      </c>
      <c r="H417" t="s">
        <v>1780</v>
      </c>
      <c r="I417" s="1306">
        <v>2998092</v>
      </c>
    </row>
    <row r="418" spans="1:9" x14ac:dyDescent="0.25">
      <c r="A418" s="252" t="s">
        <v>1709</v>
      </c>
      <c r="B418" s="491"/>
      <c r="C418" s="535">
        <v>102000</v>
      </c>
      <c r="D418" s="497"/>
      <c r="E418" s="496">
        <v>102000</v>
      </c>
      <c r="H418" t="s">
        <v>1781</v>
      </c>
      <c r="I418" s="1306">
        <f>+I415-I417</f>
        <v>62108880</v>
      </c>
    </row>
    <row r="419" spans="1:9" x14ac:dyDescent="0.25">
      <c r="A419" s="252" t="s">
        <v>584</v>
      </c>
      <c r="B419" s="491"/>
      <c r="C419" s="535">
        <v>22579</v>
      </c>
      <c r="D419" s="535">
        <v>22579</v>
      </c>
      <c r="E419" s="491"/>
    </row>
    <row r="420" spans="1:9" x14ac:dyDescent="0.25">
      <c r="A420" s="252" t="s">
        <v>202</v>
      </c>
      <c r="B420" s="490">
        <v>12074</v>
      </c>
      <c r="C420" s="535">
        <v>73257024</v>
      </c>
      <c r="D420" s="535">
        <v>73450484</v>
      </c>
      <c r="E420" s="490">
        <v>205534</v>
      </c>
    </row>
    <row r="421" spans="1:9" x14ac:dyDescent="0.25">
      <c r="A421" s="252" t="s">
        <v>429</v>
      </c>
      <c r="B421" s="491"/>
      <c r="C421" s="535">
        <v>65106972</v>
      </c>
      <c r="D421" s="497"/>
      <c r="E421" s="496">
        <v>65106972</v>
      </c>
    </row>
    <row r="422" spans="1:9" x14ac:dyDescent="0.25">
      <c r="A422" s="252" t="s">
        <v>1710</v>
      </c>
      <c r="B422" s="491"/>
      <c r="C422" s="497"/>
      <c r="D422" s="535">
        <v>44200</v>
      </c>
      <c r="E422" s="490">
        <v>44200</v>
      </c>
    </row>
    <row r="423" spans="1:9" x14ac:dyDescent="0.25">
      <c r="A423" s="252" t="s">
        <v>972</v>
      </c>
      <c r="B423" s="496">
        <v>190000</v>
      </c>
      <c r="C423" s="497"/>
      <c r="D423" s="497"/>
      <c r="E423" s="496">
        <v>190000</v>
      </c>
    </row>
    <row r="424" spans="1:9" x14ac:dyDescent="0.25">
      <c r="A424" s="252" t="s">
        <v>1417</v>
      </c>
      <c r="B424" s="490">
        <v>14560</v>
      </c>
      <c r="C424" s="535">
        <v>164280</v>
      </c>
      <c r="D424" s="535">
        <v>163025</v>
      </c>
      <c r="E424" s="490">
        <v>13305</v>
      </c>
    </row>
    <row r="425" spans="1:9" x14ac:dyDescent="0.25">
      <c r="A425" s="252" t="s">
        <v>430</v>
      </c>
      <c r="B425" s="490">
        <v>31510</v>
      </c>
      <c r="C425" s="535">
        <v>427663.5</v>
      </c>
      <c r="D425" s="535">
        <v>427663.5</v>
      </c>
      <c r="E425" s="490">
        <v>31510</v>
      </c>
    </row>
    <row r="426" spans="1:9" x14ac:dyDescent="0.25">
      <c r="A426" s="252" t="s">
        <v>1711</v>
      </c>
      <c r="B426" s="491"/>
      <c r="C426" s="535">
        <v>24915</v>
      </c>
      <c r="D426" s="535">
        <v>24915</v>
      </c>
      <c r="E426" s="491"/>
    </row>
    <row r="427" spans="1:9" x14ac:dyDescent="0.25">
      <c r="A427" s="252" t="s">
        <v>432</v>
      </c>
      <c r="B427" s="490">
        <v>21000</v>
      </c>
      <c r="C427" s="535">
        <v>21000</v>
      </c>
      <c r="D427" s="497"/>
      <c r="E427" s="491"/>
    </row>
    <row r="428" spans="1:9" x14ac:dyDescent="0.25">
      <c r="A428" s="252" t="s">
        <v>1712</v>
      </c>
      <c r="B428" s="491"/>
      <c r="C428" s="535">
        <v>41253</v>
      </c>
      <c r="D428" s="535">
        <v>41253</v>
      </c>
      <c r="E428" s="491"/>
    </row>
    <row r="429" spans="1:9" x14ac:dyDescent="0.25">
      <c r="A429" s="252" t="s">
        <v>1713</v>
      </c>
      <c r="B429" s="491"/>
      <c r="C429" s="535">
        <v>108550.84</v>
      </c>
      <c r="D429" s="535">
        <v>108550.84</v>
      </c>
      <c r="E429" s="491"/>
    </row>
    <row r="430" spans="1:9" x14ac:dyDescent="0.25">
      <c r="A430" s="252" t="s">
        <v>1714</v>
      </c>
      <c r="B430" s="491"/>
      <c r="C430" s="535">
        <v>91800</v>
      </c>
      <c r="D430" s="535">
        <v>91800</v>
      </c>
      <c r="E430" s="491"/>
    </row>
    <row r="431" spans="1:9" x14ac:dyDescent="0.25">
      <c r="A431" s="252" t="s">
        <v>434</v>
      </c>
      <c r="B431" s="496">
        <v>98337</v>
      </c>
      <c r="C431" s="497"/>
      <c r="D431" s="497"/>
      <c r="E431" s="496">
        <v>98337</v>
      </c>
    </row>
    <row r="432" spans="1:9" x14ac:dyDescent="0.25">
      <c r="A432" s="252" t="s">
        <v>435</v>
      </c>
      <c r="B432" s="491"/>
      <c r="C432" s="535">
        <v>1705604.96</v>
      </c>
      <c r="D432" s="497"/>
      <c r="E432" s="496">
        <v>1705604.96</v>
      </c>
    </row>
    <row r="433" spans="1:5" x14ac:dyDescent="0.25">
      <c r="A433" s="252" t="s">
        <v>437</v>
      </c>
      <c r="B433" s="491"/>
      <c r="C433" s="535">
        <v>1514310.4</v>
      </c>
      <c r="D433" s="535">
        <v>101641641.93000001</v>
      </c>
      <c r="E433" s="490">
        <v>100127331.53</v>
      </c>
    </row>
    <row r="434" spans="1:5" x14ac:dyDescent="0.25">
      <c r="A434" s="252" t="s">
        <v>438</v>
      </c>
      <c r="B434" s="491"/>
      <c r="C434" s="535">
        <v>315920</v>
      </c>
      <c r="D434" s="535">
        <v>19954496.710000001</v>
      </c>
      <c r="E434" s="490">
        <v>19638576.710000001</v>
      </c>
    </row>
    <row r="435" spans="1:5" x14ac:dyDescent="0.25">
      <c r="A435" s="252" t="s">
        <v>439</v>
      </c>
      <c r="B435" s="491"/>
      <c r="C435" s="535">
        <v>4433751</v>
      </c>
      <c r="D435" s="535">
        <v>104453218.90000001</v>
      </c>
      <c r="E435" s="490">
        <v>100019467.90000001</v>
      </c>
    </row>
    <row r="436" spans="1:5" x14ac:dyDescent="0.25">
      <c r="A436" s="252" t="s">
        <v>442</v>
      </c>
      <c r="B436" s="491"/>
      <c r="C436" s="535">
        <v>81375</v>
      </c>
      <c r="D436" s="535">
        <v>1023520</v>
      </c>
      <c r="E436" s="490">
        <v>942145</v>
      </c>
    </row>
    <row r="437" spans="1:5" x14ac:dyDescent="0.25">
      <c r="A437" s="252" t="s">
        <v>444</v>
      </c>
      <c r="B437" s="491"/>
      <c r="C437" s="535">
        <v>107859.99</v>
      </c>
      <c r="D437" s="535">
        <v>21937542.399999999</v>
      </c>
      <c r="E437" s="490">
        <v>21829682.41</v>
      </c>
    </row>
    <row r="438" spans="1:5" x14ac:dyDescent="0.25">
      <c r="A438" s="252" t="s">
        <v>1715</v>
      </c>
      <c r="B438" s="491"/>
      <c r="C438" s="535">
        <v>149851</v>
      </c>
      <c r="D438" s="535">
        <v>149851</v>
      </c>
      <c r="E438" s="491"/>
    </row>
    <row r="439" spans="1:5" x14ac:dyDescent="0.25">
      <c r="A439" s="252" t="s">
        <v>445</v>
      </c>
      <c r="B439" s="491"/>
      <c r="C439" s="535">
        <v>18000</v>
      </c>
      <c r="D439" s="535">
        <v>18000</v>
      </c>
      <c r="E439" s="491"/>
    </row>
    <row r="440" spans="1:5" x14ac:dyDescent="0.25">
      <c r="A440" s="252" t="s">
        <v>446</v>
      </c>
      <c r="B440" s="490">
        <v>3121940</v>
      </c>
      <c r="C440" s="497"/>
      <c r="D440" s="497"/>
      <c r="E440" s="490">
        <v>3121940</v>
      </c>
    </row>
    <row r="441" spans="1:5" x14ac:dyDescent="0.25">
      <c r="A441" s="252" t="s">
        <v>447</v>
      </c>
      <c r="B441" s="490">
        <v>9153780</v>
      </c>
      <c r="C441" s="497"/>
      <c r="D441" s="497"/>
      <c r="E441" s="490">
        <v>9153780</v>
      </c>
    </row>
    <row r="442" spans="1:5" x14ac:dyDescent="0.25">
      <c r="A442" s="252" t="s">
        <v>448</v>
      </c>
      <c r="B442" s="490">
        <v>1975910</v>
      </c>
      <c r="C442" s="497"/>
      <c r="D442" s="497"/>
      <c r="E442" s="490">
        <v>1975910</v>
      </c>
    </row>
    <row r="443" spans="1:5" x14ac:dyDescent="0.25">
      <c r="A443" s="252" t="s">
        <v>449</v>
      </c>
      <c r="B443" s="490">
        <v>9498500</v>
      </c>
      <c r="C443" s="497"/>
      <c r="D443" s="497"/>
      <c r="E443" s="490">
        <v>9498500</v>
      </c>
    </row>
    <row r="444" spans="1:5" x14ac:dyDescent="0.25">
      <c r="A444" s="252" t="s">
        <v>450</v>
      </c>
      <c r="B444" s="490">
        <v>2036660</v>
      </c>
      <c r="C444" s="497"/>
      <c r="D444" s="497"/>
      <c r="E444" s="490">
        <v>2036660</v>
      </c>
    </row>
    <row r="445" spans="1:5" x14ac:dyDescent="0.25">
      <c r="A445" s="252" t="s">
        <v>451</v>
      </c>
      <c r="B445" s="490">
        <v>18947710</v>
      </c>
      <c r="C445" s="497"/>
      <c r="D445" s="497"/>
      <c r="E445" s="490">
        <v>18947710</v>
      </c>
    </row>
    <row r="446" spans="1:5" x14ac:dyDescent="0.25">
      <c r="A446" s="252" t="s">
        <v>452</v>
      </c>
      <c r="B446" s="490">
        <v>9017600</v>
      </c>
      <c r="C446" s="497"/>
      <c r="D446" s="497"/>
      <c r="E446" s="490">
        <v>9017600</v>
      </c>
    </row>
    <row r="447" spans="1:5" x14ac:dyDescent="0.25">
      <c r="A447" s="252" t="s">
        <v>454</v>
      </c>
      <c r="B447" s="490">
        <v>17546161</v>
      </c>
      <c r="C447" s="497"/>
      <c r="D447" s="497"/>
      <c r="E447" s="490">
        <v>17546161</v>
      </c>
    </row>
    <row r="448" spans="1:5" x14ac:dyDescent="0.25">
      <c r="A448" s="252" t="s">
        <v>455</v>
      </c>
      <c r="B448" s="490">
        <v>500000</v>
      </c>
      <c r="C448" s="497"/>
      <c r="D448" s="497"/>
      <c r="E448" s="490">
        <v>500000</v>
      </c>
    </row>
    <row r="449" spans="1:5" x14ac:dyDescent="0.25">
      <c r="A449" s="252" t="s">
        <v>973</v>
      </c>
      <c r="B449" s="496">
        <v>250000</v>
      </c>
      <c r="C449" s="535">
        <v>19000</v>
      </c>
      <c r="D449" s="497"/>
      <c r="E449" s="496">
        <v>269000</v>
      </c>
    </row>
    <row r="450" spans="1:5" x14ac:dyDescent="0.25">
      <c r="A450" s="252" t="s">
        <v>1716</v>
      </c>
      <c r="B450" s="491"/>
      <c r="C450" s="535">
        <v>28200</v>
      </c>
      <c r="D450" s="535">
        <v>28200</v>
      </c>
      <c r="E450" s="491"/>
    </row>
    <row r="451" spans="1:5" x14ac:dyDescent="0.25">
      <c r="A451" s="252" t="s">
        <v>1717</v>
      </c>
      <c r="B451" s="491"/>
      <c r="C451" s="535">
        <v>37052</v>
      </c>
      <c r="D451" s="535">
        <v>37052</v>
      </c>
      <c r="E451" s="491"/>
    </row>
    <row r="452" spans="1:5" x14ac:dyDescent="0.25">
      <c r="A452" s="252" t="s">
        <v>456</v>
      </c>
      <c r="B452" s="490">
        <v>378971</v>
      </c>
      <c r="C452" s="535">
        <v>2354960</v>
      </c>
      <c r="D452" s="535">
        <v>2271828</v>
      </c>
      <c r="E452" s="490">
        <v>295839</v>
      </c>
    </row>
    <row r="453" spans="1:5" x14ac:dyDescent="0.25">
      <c r="A453" s="252" t="s">
        <v>1718</v>
      </c>
      <c r="B453" s="491"/>
      <c r="C453" s="497"/>
      <c r="D453" s="535">
        <v>80000</v>
      </c>
      <c r="E453" s="490">
        <v>80000</v>
      </c>
    </row>
    <row r="454" spans="1:5" x14ac:dyDescent="0.25">
      <c r="A454" s="252" t="s">
        <v>974</v>
      </c>
      <c r="B454" s="491"/>
      <c r="C454" s="497"/>
      <c r="D454" s="497"/>
      <c r="E454" s="491"/>
    </row>
    <row r="455" spans="1:5" x14ac:dyDescent="0.25">
      <c r="A455" s="252" t="s">
        <v>975</v>
      </c>
      <c r="B455" s="490">
        <v>92556</v>
      </c>
      <c r="C455" s="535">
        <v>187380</v>
      </c>
      <c r="D455" s="535">
        <v>197262</v>
      </c>
      <c r="E455" s="490">
        <v>102438</v>
      </c>
    </row>
    <row r="456" spans="1:5" x14ac:dyDescent="0.25">
      <c r="A456" s="252" t="s">
        <v>1719</v>
      </c>
      <c r="B456" s="490">
        <v>429992</v>
      </c>
      <c r="C456" s="535">
        <v>1400778</v>
      </c>
      <c r="D456" s="535">
        <v>1174690</v>
      </c>
      <c r="E456" s="490">
        <v>203904</v>
      </c>
    </row>
    <row r="457" spans="1:5" x14ac:dyDescent="0.25">
      <c r="A457" s="252" t="s">
        <v>828</v>
      </c>
      <c r="B457" s="491"/>
      <c r="C457" s="535">
        <v>100000</v>
      </c>
      <c r="D457" s="497"/>
      <c r="E457" s="496">
        <v>100000</v>
      </c>
    </row>
    <row r="458" spans="1:5" x14ac:dyDescent="0.25">
      <c r="A458" s="252" t="s">
        <v>1418</v>
      </c>
      <c r="B458" s="490">
        <v>40500</v>
      </c>
      <c r="C458" s="535">
        <v>41354</v>
      </c>
      <c r="D458" s="535">
        <v>854</v>
      </c>
      <c r="E458" s="491"/>
    </row>
    <row r="459" spans="1:5" x14ac:dyDescent="0.25">
      <c r="A459" s="252" t="s">
        <v>1720</v>
      </c>
      <c r="B459" s="491"/>
      <c r="C459" s="535">
        <v>16520</v>
      </c>
      <c r="D459" s="535">
        <v>16520</v>
      </c>
      <c r="E459" s="491"/>
    </row>
    <row r="460" spans="1:5" x14ac:dyDescent="0.25">
      <c r="A460" s="252" t="s">
        <v>1721</v>
      </c>
      <c r="B460" s="491"/>
      <c r="C460" s="535">
        <v>72362</v>
      </c>
      <c r="D460" s="535">
        <v>72362</v>
      </c>
      <c r="E460" s="491"/>
    </row>
    <row r="461" spans="1:5" x14ac:dyDescent="0.25">
      <c r="A461" s="252" t="s">
        <v>1722</v>
      </c>
      <c r="B461" s="491"/>
      <c r="C461" s="535">
        <v>3712444.22</v>
      </c>
      <c r="D461" s="535">
        <v>973963.2</v>
      </c>
      <c r="E461" s="496">
        <v>2738481.02</v>
      </c>
    </row>
    <row r="462" spans="1:5" x14ac:dyDescent="0.25">
      <c r="A462" s="252" t="s">
        <v>459</v>
      </c>
      <c r="B462" s="496">
        <v>212220</v>
      </c>
      <c r="C462" s="535">
        <v>523735.02</v>
      </c>
      <c r="D462" s="535">
        <v>735955.02</v>
      </c>
      <c r="E462" s="491"/>
    </row>
    <row r="463" spans="1:5" x14ac:dyDescent="0.25">
      <c r="A463" s="252" t="s">
        <v>1723</v>
      </c>
      <c r="B463" s="491"/>
      <c r="C463" s="535">
        <v>294835.20000000001</v>
      </c>
      <c r="D463" s="535">
        <v>294835.20000000001</v>
      </c>
      <c r="E463" s="491"/>
    </row>
    <row r="464" spans="1:5" x14ac:dyDescent="0.25">
      <c r="A464" s="252" t="s">
        <v>1724</v>
      </c>
      <c r="B464" s="491"/>
      <c r="C464" s="535">
        <v>7762.5</v>
      </c>
      <c r="D464" s="535">
        <v>7762.5</v>
      </c>
      <c r="E464" s="491"/>
    </row>
    <row r="465" spans="1:5" x14ac:dyDescent="0.25">
      <c r="A465" s="252" t="s">
        <v>460</v>
      </c>
      <c r="B465" s="496">
        <v>137664.54</v>
      </c>
      <c r="C465" s="535">
        <v>37500</v>
      </c>
      <c r="D465" s="497"/>
      <c r="E465" s="496">
        <v>175164.54</v>
      </c>
    </row>
    <row r="466" spans="1:5" x14ac:dyDescent="0.25">
      <c r="A466" s="252" t="s">
        <v>461</v>
      </c>
      <c r="B466" s="491"/>
      <c r="C466" s="535">
        <v>207821.06</v>
      </c>
      <c r="D466" s="535">
        <v>243193.06</v>
      </c>
      <c r="E466" s="490">
        <v>35372</v>
      </c>
    </row>
    <row r="467" spans="1:5" x14ac:dyDescent="0.25">
      <c r="A467" s="252" t="s">
        <v>462</v>
      </c>
      <c r="B467" s="490">
        <v>11640</v>
      </c>
      <c r="C467" s="535">
        <v>139120</v>
      </c>
      <c r="D467" s="535">
        <v>139050</v>
      </c>
      <c r="E467" s="490">
        <v>11570</v>
      </c>
    </row>
    <row r="468" spans="1:5" x14ac:dyDescent="0.25">
      <c r="A468" s="252" t="s">
        <v>463</v>
      </c>
      <c r="B468" s="491"/>
      <c r="C468" s="535">
        <v>338658</v>
      </c>
      <c r="D468" s="497"/>
      <c r="E468" s="496">
        <v>338658</v>
      </c>
    </row>
    <row r="469" spans="1:5" x14ac:dyDescent="0.25">
      <c r="A469" s="252" t="s">
        <v>1725</v>
      </c>
      <c r="B469" s="491"/>
      <c r="C469" s="535">
        <v>3975670</v>
      </c>
      <c r="D469" s="535">
        <v>1051352</v>
      </c>
      <c r="E469" s="496">
        <v>2924318</v>
      </c>
    </row>
    <row r="470" spans="1:5" x14ac:dyDescent="0.25">
      <c r="A470" s="252" t="s">
        <v>465</v>
      </c>
      <c r="B470" s="496">
        <v>34800</v>
      </c>
      <c r="C470" s="497"/>
      <c r="D470" s="497"/>
      <c r="E470" s="496">
        <v>34800</v>
      </c>
    </row>
    <row r="471" spans="1:5" x14ac:dyDescent="0.25">
      <c r="A471" s="252" t="s">
        <v>1726</v>
      </c>
      <c r="B471" s="491"/>
      <c r="C471" s="535">
        <v>955904</v>
      </c>
      <c r="D471" s="535">
        <v>1027769</v>
      </c>
      <c r="E471" s="490">
        <v>71865</v>
      </c>
    </row>
    <row r="472" spans="1:5" x14ac:dyDescent="0.25">
      <c r="A472" s="252" t="s">
        <v>1727</v>
      </c>
      <c r="B472" s="491"/>
      <c r="C472" s="535">
        <v>14160</v>
      </c>
      <c r="D472" s="535">
        <v>14160</v>
      </c>
      <c r="E472" s="491"/>
    </row>
    <row r="473" spans="1:5" x14ac:dyDescent="0.25">
      <c r="A473" s="252" t="s">
        <v>1728</v>
      </c>
      <c r="B473" s="491"/>
      <c r="C473" s="535">
        <v>21910</v>
      </c>
      <c r="D473" s="535">
        <v>21910</v>
      </c>
      <c r="E473" s="491"/>
    </row>
    <row r="474" spans="1:5" x14ac:dyDescent="0.25">
      <c r="A474" s="252" t="s">
        <v>466</v>
      </c>
      <c r="B474" s="491"/>
      <c r="C474" s="535">
        <v>160488</v>
      </c>
      <c r="D474" s="535">
        <v>160488</v>
      </c>
      <c r="E474" s="491"/>
    </row>
    <row r="475" spans="1:5" x14ac:dyDescent="0.25">
      <c r="A475" s="252" t="s">
        <v>1729</v>
      </c>
      <c r="B475" s="491"/>
      <c r="C475" s="535">
        <v>147835</v>
      </c>
      <c r="D475" s="535">
        <v>166122</v>
      </c>
      <c r="E475" s="490">
        <v>18287</v>
      </c>
    </row>
    <row r="476" spans="1:5" x14ac:dyDescent="0.25">
      <c r="A476" s="252" t="s">
        <v>467</v>
      </c>
      <c r="B476" s="490">
        <v>68151.600000000006</v>
      </c>
      <c r="C476" s="535">
        <v>433503.6</v>
      </c>
      <c r="D476" s="535">
        <v>387799</v>
      </c>
      <c r="E476" s="490">
        <v>22447</v>
      </c>
    </row>
    <row r="477" spans="1:5" x14ac:dyDescent="0.25">
      <c r="A477" s="252" t="s">
        <v>1730</v>
      </c>
      <c r="B477" s="491"/>
      <c r="C477" s="535">
        <v>35037</v>
      </c>
      <c r="D477" s="535">
        <v>35037</v>
      </c>
      <c r="E477" s="491"/>
    </row>
    <row r="478" spans="1:5" x14ac:dyDescent="0.25">
      <c r="A478" s="252" t="s">
        <v>1731</v>
      </c>
      <c r="B478" s="491"/>
      <c r="C478" s="535">
        <v>14300</v>
      </c>
      <c r="D478" s="535">
        <v>14300</v>
      </c>
      <c r="E478" s="491"/>
    </row>
    <row r="479" spans="1:5" x14ac:dyDescent="0.25">
      <c r="A479" s="252" t="s">
        <v>976</v>
      </c>
      <c r="B479" s="490">
        <v>71820</v>
      </c>
      <c r="C479" s="535">
        <v>71820</v>
      </c>
      <c r="D479" s="497"/>
      <c r="E479" s="491"/>
    </row>
    <row r="480" spans="1:5" x14ac:dyDescent="0.25">
      <c r="A480" s="252" t="s">
        <v>1732</v>
      </c>
      <c r="B480" s="491"/>
      <c r="C480" s="535">
        <v>41300</v>
      </c>
      <c r="D480" s="535">
        <v>41890</v>
      </c>
      <c r="E480" s="490">
        <v>590</v>
      </c>
    </row>
    <row r="481" spans="1:5" x14ac:dyDescent="0.25">
      <c r="A481" s="252" t="s">
        <v>1733</v>
      </c>
      <c r="B481" s="491"/>
      <c r="C481" s="535">
        <v>2071933</v>
      </c>
      <c r="D481" s="535">
        <v>2071930</v>
      </c>
      <c r="E481" s="496">
        <v>3</v>
      </c>
    </row>
    <row r="482" spans="1:5" x14ac:dyDescent="0.25">
      <c r="A482" s="252" t="s">
        <v>1734</v>
      </c>
      <c r="B482" s="491"/>
      <c r="C482" s="535">
        <v>1905700</v>
      </c>
      <c r="D482" s="535">
        <v>1905700</v>
      </c>
      <c r="E482" s="491"/>
    </row>
    <row r="483" spans="1:5" x14ac:dyDescent="0.25">
      <c r="A483" s="252" t="s">
        <v>469</v>
      </c>
      <c r="B483" s="491"/>
      <c r="C483" s="535">
        <v>18880</v>
      </c>
      <c r="D483" s="535">
        <v>18880</v>
      </c>
      <c r="E483" s="491"/>
    </row>
    <row r="484" spans="1:5" x14ac:dyDescent="0.25">
      <c r="A484" s="252" t="s">
        <v>1735</v>
      </c>
      <c r="B484" s="491"/>
      <c r="C484" s="535">
        <v>31500</v>
      </c>
      <c r="D484" s="535">
        <v>31500</v>
      </c>
      <c r="E484" s="491"/>
    </row>
    <row r="485" spans="1:5" x14ac:dyDescent="0.25">
      <c r="A485" s="252" t="s">
        <v>470</v>
      </c>
      <c r="B485" s="496">
        <v>3600</v>
      </c>
      <c r="C485" s="497"/>
      <c r="D485" s="497"/>
      <c r="E485" s="496">
        <v>3600</v>
      </c>
    </row>
    <row r="486" spans="1:5" x14ac:dyDescent="0.25">
      <c r="A486" s="252" t="s">
        <v>1736</v>
      </c>
      <c r="B486" s="491"/>
      <c r="C486" s="535">
        <v>48380</v>
      </c>
      <c r="D486" s="535">
        <v>48380</v>
      </c>
      <c r="E486" s="491"/>
    </row>
    <row r="487" spans="1:5" x14ac:dyDescent="0.25">
      <c r="A487" s="252" t="s">
        <v>471</v>
      </c>
      <c r="B487" s="491"/>
      <c r="C487" s="535">
        <v>355027</v>
      </c>
      <c r="D487" s="497"/>
      <c r="E487" s="496">
        <v>355027</v>
      </c>
    </row>
    <row r="488" spans="1:5" x14ac:dyDescent="0.25">
      <c r="A488" s="252" t="s">
        <v>198</v>
      </c>
      <c r="B488" s="491"/>
      <c r="C488" s="535">
        <v>30000</v>
      </c>
      <c r="D488" s="497"/>
      <c r="E488" s="496">
        <v>30000</v>
      </c>
    </row>
    <row r="489" spans="1:5" x14ac:dyDescent="0.25">
      <c r="A489" s="252" t="s">
        <v>475</v>
      </c>
      <c r="B489" s="491"/>
      <c r="C489" s="535">
        <v>247480.11</v>
      </c>
      <c r="D489" s="497"/>
      <c r="E489" s="496">
        <v>247480.11</v>
      </c>
    </row>
    <row r="490" spans="1:5" x14ac:dyDescent="0.25">
      <c r="A490" s="252" t="s">
        <v>476</v>
      </c>
      <c r="B490" s="496">
        <v>650000</v>
      </c>
      <c r="C490" s="497"/>
      <c r="D490" s="497"/>
      <c r="E490" s="496">
        <v>650000</v>
      </c>
    </row>
    <row r="491" spans="1:5" x14ac:dyDescent="0.25">
      <c r="A491" s="252" t="s">
        <v>477</v>
      </c>
      <c r="B491" s="491"/>
      <c r="C491" s="535">
        <v>1703436.22</v>
      </c>
      <c r="D491" s="497"/>
      <c r="E491" s="496">
        <v>1703436.22</v>
      </c>
    </row>
    <row r="492" spans="1:5" x14ac:dyDescent="0.25">
      <c r="A492" s="252" t="s">
        <v>478</v>
      </c>
      <c r="B492" s="491"/>
      <c r="C492" s="535">
        <v>3941580.92</v>
      </c>
      <c r="D492" s="497"/>
      <c r="E492" s="496">
        <v>3941580.92</v>
      </c>
    </row>
    <row r="493" spans="1:5" x14ac:dyDescent="0.25">
      <c r="A493" s="252" t="s">
        <v>1737</v>
      </c>
      <c r="B493" s="491"/>
      <c r="C493" s="497"/>
      <c r="D493" s="535">
        <v>34220</v>
      </c>
      <c r="E493" s="490">
        <v>34220</v>
      </c>
    </row>
    <row r="494" spans="1:5" x14ac:dyDescent="0.25">
      <c r="A494" s="252" t="s">
        <v>590</v>
      </c>
      <c r="B494" s="490">
        <v>62835</v>
      </c>
      <c r="C494" s="535">
        <v>62835</v>
      </c>
      <c r="D494" s="497"/>
      <c r="E494" s="491"/>
    </row>
    <row r="495" spans="1:5" x14ac:dyDescent="0.25">
      <c r="A495" s="252" t="s">
        <v>1738</v>
      </c>
      <c r="B495" s="491"/>
      <c r="C495" s="535">
        <v>87920</v>
      </c>
      <c r="D495" s="535">
        <v>87920</v>
      </c>
      <c r="E495" s="491"/>
    </row>
    <row r="496" spans="1:5" x14ac:dyDescent="0.25">
      <c r="A496" s="252" t="s">
        <v>480</v>
      </c>
      <c r="B496" s="496">
        <v>2484803</v>
      </c>
      <c r="C496" s="497"/>
      <c r="D496" s="497"/>
      <c r="E496" s="496">
        <v>2484803</v>
      </c>
    </row>
    <row r="497" spans="1:5" x14ac:dyDescent="0.25">
      <c r="A497" s="252" t="s">
        <v>481</v>
      </c>
      <c r="B497" s="496">
        <v>1821092</v>
      </c>
      <c r="C497" s="535">
        <v>14300</v>
      </c>
      <c r="D497" s="497"/>
      <c r="E497" s="496">
        <v>1835392</v>
      </c>
    </row>
    <row r="498" spans="1:5" x14ac:dyDescent="0.25">
      <c r="A498" s="252" t="s">
        <v>482</v>
      </c>
      <c r="B498" s="490">
        <v>602379</v>
      </c>
      <c r="C498" s="535">
        <v>7164612</v>
      </c>
      <c r="D498" s="535">
        <v>7194096</v>
      </c>
      <c r="E498" s="490">
        <v>631863</v>
      </c>
    </row>
    <row r="499" spans="1:5" x14ac:dyDescent="0.25">
      <c r="A499" s="252" t="s">
        <v>1739</v>
      </c>
      <c r="B499" s="491"/>
      <c r="C499" s="535">
        <v>442</v>
      </c>
      <c r="D499" s="535">
        <v>442</v>
      </c>
      <c r="E499" s="491"/>
    </row>
    <row r="500" spans="1:5" x14ac:dyDescent="0.25">
      <c r="A500" s="252" t="s">
        <v>483</v>
      </c>
      <c r="B500" s="496">
        <v>19826.75</v>
      </c>
      <c r="C500" s="535">
        <v>18728</v>
      </c>
      <c r="D500" s="535">
        <v>19827</v>
      </c>
      <c r="E500" s="496">
        <v>18727.75</v>
      </c>
    </row>
    <row r="501" spans="1:5" x14ac:dyDescent="0.25">
      <c r="A501" s="252" t="s">
        <v>484</v>
      </c>
      <c r="B501" s="496">
        <v>11285077</v>
      </c>
      <c r="C501" s="535">
        <v>2749916</v>
      </c>
      <c r="D501" s="535">
        <v>11285077</v>
      </c>
      <c r="E501" s="496">
        <v>2749916</v>
      </c>
    </row>
    <row r="502" spans="1:5" x14ac:dyDescent="0.25">
      <c r="A502" s="252" t="s">
        <v>485</v>
      </c>
      <c r="B502" s="490">
        <v>2987</v>
      </c>
      <c r="C502" s="535">
        <v>32773</v>
      </c>
      <c r="D502" s="535">
        <v>32206</v>
      </c>
      <c r="E502" s="490">
        <v>2420</v>
      </c>
    </row>
    <row r="503" spans="1:5" x14ac:dyDescent="0.25">
      <c r="A503" s="252" t="s">
        <v>486</v>
      </c>
      <c r="B503" s="490">
        <v>358432</v>
      </c>
      <c r="C503" s="535">
        <v>1982667</v>
      </c>
      <c r="D503" s="535">
        <v>1861370</v>
      </c>
      <c r="E503" s="490">
        <v>237135</v>
      </c>
    </row>
    <row r="504" spans="1:5" x14ac:dyDescent="0.25">
      <c r="A504" s="252" t="s">
        <v>487</v>
      </c>
      <c r="B504" s="490">
        <v>165900</v>
      </c>
      <c r="C504" s="535">
        <v>2011570</v>
      </c>
      <c r="D504" s="535">
        <v>2021960</v>
      </c>
      <c r="E504" s="490">
        <v>176290</v>
      </c>
    </row>
    <row r="505" spans="1:5" x14ac:dyDescent="0.25">
      <c r="A505" s="252" t="s">
        <v>488</v>
      </c>
      <c r="B505" s="490">
        <v>743350</v>
      </c>
      <c r="C505" s="535">
        <v>9323897</v>
      </c>
      <c r="D505" s="535">
        <v>9256487</v>
      </c>
      <c r="E505" s="490">
        <v>675940</v>
      </c>
    </row>
    <row r="506" spans="1:5" x14ac:dyDescent="0.25">
      <c r="A506" s="252" t="s">
        <v>489</v>
      </c>
      <c r="B506" s="490">
        <v>23351</v>
      </c>
      <c r="C506" s="535">
        <v>180866</v>
      </c>
      <c r="D506" s="535">
        <v>175060</v>
      </c>
      <c r="E506" s="490">
        <v>17545</v>
      </c>
    </row>
    <row r="507" spans="1:5" x14ac:dyDescent="0.25">
      <c r="A507" s="252" t="s">
        <v>490</v>
      </c>
      <c r="B507" s="496">
        <v>11717929.189999999</v>
      </c>
      <c r="C507" s="535">
        <v>9446470.2300000004</v>
      </c>
      <c r="D507" s="535">
        <v>11931665.98</v>
      </c>
      <c r="E507" s="496">
        <v>9232733.4399999995</v>
      </c>
    </row>
    <row r="508" spans="1:5" x14ac:dyDescent="0.25">
      <c r="A508" s="252" t="s">
        <v>491</v>
      </c>
      <c r="B508" s="491"/>
      <c r="C508" s="535">
        <v>1558154</v>
      </c>
      <c r="D508" s="535">
        <v>1558154</v>
      </c>
      <c r="E508" s="491"/>
    </row>
    <row r="509" spans="1:5" x14ac:dyDescent="0.25">
      <c r="A509" s="252" t="s">
        <v>592</v>
      </c>
      <c r="B509" s="490">
        <v>787650</v>
      </c>
      <c r="C509" s="535">
        <v>1076750</v>
      </c>
      <c r="D509" s="535">
        <v>289100</v>
      </c>
      <c r="E509" s="491"/>
    </row>
    <row r="510" spans="1:5" x14ac:dyDescent="0.25">
      <c r="A510" s="252" t="s">
        <v>492</v>
      </c>
      <c r="B510" s="491"/>
      <c r="C510" s="535">
        <v>270119.03999999998</v>
      </c>
      <c r="D510" s="535">
        <v>1647.64</v>
      </c>
      <c r="E510" s="496">
        <v>268471.40000000002</v>
      </c>
    </row>
    <row r="511" spans="1:5" x14ac:dyDescent="0.25">
      <c r="A511" s="252" t="s">
        <v>593</v>
      </c>
      <c r="B511" s="491"/>
      <c r="C511" s="535">
        <v>42067</v>
      </c>
      <c r="D511" s="535">
        <v>42067</v>
      </c>
      <c r="E511" s="491"/>
    </row>
    <row r="512" spans="1:5" x14ac:dyDescent="0.25">
      <c r="A512" s="252" t="s">
        <v>493</v>
      </c>
      <c r="B512" s="490">
        <v>602279</v>
      </c>
      <c r="C512" s="535">
        <v>7164612</v>
      </c>
      <c r="D512" s="535">
        <v>7194096</v>
      </c>
      <c r="E512" s="490">
        <v>631763</v>
      </c>
    </row>
    <row r="513" spans="1:5" x14ac:dyDescent="0.25">
      <c r="A513" s="252" t="s">
        <v>1740</v>
      </c>
      <c r="B513" s="491"/>
      <c r="C513" s="535">
        <v>9370</v>
      </c>
      <c r="D513" s="535">
        <v>9370</v>
      </c>
      <c r="E513" s="491"/>
    </row>
    <row r="514" spans="1:5" x14ac:dyDescent="0.25">
      <c r="A514" s="252" t="s">
        <v>494</v>
      </c>
      <c r="B514" s="496">
        <v>6194750.6600000001</v>
      </c>
      <c r="C514" s="497"/>
      <c r="D514" s="497"/>
      <c r="E514" s="496">
        <v>6194750.6600000001</v>
      </c>
    </row>
    <row r="515" spans="1:5" x14ac:dyDescent="0.25">
      <c r="A515" s="252" t="s">
        <v>594</v>
      </c>
      <c r="B515" s="491"/>
      <c r="C515" s="535">
        <v>33101.360000000001</v>
      </c>
      <c r="D515" s="535">
        <v>33101.360000000001</v>
      </c>
      <c r="E515" s="491"/>
    </row>
    <row r="516" spans="1:5" x14ac:dyDescent="0.25">
      <c r="A516" s="252" t="s">
        <v>495</v>
      </c>
      <c r="B516" s="490">
        <v>602279</v>
      </c>
      <c r="C516" s="535">
        <v>7164612</v>
      </c>
      <c r="D516" s="535">
        <v>7194096</v>
      </c>
      <c r="E516" s="490">
        <v>631763</v>
      </c>
    </row>
    <row r="517" spans="1:5" x14ac:dyDescent="0.25">
      <c r="A517" s="252" t="s">
        <v>496</v>
      </c>
      <c r="B517" s="496">
        <v>5000000</v>
      </c>
      <c r="C517" s="497"/>
      <c r="D517" s="497"/>
      <c r="E517" s="496">
        <v>5000000</v>
      </c>
    </row>
    <row r="518" spans="1:5" x14ac:dyDescent="0.25">
      <c r="A518" s="252" t="s">
        <v>1741</v>
      </c>
      <c r="B518" s="491"/>
      <c r="C518" s="535">
        <v>260250</v>
      </c>
      <c r="D518" s="535">
        <v>74250</v>
      </c>
      <c r="E518" s="496">
        <v>186000</v>
      </c>
    </row>
    <row r="519" spans="1:5" x14ac:dyDescent="0.25">
      <c r="A519" s="252" t="s">
        <v>1742</v>
      </c>
      <c r="B519" s="491"/>
      <c r="C519" s="535">
        <v>997692.4</v>
      </c>
      <c r="D519" s="535">
        <v>997692</v>
      </c>
      <c r="E519" s="496">
        <v>0.4</v>
      </c>
    </row>
    <row r="520" spans="1:5" x14ac:dyDescent="0.25">
      <c r="A520" s="252" t="s">
        <v>1743</v>
      </c>
      <c r="B520" s="491"/>
      <c r="C520" s="535">
        <v>107000</v>
      </c>
      <c r="D520" s="497"/>
      <c r="E520" s="496">
        <v>107000</v>
      </c>
    </row>
    <row r="521" spans="1:5" x14ac:dyDescent="0.25">
      <c r="A521" s="252" t="s">
        <v>497</v>
      </c>
      <c r="B521" s="496">
        <v>1169210</v>
      </c>
      <c r="C521" s="497"/>
      <c r="D521" s="497"/>
      <c r="E521" s="496">
        <v>1169210</v>
      </c>
    </row>
    <row r="522" spans="1:5" x14ac:dyDescent="0.25">
      <c r="A522" s="252" t="s">
        <v>498</v>
      </c>
      <c r="B522" s="491"/>
      <c r="C522" s="535">
        <v>378390</v>
      </c>
      <c r="D522" s="497"/>
      <c r="E522" s="496">
        <v>378390</v>
      </c>
    </row>
    <row r="523" spans="1:5" x14ac:dyDescent="0.25">
      <c r="A523" s="252" t="s">
        <v>499</v>
      </c>
      <c r="B523" s="491"/>
      <c r="C523" s="535">
        <v>443400</v>
      </c>
      <c r="D523" s="497"/>
      <c r="E523" s="496">
        <v>443400</v>
      </c>
    </row>
    <row r="524" spans="1:5" x14ac:dyDescent="0.25">
      <c r="A524" s="252" t="s">
        <v>500</v>
      </c>
      <c r="B524" s="491"/>
      <c r="C524" s="535">
        <v>264157</v>
      </c>
      <c r="D524" s="497"/>
      <c r="E524" s="496">
        <v>264157</v>
      </c>
    </row>
    <row r="525" spans="1:5" x14ac:dyDescent="0.25">
      <c r="A525" s="252" t="s">
        <v>501</v>
      </c>
      <c r="B525" s="491"/>
      <c r="C525" s="535">
        <v>61008.35</v>
      </c>
      <c r="D525" s="497"/>
      <c r="E525" s="496">
        <v>61008.35</v>
      </c>
    </row>
    <row r="526" spans="1:5" x14ac:dyDescent="0.25">
      <c r="A526" s="252" t="s">
        <v>502</v>
      </c>
      <c r="B526" s="496">
        <v>143000</v>
      </c>
      <c r="C526" s="497"/>
      <c r="D526" s="497"/>
      <c r="E526" s="496">
        <v>143000</v>
      </c>
    </row>
    <row r="527" spans="1:5" x14ac:dyDescent="0.25">
      <c r="A527" s="252" t="s">
        <v>503</v>
      </c>
      <c r="B527" s="490">
        <v>10890</v>
      </c>
      <c r="C527" s="535">
        <v>127050</v>
      </c>
      <c r="D527" s="535">
        <v>130680</v>
      </c>
      <c r="E527" s="490">
        <v>14520</v>
      </c>
    </row>
    <row r="528" spans="1:5" x14ac:dyDescent="0.25">
      <c r="A528" s="252" t="s">
        <v>504</v>
      </c>
      <c r="B528" s="490">
        <v>1037528</v>
      </c>
      <c r="C528" s="535">
        <v>11538130.539999999</v>
      </c>
      <c r="D528" s="535">
        <v>11557193.539999999</v>
      </c>
      <c r="E528" s="490">
        <v>1056591</v>
      </c>
    </row>
    <row r="529" spans="1:5" x14ac:dyDescent="0.25">
      <c r="A529" s="252" t="s">
        <v>505</v>
      </c>
      <c r="B529" s="496">
        <v>220540.26</v>
      </c>
      <c r="C529" s="497"/>
      <c r="D529" s="497"/>
      <c r="E529" s="496">
        <v>220540.26</v>
      </c>
    </row>
    <row r="530" spans="1:5" x14ac:dyDescent="0.25">
      <c r="A530" s="252" t="s">
        <v>1744</v>
      </c>
      <c r="B530" s="491"/>
      <c r="C530" s="535">
        <v>2160</v>
      </c>
      <c r="D530" s="535">
        <v>5400</v>
      </c>
      <c r="E530" s="490">
        <v>3240</v>
      </c>
    </row>
    <row r="531" spans="1:5" x14ac:dyDescent="0.25">
      <c r="A531" s="252" t="s">
        <v>506</v>
      </c>
      <c r="B531" s="491"/>
      <c r="C531" s="535">
        <v>280722</v>
      </c>
      <c r="D531" s="535">
        <v>404370</v>
      </c>
      <c r="E531" s="490">
        <v>123648</v>
      </c>
    </row>
    <row r="532" spans="1:5" x14ac:dyDescent="0.25">
      <c r="A532" s="252" t="s">
        <v>507</v>
      </c>
      <c r="B532" s="496">
        <v>1540747.54</v>
      </c>
      <c r="C532" s="497"/>
      <c r="D532" s="497"/>
      <c r="E532" s="496">
        <v>1540747.54</v>
      </c>
    </row>
    <row r="533" spans="1:5" x14ac:dyDescent="0.25">
      <c r="A533" s="252" t="s">
        <v>508</v>
      </c>
      <c r="B533" s="491"/>
      <c r="C533" s="535">
        <v>108000</v>
      </c>
      <c r="D533" s="535">
        <v>108000</v>
      </c>
      <c r="E533" s="491"/>
    </row>
    <row r="534" spans="1:5" x14ac:dyDescent="0.25">
      <c r="A534" s="252" t="s">
        <v>509</v>
      </c>
      <c r="B534" s="490">
        <v>148500</v>
      </c>
      <c r="C534" s="535">
        <v>544500</v>
      </c>
      <c r="D534" s="535">
        <v>643500</v>
      </c>
      <c r="E534" s="490">
        <v>247500</v>
      </c>
    </row>
    <row r="535" spans="1:5" x14ac:dyDescent="0.25">
      <c r="A535" s="252" t="s">
        <v>1745</v>
      </c>
      <c r="B535" s="491"/>
      <c r="C535" s="535">
        <v>1770</v>
      </c>
      <c r="D535" s="535">
        <v>1770</v>
      </c>
      <c r="E535" s="491"/>
    </row>
    <row r="536" spans="1:5" x14ac:dyDescent="0.25">
      <c r="A536" s="252" t="s">
        <v>1746</v>
      </c>
      <c r="B536" s="491"/>
      <c r="C536" s="535">
        <v>41241</v>
      </c>
      <c r="D536" s="535">
        <v>41241</v>
      </c>
      <c r="E536" s="491"/>
    </row>
    <row r="537" spans="1:5" x14ac:dyDescent="0.25">
      <c r="A537" s="252" t="s">
        <v>1747</v>
      </c>
      <c r="B537" s="491"/>
      <c r="C537" s="535">
        <v>50927.199999999997</v>
      </c>
      <c r="D537" s="535">
        <v>50927.199999999997</v>
      </c>
      <c r="E537" s="491"/>
    </row>
    <row r="538" spans="1:5" x14ac:dyDescent="0.25">
      <c r="A538" s="252" t="s">
        <v>978</v>
      </c>
      <c r="B538" s="490">
        <v>734811</v>
      </c>
      <c r="C538" s="535">
        <v>3183504</v>
      </c>
      <c r="D538" s="535">
        <v>2448693</v>
      </c>
      <c r="E538" s="491"/>
    </row>
    <row r="539" spans="1:5" x14ac:dyDescent="0.25">
      <c r="A539" s="252" t="s">
        <v>595</v>
      </c>
      <c r="B539" s="496">
        <v>31860</v>
      </c>
      <c r="C539" s="535">
        <v>3684420</v>
      </c>
      <c r="D539" s="535">
        <v>744552</v>
      </c>
      <c r="E539" s="496">
        <v>2971728</v>
      </c>
    </row>
    <row r="540" spans="1:5" x14ac:dyDescent="0.25">
      <c r="A540" s="252" t="s">
        <v>1748</v>
      </c>
      <c r="B540" s="491"/>
      <c r="C540" s="497"/>
      <c r="D540" s="535">
        <v>8555</v>
      </c>
      <c r="E540" s="490">
        <v>8555</v>
      </c>
    </row>
    <row r="541" spans="1:5" x14ac:dyDescent="0.25">
      <c r="A541" s="252" t="s">
        <v>1749</v>
      </c>
      <c r="B541" s="491"/>
      <c r="C541" s="535">
        <v>10000</v>
      </c>
      <c r="D541" s="535">
        <v>10000</v>
      </c>
      <c r="E541" s="491"/>
    </row>
    <row r="542" spans="1:5" x14ac:dyDescent="0.25">
      <c r="A542" s="252" t="s">
        <v>979</v>
      </c>
      <c r="B542" s="490">
        <v>5074</v>
      </c>
      <c r="C542" s="535">
        <v>63271.6</v>
      </c>
      <c r="D542" s="535">
        <v>58197.599999999999</v>
      </c>
      <c r="E542" s="491"/>
    </row>
    <row r="543" spans="1:5" x14ac:dyDescent="0.25">
      <c r="A543" s="252" t="s">
        <v>510</v>
      </c>
      <c r="B543" s="491"/>
      <c r="C543" s="535">
        <v>172268</v>
      </c>
      <c r="D543" s="535">
        <v>172268</v>
      </c>
      <c r="E543" s="491"/>
    </row>
    <row r="544" spans="1:5" x14ac:dyDescent="0.25">
      <c r="A544" s="252" t="s">
        <v>511</v>
      </c>
      <c r="B544" s="490">
        <v>343015</v>
      </c>
      <c r="C544" s="535">
        <v>1871028</v>
      </c>
      <c r="D544" s="535">
        <v>1702509</v>
      </c>
      <c r="E544" s="490">
        <v>174496</v>
      </c>
    </row>
    <row r="545" spans="1:5" x14ac:dyDescent="0.25">
      <c r="A545" s="252" t="s">
        <v>1750</v>
      </c>
      <c r="B545" s="491"/>
      <c r="C545" s="535">
        <v>10620</v>
      </c>
      <c r="D545" s="535">
        <v>10620</v>
      </c>
      <c r="E545" s="491"/>
    </row>
    <row r="546" spans="1:5" x14ac:dyDescent="0.25">
      <c r="A546" s="252" t="s">
        <v>512</v>
      </c>
      <c r="B546" s="490">
        <v>61950</v>
      </c>
      <c r="C546" s="535">
        <v>367717.5</v>
      </c>
      <c r="D546" s="535">
        <v>453346.16</v>
      </c>
      <c r="E546" s="490">
        <v>147578.66</v>
      </c>
    </row>
    <row r="547" spans="1:5" x14ac:dyDescent="0.25">
      <c r="A547" s="252" t="s">
        <v>980</v>
      </c>
      <c r="B547" s="490">
        <v>59991.199999999997</v>
      </c>
      <c r="C547" s="535">
        <v>67307.199999999997</v>
      </c>
      <c r="D547" s="535">
        <v>7316</v>
      </c>
      <c r="E547" s="491"/>
    </row>
    <row r="548" spans="1:5" x14ac:dyDescent="0.25">
      <c r="A548" s="252" t="s">
        <v>513</v>
      </c>
      <c r="B548" s="496">
        <v>1663800</v>
      </c>
      <c r="C548" s="535">
        <v>403600</v>
      </c>
      <c r="D548" s="497"/>
      <c r="E548" s="496">
        <v>2067400</v>
      </c>
    </row>
    <row r="549" spans="1:5" x14ac:dyDescent="0.25">
      <c r="A549" s="252" t="s">
        <v>514</v>
      </c>
      <c r="B549" s="491"/>
      <c r="C549" s="535">
        <v>1594980</v>
      </c>
      <c r="D549" s="497"/>
      <c r="E549" s="496">
        <v>1594980</v>
      </c>
    </row>
    <row r="550" spans="1:5" x14ac:dyDescent="0.25">
      <c r="A550" s="252" t="s">
        <v>515</v>
      </c>
      <c r="B550" s="491"/>
      <c r="C550" s="535">
        <v>27283256</v>
      </c>
      <c r="D550" s="535">
        <v>141408</v>
      </c>
      <c r="E550" s="496">
        <v>27141848</v>
      </c>
    </row>
    <row r="551" spans="1:5" x14ac:dyDescent="0.25">
      <c r="A551" s="252" t="s">
        <v>1751</v>
      </c>
      <c r="B551" s="491"/>
      <c r="C551" s="535">
        <v>15898</v>
      </c>
      <c r="D551" s="535">
        <v>15898</v>
      </c>
      <c r="E551" s="491"/>
    </row>
    <row r="552" spans="1:5" x14ac:dyDescent="0.25">
      <c r="A552" s="252" t="s">
        <v>1752</v>
      </c>
      <c r="B552" s="491"/>
      <c r="C552" s="535">
        <v>49500</v>
      </c>
      <c r="D552" s="535">
        <v>49500</v>
      </c>
      <c r="E552" s="491"/>
    </row>
    <row r="553" spans="1:5" x14ac:dyDescent="0.25">
      <c r="A553" s="252" t="s">
        <v>1753</v>
      </c>
      <c r="B553" s="491"/>
      <c r="C553" s="535">
        <v>167964</v>
      </c>
      <c r="D553" s="535">
        <v>167964</v>
      </c>
      <c r="E553" s="491"/>
    </row>
    <row r="554" spans="1:5" x14ac:dyDescent="0.25">
      <c r="A554" s="252" t="s">
        <v>1754</v>
      </c>
      <c r="B554" s="491"/>
      <c r="C554" s="535">
        <v>9275</v>
      </c>
      <c r="D554" s="535">
        <v>29164</v>
      </c>
      <c r="E554" s="490">
        <v>19889</v>
      </c>
    </row>
    <row r="555" spans="1:5" x14ac:dyDescent="0.25">
      <c r="A555" s="252" t="s">
        <v>516</v>
      </c>
      <c r="B555" s="491"/>
      <c r="C555" s="535">
        <v>97475</v>
      </c>
      <c r="D555" s="497"/>
      <c r="E555" s="496">
        <v>97475</v>
      </c>
    </row>
    <row r="556" spans="1:5" x14ac:dyDescent="0.25">
      <c r="A556" s="252" t="s">
        <v>517</v>
      </c>
      <c r="B556" s="496">
        <v>6143625</v>
      </c>
      <c r="C556" s="497"/>
      <c r="D556" s="497"/>
      <c r="E556" s="496">
        <v>6143625</v>
      </c>
    </row>
    <row r="557" spans="1:5" x14ac:dyDescent="0.25">
      <c r="A557" s="252" t="s">
        <v>1755</v>
      </c>
      <c r="B557" s="491"/>
      <c r="C557" s="535">
        <v>124894.54</v>
      </c>
      <c r="D557" s="535">
        <v>124894.54</v>
      </c>
      <c r="E557" s="491"/>
    </row>
    <row r="558" spans="1:5" x14ac:dyDescent="0.25">
      <c r="A558" s="252" t="s">
        <v>518</v>
      </c>
      <c r="B558" s="491"/>
      <c r="C558" s="535">
        <v>289220</v>
      </c>
      <c r="D558" s="497"/>
      <c r="E558" s="496">
        <v>289220</v>
      </c>
    </row>
    <row r="559" spans="1:5" x14ac:dyDescent="0.25">
      <c r="A559" s="252" t="s">
        <v>519</v>
      </c>
      <c r="B559" s="491"/>
      <c r="C559" s="535">
        <v>267406.8</v>
      </c>
      <c r="D559" s="497"/>
      <c r="E559" s="496">
        <v>267406.8</v>
      </c>
    </row>
    <row r="560" spans="1:5" x14ac:dyDescent="0.25">
      <c r="A560" s="252" t="s">
        <v>521</v>
      </c>
      <c r="B560" s="496">
        <v>984375</v>
      </c>
      <c r="C560" s="497"/>
      <c r="D560" s="497"/>
      <c r="E560" s="496">
        <v>984375</v>
      </c>
    </row>
    <row r="561" spans="1:5" x14ac:dyDescent="0.25">
      <c r="A561" s="252" t="s">
        <v>522</v>
      </c>
      <c r="B561" s="496">
        <v>79758</v>
      </c>
      <c r="C561" s="497"/>
      <c r="D561" s="497"/>
      <c r="E561" s="496">
        <v>79758</v>
      </c>
    </row>
    <row r="562" spans="1:5" x14ac:dyDescent="0.25">
      <c r="A562" s="252" t="s">
        <v>1756</v>
      </c>
      <c r="B562" s="491"/>
      <c r="C562" s="535">
        <v>708</v>
      </c>
      <c r="D562" s="535">
        <v>708</v>
      </c>
      <c r="E562" s="491"/>
    </row>
    <row r="563" spans="1:5" x14ac:dyDescent="0.25">
      <c r="A563" s="252" t="s">
        <v>1757</v>
      </c>
      <c r="B563" s="491"/>
      <c r="C563" s="535">
        <v>460505</v>
      </c>
      <c r="D563" s="497"/>
      <c r="E563" s="496">
        <v>460505</v>
      </c>
    </row>
    <row r="564" spans="1:5" x14ac:dyDescent="0.25">
      <c r="A564" s="252" t="s">
        <v>524</v>
      </c>
      <c r="B564" s="496">
        <v>3742649.62</v>
      </c>
      <c r="C564" s="497"/>
      <c r="D564" s="497"/>
      <c r="E564" s="496">
        <v>3742649.62</v>
      </c>
    </row>
    <row r="565" spans="1:5" x14ac:dyDescent="0.25">
      <c r="A565" s="252" t="s">
        <v>525</v>
      </c>
      <c r="B565" s="491"/>
      <c r="C565" s="535">
        <v>94565</v>
      </c>
      <c r="D565" s="497"/>
      <c r="E565" s="496">
        <v>94565</v>
      </c>
    </row>
    <row r="566" spans="1:5" x14ac:dyDescent="0.25">
      <c r="A566" s="252" t="s">
        <v>526</v>
      </c>
      <c r="B566" s="491"/>
      <c r="C566" s="497"/>
      <c r="D566" s="535">
        <v>106200</v>
      </c>
      <c r="E566" s="490">
        <v>106200</v>
      </c>
    </row>
    <row r="567" spans="1:5" x14ac:dyDescent="0.25">
      <c r="A567" s="252" t="s">
        <v>527</v>
      </c>
      <c r="B567" s="491"/>
      <c r="C567" s="497"/>
      <c r="D567" s="535">
        <v>14250</v>
      </c>
      <c r="E567" s="490">
        <v>14250</v>
      </c>
    </row>
    <row r="568" spans="1:5" x14ac:dyDescent="0.25">
      <c r="A568" s="252" t="s">
        <v>528</v>
      </c>
      <c r="B568" s="491"/>
      <c r="C568" s="497"/>
      <c r="D568" s="535">
        <v>37000</v>
      </c>
      <c r="E568" s="490">
        <v>37000</v>
      </c>
    </row>
    <row r="569" spans="1:5" x14ac:dyDescent="0.25">
      <c r="A569" s="252" t="s">
        <v>529</v>
      </c>
      <c r="B569" s="490">
        <v>26353.37</v>
      </c>
      <c r="C569" s="535">
        <v>299822.67</v>
      </c>
      <c r="D569" s="535">
        <v>287676.49</v>
      </c>
      <c r="E569" s="490">
        <v>14207.19</v>
      </c>
    </row>
    <row r="570" spans="1:5" x14ac:dyDescent="0.25">
      <c r="A570" s="252" t="s">
        <v>1758</v>
      </c>
      <c r="B570" s="491"/>
      <c r="C570" s="497"/>
      <c r="D570" s="535">
        <v>388819.8</v>
      </c>
      <c r="E570" s="490">
        <v>388819.8</v>
      </c>
    </row>
    <row r="571" spans="1:5" x14ac:dyDescent="0.25">
      <c r="A571" s="252" t="s">
        <v>1759</v>
      </c>
      <c r="B571" s="491"/>
      <c r="C571" s="535">
        <v>562500</v>
      </c>
      <c r="D571" s="535">
        <v>990000</v>
      </c>
      <c r="E571" s="490">
        <v>427500</v>
      </c>
    </row>
    <row r="572" spans="1:5" x14ac:dyDescent="0.25">
      <c r="A572" s="252" t="s">
        <v>530</v>
      </c>
      <c r="B572" s="491"/>
      <c r="C572" s="535">
        <v>161460</v>
      </c>
      <c r="D572" s="497"/>
      <c r="E572" s="496">
        <v>161460</v>
      </c>
    </row>
    <row r="573" spans="1:5" x14ac:dyDescent="0.25">
      <c r="A573" s="252" t="s">
        <v>1760</v>
      </c>
      <c r="B573" s="491"/>
      <c r="C573" s="535">
        <v>522268</v>
      </c>
      <c r="D573" s="535">
        <v>560768</v>
      </c>
      <c r="E573" s="490">
        <v>38500</v>
      </c>
    </row>
    <row r="574" spans="1:5" x14ac:dyDescent="0.25">
      <c r="A574" s="252" t="s">
        <v>1761</v>
      </c>
      <c r="B574" s="491"/>
      <c r="C574" s="535">
        <v>6795</v>
      </c>
      <c r="D574" s="535">
        <v>6795</v>
      </c>
      <c r="E574" s="491"/>
    </row>
    <row r="575" spans="1:5" x14ac:dyDescent="0.25">
      <c r="A575" s="252" t="s">
        <v>531</v>
      </c>
      <c r="B575" s="490">
        <v>1201500</v>
      </c>
      <c r="C575" s="535">
        <v>2495964</v>
      </c>
      <c r="D575" s="535">
        <v>1837554</v>
      </c>
      <c r="E575" s="490">
        <v>543090</v>
      </c>
    </row>
    <row r="576" spans="1:5" x14ac:dyDescent="0.25">
      <c r="A576" s="252" t="s">
        <v>981</v>
      </c>
      <c r="B576" s="496">
        <v>7332306</v>
      </c>
      <c r="C576" s="535">
        <v>14733944.640000001</v>
      </c>
      <c r="D576" s="535">
        <v>16313636</v>
      </c>
      <c r="E576" s="496">
        <v>5752614.6399999997</v>
      </c>
    </row>
    <row r="577" spans="1:5" x14ac:dyDescent="0.25">
      <c r="A577" s="252" t="s">
        <v>532</v>
      </c>
      <c r="B577" s="491"/>
      <c r="C577" s="535">
        <v>34308.74</v>
      </c>
      <c r="D577" s="535">
        <v>34308.74</v>
      </c>
      <c r="E577" s="491"/>
    </row>
    <row r="578" spans="1:5" x14ac:dyDescent="0.25">
      <c r="A578" s="264" t="s">
        <v>597</v>
      </c>
      <c r="B578" s="490">
        <v>13.95</v>
      </c>
      <c r="C578" s="535">
        <v>13.95</v>
      </c>
      <c r="D578" s="497"/>
      <c r="E578" s="491"/>
    </row>
    <row r="579" spans="1:5" x14ac:dyDescent="0.25">
      <c r="A579" s="1309" t="s">
        <v>1762</v>
      </c>
      <c r="B579" s="496">
        <v>2.25</v>
      </c>
      <c r="C579" s="497"/>
      <c r="D579" s="497"/>
      <c r="E579" s="496">
        <v>2.25</v>
      </c>
    </row>
    <row r="580" spans="1:5" x14ac:dyDescent="0.25">
      <c r="A580" s="1087" t="s">
        <v>203</v>
      </c>
      <c r="B580" s="503"/>
      <c r="C580" s="560">
        <v>1272582255.6900001</v>
      </c>
      <c r="D580" s="560">
        <v>1272582255.6900001</v>
      </c>
      <c r="E580" s="503"/>
    </row>
  </sheetData>
  <mergeCells count="10">
    <mergeCell ref="A7:C7"/>
    <mergeCell ref="B8:E8"/>
    <mergeCell ref="B9:E9"/>
    <mergeCell ref="C10:D10"/>
    <mergeCell ref="A1:C1"/>
    <mergeCell ref="A2:C2"/>
    <mergeCell ref="A3:C3"/>
    <mergeCell ref="A4:C4"/>
    <mergeCell ref="A5:C5"/>
    <mergeCell ref="A6:C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21"/>
  <sheetViews>
    <sheetView view="pageBreakPreview" zoomScale="60" zoomScaleNormal="60" workbookViewId="0">
      <selection activeCell="D1" sqref="D1"/>
    </sheetView>
  </sheetViews>
  <sheetFormatPr defaultColWidth="9.140625" defaultRowHeight="26.25" x14ac:dyDescent="0.4"/>
  <cols>
    <col min="1" max="1" width="9.140625" style="1104"/>
    <col min="2" max="2" width="103.42578125" style="1104" bestFit="1" customWidth="1"/>
    <col min="3" max="3" width="42" style="1104" bestFit="1" customWidth="1"/>
    <col min="4" max="4" width="26.42578125" style="1104" bestFit="1" customWidth="1"/>
    <col min="5" max="5" width="20.5703125" style="1104" customWidth="1"/>
    <col min="6" max="7" width="18.5703125" style="1104" customWidth="1"/>
    <col min="8" max="8" width="18" style="1104" customWidth="1"/>
    <col min="9" max="16384" width="9.140625" style="1104"/>
  </cols>
  <sheetData>
    <row r="2" spans="2:4" x14ac:dyDescent="0.4">
      <c r="B2" s="1102" t="s">
        <v>1422</v>
      </c>
      <c r="C2" s="1103"/>
    </row>
    <row r="3" spans="2:4" x14ac:dyDescent="0.4">
      <c r="B3" s="1105"/>
      <c r="C3" s="1106"/>
    </row>
    <row r="4" spans="2:4" ht="51" x14ac:dyDescent="0.4">
      <c r="B4" s="1107" t="s">
        <v>1423</v>
      </c>
      <c r="C4" s="1108" t="s">
        <v>1573</v>
      </c>
      <c r="D4" s="1108" t="s">
        <v>1574</v>
      </c>
    </row>
    <row r="5" spans="2:4" x14ac:dyDescent="0.4">
      <c r="B5" s="1109" t="s">
        <v>1424</v>
      </c>
      <c r="C5" s="1110"/>
      <c r="D5" s="1110"/>
    </row>
    <row r="6" spans="2:4" x14ac:dyDescent="0.4">
      <c r="B6" s="1111" t="s">
        <v>1426</v>
      </c>
      <c r="C6" s="1112">
        <f>+'IT dep 24-25'!P28</f>
        <v>35795004.965500005</v>
      </c>
      <c r="D6" s="1112">
        <v>37917574</v>
      </c>
    </row>
    <row r="7" spans="2:4" x14ac:dyDescent="0.4">
      <c r="B7" s="1111" t="s">
        <v>1425</v>
      </c>
      <c r="C7" s="1113">
        <f>+'P&amp;L'!C16</f>
        <v>21235863</v>
      </c>
      <c r="D7" s="1113">
        <f>+'P&amp;L'!D16</f>
        <v>18479778</v>
      </c>
    </row>
    <row r="8" spans="2:4" x14ac:dyDescent="0.4">
      <c r="B8" s="1111" t="s">
        <v>1044</v>
      </c>
      <c r="C8" s="1113">
        <f>C6-C7</f>
        <v>14559141.965500005</v>
      </c>
      <c r="D8" s="1113">
        <f>D6-D7</f>
        <v>19437796</v>
      </c>
    </row>
    <row r="9" spans="2:4" x14ac:dyDescent="0.4">
      <c r="B9" s="1109"/>
      <c r="C9" s="1114"/>
      <c r="D9" s="1114"/>
    </row>
    <row r="10" spans="2:4" x14ac:dyDescent="0.4">
      <c r="B10" s="1109" t="s">
        <v>1427</v>
      </c>
      <c r="C10" s="1115">
        <f>ROUND(C8*25.168%,0)</f>
        <v>3664245</v>
      </c>
      <c r="D10" s="1115">
        <f>ROUND(D8*25.168%,0)</f>
        <v>4892104</v>
      </c>
    </row>
    <row r="11" spans="2:4" x14ac:dyDescent="0.4">
      <c r="B11" s="1109" t="s">
        <v>1428</v>
      </c>
      <c r="C11" s="1115">
        <f>+D10</f>
        <v>4892104</v>
      </c>
      <c r="D11" s="1115">
        <v>4318647</v>
      </c>
    </row>
    <row r="12" spans="2:4" x14ac:dyDescent="0.4">
      <c r="B12" s="1109" t="s">
        <v>1429</v>
      </c>
      <c r="C12" s="1115">
        <f>+C10-C11</f>
        <v>-1227859</v>
      </c>
      <c r="D12" s="1115">
        <f>+D10-D11</f>
        <v>573457</v>
      </c>
    </row>
    <row r="13" spans="2:4" x14ac:dyDescent="0.4">
      <c r="B13" s="1116"/>
      <c r="C13" s="1115"/>
      <c r="D13" s="1115"/>
    </row>
    <row r="14" spans="2:4" x14ac:dyDescent="0.4">
      <c r="B14" s="1116"/>
      <c r="C14" s="1115"/>
      <c r="D14" s="1115"/>
    </row>
    <row r="15" spans="2:4" x14ac:dyDescent="0.4">
      <c r="B15" s="1117" t="s">
        <v>1436</v>
      </c>
      <c r="C15" s="1108">
        <f>+C11-C12</f>
        <v>6119963</v>
      </c>
      <c r="D15" s="1108">
        <f>+D11-D12</f>
        <v>3745190</v>
      </c>
    </row>
    <row r="16" spans="2:4" x14ac:dyDescent="0.4">
      <c r="B16" s="1105"/>
      <c r="C16" s="1118"/>
    </row>
    <row r="17" spans="2:3" x14ac:dyDescent="0.4">
      <c r="B17" s="1105"/>
      <c r="C17" s="1118"/>
    </row>
    <row r="18" spans="2:3" x14ac:dyDescent="0.4">
      <c r="B18" s="1105"/>
      <c r="C18" s="1118"/>
    </row>
    <row r="19" spans="2:3" x14ac:dyDescent="0.4">
      <c r="B19" s="1119" t="s">
        <v>1430</v>
      </c>
      <c r="C19" s="1119" t="s">
        <v>1431</v>
      </c>
    </row>
    <row r="20" spans="2:3" ht="52.5" x14ac:dyDescent="0.4">
      <c r="B20" s="1120" t="s">
        <v>1432</v>
      </c>
      <c r="C20" s="1121" t="s">
        <v>283</v>
      </c>
    </row>
    <row r="21" spans="2:3" ht="52.5" x14ac:dyDescent="0.4">
      <c r="B21" s="1120" t="s">
        <v>1433</v>
      </c>
      <c r="C21" s="1121" t="s">
        <v>1434</v>
      </c>
    </row>
  </sheetData>
  <pageMargins left="0.7" right="0.7" top="0.75" bottom="0.75" header="0.3" footer="0.3"/>
  <pageSetup paperSize="9" scale="5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47"/>
  <sheetViews>
    <sheetView workbookViewId="0">
      <selection activeCell="C3" sqref="C3"/>
    </sheetView>
  </sheetViews>
  <sheetFormatPr defaultRowHeight="15" x14ac:dyDescent="0.25"/>
  <cols>
    <col min="1" max="1" width="5.140625" bestFit="1" customWidth="1"/>
    <col min="2" max="2" width="48.85546875" bestFit="1" customWidth="1"/>
    <col min="3" max="3" width="16.42578125" customWidth="1"/>
    <col min="4" max="4" width="15.85546875" style="258" bestFit="1" customWidth="1"/>
    <col min="5" max="6" width="15.85546875" style="258" hidden="1" customWidth="1"/>
  </cols>
  <sheetData>
    <row r="1" spans="1:6" x14ac:dyDescent="0.25">
      <c r="C1" s="258" t="s">
        <v>884</v>
      </c>
      <c r="D1" s="258" t="s">
        <v>677</v>
      </c>
      <c r="E1" s="258" t="s">
        <v>723</v>
      </c>
      <c r="F1" s="258" t="s">
        <v>724</v>
      </c>
    </row>
    <row r="2" spans="1:6" x14ac:dyDescent="0.25">
      <c r="A2" s="343" t="s">
        <v>697</v>
      </c>
      <c r="B2" s="344" t="s">
        <v>698</v>
      </c>
      <c r="C2" s="344"/>
    </row>
    <row r="3" spans="1:6" x14ac:dyDescent="0.25">
      <c r="A3" s="343"/>
      <c r="B3" s="343" t="s">
        <v>22</v>
      </c>
      <c r="C3" s="258">
        <f>+BS!C37</f>
        <v>131279576.69</v>
      </c>
      <c r="D3" s="258">
        <f>+BS!D37</f>
        <v>194426087.84</v>
      </c>
      <c r="E3" s="258">
        <f>+BS!D37</f>
        <v>194426087.84</v>
      </c>
    </row>
    <row r="4" spans="1:6" x14ac:dyDescent="0.25">
      <c r="A4" s="343"/>
      <c r="B4" s="343" t="s">
        <v>11</v>
      </c>
      <c r="C4" s="258">
        <f>+BS!C20</f>
        <v>34927362.589999996</v>
      </c>
      <c r="D4" s="258">
        <f>+BS!D20</f>
        <v>58771950.659999996</v>
      </c>
      <c r="E4" s="258">
        <f>+BS!D20</f>
        <v>58771950.659999996</v>
      </c>
    </row>
    <row r="5" spans="1:6" x14ac:dyDescent="0.25">
      <c r="A5" s="343"/>
      <c r="B5" s="343" t="s">
        <v>699</v>
      </c>
      <c r="C5" s="258">
        <f>+C3/C4</f>
        <v>3.7586455705529414</v>
      </c>
      <c r="D5" s="258">
        <f>+D3/D4</f>
        <v>3.3081442024065026</v>
      </c>
      <c r="E5" s="258">
        <f>+E3/E4</f>
        <v>3.3081442024065026</v>
      </c>
    </row>
    <row r="6" spans="1:6" x14ac:dyDescent="0.25">
      <c r="A6" s="343"/>
      <c r="B6" s="343"/>
      <c r="C6" s="343"/>
    </row>
    <row r="7" spans="1:6" x14ac:dyDescent="0.25">
      <c r="A7" s="343" t="s">
        <v>700</v>
      </c>
      <c r="B7" s="344" t="s">
        <v>726</v>
      </c>
      <c r="C7" s="344"/>
    </row>
    <row r="8" spans="1:6" x14ac:dyDescent="0.25">
      <c r="A8" s="343"/>
      <c r="B8" s="343" t="s">
        <v>810</v>
      </c>
      <c r="C8" s="258">
        <f>+'Note 2 - 8'!D69+'Note 2 - 8'!D113</f>
        <v>71962323.439999998</v>
      </c>
      <c r="D8" s="258">
        <f>+'Note 2 - 8'!E69+'Note 2 - 8'!E113</f>
        <v>105054891.31999999</v>
      </c>
      <c r="E8" s="258">
        <f>+'Note 2 - 8'!E69+'Note 2 - 8'!E113</f>
        <v>105054891.31999999</v>
      </c>
    </row>
    <row r="9" spans="1:6" x14ac:dyDescent="0.25">
      <c r="A9" s="343"/>
      <c r="B9" s="343" t="s">
        <v>811</v>
      </c>
      <c r="C9" s="258">
        <f>+BS!C11</f>
        <v>358105104.95000005</v>
      </c>
      <c r="D9" s="258">
        <f>+BS!D11</f>
        <v>369546076.88</v>
      </c>
      <c r="E9" s="258">
        <f>+BS!D11</f>
        <v>369546076.88</v>
      </c>
    </row>
    <row r="10" spans="1:6" x14ac:dyDescent="0.25">
      <c r="A10" s="343"/>
      <c r="B10" s="343" t="s">
        <v>699</v>
      </c>
      <c r="C10" s="258">
        <f>+C8/C9</f>
        <v>0.2009530789851422</v>
      </c>
      <c r="D10" s="258">
        <f>+D8/D9</f>
        <v>0.28428089998128625</v>
      </c>
      <c r="E10" s="258">
        <f>+E8/E9</f>
        <v>0.28428089998128625</v>
      </c>
    </row>
    <row r="11" spans="1:6" x14ac:dyDescent="0.25">
      <c r="A11" s="343"/>
      <c r="B11" s="343"/>
      <c r="C11" s="343"/>
    </row>
    <row r="12" spans="1:6" x14ac:dyDescent="0.25">
      <c r="A12" s="343" t="s">
        <v>704</v>
      </c>
      <c r="B12" s="344" t="s">
        <v>812</v>
      </c>
      <c r="C12" s="344"/>
    </row>
    <row r="13" spans="1:6" x14ac:dyDescent="0.25">
      <c r="A13" s="343"/>
      <c r="B13" s="343" t="s">
        <v>814</v>
      </c>
      <c r="C13" s="258">
        <f>+'P&amp;L'!C19</f>
        <v>-12668829.929999977</v>
      </c>
      <c r="D13" s="258">
        <f>+'P&amp;L'!D19</f>
        <v>85780775.880000025</v>
      </c>
      <c r="E13" s="258">
        <f>+'P&amp;L'!D19</f>
        <v>85780775.880000025</v>
      </c>
    </row>
    <row r="14" spans="1:6" x14ac:dyDescent="0.25">
      <c r="A14" s="343"/>
      <c r="B14" s="343" t="s">
        <v>813</v>
      </c>
      <c r="C14" s="343">
        <f>BS!C13</f>
        <v>58353708.079999991</v>
      </c>
      <c r="D14" s="258">
        <v>29118670</v>
      </c>
      <c r="E14" s="401">
        <f>+'TB_PL 2021-22'!B89+'TB_PL 2021-22'!B90+'TB_PL 2021-22'!B91+'TB_PL 2021-22'!B92+9953644+853435</f>
        <v>17694395</v>
      </c>
    </row>
    <row r="15" spans="1:6" x14ac:dyDescent="0.25">
      <c r="A15" s="343"/>
      <c r="B15" s="343" t="s">
        <v>699</v>
      </c>
      <c r="C15" s="258">
        <f>+C13/C14</f>
        <v>-0.21710411123542742</v>
      </c>
      <c r="D15" s="258">
        <f>+D13/D14</f>
        <v>2.945902950924614</v>
      </c>
      <c r="E15" s="258">
        <f>+E13/E14</f>
        <v>4.8479066890956162</v>
      </c>
    </row>
    <row r="16" spans="1:6" x14ac:dyDescent="0.25">
      <c r="A16" s="343"/>
      <c r="B16" s="343"/>
      <c r="C16" s="343"/>
    </row>
    <row r="17" spans="1:6" x14ac:dyDescent="0.25">
      <c r="A17" s="343" t="s">
        <v>708</v>
      </c>
      <c r="B17" s="344" t="s">
        <v>701</v>
      </c>
      <c r="C17" s="344"/>
    </row>
    <row r="18" spans="1:6" x14ac:dyDescent="0.25">
      <c r="A18" s="343"/>
      <c r="B18" s="343" t="s">
        <v>702</v>
      </c>
      <c r="C18" s="258">
        <f>+'P&amp;L'!C28</f>
        <v>-11440971.929999977</v>
      </c>
      <c r="D18" s="258">
        <f>+'P&amp;L'!D28</f>
        <v>67280055.880000025</v>
      </c>
      <c r="E18" s="258">
        <f>+'P&amp;L'!D28</f>
        <v>67280055.880000025</v>
      </c>
    </row>
    <row r="19" spans="1:6" x14ac:dyDescent="0.25">
      <c r="A19" s="343"/>
      <c r="B19" s="343" t="s">
        <v>703</v>
      </c>
      <c r="C19" s="258">
        <f>+(BS!C11+BS!D11)/2</f>
        <v>363825590.91500002</v>
      </c>
      <c r="D19" s="258">
        <f>+(BS!C11+BS!D11)/2</f>
        <v>363825590.91500002</v>
      </c>
      <c r="E19" s="258">
        <f>+(BS!D11+'Key financial ratios'!F19)/2</f>
        <v>236437603.44</v>
      </c>
      <c r="F19" s="258">
        <f>54252100+49077030</f>
        <v>103329130</v>
      </c>
    </row>
    <row r="20" spans="1:6" x14ac:dyDescent="0.25">
      <c r="A20" s="343"/>
      <c r="B20" s="343" t="s">
        <v>699</v>
      </c>
      <c r="C20" s="258">
        <f>+C18/C19</f>
        <v>-3.1446308933977415E-2</v>
      </c>
      <c r="D20" s="258">
        <f>+D18/D19</f>
        <v>0.18492392388010592</v>
      </c>
      <c r="E20" s="258">
        <f>+E18/E19</f>
        <v>0.2845573415612524</v>
      </c>
    </row>
    <row r="21" spans="1:6" x14ac:dyDescent="0.25">
      <c r="A21" s="343"/>
      <c r="B21" s="343"/>
      <c r="C21" s="343"/>
    </row>
    <row r="22" spans="1:6" x14ac:dyDescent="0.25">
      <c r="A22" s="343" t="s">
        <v>712</v>
      </c>
      <c r="B22" s="344" t="s">
        <v>705</v>
      </c>
      <c r="C22" s="344"/>
    </row>
    <row r="23" spans="1:6" x14ac:dyDescent="0.25">
      <c r="A23" s="343"/>
      <c r="B23" s="343" t="s">
        <v>706</v>
      </c>
      <c r="C23" s="258">
        <f>+'P&amp;L'!C8</f>
        <v>242758853.55000001</v>
      </c>
      <c r="D23" s="258">
        <f>+'P&amp;L'!D8</f>
        <v>330858462.81999999</v>
      </c>
      <c r="E23" s="258">
        <f>+'P&amp;L'!D8</f>
        <v>330858462.81999999</v>
      </c>
    </row>
    <row r="24" spans="1:6" x14ac:dyDescent="0.25">
      <c r="A24" s="343"/>
      <c r="B24" s="343" t="s">
        <v>707</v>
      </c>
      <c r="C24" s="258">
        <f>+(BS!D33+BS!C33)/2</f>
        <v>78299902.004999995</v>
      </c>
      <c r="D24" s="258">
        <f>+(BS!C33+BS!D33)/2</f>
        <v>78299902.004999995</v>
      </c>
      <c r="E24" s="258">
        <f>+(BS!D33+'Key financial ratios'!F24)/2</f>
        <v>72248403.655000001</v>
      </c>
      <c r="F24" s="258">
        <v>61117901</v>
      </c>
    </row>
    <row r="25" spans="1:6" x14ac:dyDescent="0.25">
      <c r="A25" s="343"/>
      <c r="B25" s="343" t="s">
        <v>699</v>
      </c>
      <c r="C25" s="258">
        <f>+C23/C24</f>
        <v>3.1003723802170042</v>
      </c>
      <c r="D25" s="258">
        <f>+D23/D24</f>
        <v>4.2255284406214502</v>
      </c>
      <c r="E25" s="258">
        <f>+E23/E24</f>
        <v>4.5794570686974989</v>
      </c>
    </row>
    <row r="26" spans="1:6" x14ac:dyDescent="0.25">
      <c r="A26" s="343"/>
      <c r="B26" s="343"/>
      <c r="C26" s="343"/>
    </row>
    <row r="27" spans="1:6" x14ac:dyDescent="0.25">
      <c r="A27" s="343" t="s">
        <v>717</v>
      </c>
      <c r="B27" s="344" t="s">
        <v>709</v>
      </c>
      <c r="C27" s="344"/>
    </row>
    <row r="28" spans="1:6" x14ac:dyDescent="0.25">
      <c r="A28" s="343"/>
      <c r="B28" s="343" t="s">
        <v>710</v>
      </c>
      <c r="C28" s="258" t="s">
        <v>725</v>
      </c>
      <c r="D28" s="258" t="s">
        <v>725</v>
      </c>
      <c r="E28" s="258" t="s">
        <v>725</v>
      </c>
    </row>
    <row r="29" spans="1:6" x14ac:dyDescent="0.25">
      <c r="A29" s="343"/>
      <c r="B29" s="343" t="s">
        <v>711</v>
      </c>
      <c r="C29" s="258" t="s">
        <v>725</v>
      </c>
      <c r="D29" s="258" t="s">
        <v>725</v>
      </c>
      <c r="E29" s="258" t="s">
        <v>725</v>
      </c>
    </row>
    <row r="30" spans="1:6" x14ac:dyDescent="0.25">
      <c r="A30" s="343"/>
      <c r="B30" s="343" t="s">
        <v>699</v>
      </c>
      <c r="C30" s="258" t="s">
        <v>725</v>
      </c>
      <c r="D30" s="258" t="s">
        <v>725</v>
      </c>
      <c r="E30" s="258" t="s">
        <v>725</v>
      </c>
    </row>
    <row r="31" spans="1:6" x14ac:dyDescent="0.25">
      <c r="A31" s="343"/>
      <c r="B31" s="343"/>
      <c r="C31" s="343"/>
    </row>
    <row r="32" spans="1:6" x14ac:dyDescent="0.25">
      <c r="A32" s="343" t="s">
        <v>719</v>
      </c>
      <c r="B32" s="344" t="s">
        <v>713</v>
      </c>
      <c r="C32" s="344"/>
    </row>
    <row r="33" spans="1:5" x14ac:dyDescent="0.25">
      <c r="A33" s="343"/>
      <c r="B33" s="343" t="s">
        <v>714</v>
      </c>
      <c r="C33" s="258">
        <f>+C23</f>
        <v>242758853.55000001</v>
      </c>
      <c r="D33" s="258">
        <f>+D23</f>
        <v>330858462.81999999</v>
      </c>
      <c r="E33" s="258">
        <f>+E23</f>
        <v>330858462.81999999</v>
      </c>
    </row>
    <row r="34" spans="1:5" x14ac:dyDescent="0.25">
      <c r="A34" s="343"/>
      <c r="B34" s="343" t="s">
        <v>715</v>
      </c>
      <c r="C34" s="258">
        <f>+C3-C4</f>
        <v>96352214.099999994</v>
      </c>
      <c r="D34" s="258">
        <f>+D3-D4</f>
        <v>135654137.18000001</v>
      </c>
      <c r="E34" s="258">
        <f>+E3-E4</f>
        <v>135654137.18000001</v>
      </c>
    </row>
    <row r="35" spans="1:5" x14ac:dyDescent="0.25">
      <c r="A35" s="343"/>
      <c r="B35" s="343" t="s">
        <v>699</v>
      </c>
      <c r="C35" s="258">
        <f>+C33/C34</f>
        <v>2.5194942930740605</v>
      </c>
      <c r="D35" s="258">
        <f>+D33/D34</f>
        <v>2.4389854205550887</v>
      </c>
      <c r="E35" s="258">
        <f>+E33/E34</f>
        <v>2.4389854205550887</v>
      </c>
    </row>
    <row r="36" spans="1:5" x14ac:dyDescent="0.25">
      <c r="A36" s="343"/>
      <c r="B36" s="343" t="s">
        <v>716</v>
      </c>
      <c r="C36" s="343"/>
    </row>
    <row r="37" spans="1:5" x14ac:dyDescent="0.25">
      <c r="A37" s="343"/>
      <c r="B37" s="343"/>
      <c r="C37" s="343"/>
    </row>
    <row r="38" spans="1:5" x14ac:dyDescent="0.25">
      <c r="A38" s="343" t="s">
        <v>815</v>
      </c>
      <c r="B38" s="344" t="s">
        <v>718</v>
      </c>
      <c r="C38" s="344"/>
    </row>
    <row r="39" spans="1:5" x14ac:dyDescent="0.25">
      <c r="A39" s="343"/>
      <c r="B39" s="343" t="s">
        <v>702</v>
      </c>
      <c r="C39" s="258">
        <f>+C18</f>
        <v>-11440971.929999977</v>
      </c>
      <c r="D39" s="258">
        <f>+D18</f>
        <v>67280055.880000025</v>
      </c>
      <c r="E39" s="258">
        <f>+E18</f>
        <v>67280055.880000025</v>
      </c>
    </row>
    <row r="40" spans="1:5" x14ac:dyDescent="0.25">
      <c r="A40" s="343"/>
      <c r="B40" s="343" t="s">
        <v>714</v>
      </c>
      <c r="C40" s="258">
        <f>+C33</f>
        <v>242758853.55000001</v>
      </c>
      <c r="D40" s="258">
        <f>+D33</f>
        <v>330858462.81999999</v>
      </c>
      <c r="E40" s="258">
        <f>+E33</f>
        <v>330858462.81999999</v>
      </c>
    </row>
    <row r="41" spans="1:5" x14ac:dyDescent="0.25">
      <c r="A41" s="343"/>
      <c r="B41" s="343" t="s">
        <v>699</v>
      </c>
      <c r="C41" s="258">
        <f>+C39/C40</f>
        <v>-4.7128958481604991E-2</v>
      </c>
      <c r="D41" s="258">
        <f>+D39/D40</f>
        <v>0.20334996211538051</v>
      </c>
      <c r="E41" s="258">
        <f>+E39/E40</f>
        <v>0.20334996211538051</v>
      </c>
    </row>
    <row r="42" spans="1:5" x14ac:dyDescent="0.25">
      <c r="A42" s="343"/>
      <c r="B42" s="343"/>
      <c r="C42" s="343"/>
    </row>
    <row r="43" spans="1:5" x14ac:dyDescent="0.25">
      <c r="A43" s="343" t="s">
        <v>816</v>
      </c>
      <c r="B43" s="344" t="s">
        <v>720</v>
      </c>
      <c r="C43" s="344"/>
    </row>
    <row r="44" spans="1:5" x14ac:dyDescent="0.25">
      <c r="A44" s="343"/>
      <c r="B44" s="343" t="s">
        <v>721</v>
      </c>
      <c r="C44" s="258">
        <f>+'P&amp;L'!C19-'P&amp;L'!C17</f>
        <v>-20863466.929999977</v>
      </c>
      <c r="D44" s="258">
        <f>+'P&amp;L'!D19-'P&amp;L'!D17</f>
        <v>77716011.880000025</v>
      </c>
      <c r="E44" s="258">
        <f>+'P&amp;L'!D19+'TB_PL 2021-22'!B89+'TB_PL 2021-22'!B90+'TB_PL 2021-22'!B91+'TB_PL 2021-22'!B92</f>
        <v>92668091.880000025</v>
      </c>
    </row>
    <row r="45" spans="1:5" x14ac:dyDescent="0.25">
      <c r="A45" s="343"/>
      <c r="B45" s="343" t="s">
        <v>722</v>
      </c>
      <c r="C45" s="258">
        <f>+BS!C11+BS!C13</f>
        <v>416458813.03000003</v>
      </c>
      <c r="D45" s="258">
        <f>+BS!D11+BS!D13</f>
        <v>460992356.19999999</v>
      </c>
      <c r="E45" s="258">
        <f>+BS!D11</f>
        <v>369546076.88</v>
      </c>
    </row>
    <row r="46" spans="1:5" x14ac:dyDescent="0.25">
      <c r="A46" s="343"/>
      <c r="B46" s="343" t="s">
        <v>699</v>
      </c>
      <c r="C46" s="258">
        <f>+C44/C45</f>
        <v>-5.0097311612173893E-2</v>
      </c>
      <c r="D46" s="258">
        <f>+D44/D45</f>
        <v>0.16858416595151351</v>
      </c>
      <c r="E46" s="258">
        <f>+E44/E45</f>
        <v>0.25076194195424095</v>
      </c>
    </row>
    <row r="47" spans="1:5" x14ac:dyDescent="0.25">
      <c r="A47" s="343"/>
      <c r="B47" s="343"/>
      <c r="C47" s="34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389"/>
  <sheetViews>
    <sheetView topLeftCell="A105" workbookViewId="0">
      <selection activeCell="C117" sqref="C117"/>
    </sheetView>
  </sheetViews>
  <sheetFormatPr defaultRowHeight="15" x14ac:dyDescent="0.25"/>
  <cols>
    <col min="1" max="1" width="44.85546875" bestFit="1" customWidth="1"/>
    <col min="2" max="3" width="11" bestFit="1" customWidth="1"/>
    <col min="4" max="4" width="11.42578125" bestFit="1" customWidth="1"/>
    <col min="5" max="5" width="11.5703125" bestFit="1" customWidth="1"/>
  </cols>
  <sheetData>
    <row r="1" spans="1:3" ht="15.75" x14ac:dyDescent="0.25">
      <c r="A1" s="1705" t="s">
        <v>871</v>
      </c>
      <c r="B1" s="1705"/>
      <c r="C1" s="1705"/>
    </row>
    <row r="2" spans="1:3" ht="15.75" x14ac:dyDescent="0.25">
      <c r="A2" s="1705" t="s">
        <v>199</v>
      </c>
      <c r="B2" s="1705"/>
      <c r="C2" s="1705"/>
    </row>
    <row r="3" spans="1:3" x14ac:dyDescent="0.25">
      <c r="A3" s="1698" t="s">
        <v>870</v>
      </c>
      <c r="B3" s="1698"/>
      <c r="C3" s="1698"/>
    </row>
    <row r="4" spans="1:3" x14ac:dyDescent="0.25">
      <c r="A4" s="1082" t="s">
        <v>197</v>
      </c>
      <c r="B4" s="1699" t="s">
        <v>871</v>
      </c>
      <c r="C4" s="1700"/>
    </row>
    <row r="5" spans="1:3" x14ac:dyDescent="0.25">
      <c r="A5" s="1083" t="s">
        <v>0</v>
      </c>
      <c r="B5" s="1701" t="s">
        <v>870</v>
      </c>
      <c r="C5" s="1702"/>
    </row>
    <row r="6" spans="1:3" x14ac:dyDescent="0.25">
      <c r="A6" s="1083" t="s">
        <v>197</v>
      </c>
      <c r="B6" s="1703" t="s">
        <v>200</v>
      </c>
      <c r="C6" s="1704"/>
    </row>
    <row r="7" spans="1:3" x14ac:dyDescent="0.25">
      <c r="A7" s="1085" t="s">
        <v>197</v>
      </c>
      <c r="B7" s="368" t="s">
        <v>194</v>
      </c>
      <c r="C7" s="368" t="s">
        <v>195</v>
      </c>
    </row>
    <row r="8" spans="1:3" x14ac:dyDescent="0.25">
      <c r="A8" s="253" t="s">
        <v>208</v>
      </c>
      <c r="B8" s="539">
        <v>1013265</v>
      </c>
      <c r="C8" s="537"/>
    </row>
    <row r="9" spans="1:3" x14ac:dyDescent="0.25">
      <c r="A9" s="252" t="s">
        <v>901</v>
      </c>
      <c r="B9" s="562">
        <v>13352.4</v>
      </c>
      <c r="C9" s="491"/>
    </row>
    <row r="10" spans="1:3" x14ac:dyDescent="0.25">
      <c r="A10" s="252" t="s">
        <v>1412</v>
      </c>
      <c r="B10" s="562">
        <v>48916</v>
      </c>
      <c r="C10" s="491"/>
    </row>
    <row r="11" spans="1:3" x14ac:dyDescent="0.25">
      <c r="A11" s="252" t="s">
        <v>1413</v>
      </c>
      <c r="B11" s="562">
        <v>48916</v>
      </c>
      <c r="C11" s="491"/>
    </row>
    <row r="12" spans="1:3" x14ac:dyDescent="0.25">
      <c r="A12" s="252" t="s">
        <v>542</v>
      </c>
      <c r="B12" s="491"/>
      <c r="C12" s="562">
        <v>731716.34</v>
      </c>
    </row>
    <row r="13" spans="1:3" x14ac:dyDescent="0.25">
      <c r="A13" s="252" t="s">
        <v>209</v>
      </c>
      <c r="B13" s="491"/>
      <c r="C13" s="562">
        <v>60304.2</v>
      </c>
    </row>
    <row r="14" spans="1:3" x14ac:dyDescent="0.25">
      <c r="A14" s="252" t="s">
        <v>902</v>
      </c>
      <c r="B14" s="562">
        <v>339.87</v>
      </c>
      <c r="C14" s="491"/>
    </row>
    <row r="15" spans="1:3" x14ac:dyDescent="0.25">
      <c r="A15" s="252" t="s">
        <v>903</v>
      </c>
      <c r="B15" s="562">
        <v>339.87</v>
      </c>
      <c r="C15" s="491"/>
    </row>
    <row r="16" spans="1:3" x14ac:dyDescent="0.25">
      <c r="A16" s="252" t="s">
        <v>904</v>
      </c>
      <c r="B16" s="562">
        <v>14200.5</v>
      </c>
      <c r="C16" s="491"/>
    </row>
    <row r="17" spans="1:4" x14ac:dyDescent="0.25">
      <c r="A17" s="252" t="s">
        <v>905</v>
      </c>
      <c r="B17" s="562">
        <v>14200.5</v>
      </c>
      <c r="C17" s="491"/>
    </row>
    <row r="18" spans="1:4" x14ac:dyDescent="0.25">
      <c r="A18" s="252" t="s">
        <v>210</v>
      </c>
      <c r="B18" s="491"/>
      <c r="C18" s="562">
        <v>95331.63</v>
      </c>
    </row>
    <row r="19" spans="1:4" x14ac:dyDescent="0.25">
      <c r="A19" s="252" t="s">
        <v>211</v>
      </c>
      <c r="B19" s="491"/>
      <c r="C19" s="562">
        <v>820202.42</v>
      </c>
    </row>
    <row r="20" spans="1:4" x14ac:dyDescent="0.25">
      <c r="A20" s="252" t="s">
        <v>212</v>
      </c>
      <c r="B20" s="381">
        <v>775921.43</v>
      </c>
      <c r="C20" s="491"/>
    </row>
    <row r="21" spans="1:4" x14ac:dyDescent="0.25">
      <c r="A21" s="252" t="s">
        <v>1414</v>
      </c>
      <c r="B21" s="491"/>
      <c r="C21" s="381">
        <v>2064246.54</v>
      </c>
      <c r="D21" s="382">
        <f>+C21-B20</f>
        <v>1288325.1099999999</v>
      </c>
    </row>
    <row r="22" spans="1:4" x14ac:dyDescent="0.25">
      <c r="A22" s="252" t="s">
        <v>214</v>
      </c>
      <c r="B22" s="381">
        <v>3475000</v>
      </c>
      <c r="C22" s="491"/>
    </row>
    <row r="23" spans="1:4" x14ac:dyDescent="0.25">
      <c r="A23" s="252" t="s">
        <v>215</v>
      </c>
      <c r="B23" s="381">
        <v>480935</v>
      </c>
      <c r="C23" s="491"/>
    </row>
    <row r="24" spans="1:4" x14ac:dyDescent="0.25">
      <c r="A24" s="252" t="s">
        <v>129</v>
      </c>
      <c r="B24" s="491"/>
      <c r="C24" s="381">
        <v>60344362</v>
      </c>
    </row>
    <row r="25" spans="1:4" x14ac:dyDescent="0.25">
      <c r="A25" s="252" t="s">
        <v>216</v>
      </c>
      <c r="B25" s="381">
        <v>967679</v>
      </c>
      <c r="C25" s="491"/>
    </row>
    <row r="26" spans="1:4" x14ac:dyDescent="0.25">
      <c r="A26" s="252" t="s">
        <v>217</v>
      </c>
      <c r="B26" s="562">
        <v>7500</v>
      </c>
      <c r="C26" s="491"/>
    </row>
    <row r="27" spans="1:4" x14ac:dyDescent="0.25">
      <c r="A27" s="252" t="s">
        <v>906</v>
      </c>
      <c r="B27" s="562">
        <v>200000</v>
      </c>
      <c r="C27" s="491"/>
    </row>
    <row r="28" spans="1:4" x14ac:dyDescent="0.25">
      <c r="A28" s="252" t="s">
        <v>907</v>
      </c>
      <c r="B28" s="562">
        <v>10000</v>
      </c>
      <c r="C28" s="491"/>
    </row>
    <row r="29" spans="1:4" x14ac:dyDescent="0.25">
      <c r="A29" s="252" t="s">
        <v>908</v>
      </c>
      <c r="B29" s="1094">
        <v>1794</v>
      </c>
      <c r="C29" s="491"/>
    </row>
    <row r="30" spans="1:4" x14ac:dyDescent="0.25">
      <c r="A30" s="252" t="s">
        <v>910</v>
      </c>
      <c r="B30" s="562">
        <v>49000</v>
      </c>
      <c r="C30" s="491"/>
    </row>
    <row r="31" spans="1:4" x14ac:dyDescent="0.25">
      <c r="A31" s="252" t="s">
        <v>911</v>
      </c>
      <c r="B31" s="562">
        <v>175255</v>
      </c>
      <c r="C31" s="491"/>
    </row>
    <row r="32" spans="1:4" x14ac:dyDescent="0.25">
      <c r="A32" s="252" t="s">
        <v>912</v>
      </c>
      <c r="B32" s="562">
        <v>180000</v>
      </c>
      <c r="C32" s="491"/>
    </row>
    <row r="33" spans="1:3" x14ac:dyDescent="0.25">
      <c r="A33" s="252" t="s">
        <v>913</v>
      </c>
      <c r="B33" s="562">
        <v>5000</v>
      </c>
      <c r="C33" s="491"/>
    </row>
    <row r="34" spans="1:3" x14ac:dyDescent="0.25">
      <c r="A34" s="252" t="s">
        <v>220</v>
      </c>
      <c r="B34" s="562">
        <v>3776</v>
      </c>
      <c r="C34" s="491"/>
    </row>
    <row r="35" spans="1:3" x14ac:dyDescent="0.25">
      <c r="A35" s="252" t="s">
        <v>915</v>
      </c>
      <c r="B35" s="562">
        <v>35000</v>
      </c>
      <c r="C35" s="491"/>
    </row>
    <row r="36" spans="1:3" x14ac:dyDescent="0.25">
      <c r="A36" s="252" t="s">
        <v>916</v>
      </c>
      <c r="B36" s="562">
        <v>25000000</v>
      </c>
      <c r="C36" s="491"/>
    </row>
    <row r="37" spans="1:3" x14ac:dyDescent="0.25">
      <c r="A37" s="252" t="s">
        <v>221</v>
      </c>
      <c r="B37" s="491"/>
      <c r="C37" s="381">
        <v>54000</v>
      </c>
    </row>
    <row r="38" spans="1:3" x14ac:dyDescent="0.25">
      <c r="A38" s="252" t="s">
        <v>222</v>
      </c>
      <c r="B38" s="381">
        <v>3718197.5</v>
      </c>
      <c r="C38" s="491"/>
    </row>
    <row r="39" spans="1:3" x14ac:dyDescent="0.25">
      <c r="A39" s="252" t="s">
        <v>839</v>
      </c>
      <c r="B39" s="381">
        <v>33120</v>
      </c>
      <c r="C39" s="491"/>
    </row>
    <row r="40" spans="1:3" x14ac:dyDescent="0.25">
      <c r="A40" s="252" t="s">
        <v>224</v>
      </c>
      <c r="B40" s="491"/>
      <c r="C40" s="562">
        <v>193740.9</v>
      </c>
    </row>
    <row r="41" spans="1:3" x14ac:dyDescent="0.25">
      <c r="A41" s="252" t="s">
        <v>225</v>
      </c>
      <c r="B41" s="381">
        <v>244000</v>
      </c>
      <c r="C41" s="491"/>
    </row>
    <row r="42" spans="1:3" x14ac:dyDescent="0.25">
      <c r="A42" s="252" t="s">
        <v>546</v>
      </c>
      <c r="B42" s="491"/>
      <c r="C42" s="562">
        <v>63362</v>
      </c>
    </row>
    <row r="43" spans="1:3" x14ac:dyDescent="0.25">
      <c r="A43" s="252" t="s">
        <v>918</v>
      </c>
      <c r="B43" s="491"/>
      <c r="C43" s="381">
        <v>324264</v>
      </c>
    </row>
    <row r="44" spans="1:3" x14ac:dyDescent="0.25">
      <c r="A44" s="252" t="s">
        <v>226</v>
      </c>
      <c r="B44" s="381">
        <v>2636798</v>
      </c>
      <c r="C44" s="491"/>
    </row>
    <row r="45" spans="1:3" x14ac:dyDescent="0.25">
      <c r="A45" s="252" t="s">
        <v>228</v>
      </c>
      <c r="B45" s="381">
        <v>24797781.170000002</v>
      </c>
      <c r="C45" s="491"/>
    </row>
    <row r="46" spans="1:3" x14ac:dyDescent="0.25">
      <c r="A46" s="252" t="s">
        <v>229</v>
      </c>
      <c r="B46" s="381">
        <v>14014410.4</v>
      </c>
      <c r="C46" s="491"/>
    </row>
    <row r="47" spans="1:3" x14ac:dyDescent="0.25">
      <c r="A47" s="252" t="s">
        <v>841</v>
      </c>
      <c r="B47" s="381">
        <v>2700</v>
      </c>
      <c r="C47" s="491"/>
    </row>
    <row r="48" spans="1:3" x14ac:dyDescent="0.25">
      <c r="A48" s="252" t="s">
        <v>919</v>
      </c>
      <c r="B48" s="491"/>
      <c r="C48" s="381">
        <v>53396.4</v>
      </c>
    </row>
    <row r="49" spans="1:3" x14ac:dyDescent="0.25">
      <c r="A49" s="252" t="s">
        <v>230</v>
      </c>
      <c r="B49" s="491"/>
      <c r="C49" s="381">
        <v>51489</v>
      </c>
    </row>
    <row r="50" spans="1:3" x14ac:dyDescent="0.25">
      <c r="A50" s="252" t="s">
        <v>233</v>
      </c>
      <c r="B50" s="491"/>
      <c r="C50" s="491"/>
    </row>
    <row r="51" spans="1:3" x14ac:dyDescent="0.25">
      <c r="A51" s="252" t="s">
        <v>235</v>
      </c>
      <c r="B51" s="381">
        <v>265412</v>
      </c>
      <c r="C51" s="491"/>
    </row>
    <row r="52" spans="1:3" x14ac:dyDescent="0.25">
      <c r="A52" s="252" t="s">
        <v>236</v>
      </c>
      <c r="B52" s="381">
        <v>115642.91</v>
      </c>
      <c r="C52" s="491"/>
    </row>
    <row r="53" spans="1:3" x14ac:dyDescent="0.25">
      <c r="A53" s="252" t="s">
        <v>237</v>
      </c>
      <c r="B53" s="381">
        <v>36558</v>
      </c>
      <c r="C53" s="491"/>
    </row>
    <row r="54" spans="1:3" x14ac:dyDescent="0.25">
      <c r="A54" s="252" t="s">
        <v>920</v>
      </c>
      <c r="B54" s="491"/>
      <c r="C54" s="381">
        <v>14160</v>
      </c>
    </row>
    <row r="55" spans="1:3" x14ac:dyDescent="0.25">
      <c r="A55" s="252" t="s">
        <v>238</v>
      </c>
      <c r="B55" s="491"/>
      <c r="C55" s="381">
        <v>20790</v>
      </c>
    </row>
    <row r="56" spans="1:3" x14ac:dyDescent="0.25">
      <c r="A56" s="252" t="s">
        <v>239</v>
      </c>
      <c r="B56" s="491"/>
      <c r="C56" s="381">
        <v>467094</v>
      </c>
    </row>
    <row r="57" spans="1:3" x14ac:dyDescent="0.25">
      <c r="A57" s="252" t="s">
        <v>240</v>
      </c>
      <c r="B57" s="381">
        <v>7414000</v>
      </c>
      <c r="C57" s="491"/>
    </row>
    <row r="58" spans="1:3" x14ac:dyDescent="0.25">
      <c r="A58" s="252" t="s">
        <v>241</v>
      </c>
      <c r="B58" s="491"/>
      <c r="C58" s="381">
        <v>4950</v>
      </c>
    </row>
    <row r="59" spans="1:3" x14ac:dyDescent="0.25">
      <c r="A59" s="252" t="s">
        <v>242</v>
      </c>
      <c r="B59" s="381">
        <v>183682.38</v>
      </c>
      <c r="C59" s="491"/>
    </row>
    <row r="60" spans="1:3" x14ac:dyDescent="0.25">
      <c r="A60" s="252" t="s">
        <v>243</v>
      </c>
      <c r="B60" s="381">
        <v>42167.53</v>
      </c>
      <c r="C60" s="491"/>
    </row>
    <row r="61" spans="1:3" x14ac:dyDescent="0.25">
      <c r="A61" s="252" t="s">
        <v>244</v>
      </c>
      <c r="B61" s="381">
        <v>19038.12</v>
      </c>
      <c r="C61" s="491"/>
    </row>
    <row r="62" spans="1:3" x14ac:dyDescent="0.25">
      <c r="A62" s="252" t="s">
        <v>1415</v>
      </c>
      <c r="B62" s="491"/>
      <c r="C62" s="381">
        <v>90000</v>
      </c>
    </row>
    <row r="63" spans="1:3" x14ac:dyDescent="0.25">
      <c r="A63" s="252" t="s">
        <v>245</v>
      </c>
      <c r="B63" s="381">
        <v>820089.29</v>
      </c>
      <c r="C63" s="491"/>
    </row>
    <row r="64" spans="1:3" x14ac:dyDescent="0.25">
      <c r="A64" s="252" t="s">
        <v>246</v>
      </c>
      <c r="B64" s="381">
        <v>590</v>
      </c>
      <c r="C64" s="491"/>
    </row>
    <row r="65" spans="1:4" x14ac:dyDescent="0.25">
      <c r="A65" s="252" t="s">
        <v>247</v>
      </c>
      <c r="B65" s="491"/>
      <c r="C65" s="381">
        <v>11443</v>
      </c>
    </row>
    <row r="66" spans="1:4" x14ac:dyDescent="0.25">
      <c r="A66" s="252" t="s">
        <v>248</v>
      </c>
      <c r="B66" s="491"/>
      <c r="C66" s="562">
        <v>612601.11</v>
      </c>
    </row>
    <row r="67" spans="1:4" x14ac:dyDescent="0.25">
      <c r="A67" s="252" t="s">
        <v>923</v>
      </c>
      <c r="B67" s="491"/>
      <c r="C67" s="381">
        <v>6951</v>
      </c>
    </row>
    <row r="68" spans="1:4" x14ac:dyDescent="0.25">
      <c r="A68" s="252" t="s">
        <v>924</v>
      </c>
      <c r="B68" s="381">
        <v>24624</v>
      </c>
      <c r="C68" s="491"/>
    </row>
    <row r="69" spans="1:4" x14ac:dyDescent="0.25">
      <c r="A69" s="252" t="s">
        <v>842</v>
      </c>
      <c r="B69" s="381">
        <v>9500</v>
      </c>
      <c r="C69" s="491"/>
    </row>
    <row r="70" spans="1:4" x14ac:dyDescent="0.25">
      <c r="A70" s="252" t="s">
        <v>250</v>
      </c>
      <c r="B70" s="381">
        <v>180000</v>
      </c>
      <c r="C70" s="491"/>
    </row>
    <row r="71" spans="1:4" x14ac:dyDescent="0.25">
      <c r="A71" s="252" t="s">
        <v>251</v>
      </c>
      <c r="B71" s="491"/>
      <c r="C71" s="381">
        <v>224790</v>
      </c>
    </row>
    <row r="72" spans="1:4" x14ac:dyDescent="0.25">
      <c r="A72" s="252" t="s">
        <v>252</v>
      </c>
      <c r="B72" s="381">
        <v>226000</v>
      </c>
      <c r="C72" s="491"/>
    </row>
    <row r="73" spans="1:4" x14ac:dyDescent="0.25">
      <c r="A73" s="252" t="s">
        <v>925</v>
      </c>
      <c r="B73" s="562">
        <v>1500000</v>
      </c>
      <c r="C73" s="491"/>
      <c r="D73" s="733"/>
    </row>
    <row r="74" spans="1:4" x14ac:dyDescent="0.25">
      <c r="A74" s="252" t="s">
        <v>254</v>
      </c>
      <c r="B74" s="381">
        <v>4861950.41</v>
      </c>
      <c r="C74" s="491"/>
    </row>
    <row r="75" spans="1:4" x14ac:dyDescent="0.25">
      <c r="A75" s="252" t="s">
        <v>255</v>
      </c>
      <c r="B75" s="491"/>
      <c r="C75" s="381">
        <v>34450</v>
      </c>
    </row>
    <row r="76" spans="1:4" x14ac:dyDescent="0.25">
      <c r="A76" s="252" t="s">
        <v>256</v>
      </c>
      <c r="B76" s="381">
        <v>199034.72</v>
      </c>
      <c r="C76" s="491"/>
    </row>
    <row r="77" spans="1:4" x14ac:dyDescent="0.25">
      <c r="A77" s="252" t="s">
        <v>257</v>
      </c>
      <c r="B77" s="381">
        <v>555676.48</v>
      </c>
      <c r="C77" s="491"/>
    </row>
    <row r="78" spans="1:4" x14ac:dyDescent="0.25">
      <c r="A78" s="252" t="s">
        <v>549</v>
      </c>
      <c r="B78" s="491"/>
      <c r="C78" s="381">
        <v>2700</v>
      </c>
    </row>
    <row r="79" spans="1:4" x14ac:dyDescent="0.25">
      <c r="A79" s="252" t="s">
        <v>258</v>
      </c>
      <c r="B79" s="381">
        <v>1900</v>
      </c>
      <c r="C79" s="491"/>
    </row>
    <row r="80" spans="1:4" x14ac:dyDescent="0.25">
      <c r="A80" s="252" t="s">
        <v>259</v>
      </c>
      <c r="B80" s="381">
        <v>199836</v>
      </c>
      <c r="C80" s="491"/>
    </row>
    <row r="81" spans="1:3" x14ac:dyDescent="0.25">
      <c r="A81" s="252" t="s">
        <v>926</v>
      </c>
      <c r="B81" s="381">
        <v>168390</v>
      </c>
      <c r="C81" s="491"/>
    </row>
    <row r="82" spans="1:3" x14ac:dyDescent="0.25">
      <c r="A82" s="252" t="s">
        <v>260</v>
      </c>
      <c r="B82" s="381">
        <v>190889.52</v>
      </c>
      <c r="C82" s="491"/>
    </row>
    <row r="83" spans="1:3" x14ac:dyDescent="0.25">
      <c r="A83" s="252" t="s">
        <v>261</v>
      </c>
      <c r="B83" s="381">
        <v>2572000</v>
      </c>
      <c r="C83" s="491"/>
    </row>
    <row r="84" spans="1:3" x14ac:dyDescent="0.25">
      <c r="A84" s="252" t="s">
        <v>264</v>
      </c>
      <c r="B84" s="491"/>
      <c r="C84" s="381">
        <v>148444</v>
      </c>
    </row>
    <row r="85" spans="1:3" x14ac:dyDescent="0.25">
      <c r="A85" s="252" t="s">
        <v>265</v>
      </c>
      <c r="B85" s="491"/>
      <c r="C85" s="381">
        <v>683435</v>
      </c>
    </row>
    <row r="86" spans="1:3" x14ac:dyDescent="0.25">
      <c r="A86" s="252" t="s">
        <v>266</v>
      </c>
      <c r="B86" s="381">
        <v>3599587.4</v>
      </c>
      <c r="C86" s="491"/>
    </row>
    <row r="87" spans="1:3" x14ac:dyDescent="0.25">
      <c r="A87" s="252" t="s">
        <v>267</v>
      </c>
      <c r="B87" s="491"/>
      <c r="C87" s="381">
        <v>107380</v>
      </c>
    </row>
    <row r="88" spans="1:3" x14ac:dyDescent="0.25">
      <c r="A88" s="252" t="s">
        <v>268</v>
      </c>
      <c r="B88" s="381">
        <v>2158726.84</v>
      </c>
      <c r="C88" s="491"/>
    </row>
    <row r="89" spans="1:3" x14ac:dyDescent="0.25">
      <c r="A89" s="252" t="s">
        <v>269</v>
      </c>
      <c r="B89" s="381">
        <v>114548</v>
      </c>
      <c r="C89" s="491"/>
    </row>
    <row r="90" spans="1:3" x14ac:dyDescent="0.25">
      <c r="A90" s="252" t="s">
        <v>270</v>
      </c>
      <c r="B90" s="491"/>
      <c r="C90" s="381">
        <v>109340</v>
      </c>
    </row>
    <row r="91" spans="1:3" x14ac:dyDescent="0.25">
      <c r="A91" s="252" t="s">
        <v>271</v>
      </c>
      <c r="B91" s="381">
        <v>131643.9</v>
      </c>
      <c r="C91" s="491"/>
    </row>
    <row r="92" spans="1:3" x14ac:dyDescent="0.25">
      <c r="A92" s="252" t="s">
        <v>272</v>
      </c>
      <c r="B92" s="381">
        <v>1300000</v>
      </c>
      <c r="C92" s="491"/>
    </row>
    <row r="93" spans="1:3" x14ac:dyDescent="0.25">
      <c r="A93" s="252" t="s">
        <v>274</v>
      </c>
      <c r="B93" s="381">
        <v>1825541</v>
      </c>
      <c r="C93" s="491"/>
    </row>
    <row r="94" spans="1:3" x14ac:dyDescent="0.25">
      <c r="A94" s="252" t="s">
        <v>275</v>
      </c>
      <c r="B94" s="381">
        <v>117760</v>
      </c>
      <c r="C94" s="491"/>
    </row>
    <row r="95" spans="1:3" x14ac:dyDescent="0.25">
      <c r="A95" s="252" t="s">
        <v>276</v>
      </c>
      <c r="B95" s="381">
        <v>3926400</v>
      </c>
      <c r="C95" s="491"/>
    </row>
    <row r="96" spans="1:3" x14ac:dyDescent="0.25">
      <c r="A96" s="252" t="s">
        <v>277</v>
      </c>
      <c r="B96" s="381">
        <v>2447200</v>
      </c>
      <c r="C96" s="491"/>
    </row>
    <row r="97" spans="1:4" x14ac:dyDescent="0.25">
      <c r="A97" s="252" t="s">
        <v>278</v>
      </c>
      <c r="B97" s="381">
        <v>11910.2</v>
      </c>
      <c r="C97" s="491"/>
    </row>
    <row r="98" spans="1:4" x14ac:dyDescent="0.25">
      <c r="A98" s="252" t="s">
        <v>279</v>
      </c>
      <c r="B98" s="491"/>
      <c r="C98" s="381">
        <v>18703</v>
      </c>
    </row>
    <row r="99" spans="1:4" x14ac:dyDescent="0.25">
      <c r="A99" s="252" t="s">
        <v>280</v>
      </c>
      <c r="B99" s="381">
        <v>2470922</v>
      </c>
      <c r="C99" s="491"/>
    </row>
    <row r="100" spans="1:4" x14ac:dyDescent="0.25">
      <c r="A100" s="252" t="s">
        <v>281</v>
      </c>
      <c r="B100" s="381">
        <v>64124</v>
      </c>
      <c r="C100" s="491"/>
    </row>
    <row r="101" spans="1:4" x14ac:dyDescent="0.25">
      <c r="A101" s="252" t="s">
        <v>282</v>
      </c>
      <c r="B101" s="491"/>
      <c r="C101" s="381">
        <v>4469387.0999999996</v>
      </c>
    </row>
    <row r="102" spans="1:4" x14ac:dyDescent="0.25">
      <c r="A102" s="252" t="s">
        <v>929</v>
      </c>
      <c r="B102" s="491"/>
      <c r="C102" s="381">
        <v>25165</v>
      </c>
    </row>
    <row r="103" spans="1:4" x14ac:dyDescent="0.25">
      <c r="A103" s="252" t="s">
        <v>283</v>
      </c>
      <c r="B103" s="491"/>
      <c r="C103" s="381">
        <v>4318647</v>
      </c>
    </row>
    <row r="104" spans="1:4" x14ac:dyDescent="0.25">
      <c r="A104" s="252" t="s">
        <v>284</v>
      </c>
      <c r="B104" s="562">
        <v>10000</v>
      </c>
      <c r="C104" s="491"/>
      <c r="D104" s="733"/>
    </row>
    <row r="105" spans="1:4" x14ac:dyDescent="0.25">
      <c r="A105" s="252" t="s">
        <v>285</v>
      </c>
      <c r="B105" s="381">
        <v>1873380.51</v>
      </c>
      <c r="C105" s="491"/>
    </row>
    <row r="106" spans="1:4" x14ac:dyDescent="0.25">
      <c r="A106" s="252" t="s">
        <v>286</v>
      </c>
      <c r="B106" s="491"/>
      <c r="C106" s="381">
        <v>408240</v>
      </c>
    </row>
    <row r="107" spans="1:4" x14ac:dyDescent="0.25">
      <c r="A107" s="252" t="s">
        <v>287</v>
      </c>
      <c r="B107" s="381">
        <v>140405.57999999999</v>
      </c>
      <c r="C107" s="491"/>
    </row>
    <row r="108" spans="1:4" x14ac:dyDescent="0.25">
      <c r="A108" s="252" t="s">
        <v>288</v>
      </c>
      <c r="B108" s="381">
        <v>110000</v>
      </c>
      <c r="C108" s="491"/>
    </row>
    <row r="109" spans="1:4" x14ac:dyDescent="0.25">
      <c r="A109" s="252" t="s">
        <v>930</v>
      </c>
      <c r="B109" s="381">
        <v>2746134</v>
      </c>
      <c r="C109" s="491"/>
    </row>
    <row r="110" spans="1:4" x14ac:dyDescent="0.25">
      <c r="A110" s="252" t="s">
        <v>931</v>
      </c>
      <c r="B110" s="381">
        <v>610998</v>
      </c>
      <c r="C110" s="491"/>
    </row>
    <row r="111" spans="1:4" x14ac:dyDescent="0.25">
      <c r="A111" s="252" t="s">
        <v>932</v>
      </c>
      <c r="B111" s="381">
        <v>592773</v>
      </c>
      <c r="C111" s="491"/>
    </row>
    <row r="112" spans="1:4" x14ac:dyDescent="0.25">
      <c r="A112" s="252" t="s">
        <v>933</v>
      </c>
      <c r="B112" s="381">
        <v>2849550</v>
      </c>
      <c r="C112" s="491"/>
    </row>
    <row r="113" spans="1:4" x14ac:dyDescent="0.25">
      <c r="A113" s="252" t="s">
        <v>934</v>
      </c>
      <c r="B113" s="381">
        <v>936582</v>
      </c>
      <c r="C113" s="491"/>
    </row>
    <row r="114" spans="1:4" x14ac:dyDescent="0.25">
      <c r="A114" s="252" t="s">
        <v>935</v>
      </c>
      <c r="B114" s="381">
        <v>2705280</v>
      </c>
      <c r="C114" s="491"/>
    </row>
    <row r="115" spans="1:4" x14ac:dyDescent="0.25">
      <c r="A115" s="252" t="s">
        <v>936</v>
      </c>
      <c r="B115" s="381">
        <v>5684313</v>
      </c>
      <c r="C115" s="491"/>
    </row>
    <row r="116" spans="1:4" x14ac:dyDescent="0.25">
      <c r="A116" s="252" t="s">
        <v>937</v>
      </c>
      <c r="B116" s="381">
        <v>150000</v>
      </c>
      <c r="C116" s="491"/>
    </row>
    <row r="117" spans="1:4" x14ac:dyDescent="0.25">
      <c r="A117" s="252" t="s">
        <v>289</v>
      </c>
      <c r="B117" s="491"/>
      <c r="C117" s="381">
        <v>4145.34</v>
      </c>
    </row>
    <row r="118" spans="1:4" x14ac:dyDescent="0.25">
      <c r="A118" s="252" t="s">
        <v>938</v>
      </c>
      <c r="B118" s="491"/>
      <c r="C118" s="381">
        <v>26640</v>
      </c>
    </row>
    <row r="119" spans="1:4" x14ac:dyDescent="0.25">
      <c r="A119" s="252" t="s">
        <v>290</v>
      </c>
      <c r="B119" s="381">
        <v>9005633.9399999995</v>
      </c>
      <c r="C119" s="491"/>
    </row>
    <row r="120" spans="1:4" x14ac:dyDescent="0.25">
      <c r="A120" s="252" t="s">
        <v>291</v>
      </c>
      <c r="B120" s="381">
        <v>177404.76</v>
      </c>
      <c r="C120" s="491"/>
    </row>
    <row r="121" spans="1:4" x14ac:dyDescent="0.25">
      <c r="A121" s="252" t="s">
        <v>292</v>
      </c>
      <c r="B121" s="381">
        <v>314685</v>
      </c>
      <c r="C121" s="491"/>
    </row>
    <row r="122" spans="1:4" x14ac:dyDescent="0.25">
      <c r="A122" s="252" t="s">
        <v>293</v>
      </c>
      <c r="B122" s="381">
        <v>557500</v>
      </c>
      <c r="C122" s="491"/>
    </row>
    <row r="123" spans="1:4" x14ac:dyDescent="0.25">
      <c r="A123" s="252" t="s">
        <v>294</v>
      </c>
      <c r="B123" s="381">
        <v>11856585.1</v>
      </c>
      <c r="C123" s="491"/>
    </row>
    <row r="124" spans="1:4" x14ac:dyDescent="0.25">
      <c r="A124" s="252" t="s">
        <v>295</v>
      </c>
      <c r="B124" s="562">
        <v>1572550</v>
      </c>
      <c r="C124" s="491"/>
      <c r="D124" s="733"/>
    </row>
    <row r="125" spans="1:4" x14ac:dyDescent="0.25">
      <c r="A125" s="252" t="s">
        <v>296</v>
      </c>
      <c r="B125" s="381">
        <v>1386039.21</v>
      </c>
      <c r="C125" s="491"/>
    </row>
    <row r="126" spans="1:4" x14ac:dyDescent="0.25">
      <c r="A126" s="252" t="s">
        <v>297</v>
      </c>
      <c r="B126" s="381">
        <v>196354.06</v>
      </c>
      <c r="C126" s="491"/>
    </row>
    <row r="127" spans="1:4" x14ac:dyDescent="0.25">
      <c r="A127" s="252" t="s">
        <v>298</v>
      </c>
      <c r="B127" s="381">
        <v>4994535</v>
      </c>
      <c r="C127" s="491"/>
    </row>
    <row r="128" spans="1:4" x14ac:dyDescent="0.25">
      <c r="A128" s="252" t="s">
        <v>153</v>
      </c>
      <c r="B128" s="381">
        <v>10943323.539999999</v>
      </c>
      <c r="C128" s="491"/>
    </row>
    <row r="129" spans="1:5" x14ac:dyDescent="0.25">
      <c r="A129" s="252" t="s">
        <v>299</v>
      </c>
      <c r="B129" s="381">
        <v>129316.7</v>
      </c>
      <c r="C129" s="491"/>
    </row>
    <row r="130" spans="1:5" x14ac:dyDescent="0.25">
      <c r="A130" s="252" t="s">
        <v>300</v>
      </c>
      <c r="B130" s="491"/>
      <c r="C130" s="381">
        <v>323568</v>
      </c>
    </row>
    <row r="131" spans="1:5" x14ac:dyDescent="0.25">
      <c r="A131" s="252" t="s">
        <v>301</v>
      </c>
      <c r="B131" s="491"/>
      <c r="C131" s="381">
        <v>467727</v>
      </c>
    </row>
    <row r="132" spans="1:5" x14ac:dyDescent="0.25">
      <c r="A132" s="252" t="s">
        <v>302</v>
      </c>
      <c r="B132" s="491"/>
      <c r="C132" s="381">
        <v>32989</v>
      </c>
    </row>
    <row r="133" spans="1:5" x14ac:dyDescent="0.25">
      <c r="A133" s="252" t="s">
        <v>640</v>
      </c>
      <c r="B133" s="381">
        <v>30500</v>
      </c>
      <c r="C133" s="491"/>
    </row>
    <row r="134" spans="1:5" x14ac:dyDescent="0.25">
      <c r="A134" s="252" t="s">
        <v>306</v>
      </c>
      <c r="B134" s="381">
        <v>97960</v>
      </c>
      <c r="C134" s="491"/>
    </row>
    <row r="135" spans="1:5" x14ac:dyDescent="0.25">
      <c r="A135" s="252" t="s">
        <v>307</v>
      </c>
      <c r="B135" s="381">
        <v>98050</v>
      </c>
      <c r="C135" s="491"/>
    </row>
    <row r="136" spans="1:5" x14ac:dyDescent="0.25">
      <c r="A136" s="252" t="s">
        <v>941</v>
      </c>
      <c r="B136" s="562">
        <v>5000000</v>
      </c>
      <c r="C136" s="491"/>
    </row>
    <row r="137" spans="1:5" x14ac:dyDescent="0.25">
      <c r="A137" s="252" t="s">
        <v>942</v>
      </c>
      <c r="B137" s="562">
        <v>5000000</v>
      </c>
      <c r="C137" s="491"/>
    </row>
    <row r="138" spans="1:5" x14ac:dyDescent="0.25">
      <c r="A138" s="252" t="s">
        <v>943</v>
      </c>
      <c r="B138" s="562">
        <v>5000000</v>
      </c>
      <c r="C138" s="491"/>
    </row>
    <row r="139" spans="1:5" x14ac:dyDescent="0.25">
      <c r="A139" s="252" t="s">
        <v>944</v>
      </c>
      <c r="B139" s="562">
        <v>5000000</v>
      </c>
      <c r="C139" s="491"/>
    </row>
    <row r="140" spans="1:5" x14ac:dyDescent="0.25">
      <c r="A140" s="252" t="s">
        <v>945</v>
      </c>
      <c r="B140" s="562">
        <v>5000000</v>
      </c>
      <c r="C140" s="491"/>
    </row>
    <row r="141" spans="1:5" x14ac:dyDescent="0.25">
      <c r="A141" s="252" t="s">
        <v>946</v>
      </c>
      <c r="B141" s="562">
        <v>5000000</v>
      </c>
      <c r="C141" s="491"/>
    </row>
    <row r="142" spans="1:5" x14ac:dyDescent="0.25">
      <c r="A142" s="252" t="s">
        <v>947</v>
      </c>
      <c r="B142" s="562">
        <v>5000000</v>
      </c>
      <c r="C142" s="491"/>
    </row>
    <row r="143" spans="1:5" x14ac:dyDescent="0.25">
      <c r="A143" s="252" t="s">
        <v>308</v>
      </c>
      <c r="B143" s="562">
        <v>2152877</v>
      </c>
      <c r="C143" s="491"/>
      <c r="D143" s="1188">
        <v>2275441</v>
      </c>
      <c r="E143" s="1188">
        <f>D143-B143</f>
        <v>122564</v>
      </c>
    </row>
    <row r="144" spans="1:5" x14ac:dyDescent="0.25">
      <c r="A144" s="252" t="s">
        <v>310</v>
      </c>
      <c r="B144" s="562">
        <v>3044709</v>
      </c>
      <c r="C144" s="491"/>
      <c r="D144">
        <v>3241620</v>
      </c>
      <c r="E144" s="1188">
        <f>D144-B144</f>
        <v>196911</v>
      </c>
    </row>
    <row r="145" spans="1:6" x14ac:dyDescent="0.25">
      <c r="A145" s="252" t="s">
        <v>311</v>
      </c>
      <c r="B145" s="381">
        <v>521160.1</v>
      </c>
      <c r="C145" s="491"/>
      <c r="E145" s="1190">
        <f>SUM(E143:E144)</f>
        <v>319475</v>
      </c>
      <c r="F145">
        <v>-101368</v>
      </c>
    </row>
    <row r="146" spans="1:6" x14ac:dyDescent="0.25">
      <c r="A146" s="252" t="s">
        <v>312</v>
      </c>
      <c r="B146" s="381">
        <v>2352</v>
      </c>
      <c r="C146" s="491"/>
      <c r="E146" s="733">
        <f>SUM(B136:B144)</f>
        <v>40197586</v>
      </c>
    </row>
    <row r="147" spans="1:6" x14ac:dyDescent="0.25">
      <c r="A147" s="252" t="s">
        <v>313</v>
      </c>
      <c r="B147" s="491"/>
      <c r="C147" s="381">
        <v>6457341.3600000003</v>
      </c>
      <c r="E147" s="1189">
        <f>E146+E145</f>
        <v>40517061</v>
      </c>
    </row>
    <row r="148" spans="1:6" x14ac:dyDescent="0.25">
      <c r="A148" s="252" t="s">
        <v>314</v>
      </c>
      <c r="B148" s="381">
        <v>3666625.18</v>
      </c>
      <c r="C148" s="491"/>
    </row>
    <row r="149" spans="1:6" x14ac:dyDescent="0.25">
      <c r="A149" s="252" t="s">
        <v>315</v>
      </c>
      <c r="B149" s="381">
        <v>294940</v>
      </c>
      <c r="C149" s="491"/>
    </row>
    <row r="150" spans="1:6" x14ac:dyDescent="0.25">
      <c r="A150" s="252" t="s">
        <v>948</v>
      </c>
      <c r="B150" s="491"/>
      <c r="C150" s="381">
        <v>42560</v>
      </c>
    </row>
    <row r="151" spans="1:6" x14ac:dyDescent="0.25">
      <c r="A151" s="252" t="s">
        <v>316</v>
      </c>
      <c r="B151" s="381">
        <v>2828316.24</v>
      </c>
      <c r="C151" s="491"/>
    </row>
    <row r="152" spans="1:6" x14ac:dyDescent="0.25">
      <c r="A152" s="252" t="s">
        <v>317</v>
      </c>
      <c r="B152" s="381">
        <v>983916.79</v>
      </c>
      <c r="C152" s="491"/>
    </row>
    <row r="153" spans="1:6" x14ac:dyDescent="0.25">
      <c r="A153" s="252" t="s">
        <v>318</v>
      </c>
      <c r="B153" s="491"/>
      <c r="C153" s="381">
        <v>16500</v>
      </c>
    </row>
    <row r="154" spans="1:6" x14ac:dyDescent="0.25">
      <c r="A154" s="252" t="s">
        <v>319</v>
      </c>
      <c r="B154" s="491"/>
      <c r="C154" s="381">
        <v>194400</v>
      </c>
    </row>
    <row r="155" spans="1:6" x14ac:dyDescent="0.25">
      <c r="A155" s="252" t="s">
        <v>320</v>
      </c>
      <c r="B155" s="381">
        <v>322454.09999999998</v>
      </c>
      <c r="C155" s="491"/>
    </row>
    <row r="156" spans="1:6" x14ac:dyDescent="0.25">
      <c r="A156" s="252" t="s">
        <v>566</v>
      </c>
      <c r="B156" s="381">
        <v>336940</v>
      </c>
      <c r="C156" s="491"/>
    </row>
    <row r="157" spans="1:6" x14ac:dyDescent="0.25">
      <c r="A157" s="252" t="s">
        <v>838</v>
      </c>
      <c r="B157" s="381">
        <v>284005</v>
      </c>
      <c r="C157" s="491"/>
    </row>
    <row r="158" spans="1:6" x14ac:dyDescent="0.25">
      <c r="A158" s="252" t="s">
        <v>321</v>
      </c>
      <c r="B158" s="381">
        <v>6033685</v>
      </c>
      <c r="C158" s="491"/>
    </row>
    <row r="159" spans="1:6" x14ac:dyDescent="0.25">
      <c r="A159" s="252" t="s">
        <v>949</v>
      </c>
      <c r="B159" s="381">
        <v>469397.75</v>
      </c>
      <c r="C159" s="491"/>
    </row>
    <row r="160" spans="1:6" x14ac:dyDescent="0.25">
      <c r="A160" s="252" t="s">
        <v>322</v>
      </c>
      <c r="B160" s="491"/>
      <c r="C160" s="381">
        <v>16976</v>
      </c>
    </row>
    <row r="161" spans="1:3" x14ac:dyDescent="0.25">
      <c r="A161" s="252" t="s">
        <v>323</v>
      </c>
      <c r="B161" s="381">
        <v>519312.8</v>
      </c>
      <c r="C161" s="491"/>
    </row>
    <row r="162" spans="1:3" x14ac:dyDescent="0.25">
      <c r="A162" s="252" t="s">
        <v>837</v>
      </c>
      <c r="B162" s="381">
        <v>28300</v>
      </c>
      <c r="C162" s="491"/>
    </row>
    <row r="163" spans="1:3" x14ac:dyDescent="0.25">
      <c r="A163" s="252" t="s">
        <v>324</v>
      </c>
      <c r="B163" s="491"/>
      <c r="C163" s="381">
        <v>50605</v>
      </c>
    </row>
    <row r="164" spans="1:3" x14ac:dyDescent="0.25">
      <c r="A164" s="252" t="s">
        <v>325</v>
      </c>
      <c r="B164" s="491"/>
      <c r="C164" s="381">
        <v>80000</v>
      </c>
    </row>
    <row r="165" spans="1:3" x14ac:dyDescent="0.25">
      <c r="A165" s="252" t="s">
        <v>327</v>
      </c>
      <c r="B165" s="491"/>
      <c r="C165" s="381">
        <v>290066</v>
      </c>
    </row>
    <row r="166" spans="1:3" x14ac:dyDescent="0.25">
      <c r="A166" s="252" t="s">
        <v>328</v>
      </c>
      <c r="B166" s="491"/>
      <c r="C166" s="381">
        <v>27150</v>
      </c>
    </row>
    <row r="167" spans="1:3" x14ac:dyDescent="0.25">
      <c r="A167" s="252" t="s">
        <v>329</v>
      </c>
      <c r="B167" s="381">
        <v>3361480.94</v>
      </c>
      <c r="C167" s="491"/>
    </row>
    <row r="168" spans="1:3" x14ac:dyDescent="0.25">
      <c r="A168" s="252" t="s">
        <v>330</v>
      </c>
      <c r="B168" s="381">
        <v>63842.65</v>
      </c>
      <c r="C168" s="491"/>
    </row>
    <row r="169" spans="1:3" x14ac:dyDescent="0.25">
      <c r="A169" s="252" t="s">
        <v>331</v>
      </c>
      <c r="B169" s="381">
        <v>785000</v>
      </c>
      <c r="C169" s="491"/>
    </row>
    <row r="170" spans="1:3" x14ac:dyDescent="0.25">
      <c r="A170" s="252" t="s">
        <v>332</v>
      </c>
      <c r="B170" s="381">
        <v>500000</v>
      </c>
      <c r="C170" s="491"/>
    </row>
    <row r="171" spans="1:3" x14ac:dyDescent="0.25">
      <c r="A171" s="252" t="s">
        <v>333</v>
      </c>
      <c r="B171" s="491"/>
      <c r="C171" s="381">
        <v>17688</v>
      </c>
    </row>
    <row r="172" spans="1:3" x14ac:dyDescent="0.25">
      <c r="A172" s="252" t="s">
        <v>950</v>
      </c>
      <c r="B172" s="381">
        <v>2628752</v>
      </c>
      <c r="C172" s="491"/>
    </row>
    <row r="173" spans="1:3" x14ac:dyDescent="0.25">
      <c r="A173" s="252" t="s">
        <v>334</v>
      </c>
      <c r="B173" s="381">
        <v>1672065</v>
      </c>
      <c r="C173" s="491"/>
    </row>
    <row r="174" spans="1:3" x14ac:dyDescent="0.25">
      <c r="A174" s="252" t="s">
        <v>335</v>
      </c>
      <c r="B174" s="381">
        <v>16580186.52</v>
      </c>
      <c r="C174" s="491"/>
    </row>
    <row r="175" spans="1:3" x14ac:dyDescent="0.25">
      <c r="A175" s="252" t="s">
        <v>951</v>
      </c>
      <c r="B175" s="381">
        <v>207728.75</v>
      </c>
      <c r="C175" s="491"/>
    </row>
    <row r="176" spans="1:3" x14ac:dyDescent="0.25">
      <c r="A176" s="252" t="s">
        <v>337</v>
      </c>
      <c r="B176" s="381">
        <v>669818</v>
      </c>
      <c r="C176" s="491"/>
    </row>
    <row r="177" spans="1:3" x14ac:dyDescent="0.25">
      <c r="A177" s="252" t="s">
        <v>835</v>
      </c>
      <c r="B177" s="381">
        <v>1000</v>
      </c>
      <c r="C177" s="491"/>
    </row>
    <row r="178" spans="1:3" x14ac:dyDescent="0.25">
      <c r="A178" s="252" t="s">
        <v>952</v>
      </c>
      <c r="B178" s="491"/>
      <c r="C178" s="381">
        <v>41400</v>
      </c>
    </row>
    <row r="179" spans="1:3" x14ac:dyDescent="0.25">
      <c r="A179" s="252" t="s">
        <v>338</v>
      </c>
      <c r="B179" s="381">
        <v>41500</v>
      </c>
      <c r="C179" s="491"/>
    </row>
    <row r="180" spans="1:3" x14ac:dyDescent="0.25">
      <c r="A180" s="252" t="s">
        <v>953</v>
      </c>
      <c r="B180" s="491"/>
      <c r="C180" s="381">
        <v>333200</v>
      </c>
    </row>
    <row r="181" spans="1:3" x14ac:dyDescent="0.25">
      <c r="A181" s="252" t="s">
        <v>341</v>
      </c>
      <c r="B181" s="491"/>
      <c r="C181" s="381">
        <v>35153</v>
      </c>
    </row>
    <row r="182" spans="1:3" x14ac:dyDescent="0.25">
      <c r="A182" s="252" t="s">
        <v>342</v>
      </c>
      <c r="B182" s="381">
        <v>14065</v>
      </c>
      <c r="C182" s="491"/>
    </row>
    <row r="183" spans="1:3" x14ac:dyDescent="0.25">
      <c r="A183" s="252" t="s">
        <v>343</v>
      </c>
      <c r="B183" s="381">
        <v>126171.98</v>
      </c>
      <c r="C183" s="491"/>
    </row>
    <row r="184" spans="1:3" x14ac:dyDescent="0.25">
      <c r="A184" s="252" t="s">
        <v>344</v>
      </c>
      <c r="B184" s="381">
        <v>387546.1</v>
      </c>
      <c r="C184" s="491"/>
    </row>
    <row r="185" spans="1:3" x14ac:dyDescent="0.25">
      <c r="A185" s="252" t="s">
        <v>345</v>
      </c>
      <c r="B185" s="381">
        <v>3129488</v>
      </c>
      <c r="C185" s="491"/>
    </row>
    <row r="186" spans="1:3" x14ac:dyDescent="0.25">
      <c r="A186" s="252" t="s">
        <v>346</v>
      </c>
      <c r="B186" s="491"/>
      <c r="C186" s="381">
        <v>2516918</v>
      </c>
    </row>
    <row r="187" spans="1:3" x14ac:dyDescent="0.25">
      <c r="A187" s="252" t="s">
        <v>347</v>
      </c>
      <c r="B187" s="562">
        <v>101368</v>
      </c>
      <c r="C187" s="491"/>
    </row>
    <row r="188" spans="1:3" x14ac:dyDescent="0.25">
      <c r="A188" s="252" t="s">
        <v>834</v>
      </c>
      <c r="B188" s="381">
        <v>5041999.0199999996</v>
      </c>
      <c r="C188" s="491"/>
    </row>
    <row r="189" spans="1:3" x14ac:dyDescent="0.25">
      <c r="A189" s="252" t="s">
        <v>348</v>
      </c>
      <c r="B189" s="491"/>
      <c r="C189" s="381">
        <v>267800</v>
      </c>
    </row>
    <row r="190" spans="1:3" x14ac:dyDescent="0.25">
      <c r="A190" s="252" t="s">
        <v>349</v>
      </c>
      <c r="B190" s="381">
        <v>73925</v>
      </c>
      <c r="C190" s="491"/>
    </row>
    <row r="191" spans="1:3" x14ac:dyDescent="0.25">
      <c r="A191" s="252" t="s">
        <v>350</v>
      </c>
      <c r="B191" s="381">
        <v>2851</v>
      </c>
      <c r="C191" s="491"/>
    </row>
    <row r="192" spans="1:3" x14ac:dyDescent="0.25">
      <c r="A192" s="252" t="s">
        <v>833</v>
      </c>
      <c r="B192" s="381">
        <v>5094</v>
      </c>
      <c r="C192" s="491"/>
    </row>
    <row r="193" spans="1:3" x14ac:dyDescent="0.25">
      <c r="A193" s="252" t="s">
        <v>351</v>
      </c>
      <c r="B193" s="491"/>
      <c r="C193" s="381">
        <v>184767</v>
      </c>
    </row>
    <row r="194" spans="1:3" x14ac:dyDescent="0.25">
      <c r="A194" s="252" t="s">
        <v>888</v>
      </c>
      <c r="B194" s="381">
        <v>636117</v>
      </c>
      <c r="C194" s="491"/>
    </row>
    <row r="195" spans="1:3" x14ac:dyDescent="0.25">
      <c r="A195" s="252" t="s">
        <v>353</v>
      </c>
      <c r="B195" s="381">
        <v>110000</v>
      </c>
      <c r="C195" s="491"/>
    </row>
    <row r="196" spans="1:3" x14ac:dyDescent="0.25">
      <c r="A196" s="252" t="s">
        <v>354</v>
      </c>
      <c r="B196" s="381">
        <v>59753.46</v>
      </c>
      <c r="C196" s="491"/>
    </row>
    <row r="197" spans="1:3" x14ac:dyDescent="0.25">
      <c r="A197" s="252" t="s">
        <v>955</v>
      </c>
      <c r="B197" s="491"/>
      <c r="C197" s="381">
        <v>1505</v>
      </c>
    </row>
    <row r="198" spans="1:3" x14ac:dyDescent="0.25">
      <c r="A198" s="252" t="s">
        <v>355</v>
      </c>
      <c r="B198" s="491"/>
      <c r="C198" s="381">
        <v>126124</v>
      </c>
    </row>
    <row r="199" spans="1:3" x14ac:dyDescent="0.25">
      <c r="A199" s="252" t="s">
        <v>956</v>
      </c>
      <c r="B199" s="491"/>
      <c r="C199" s="381">
        <v>84728</v>
      </c>
    </row>
    <row r="200" spans="1:3" x14ac:dyDescent="0.25">
      <c r="A200" s="252" t="s">
        <v>957</v>
      </c>
      <c r="B200" s="491"/>
      <c r="C200" s="381">
        <v>140675</v>
      </c>
    </row>
    <row r="201" spans="1:3" x14ac:dyDescent="0.25">
      <c r="A201" s="252" t="s">
        <v>356</v>
      </c>
      <c r="B201" s="491"/>
      <c r="C201" s="381">
        <v>66886</v>
      </c>
    </row>
    <row r="202" spans="1:3" x14ac:dyDescent="0.25">
      <c r="A202" s="252" t="s">
        <v>357</v>
      </c>
      <c r="B202" s="491"/>
      <c r="C202" s="381">
        <v>56990</v>
      </c>
    </row>
    <row r="203" spans="1:3" x14ac:dyDescent="0.25">
      <c r="A203" s="252" t="s">
        <v>958</v>
      </c>
      <c r="B203" s="491"/>
      <c r="C203" s="381">
        <v>18354</v>
      </c>
    </row>
    <row r="204" spans="1:3" x14ac:dyDescent="0.25">
      <c r="A204" s="252" t="s">
        <v>358</v>
      </c>
      <c r="B204" s="381">
        <v>17455090.5</v>
      </c>
      <c r="C204" s="491"/>
    </row>
    <row r="205" spans="1:3" x14ac:dyDescent="0.25">
      <c r="A205" s="252" t="s">
        <v>359</v>
      </c>
      <c r="B205" s="381">
        <v>1026868</v>
      </c>
      <c r="C205" s="491"/>
    </row>
    <row r="206" spans="1:3" x14ac:dyDescent="0.25">
      <c r="A206" s="252" t="s">
        <v>959</v>
      </c>
      <c r="B206" s="491"/>
      <c r="C206" s="381">
        <v>23469</v>
      </c>
    </row>
    <row r="207" spans="1:3" x14ac:dyDescent="0.25">
      <c r="A207" s="252" t="s">
        <v>360</v>
      </c>
      <c r="B207" s="381">
        <v>2354146</v>
      </c>
      <c r="C207" s="491"/>
    </row>
    <row r="208" spans="1:3" x14ac:dyDescent="0.25">
      <c r="A208" s="252" t="s">
        <v>361</v>
      </c>
      <c r="B208" s="491"/>
      <c r="C208" s="381">
        <v>291460</v>
      </c>
    </row>
    <row r="209" spans="1:3" x14ac:dyDescent="0.25">
      <c r="A209" s="252" t="s">
        <v>960</v>
      </c>
      <c r="B209" s="491"/>
      <c r="C209" s="381">
        <v>121304</v>
      </c>
    </row>
    <row r="210" spans="1:3" x14ac:dyDescent="0.25">
      <c r="A210" s="252" t="s">
        <v>362</v>
      </c>
      <c r="B210" s="381">
        <v>15000</v>
      </c>
      <c r="C210" s="491"/>
    </row>
    <row r="211" spans="1:3" x14ac:dyDescent="0.25">
      <c r="A211" s="252" t="s">
        <v>363</v>
      </c>
      <c r="B211" s="381">
        <v>3501405</v>
      </c>
      <c r="C211" s="491"/>
    </row>
    <row r="212" spans="1:3" x14ac:dyDescent="0.25">
      <c r="A212" s="252" t="s">
        <v>961</v>
      </c>
      <c r="B212" s="381">
        <v>5605</v>
      </c>
      <c r="C212" s="491"/>
    </row>
    <row r="213" spans="1:3" x14ac:dyDescent="0.25">
      <c r="A213" s="252" t="s">
        <v>364</v>
      </c>
      <c r="B213" s="381">
        <v>709287.5</v>
      </c>
      <c r="C213" s="491"/>
    </row>
    <row r="214" spans="1:3" x14ac:dyDescent="0.25">
      <c r="A214" s="252" t="s">
        <v>366</v>
      </c>
      <c r="B214" s="491"/>
      <c r="C214" s="381">
        <v>189428</v>
      </c>
    </row>
    <row r="215" spans="1:3" x14ac:dyDescent="0.25">
      <c r="A215" s="252" t="s">
        <v>367</v>
      </c>
      <c r="B215" s="381">
        <v>114269450.03</v>
      </c>
      <c r="C215" s="491"/>
    </row>
    <row r="216" spans="1:3" x14ac:dyDescent="0.25">
      <c r="A216" s="252" t="s">
        <v>574</v>
      </c>
      <c r="B216" s="491"/>
      <c r="C216" s="381">
        <v>526400</v>
      </c>
    </row>
    <row r="217" spans="1:3" x14ac:dyDescent="0.25">
      <c r="A217" s="252" t="s">
        <v>368</v>
      </c>
      <c r="B217" s="491"/>
      <c r="C217" s="381">
        <v>19799790</v>
      </c>
    </row>
    <row r="218" spans="1:3" x14ac:dyDescent="0.25">
      <c r="A218" s="252" t="s">
        <v>860</v>
      </c>
      <c r="B218" s="491"/>
      <c r="C218" s="381">
        <v>81396076.349999994</v>
      </c>
    </row>
    <row r="219" spans="1:3" x14ac:dyDescent="0.25">
      <c r="A219" s="252" t="s">
        <v>643</v>
      </c>
      <c r="B219" s="381">
        <v>288000</v>
      </c>
      <c r="C219" s="491"/>
    </row>
    <row r="220" spans="1:3" x14ac:dyDescent="0.25">
      <c r="A220" s="252" t="s">
        <v>962</v>
      </c>
      <c r="B220" s="381">
        <v>1029390</v>
      </c>
      <c r="C220" s="491"/>
    </row>
    <row r="221" spans="1:3" x14ac:dyDescent="0.25">
      <c r="A221" s="252" t="s">
        <v>963</v>
      </c>
      <c r="B221" s="491"/>
      <c r="C221" s="381">
        <v>247532.48</v>
      </c>
    </row>
    <row r="222" spans="1:3" x14ac:dyDescent="0.25">
      <c r="A222" s="252" t="s">
        <v>371</v>
      </c>
      <c r="B222" s="381">
        <v>685885</v>
      </c>
      <c r="C222" s="491"/>
    </row>
    <row r="223" spans="1:3" x14ac:dyDescent="0.25">
      <c r="A223" s="252" t="s">
        <v>372</v>
      </c>
      <c r="B223" s="491"/>
      <c r="C223" s="381">
        <v>198000</v>
      </c>
    </row>
    <row r="224" spans="1:3" x14ac:dyDescent="0.25">
      <c r="A224" s="252" t="s">
        <v>374</v>
      </c>
      <c r="B224" s="491"/>
      <c r="C224" s="381">
        <v>95768.8</v>
      </c>
    </row>
    <row r="225" spans="1:3" x14ac:dyDescent="0.25">
      <c r="A225" s="252" t="s">
        <v>376</v>
      </c>
      <c r="B225" s="381">
        <v>7191410.4699999997</v>
      </c>
      <c r="C225" s="491"/>
    </row>
    <row r="226" spans="1:3" x14ac:dyDescent="0.25">
      <c r="A226" s="252" t="s">
        <v>964</v>
      </c>
      <c r="B226" s="491"/>
      <c r="C226" s="381">
        <v>21600</v>
      </c>
    </row>
    <row r="227" spans="1:3" x14ac:dyDescent="0.25">
      <c r="A227" s="252" t="s">
        <v>379</v>
      </c>
      <c r="B227" s="491"/>
      <c r="C227" s="381">
        <v>247072</v>
      </c>
    </row>
    <row r="228" spans="1:3" x14ac:dyDescent="0.25">
      <c r="A228" s="252" t="s">
        <v>965</v>
      </c>
      <c r="B228" s="381">
        <v>191700</v>
      </c>
      <c r="C228" s="491"/>
    </row>
    <row r="229" spans="1:3" x14ac:dyDescent="0.25">
      <c r="A229" s="252" t="s">
        <v>380</v>
      </c>
      <c r="B229" s="381">
        <v>1758304</v>
      </c>
      <c r="C229" s="491"/>
    </row>
    <row r="230" spans="1:3" x14ac:dyDescent="0.25">
      <c r="A230" s="252" t="s">
        <v>578</v>
      </c>
      <c r="B230" s="381">
        <v>2749052</v>
      </c>
      <c r="C230" s="491"/>
    </row>
    <row r="231" spans="1:3" x14ac:dyDescent="0.25">
      <c r="A231" s="252" t="s">
        <v>1416</v>
      </c>
      <c r="B231" s="381">
        <v>30000</v>
      </c>
      <c r="C231" s="491"/>
    </row>
    <row r="232" spans="1:3" x14ac:dyDescent="0.25">
      <c r="A232" s="252" t="s">
        <v>381</v>
      </c>
      <c r="B232" s="381">
        <v>1831650</v>
      </c>
      <c r="C232" s="491"/>
    </row>
    <row r="233" spans="1:3" x14ac:dyDescent="0.25">
      <c r="A233" s="252" t="s">
        <v>382</v>
      </c>
      <c r="B233" s="381">
        <v>400</v>
      </c>
      <c r="C233" s="491"/>
    </row>
    <row r="234" spans="1:3" x14ac:dyDescent="0.25">
      <c r="A234" s="252" t="s">
        <v>383</v>
      </c>
      <c r="B234" s="381">
        <v>481638.07</v>
      </c>
      <c r="C234" s="491"/>
    </row>
    <row r="235" spans="1:3" x14ac:dyDescent="0.25">
      <c r="A235" s="252" t="s">
        <v>384</v>
      </c>
      <c r="B235" s="381">
        <v>2580021</v>
      </c>
      <c r="C235" s="491"/>
    </row>
    <row r="236" spans="1:3" x14ac:dyDescent="0.25">
      <c r="A236" s="252" t="s">
        <v>385</v>
      </c>
      <c r="B236" s="381">
        <v>10650</v>
      </c>
      <c r="C236" s="491"/>
    </row>
    <row r="237" spans="1:3" x14ac:dyDescent="0.25">
      <c r="A237" s="252" t="s">
        <v>386</v>
      </c>
      <c r="B237" s="381">
        <v>1509698</v>
      </c>
      <c r="C237" s="491"/>
    </row>
    <row r="238" spans="1:3" x14ac:dyDescent="0.25">
      <c r="A238" s="252" t="s">
        <v>387</v>
      </c>
      <c r="B238" s="491"/>
      <c r="C238" s="381">
        <v>80090</v>
      </c>
    </row>
    <row r="239" spans="1:3" x14ac:dyDescent="0.25">
      <c r="A239" s="252" t="s">
        <v>966</v>
      </c>
      <c r="B239" s="491"/>
      <c r="C239" s="381">
        <v>20898</v>
      </c>
    </row>
    <row r="240" spans="1:3" x14ac:dyDescent="0.25">
      <c r="A240" s="252" t="s">
        <v>388</v>
      </c>
      <c r="B240" s="491"/>
      <c r="C240" s="381">
        <v>2087507</v>
      </c>
    </row>
    <row r="241" spans="1:5" x14ac:dyDescent="0.25">
      <c r="A241" s="252" t="s">
        <v>389</v>
      </c>
      <c r="B241" s="381">
        <v>311345.36</v>
      </c>
      <c r="C241" s="491"/>
      <c r="E241" s="733">
        <f>+'Trial Balance CB'!C243+'Trial Balance CB'!C285+'Trial Balance CB'!C275+'Trial Balance CB'!C117+'Trial Balance CB'!C193</f>
        <v>4599565.34</v>
      </c>
    </row>
    <row r="242" spans="1:5" x14ac:dyDescent="0.25">
      <c r="A242" s="252" t="s">
        <v>390</v>
      </c>
      <c r="B242" s="491"/>
      <c r="C242" s="381">
        <v>3150</v>
      </c>
    </row>
    <row r="243" spans="1:5" x14ac:dyDescent="0.25">
      <c r="A243" s="252" t="s">
        <v>391</v>
      </c>
      <c r="B243" s="491"/>
      <c r="C243" s="562">
        <v>4361763</v>
      </c>
    </row>
    <row r="244" spans="1:5" x14ac:dyDescent="0.25">
      <c r="A244" s="252" t="s">
        <v>392</v>
      </c>
      <c r="B244" s="381">
        <v>72000</v>
      </c>
      <c r="C244" s="491"/>
    </row>
    <row r="245" spans="1:5" x14ac:dyDescent="0.25">
      <c r="A245" s="252" t="s">
        <v>393</v>
      </c>
      <c r="B245" s="491"/>
      <c r="C245" s="381">
        <v>17820</v>
      </c>
    </row>
    <row r="246" spans="1:5" x14ac:dyDescent="0.25">
      <c r="A246" s="252" t="s">
        <v>394</v>
      </c>
      <c r="B246" s="491"/>
      <c r="C246" s="381">
        <v>84052</v>
      </c>
    </row>
    <row r="247" spans="1:5" x14ac:dyDescent="0.25">
      <c r="A247" s="252" t="s">
        <v>395</v>
      </c>
      <c r="B247" s="381">
        <v>59075.06</v>
      </c>
      <c r="C247" s="491"/>
    </row>
    <row r="248" spans="1:5" x14ac:dyDescent="0.25">
      <c r="A248" s="252" t="s">
        <v>396</v>
      </c>
      <c r="B248" s="381">
        <v>2021760</v>
      </c>
      <c r="C248" s="491"/>
    </row>
    <row r="249" spans="1:5" x14ac:dyDescent="0.25">
      <c r="A249" s="252" t="s">
        <v>398</v>
      </c>
      <c r="B249" s="381">
        <v>275056</v>
      </c>
      <c r="C249" s="491"/>
    </row>
    <row r="250" spans="1:5" x14ac:dyDescent="0.25">
      <c r="A250" s="252" t="s">
        <v>399</v>
      </c>
      <c r="B250" s="381">
        <v>157764</v>
      </c>
      <c r="C250" s="491"/>
    </row>
    <row r="251" spans="1:5" x14ac:dyDescent="0.25">
      <c r="A251" s="252" t="s">
        <v>401</v>
      </c>
      <c r="B251" s="491"/>
      <c r="C251" s="381">
        <v>44840</v>
      </c>
    </row>
    <row r="252" spans="1:5" x14ac:dyDescent="0.25">
      <c r="A252" s="252" t="s">
        <v>968</v>
      </c>
      <c r="B252" s="491"/>
      <c r="C252" s="381">
        <v>8552</v>
      </c>
    </row>
    <row r="253" spans="1:5" x14ac:dyDescent="0.25">
      <c r="A253" s="252" t="s">
        <v>969</v>
      </c>
      <c r="B253" s="491"/>
      <c r="C253" s="381">
        <v>8178</v>
      </c>
    </row>
    <row r="254" spans="1:5" x14ac:dyDescent="0.25">
      <c r="A254" s="252" t="s">
        <v>402</v>
      </c>
      <c r="B254" s="381">
        <v>954414</v>
      </c>
      <c r="C254" s="491"/>
    </row>
    <row r="255" spans="1:5" x14ac:dyDescent="0.25">
      <c r="A255" s="252" t="s">
        <v>403</v>
      </c>
      <c r="B255" s="381">
        <v>32313799</v>
      </c>
      <c r="C255" s="491"/>
    </row>
    <row r="256" spans="1:5" x14ac:dyDescent="0.25">
      <c r="A256" s="252" t="s">
        <v>140</v>
      </c>
      <c r="B256" s="562">
        <v>1589845</v>
      </c>
      <c r="C256" s="491"/>
    </row>
    <row r="257" spans="1:3" x14ac:dyDescent="0.25">
      <c r="A257" s="252" t="s">
        <v>404</v>
      </c>
      <c r="B257" s="381">
        <v>494266.02</v>
      </c>
      <c r="C257" s="491"/>
    </row>
    <row r="258" spans="1:3" x14ac:dyDescent="0.25">
      <c r="A258" s="252" t="s">
        <v>405</v>
      </c>
      <c r="B258" s="381">
        <v>2419542.29</v>
      </c>
      <c r="C258" s="491"/>
    </row>
    <row r="259" spans="1:3" x14ac:dyDescent="0.25">
      <c r="A259" s="252" t="s">
        <v>406</v>
      </c>
      <c r="B259" s="491"/>
      <c r="C259" s="381">
        <v>8383.9</v>
      </c>
    </row>
    <row r="260" spans="1:3" x14ac:dyDescent="0.25">
      <c r="A260" s="252" t="s">
        <v>646</v>
      </c>
      <c r="B260" s="381">
        <v>1794</v>
      </c>
      <c r="C260" s="491"/>
    </row>
    <row r="261" spans="1:3" x14ac:dyDescent="0.25">
      <c r="A261" s="252" t="s">
        <v>407</v>
      </c>
      <c r="B261" s="381">
        <v>92500</v>
      </c>
      <c r="C261" s="491"/>
    </row>
    <row r="262" spans="1:3" x14ac:dyDescent="0.25">
      <c r="A262" s="252" t="s">
        <v>832</v>
      </c>
      <c r="B262" s="381">
        <v>100000</v>
      </c>
      <c r="C262" s="491"/>
    </row>
    <row r="263" spans="1:3" x14ac:dyDescent="0.25">
      <c r="A263" s="252" t="s">
        <v>408</v>
      </c>
      <c r="B263" s="491"/>
      <c r="C263" s="381">
        <v>215212520.99000001</v>
      </c>
    </row>
    <row r="264" spans="1:3" x14ac:dyDescent="0.25">
      <c r="A264" s="252" t="s">
        <v>409</v>
      </c>
      <c r="B264" s="491"/>
      <c r="C264" s="381">
        <v>26050</v>
      </c>
    </row>
    <row r="265" spans="1:3" x14ac:dyDescent="0.25">
      <c r="A265" s="252" t="s">
        <v>410</v>
      </c>
      <c r="B265" s="381">
        <v>54999</v>
      </c>
      <c r="C265" s="491"/>
    </row>
    <row r="266" spans="1:3" x14ac:dyDescent="0.25">
      <c r="A266" s="252" t="s">
        <v>831</v>
      </c>
      <c r="B266" s="381">
        <v>100270</v>
      </c>
      <c r="C266" s="491"/>
    </row>
    <row r="267" spans="1:3" x14ac:dyDescent="0.25">
      <c r="A267" s="252" t="s">
        <v>411</v>
      </c>
      <c r="B267" s="381">
        <v>905666</v>
      </c>
      <c r="C267" s="491"/>
    </row>
    <row r="268" spans="1:3" x14ac:dyDescent="0.25">
      <c r="A268" s="252" t="s">
        <v>413</v>
      </c>
      <c r="B268" s="381">
        <v>22126464.510000002</v>
      </c>
      <c r="C268" s="491"/>
    </row>
    <row r="269" spans="1:3" x14ac:dyDescent="0.25">
      <c r="A269" s="252" t="s">
        <v>852</v>
      </c>
      <c r="B269" s="381">
        <v>139881065</v>
      </c>
      <c r="C269" s="491"/>
    </row>
    <row r="270" spans="1:3" x14ac:dyDescent="0.25">
      <c r="A270" s="252" t="s">
        <v>414</v>
      </c>
      <c r="B270" s="491"/>
      <c r="C270" s="381">
        <v>91836</v>
      </c>
    </row>
    <row r="271" spans="1:3" x14ac:dyDescent="0.25">
      <c r="A271" s="252" t="s">
        <v>415</v>
      </c>
      <c r="B271" s="491"/>
      <c r="C271" s="381">
        <v>115279</v>
      </c>
    </row>
    <row r="272" spans="1:3" x14ac:dyDescent="0.25">
      <c r="A272" s="252" t="s">
        <v>416</v>
      </c>
      <c r="B272" s="491"/>
      <c r="C272" s="381">
        <v>108171</v>
      </c>
    </row>
    <row r="273" spans="1:3" x14ac:dyDescent="0.25">
      <c r="A273" s="252" t="s">
        <v>830</v>
      </c>
      <c r="B273" s="381">
        <v>1900</v>
      </c>
      <c r="C273" s="491"/>
    </row>
    <row r="274" spans="1:3" x14ac:dyDescent="0.25">
      <c r="A274" s="252" t="s">
        <v>971</v>
      </c>
      <c r="B274" s="491"/>
      <c r="C274" s="381">
        <v>29524</v>
      </c>
    </row>
    <row r="275" spans="1:3" x14ac:dyDescent="0.25">
      <c r="A275" s="252" t="s">
        <v>417</v>
      </c>
      <c r="B275" s="491"/>
      <c r="C275" s="381">
        <v>36816</v>
      </c>
    </row>
    <row r="276" spans="1:3" x14ac:dyDescent="0.25">
      <c r="A276" s="252" t="s">
        <v>418</v>
      </c>
      <c r="B276" s="381">
        <v>23423400</v>
      </c>
      <c r="C276" s="491"/>
    </row>
    <row r="277" spans="1:3" x14ac:dyDescent="0.25">
      <c r="A277" s="252" t="s">
        <v>419</v>
      </c>
      <c r="B277" s="381">
        <v>20156550.98</v>
      </c>
      <c r="C277" s="491"/>
    </row>
    <row r="278" spans="1:3" x14ac:dyDescent="0.25">
      <c r="A278" s="252" t="s">
        <v>420</v>
      </c>
      <c r="B278" s="381">
        <v>1767435.42</v>
      </c>
      <c r="C278" s="491"/>
    </row>
    <row r="279" spans="1:3" x14ac:dyDescent="0.25">
      <c r="A279" s="252" t="s">
        <v>201</v>
      </c>
      <c r="B279" s="491"/>
      <c r="C279" s="381">
        <v>31530868</v>
      </c>
    </row>
    <row r="280" spans="1:3" x14ac:dyDescent="0.25">
      <c r="A280" s="252" t="s">
        <v>421</v>
      </c>
      <c r="B280" s="381">
        <v>360000</v>
      </c>
      <c r="C280" s="491"/>
    </row>
    <row r="281" spans="1:3" x14ac:dyDescent="0.25">
      <c r="A281" s="252" t="s">
        <v>423</v>
      </c>
      <c r="B281" s="381">
        <v>12391644.800000001</v>
      </c>
      <c r="C281" s="491"/>
    </row>
    <row r="282" spans="1:3" x14ac:dyDescent="0.25">
      <c r="A282" s="252" t="s">
        <v>424</v>
      </c>
      <c r="B282" s="491"/>
      <c r="C282" s="381">
        <v>66358</v>
      </c>
    </row>
    <row r="283" spans="1:3" x14ac:dyDescent="0.25">
      <c r="A283" s="252" t="s">
        <v>426</v>
      </c>
      <c r="B283" s="381">
        <v>394.19</v>
      </c>
      <c r="C283" s="491"/>
    </row>
    <row r="284" spans="1:3" x14ac:dyDescent="0.25">
      <c r="A284" s="252" t="s">
        <v>428</v>
      </c>
      <c r="B284" s="491"/>
      <c r="C284" s="381">
        <v>24894</v>
      </c>
    </row>
    <row r="285" spans="1:3" x14ac:dyDescent="0.25">
      <c r="A285" s="252" t="s">
        <v>202</v>
      </c>
      <c r="B285" s="491"/>
      <c r="C285" s="381">
        <v>12074</v>
      </c>
    </row>
    <row r="286" spans="1:3" x14ac:dyDescent="0.25">
      <c r="A286" s="252" t="s">
        <v>429</v>
      </c>
      <c r="B286" s="381">
        <v>63394867</v>
      </c>
      <c r="C286" s="491"/>
    </row>
    <row r="287" spans="1:3" x14ac:dyDescent="0.25">
      <c r="A287" s="252" t="s">
        <v>972</v>
      </c>
      <c r="B287" s="381">
        <v>190000</v>
      </c>
      <c r="C287" s="491"/>
    </row>
    <row r="288" spans="1:3" x14ac:dyDescent="0.25">
      <c r="A288" s="252" t="s">
        <v>1417</v>
      </c>
      <c r="B288" s="491"/>
      <c r="C288" s="381">
        <v>14560</v>
      </c>
    </row>
    <row r="289" spans="1:4" x14ac:dyDescent="0.25">
      <c r="A289" s="252" t="s">
        <v>430</v>
      </c>
      <c r="B289" s="491"/>
      <c r="C289" s="381">
        <v>31510</v>
      </c>
    </row>
    <row r="290" spans="1:4" x14ac:dyDescent="0.25">
      <c r="A290" s="252" t="s">
        <v>432</v>
      </c>
      <c r="B290" s="491"/>
      <c r="C290" s="381">
        <v>21000</v>
      </c>
    </row>
    <row r="291" spans="1:4" x14ac:dyDescent="0.25">
      <c r="A291" s="252" t="s">
        <v>434</v>
      </c>
      <c r="B291" s="562">
        <v>98337</v>
      </c>
      <c r="C291" s="491"/>
      <c r="D291" s="733"/>
    </row>
    <row r="292" spans="1:4" x14ac:dyDescent="0.25">
      <c r="A292" s="252" t="s">
        <v>435</v>
      </c>
      <c r="B292" s="381">
        <v>1173753</v>
      </c>
      <c r="C292" s="491"/>
    </row>
    <row r="293" spans="1:4" x14ac:dyDescent="0.25">
      <c r="A293" s="252" t="s">
        <v>436</v>
      </c>
      <c r="B293" s="381">
        <v>24970</v>
      </c>
      <c r="C293" s="491"/>
    </row>
    <row r="294" spans="1:4" x14ac:dyDescent="0.25">
      <c r="A294" s="252" t="s">
        <v>437</v>
      </c>
      <c r="B294" s="491"/>
      <c r="C294" s="381">
        <v>145194733.59999999</v>
      </c>
    </row>
    <row r="295" spans="1:4" x14ac:dyDescent="0.25">
      <c r="A295" s="252" t="s">
        <v>438</v>
      </c>
      <c r="B295" s="491"/>
      <c r="C295" s="381">
        <v>7268083</v>
      </c>
    </row>
    <row r="296" spans="1:4" x14ac:dyDescent="0.25">
      <c r="A296" s="252" t="s">
        <v>439</v>
      </c>
      <c r="B296" s="491"/>
      <c r="C296" s="381">
        <v>170284955.33000001</v>
      </c>
    </row>
    <row r="297" spans="1:4" x14ac:dyDescent="0.25">
      <c r="A297" s="252" t="s">
        <v>442</v>
      </c>
      <c r="B297" s="491"/>
      <c r="C297" s="381">
        <v>619200</v>
      </c>
    </row>
    <row r="298" spans="1:4" x14ac:dyDescent="0.25">
      <c r="A298" s="252" t="s">
        <v>444</v>
      </c>
      <c r="B298" s="491"/>
      <c r="C298" s="381">
        <v>6157245</v>
      </c>
    </row>
    <row r="299" spans="1:4" x14ac:dyDescent="0.25">
      <c r="A299" s="252" t="s">
        <v>446</v>
      </c>
      <c r="B299" s="491"/>
      <c r="C299" s="381">
        <v>3121940</v>
      </c>
    </row>
    <row r="300" spans="1:4" x14ac:dyDescent="0.25">
      <c r="A300" s="252" t="s">
        <v>447</v>
      </c>
      <c r="B300" s="491"/>
      <c r="C300" s="381">
        <v>9153780</v>
      </c>
    </row>
    <row r="301" spans="1:4" x14ac:dyDescent="0.25">
      <c r="A301" s="252" t="s">
        <v>448</v>
      </c>
      <c r="B301" s="491"/>
      <c r="C301" s="381">
        <v>1975910</v>
      </c>
    </row>
    <row r="302" spans="1:4" x14ac:dyDescent="0.25">
      <c r="A302" s="252" t="s">
        <v>449</v>
      </c>
      <c r="B302" s="491"/>
      <c r="C302" s="381">
        <v>9498500</v>
      </c>
    </row>
    <row r="303" spans="1:4" x14ac:dyDescent="0.25">
      <c r="A303" s="252" t="s">
        <v>450</v>
      </c>
      <c r="B303" s="491"/>
      <c r="C303" s="381">
        <v>2036660</v>
      </c>
    </row>
    <row r="304" spans="1:4" x14ac:dyDescent="0.25">
      <c r="A304" s="252" t="s">
        <v>451</v>
      </c>
      <c r="B304" s="491"/>
      <c r="C304" s="381">
        <v>18947710</v>
      </c>
    </row>
    <row r="305" spans="1:3" x14ac:dyDescent="0.25">
      <c r="A305" s="252" t="s">
        <v>452</v>
      </c>
      <c r="B305" s="491"/>
      <c r="C305" s="381">
        <v>9017600</v>
      </c>
    </row>
    <row r="306" spans="1:3" x14ac:dyDescent="0.25">
      <c r="A306" s="252" t="s">
        <v>454</v>
      </c>
      <c r="B306" s="491"/>
      <c r="C306" s="381">
        <v>17546161</v>
      </c>
    </row>
    <row r="307" spans="1:3" x14ac:dyDescent="0.25">
      <c r="A307" s="252" t="s">
        <v>455</v>
      </c>
      <c r="B307" s="491"/>
      <c r="C307" s="381">
        <v>500000</v>
      </c>
    </row>
    <row r="308" spans="1:3" x14ac:dyDescent="0.25">
      <c r="A308" s="252" t="s">
        <v>973</v>
      </c>
      <c r="B308" s="381">
        <v>250000</v>
      </c>
      <c r="C308" s="491"/>
    </row>
    <row r="309" spans="1:3" x14ac:dyDescent="0.25">
      <c r="A309" s="252" t="s">
        <v>456</v>
      </c>
      <c r="B309" s="491"/>
      <c r="C309" s="381">
        <v>378971</v>
      </c>
    </row>
    <row r="310" spans="1:3" x14ac:dyDescent="0.25">
      <c r="A310" s="252" t="s">
        <v>974</v>
      </c>
      <c r="B310" s="491"/>
      <c r="C310" s="491"/>
    </row>
    <row r="311" spans="1:3" x14ac:dyDescent="0.25">
      <c r="A311" s="252" t="s">
        <v>975</v>
      </c>
      <c r="B311" s="491"/>
      <c r="C311" s="381">
        <v>92556</v>
      </c>
    </row>
    <row r="312" spans="1:3" x14ac:dyDescent="0.25">
      <c r="A312" s="252" t="s">
        <v>458</v>
      </c>
      <c r="B312" s="491"/>
      <c r="C312" s="381">
        <v>429992</v>
      </c>
    </row>
    <row r="313" spans="1:3" x14ac:dyDescent="0.25">
      <c r="A313" s="252" t="s">
        <v>828</v>
      </c>
      <c r="B313" s="381">
        <v>25000</v>
      </c>
      <c r="C313" s="491"/>
    </row>
    <row r="314" spans="1:3" x14ac:dyDescent="0.25">
      <c r="A314" s="252" t="s">
        <v>1418</v>
      </c>
      <c r="B314" s="491"/>
      <c r="C314" s="381">
        <v>40500</v>
      </c>
    </row>
    <row r="315" spans="1:3" x14ac:dyDescent="0.25">
      <c r="A315" s="252" t="s">
        <v>459</v>
      </c>
      <c r="B315" s="381">
        <v>212220</v>
      </c>
      <c r="C315" s="491"/>
    </row>
    <row r="316" spans="1:3" x14ac:dyDescent="0.25">
      <c r="A316" s="252" t="s">
        <v>460</v>
      </c>
      <c r="B316" s="381">
        <v>137664.54</v>
      </c>
      <c r="C316" s="491"/>
    </row>
    <row r="317" spans="1:3" x14ac:dyDescent="0.25">
      <c r="A317" s="252" t="s">
        <v>462</v>
      </c>
      <c r="B317" s="491"/>
      <c r="C317" s="381">
        <v>11640</v>
      </c>
    </row>
    <row r="318" spans="1:3" x14ac:dyDescent="0.25">
      <c r="A318" s="252" t="s">
        <v>647</v>
      </c>
      <c r="B318" s="381">
        <v>237500</v>
      </c>
      <c r="C318" s="491"/>
    </row>
    <row r="319" spans="1:3" x14ac:dyDescent="0.25">
      <c r="A319" s="252" t="s">
        <v>463</v>
      </c>
      <c r="B319" s="381">
        <v>10800</v>
      </c>
      <c r="C319" s="491"/>
    </row>
    <row r="320" spans="1:3" x14ac:dyDescent="0.25">
      <c r="A320" s="252" t="s">
        <v>465</v>
      </c>
      <c r="B320" s="381">
        <v>34800</v>
      </c>
      <c r="C320" s="491"/>
    </row>
    <row r="321" spans="1:3" x14ac:dyDescent="0.25">
      <c r="A321" s="252" t="s">
        <v>467</v>
      </c>
      <c r="B321" s="491"/>
      <c r="C321" s="381">
        <v>68151.600000000006</v>
      </c>
    </row>
    <row r="322" spans="1:3" x14ac:dyDescent="0.25">
      <c r="A322" s="252" t="s">
        <v>976</v>
      </c>
      <c r="B322" s="491"/>
      <c r="C322" s="381">
        <v>71820</v>
      </c>
    </row>
    <row r="323" spans="1:3" x14ac:dyDescent="0.25">
      <c r="A323" s="252" t="s">
        <v>470</v>
      </c>
      <c r="B323" s="381">
        <v>3600</v>
      </c>
      <c r="C323" s="491"/>
    </row>
    <row r="324" spans="1:3" x14ac:dyDescent="0.25">
      <c r="A324" s="252" t="s">
        <v>471</v>
      </c>
      <c r="B324" s="381">
        <v>661712</v>
      </c>
      <c r="C324" s="491"/>
    </row>
    <row r="325" spans="1:3" x14ac:dyDescent="0.25">
      <c r="A325" s="252" t="s">
        <v>472</v>
      </c>
      <c r="B325" s="381">
        <v>11594</v>
      </c>
      <c r="C325" s="491"/>
    </row>
    <row r="326" spans="1:3" x14ac:dyDescent="0.25">
      <c r="A326" s="252" t="s">
        <v>473</v>
      </c>
      <c r="B326" s="381">
        <v>22250</v>
      </c>
      <c r="C326" s="491"/>
    </row>
    <row r="327" spans="1:3" x14ac:dyDescent="0.25">
      <c r="A327" s="252" t="s">
        <v>198</v>
      </c>
      <c r="B327" s="381">
        <v>98473</v>
      </c>
      <c r="C327" s="491"/>
    </row>
    <row r="328" spans="1:3" x14ac:dyDescent="0.25">
      <c r="A328" s="252" t="s">
        <v>474</v>
      </c>
      <c r="B328" s="381">
        <v>1200</v>
      </c>
      <c r="C328" s="491"/>
    </row>
    <row r="329" spans="1:3" x14ac:dyDescent="0.25">
      <c r="A329" s="252" t="s">
        <v>827</v>
      </c>
      <c r="B329" s="381">
        <v>1500</v>
      </c>
      <c r="C329" s="491"/>
    </row>
    <row r="330" spans="1:3" x14ac:dyDescent="0.25">
      <c r="A330" s="252" t="s">
        <v>475</v>
      </c>
      <c r="B330" s="381">
        <v>224238.38</v>
      </c>
      <c r="C330" s="491"/>
    </row>
    <row r="331" spans="1:3" x14ac:dyDescent="0.25">
      <c r="A331" s="252" t="s">
        <v>476</v>
      </c>
      <c r="B331" s="381">
        <v>650000</v>
      </c>
      <c r="C331" s="491"/>
    </row>
    <row r="332" spans="1:3" x14ac:dyDescent="0.25">
      <c r="A332" s="252" t="s">
        <v>477</v>
      </c>
      <c r="B332" s="381">
        <v>2045616.04</v>
      </c>
      <c r="C332" s="491"/>
    </row>
    <row r="333" spans="1:3" x14ac:dyDescent="0.25">
      <c r="A333" s="252" t="s">
        <v>478</v>
      </c>
      <c r="B333" s="381">
        <v>4854600</v>
      </c>
      <c r="C333" s="491"/>
    </row>
    <row r="334" spans="1:3" x14ac:dyDescent="0.25">
      <c r="A334" s="252" t="s">
        <v>590</v>
      </c>
      <c r="B334" s="491"/>
      <c r="C334" s="381">
        <v>62835</v>
      </c>
    </row>
    <row r="335" spans="1:3" x14ac:dyDescent="0.25">
      <c r="A335" s="252" t="s">
        <v>480</v>
      </c>
      <c r="B335" s="381">
        <v>2484803</v>
      </c>
      <c r="C335" s="491"/>
    </row>
    <row r="336" spans="1:3" x14ac:dyDescent="0.25">
      <c r="A336" s="252" t="s">
        <v>481</v>
      </c>
      <c r="B336" s="381">
        <v>1821092</v>
      </c>
      <c r="C336" s="491"/>
    </row>
    <row r="337" spans="1:4" x14ac:dyDescent="0.25">
      <c r="A337" s="252" t="s">
        <v>826</v>
      </c>
      <c r="B337" s="381">
        <v>10000</v>
      </c>
      <c r="C337" s="491"/>
    </row>
    <row r="338" spans="1:4" x14ac:dyDescent="0.25">
      <c r="A338" s="252" t="s">
        <v>482</v>
      </c>
      <c r="B338" s="491"/>
      <c r="C338" s="381">
        <v>602379</v>
      </c>
    </row>
    <row r="339" spans="1:4" x14ac:dyDescent="0.25">
      <c r="A339" s="252" t="s">
        <v>483</v>
      </c>
      <c r="B339" s="562">
        <v>13980.75</v>
      </c>
      <c r="C339" s="491"/>
    </row>
    <row r="340" spans="1:4" x14ac:dyDescent="0.25">
      <c r="A340" s="252" t="s">
        <v>484</v>
      </c>
      <c r="B340" s="562">
        <v>11285077</v>
      </c>
      <c r="C340" s="491"/>
    </row>
    <row r="341" spans="1:4" x14ac:dyDescent="0.25">
      <c r="A341" s="252" t="s">
        <v>485</v>
      </c>
      <c r="B341" s="491"/>
      <c r="C341" s="381">
        <v>2987</v>
      </c>
    </row>
    <row r="342" spans="1:4" x14ac:dyDescent="0.25">
      <c r="A342" s="252" t="s">
        <v>486</v>
      </c>
      <c r="B342" s="491"/>
      <c r="C342" s="381">
        <v>358432</v>
      </c>
    </row>
    <row r="343" spans="1:4" x14ac:dyDescent="0.25">
      <c r="A343" s="252" t="s">
        <v>487</v>
      </c>
      <c r="B343" s="491"/>
      <c r="C343" s="381">
        <v>165900</v>
      </c>
    </row>
    <row r="344" spans="1:4" x14ac:dyDescent="0.25">
      <c r="A344" s="252" t="s">
        <v>488</v>
      </c>
      <c r="B344" s="491"/>
      <c r="C344" s="381">
        <v>743350</v>
      </c>
    </row>
    <row r="345" spans="1:4" x14ac:dyDescent="0.25">
      <c r="A345" s="252" t="s">
        <v>489</v>
      </c>
      <c r="B345" s="491"/>
      <c r="C345" s="381">
        <v>23351</v>
      </c>
    </row>
    <row r="346" spans="1:4" x14ac:dyDescent="0.25">
      <c r="A346" s="252" t="s">
        <v>490</v>
      </c>
      <c r="B346" s="562">
        <v>11717929.189999999</v>
      </c>
      <c r="C346" s="491"/>
    </row>
    <row r="347" spans="1:4" x14ac:dyDescent="0.25">
      <c r="A347" s="252" t="s">
        <v>592</v>
      </c>
      <c r="B347" s="491"/>
      <c r="C347" s="381">
        <v>787650</v>
      </c>
    </row>
    <row r="348" spans="1:4" x14ac:dyDescent="0.25">
      <c r="A348" s="252" t="s">
        <v>492</v>
      </c>
      <c r="B348" s="381">
        <v>335978.02</v>
      </c>
      <c r="C348" s="491"/>
    </row>
    <row r="349" spans="1:4" x14ac:dyDescent="0.25">
      <c r="A349" s="252" t="s">
        <v>493</v>
      </c>
      <c r="B349" s="491"/>
      <c r="C349" s="381">
        <v>602279</v>
      </c>
    </row>
    <row r="350" spans="1:4" x14ac:dyDescent="0.25">
      <c r="A350" s="252" t="s">
        <v>494</v>
      </c>
      <c r="B350" s="381">
        <v>6194750.6600000001</v>
      </c>
      <c r="C350" s="491"/>
    </row>
    <row r="351" spans="1:4" x14ac:dyDescent="0.25">
      <c r="A351" s="252" t="s">
        <v>495</v>
      </c>
      <c r="B351" s="491"/>
      <c r="C351" s="381">
        <v>602279</v>
      </c>
    </row>
    <row r="352" spans="1:4" x14ac:dyDescent="0.25">
      <c r="A352" s="252" t="s">
        <v>496</v>
      </c>
      <c r="B352" s="562">
        <v>5000000</v>
      </c>
      <c r="C352" s="491"/>
      <c r="D352" s="733"/>
    </row>
    <row r="353" spans="1:3" x14ac:dyDescent="0.25">
      <c r="A353" s="252" t="s">
        <v>497</v>
      </c>
      <c r="B353" s="381">
        <v>1169210</v>
      </c>
      <c r="C353" s="491"/>
    </row>
    <row r="354" spans="1:3" x14ac:dyDescent="0.25">
      <c r="A354" s="252" t="s">
        <v>498</v>
      </c>
      <c r="B354" s="381">
        <v>141640</v>
      </c>
      <c r="C354" s="491"/>
    </row>
    <row r="355" spans="1:3" x14ac:dyDescent="0.25">
      <c r="A355" s="252" t="s">
        <v>499</v>
      </c>
      <c r="B355" s="381">
        <v>351574</v>
      </c>
      <c r="C355" s="491"/>
    </row>
    <row r="356" spans="1:3" x14ac:dyDescent="0.25">
      <c r="A356" s="252" t="s">
        <v>500</v>
      </c>
      <c r="B356" s="381">
        <v>1046782.92</v>
      </c>
      <c r="C356" s="491"/>
    </row>
    <row r="357" spans="1:3" x14ac:dyDescent="0.25">
      <c r="A357" s="252" t="s">
        <v>501</v>
      </c>
      <c r="B357" s="381">
        <v>133986</v>
      </c>
      <c r="C357" s="491"/>
    </row>
    <row r="358" spans="1:3" x14ac:dyDescent="0.25">
      <c r="A358" s="252" t="s">
        <v>502</v>
      </c>
      <c r="B358" s="381">
        <v>143000</v>
      </c>
      <c r="C358" s="491"/>
    </row>
    <row r="359" spans="1:3" x14ac:dyDescent="0.25">
      <c r="A359" s="252" t="s">
        <v>503</v>
      </c>
      <c r="B359" s="491"/>
      <c r="C359" s="381">
        <v>10890</v>
      </c>
    </row>
    <row r="360" spans="1:3" x14ac:dyDescent="0.25">
      <c r="A360" s="252" t="s">
        <v>504</v>
      </c>
      <c r="B360" s="491"/>
      <c r="C360" s="381">
        <v>1031682</v>
      </c>
    </row>
    <row r="361" spans="1:3" x14ac:dyDescent="0.25">
      <c r="A361" s="252" t="s">
        <v>505</v>
      </c>
      <c r="B361" s="381">
        <v>220540.26</v>
      </c>
      <c r="C361" s="491"/>
    </row>
    <row r="362" spans="1:3" x14ac:dyDescent="0.25">
      <c r="A362" s="252" t="s">
        <v>507</v>
      </c>
      <c r="B362" s="381">
        <v>1540747.54</v>
      </c>
      <c r="C362" s="491"/>
    </row>
    <row r="363" spans="1:3" x14ac:dyDescent="0.25">
      <c r="A363" s="252" t="s">
        <v>509</v>
      </c>
      <c r="B363" s="491"/>
      <c r="C363" s="381">
        <v>148500</v>
      </c>
    </row>
    <row r="364" spans="1:3" x14ac:dyDescent="0.25">
      <c r="A364" s="252" t="s">
        <v>978</v>
      </c>
      <c r="B364" s="491"/>
      <c r="C364" s="381">
        <v>734811</v>
      </c>
    </row>
    <row r="365" spans="1:3" x14ac:dyDescent="0.25">
      <c r="A365" s="252" t="s">
        <v>595</v>
      </c>
      <c r="B365" s="381">
        <v>31860</v>
      </c>
      <c r="C365" s="491"/>
    </row>
    <row r="366" spans="1:3" x14ac:dyDescent="0.25">
      <c r="A366" s="252" t="s">
        <v>979</v>
      </c>
      <c r="B366" s="491"/>
      <c r="C366" s="381">
        <v>5074</v>
      </c>
    </row>
    <row r="367" spans="1:3" x14ac:dyDescent="0.25">
      <c r="A367" s="252" t="s">
        <v>511</v>
      </c>
      <c r="B367" s="491"/>
      <c r="C367" s="381">
        <v>343015</v>
      </c>
    </row>
    <row r="368" spans="1:3" x14ac:dyDescent="0.25">
      <c r="A368" s="252" t="s">
        <v>512</v>
      </c>
      <c r="B368" s="491"/>
      <c r="C368" s="381">
        <v>61950</v>
      </c>
    </row>
    <row r="369" spans="1:3" x14ac:dyDescent="0.25">
      <c r="A369" s="252" t="s">
        <v>980</v>
      </c>
      <c r="B369" s="491"/>
      <c r="C369" s="381">
        <v>59991.199999999997</v>
      </c>
    </row>
    <row r="370" spans="1:3" x14ac:dyDescent="0.25">
      <c r="A370" s="252" t="s">
        <v>513</v>
      </c>
      <c r="B370" s="381">
        <v>1663800</v>
      </c>
      <c r="C370" s="491"/>
    </row>
    <row r="371" spans="1:3" x14ac:dyDescent="0.25">
      <c r="A371" s="252" t="s">
        <v>514</v>
      </c>
      <c r="B371" s="381">
        <v>1323766</v>
      </c>
      <c r="C371" s="491"/>
    </row>
    <row r="372" spans="1:3" x14ac:dyDescent="0.25">
      <c r="A372" s="252" t="s">
        <v>515</v>
      </c>
      <c r="B372" s="381">
        <v>29552693</v>
      </c>
      <c r="C372" s="491"/>
    </row>
    <row r="373" spans="1:3" x14ac:dyDescent="0.25">
      <c r="A373" s="252" t="s">
        <v>516</v>
      </c>
      <c r="B373" s="381">
        <v>236388</v>
      </c>
      <c r="C373" s="491"/>
    </row>
    <row r="374" spans="1:3" x14ac:dyDescent="0.25">
      <c r="A374" s="252" t="s">
        <v>517</v>
      </c>
      <c r="B374" s="381">
        <v>6143625</v>
      </c>
      <c r="C374" s="491"/>
    </row>
    <row r="375" spans="1:3" x14ac:dyDescent="0.25">
      <c r="A375" s="252" t="s">
        <v>518</v>
      </c>
      <c r="B375" s="381">
        <v>277430</v>
      </c>
      <c r="C375" s="491"/>
    </row>
    <row r="376" spans="1:3" x14ac:dyDescent="0.25">
      <c r="A376" s="252" t="s">
        <v>519</v>
      </c>
      <c r="B376" s="381">
        <v>123838.41</v>
      </c>
      <c r="C376" s="491"/>
    </row>
    <row r="377" spans="1:3" x14ac:dyDescent="0.25">
      <c r="A377" s="252" t="s">
        <v>521</v>
      </c>
      <c r="B377" s="381">
        <v>984375</v>
      </c>
      <c r="C377" s="491"/>
    </row>
    <row r="378" spans="1:3" x14ac:dyDescent="0.25">
      <c r="A378" s="252" t="s">
        <v>522</v>
      </c>
      <c r="B378" s="381">
        <v>79758</v>
      </c>
      <c r="C378" s="491"/>
    </row>
    <row r="379" spans="1:3" x14ac:dyDescent="0.25">
      <c r="A379" s="252" t="s">
        <v>524</v>
      </c>
      <c r="B379" s="381">
        <v>3742649.62</v>
      </c>
      <c r="C379" s="491"/>
    </row>
    <row r="380" spans="1:3" x14ac:dyDescent="0.25">
      <c r="A380" s="252" t="s">
        <v>525</v>
      </c>
      <c r="B380" s="381">
        <v>54490</v>
      </c>
      <c r="C380" s="491"/>
    </row>
    <row r="381" spans="1:3" x14ac:dyDescent="0.25">
      <c r="A381" s="252" t="s">
        <v>526</v>
      </c>
      <c r="B381" s="491"/>
      <c r="C381" s="381">
        <v>554045.6</v>
      </c>
    </row>
    <row r="382" spans="1:3" x14ac:dyDescent="0.25">
      <c r="A382" s="252" t="s">
        <v>527</v>
      </c>
      <c r="B382" s="491"/>
      <c r="C382" s="381">
        <v>80000</v>
      </c>
    </row>
    <row r="383" spans="1:3" x14ac:dyDescent="0.25">
      <c r="A383" s="252" t="s">
        <v>528</v>
      </c>
      <c r="B383" s="491"/>
      <c r="C383" s="381">
        <v>700200.29</v>
      </c>
    </row>
    <row r="384" spans="1:3" x14ac:dyDescent="0.25">
      <c r="A384" s="252" t="s">
        <v>529</v>
      </c>
      <c r="B384" s="491"/>
      <c r="C384" s="381">
        <v>26353.37</v>
      </c>
    </row>
    <row r="385" spans="1:3" x14ac:dyDescent="0.25">
      <c r="A385" s="252" t="s">
        <v>530</v>
      </c>
      <c r="B385" s="381">
        <v>194240</v>
      </c>
      <c r="C385" s="491"/>
    </row>
    <row r="386" spans="1:3" x14ac:dyDescent="0.25">
      <c r="A386" s="252" t="s">
        <v>531</v>
      </c>
      <c r="B386" s="491"/>
      <c r="C386" s="381">
        <v>1201500</v>
      </c>
    </row>
    <row r="387" spans="1:3" x14ac:dyDescent="0.25">
      <c r="A387" s="252" t="s">
        <v>981</v>
      </c>
      <c r="B387" s="381">
        <v>7332306</v>
      </c>
      <c r="C387" s="491"/>
    </row>
    <row r="388" spans="1:3" x14ac:dyDescent="0.25">
      <c r="A388" s="264" t="s">
        <v>597</v>
      </c>
      <c r="B388" s="491"/>
      <c r="C388" s="381">
        <v>2517845.7999999998</v>
      </c>
    </row>
    <row r="389" spans="1:3" x14ac:dyDescent="0.25">
      <c r="A389" s="1087" t="s">
        <v>203</v>
      </c>
      <c r="B389" s="529">
        <v>859605945.64999998</v>
      </c>
      <c r="C389" s="529">
        <v>859605945.64999998</v>
      </c>
    </row>
  </sheetData>
  <mergeCells count="6">
    <mergeCell ref="B6:C6"/>
    <mergeCell ref="A1:C1"/>
    <mergeCell ref="A2:C2"/>
    <mergeCell ref="A3:C3"/>
    <mergeCell ref="B4:C4"/>
    <mergeCell ref="B5:C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O107"/>
  <sheetViews>
    <sheetView topLeftCell="E3" workbookViewId="0">
      <selection activeCell="O23" sqref="O23"/>
    </sheetView>
  </sheetViews>
  <sheetFormatPr defaultColWidth="9" defaultRowHeight="15" x14ac:dyDescent="0.25"/>
  <cols>
    <col min="1" max="1" width="17" style="352" bestFit="1" customWidth="1"/>
    <col min="2" max="2" width="29.5703125" style="352" bestFit="1" customWidth="1"/>
    <col min="3" max="3" width="14.42578125" style="352" bestFit="1" customWidth="1"/>
    <col min="4" max="4" width="15.5703125" style="352" bestFit="1" customWidth="1"/>
    <col min="5" max="5" width="22.42578125" style="352" bestFit="1" customWidth="1"/>
    <col min="6" max="6" width="19.5703125" style="352" bestFit="1" customWidth="1"/>
    <col min="7" max="10" width="9" style="352"/>
    <col min="11" max="11" width="10.140625" style="352" bestFit="1" customWidth="1"/>
    <col min="12" max="12" width="23" style="352" bestFit="1" customWidth="1"/>
    <col min="13" max="13" width="30.42578125" style="352" bestFit="1" customWidth="1"/>
    <col min="14" max="14" width="29.42578125" style="352" bestFit="1" customWidth="1"/>
    <col min="15" max="16384" width="9" style="352"/>
  </cols>
  <sheetData>
    <row r="2" spans="1:15" x14ac:dyDescent="0.25">
      <c r="A2" s="350" t="s">
        <v>733</v>
      </c>
      <c r="B2" s="350" t="s">
        <v>734</v>
      </c>
      <c r="C2" s="350" t="s">
        <v>102</v>
      </c>
      <c r="D2" s="350" t="s">
        <v>735</v>
      </c>
      <c r="E2" s="350" t="s">
        <v>736</v>
      </c>
      <c r="F2" s="351" t="s">
        <v>737</v>
      </c>
    </row>
    <row r="3" spans="1:15" x14ac:dyDescent="0.25">
      <c r="A3" s="353" t="s">
        <v>738</v>
      </c>
      <c r="B3" s="354" t="s">
        <v>224</v>
      </c>
      <c r="C3" s="1093">
        <f>+'Trial Balance CB'!C40</f>
        <v>193740.9</v>
      </c>
      <c r="D3" s="353" t="s">
        <v>744</v>
      </c>
      <c r="E3" s="353"/>
      <c r="F3" s="356">
        <f>C3</f>
        <v>193740.9</v>
      </c>
    </row>
    <row r="4" spans="1:15" x14ac:dyDescent="0.25">
      <c r="A4" s="353" t="s">
        <v>738</v>
      </c>
      <c r="B4" s="354" t="s">
        <v>546</v>
      </c>
      <c r="C4" s="1093">
        <f>+'Trial Balance CB'!C42</f>
        <v>63362</v>
      </c>
      <c r="D4" s="353" t="s">
        <v>745</v>
      </c>
      <c r="E4" s="353"/>
      <c r="F4" s="356">
        <f t="shared" ref="F4" si="0">C4</f>
        <v>63362</v>
      </c>
    </row>
    <row r="5" spans="1:15" x14ac:dyDescent="0.25">
      <c r="A5" s="353" t="s">
        <v>738</v>
      </c>
      <c r="B5" s="354" t="s">
        <v>248</v>
      </c>
      <c r="C5" s="1093">
        <f>+'Trial Balance CB'!C66</f>
        <v>612601.11</v>
      </c>
      <c r="D5" s="353" t="s">
        <v>744</v>
      </c>
      <c r="E5" s="353"/>
      <c r="F5" s="356">
        <f t="shared" ref="F5:F6" si="1">C5</f>
        <v>612601.11</v>
      </c>
      <c r="L5"/>
      <c r="M5"/>
      <c r="N5"/>
    </row>
    <row r="6" spans="1:15" x14ac:dyDescent="0.25">
      <c r="A6" s="353" t="s">
        <v>738</v>
      </c>
      <c r="B6" s="354" t="s">
        <v>374</v>
      </c>
      <c r="C6" s="1093">
        <f>+'Trial Balance CB'!C224</f>
        <v>95768.8</v>
      </c>
      <c r="D6" s="353" t="s">
        <v>744</v>
      </c>
      <c r="E6" s="353"/>
      <c r="F6" s="356">
        <f t="shared" si="1"/>
        <v>95768.8</v>
      </c>
      <c r="L6"/>
      <c r="M6"/>
      <c r="N6"/>
    </row>
    <row r="7" spans="1:15" x14ac:dyDescent="0.25">
      <c r="A7" s="353" t="s">
        <v>738</v>
      </c>
      <c r="B7" s="354" t="s">
        <v>387</v>
      </c>
      <c r="C7" s="1093">
        <f>+'Trial Balance CB'!C238</f>
        <v>80090</v>
      </c>
      <c r="D7" s="353" t="s">
        <v>742</v>
      </c>
      <c r="E7" s="353">
        <v>80090</v>
      </c>
      <c r="F7" s="353"/>
      <c r="L7" s="726" t="s">
        <v>739</v>
      </c>
      <c r="M7" t="s">
        <v>740</v>
      </c>
      <c r="N7" t="s">
        <v>741</v>
      </c>
    </row>
    <row r="8" spans="1:15" x14ac:dyDescent="0.25">
      <c r="A8" s="353" t="s">
        <v>738</v>
      </c>
      <c r="B8" s="354" t="s">
        <v>414</v>
      </c>
      <c r="C8" s="1093">
        <f>+'Trial Balance CB'!C270</f>
        <v>91836</v>
      </c>
      <c r="D8" s="353" t="s">
        <v>742</v>
      </c>
      <c r="E8" s="353">
        <v>91836</v>
      </c>
      <c r="F8" s="353"/>
      <c r="L8" s="359" t="s">
        <v>742</v>
      </c>
      <c r="M8">
        <v>344195</v>
      </c>
      <c r="N8">
        <v>4931198.8000000007</v>
      </c>
    </row>
    <row r="9" spans="1:15" x14ac:dyDescent="0.25">
      <c r="A9" s="353" t="s">
        <v>738</v>
      </c>
      <c r="B9" s="354" t="s">
        <v>415</v>
      </c>
      <c r="C9" s="1093">
        <f>+'Trial Balance CB'!C271</f>
        <v>115279</v>
      </c>
      <c r="D9" s="353" t="s">
        <v>742</v>
      </c>
      <c r="E9" s="353">
        <v>115279</v>
      </c>
      <c r="F9" s="353"/>
      <c r="L9" s="360" t="s">
        <v>738</v>
      </c>
      <c r="M9">
        <v>287205</v>
      </c>
      <c r="N9">
        <v>-62</v>
      </c>
    </row>
    <row r="10" spans="1:15" x14ac:dyDescent="0.25">
      <c r="A10" s="353" t="s">
        <v>738</v>
      </c>
      <c r="B10" s="354" t="s">
        <v>430</v>
      </c>
      <c r="C10" s="1093">
        <f>+'Trial Balance CB'!C289</f>
        <v>31510</v>
      </c>
      <c r="D10" s="353" t="s">
        <v>744</v>
      </c>
      <c r="E10" s="353">
        <v>31510</v>
      </c>
      <c r="F10" s="353"/>
      <c r="L10" s="360" t="s">
        <v>743</v>
      </c>
      <c r="M10">
        <v>56990</v>
      </c>
      <c r="N10">
        <v>4931260.8000000007</v>
      </c>
    </row>
    <row r="11" spans="1:15" x14ac:dyDescent="0.25">
      <c r="A11" s="353" t="s">
        <v>738</v>
      </c>
      <c r="B11" s="354" t="s">
        <v>458</v>
      </c>
      <c r="C11" s="1093">
        <f>+'Trial Balance CB'!C312</f>
        <v>429992</v>
      </c>
      <c r="D11" s="353" t="s">
        <v>744</v>
      </c>
      <c r="E11" s="353"/>
      <c r="F11" s="356">
        <f t="shared" ref="F11:F34" si="2">C11</f>
        <v>429992</v>
      </c>
      <c r="L11" s="359" t="s">
        <v>744</v>
      </c>
      <c r="M11">
        <v>31510</v>
      </c>
      <c r="N11">
        <v>4735979.95</v>
      </c>
    </row>
    <row r="12" spans="1:15" x14ac:dyDescent="0.25">
      <c r="A12" s="353" t="s">
        <v>738</v>
      </c>
      <c r="B12" s="354" t="s">
        <v>1420</v>
      </c>
      <c r="C12" s="1093">
        <f>+'Trial Balance CB'!C62</f>
        <v>90000</v>
      </c>
      <c r="D12" s="353" t="s">
        <v>742</v>
      </c>
      <c r="E12" s="353"/>
      <c r="F12" s="356">
        <f t="shared" si="2"/>
        <v>90000</v>
      </c>
      <c r="L12" s="360" t="s">
        <v>738</v>
      </c>
      <c r="M12">
        <v>31510</v>
      </c>
      <c r="N12">
        <v>1332102.81</v>
      </c>
    </row>
    <row r="13" spans="1:15" x14ac:dyDescent="0.25">
      <c r="A13" s="353" t="s">
        <v>743</v>
      </c>
      <c r="B13" s="252" t="s">
        <v>908</v>
      </c>
      <c r="C13" s="355">
        <f>-'Trial Balance CB'!B29</f>
        <v>-1794</v>
      </c>
      <c r="D13" s="353" t="s">
        <v>745</v>
      </c>
      <c r="E13" s="353"/>
      <c r="F13" s="356">
        <f t="shared" si="2"/>
        <v>-1794</v>
      </c>
      <c r="L13" s="360" t="s">
        <v>743</v>
      </c>
      <c r="M13"/>
      <c r="N13">
        <v>3403877.14</v>
      </c>
    </row>
    <row r="14" spans="1:15" x14ac:dyDescent="0.25">
      <c r="A14" s="353" t="s">
        <v>743</v>
      </c>
      <c r="B14" s="354" t="s">
        <v>221</v>
      </c>
      <c r="C14" s="355">
        <f>+'Trial Balance CB'!C37</f>
        <v>54000</v>
      </c>
      <c r="D14" s="353" t="s">
        <v>742</v>
      </c>
      <c r="E14" s="353"/>
      <c r="F14" s="356">
        <f t="shared" si="2"/>
        <v>54000</v>
      </c>
      <c r="L14" s="359" t="s">
        <v>203</v>
      </c>
      <c r="M14">
        <v>375705</v>
      </c>
      <c r="N14">
        <v>9667178.7500000019</v>
      </c>
    </row>
    <row r="15" spans="1:15" x14ac:dyDescent="0.25">
      <c r="A15" s="353" t="s">
        <v>743</v>
      </c>
      <c r="B15" s="354" t="s">
        <v>238</v>
      </c>
      <c r="C15" s="355">
        <f>+'Trial Balance CB'!C55</f>
        <v>20790</v>
      </c>
      <c r="D15" s="353" t="s">
        <v>742</v>
      </c>
      <c r="E15" s="353"/>
      <c r="F15" s="356">
        <f t="shared" si="2"/>
        <v>20790</v>
      </c>
      <c r="L15"/>
      <c r="M15"/>
      <c r="N15">
        <f>+GETPIVOTDATA("Sum of Amount less than 1 Year",$L$7)+GETPIVOTDATA("Sum of Amount morethan 1 Year",$L$7)</f>
        <v>10042883.750000002</v>
      </c>
      <c r="O15" s="352">
        <v>10423139.16</v>
      </c>
    </row>
    <row r="16" spans="1:15" x14ac:dyDescent="0.25">
      <c r="A16" s="353" t="s">
        <v>743</v>
      </c>
      <c r="B16" s="354" t="s">
        <v>239</v>
      </c>
      <c r="C16" s="355">
        <f>+'Trial Balance CB'!C56</f>
        <v>467094</v>
      </c>
      <c r="D16" s="353" t="s">
        <v>742</v>
      </c>
      <c r="E16" s="353"/>
      <c r="F16" s="356">
        <f t="shared" si="2"/>
        <v>467094</v>
      </c>
      <c r="L16"/>
      <c r="M16"/>
      <c r="N16"/>
      <c r="O16" s="352">
        <f>+O15-N15</f>
        <v>380255.40999999829</v>
      </c>
    </row>
    <row r="17" spans="1:15" x14ac:dyDescent="0.25">
      <c r="A17" s="353" t="s">
        <v>743</v>
      </c>
      <c r="B17" s="252" t="s">
        <v>241</v>
      </c>
      <c r="C17" s="1095">
        <f>+'Trial Balance CB'!C58</f>
        <v>4950</v>
      </c>
      <c r="D17" s="353" t="s">
        <v>742</v>
      </c>
      <c r="E17" s="353"/>
      <c r="F17" s="356">
        <f t="shared" si="2"/>
        <v>4950</v>
      </c>
      <c r="L17"/>
      <c r="M17"/>
      <c r="N17"/>
    </row>
    <row r="18" spans="1:15" x14ac:dyDescent="0.25">
      <c r="A18" s="353" t="s">
        <v>743</v>
      </c>
      <c r="B18" s="252" t="s">
        <v>247</v>
      </c>
      <c r="C18" s="1096">
        <f>+'Trial Balance CB'!C65</f>
        <v>11443</v>
      </c>
      <c r="D18" s="352" t="s">
        <v>745</v>
      </c>
      <c r="E18" s="1092">
        <f>+C18</f>
        <v>11443</v>
      </c>
      <c r="F18" s="1092"/>
      <c r="L18"/>
      <c r="M18" s="352" t="s">
        <v>748</v>
      </c>
      <c r="N18" s="352" t="s">
        <v>749</v>
      </c>
    </row>
    <row r="19" spans="1:15" x14ac:dyDescent="0.25">
      <c r="A19" s="353" t="s">
        <v>743</v>
      </c>
      <c r="B19" s="252" t="s">
        <v>923</v>
      </c>
      <c r="C19" s="1096">
        <f>+'Trial Balance CB'!C67</f>
        <v>6951</v>
      </c>
      <c r="D19" s="252" t="s">
        <v>745</v>
      </c>
      <c r="E19" s="1092">
        <f>+C19</f>
        <v>6951</v>
      </c>
      <c r="F19" s="252"/>
      <c r="K19" s="362" t="s">
        <v>746</v>
      </c>
      <c r="L19" s="360" t="s">
        <v>738</v>
      </c>
      <c r="M19">
        <v>31510</v>
      </c>
      <c r="N19">
        <v>1332103</v>
      </c>
      <c r="O19" s="352">
        <f>+M19+N19</f>
        <v>1363613</v>
      </c>
    </row>
    <row r="20" spans="1:15" x14ac:dyDescent="0.25">
      <c r="A20" s="353" t="s">
        <v>743</v>
      </c>
      <c r="B20" s="354" t="s">
        <v>251</v>
      </c>
      <c r="C20" s="355">
        <f>+'Trial Balance CB'!C71</f>
        <v>224790</v>
      </c>
      <c r="D20" s="353" t="s">
        <v>744</v>
      </c>
      <c r="E20" s="353"/>
      <c r="F20" s="356">
        <f t="shared" si="2"/>
        <v>224790</v>
      </c>
      <c r="K20" s="362" t="s">
        <v>746</v>
      </c>
      <c r="L20" s="360" t="s">
        <v>743</v>
      </c>
      <c r="M20">
        <v>900056</v>
      </c>
      <c r="N20">
        <v>3696911</v>
      </c>
      <c r="O20" s="352">
        <f>+M20+N20</f>
        <v>4596967</v>
      </c>
    </row>
    <row r="21" spans="1:15" x14ac:dyDescent="0.25">
      <c r="A21" s="353" t="s">
        <v>743</v>
      </c>
      <c r="B21" s="252" t="s">
        <v>549</v>
      </c>
      <c r="C21" s="355">
        <f>+'Trial Balance CB'!C78</f>
        <v>2700</v>
      </c>
      <c r="D21" s="353" t="s">
        <v>744</v>
      </c>
      <c r="E21" s="353"/>
      <c r="F21" s="356">
        <f>+C21</f>
        <v>2700</v>
      </c>
      <c r="K21" s="362" t="s">
        <v>747</v>
      </c>
      <c r="L21" s="360" t="s">
        <v>738</v>
      </c>
      <c r="M21">
        <v>287205</v>
      </c>
      <c r="N21">
        <v>153362</v>
      </c>
      <c r="O21" s="352">
        <f>+M21+N21</f>
        <v>440567</v>
      </c>
    </row>
    <row r="22" spans="1:15" x14ac:dyDescent="0.25">
      <c r="A22" s="353" t="s">
        <v>743</v>
      </c>
      <c r="B22" s="354" t="s">
        <v>265</v>
      </c>
      <c r="C22" s="355">
        <f>+'Trial Balance CB'!C85</f>
        <v>683435</v>
      </c>
      <c r="D22" s="353" t="s">
        <v>744</v>
      </c>
      <c r="E22" s="353"/>
      <c r="F22" s="356">
        <f t="shared" si="2"/>
        <v>683435</v>
      </c>
      <c r="K22" s="362" t="s">
        <v>747</v>
      </c>
      <c r="L22" s="360" t="s">
        <v>743</v>
      </c>
      <c r="M22">
        <v>288138</v>
      </c>
      <c r="N22">
        <v>3733854</v>
      </c>
      <c r="O22" s="352">
        <f>+M22+N22</f>
        <v>4021992</v>
      </c>
    </row>
    <row r="23" spans="1:15" x14ac:dyDescent="0.25">
      <c r="A23" s="353" t="s">
        <v>743</v>
      </c>
      <c r="B23" s="354" t="s">
        <v>267</v>
      </c>
      <c r="C23" s="355">
        <f>+'Trial Balance CB'!C87</f>
        <v>107380</v>
      </c>
      <c r="D23" s="353" t="s">
        <v>744</v>
      </c>
      <c r="E23" s="353"/>
      <c r="F23" s="356">
        <f t="shared" si="2"/>
        <v>107380</v>
      </c>
      <c r="L23"/>
      <c r="M23"/>
      <c r="N23"/>
      <c r="O23" s="352">
        <f>SUM(O19:O22)</f>
        <v>10423139</v>
      </c>
    </row>
    <row r="24" spans="1:15" x14ac:dyDescent="0.25">
      <c r="A24" s="353" t="s">
        <v>743</v>
      </c>
      <c r="B24" s="354" t="s">
        <v>279</v>
      </c>
      <c r="C24" s="355">
        <f>+'Trial Balance CB'!C98</f>
        <v>18703</v>
      </c>
      <c r="D24" s="353" t="s">
        <v>744</v>
      </c>
      <c r="E24" s="353"/>
      <c r="F24" s="356">
        <f t="shared" si="2"/>
        <v>18703</v>
      </c>
      <c r="L24"/>
      <c r="M24"/>
      <c r="N24"/>
    </row>
    <row r="25" spans="1:15" x14ac:dyDescent="0.25">
      <c r="A25" s="353" t="s">
        <v>743</v>
      </c>
      <c r="B25" s="252" t="s">
        <v>938</v>
      </c>
      <c r="C25" s="355">
        <f>+'Trial Balance CB'!C118</f>
        <v>26640</v>
      </c>
      <c r="D25" s="353" t="s">
        <v>744</v>
      </c>
      <c r="E25" s="353"/>
      <c r="F25" s="356">
        <f t="shared" si="2"/>
        <v>26640</v>
      </c>
    </row>
    <row r="26" spans="1:15" x14ac:dyDescent="0.25">
      <c r="A26" s="353" t="s">
        <v>743</v>
      </c>
      <c r="B26" s="354" t="s">
        <v>300</v>
      </c>
      <c r="C26" s="355">
        <f>+'Trial Balance CB'!C130</f>
        <v>323568</v>
      </c>
      <c r="D26" s="353" t="s">
        <v>742</v>
      </c>
      <c r="E26" s="353"/>
      <c r="F26" s="356">
        <f t="shared" si="2"/>
        <v>323568</v>
      </c>
    </row>
    <row r="27" spans="1:15" x14ac:dyDescent="0.25">
      <c r="A27" s="353" t="s">
        <v>743</v>
      </c>
      <c r="B27" s="354" t="s">
        <v>318</v>
      </c>
      <c r="C27" s="355">
        <f>+'Trial Balance CB'!C153</f>
        <v>16500</v>
      </c>
      <c r="D27" s="353" t="s">
        <v>742</v>
      </c>
      <c r="E27" s="353"/>
      <c r="F27" s="356">
        <f t="shared" si="2"/>
        <v>16500</v>
      </c>
    </row>
    <row r="28" spans="1:15" x14ac:dyDescent="0.25">
      <c r="A28" s="353" t="s">
        <v>743</v>
      </c>
      <c r="B28" s="252" t="s">
        <v>319</v>
      </c>
      <c r="C28" s="355">
        <f>+'Trial Balance CB'!C154</f>
        <v>194400</v>
      </c>
      <c r="D28" s="353" t="s">
        <v>745</v>
      </c>
      <c r="E28" s="356">
        <f>+C28</f>
        <v>194400</v>
      </c>
      <c r="F28" s="356"/>
    </row>
    <row r="29" spans="1:15" x14ac:dyDescent="0.25">
      <c r="A29" s="353" t="s">
        <v>743</v>
      </c>
      <c r="B29" s="354" t="s">
        <v>325</v>
      </c>
      <c r="C29" s="355">
        <f>+'Trial Balance CB'!C164</f>
        <v>80000</v>
      </c>
      <c r="D29" s="353" t="s">
        <v>744</v>
      </c>
      <c r="E29" s="353"/>
      <c r="F29" s="356">
        <f t="shared" si="2"/>
        <v>80000</v>
      </c>
    </row>
    <row r="30" spans="1:15" x14ac:dyDescent="0.25">
      <c r="A30" s="353" t="s">
        <v>743</v>
      </c>
      <c r="B30" s="354" t="s">
        <v>327</v>
      </c>
      <c r="C30" s="355">
        <f>+'Trial Balance CB'!C165</f>
        <v>290066</v>
      </c>
      <c r="D30" s="353" t="s">
        <v>744</v>
      </c>
      <c r="E30" s="353"/>
      <c r="F30" s="356">
        <f t="shared" si="2"/>
        <v>290066</v>
      </c>
    </row>
    <row r="31" spans="1:15" x14ac:dyDescent="0.25">
      <c r="A31" s="353" t="s">
        <v>743</v>
      </c>
      <c r="B31" s="354" t="s">
        <v>328</v>
      </c>
      <c r="C31" s="355">
        <f>+'Trial Balance CB'!C166</f>
        <v>27150</v>
      </c>
      <c r="D31" s="353" t="s">
        <v>742</v>
      </c>
      <c r="E31" s="353"/>
      <c r="F31" s="356">
        <f t="shared" si="2"/>
        <v>27150</v>
      </c>
    </row>
    <row r="32" spans="1:15" x14ac:dyDescent="0.25">
      <c r="A32" s="353" t="s">
        <v>743</v>
      </c>
      <c r="B32" s="354" t="s">
        <v>333</v>
      </c>
      <c r="C32" s="355">
        <f>+'Trial Balance CB'!C171</f>
        <v>17688</v>
      </c>
      <c r="D32" s="353" t="s">
        <v>742</v>
      </c>
      <c r="E32" s="353"/>
      <c r="F32" s="356">
        <f t="shared" si="2"/>
        <v>17688</v>
      </c>
    </row>
    <row r="33" spans="1:6" x14ac:dyDescent="0.25">
      <c r="A33" s="353" t="s">
        <v>743</v>
      </c>
      <c r="B33" s="252" t="s">
        <v>952</v>
      </c>
      <c r="C33" s="355">
        <f>+'Trial Balance CB'!C178</f>
        <v>41400</v>
      </c>
      <c r="D33" s="353" t="s">
        <v>745</v>
      </c>
      <c r="E33" s="353"/>
      <c r="F33" s="356">
        <f t="shared" si="2"/>
        <v>41400</v>
      </c>
    </row>
    <row r="34" spans="1:6" x14ac:dyDescent="0.25">
      <c r="A34" s="353" t="s">
        <v>743</v>
      </c>
      <c r="B34" s="252" t="s">
        <v>341</v>
      </c>
      <c r="C34" s="355">
        <f>+'Trial Balance CB'!C181</f>
        <v>35153</v>
      </c>
      <c r="D34" s="353" t="s">
        <v>744</v>
      </c>
      <c r="E34" s="353"/>
      <c r="F34" s="356">
        <f t="shared" si="2"/>
        <v>35153</v>
      </c>
    </row>
    <row r="35" spans="1:6" x14ac:dyDescent="0.25">
      <c r="A35" s="353" t="s">
        <v>743</v>
      </c>
      <c r="B35" s="252" t="s">
        <v>355</v>
      </c>
      <c r="C35" s="355">
        <f>+'Trial Balance CB'!C198</f>
        <v>126124</v>
      </c>
      <c r="D35" s="353" t="s">
        <v>744</v>
      </c>
      <c r="E35" s="356">
        <f>+C35</f>
        <v>126124</v>
      </c>
      <c r="F35" s="1092"/>
    </row>
    <row r="36" spans="1:6" x14ac:dyDescent="0.25">
      <c r="A36" s="353" t="s">
        <v>743</v>
      </c>
      <c r="B36" s="354" t="s">
        <v>357</v>
      </c>
      <c r="C36" s="355">
        <f>+'Trial Balance CB'!C202</f>
        <v>56990</v>
      </c>
      <c r="D36" s="353" t="s">
        <v>742</v>
      </c>
      <c r="E36" s="356">
        <f>+C36</f>
        <v>56990</v>
      </c>
    </row>
    <row r="37" spans="1:6" x14ac:dyDescent="0.25">
      <c r="A37" s="353" t="s">
        <v>743</v>
      </c>
      <c r="B37" s="252" t="s">
        <v>958</v>
      </c>
      <c r="C37" s="355">
        <f>+'Trial Balance CB'!C203</f>
        <v>18354</v>
      </c>
      <c r="D37" s="353" t="s">
        <v>745</v>
      </c>
      <c r="E37" s="356">
        <f>+C37</f>
        <v>18354</v>
      </c>
    </row>
    <row r="38" spans="1:6" x14ac:dyDescent="0.25">
      <c r="A38" s="353" t="s">
        <v>743</v>
      </c>
      <c r="B38" s="252" t="s">
        <v>574</v>
      </c>
      <c r="C38" s="355">
        <f>+'Trial Balance CB'!C216</f>
        <v>526400</v>
      </c>
      <c r="D38" s="353" t="s">
        <v>744</v>
      </c>
      <c r="E38" s="356">
        <f>+C38</f>
        <v>526400</v>
      </c>
    </row>
    <row r="39" spans="1:6" x14ac:dyDescent="0.25">
      <c r="A39" s="353" t="s">
        <v>743</v>
      </c>
      <c r="B39" s="252" t="s">
        <v>963</v>
      </c>
      <c r="C39" s="355">
        <f>+'Trial Balance CB'!C221</f>
        <v>247532.48</v>
      </c>
      <c r="D39" s="353" t="s">
        <v>744</v>
      </c>
      <c r="E39" s="356">
        <f>+C39</f>
        <v>247532.48</v>
      </c>
    </row>
    <row r="40" spans="1:6" x14ac:dyDescent="0.25">
      <c r="A40" s="353" t="s">
        <v>743</v>
      </c>
      <c r="B40" s="354" t="s">
        <v>372</v>
      </c>
      <c r="C40" s="355">
        <f>+'Trial Balance CB'!C223</f>
        <v>198000</v>
      </c>
      <c r="D40" s="353" t="s">
        <v>742</v>
      </c>
      <c r="E40" s="353"/>
      <c r="F40" s="356">
        <f t="shared" ref="F40:F60" si="3">C40</f>
        <v>198000</v>
      </c>
    </row>
    <row r="41" spans="1:6" x14ac:dyDescent="0.25">
      <c r="A41" s="353" t="s">
        <v>743</v>
      </c>
      <c r="B41" s="354" t="s">
        <v>379</v>
      </c>
      <c r="C41" s="355">
        <f>+'Trial Balance CB'!C227</f>
        <v>247072</v>
      </c>
      <c r="D41" s="353" t="s">
        <v>744</v>
      </c>
      <c r="E41" s="353"/>
      <c r="F41" s="356">
        <f t="shared" si="3"/>
        <v>247072</v>
      </c>
    </row>
    <row r="42" spans="1:6" x14ac:dyDescent="0.25">
      <c r="A42" s="353" t="s">
        <v>743</v>
      </c>
      <c r="B42" s="252" t="s">
        <v>1416</v>
      </c>
      <c r="C42" s="355">
        <f>-'Trial Balance CB'!B231</f>
        <v>-30000</v>
      </c>
      <c r="D42" s="353" t="s">
        <v>745</v>
      </c>
      <c r="E42" s="353"/>
      <c r="F42" s="356">
        <f>+C42</f>
        <v>-30000</v>
      </c>
    </row>
    <row r="43" spans="1:6" x14ac:dyDescent="0.25">
      <c r="A43" s="353" t="s">
        <v>743</v>
      </c>
      <c r="B43" s="252" t="s">
        <v>390</v>
      </c>
      <c r="C43" s="355">
        <f>+'Trial Balance CB'!C242</f>
        <v>3150</v>
      </c>
      <c r="D43" s="353" t="s">
        <v>745</v>
      </c>
      <c r="E43" s="353"/>
      <c r="F43" s="356">
        <f>+C43</f>
        <v>3150</v>
      </c>
    </row>
    <row r="44" spans="1:6" x14ac:dyDescent="0.25">
      <c r="A44" s="353" t="s">
        <v>743</v>
      </c>
      <c r="B44" s="354" t="s">
        <v>393</v>
      </c>
      <c r="C44" s="355">
        <f>+'Trial Balance CB'!C245</f>
        <v>17820</v>
      </c>
      <c r="D44" s="353" t="s">
        <v>742</v>
      </c>
      <c r="E44" s="353"/>
      <c r="F44" s="356">
        <f t="shared" si="3"/>
        <v>17820</v>
      </c>
    </row>
    <row r="45" spans="1:6" x14ac:dyDescent="0.25">
      <c r="A45" s="353" t="s">
        <v>743</v>
      </c>
      <c r="B45" s="354" t="s">
        <v>394</v>
      </c>
      <c r="C45" s="355">
        <f>+'Trial Balance CB'!C246</f>
        <v>84052</v>
      </c>
      <c r="D45" s="353" t="s">
        <v>744</v>
      </c>
      <c r="E45" s="353"/>
      <c r="F45" s="356">
        <f t="shared" si="3"/>
        <v>84052</v>
      </c>
    </row>
    <row r="46" spans="1:6" x14ac:dyDescent="0.25">
      <c r="A46" s="353" t="s">
        <v>743</v>
      </c>
      <c r="B46" s="354" t="s">
        <v>406</v>
      </c>
      <c r="C46" s="355">
        <f>+'Trial Balance CB'!C259</f>
        <v>8383.9</v>
      </c>
      <c r="D46" s="353" t="s">
        <v>742</v>
      </c>
      <c r="E46" s="353"/>
      <c r="F46" s="356">
        <f t="shared" si="3"/>
        <v>8383.9</v>
      </c>
    </row>
    <row r="47" spans="1:6" x14ac:dyDescent="0.25">
      <c r="A47" s="353" t="s">
        <v>743</v>
      </c>
      <c r="B47" s="354" t="s">
        <v>428</v>
      </c>
      <c r="C47" s="355">
        <f>+'Trial Balance CB'!C284</f>
        <v>24894</v>
      </c>
      <c r="D47" s="353" t="s">
        <v>742</v>
      </c>
      <c r="E47" s="353"/>
      <c r="F47" s="356">
        <f t="shared" si="3"/>
        <v>24894</v>
      </c>
    </row>
    <row r="48" spans="1:6" x14ac:dyDescent="0.25">
      <c r="A48" s="353" t="s">
        <v>743</v>
      </c>
      <c r="B48" s="252" t="s">
        <v>1417</v>
      </c>
      <c r="C48" s="355">
        <f>+'Trial Balance CB'!C288</f>
        <v>14560</v>
      </c>
      <c r="D48" s="353" t="s">
        <v>742</v>
      </c>
      <c r="E48" s="353"/>
      <c r="F48" s="356">
        <f t="shared" si="3"/>
        <v>14560</v>
      </c>
    </row>
    <row r="49" spans="1:6" x14ac:dyDescent="0.25">
      <c r="A49" s="353" t="s">
        <v>743</v>
      </c>
      <c r="B49" s="354" t="s">
        <v>456</v>
      </c>
      <c r="C49" s="355">
        <f>+'Trial Balance CB'!C309</f>
        <v>378971</v>
      </c>
      <c r="D49" s="353" t="s">
        <v>744</v>
      </c>
      <c r="E49" s="353"/>
      <c r="F49" s="356">
        <f t="shared" si="3"/>
        <v>378971</v>
      </c>
    </row>
    <row r="50" spans="1:6" x14ac:dyDescent="0.25">
      <c r="A50" s="353" t="s">
        <v>743</v>
      </c>
      <c r="B50" s="252" t="s">
        <v>975</v>
      </c>
      <c r="C50" s="355">
        <f>+'Trial Balance CB'!C311</f>
        <v>92556</v>
      </c>
      <c r="D50" s="353" t="s">
        <v>744</v>
      </c>
      <c r="E50" s="353"/>
      <c r="F50" s="356">
        <f t="shared" si="3"/>
        <v>92556</v>
      </c>
    </row>
    <row r="51" spans="1:6" x14ac:dyDescent="0.25">
      <c r="A51" s="353" t="s">
        <v>743</v>
      </c>
      <c r="B51" s="252" t="s">
        <v>1418</v>
      </c>
      <c r="C51" s="355">
        <f>+'Trial Balance CB'!C314</f>
        <v>40500</v>
      </c>
      <c r="D51" s="353" t="s">
        <v>742</v>
      </c>
      <c r="E51" s="353"/>
      <c r="F51" s="356">
        <f t="shared" si="3"/>
        <v>40500</v>
      </c>
    </row>
    <row r="52" spans="1:6" x14ac:dyDescent="0.25">
      <c r="A52" s="353" t="s">
        <v>743</v>
      </c>
      <c r="B52" s="252" t="s">
        <v>467</v>
      </c>
      <c r="C52" s="355">
        <f>+'Trial Balance CB'!C321</f>
        <v>68151.600000000006</v>
      </c>
      <c r="D52" s="353" t="s">
        <v>742</v>
      </c>
      <c r="E52" s="353"/>
      <c r="F52" s="356">
        <f t="shared" si="3"/>
        <v>68151.600000000006</v>
      </c>
    </row>
    <row r="53" spans="1:6" x14ac:dyDescent="0.25">
      <c r="A53" s="353" t="s">
        <v>743</v>
      </c>
      <c r="B53" s="252" t="s">
        <v>482</v>
      </c>
      <c r="C53" s="355">
        <f>+'Trial Balance CB'!C338</f>
        <v>602379</v>
      </c>
      <c r="D53" s="353" t="s">
        <v>742</v>
      </c>
      <c r="E53" s="353"/>
      <c r="F53" s="356">
        <f t="shared" si="3"/>
        <v>602379</v>
      </c>
    </row>
    <row r="54" spans="1:6" x14ac:dyDescent="0.25">
      <c r="A54" s="353" t="s">
        <v>743</v>
      </c>
      <c r="B54" s="252" t="s">
        <v>493</v>
      </c>
      <c r="C54" s="355">
        <f>+'Trial Balance CB'!C349</f>
        <v>602279</v>
      </c>
      <c r="D54" s="353" t="s">
        <v>744</v>
      </c>
      <c r="E54" s="353"/>
      <c r="F54" s="356">
        <f t="shared" si="3"/>
        <v>602279</v>
      </c>
    </row>
    <row r="55" spans="1:6" x14ac:dyDescent="0.25">
      <c r="A55" s="353"/>
      <c r="B55" s="252" t="s">
        <v>495</v>
      </c>
      <c r="C55" s="355">
        <f>+'Trial Balance CB'!C351</f>
        <v>602279</v>
      </c>
      <c r="D55" s="353" t="s">
        <v>745</v>
      </c>
      <c r="E55" s="353"/>
      <c r="F55" s="356">
        <f>+C55</f>
        <v>602279</v>
      </c>
    </row>
    <row r="56" spans="1:6" x14ac:dyDescent="0.25">
      <c r="A56" s="353"/>
      <c r="B56" s="252" t="s">
        <v>503</v>
      </c>
      <c r="C56" s="355">
        <f>+'Trial Balance CB'!C359</f>
        <v>10890</v>
      </c>
      <c r="D56" s="353" t="s">
        <v>745</v>
      </c>
      <c r="E56" s="353"/>
      <c r="F56" s="356">
        <f>+C56</f>
        <v>10890</v>
      </c>
    </row>
    <row r="57" spans="1:6" x14ac:dyDescent="0.25">
      <c r="A57" s="353"/>
      <c r="B57" s="252" t="s">
        <v>978</v>
      </c>
      <c r="C57" s="355">
        <f>+'Trial Balance CB'!C364</f>
        <v>734811</v>
      </c>
      <c r="D57" s="353" t="s">
        <v>744</v>
      </c>
      <c r="E57" s="353"/>
      <c r="F57" s="356">
        <f>+C57</f>
        <v>734811</v>
      </c>
    </row>
    <row r="58" spans="1:6" x14ac:dyDescent="0.25">
      <c r="A58" s="353"/>
      <c r="B58" s="252" t="s">
        <v>512</v>
      </c>
      <c r="C58" s="355">
        <f>+'Trial Balance CB'!C368</f>
        <v>61950</v>
      </c>
      <c r="D58" s="353" t="s">
        <v>744</v>
      </c>
      <c r="E58" s="353"/>
      <c r="F58" s="356">
        <f>+C58</f>
        <v>61950</v>
      </c>
    </row>
    <row r="59" spans="1:6" x14ac:dyDescent="0.25">
      <c r="A59" s="353"/>
      <c r="B59" s="354" t="s">
        <v>529</v>
      </c>
      <c r="C59" s="355">
        <f>+'Trial Balance CB'!C384</f>
        <v>26353.37</v>
      </c>
      <c r="D59" s="353" t="s">
        <v>744</v>
      </c>
      <c r="E59" s="353"/>
      <c r="F59" s="356">
        <f t="shared" si="3"/>
        <v>26353.37</v>
      </c>
    </row>
    <row r="60" spans="1:6" x14ac:dyDescent="0.25">
      <c r="A60" s="353"/>
      <c r="B60" s="354" t="s">
        <v>531</v>
      </c>
      <c r="C60" s="355">
        <f>+'Trial Balance CB'!C386</f>
        <v>1201500</v>
      </c>
      <c r="D60" s="353" t="s">
        <v>742</v>
      </c>
      <c r="E60" s="353"/>
      <c r="F60" s="356">
        <f t="shared" si="3"/>
        <v>1201500</v>
      </c>
    </row>
    <row r="61" spans="1:6" x14ac:dyDescent="0.25">
      <c r="A61" s="353"/>
      <c r="B61" s="354"/>
      <c r="C61" s="355"/>
      <c r="D61" s="353"/>
      <c r="E61" s="353"/>
      <c r="F61" s="356"/>
    </row>
    <row r="62" spans="1:6" x14ac:dyDescent="0.25">
      <c r="A62" s="353"/>
      <c r="C62" s="361">
        <f>SUM(C3:C61)</f>
        <v>10423139.16</v>
      </c>
    </row>
    <row r="63" spans="1:6" x14ac:dyDescent="0.25">
      <c r="A63" s="353"/>
    </row>
    <row r="66" spans="2:3" x14ac:dyDescent="0.25">
      <c r="C66" s="352">
        <v>1804179.81</v>
      </c>
    </row>
    <row r="67" spans="2:3" x14ac:dyDescent="0.25">
      <c r="C67" s="352">
        <f>8650753.35-31794</f>
        <v>8618959.3499999996</v>
      </c>
    </row>
    <row r="68" spans="2:3" x14ac:dyDescent="0.25">
      <c r="C68" s="352">
        <f>SUM(C66:C67)</f>
        <v>10423139.16</v>
      </c>
    </row>
    <row r="69" spans="2:3" x14ac:dyDescent="0.25">
      <c r="C69" s="1097">
        <f>+C68-C62</f>
        <v>0</v>
      </c>
    </row>
    <row r="70" spans="2:3" x14ac:dyDescent="0.25">
      <c r="B70" s="252" t="s">
        <v>918</v>
      </c>
      <c r="C70" s="381">
        <v>324264</v>
      </c>
    </row>
    <row r="71" spans="2:3" x14ac:dyDescent="0.25">
      <c r="B71" s="252" t="s">
        <v>919</v>
      </c>
      <c r="C71" s="381">
        <v>53396.4</v>
      </c>
    </row>
    <row r="72" spans="2:3" x14ac:dyDescent="0.25">
      <c r="B72" s="252" t="s">
        <v>230</v>
      </c>
      <c r="C72" s="381">
        <v>51489</v>
      </c>
    </row>
    <row r="73" spans="2:3" x14ac:dyDescent="0.25">
      <c r="B73" s="252" t="s">
        <v>920</v>
      </c>
      <c r="C73" s="381">
        <v>14160</v>
      </c>
    </row>
    <row r="74" spans="2:3" x14ac:dyDescent="0.25">
      <c r="B74" s="252" t="s">
        <v>255</v>
      </c>
      <c r="C74" s="381">
        <v>34450</v>
      </c>
    </row>
    <row r="75" spans="2:3" x14ac:dyDescent="0.25">
      <c r="B75" s="252" t="s">
        <v>264</v>
      </c>
      <c r="C75" s="381">
        <v>148444</v>
      </c>
    </row>
    <row r="76" spans="2:3" x14ac:dyDescent="0.25">
      <c r="B76" s="252" t="s">
        <v>270</v>
      </c>
      <c r="C76" s="381">
        <v>109340</v>
      </c>
    </row>
    <row r="77" spans="2:3" x14ac:dyDescent="0.25">
      <c r="B77" s="252" t="s">
        <v>929</v>
      </c>
      <c r="C77" s="381">
        <v>25165</v>
      </c>
    </row>
    <row r="78" spans="2:3" x14ac:dyDescent="0.25">
      <c r="B78" s="252" t="s">
        <v>286</v>
      </c>
      <c r="C78" s="381">
        <v>408240</v>
      </c>
    </row>
    <row r="79" spans="2:3" x14ac:dyDescent="0.25">
      <c r="B79" s="252" t="s">
        <v>948</v>
      </c>
      <c r="C79" s="381">
        <v>42560</v>
      </c>
    </row>
    <row r="80" spans="2:3" x14ac:dyDescent="0.25">
      <c r="B80" s="252" t="s">
        <v>953</v>
      </c>
      <c r="C80" s="381">
        <v>333200</v>
      </c>
    </row>
    <row r="81" spans="2:3" x14ac:dyDescent="0.25">
      <c r="B81" s="252" t="s">
        <v>955</v>
      </c>
      <c r="C81" s="381">
        <v>1505</v>
      </c>
    </row>
    <row r="82" spans="2:3" x14ac:dyDescent="0.25">
      <c r="B82" s="252" t="s">
        <v>956</v>
      </c>
      <c r="C82" s="381">
        <v>84728</v>
      </c>
    </row>
    <row r="83" spans="2:3" x14ac:dyDescent="0.25">
      <c r="B83" s="252" t="s">
        <v>957</v>
      </c>
      <c r="C83" s="381">
        <v>140675</v>
      </c>
    </row>
    <row r="84" spans="2:3" x14ac:dyDescent="0.25">
      <c r="B84" s="252" t="s">
        <v>356</v>
      </c>
      <c r="C84" s="381">
        <v>66886</v>
      </c>
    </row>
    <row r="85" spans="2:3" x14ac:dyDescent="0.25">
      <c r="B85" s="252" t="s">
        <v>959</v>
      </c>
      <c r="C85" s="381">
        <v>23469</v>
      </c>
    </row>
    <row r="86" spans="2:3" x14ac:dyDescent="0.25">
      <c r="B86" s="252" t="s">
        <v>361</v>
      </c>
      <c r="C86" s="381">
        <v>291460</v>
      </c>
    </row>
    <row r="87" spans="2:3" x14ac:dyDescent="0.25">
      <c r="B87" s="252" t="s">
        <v>1421</v>
      </c>
      <c r="C87" s="1099">
        <v>-5605</v>
      </c>
    </row>
    <row r="88" spans="2:3" x14ac:dyDescent="0.25">
      <c r="B88" s="252" t="s">
        <v>960</v>
      </c>
      <c r="C88" s="381">
        <v>121304</v>
      </c>
    </row>
    <row r="89" spans="2:3" x14ac:dyDescent="0.25">
      <c r="B89" s="252" t="s">
        <v>366</v>
      </c>
      <c r="C89" s="381">
        <v>189428</v>
      </c>
    </row>
    <row r="90" spans="2:3" x14ac:dyDescent="0.25">
      <c r="B90" s="252" t="s">
        <v>964</v>
      </c>
      <c r="C90" s="381">
        <v>21600</v>
      </c>
    </row>
    <row r="91" spans="2:3" x14ac:dyDescent="0.25">
      <c r="B91" s="252" t="s">
        <v>966</v>
      </c>
      <c r="C91" s="381">
        <v>20898</v>
      </c>
    </row>
    <row r="92" spans="2:3" x14ac:dyDescent="0.25">
      <c r="B92" s="252" t="s">
        <v>401</v>
      </c>
      <c r="C92" s="381">
        <v>44840</v>
      </c>
    </row>
    <row r="93" spans="2:3" x14ac:dyDescent="0.25">
      <c r="B93" s="252" t="s">
        <v>968</v>
      </c>
      <c r="C93" s="381">
        <v>8552</v>
      </c>
    </row>
    <row r="94" spans="2:3" x14ac:dyDescent="0.25">
      <c r="B94" s="252" t="s">
        <v>969</v>
      </c>
      <c r="C94" s="381">
        <v>8178</v>
      </c>
    </row>
    <row r="95" spans="2:3" x14ac:dyDescent="0.25">
      <c r="B95" s="252" t="s">
        <v>416</v>
      </c>
      <c r="C95" s="381">
        <v>108171</v>
      </c>
    </row>
    <row r="96" spans="2:3" x14ac:dyDescent="0.25">
      <c r="B96" s="252" t="s">
        <v>971</v>
      </c>
      <c r="C96" s="381">
        <v>29524</v>
      </c>
    </row>
    <row r="97" spans="2:3" x14ac:dyDescent="0.25">
      <c r="B97" s="252" t="s">
        <v>424</v>
      </c>
      <c r="C97" s="381">
        <v>66358</v>
      </c>
    </row>
    <row r="98" spans="2:3" x14ac:dyDescent="0.25">
      <c r="B98" s="252" t="s">
        <v>432</v>
      </c>
      <c r="C98" s="381">
        <v>21000</v>
      </c>
    </row>
    <row r="99" spans="2:3" x14ac:dyDescent="0.25">
      <c r="B99" s="252" t="s">
        <v>462</v>
      </c>
      <c r="C99" s="381">
        <v>11640</v>
      </c>
    </row>
    <row r="100" spans="2:3" x14ac:dyDescent="0.25">
      <c r="B100" s="252" t="s">
        <v>976</v>
      </c>
      <c r="C100" s="381">
        <v>71820</v>
      </c>
    </row>
    <row r="101" spans="2:3" x14ac:dyDescent="0.25">
      <c r="B101" s="252" t="s">
        <v>590</v>
      </c>
      <c r="C101" s="381">
        <v>62835</v>
      </c>
    </row>
    <row r="102" spans="2:3" x14ac:dyDescent="0.25">
      <c r="B102" s="252" t="s">
        <v>592</v>
      </c>
      <c r="C102" s="381">
        <v>787650</v>
      </c>
    </row>
    <row r="103" spans="2:3" x14ac:dyDescent="0.25">
      <c r="B103" s="252" t="s">
        <v>509</v>
      </c>
      <c r="C103" s="381">
        <v>148500</v>
      </c>
    </row>
    <row r="104" spans="2:3" x14ac:dyDescent="0.25">
      <c r="B104" s="252" t="s">
        <v>979</v>
      </c>
      <c r="C104" s="381">
        <v>5074</v>
      </c>
    </row>
    <row r="105" spans="2:3" x14ac:dyDescent="0.25">
      <c r="B105" s="252" t="s">
        <v>511</v>
      </c>
      <c r="C105" s="381">
        <v>343015</v>
      </c>
    </row>
    <row r="106" spans="2:3" x14ac:dyDescent="0.25">
      <c r="B106" s="252" t="s">
        <v>980</v>
      </c>
      <c r="C106" s="381">
        <v>59991.199999999997</v>
      </c>
    </row>
    <row r="107" spans="2:3" ht="15.75" thickBot="1" x14ac:dyDescent="0.3">
      <c r="C107" s="1098">
        <f>SUM(C69:C106)</f>
        <v>4278204.6000000006</v>
      </c>
    </row>
  </sheetData>
  <autoFilter ref="A2:F64" xr:uid="{00000000-0009-0000-0000-000010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C24"/>
  <sheetViews>
    <sheetView workbookViewId="0">
      <selection activeCell="C6" sqref="C6"/>
    </sheetView>
  </sheetViews>
  <sheetFormatPr defaultRowHeight="15" x14ac:dyDescent="0.25"/>
  <cols>
    <col min="1" max="1" width="66.5703125" bestFit="1" customWidth="1"/>
    <col min="2" max="2" width="14.140625" bestFit="1" customWidth="1"/>
    <col min="3" max="3" width="14.5703125" bestFit="1" customWidth="1"/>
  </cols>
  <sheetData>
    <row r="3" spans="1:3" ht="15.75" x14ac:dyDescent="0.25">
      <c r="A3" s="1708"/>
      <c r="B3" s="1708"/>
      <c r="C3" s="1708"/>
    </row>
    <row r="4" spans="1:3" ht="15.75" x14ac:dyDescent="0.25">
      <c r="A4" s="1708" t="s">
        <v>1109</v>
      </c>
      <c r="B4" s="1708"/>
      <c r="C4" s="1708"/>
    </row>
    <row r="5" spans="1:3" ht="15.75" x14ac:dyDescent="0.25">
      <c r="A5" s="700" t="s">
        <v>0</v>
      </c>
      <c r="B5" s="681" t="s">
        <v>102</v>
      </c>
      <c r="C5" s="701" t="s">
        <v>102</v>
      </c>
    </row>
    <row r="6" spans="1:3" ht="15.75" x14ac:dyDescent="0.25">
      <c r="A6" s="702" t="s">
        <v>1110</v>
      </c>
      <c r="B6" s="703"/>
      <c r="C6" s="704">
        <f>'P&amp;L'!C28</f>
        <v>-11440971.929999977</v>
      </c>
    </row>
    <row r="7" spans="1:3" ht="15.75" x14ac:dyDescent="0.25">
      <c r="A7" s="702" t="s">
        <v>1111</v>
      </c>
      <c r="B7" s="703"/>
      <c r="C7" s="704"/>
    </row>
    <row r="8" spans="1:3" ht="15.75" x14ac:dyDescent="0.25">
      <c r="A8" s="702" t="s">
        <v>1112</v>
      </c>
      <c r="B8" s="703"/>
      <c r="C8" s="704">
        <v>0</v>
      </c>
    </row>
    <row r="9" spans="1:3" ht="15.75" x14ac:dyDescent="0.25">
      <c r="A9" s="702" t="s">
        <v>1113</v>
      </c>
      <c r="B9" s="703"/>
      <c r="C9" s="704">
        <v>0</v>
      </c>
    </row>
    <row r="10" spans="1:3" ht="15.75" x14ac:dyDescent="0.25">
      <c r="A10" s="702" t="s">
        <v>1114</v>
      </c>
      <c r="B10" s="703">
        <f>'P&amp;L'!C16</f>
        <v>21235863</v>
      </c>
      <c r="C10" s="704">
        <f>SUM(B8:B10)</f>
        <v>21235863</v>
      </c>
    </row>
    <row r="11" spans="1:3" ht="15.75" x14ac:dyDescent="0.25">
      <c r="A11" s="702"/>
      <c r="B11" s="703"/>
      <c r="C11" s="705">
        <f>SUM(C6:C10)</f>
        <v>9794891.0700000226</v>
      </c>
    </row>
    <row r="12" spans="1:3" ht="15.75" x14ac:dyDescent="0.25">
      <c r="A12" s="702" t="s">
        <v>1115</v>
      </c>
      <c r="B12" s="703"/>
      <c r="C12" s="704"/>
    </row>
    <row r="13" spans="1:3" ht="15.75" x14ac:dyDescent="0.25">
      <c r="A13" s="702" t="s">
        <v>1116</v>
      </c>
      <c r="B13" s="703">
        <f>-B10</f>
        <v>-21235863</v>
      </c>
      <c r="C13" s="704">
        <v>0</v>
      </c>
    </row>
    <row r="14" spans="1:3" ht="15.75" x14ac:dyDescent="0.25">
      <c r="A14" s="702" t="s">
        <v>1117</v>
      </c>
      <c r="B14" s="703">
        <f>-'P&amp;L'!C23</f>
        <v>1227858</v>
      </c>
      <c r="C14" s="706">
        <v>0</v>
      </c>
    </row>
    <row r="15" spans="1:3" ht="15.75" x14ac:dyDescent="0.25">
      <c r="A15" s="702" t="s">
        <v>1118</v>
      </c>
      <c r="B15" s="703"/>
      <c r="C15" s="706">
        <v>0</v>
      </c>
    </row>
    <row r="16" spans="1:3" ht="15.75" x14ac:dyDescent="0.25">
      <c r="A16" s="707" t="s">
        <v>1119</v>
      </c>
      <c r="B16" s="706"/>
      <c r="C16" s="706"/>
    </row>
    <row r="17" spans="1:3" ht="15.75" x14ac:dyDescent="0.25">
      <c r="A17" s="707" t="s">
        <v>1120</v>
      </c>
      <c r="B17" s="706"/>
      <c r="C17" s="708"/>
    </row>
    <row r="18" spans="1:3" ht="15.75" x14ac:dyDescent="0.25">
      <c r="A18" s="709" t="s">
        <v>1121</v>
      </c>
      <c r="B18" s="710"/>
      <c r="C18" s="711"/>
    </row>
    <row r="19" spans="1:3" ht="15.75" x14ac:dyDescent="0.25">
      <c r="A19" s="709" t="s">
        <v>1122</v>
      </c>
      <c r="B19" s="712">
        <f>MIN(B17:B18)</f>
        <v>0</v>
      </c>
      <c r="C19" s="711">
        <f>B19</f>
        <v>0</v>
      </c>
    </row>
    <row r="20" spans="1:3" ht="15.75" x14ac:dyDescent="0.25">
      <c r="A20" s="713" t="s">
        <v>1123</v>
      </c>
      <c r="B20" s="710"/>
      <c r="C20" s="714">
        <f>C11-SUM(C12:C19)</f>
        <v>9794891.0700000226</v>
      </c>
    </row>
    <row r="21" spans="1:3" ht="15.75" x14ac:dyDescent="0.25">
      <c r="A21" s="709" t="s">
        <v>1124</v>
      </c>
      <c r="B21" s="712"/>
      <c r="C21" s="711">
        <f>IF(C20&gt;0,C20*15%,0)</f>
        <v>1469233.6605000033</v>
      </c>
    </row>
    <row r="22" spans="1:3" ht="15.75" x14ac:dyDescent="0.25">
      <c r="A22" s="715" t="s">
        <v>1125</v>
      </c>
      <c r="B22" s="716"/>
      <c r="C22" s="1170">
        <f>C21*4%</f>
        <v>58769.346420000133</v>
      </c>
    </row>
    <row r="23" spans="1:3" ht="16.5" thickBot="1" x14ac:dyDescent="0.3">
      <c r="A23" s="717" t="s">
        <v>1126</v>
      </c>
      <c r="B23" s="718"/>
      <c r="C23" s="719">
        <f>C21+C22</f>
        <v>1528003.0069200033</v>
      </c>
    </row>
    <row r="24" spans="1:3" ht="15.75" thickTop="1" x14ac:dyDescent="0.25"/>
  </sheetData>
  <mergeCells count="2">
    <mergeCell ref="A3:C3"/>
    <mergeCell ref="A4:C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35"/>
  <sheetViews>
    <sheetView workbookViewId="0">
      <selection activeCell="F1" sqref="F1"/>
    </sheetView>
  </sheetViews>
  <sheetFormatPr defaultRowHeight="15" x14ac:dyDescent="0.25"/>
  <cols>
    <col min="1" max="1" width="44" bestFit="1" customWidth="1"/>
    <col min="2" max="2" width="13" bestFit="1" customWidth="1"/>
    <col min="3" max="3" width="12.5703125" bestFit="1" customWidth="1"/>
    <col min="4" max="4" width="43.42578125" bestFit="1" customWidth="1"/>
    <col min="5" max="5" width="13" bestFit="1" customWidth="1"/>
    <col min="6" max="6" width="12.5703125" bestFit="1" customWidth="1"/>
  </cols>
  <sheetData>
    <row r="1" spans="1:6" ht="15.75" x14ac:dyDescent="0.25">
      <c r="A1" s="1705" t="s">
        <v>871</v>
      </c>
      <c r="B1" s="1705"/>
      <c r="C1" s="1705"/>
      <c r="D1" s="485"/>
      <c r="E1" s="485"/>
      <c r="F1" s="485"/>
    </row>
    <row r="2" spans="1:6" x14ac:dyDescent="0.25">
      <c r="A2" s="1698" t="s">
        <v>205</v>
      </c>
      <c r="B2" s="1698"/>
      <c r="C2" s="1698"/>
      <c r="D2" s="485"/>
      <c r="E2" s="485"/>
      <c r="F2" s="485"/>
    </row>
    <row r="3" spans="1:6" x14ac:dyDescent="0.25">
      <c r="A3" s="1698" t="s">
        <v>206</v>
      </c>
      <c r="B3" s="1698"/>
      <c r="C3" s="1698"/>
      <c r="D3" s="485"/>
      <c r="E3" s="485"/>
      <c r="F3" s="485"/>
    </row>
    <row r="4" spans="1:6" x14ac:dyDescent="0.25">
      <c r="A4" s="1706" t="s">
        <v>207</v>
      </c>
      <c r="B4" s="1706"/>
      <c r="C4" s="1706"/>
      <c r="D4" s="485"/>
      <c r="E4" s="485"/>
      <c r="F4" s="485"/>
    </row>
    <row r="5" spans="1:6" ht="15.75" x14ac:dyDescent="0.25">
      <c r="A5" s="1707" t="s">
        <v>900</v>
      </c>
      <c r="B5" s="1707"/>
      <c r="C5" s="1707"/>
      <c r="D5" s="485"/>
      <c r="E5" s="485"/>
      <c r="F5" s="485"/>
    </row>
    <row r="6" spans="1:6" x14ac:dyDescent="0.25">
      <c r="A6" s="1698" t="s">
        <v>870</v>
      </c>
      <c r="B6" s="1698"/>
      <c r="C6" s="1698"/>
      <c r="D6" s="485"/>
      <c r="E6" s="485"/>
      <c r="F6" s="485"/>
    </row>
    <row r="7" spans="1:6" x14ac:dyDescent="0.25">
      <c r="A7" s="248" t="s">
        <v>197</v>
      </c>
      <c r="B7" s="1700" t="s">
        <v>871</v>
      </c>
      <c r="C7" s="1700"/>
      <c r="D7" s="248" t="s">
        <v>197</v>
      </c>
      <c r="E7" s="1700" t="s">
        <v>871</v>
      </c>
      <c r="F7" s="1700"/>
    </row>
    <row r="8" spans="1:6" x14ac:dyDescent="0.25">
      <c r="A8" s="555" t="s">
        <v>899</v>
      </c>
      <c r="B8" s="1709" t="s">
        <v>898</v>
      </c>
      <c r="C8" s="1709"/>
      <c r="D8" s="555" t="s">
        <v>16</v>
      </c>
      <c r="E8" s="1709" t="s">
        <v>898</v>
      </c>
      <c r="F8" s="1709"/>
    </row>
    <row r="9" spans="1:6" x14ac:dyDescent="0.25">
      <c r="A9" s="253" t="s">
        <v>864</v>
      </c>
      <c r="B9" s="497"/>
      <c r="C9" s="544">
        <v>103329129</v>
      </c>
      <c r="D9" s="543" t="s">
        <v>854</v>
      </c>
      <c r="E9" s="497"/>
      <c r="F9" s="539">
        <v>332535547.68000001</v>
      </c>
    </row>
    <row r="10" spans="1:6" x14ac:dyDescent="0.25">
      <c r="A10" s="299" t="s">
        <v>863</v>
      </c>
      <c r="B10" s="535">
        <v>31530868</v>
      </c>
      <c r="C10" s="533"/>
      <c r="D10" s="554" t="s">
        <v>853</v>
      </c>
      <c r="E10" s="535">
        <v>207941378.56999999</v>
      </c>
      <c r="F10" s="537"/>
    </row>
    <row r="11" spans="1:6" x14ac:dyDescent="0.25">
      <c r="A11" s="299" t="s">
        <v>897</v>
      </c>
      <c r="B11" s="497"/>
      <c r="C11" s="533"/>
      <c r="D11" s="554" t="s">
        <v>133</v>
      </c>
      <c r="E11" s="535">
        <v>37847017.520000003</v>
      </c>
      <c r="F11" s="537"/>
    </row>
    <row r="12" spans="1:6" x14ac:dyDescent="0.25">
      <c r="A12" s="299" t="s">
        <v>862</v>
      </c>
      <c r="B12" s="535">
        <v>54252100</v>
      </c>
      <c r="C12" s="533"/>
      <c r="D12" s="538" t="s">
        <v>129</v>
      </c>
      <c r="E12" s="535">
        <v>-60344362</v>
      </c>
      <c r="F12" s="537"/>
    </row>
    <row r="13" spans="1:6" x14ac:dyDescent="0.25">
      <c r="A13" s="294" t="s">
        <v>454</v>
      </c>
      <c r="B13" s="534">
        <v>17546161</v>
      </c>
      <c r="C13" s="533"/>
      <c r="D13" s="538" t="s">
        <v>244</v>
      </c>
      <c r="E13" s="535">
        <v>19038.12</v>
      </c>
      <c r="F13" s="537"/>
    </row>
    <row r="14" spans="1:6" x14ac:dyDescent="0.25">
      <c r="A14" s="253" t="s">
        <v>861</v>
      </c>
      <c r="B14" s="497"/>
      <c r="C14" s="536">
        <v>105054891.42</v>
      </c>
      <c r="D14" s="538" t="s">
        <v>376</v>
      </c>
      <c r="E14" s="535">
        <v>7191410.4699999997</v>
      </c>
      <c r="F14" s="537"/>
    </row>
    <row r="15" spans="1:6" x14ac:dyDescent="0.25">
      <c r="A15" s="299" t="s">
        <v>896</v>
      </c>
      <c r="B15" s="497"/>
      <c r="C15" s="533"/>
      <c r="D15" s="538" t="s">
        <v>852</v>
      </c>
      <c r="E15" s="534">
        <v>139881065</v>
      </c>
      <c r="F15" s="537"/>
    </row>
    <row r="16" spans="1:6" x14ac:dyDescent="0.25">
      <c r="A16" s="294" t="s">
        <v>282</v>
      </c>
      <c r="B16" s="535">
        <v>4469387.0999999996</v>
      </c>
      <c r="C16" s="533"/>
      <c r="D16" s="540" t="s">
        <v>851</v>
      </c>
      <c r="E16" s="497"/>
      <c r="F16" s="539">
        <v>207226566.90000001</v>
      </c>
    </row>
    <row r="17" spans="1:6" x14ac:dyDescent="0.25">
      <c r="A17" s="294" t="s">
        <v>368</v>
      </c>
      <c r="B17" s="535">
        <v>19799790</v>
      </c>
      <c r="C17" s="533"/>
      <c r="D17" s="554" t="s">
        <v>891</v>
      </c>
      <c r="E17" s="535">
        <v>1013265</v>
      </c>
      <c r="F17" s="537"/>
    </row>
    <row r="18" spans="1:6" x14ac:dyDescent="0.25">
      <c r="A18" s="294" t="s">
        <v>860</v>
      </c>
      <c r="B18" s="535">
        <v>80785714.319999993</v>
      </c>
      <c r="C18" s="533"/>
      <c r="D18" s="554" t="s">
        <v>850</v>
      </c>
      <c r="E18" s="535">
        <v>48479841</v>
      </c>
      <c r="F18" s="537"/>
    </row>
    <row r="19" spans="1:6" x14ac:dyDescent="0.25">
      <c r="A19" s="294" t="s">
        <v>369</v>
      </c>
      <c r="B19" s="502"/>
      <c r="C19" s="533"/>
      <c r="D19" s="554" t="s">
        <v>849</v>
      </c>
      <c r="E19" s="535">
        <v>25796755</v>
      </c>
      <c r="F19" s="537"/>
    </row>
    <row r="20" spans="1:6" x14ac:dyDescent="0.25">
      <c r="A20" s="253" t="s">
        <v>859</v>
      </c>
      <c r="B20" s="497"/>
      <c r="C20" s="536">
        <v>30026254.390000001</v>
      </c>
      <c r="D20" s="554" t="s">
        <v>848</v>
      </c>
      <c r="E20" s="535">
        <v>83156063.859999999</v>
      </c>
      <c r="F20" s="537"/>
    </row>
    <row r="21" spans="1:6" x14ac:dyDescent="0.25">
      <c r="A21" s="299" t="s">
        <v>858</v>
      </c>
      <c r="B21" s="535">
        <v>8722886.2200000007</v>
      </c>
      <c r="C21" s="533"/>
      <c r="D21" s="554" t="s">
        <v>847</v>
      </c>
      <c r="E21" s="535">
        <v>368226</v>
      </c>
      <c r="F21" s="537"/>
    </row>
    <row r="22" spans="1:6" x14ac:dyDescent="0.25">
      <c r="A22" s="299" t="s">
        <v>857</v>
      </c>
      <c r="B22" s="535">
        <v>2614273</v>
      </c>
      <c r="C22" s="533"/>
      <c r="D22" s="554" t="s">
        <v>846</v>
      </c>
      <c r="E22" s="535">
        <v>21549861.18</v>
      </c>
      <c r="F22" s="537"/>
    </row>
    <row r="23" spans="1:6" x14ac:dyDescent="0.25">
      <c r="A23" s="299" t="s">
        <v>856</v>
      </c>
      <c r="B23" s="535">
        <v>14274296.83</v>
      </c>
      <c r="C23" s="533"/>
      <c r="D23" s="554" t="s">
        <v>845</v>
      </c>
      <c r="E23" s="535">
        <v>2088292.92</v>
      </c>
      <c r="F23" s="537"/>
    </row>
    <row r="24" spans="1:6" x14ac:dyDescent="0.25">
      <c r="A24" s="299" t="s">
        <v>855</v>
      </c>
      <c r="B24" s="535">
        <v>4377982.34</v>
      </c>
      <c r="C24" s="533"/>
      <c r="D24" s="538" t="s">
        <v>220</v>
      </c>
      <c r="E24" s="535">
        <v>3776</v>
      </c>
      <c r="F24" s="537"/>
    </row>
    <row r="25" spans="1:6" x14ac:dyDescent="0.25">
      <c r="A25" s="294" t="s">
        <v>273</v>
      </c>
      <c r="B25" s="497"/>
      <c r="C25" s="533"/>
      <c r="D25" s="538" t="s">
        <v>140</v>
      </c>
      <c r="E25" s="535">
        <v>1533931</v>
      </c>
      <c r="F25" s="537"/>
    </row>
    <row r="26" spans="1:6" x14ac:dyDescent="0.25">
      <c r="A26" s="294" t="s">
        <v>417</v>
      </c>
      <c r="B26" s="534">
        <v>36816</v>
      </c>
      <c r="C26" s="533"/>
      <c r="D26" s="538" t="s">
        <v>483</v>
      </c>
      <c r="E26" s="535">
        <v>13980.75</v>
      </c>
      <c r="F26" s="537"/>
    </row>
    <row r="27" spans="1:6" x14ac:dyDescent="0.25">
      <c r="A27" s="253" t="s">
        <v>895</v>
      </c>
      <c r="B27" s="497"/>
      <c r="C27" s="533"/>
      <c r="D27" s="538" t="s">
        <v>844</v>
      </c>
      <c r="E27" s="497"/>
      <c r="F27" s="537"/>
    </row>
    <row r="28" spans="1:6" x14ac:dyDescent="0.25">
      <c r="A28" s="253" t="s">
        <v>825</v>
      </c>
      <c r="B28" s="497"/>
      <c r="C28" s="536">
        <v>4318647</v>
      </c>
      <c r="D28" s="538" t="s">
        <v>484</v>
      </c>
      <c r="E28" s="535">
        <v>11285077</v>
      </c>
      <c r="F28" s="537"/>
    </row>
    <row r="29" spans="1:6" x14ac:dyDescent="0.25">
      <c r="A29" s="294" t="s">
        <v>283</v>
      </c>
      <c r="B29" s="534">
        <v>4318647</v>
      </c>
      <c r="C29" s="533"/>
      <c r="D29" s="538" t="s">
        <v>490</v>
      </c>
      <c r="E29" s="534">
        <v>11937497.189999999</v>
      </c>
      <c r="F29" s="537"/>
    </row>
    <row r="30" spans="1:6" x14ac:dyDescent="0.25">
      <c r="A30" s="253" t="s">
        <v>408</v>
      </c>
      <c r="B30" s="497"/>
      <c r="C30" s="536">
        <v>294146010.72000003</v>
      </c>
      <c r="D30" s="485"/>
      <c r="E30" s="485"/>
      <c r="F30" s="485"/>
    </row>
    <row r="31" spans="1:6" x14ac:dyDescent="0.25">
      <c r="A31" s="294" t="s">
        <v>894</v>
      </c>
      <c r="B31" s="535">
        <v>215881386.99000001</v>
      </c>
      <c r="C31" s="533"/>
      <c r="D31" s="485"/>
      <c r="E31" s="485"/>
      <c r="F31" s="485"/>
    </row>
    <row r="32" spans="1:6" x14ac:dyDescent="0.25">
      <c r="A32" s="294" t="s">
        <v>893</v>
      </c>
      <c r="B32" s="535">
        <v>78933489.730000004</v>
      </c>
      <c r="C32" s="533"/>
      <c r="D32" s="485"/>
      <c r="E32" s="485"/>
      <c r="F32" s="485"/>
    </row>
    <row r="33" spans="1:6" x14ac:dyDescent="0.25">
      <c r="A33" s="294" t="s">
        <v>892</v>
      </c>
      <c r="B33" s="534">
        <v>668866</v>
      </c>
      <c r="C33" s="533"/>
      <c r="D33" s="485"/>
      <c r="E33" s="485"/>
      <c r="F33" s="485"/>
    </row>
    <row r="34" spans="1:6" x14ac:dyDescent="0.25">
      <c r="A34" s="252" t="s">
        <v>597</v>
      </c>
      <c r="B34" s="497"/>
      <c r="C34" s="536">
        <v>2887182.05</v>
      </c>
      <c r="D34" s="485"/>
      <c r="E34" s="485"/>
      <c r="F34" s="485"/>
    </row>
    <row r="35" spans="1:6" x14ac:dyDescent="0.25">
      <c r="A35" s="553" t="s">
        <v>183</v>
      </c>
      <c r="B35" s="550"/>
      <c r="C35" s="552">
        <v>539762114.58000004</v>
      </c>
      <c r="D35" s="551" t="s">
        <v>183</v>
      </c>
      <c r="E35" s="550"/>
      <c r="F35" s="549">
        <v>539762114.58000004</v>
      </c>
    </row>
  </sheetData>
  <mergeCells count="10">
    <mergeCell ref="B7:C7"/>
    <mergeCell ref="B8:C8"/>
    <mergeCell ref="E7:F7"/>
    <mergeCell ref="E8:F8"/>
    <mergeCell ref="A1:C1"/>
    <mergeCell ref="A2:C2"/>
    <mergeCell ref="A3:C3"/>
    <mergeCell ref="A4:C4"/>
    <mergeCell ref="A5:C5"/>
    <mergeCell ref="A6:C6"/>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4:T39"/>
  <sheetViews>
    <sheetView topLeftCell="B1" workbookViewId="0">
      <selection activeCell="K15" sqref="K15"/>
    </sheetView>
  </sheetViews>
  <sheetFormatPr defaultRowHeight="15" x14ac:dyDescent="0.25"/>
  <cols>
    <col min="2" max="2" width="6.5703125" bestFit="1" customWidth="1"/>
    <col min="3" max="3" width="55.140625" bestFit="1" customWidth="1"/>
    <col min="4" max="4" width="15.85546875" bestFit="1" customWidth="1"/>
    <col min="5" max="5" width="8.42578125" bestFit="1" customWidth="1"/>
    <col min="6" max="6" width="16.5703125" bestFit="1" customWidth="1"/>
    <col min="7" max="7" width="17.42578125" bestFit="1" customWidth="1"/>
    <col min="8" max="8" width="23.85546875" style="306" bestFit="1" customWidth="1"/>
    <col min="9" max="9" width="17.42578125" style="306" bestFit="1" customWidth="1"/>
    <col min="10" max="10" width="12.85546875" bestFit="1" customWidth="1"/>
    <col min="11" max="11" width="11.42578125" bestFit="1" customWidth="1"/>
    <col min="12" max="12" width="11.85546875" bestFit="1" customWidth="1"/>
    <col min="13" max="13" width="11.5703125" customWidth="1"/>
    <col min="14" max="14" width="15.140625" bestFit="1" customWidth="1"/>
    <col min="19" max="19" width="21.5703125" bestFit="1" customWidth="1"/>
    <col min="20" max="20" width="14.5703125" bestFit="1" customWidth="1"/>
  </cols>
  <sheetData>
    <row r="4" spans="2:20" x14ac:dyDescent="0.25">
      <c r="B4" s="1713" t="s">
        <v>983</v>
      </c>
      <c r="C4" s="1713"/>
      <c r="D4" s="1713"/>
      <c r="E4" s="1713"/>
      <c r="F4" s="1713"/>
      <c r="G4" s="1713"/>
      <c r="H4" s="1715" t="s">
        <v>1062</v>
      </c>
      <c r="I4" s="1716"/>
      <c r="J4" t="s">
        <v>1044</v>
      </c>
    </row>
    <row r="5" spans="2:20" x14ac:dyDescent="0.25">
      <c r="B5" s="565" t="s">
        <v>984</v>
      </c>
      <c r="C5" s="565" t="s">
        <v>985</v>
      </c>
      <c r="D5" s="565" t="s">
        <v>986</v>
      </c>
      <c r="E5" s="565" t="s">
        <v>987</v>
      </c>
      <c r="F5" s="565" t="s">
        <v>988</v>
      </c>
      <c r="G5" s="565" t="s">
        <v>989</v>
      </c>
      <c r="H5" s="1169" t="s">
        <v>988</v>
      </c>
      <c r="I5" s="1169" t="s">
        <v>989</v>
      </c>
      <c r="S5" s="1714" t="s">
        <v>990</v>
      </c>
      <c r="T5" s="1714"/>
    </row>
    <row r="6" spans="2:20" ht="16.5" x14ac:dyDescent="0.3">
      <c r="B6" s="566">
        <v>1</v>
      </c>
      <c r="C6" s="566" t="s">
        <v>991</v>
      </c>
      <c r="D6" s="567" t="s">
        <v>992</v>
      </c>
      <c r="E6" s="568" t="s">
        <v>993</v>
      </c>
      <c r="F6" s="569">
        <v>1653140</v>
      </c>
      <c r="G6" s="569">
        <v>165314</v>
      </c>
      <c r="H6" s="306">
        <f>1653140</f>
        <v>1653140</v>
      </c>
      <c r="I6" s="306">
        <f>171114</f>
        <v>171114</v>
      </c>
      <c r="J6" s="1101">
        <f>H6-F6</f>
        <v>0</v>
      </c>
      <c r="K6" s="1101">
        <f>I6-G6</f>
        <v>5800</v>
      </c>
      <c r="S6" s="570" t="s">
        <v>994</v>
      </c>
      <c r="T6" s="571">
        <f>'Trial Balance'!D45</f>
        <v>11717929.189999999</v>
      </c>
    </row>
    <row r="7" spans="2:20" ht="16.5" x14ac:dyDescent="0.3">
      <c r="B7" s="566">
        <v>2</v>
      </c>
      <c r="C7" s="1192" t="s">
        <v>995</v>
      </c>
      <c r="D7" s="566" t="s">
        <v>996</v>
      </c>
      <c r="E7" s="568" t="s">
        <v>997</v>
      </c>
      <c r="F7" s="569">
        <v>38680758</v>
      </c>
      <c r="G7" s="569">
        <v>773614.8</v>
      </c>
      <c r="H7" s="306">
        <v>40723970</v>
      </c>
      <c r="I7" s="306">
        <v>817763.8</v>
      </c>
      <c r="J7" s="1193">
        <f>H7-F7</f>
        <v>2043212</v>
      </c>
      <c r="K7" s="1101">
        <f t="shared" ref="K7:K19" si="0">I7-G7</f>
        <v>44149</v>
      </c>
      <c r="S7" s="570" t="s">
        <v>998</v>
      </c>
      <c r="T7" s="571">
        <f>G20</f>
        <v>11488221.279999999</v>
      </c>
    </row>
    <row r="8" spans="2:20" ht="16.5" x14ac:dyDescent="0.3">
      <c r="B8" s="566">
        <f>+B7+1</f>
        <v>3</v>
      </c>
      <c r="C8" s="1192" t="s">
        <v>999</v>
      </c>
      <c r="D8" s="566" t="s">
        <v>1000</v>
      </c>
      <c r="E8" s="568" t="s">
        <v>997</v>
      </c>
      <c r="F8" s="569">
        <v>9484913</v>
      </c>
      <c r="G8" s="569">
        <v>189700</v>
      </c>
      <c r="H8" s="306">
        <f>9237912+247000</f>
        <v>9484912</v>
      </c>
      <c r="I8" s="306">
        <v>189699</v>
      </c>
      <c r="J8" s="1101">
        <f t="shared" ref="J8:J19" si="1">H8-F8</f>
        <v>-1</v>
      </c>
      <c r="K8" s="1101">
        <f t="shared" si="0"/>
        <v>-1</v>
      </c>
      <c r="S8" s="572" t="s">
        <v>1001</v>
      </c>
      <c r="T8" s="573">
        <f>+T6-T7</f>
        <v>229707.91000000015</v>
      </c>
    </row>
    <row r="9" spans="2:20" ht="16.5" x14ac:dyDescent="0.3">
      <c r="B9" s="566">
        <f>+B8+1</f>
        <v>4</v>
      </c>
      <c r="C9" s="1192" t="s">
        <v>1002</v>
      </c>
      <c r="D9" s="566" t="s">
        <v>1003</v>
      </c>
      <c r="E9" s="568" t="s">
        <v>993</v>
      </c>
      <c r="F9" s="569">
        <v>6438330</v>
      </c>
      <c r="G9" s="569">
        <v>643837</v>
      </c>
      <c r="H9" s="306">
        <f>11955577</f>
        <v>11955577</v>
      </c>
      <c r="I9" s="306">
        <v>1199313</v>
      </c>
      <c r="J9" s="1193">
        <f t="shared" si="1"/>
        <v>5517247</v>
      </c>
      <c r="K9" s="1101">
        <f t="shared" si="0"/>
        <v>555476</v>
      </c>
    </row>
    <row r="10" spans="2:20" ht="16.5" x14ac:dyDescent="0.3">
      <c r="B10" s="566">
        <f t="shared" ref="B10" si="2">+B9+1</f>
        <v>5</v>
      </c>
      <c r="C10" s="1192" t="s">
        <v>1004</v>
      </c>
      <c r="D10" s="566" t="s">
        <v>1005</v>
      </c>
      <c r="E10" s="568" t="s">
        <v>993</v>
      </c>
      <c r="F10" s="569">
        <v>38000</v>
      </c>
      <c r="G10" s="569">
        <v>3800</v>
      </c>
      <c r="H10" s="306">
        <v>41040</v>
      </c>
      <c r="J10" s="1101">
        <f t="shared" si="1"/>
        <v>3040</v>
      </c>
      <c r="K10" s="1101">
        <f t="shared" si="0"/>
        <v>-3800</v>
      </c>
      <c r="L10" t="s">
        <v>1438</v>
      </c>
      <c r="S10" s="1714" t="s">
        <v>1013</v>
      </c>
      <c r="T10" s="1714"/>
    </row>
    <row r="11" spans="2:20" ht="16.5" x14ac:dyDescent="0.3">
      <c r="B11" s="566">
        <f>+B10+1</f>
        <v>6</v>
      </c>
      <c r="C11" s="1192" t="s">
        <v>1006</v>
      </c>
      <c r="D11" s="566" t="s">
        <v>1007</v>
      </c>
      <c r="E11" s="568" t="s">
        <v>993</v>
      </c>
      <c r="F11" s="569">
        <v>45184910</v>
      </c>
      <c r="G11" s="569">
        <v>4518491</v>
      </c>
      <c r="H11" s="306">
        <f>44856088+619200</f>
        <v>45475288</v>
      </c>
      <c r="I11" s="306">
        <v>4567784.8</v>
      </c>
      <c r="J11" s="1101">
        <f t="shared" si="1"/>
        <v>290378</v>
      </c>
      <c r="K11" s="1101">
        <f t="shared" si="0"/>
        <v>49293.799999999814</v>
      </c>
      <c r="S11" s="570" t="s">
        <v>994</v>
      </c>
      <c r="T11" s="380">
        <v>0</v>
      </c>
    </row>
    <row r="12" spans="2:20" ht="16.5" x14ac:dyDescent="0.3">
      <c r="B12" s="566">
        <f>+B11+1</f>
        <v>7</v>
      </c>
      <c r="C12" s="1192" t="s">
        <v>1008</v>
      </c>
      <c r="D12" s="566" t="s">
        <v>1009</v>
      </c>
      <c r="E12" s="568" t="s">
        <v>997</v>
      </c>
      <c r="F12" s="569">
        <v>7168923</v>
      </c>
      <c r="G12" s="569">
        <v>143378</v>
      </c>
      <c r="H12" s="306">
        <f>7734690</f>
        <v>7734690</v>
      </c>
      <c r="I12" s="306">
        <v>156674</v>
      </c>
      <c r="J12" s="1101">
        <f t="shared" si="1"/>
        <v>565767</v>
      </c>
      <c r="K12" s="1101">
        <f t="shared" si="0"/>
        <v>13296</v>
      </c>
      <c r="S12" s="570" t="s">
        <v>1010</v>
      </c>
      <c r="T12" s="380">
        <v>0</v>
      </c>
    </row>
    <row r="13" spans="2:20" ht="16.5" x14ac:dyDescent="0.3">
      <c r="B13" s="566">
        <f>+B12+1</f>
        <v>8</v>
      </c>
      <c r="C13" s="1192" t="s">
        <v>303</v>
      </c>
      <c r="D13" s="566" t="s">
        <v>1011</v>
      </c>
      <c r="E13" s="568" t="s">
        <v>997</v>
      </c>
      <c r="F13" s="569">
        <v>1274370</v>
      </c>
      <c r="G13" s="569">
        <v>25487</v>
      </c>
      <c r="H13" s="306">
        <f>1478270</f>
        <v>1478270</v>
      </c>
      <c r="J13" s="1101">
        <f t="shared" si="1"/>
        <v>203900</v>
      </c>
      <c r="K13" s="1101">
        <f t="shared" si="0"/>
        <v>-25487</v>
      </c>
      <c r="L13" t="s">
        <v>1438</v>
      </c>
    </row>
    <row r="14" spans="2:20" ht="16.5" x14ac:dyDescent="0.3">
      <c r="B14" s="566">
        <f>+B13+1</f>
        <v>9</v>
      </c>
      <c r="C14" s="1192" t="s">
        <v>566</v>
      </c>
      <c r="D14" s="566" t="s">
        <v>1012</v>
      </c>
      <c r="E14" s="568" t="s">
        <v>993</v>
      </c>
      <c r="F14" s="569">
        <v>487776</v>
      </c>
      <c r="G14" s="569">
        <v>48779</v>
      </c>
      <c r="H14" s="306">
        <v>799758</v>
      </c>
      <c r="I14" s="306">
        <v>79977</v>
      </c>
      <c r="J14" s="1101">
        <f t="shared" si="1"/>
        <v>311982</v>
      </c>
      <c r="K14" s="1101">
        <f t="shared" si="0"/>
        <v>31198</v>
      </c>
      <c r="L14" t="s">
        <v>1437</v>
      </c>
      <c r="S14" s="1714" t="s">
        <v>1026</v>
      </c>
      <c r="T14" s="1714"/>
    </row>
    <row r="15" spans="2:20" ht="16.5" x14ac:dyDescent="0.3">
      <c r="B15" s="566">
        <f>+B14+1</f>
        <v>10</v>
      </c>
      <c r="C15" s="1192" t="s">
        <v>1014</v>
      </c>
      <c r="D15" s="566" t="s">
        <v>1015</v>
      </c>
      <c r="E15" s="568" t="s">
        <v>997</v>
      </c>
      <c r="F15" s="569">
        <v>10485833</v>
      </c>
      <c r="G15" s="569">
        <v>209716</v>
      </c>
      <c r="H15" s="306">
        <f>6157245+2790440</f>
        <v>8947685</v>
      </c>
      <c r="I15" s="306">
        <v>94166</v>
      </c>
      <c r="J15" s="1193">
        <f>H15-F15</f>
        <v>-1538148</v>
      </c>
      <c r="K15" s="1101">
        <f t="shared" si="0"/>
        <v>-115550</v>
      </c>
      <c r="S15" s="570" t="s">
        <v>994</v>
      </c>
      <c r="T15" s="380">
        <v>0</v>
      </c>
    </row>
    <row r="16" spans="2:20" ht="16.5" x14ac:dyDescent="0.3">
      <c r="B16" s="566">
        <f t="shared" ref="B16:B19" si="3">+B15+1</f>
        <v>11</v>
      </c>
      <c r="C16" s="1192" t="s">
        <v>578</v>
      </c>
      <c r="D16" s="566" t="s">
        <v>1016</v>
      </c>
      <c r="E16" s="568" t="s">
        <v>997</v>
      </c>
      <c r="F16" s="569">
        <v>13085067.289999999</v>
      </c>
      <c r="G16" s="569">
        <v>261702</v>
      </c>
      <c r="H16" s="306">
        <v>15379439</v>
      </c>
      <c r="I16" s="306">
        <v>309099</v>
      </c>
      <c r="J16" s="1193">
        <f t="shared" si="1"/>
        <v>2294371.7100000009</v>
      </c>
      <c r="K16" s="1101">
        <f t="shared" si="0"/>
        <v>47397</v>
      </c>
      <c r="S16" s="570" t="s">
        <v>1025</v>
      </c>
      <c r="T16" s="576">
        <v>0</v>
      </c>
    </row>
    <row r="17" spans="2:20" ht="16.5" x14ac:dyDescent="0.3">
      <c r="B17" s="566">
        <f t="shared" si="3"/>
        <v>12</v>
      </c>
      <c r="C17" s="567" t="s">
        <v>1017</v>
      </c>
      <c r="D17" s="566" t="s">
        <v>1018</v>
      </c>
      <c r="E17" s="568" t="s">
        <v>993</v>
      </c>
      <c r="F17" s="569">
        <v>36510917.600000001</v>
      </c>
      <c r="G17" s="569">
        <v>3651093.48</v>
      </c>
      <c r="H17" s="306">
        <v>36629581.329999998</v>
      </c>
      <c r="I17" s="306">
        <v>3651093</v>
      </c>
      <c r="J17" s="1180">
        <f t="shared" si="1"/>
        <v>118663.72999999672</v>
      </c>
      <c r="K17" s="1101">
        <f t="shared" si="0"/>
        <v>-0.47999999998137355</v>
      </c>
    </row>
    <row r="18" spans="2:20" ht="16.5" x14ac:dyDescent="0.3">
      <c r="B18" s="566">
        <f t="shared" si="3"/>
        <v>13</v>
      </c>
      <c r="C18" s="567" t="s">
        <v>1019</v>
      </c>
      <c r="D18" s="566" t="s">
        <v>1020</v>
      </c>
      <c r="E18" s="568" t="s">
        <v>993</v>
      </c>
      <c r="F18" s="569">
        <v>5678643.2199999997</v>
      </c>
      <c r="G18" s="569">
        <v>567865</v>
      </c>
      <c r="H18" s="306">
        <v>5562643</v>
      </c>
      <c r="I18" s="306">
        <v>371753</v>
      </c>
      <c r="J18" s="1101">
        <f>H18-F18</f>
        <v>-116000.21999999974</v>
      </c>
      <c r="K18" s="1101">
        <f t="shared" si="0"/>
        <v>-196112</v>
      </c>
    </row>
    <row r="19" spans="2:20" ht="16.5" x14ac:dyDescent="0.3">
      <c r="B19" s="566">
        <f t="shared" si="3"/>
        <v>14</v>
      </c>
      <c r="C19" s="567" t="s">
        <v>1021</v>
      </c>
      <c r="D19" s="566" t="s">
        <v>1022</v>
      </c>
      <c r="E19" s="568" t="s">
        <v>1023</v>
      </c>
      <c r="F19" s="569">
        <v>2854437</v>
      </c>
      <c r="G19" s="569">
        <v>285444</v>
      </c>
      <c r="H19" s="306">
        <f>2383451</f>
        <v>2383451</v>
      </c>
      <c r="I19" s="306">
        <f>241841</f>
        <v>241841</v>
      </c>
      <c r="J19" s="1101">
        <f t="shared" si="1"/>
        <v>-470986</v>
      </c>
      <c r="K19" s="1101">
        <f t="shared" si="0"/>
        <v>-43603</v>
      </c>
      <c r="S19" s="1712" t="s">
        <v>1035</v>
      </c>
      <c r="T19" s="1712"/>
    </row>
    <row r="20" spans="2:20" x14ac:dyDescent="0.25">
      <c r="B20" s="565" t="s">
        <v>1024</v>
      </c>
      <c r="C20" s="565"/>
      <c r="D20" s="565"/>
      <c r="E20" s="565"/>
      <c r="F20" s="574">
        <f>SUM(F6:F19)</f>
        <v>179026018.10999998</v>
      </c>
      <c r="G20" s="574">
        <f>SUM(G6:G19)</f>
        <v>11488221.279999999</v>
      </c>
      <c r="H20" s="735">
        <f>SUM(H6:H19)</f>
        <v>188249444.32999998</v>
      </c>
      <c r="I20" s="735">
        <f>SUM(I6:I19)</f>
        <v>11850277.6</v>
      </c>
      <c r="J20" s="735">
        <f t="shared" ref="J20" si="4">SUM(J6:J19)</f>
        <v>9223426.2199999988</v>
      </c>
      <c r="K20" s="735">
        <f>SUM(K6:K19)</f>
        <v>362056.31999999983</v>
      </c>
      <c r="S20" s="572" t="s">
        <v>1036</v>
      </c>
      <c r="T20" s="577">
        <f>'Note 16-23'!B10</f>
        <v>242758853.55000001</v>
      </c>
    </row>
    <row r="21" spans="2:20" x14ac:dyDescent="0.25">
      <c r="G21" s="306">
        <v>11717929.189999999</v>
      </c>
      <c r="S21" s="570" t="s">
        <v>1133</v>
      </c>
      <c r="T21" s="575">
        <f>GST!C26</f>
        <v>330858462.82000005</v>
      </c>
    </row>
    <row r="22" spans="2:20" x14ac:dyDescent="0.25">
      <c r="S22" s="572" t="s">
        <v>1040</v>
      </c>
      <c r="T22" s="577">
        <f>T21</f>
        <v>330858462.82000005</v>
      </c>
    </row>
    <row r="23" spans="2:20" x14ac:dyDescent="0.25">
      <c r="B23" s="1710" t="s">
        <v>1027</v>
      </c>
      <c r="C23" s="1711"/>
      <c r="D23" s="1711"/>
      <c r="E23" s="1711"/>
      <c r="F23" s="1711"/>
      <c r="G23" s="1711"/>
      <c r="M23" s="570" t="s">
        <v>1044</v>
      </c>
      <c r="N23" s="578">
        <f>+T20-T22</f>
        <v>-88099609.270000041</v>
      </c>
    </row>
    <row r="24" spans="2:20" x14ac:dyDescent="0.25">
      <c r="B24" s="565" t="s">
        <v>984</v>
      </c>
      <c r="C24" s="565" t="s">
        <v>1028</v>
      </c>
      <c r="D24" s="565" t="s">
        <v>986</v>
      </c>
      <c r="E24" s="565" t="s">
        <v>987</v>
      </c>
      <c r="F24" s="565" t="s">
        <v>988</v>
      </c>
      <c r="G24" s="565" t="s">
        <v>989</v>
      </c>
    </row>
    <row r="25" spans="2:20" ht="16.5" x14ac:dyDescent="0.3">
      <c r="B25" s="566">
        <v>1</v>
      </c>
      <c r="C25" s="566" t="s">
        <v>1029</v>
      </c>
      <c r="D25" s="567" t="s">
        <v>1030</v>
      </c>
      <c r="E25" s="568" t="s">
        <v>1031</v>
      </c>
      <c r="F25" s="569">
        <v>279614</v>
      </c>
      <c r="G25" s="1176">
        <v>13981</v>
      </c>
    </row>
    <row r="26" spans="2:20" ht="16.5" x14ac:dyDescent="0.3">
      <c r="B26" s="566">
        <v>2</v>
      </c>
      <c r="C26" s="567" t="s">
        <v>1032</v>
      </c>
      <c r="D26" s="566" t="s">
        <v>1033</v>
      </c>
      <c r="E26" s="568" t="s">
        <v>1034</v>
      </c>
      <c r="F26" s="569">
        <v>5846000</v>
      </c>
      <c r="G26" s="569">
        <v>5846</v>
      </c>
    </row>
    <row r="27" spans="2:20" x14ac:dyDescent="0.25">
      <c r="B27" s="565" t="s">
        <v>1024</v>
      </c>
      <c r="C27" s="565"/>
      <c r="D27" s="565"/>
      <c r="E27" s="565"/>
      <c r="F27" s="574">
        <f>SUM(F25:F26)</f>
        <v>6125614</v>
      </c>
      <c r="G27" s="574">
        <f>SUM(G25:G26)</f>
        <v>19827</v>
      </c>
    </row>
    <row r="30" spans="2:20" x14ac:dyDescent="0.25">
      <c r="B30" s="1710" t="s">
        <v>1045</v>
      </c>
      <c r="C30" s="1711"/>
      <c r="D30" s="1711"/>
      <c r="E30" s="1711"/>
      <c r="F30" s="1711"/>
      <c r="G30" s="1711"/>
    </row>
    <row r="31" spans="2:20" x14ac:dyDescent="0.25">
      <c r="B31" s="565" t="s">
        <v>984</v>
      </c>
      <c r="C31" s="565" t="s">
        <v>1037</v>
      </c>
      <c r="D31" s="565" t="s">
        <v>1038</v>
      </c>
      <c r="E31" s="565" t="s">
        <v>987</v>
      </c>
      <c r="F31" s="565" t="s">
        <v>988</v>
      </c>
      <c r="G31" s="565" t="s">
        <v>1039</v>
      </c>
    </row>
    <row r="32" spans="2:20" ht="16.5" x14ac:dyDescent="0.3">
      <c r="B32" s="566">
        <v>1</v>
      </c>
      <c r="C32" s="566" t="s">
        <v>1041</v>
      </c>
      <c r="D32" s="567" t="s">
        <v>1042</v>
      </c>
      <c r="E32" s="568" t="s">
        <v>1043</v>
      </c>
      <c r="F32" s="569">
        <v>43000000</v>
      </c>
      <c r="G32" s="569">
        <v>430000</v>
      </c>
    </row>
    <row r="33" spans="2:7" ht="16.5" x14ac:dyDescent="0.3">
      <c r="B33" s="566">
        <v>2</v>
      </c>
      <c r="C33" s="566" t="s">
        <v>1041</v>
      </c>
      <c r="D33" s="567" t="s">
        <v>1042</v>
      </c>
      <c r="E33" s="568" t="s">
        <v>1043</v>
      </c>
      <c r="F33" s="569">
        <v>87000000</v>
      </c>
      <c r="G33" s="569">
        <v>870000</v>
      </c>
    </row>
    <row r="34" spans="2:7" x14ac:dyDescent="0.25">
      <c r="B34" s="565" t="s">
        <v>1024</v>
      </c>
      <c r="C34" s="565"/>
      <c r="D34" s="565"/>
      <c r="E34" s="565"/>
      <c r="F34" s="574">
        <f>SUM(F32:F33)</f>
        <v>130000000</v>
      </c>
      <c r="G34" s="574">
        <f>SUM(G32:G33)</f>
        <v>1300000</v>
      </c>
    </row>
    <row r="37" spans="2:7" x14ac:dyDescent="0.25">
      <c r="C37" t="s">
        <v>1141</v>
      </c>
    </row>
    <row r="39" spans="2:7" ht="16.5" x14ac:dyDescent="0.3">
      <c r="B39" s="566"/>
      <c r="C39" s="567" t="s">
        <v>1021</v>
      </c>
      <c r="D39" s="566"/>
      <c r="E39" s="568" t="s">
        <v>1023</v>
      </c>
      <c r="F39" s="569">
        <v>183379</v>
      </c>
      <c r="G39" s="569">
        <v>18338</v>
      </c>
    </row>
  </sheetData>
  <mergeCells count="8">
    <mergeCell ref="B23:G23"/>
    <mergeCell ref="S19:T19"/>
    <mergeCell ref="B30:G30"/>
    <mergeCell ref="B4:G4"/>
    <mergeCell ref="S5:T5"/>
    <mergeCell ref="S10:T10"/>
    <mergeCell ref="S14:T14"/>
    <mergeCell ref="H4:I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AG78"/>
  <sheetViews>
    <sheetView topLeftCell="A45" workbookViewId="0">
      <selection activeCell="J77" sqref="J77"/>
    </sheetView>
  </sheetViews>
  <sheetFormatPr defaultColWidth="1.42578125" defaultRowHeight="15.75" x14ac:dyDescent="0.25"/>
  <cols>
    <col min="1" max="1" width="5" style="583" customWidth="1"/>
    <col min="2" max="2" width="19.5703125" style="583" customWidth="1"/>
    <col min="3" max="3" width="17.5703125" style="583" customWidth="1"/>
    <col min="4" max="4" width="15.42578125" style="582" bestFit="1" customWidth="1"/>
    <col min="5" max="5" width="14.42578125" style="582" bestFit="1" customWidth="1"/>
    <col min="6" max="6" width="15.5703125" style="582" customWidth="1"/>
    <col min="7" max="7" width="14.42578125" style="582" customWidth="1"/>
    <col min="8" max="8" width="15.5703125" style="582" bestFit="1" customWidth="1"/>
    <col min="9" max="10" width="16.5703125" style="582" bestFit="1" customWidth="1"/>
    <col min="11" max="11" width="18.85546875" style="582" bestFit="1" customWidth="1"/>
    <col min="12" max="12" width="14.42578125" style="583" customWidth="1"/>
    <col min="13" max="13" width="24.42578125" style="583" bestFit="1" customWidth="1"/>
    <col min="14" max="14" width="25.5703125" style="583" bestFit="1" customWidth="1"/>
    <col min="15" max="15" width="15.5703125" style="583" customWidth="1"/>
    <col min="16" max="16" width="16" style="583" customWidth="1"/>
    <col min="17" max="17" width="15.5703125" style="583" bestFit="1" customWidth="1"/>
    <col min="18" max="18" width="15.85546875" style="583" bestFit="1" customWidth="1"/>
    <col min="19" max="20" width="20.42578125" style="583" bestFit="1" customWidth="1"/>
    <col min="21" max="21" width="15.85546875" style="583" bestFit="1" customWidth="1"/>
    <col min="22" max="22" width="15.42578125" style="582" bestFit="1" customWidth="1"/>
    <col min="23" max="23" width="15.5703125" style="582" bestFit="1" customWidth="1"/>
    <col min="24" max="24" width="15.42578125" style="582" bestFit="1" customWidth="1"/>
    <col min="25" max="25" width="13.5703125" style="582" bestFit="1" customWidth="1"/>
    <col min="26" max="26" width="15.42578125" style="583" bestFit="1" customWidth="1"/>
    <col min="27" max="27" width="15" style="583" bestFit="1" customWidth="1"/>
    <col min="28" max="28" width="12.85546875" style="583" bestFit="1" customWidth="1"/>
    <col min="29" max="29" width="13.42578125" style="583" bestFit="1" customWidth="1"/>
    <col min="30" max="30" width="15" style="583" bestFit="1" customWidth="1"/>
    <col min="31" max="31" width="13.42578125" style="583" bestFit="1" customWidth="1"/>
    <col min="32" max="33" width="13.140625" style="583" bestFit="1" customWidth="1"/>
    <col min="34" max="34" width="33.140625" style="583" customWidth="1"/>
    <col min="35" max="16384" width="1.42578125" style="583"/>
  </cols>
  <sheetData>
    <row r="2" spans="2:26" x14ac:dyDescent="0.25">
      <c r="B2" s="579" t="s">
        <v>1046</v>
      </c>
      <c r="C2" s="580"/>
      <c r="D2" s="581"/>
    </row>
    <row r="3" spans="2:26" x14ac:dyDescent="0.25">
      <c r="B3" s="579" t="s">
        <v>1047</v>
      </c>
      <c r="C3" s="584"/>
      <c r="D3" s="581"/>
    </row>
    <row r="4" spans="2:26" x14ac:dyDescent="0.25">
      <c r="B4" s="579" t="s">
        <v>1048</v>
      </c>
      <c r="C4" s="580"/>
      <c r="D4" s="581"/>
    </row>
    <row r="5" spans="2:26" x14ac:dyDescent="0.25">
      <c r="B5" s="579" t="s">
        <v>1049</v>
      </c>
      <c r="C5" s="580"/>
      <c r="D5" s="581"/>
    </row>
    <row r="6" spans="2:26" x14ac:dyDescent="0.25">
      <c r="C6" s="585"/>
      <c r="Z6" s="586"/>
    </row>
    <row r="7" spans="2:26" x14ac:dyDescent="0.25">
      <c r="B7" s="583" t="s">
        <v>1078</v>
      </c>
      <c r="C7" s="587"/>
      <c r="D7" s="588"/>
      <c r="E7" s="588"/>
      <c r="F7" s="588"/>
      <c r="G7" s="588"/>
      <c r="H7" s="588"/>
      <c r="I7" s="588"/>
      <c r="J7" s="588"/>
      <c r="K7" s="588"/>
      <c r="L7" s="587"/>
      <c r="M7" s="587"/>
      <c r="N7" s="587"/>
      <c r="O7" s="587"/>
      <c r="P7" s="587"/>
    </row>
    <row r="8" spans="2:26" ht="16.5" thickBot="1" x14ac:dyDescent="0.3">
      <c r="B8" s="589"/>
      <c r="C8" s="590"/>
      <c r="D8" s="591"/>
      <c r="E8" s="591"/>
      <c r="F8" s="592"/>
      <c r="G8" s="591"/>
      <c r="H8" s="591"/>
      <c r="J8" s="586"/>
    </row>
    <row r="9" spans="2:26" ht="18.75" customHeight="1" thickBot="1" x14ac:dyDescent="0.3">
      <c r="B9" s="1720" t="s">
        <v>1050</v>
      </c>
      <c r="C9" s="1722" t="s">
        <v>1051</v>
      </c>
      <c r="D9" s="1723"/>
      <c r="E9" s="1723"/>
      <c r="F9" s="1723"/>
      <c r="G9" s="1723"/>
      <c r="H9" s="1723"/>
      <c r="I9" s="1724"/>
      <c r="J9" s="1722" t="s">
        <v>1052</v>
      </c>
      <c r="K9" s="1723"/>
      <c r="L9" s="1723"/>
      <c r="M9" s="1723"/>
      <c r="N9" s="1723"/>
      <c r="O9" s="1723"/>
      <c r="P9" s="1725" t="s">
        <v>1053</v>
      </c>
      <c r="Q9" s="1725"/>
      <c r="R9" s="1725"/>
      <c r="S9" s="1726"/>
      <c r="V9" s="583"/>
      <c r="W9" s="583"/>
      <c r="X9" s="583"/>
      <c r="Y9" s="583"/>
    </row>
    <row r="10" spans="2:26" ht="50.25" customHeight="1" thickBot="1" x14ac:dyDescent="0.3">
      <c r="B10" s="1721"/>
      <c r="C10" s="593" t="s">
        <v>1054</v>
      </c>
      <c r="D10" s="594" t="s">
        <v>1127</v>
      </c>
      <c r="E10" s="595" t="s">
        <v>1055</v>
      </c>
      <c r="F10" s="595" t="s">
        <v>1056</v>
      </c>
      <c r="G10" s="595" t="s">
        <v>1057</v>
      </c>
      <c r="H10" s="595" t="s">
        <v>1058</v>
      </c>
      <c r="I10" s="596" t="s">
        <v>1059</v>
      </c>
      <c r="J10" s="597" t="s">
        <v>1060</v>
      </c>
      <c r="K10" s="597" t="s">
        <v>1055</v>
      </c>
      <c r="L10" s="597" t="s">
        <v>1056</v>
      </c>
      <c r="M10" s="597" t="s">
        <v>1057</v>
      </c>
      <c r="N10" s="597" t="s">
        <v>1058</v>
      </c>
      <c r="O10" s="596" t="s">
        <v>1059</v>
      </c>
      <c r="P10" s="600" t="s">
        <v>1061</v>
      </c>
      <c r="Q10" s="601" t="s">
        <v>1055</v>
      </c>
      <c r="R10" s="601" t="s">
        <v>1056</v>
      </c>
      <c r="S10" s="596" t="s">
        <v>1057</v>
      </c>
      <c r="V10" s="583"/>
      <c r="W10" s="583"/>
      <c r="X10" s="583"/>
      <c r="Y10" s="583"/>
    </row>
    <row r="11" spans="2:26" x14ac:dyDescent="0.25">
      <c r="B11" s="602">
        <v>45017</v>
      </c>
      <c r="C11" s="603">
        <f>31414562.8-1849772</f>
        <v>29564790.800000001</v>
      </c>
      <c r="D11" s="604">
        <v>11025488</v>
      </c>
      <c r="E11" s="604">
        <v>0</v>
      </c>
      <c r="F11" s="605">
        <f>2827310.65-166479.48</f>
        <v>2660831.17</v>
      </c>
      <c r="G11" s="605">
        <f t="shared" ref="G11:G16" si="0">F11</f>
        <v>2660831.17</v>
      </c>
      <c r="H11" s="606">
        <f t="shared" ref="H11:H20" si="1">E11+F11+G11</f>
        <v>5321662.34</v>
      </c>
      <c r="I11" s="607">
        <f>C11+H11+D11</f>
        <v>45911941.140000001</v>
      </c>
      <c r="J11" s="604">
        <f>29564790.8+11025488</f>
        <v>40590278.799999997</v>
      </c>
      <c r="K11" s="609">
        <v>0</v>
      </c>
      <c r="L11" s="605">
        <v>2660831.17</v>
      </c>
      <c r="M11" s="610">
        <f>L11</f>
        <v>2660831.17</v>
      </c>
      <c r="N11" s="610">
        <f t="shared" ref="N11:N16" si="2">K11+L11+M11</f>
        <v>5321662.34</v>
      </c>
      <c r="O11" s="607">
        <f t="shared" ref="O11:O12" si="3">J11+N11</f>
        <v>45911941.140000001</v>
      </c>
      <c r="P11" s="612">
        <f t="shared" ref="P11:P22" si="4">SUM(C11:D11)-J11</f>
        <v>0</v>
      </c>
      <c r="Q11" s="612">
        <f t="shared" ref="Q11:Q20" si="5">E11-K11</f>
        <v>0</v>
      </c>
      <c r="R11" s="612">
        <f t="shared" ref="R11:R20" si="6">F11-L11</f>
        <v>0</v>
      </c>
      <c r="S11" s="607">
        <f t="shared" ref="S11:S20" si="7">G11-M11</f>
        <v>0</v>
      </c>
      <c r="V11" s="583"/>
      <c r="W11" s="583"/>
      <c r="X11" s="583"/>
      <c r="Y11" s="583"/>
    </row>
    <row r="12" spans="2:26" x14ac:dyDescent="0.25">
      <c r="B12" s="613">
        <v>45047</v>
      </c>
      <c r="C12" s="614">
        <v>26318415.600000001</v>
      </c>
      <c r="D12" s="615">
        <v>13805202</v>
      </c>
      <c r="E12" s="604">
        <v>0</v>
      </c>
      <c r="F12" s="609">
        <v>2368657.41</v>
      </c>
      <c r="G12" s="605">
        <f t="shared" si="0"/>
        <v>2368657.41</v>
      </c>
      <c r="H12" s="616">
        <f t="shared" si="1"/>
        <v>4737314.82</v>
      </c>
      <c r="I12" s="607">
        <f>C12+H12+D12</f>
        <v>44860932.420000002</v>
      </c>
      <c r="J12" s="608">
        <f>26318415.6+13805202</f>
        <v>40123617.600000001</v>
      </c>
      <c r="K12" s="609">
        <v>0</v>
      </c>
      <c r="L12" s="609">
        <f>2368657.41</f>
        <v>2368657.41</v>
      </c>
      <c r="M12" s="610">
        <f t="shared" ref="M12:M22" si="8">L12</f>
        <v>2368657.41</v>
      </c>
      <c r="N12" s="618">
        <f>K12+L12+M12</f>
        <v>4737314.82</v>
      </c>
      <c r="O12" s="607">
        <f t="shared" si="3"/>
        <v>44860932.420000002</v>
      </c>
      <c r="P12" s="612">
        <f t="shared" si="4"/>
        <v>0</v>
      </c>
      <c r="Q12" s="615">
        <f t="shared" si="5"/>
        <v>0</v>
      </c>
      <c r="R12" s="615">
        <f t="shared" si="6"/>
        <v>0</v>
      </c>
      <c r="S12" s="607">
        <f t="shared" si="7"/>
        <v>0</v>
      </c>
      <c r="V12" s="583"/>
      <c r="W12" s="583"/>
      <c r="X12" s="583"/>
      <c r="Y12" s="583"/>
    </row>
    <row r="13" spans="2:26" x14ac:dyDescent="0.25">
      <c r="B13" s="602">
        <v>45078</v>
      </c>
      <c r="C13" s="621">
        <v>11712445.27</v>
      </c>
      <c r="D13" s="622">
        <v>24561724.800000001</v>
      </c>
      <c r="E13" s="616">
        <v>0</v>
      </c>
      <c r="F13" s="616">
        <v>1054120.07</v>
      </c>
      <c r="G13" s="616">
        <f t="shared" si="0"/>
        <v>1054120.07</v>
      </c>
      <c r="H13" s="616">
        <f t="shared" si="1"/>
        <v>2108240.14</v>
      </c>
      <c r="I13" s="607">
        <f t="shared" ref="I13:I22" si="9">C13+H13+D13</f>
        <v>38382410.210000001</v>
      </c>
      <c r="J13" s="623">
        <f>11712445.27+24561724.8</f>
        <v>36274170.07</v>
      </c>
      <c r="K13" s="609">
        <v>0</v>
      </c>
      <c r="L13" s="609">
        <f>1054120.07</f>
        <v>1054120.07</v>
      </c>
      <c r="M13" s="610">
        <f t="shared" si="8"/>
        <v>1054120.07</v>
      </c>
      <c r="N13" s="618">
        <f>K13+L13+M13</f>
        <v>2108240.14</v>
      </c>
      <c r="O13" s="607">
        <f>J13+N13</f>
        <v>38382410.210000001</v>
      </c>
      <c r="P13" s="612">
        <f t="shared" si="4"/>
        <v>0</v>
      </c>
      <c r="Q13" s="622">
        <f t="shared" si="5"/>
        <v>0</v>
      </c>
      <c r="R13" s="622">
        <f t="shared" si="6"/>
        <v>0</v>
      </c>
      <c r="S13" s="607">
        <f t="shared" si="7"/>
        <v>0</v>
      </c>
      <c r="V13" s="583"/>
      <c r="W13" s="583"/>
      <c r="X13" s="583"/>
      <c r="Y13" s="583"/>
    </row>
    <row r="14" spans="2:26" x14ac:dyDescent="0.25">
      <c r="B14" s="613">
        <v>45108</v>
      </c>
      <c r="C14" s="621">
        <f>9395603-439226</f>
        <v>8956377</v>
      </c>
      <c r="D14" s="622">
        <v>18725502.399999999</v>
      </c>
      <c r="E14" s="616">
        <f>408787.2-16920</f>
        <v>391867.2</v>
      </c>
      <c r="F14" s="616">
        <f>641210.67-31070.34</f>
        <v>610140.33000000007</v>
      </c>
      <c r="G14" s="616">
        <f t="shared" si="0"/>
        <v>610140.33000000007</v>
      </c>
      <c r="H14" s="616">
        <f t="shared" si="1"/>
        <v>1612147.86</v>
      </c>
      <c r="I14" s="607">
        <f t="shared" si="9"/>
        <v>29294027.259999998</v>
      </c>
      <c r="J14" s="623">
        <f>8956377+18725502.4</f>
        <v>27681879.399999999</v>
      </c>
      <c r="K14" s="623">
        <v>391867.2</v>
      </c>
      <c r="L14" s="609">
        <v>610140.32999999996</v>
      </c>
      <c r="M14" s="610">
        <f t="shared" si="8"/>
        <v>610140.32999999996</v>
      </c>
      <c r="N14" s="618">
        <f>K14+L14+M14</f>
        <v>1612147.8599999999</v>
      </c>
      <c r="O14" s="607">
        <f>J14+N14</f>
        <v>29294027.259999998</v>
      </c>
      <c r="P14" s="612">
        <f t="shared" si="4"/>
        <v>0</v>
      </c>
      <c r="Q14" s="622">
        <f t="shared" si="5"/>
        <v>0</v>
      </c>
      <c r="R14" s="622">
        <f t="shared" si="6"/>
        <v>0</v>
      </c>
      <c r="S14" s="607">
        <f t="shared" si="7"/>
        <v>0</v>
      </c>
      <c r="V14" s="583"/>
      <c r="W14" s="583"/>
      <c r="X14" s="583"/>
      <c r="Y14" s="583"/>
    </row>
    <row r="15" spans="2:26" x14ac:dyDescent="0.25">
      <c r="B15" s="602">
        <v>45139</v>
      </c>
      <c r="C15" s="621">
        <f>7939986-697780</f>
        <v>7242206</v>
      </c>
      <c r="D15" s="622">
        <v>13688896</v>
      </c>
      <c r="E15" s="616">
        <v>66805.2</v>
      </c>
      <c r="F15" s="616">
        <f>681196.14-62800.2</f>
        <v>618395.94000000006</v>
      </c>
      <c r="G15" s="616">
        <f t="shared" si="0"/>
        <v>618395.94000000006</v>
      </c>
      <c r="H15" s="616">
        <f t="shared" si="1"/>
        <v>1303597.08</v>
      </c>
      <c r="I15" s="607">
        <f t="shared" si="9"/>
        <v>22234699.079999998</v>
      </c>
      <c r="J15" s="623">
        <f>7242206+13688896</f>
        <v>20931102</v>
      </c>
      <c r="K15" s="623">
        <f>66805.2</f>
        <v>66805.2</v>
      </c>
      <c r="L15" s="609">
        <v>618395.93999999994</v>
      </c>
      <c r="M15" s="610">
        <f t="shared" si="8"/>
        <v>618395.93999999994</v>
      </c>
      <c r="N15" s="618">
        <f>K15+L15+M15</f>
        <v>1303597.0799999998</v>
      </c>
      <c r="O15" s="607">
        <f>J15+N15</f>
        <v>22234699.079999998</v>
      </c>
      <c r="P15" s="612">
        <f t="shared" si="4"/>
        <v>0</v>
      </c>
      <c r="Q15" s="622">
        <f t="shared" si="5"/>
        <v>0</v>
      </c>
      <c r="R15" s="622">
        <f t="shared" si="6"/>
        <v>0</v>
      </c>
      <c r="S15" s="607">
        <f t="shared" si="7"/>
        <v>0</v>
      </c>
      <c r="V15" s="583"/>
      <c r="W15" s="583"/>
      <c r="X15" s="583"/>
      <c r="Y15" s="583"/>
    </row>
    <row r="16" spans="2:26" x14ac:dyDescent="0.25">
      <c r="B16" s="613">
        <v>45170</v>
      </c>
      <c r="C16" s="614">
        <f>7759610-163000</f>
        <v>7596610</v>
      </c>
      <c r="D16" s="615">
        <v>14991920</v>
      </c>
      <c r="E16" s="609">
        <v>0</v>
      </c>
      <c r="F16" s="609">
        <f>698364.9-14670</f>
        <v>683694.9</v>
      </c>
      <c r="G16" s="616">
        <f t="shared" si="0"/>
        <v>683694.9</v>
      </c>
      <c r="H16" s="616">
        <f t="shared" si="1"/>
        <v>1367389.8</v>
      </c>
      <c r="I16" s="607">
        <f t="shared" si="9"/>
        <v>23955919.800000001</v>
      </c>
      <c r="J16" s="623">
        <f>7596610+14991920</f>
        <v>22588530</v>
      </c>
      <c r="K16" s="623">
        <v>0</v>
      </c>
      <c r="L16" s="609">
        <v>683694.9</v>
      </c>
      <c r="M16" s="610">
        <f t="shared" si="8"/>
        <v>683694.9</v>
      </c>
      <c r="N16" s="618">
        <f t="shared" si="2"/>
        <v>1367389.8</v>
      </c>
      <c r="O16" s="607">
        <f>J16+N16</f>
        <v>23955919.800000001</v>
      </c>
      <c r="P16" s="612">
        <f t="shared" si="4"/>
        <v>0</v>
      </c>
      <c r="Q16" s="615">
        <f t="shared" si="5"/>
        <v>0</v>
      </c>
      <c r="R16" s="615">
        <f t="shared" si="6"/>
        <v>0</v>
      </c>
      <c r="S16" s="607">
        <f t="shared" si="7"/>
        <v>0</v>
      </c>
      <c r="V16" s="583"/>
      <c r="W16" s="583"/>
      <c r="X16" s="583"/>
      <c r="Y16" s="583"/>
    </row>
    <row r="17" spans="2:33" x14ac:dyDescent="0.25">
      <c r="B17" s="602">
        <v>45200</v>
      </c>
      <c r="C17" s="614">
        <f>11429242-18484</f>
        <v>11410758</v>
      </c>
      <c r="D17" s="615">
        <v>10684628</v>
      </c>
      <c r="E17" s="609">
        <v>136440</v>
      </c>
      <c r="F17" s="609">
        <f>960411.78-1663.56</f>
        <v>958748.22</v>
      </c>
      <c r="G17" s="616">
        <f t="shared" ref="G17:G22" si="10">F17</f>
        <v>958748.22</v>
      </c>
      <c r="H17" s="616">
        <f t="shared" si="1"/>
        <v>2053936.44</v>
      </c>
      <c r="I17" s="607">
        <f t="shared" si="9"/>
        <v>24149322.439999998</v>
      </c>
      <c r="J17" s="625">
        <f>11410758+10684628</f>
        <v>22095386</v>
      </c>
      <c r="K17" s="609">
        <v>136440</v>
      </c>
      <c r="L17" s="609">
        <v>958748.22</v>
      </c>
      <c r="M17" s="610">
        <f t="shared" si="8"/>
        <v>958748.22</v>
      </c>
      <c r="N17" s="618">
        <v>0</v>
      </c>
      <c r="O17" s="607">
        <f t="shared" ref="O17:O21" si="11">J17+N17</f>
        <v>22095386</v>
      </c>
      <c r="P17" s="612">
        <f t="shared" si="4"/>
        <v>0</v>
      </c>
      <c r="Q17" s="615">
        <f t="shared" si="5"/>
        <v>0</v>
      </c>
      <c r="R17" s="615">
        <f t="shared" si="6"/>
        <v>0</v>
      </c>
      <c r="S17" s="607">
        <f t="shared" si="7"/>
        <v>0</v>
      </c>
      <c r="V17" s="583"/>
      <c r="W17" s="583"/>
      <c r="X17" s="583"/>
      <c r="Y17" s="583"/>
    </row>
    <row r="18" spans="2:33" x14ac:dyDescent="0.25">
      <c r="B18" s="613">
        <v>45231</v>
      </c>
      <c r="C18" s="614">
        <v>8962734</v>
      </c>
      <c r="D18" s="615">
        <v>8145174.4000000004</v>
      </c>
      <c r="E18" s="615">
        <v>0</v>
      </c>
      <c r="F18" s="609">
        <v>806646.06</v>
      </c>
      <c r="G18" s="616">
        <f t="shared" si="10"/>
        <v>806646.06</v>
      </c>
      <c r="H18" s="616">
        <f t="shared" si="1"/>
        <v>1613292.12</v>
      </c>
      <c r="I18" s="607">
        <f t="shared" si="9"/>
        <v>18721200.520000003</v>
      </c>
      <c r="J18" s="625">
        <f>8962734+8145174.4</f>
        <v>17107908.399999999</v>
      </c>
      <c r="K18" s="609">
        <v>0</v>
      </c>
      <c r="L18" s="609">
        <v>806646.06</v>
      </c>
      <c r="M18" s="610">
        <f t="shared" si="8"/>
        <v>806646.06</v>
      </c>
      <c r="N18" s="618">
        <f>K18+L18+M18</f>
        <v>1613292.12</v>
      </c>
      <c r="O18" s="607">
        <f>J18+N18</f>
        <v>18721200.52</v>
      </c>
      <c r="P18" s="612">
        <f t="shared" si="4"/>
        <v>0</v>
      </c>
      <c r="Q18" s="615">
        <f t="shared" si="5"/>
        <v>0</v>
      </c>
      <c r="R18" s="615">
        <f t="shared" si="6"/>
        <v>0</v>
      </c>
      <c r="S18" s="607">
        <f t="shared" si="7"/>
        <v>0</v>
      </c>
      <c r="V18" s="583"/>
      <c r="W18" s="583"/>
      <c r="X18" s="583"/>
      <c r="Y18" s="583"/>
    </row>
    <row r="19" spans="2:33" x14ac:dyDescent="0.25">
      <c r="B19" s="602">
        <v>45261</v>
      </c>
      <c r="C19" s="614">
        <v>11648080</v>
      </c>
      <c r="D19" s="615">
        <v>9222375.1999999993</v>
      </c>
      <c r="E19" s="615">
        <v>0</v>
      </c>
      <c r="F19" s="609">
        <v>1048327.2</v>
      </c>
      <c r="G19" s="616">
        <f t="shared" si="10"/>
        <v>1048327.2</v>
      </c>
      <c r="H19" s="616">
        <f t="shared" si="1"/>
        <v>2096654.4</v>
      </c>
      <c r="I19" s="607">
        <f t="shared" si="9"/>
        <v>22967109.600000001</v>
      </c>
      <c r="J19" s="625">
        <f>11648080+9222375.2</f>
        <v>20870455.199999999</v>
      </c>
      <c r="K19" s="609">
        <v>0</v>
      </c>
      <c r="L19" s="609">
        <f>1048327.2</f>
        <v>1048327.2</v>
      </c>
      <c r="M19" s="610">
        <f t="shared" si="8"/>
        <v>1048327.2</v>
      </c>
      <c r="N19" s="618">
        <f>K19+L19+M19</f>
        <v>2096654.4</v>
      </c>
      <c r="O19" s="607">
        <f>J19+N19</f>
        <v>22967109.599999998</v>
      </c>
      <c r="P19" s="612">
        <f t="shared" si="4"/>
        <v>0</v>
      </c>
      <c r="Q19" s="615">
        <f t="shared" si="5"/>
        <v>0</v>
      </c>
      <c r="R19" s="615">
        <f t="shared" si="6"/>
        <v>0</v>
      </c>
      <c r="S19" s="607">
        <f t="shared" si="7"/>
        <v>0</v>
      </c>
      <c r="V19" s="583"/>
      <c r="W19" s="583"/>
      <c r="X19" s="583"/>
      <c r="Y19" s="583"/>
    </row>
    <row r="20" spans="2:33" x14ac:dyDescent="0.25">
      <c r="B20" s="613">
        <v>45292</v>
      </c>
      <c r="C20" s="626">
        <v>17603388.949999999</v>
      </c>
      <c r="D20" s="615">
        <v>8902320</v>
      </c>
      <c r="E20" s="615">
        <v>0</v>
      </c>
      <c r="F20" s="627">
        <v>1584305.01</v>
      </c>
      <c r="G20" s="616">
        <f t="shared" si="10"/>
        <v>1584305.01</v>
      </c>
      <c r="H20" s="628">
        <f t="shared" si="1"/>
        <v>3168610.02</v>
      </c>
      <c r="I20" s="607">
        <f t="shared" si="9"/>
        <v>29674318.969999999</v>
      </c>
      <c r="J20" s="629">
        <f>17603388.95+8902320</f>
        <v>26505708.949999999</v>
      </c>
      <c r="K20" s="609">
        <v>0</v>
      </c>
      <c r="L20" s="609">
        <f>1584305.01</f>
        <v>1584305.01</v>
      </c>
      <c r="M20" s="610">
        <f t="shared" si="8"/>
        <v>1584305.01</v>
      </c>
      <c r="N20" s="618">
        <f>K20+L20+M20</f>
        <v>3168610.02</v>
      </c>
      <c r="O20" s="607">
        <f>J20+N20</f>
        <v>29674318.969999999</v>
      </c>
      <c r="P20" s="612">
        <f t="shared" si="4"/>
        <v>0</v>
      </c>
      <c r="Q20" s="615">
        <f t="shared" si="5"/>
        <v>0</v>
      </c>
      <c r="R20" s="615">
        <f t="shared" si="6"/>
        <v>0</v>
      </c>
      <c r="S20" s="607">
        <f t="shared" si="7"/>
        <v>0</v>
      </c>
      <c r="V20" s="583"/>
      <c r="W20" s="583"/>
      <c r="X20" s="583"/>
      <c r="Y20" s="583"/>
    </row>
    <row r="21" spans="2:33" x14ac:dyDescent="0.25">
      <c r="B21" s="602">
        <v>45323</v>
      </c>
      <c r="C21" s="614">
        <v>17179658</v>
      </c>
      <c r="D21" s="627">
        <v>5636802</v>
      </c>
      <c r="E21" s="627">
        <v>418118.94</v>
      </c>
      <c r="F21" s="627">
        <v>1337109.75</v>
      </c>
      <c r="G21" s="616">
        <f t="shared" si="10"/>
        <v>1337109.75</v>
      </c>
      <c r="H21" s="628">
        <f t="shared" ref="H21" si="12">E21+F21+G21</f>
        <v>3092338.44</v>
      </c>
      <c r="I21" s="607">
        <f t="shared" si="9"/>
        <v>25908798.440000001</v>
      </c>
      <c r="J21" s="623">
        <f>17179658+5636802</f>
        <v>22816460</v>
      </c>
      <c r="K21" s="616">
        <v>418118.94</v>
      </c>
      <c r="L21" s="616">
        <f>1337109.75</f>
        <v>1337109.75</v>
      </c>
      <c r="M21" s="610">
        <f t="shared" si="8"/>
        <v>1337109.75</v>
      </c>
      <c r="N21" s="618">
        <f t="shared" ref="N21" si="13">K21+L21+M21</f>
        <v>3092338.44</v>
      </c>
      <c r="O21" s="607">
        <f t="shared" si="11"/>
        <v>25908798.440000001</v>
      </c>
      <c r="P21" s="612">
        <f t="shared" si="4"/>
        <v>0</v>
      </c>
      <c r="Q21" s="622">
        <f>E21-K21</f>
        <v>0</v>
      </c>
      <c r="R21" s="622">
        <f>F21-L21</f>
        <v>0</v>
      </c>
      <c r="S21" s="607">
        <f>F21-M21</f>
        <v>0</v>
      </c>
      <c r="V21" s="583"/>
      <c r="W21" s="583"/>
      <c r="X21" s="583"/>
      <c r="Y21" s="583"/>
    </row>
    <row r="22" spans="2:33" x14ac:dyDescent="0.25">
      <c r="B22" s="613">
        <v>45352</v>
      </c>
      <c r="C22" s="621">
        <f>28716613-1802393</f>
        <v>26914220</v>
      </c>
      <c r="D22" s="627">
        <v>6358746.4000000004</v>
      </c>
      <c r="E22" s="628">
        <f>633854.34-324430.74</f>
        <v>309423.59999999998</v>
      </c>
      <c r="F22" s="627">
        <v>2267568</v>
      </c>
      <c r="G22" s="616">
        <f t="shared" si="10"/>
        <v>2267568</v>
      </c>
      <c r="H22" s="616">
        <f>E22+F22+G22</f>
        <v>4844559.5999999996</v>
      </c>
      <c r="I22" s="607">
        <f t="shared" si="9"/>
        <v>38117526</v>
      </c>
      <c r="J22" s="623">
        <f>26914220+6358746.4</f>
        <v>33272966.399999999</v>
      </c>
      <c r="K22" s="616">
        <v>309423.59999999998</v>
      </c>
      <c r="L22" s="616">
        <v>2267568</v>
      </c>
      <c r="M22" s="610">
        <f t="shared" si="8"/>
        <v>2267568</v>
      </c>
      <c r="N22" s="618">
        <f>K22+L22+M22</f>
        <v>4844559.5999999996</v>
      </c>
      <c r="O22" s="607">
        <f>J22+N22</f>
        <v>38117526</v>
      </c>
      <c r="P22" s="612">
        <f t="shared" si="4"/>
        <v>0</v>
      </c>
      <c r="Q22" s="622">
        <f>E22-K22</f>
        <v>0</v>
      </c>
      <c r="R22" s="622">
        <f>F22-L22</f>
        <v>0</v>
      </c>
      <c r="S22" s="607">
        <f>G22-M22</f>
        <v>0</v>
      </c>
      <c r="V22" s="583"/>
      <c r="W22" s="583"/>
      <c r="X22" s="583"/>
      <c r="Y22" s="583"/>
    </row>
    <row r="23" spans="2:33" x14ac:dyDescent="0.25">
      <c r="B23" s="630"/>
      <c r="C23" s="621"/>
      <c r="D23" s="616"/>
      <c r="E23" s="616"/>
      <c r="F23" s="616"/>
      <c r="G23" s="616"/>
      <c r="H23" s="616"/>
      <c r="I23" s="617"/>
      <c r="J23" s="623"/>
      <c r="K23" s="616"/>
      <c r="L23" s="616"/>
      <c r="M23" s="616"/>
      <c r="N23" s="616"/>
      <c r="O23" s="617"/>
      <c r="P23" s="624"/>
      <c r="Q23" s="624"/>
      <c r="R23" s="624"/>
      <c r="S23" s="617"/>
      <c r="V23" s="583"/>
      <c r="W23" s="583"/>
      <c r="X23" s="583"/>
      <c r="Y23" s="583"/>
    </row>
    <row r="24" spans="2:33" ht="16.5" thickBot="1" x14ac:dyDescent="0.3">
      <c r="B24" s="633" t="s">
        <v>15</v>
      </c>
      <c r="C24" s="634">
        <f>SUM(C11:C23)</f>
        <v>185109683.62</v>
      </c>
      <c r="D24" s="635">
        <f t="shared" ref="D24:I24" si="14">SUM(D11:D23)</f>
        <v>145748779.20000002</v>
      </c>
      <c r="E24" s="635">
        <f t="shared" si="14"/>
        <v>1322654.94</v>
      </c>
      <c r="F24" s="635">
        <f t="shared" si="14"/>
        <v>15998544.060000001</v>
      </c>
      <c r="G24" s="635">
        <f t="shared" si="14"/>
        <v>15998544.060000001</v>
      </c>
      <c r="H24" s="635">
        <f t="shared" si="14"/>
        <v>33319743.060000002</v>
      </c>
      <c r="I24" s="636">
        <f t="shared" si="14"/>
        <v>364178205.88000005</v>
      </c>
      <c r="J24" s="637">
        <f t="shared" ref="J24:S24" si="15">SUM(J11:J22)</f>
        <v>330858462.81999999</v>
      </c>
      <c r="K24" s="637">
        <f t="shared" si="15"/>
        <v>1322654.94</v>
      </c>
      <c r="L24" s="637">
        <f t="shared" si="15"/>
        <v>15998544.060000001</v>
      </c>
      <c r="M24" s="637">
        <f t="shared" si="15"/>
        <v>15998544.060000001</v>
      </c>
      <c r="N24" s="637">
        <f t="shared" si="15"/>
        <v>31265806.619999997</v>
      </c>
      <c r="O24" s="636">
        <f t="shared" si="15"/>
        <v>362124269.44</v>
      </c>
      <c r="P24" s="641">
        <f>SUM(P11:P22)</f>
        <v>0</v>
      </c>
      <c r="Q24" s="638">
        <f t="shared" si="15"/>
        <v>0</v>
      </c>
      <c r="R24" s="638">
        <f t="shared" si="15"/>
        <v>0</v>
      </c>
      <c r="S24" s="636">
        <f t="shared" si="15"/>
        <v>0</v>
      </c>
      <c r="V24" s="583"/>
      <c r="W24" s="583"/>
      <c r="X24" s="583"/>
      <c r="Y24" s="583"/>
    </row>
    <row r="25" spans="2:33" x14ac:dyDescent="0.25">
      <c r="B25" s="642"/>
      <c r="C25" s="643"/>
      <c r="D25" s="583"/>
      <c r="E25" s="588"/>
      <c r="F25" s="588"/>
      <c r="G25" s="588"/>
      <c r="H25" s="588"/>
      <c r="I25" s="588"/>
      <c r="J25" s="644"/>
      <c r="K25" s="644"/>
      <c r="L25" s="644"/>
      <c r="M25" s="644"/>
      <c r="N25" s="644"/>
      <c r="O25" s="644"/>
      <c r="P25" s="644"/>
      <c r="Q25" s="644"/>
      <c r="R25" s="644"/>
      <c r="S25" s="644"/>
      <c r="T25" s="644"/>
      <c r="U25" s="644"/>
      <c r="V25" s="644"/>
      <c r="W25" s="644"/>
      <c r="X25" s="644"/>
      <c r="Y25" s="644"/>
      <c r="Z25" s="644"/>
      <c r="AA25" s="644"/>
      <c r="AB25" s="644"/>
      <c r="AC25" s="644"/>
      <c r="AD25" s="644"/>
      <c r="AE25" s="644"/>
      <c r="AF25" s="644"/>
      <c r="AG25" s="644"/>
    </row>
    <row r="26" spans="2:33" x14ac:dyDescent="0.25">
      <c r="B26" s="642" t="s">
        <v>1128</v>
      </c>
      <c r="C26" s="582">
        <f>C24+D24</f>
        <v>330858462.82000005</v>
      </c>
      <c r="E26" s="588"/>
      <c r="F26" s="588"/>
      <c r="G26" s="588"/>
      <c r="H26" s="588"/>
      <c r="I26" s="588"/>
      <c r="J26" s="644">
        <f>J24-C26</f>
        <v>0</v>
      </c>
      <c r="K26" s="644"/>
      <c r="L26" s="644"/>
      <c r="M26" s="644"/>
      <c r="N26" s="644"/>
      <c r="O26" s="644"/>
      <c r="P26" s="644"/>
      <c r="Q26" s="644"/>
      <c r="R26" s="644"/>
      <c r="S26" s="644"/>
      <c r="T26" s="644"/>
      <c r="U26" s="644"/>
      <c r="V26" s="644"/>
      <c r="W26" s="644"/>
      <c r="X26" s="644"/>
      <c r="Y26" s="644"/>
      <c r="Z26" s="644"/>
      <c r="AA26" s="644"/>
      <c r="AB26" s="644"/>
      <c r="AC26" s="644"/>
      <c r="AD26" s="644"/>
      <c r="AE26" s="644"/>
      <c r="AF26" s="644"/>
      <c r="AG26" s="644"/>
    </row>
    <row r="27" spans="2:33" x14ac:dyDescent="0.25">
      <c r="B27" s="583" t="s">
        <v>1062</v>
      </c>
      <c r="C27" s="645">
        <f>'TB 23-24Old'!D48</f>
        <v>330858462.81999999</v>
      </c>
      <c r="D27" s="720" t="s">
        <v>1129</v>
      </c>
    </row>
    <row r="28" spans="2:33" x14ac:dyDescent="0.25">
      <c r="B28" s="583" t="s">
        <v>1063</v>
      </c>
      <c r="C28" s="645">
        <f>C26-C27</f>
        <v>0</v>
      </c>
    </row>
    <row r="29" spans="2:33" x14ac:dyDescent="0.25">
      <c r="C29" s="645">
        <f>C24-J24+D24</f>
        <v>0</v>
      </c>
      <c r="D29" s="645"/>
      <c r="E29" s="645"/>
      <c r="F29" s="645"/>
      <c r="G29" s="645"/>
      <c r="H29" s="583"/>
    </row>
    <row r="30" spans="2:33" ht="16.5" thickBot="1" x14ac:dyDescent="0.3"/>
    <row r="31" spans="2:33" ht="16.5" thickBot="1" x14ac:dyDescent="0.3">
      <c r="B31" s="1727" t="s">
        <v>1050</v>
      </c>
      <c r="C31" s="1729" t="s">
        <v>1064</v>
      </c>
      <c r="D31" s="1718"/>
      <c r="E31" s="1718"/>
      <c r="F31" s="1718"/>
      <c r="G31" s="1718"/>
      <c r="H31" s="1719"/>
      <c r="I31" s="1717" t="s">
        <v>1065</v>
      </c>
      <c r="J31" s="1718"/>
      <c r="K31" s="1718"/>
      <c r="L31" s="1719"/>
      <c r="M31" s="1717" t="s">
        <v>1131</v>
      </c>
      <c r="N31" s="1718"/>
      <c r="O31" s="1718"/>
      <c r="P31" s="1718"/>
      <c r="Q31" s="1719"/>
      <c r="R31" s="1717" t="s">
        <v>1066</v>
      </c>
      <c r="S31" s="1718"/>
      <c r="T31" s="1718"/>
      <c r="U31" s="1718"/>
      <c r="V31" s="1719"/>
      <c r="W31" s="1717" t="s">
        <v>1067</v>
      </c>
      <c r="X31" s="1718"/>
      <c r="Y31" s="1718"/>
      <c r="Z31" s="1718"/>
      <c r="AA31" s="1719"/>
      <c r="AB31" s="1717" t="s">
        <v>1068</v>
      </c>
      <c r="AC31" s="1718"/>
      <c r="AD31" s="1718"/>
      <c r="AE31" s="1718"/>
      <c r="AF31" s="1719"/>
    </row>
    <row r="32" spans="2:33" ht="32.25" thickBot="1" x14ac:dyDescent="0.3">
      <c r="B32" s="1728"/>
      <c r="C32" s="593" t="s">
        <v>1060</v>
      </c>
      <c r="D32" s="595" t="s">
        <v>1055</v>
      </c>
      <c r="E32" s="595" t="s">
        <v>1056</v>
      </c>
      <c r="F32" s="595" t="s">
        <v>1057</v>
      </c>
      <c r="G32" s="646" t="s">
        <v>1058</v>
      </c>
      <c r="H32" s="647" t="s">
        <v>1059</v>
      </c>
      <c r="I32" s="648" t="s">
        <v>1055</v>
      </c>
      <c r="J32" s="649" t="s">
        <v>1056</v>
      </c>
      <c r="K32" s="649" t="s">
        <v>1057</v>
      </c>
      <c r="L32" s="650" t="s">
        <v>1069</v>
      </c>
      <c r="M32" s="593" t="s">
        <v>1060</v>
      </c>
      <c r="N32" s="598" t="s">
        <v>1055</v>
      </c>
      <c r="O32" s="598" t="s">
        <v>1056</v>
      </c>
      <c r="P32" s="598" t="s">
        <v>1057</v>
      </c>
      <c r="Q32" s="599" t="s">
        <v>1070</v>
      </c>
      <c r="R32" s="593" t="s">
        <v>1060</v>
      </c>
      <c r="S32" s="598" t="s">
        <v>1055</v>
      </c>
      <c r="T32" s="598" t="s">
        <v>1056</v>
      </c>
      <c r="U32" s="598" t="s">
        <v>1057</v>
      </c>
      <c r="V32" s="596" t="s">
        <v>1070</v>
      </c>
      <c r="W32" s="593" t="s">
        <v>1060</v>
      </c>
      <c r="X32" s="598" t="s">
        <v>1055</v>
      </c>
      <c r="Y32" s="598" t="s">
        <v>1056</v>
      </c>
      <c r="Z32" s="598" t="s">
        <v>1057</v>
      </c>
      <c r="AA32" s="596" t="s">
        <v>1070</v>
      </c>
      <c r="AB32" s="593" t="s">
        <v>1060</v>
      </c>
      <c r="AC32" s="598" t="s">
        <v>1055</v>
      </c>
      <c r="AD32" s="598" t="s">
        <v>1056</v>
      </c>
      <c r="AE32" s="598" t="s">
        <v>1057</v>
      </c>
      <c r="AF32" s="596" t="s">
        <v>1070</v>
      </c>
    </row>
    <row r="33" spans="2:32" x14ac:dyDescent="0.25">
      <c r="B33" s="602">
        <v>45017</v>
      </c>
      <c r="C33" s="651"/>
      <c r="D33" s="651"/>
      <c r="E33" s="651"/>
      <c r="F33" s="651"/>
      <c r="G33" s="616">
        <f t="shared" ref="G33:G44" si="16">D33+E33+F33</f>
        <v>0</v>
      </c>
      <c r="H33" s="611">
        <f t="shared" ref="H33:H44" si="17">C33+G33</f>
        <v>0</v>
      </c>
      <c r="I33" s="652">
        <v>0</v>
      </c>
      <c r="J33" s="652">
        <v>0</v>
      </c>
      <c r="K33" s="652">
        <v>0</v>
      </c>
      <c r="L33" s="619">
        <f>I33+J33+K33</f>
        <v>0</v>
      </c>
      <c r="M33" s="604">
        <v>0</v>
      </c>
      <c r="N33" s="604">
        <v>0</v>
      </c>
      <c r="O33" s="604">
        <v>0</v>
      </c>
      <c r="P33" s="604">
        <f>O33</f>
        <v>0</v>
      </c>
      <c r="Q33" s="611">
        <f>SUM(M33:P33)</f>
        <v>0</v>
      </c>
      <c r="R33" s="604">
        <f>C33-M33</f>
        <v>0</v>
      </c>
      <c r="S33" s="612">
        <f>D33-N33</f>
        <v>0</v>
      </c>
      <c r="T33" s="612">
        <f>E33-O33</f>
        <v>0</v>
      </c>
      <c r="U33" s="612">
        <f>F33-P33</f>
        <v>0</v>
      </c>
      <c r="V33" s="653">
        <f>H33-Q33</f>
        <v>0</v>
      </c>
      <c r="W33" s="604">
        <v>0</v>
      </c>
      <c r="X33" s="612">
        <f>D33-I33</f>
        <v>0</v>
      </c>
      <c r="Y33" s="612">
        <f>E33-J33</f>
        <v>0</v>
      </c>
      <c r="Z33" s="612">
        <f>F33-K33</f>
        <v>0</v>
      </c>
      <c r="AA33" s="653">
        <f>SUM(X33:Z33)</f>
        <v>0</v>
      </c>
      <c r="AB33" s="604">
        <v>0</v>
      </c>
      <c r="AC33" s="612">
        <f>N33-I33</f>
        <v>0</v>
      </c>
      <c r="AD33" s="612">
        <f>O33-J33</f>
        <v>0</v>
      </c>
      <c r="AE33" s="612">
        <f>P33-K33</f>
        <v>0</v>
      </c>
      <c r="AF33" s="612">
        <f>(Q33-M33)-L33</f>
        <v>0</v>
      </c>
    </row>
    <row r="34" spans="2:32" x14ac:dyDescent="0.25">
      <c r="B34" s="613">
        <v>45047</v>
      </c>
      <c r="C34" s="651"/>
      <c r="D34" s="651"/>
      <c r="E34" s="651"/>
      <c r="F34" s="651"/>
      <c r="G34" s="616">
        <f t="shared" si="16"/>
        <v>0</v>
      </c>
      <c r="H34" s="611">
        <f t="shared" si="17"/>
        <v>0</v>
      </c>
      <c r="I34" s="652">
        <v>0</v>
      </c>
      <c r="J34" s="609">
        <v>0</v>
      </c>
      <c r="K34" s="609">
        <v>0</v>
      </c>
      <c r="L34" s="619">
        <f>I34+J34+K34</f>
        <v>0</v>
      </c>
      <c r="M34" s="604">
        <v>0</v>
      </c>
      <c r="N34" s="604">
        <v>0</v>
      </c>
      <c r="O34" s="604">
        <v>0</v>
      </c>
      <c r="P34" s="604">
        <f t="shared" ref="P34:P44" si="18">O34</f>
        <v>0</v>
      </c>
      <c r="Q34" s="611">
        <f t="shared" ref="Q34:Q44" si="19">SUM(M34:P34)</f>
        <v>0</v>
      </c>
      <c r="R34" s="652">
        <f t="shared" ref="R34:U44" si="20">C34-M34</f>
        <v>0</v>
      </c>
      <c r="S34" s="615">
        <f t="shared" si="20"/>
        <v>0</v>
      </c>
      <c r="T34" s="615">
        <f t="shared" si="20"/>
        <v>0</v>
      </c>
      <c r="U34" s="615">
        <f t="shared" si="20"/>
        <v>0</v>
      </c>
      <c r="V34" s="654">
        <f t="shared" ref="V34:V44" si="21">H34-Q34</f>
        <v>0</v>
      </c>
      <c r="W34" s="652">
        <v>0</v>
      </c>
      <c r="X34" s="612">
        <f t="shared" ref="X34:AA44" si="22">D34-I34</f>
        <v>0</v>
      </c>
      <c r="Y34" s="612">
        <f t="shared" si="22"/>
        <v>0</v>
      </c>
      <c r="Z34" s="612">
        <f t="shared" si="22"/>
        <v>0</v>
      </c>
      <c r="AA34" s="653">
        <f t="shared" ref="AA34:AA42" si="23">SUM(X34:Z34)</f>
        <v>0</v>
      </c>
      <c r="AB34" s="604">
        <v>0</v>
      </c>
      <c r="AC34" s="612">
        <f>N34-I34</f>
        <v>0</v>
      </c>
      <c r="AD34" s="612">
        <f t="shared" ref="AD34:AE44" si="24">O34-J34</f>
        <v>0</v>
      </c>
      <c r="AE34" s="612">
        <f t="shared" si="24"/>
        <v>0</v>
      </c>
      <c r="AF34" s="612">
        <f t="shared" ref="AF34:AF44" si="25">(Q34-M34)-L34</f>
        <v>0</v>
      </c>
    </row>
    <row r="35" spans="2:32" x14ac:dyDescent="0.25">
      <c r="B35" s="602">
        <v>45078</v>
      </c>
      <c r="C35" s="651"/>
      <c r="D35" s="651"/>
      <c r="E35" s="651"/>
      <c r="F35" s="651"/>
      <c r="G35" s="616">
        <f t="shared" si="16"/>
        <v>0</v>
      </c>
      <c r="H35" s="611">
        <f t="shared" si="17"/>
        <v>0</v>
      </c>
      <c r="I35" s="652">
        <v>0</v>
      </c>
      <c r="J35" s="652">
        <v>0</v>
      </c>
      <c r="K35" s="652">
        <v>0</v>
      </c>
      <c r="L35" s="619">
        <f>I35+J35+K35</f>
        <v>0</v>
      </c>
      <c r="M35" s="604">
        <v>0</v>
      </c>
      <c r="N35" s="604">
        <v>0</v>
      </c>
      <c r="O35" s="604">
        <v>0</v>
      </c>
      <c r="P35" s="604">
        <f t="shared" si="18"/>
        <v>0</v>
      </c>
      <c r="Q35" s="611">
        <f t="shared" si="19"/>
        <v>0</v>
      </c>
      <c r="R35" s="652">
        <f t="shared" si="20"/>
        <v>0</v>
      </c>
      <c r="S35" s="615">
        <f t="shared" si="20"/>
        <v>0</v>
      </c>
      <c r="T35" s="615">
        <f t="shared" si="20"/>
        <v>0</v>
      </c>
      <c r="U35" s="615">
        <f t="shared" si="20"/>
        <v>0</v>
      </c>
      <c r="V35" s="654">
        <f t="shared" si="21"/>
        <v>0</v>
      </c>
      <c r="W35" s="604">
        <v>0</v>
      </c>
      <c r="X35" s="612">
        <f t="shared" si="22"/>
        <v>0</v>
      </c>
      <c r="Y35" s="612">
        <f t="shared" si="22"/>
        <v>0</v>
      </c>
      <c r="Z35" s="612">
        <f t="shared" si="22"/>
        <v>0</v>
      </c>
      <c r="AA35" s="653">
        <f t="shared" si="23"/>
        <v>0</v>
      </c>
      <c r="AB35" s="604">
        <v>0</v>
      </c>
      <c r="AC35" s="612">
        <f t="shared" ref="AC35:AC44" si="26">N35-I35</f>
        <v>0</v>
      </c>
      <c r="AD35" s="612">
        <f t="shared" si="24"/>
        <v>0</v>
      </c>
      <c r="AE35" s="612">
        <f t="shared" si="24"/>
        <v>0</v>
      </c>
      <c r="AF35" s="612">
        <f t="shared" si="25"/>
        <v>0</v>
      </c>
    </row>
    <row r="36" spans="2:32" x14ac:dyDescent="0.25">
      <c r="B36" s="613">
        <v>45108</v>
      </c>
      <c r="C36" s="651"/>
      <c r="D36" s="651"/>
      <c r="E36" s="651"/>
      <c r="F36" s="651"/>
      <c r="G36" s="616">
        <f t="shared" si="16"/>
        <v>0</v>
      </c>
      <c r="H36" s="611">
        <f t="shared" si="17"/>
        <v>0</v>
      </c>
      <c r="I36" s="652">
        <v>0</v>
      </c>
      <c r="J36" s="652">
        <v>0</v>
      </c>
      <c r="K36" s="652">
        <v>0</v>
      </c>
      <c r="L36" s="619">
        <f t="shared" ref="L36:L39" si="27">I36+J36+K36</f>
        <v>0</v>
      </c>
      <c r="M36" s="604">
        <v>0</v>
      </c>
      <c r="N36" s="604">
        <v>0</v>
      </c>
      <c r="O36" s="604">
        <v>0</v>
      </c>
      <c r="P36" s="604">
        <f t="shared" si="18"/>
        <v>0</v>
      </c>
      <c r="Q36" s="611">
        <f t="shared" si="19"/>
        <v>0</v>
      </c>
      <c r="R36" s="652">
        <f t="shared" si="20"/>
        <v>0</v>
      </c>
      <c r="S36" s="615">
        <f>D36-N36</f>
        <v>0</v>
      </c>
      <c r="T36" s="615">
        <f t="shared" si="20"/>
        <v>0</v>
      </c>
      <c r="U36" s="615">
        <f t="shared" si="20"/>
        <v>0</v>
      </c>
      <c r="V36" s="654">
        <f t="shared" si="21"/>
        <v>0</v>
      </c>
      <c r="W36" s="652">
        <v>0</v>
      </c>
      <c r="X36" s="612">
        <f t="shared" si="22"/>
        <v>0</v>
      </c>
      <c r="Y36" s="612">
        <f t="shared" si="22"/>
        <v>0</v>
      </c>
      <c r="Z36" s="612">
        <f t="shared" si="22"/>
        <v>0</v>
      </c>
      <c r="AA36" s="653">
        <f t="shared" si="23"/>
        <v>0</v>
      </c>
      <c r="AB36" s="604">
        <v>0</v>
      </c>
      <c r="AC36" s="612">
        <f t="shared" si="26"/>
        <v>0</v>
      </c>
      <c r="AD36" s="612">
        <f t="shared" si="24"/>
        <v>0</v>
      </c>
      <c r="AE36" s="612">
        <f t="shared" si="24"/>
        <v>0</v>
      </c>
      <c r="AF36" s="612">
        <f t="shared" si="25"/>
        <v>0</v>
      </c>
    </row>
    <row r="37" spans="2:32" x14ac:dyDescent="0.25">
      <c r="B37" s="602">
        <v>45139</v>
      </c>
      <c r="C37" s="651"/>
      <c r="D37" s="651"/>
      <c r="E37" s="651"/>
      <c r="F37" s="651"/>
      <c r="G37" s="609">
        <f t="shared" si="16"/>
        <v>0</v>
      </c>
      <c r="H37" s="619">
        <f t="shared" si="17"/>
        <v>0</v>
      </c>
      <c r="I37" s="652">
        <v>0</v>
      </c>
      <c r="J37" s="652">
        <v>0</v>
      </c>
      <c r="K37" s="652">
        <v>0</v>
      </c>
      <c r="L37" s="619">
        <f t="shared" si="27"/>
        <v>0</v>
      </c>
      <c r="M37" s="604">
        <v>0</v>
      </c>
      <c r="N37" s="604">
        <v>0</v>
      </c>
      <c r="O37" s="604">
        <v>0</v>
      </c>
      <c r="P37" s="604">
        <f t="shared" si="18"/>
        <v>0</v>
      </c>
      <c r="Q37" s="611">
        <f t="shared" si="19"/>
        <v>0</v>
      </c>
      <c r="R37" s="652">
        <f t="shared" si="20"/>
        <v>0</v>
      </c>
      <c r="S37" s="615">
        <f t="shared" si="20"/>
        <v>0</v>
      </c>
      <c r="T37" s="615">
        <f t="shared" si="20"/>
        <v>0</v>
      </c>
      <c r="U37" s="615">
        <f t="shared" si="20"/>
        <v>0</v>
      </c>
      <c r="V37" s="654">
        <f t="shared" si="21"/>
        <v>0</v>
      </c>
      <c r="W37" s="604">
        <v>0</v>
      </c>
      <c r="X37" s="612">
        <f t="shared" si="22"/>
        <v>0</v>
      </c>
      <c r="Y37" s="612">
        <f t="shared" si="22"/>
        <v>0</v>
      </c>
      <c r="Z37" s="612">
        <f t="shared" si="22"/>
        <v>0</v>
      </c>
      <c r="AA37" s="653">
        <f t="shared" si="23"/>
        <v>0</v>
      </c>
      <c r="AB37" s="604">
        <v>0</v>
      </c>
      <c r="AC37" s="612">
        <f t="shared" si="26"/>
        <v>0</v>
      </c>
      <c r="AD37" s="612">
        <f t="shared" si="24"/>
        <v>0</v>
      </c>
      <c r="AE37" s="612">
        <f t="shared" si="24"/>
        <v>0</v>
      </c>
      <c r="AF37" s="612">
        <f t="shared" si="25"/>
        <v>0</v>
      </c>
    </row>
    <row r="38" spans="2:32" x14ac:dyDescent="0.25">
      <c r="B38" s="613">
        <v>45170</v>
      </c>
      <c r="C38" s="651"/>
      <c r="D38" s="651"/>
      <c r="E38" s="651"/>
      <c r="F38" s="651"/>
      <c r="G38" s="609">
        <f t="shared" si="16"/>
        <v>0</v>
      </c>
      <c r="H38" s="619">
        <f t="shared" si="17"/>
        <v>0</v>
      </c>
      <c r="I38" s="652">
        <v>0</v>
      </c>
      <c r="J38" s="652">
        <v>0</v>
      </c>
      <c r="K38" s="652">
        <v>0</v>
      </c>
      <c r="L38" s="619">
        <f t="shared" si="27"/>
        <v>0</v>
      </c>
      <c r="M38" s="604">
        <v>0</v>
      </c>
      <c r="N38" s="604">
        <v>0</v>
      </c>
      <c r="O38" s="604">
        <v>0</v>
      </c>
      <c r="P38" s="604">
        <f t="shared" si="18"/>
        <v>0</v>
      </c>
      <c r="Q38" s="611">
        <f t="shared" si="19"/>
        <v>0</v>
      </c>
      <c r="R38" s="652">
        <f t="shared" si="20"/>
        <v>0</v>
      </c>
      <c r="S38" s="615">
        <f t="shared" si="20"/>
        <v>0</v>
      </c>
      <c r="T38" s="615">
        <f t="shared" si="20"/>
        <v>0</v>
      </c>
      <c r="U38" s="615">
        <f t="shared" si="20"/>
        <v>0</v>
      </c>
      <c r="V38" s="654">
        <f t="shared" si="21"/>
        <v>0</v>
      </c>
      <c r="W38" s="652">
        <v>0</v>
      </c>
      <c r="X38" s="612">
        <f t="shared" si="22"/>
        <v>0</v>
      </c>
      <c r="Y38" s="612">
        <f t="shared" si="22"/>
        <v>0</v>
      </c>
      <c r="Z38" s="612">
        <f t="shared" si="22"/>
        <v>0</v>
      </c>
      <c r="AA38" s="653">
        <f t="shared" si="23"/>
        <v>0</v>
      </c>
      <c r="AB38" s="604">
        <v>0</v>
      </c>
      <c r="AC38" s="612">
        <f t="shared" si="26"/>
        <v>0</v>
      </c>
      <c r="AD38" s="612">
        <f t="shared" si="24"/>
        <v>0</v>
      </c>
      <c r="AE38" s="612">
        <f t="shared" si="24"/>
        <v>0</v>
      </c>
      <c r="AF38" s="612">
        <f t="shared" si="25"/>
        <v>0</v>
      </c>
    </row>
    <row r="39" spans="2:32" x14ac:dyDescent="0.25">
      <c r="B39" s="602">
        <v>45200</v>
      </c>
      <c r="C39" s="651"/>
      <c r="D39" s="651"/>
      <c r="E39" s="651"/>
      <c r="F39" s="651"/>
      <c r="G39" s="609">
        <f t="shared" si="16"/>
        <v>0</v>
      </c>
      <c r="H39" s="619">
        <f t="shared" si="17"/>
        <v>0</v>
      </c>
      <c r="I39" s="652">
        <v>0</v>
      </c>
      <c r="J39" s="652">
        <v>0</v>
      </c>
      <c r="K39" s="652">
        <v>0</v>
      </c>
      <c r="L39" s="619">
        <f t="shared" si="27"/>
        <v>0</v>
      </c>
      <c r="M39" s="604">
        <v>0</v>
      </c>
      <c r="N39" s="604">
        <v>0</v>
      </c>
      <c r="O39" s="604">
        <v>0</v>
      </c>
      <c r="P39" s="604">
        <f t="shared" si="18"/>
        <v>0</v>
      </c>
      <c r="Q39" s="611">
        <f t="shared" si="19"/>
        <v>0</v>
      </c>
      <c r="R39" s="652">
        <f>C39-M39</f>
        <v>0</v>
      </c>
      <c r="S39" s="615">
        <f t="shared" si="20"/>
        <v>0</v>
      </c>
      <c r="T39" s="615">
        <f t="shared" si="20"/>
        <v>0</v>
      </c>
      <c r="U39" s="615">
        <f t="shared" si="20"/>
        <v>0</v>
      </c>
      <c r="V39" s="654">
        <f t="shared" si="21"/>
        <v>0</v>
      </c>
      <c r="W39" s="604">
        <v>0</v>
      </c>
      <c r="X39" s="612">
        <f t="shared" si="22"/>
        <v>0</v>
      </c>
      <c r="Y39" s="612">
        <f t="shared" si="22"/>
        <v>0</v>
      </c>
      <c r="Z39" s="612">
        <f t="shared" si="22"/>
        <v>0</v>
      </c>
      <c r="AA39" s="653">
        <f t="shared" si="23"/>
        <v>0</v>
      </c>
      <c r="AB39" s="604">
        <v>0</v>
      </c>
      <c r="AC39" s="612">
        <f t="shared" si="26"/>
        <v>0</v>
      </c>
      <c r="AD39" s="612">
        <f t="shared" si="24"/>
        <v>0</v>
      </c>
      <c r="AE39" s="612">
        <f t="shared" si="24"/>
        <v>0</v>
      </c>
      <c r="AF39" s="612">
        <f t="shared" si="25"/>
        <v>0</v>
      </c>
    </row>
    <row r="40" spans="2:32" x14ac:dyDescent="0.25">
      <c r="B40" s="613">
        <v>45231</v>
      </c>
      <c r="C40" s="651"/>
      <c r="D40" s="651"/>
      <c r="E40" s="651"/>
      <c r="F40" s="651"/>
      <c r="G40" s="609">
        <f t="shared" si="16"/>
        <v>0</v>
      </c>
      <c r="H40" s="619">
        <f t="shared" si="17"/>
        <v>0</v>
      </c>
      <c r="I40" s="652">
        <v>0</v>
      </c>
      <c r="J40" s="609">
        <v>0</v>
      </c>
      <c r="K40" s="609">
        <v>0</v>
      </c>
      <c r="L40" s="619">
        <f>I40+J40+K40</f>
        <v>0</v>
      </c>
      <c r="M40" s="604">
        <v>0</v>
      </c>
      <c r="N40" s="604">
        <v>0</v>
      </c>
      <c r="O40" s="604">
        <v>0</v>
      </c>
      <c r="P40" s="604">
        <f t="shared" si="18"/>
        <v>0</v>
      </c>
      <c r="Q40" s="611">
        <f t="shared" si="19"/>
        <v>0</v>
      </c>
      <c r="R40" s="652">
        <f>C40-M40</f>
        <v>0</v>
      </c>
      <c r="S40" s="615">
        <f t="shared" si="20"/>
        <v>0</v>
      </c>
      <c r="T40" s="615">
        <f t="shared" si="20"/>
        <v>0</v>
      </c>
      <c r="U40" s="615">
        <f t="shared" si="20"/>
        <v>0</v>
      </c>
      <c r="V40" s="654">
        <f t="shared" si="21"/>
        <v>0</v>
      </c>
      <c r="W40" s="652">
        <v>0</v>
      </c>
      <c r="X40" s="612">
        <f t="shared" si="22"/>
        <v>0</v>
      </c>
      <c r="Y40" s="612">
        <f t="shared" si="22"/>
        <v>0</v>
      </c>
      <c r="Z40" s="612">
        <f t="shared" si="22"/>
        <v>0</v>
      </c>
      <c r="AA40" s="653">
        <f t="shared" si="23"/>
        <v>0</v>
      </c>
      <c r="AB40" s="604">
        <v>0</v>
      </c>
      <c r="AC40" s="612">
        <f t="shared" si="26"/>
        <v>0</v>
      </c>
      <c r="AD40" s="612">
        <f t="shared" si="24"/>
        <v>0</v>
      </c>
      <c r="AE40" s="612">
        <f t="shared" si="24"/>
        <v>0</v>
      </c>
      <c r="AF40" s="612">
        <f t="shared" si="25"/>
        <v>0</v>
      </c>
    </row>
    <row r="41" spans="2:32" x14ac:dyDescent="0.25">
      <c r="B41" s="602">
        <v>45261</v>
      </c>
      <c r="C41" s="651"/>
      <c r="D41" s="651"/>
      <c r="E41" s="651"/>
      <c r="F41" s="651"/>
      <c r="G41" s="609">
        <f t="shared" si="16"/>
        <v>0</v>
      </c>
      <c r="H41" s="619">
        <f t="shared" si="17"/>
        <v>0</v>
      </c>
      <c r="I41" s="652">
        <v>0</v>
      </c>
      <c r="J41" s="609">
        <v>0</v>
      </c>
      <c r="K41" s="609">
        <v>0</v>
      </c>
      <c r="L41" s="619">
        <f>I41+J41+K41</f>
        <v>0</v>
      </c>
      <c r="M41" s="604">
        <v>0</v>
      </c>
      <c r="N41" s="604">
        <v>0</v>
      </c>
      <c r="O41" s="604">
        <v>0</v>
      </c>
      <c r="P41" s="604">
        <f t="shared" si="18"/>
        <v>0</v>
      </c>
      <c r="Q41" s="611">
        <f t="shared" si="19"/>
        <v>0</v>
      </c>
      <c r="R41" s="652">
        <f>C41-M41</f>
        <v>0</v>
      </c>
      <c r="S41" s="615">
        <f t="shared" si="20"/>
        <v>0</v>
      </c>
      <c r="T41" s="615">
        <f t="shared" si="20"/>
        <v>0</v>
      </c>
      <c r="U41" s="615">
        <f t="shared" si="20"/>
        <v>0</v>
      </c>
      <c r="V41" s="654">
        <f t="shared" si="21"/>
        <v>0</v>
      </c>
      <c r="W41" s="604">
        <v>0</v>
      </c>
      <c r="X41" s="612">
        <f t="shared" si="22"/>
        <v>0</v>
      </c>
      <c r="Y41" s="612">
        <f t="shared" si="22"/>
        <v>0</v>
      </c>
      <c r="Z41" s="612">
        <f t="shared" si="22"/>
        <v>0</v>
      </c>
      <c r="AA41" s="653">
        <f t="shared" si="23"/>
        <v>0</v>
      </c>
      <c r="AB41" s="604">
        <v>0</v>
      </c>
      <c r="AC41" s="612">
        <f t="shared" si="26"/>
        <v>0</v>
      </c>
      <c r="AD41" s="612">
        <f t="shared" si="24"/>
        <v>0</v>
      </c>
      <c r="AE41" s="612">
        <f t="shared" si="24"/>
        <v>0</v>
      </c>
      <c r="AF41" s="612">
        <f t="shared" si="25"/>
        <v>0</v>
      </c>
    </row>
    <row r="42" spans="2:32" x14ac:dyDescent="0.25">
      <c r="B42" s="613">
        <v>45292</v>
      </c>
      <c r="C42" s="651"/>
      <c r="D42" s="651"/>
      <c r="E42" s="651"/>
      <c r="F42" s="651"/>
      <c r="G42" s="609">
        <f t="shared" si="16"/>
        <v>0</v>
      </c>
      <c r="H42" s="619">
        <f t="shared" si="17"/>
        <v>0</v>
      </c>
      <c r="I42" s="652">
        <v>0</v>
      </c>
      <c r="J42" s="609">
        <v>0</v>
      </c>
      <c r="K42" s="609">
        <v>0</v>
      </c>
      <c r="L42" s="619">
        <f>I42+J42+K42</f>
        <v>0</v>
      </c>
      <c r="M42" s="604">
        <v>0</v>
      </c>
      <c r="N42" s="604">
        <v>0</v>
      </c>
      <c r="O42" s="604">
        <v>0</v>
      </c>
      <c r="P42" s="604">
        <f t="shared" si="18"/>
        <v>0</v>
      </c>
      <c r="Q42" s="611">
        <f t="shared" si="19"/>
        <v>0</v>
      </c>
      <c r="R42" s="652">
        <f t="shared" si="20"/>
        <v>0</v>
      </c>
      <c r="S42" s="615">
        <f t="shared" si="20"/>
        <v>0</v>
      </c>
      <c r="T42" s="615">
        <f t="shared" si="20"/>
        <v>0</v>
      </c>
      <c r="U42" s="615">
        <f t="shared" si="20"/>
        <v>0</v>
      </c>
      <c r="V42" s="654">
        <f t="shared" si="21"/>
        <v>0</v>
      </c>
      <c r="W42" s="652">
        <v>0</v>
      </c>
      <c r="X42" s="612">
        <f t="shared" si="22"/>
        <v>0</v>
      </c>
      <c r="Y42" s="612">
        <f t="shared" si="22"/>
        <v>0</v>
      </c>
      <c r="Z42" s="612">
        <f t="shared" si="22"/>
        <v>0</v>
      </c>
      <c r="AA42" s="653">
        <f t="shared" si="23"/>
        <v>0</v>
      </c>
      <c r="AB42" s="604">
        <v>0</v>
      </c>
      <c r="AC42" s="612">
        <f t="shared" si="26"/>
        <v>0</v>
      </c>
      <c r="AD42" s="612">
        <f t="shared" si="24"/>
        <v>0</v>
      </c>
      <c r="AE42" s="612">
        <f t="shared" si="24"/>
        <v>0</v>
      </c>
      <c r="AF42" s="612">
        <f t="shared" si="25"/>
        <v>0</v>
      </c>
    </row>
    <row r="43" spans="2:32" x14ac:dyDescent="0.25">
      <c r="B43" s="602">
        <v>45323</v>
      </c>
      <c r="C43" s="651"/>
      <c r="D43" s="651"/>
      <c r="E43" s="651"/>
      <c r="F43" s="651"/>
      <c r="G43" s="616">
        <f t="shared" si="16"/>
        <v>0</v>
      </c>
      <c r="H43" s="617">
        <f t="shared" si="17"/>
        <v>0</v>
      </c>
      <c r="I43" s="652">
        <v>0</v>
      </c>
      <c r="J43" s="631">
        <v>0</v>
      </c>
      <c r="K43" s="609">
        <v>0</v>
      </c>
      <c r="L43" s="617">
        <f>I43+J43+K43</f>
        <v>0</v>
      </c>
      <c r="M43" s="604">
        <v>0</v>
      </c>
      <c r="N43" s="604">
        <v>0</v>
      </c>
      <c r="O43" s="655">
        <v>0</v>
      </c>
      <c r="P43" s="604">
        <f t="shared" si="18"/>
        <v>0</v>
      </c>
      <c r="Q43" s="607">
        <f t="shared" si="19"/>
        <v>0</v>
      </c>
      <c r="R43" s="631">
        <f t="shared" si="20"/>
        <v>0</v>
      </c>
      <c r="S43" s="622">
        <f t="shared" si="20"/>
        <v>0</v>
      </c>
      <c r="T43" s="622">
        <f t="shared" si="20"/>
        <v>0</v>
      </c>
      <c r="U43" s="622">
        <f t="shared" si="20"/>
        <v>0</v>
      </c>
      <c r="V43" s="656">
        <f t="shared" si="21"/>
        <v>0</v>
      </c>
      <c r="W43" s="655">
        <v>0</v>
      </c>
      <c r="X43" s="657">
        <f>D43-I43</f>
        <v>0</v>
      </c>
      <c r="Y43" s="657">
        <f t="shared" si="22"/>
        <v>0</v>
      </c>
      <c r="Z43" s="657">
        <f t="shared" si="22"/>
        <v>0</v>
      </c>
      <c r="AA43" s="657">
        <f t="shared" si="22"/>
        <v>0</v>
      </c>
      <c r="AB43" s="655">
        <v>0</v>
      </c>
      <c r="AC43" s="657">
        <f>N43-I43</f>
        <v>0</v>
      </c>
      <c r="AD43" s="657">
        <f t="shared" si="24"/>
        <v>0</v>
      </c>
      <c r="AE43" s="657">
        <f t="shared" si="24"/>
        <v>0</v>
      </c>
      <c r="AF43" s="657">
        <f t="shared" si="25"/>
        <v>0</v>
      </c>
    </row>
    <row r="44" spans="2:32" ht="16.5" thickBot="1" x14ac:dyDescent="0.3">
      <c r="B44" s="613">
        <v>45352</v>
      </c>
      <c r="C44" s="651"/>
      <c r="D44" s="651"/>
      <c r="E44" s="651"/>
      <c r="F44" s="651"/>
      <c r="G44" s="616">
        <f t="shared" si="16"/>
        <v>0</v>
      </c>
      <c r="H44" s="617">
        <f t="shared" si="17"/>
        <v>0</v>
      </c>
      <c r="I44" s="658">
        <v>0</v>
      </c>
      <c r="J44" s="658">
        <v>0</v>
      </c>
      <c r="K44" s="609">
        <v>0</v>
      </c>
      <c r="L44" s="658">
        <f>I44+J44+K44</f>
        <v>0</v>
      </c>
      <c r="M44" s="604">
        <v>0</v>
      </c>
      <c r="N44" s="604">
        <v>0</v>
      </c>
      <c r="O44" s="655">
        <v>0</v>
      </c>
      <c r="P44" s="604">
        <f t="shared" si="18"/>
        <v>0</v>
      </c>
      <c r="Q44" s="607">
        <f t="shared" si="19"/>
        <v>0</v>
      </c>
      <c r="R44" s="631">
        <f>C44-M44</f>
        <v>0</v>
      </c>
      <c r="S44" s="622">
        <f t="shared" si="20"/>
        <v>0</v>
      </c>
      <c r="T44" s="622">
        <f t="shared" si="20"/>
        <v>0</v>
      </c>
      <c r="U44" s="622">
        <f t="shared" si="20"/>
        <v>0</v>
      </c>
      <c r="V44" s="656">
        <f t="shared" si="21"/>
        <v>0</v>
      </c>
      <c r="W44" s="655">
        <v>0</v>
      </c>
      <c r="X44" s="657">
        <f>D44-I44</f>
        <v>0</v>
      </c>
      <c r="Y44" s="657">
        <f t="shared" si="22"/>
        <v>0</v>
      </c>
      <c r="Z44" s="657">
        <f t="shared" si="22"/>
        <v>0</v>
      </c>
      <c r="AA44" s="657">
        <f t="shared" si="22"/>
        <v>0</v>
      </c>
      <c r="AB44" s="655">
        <v>0</v>
      </c>
      <c r="AC44" s="657">
        <f t="shared" si="26"/>
        <v>0</v>
      </c>
      <c r="AD44" s="657">
        <f t="shared" si="24"/>
        <v>0</v>
      </c>
      <c r="AE44" s="657">
        <f t="shared" si="24"/>
        <v>0</v>
      </c>
      <c r="AF44" s="657">
        <f t="shared" si="25"/>
        <v>0</v>
      </c>
    </row>
    <row r="45" spans="2:32" ht="16.5" thickBot="1" x14ac:dyDescent="0.3">
      <c r="B45" s="659"/>
      <c r="C45" s="660"/>
      <c r="D45" s="660"/>
      <c r="E45" s="660"/>
      <c r="F45" s="660"/>
      <c r="G45" s="660"/>
      <c r="H45" s="661"/>
      <c r="I45" s="662"/>
      <c r="J45" s="663"/>
      <c r="K45" s="663"/>
      <c r="L45" s="664"/>
      <c r="M45" s="665"/>
      <c r="N45" s="660"/>
      <c r="O45" s="660"/>
      <c r="P45" s="660"/>
      <c r="Q45" s="661"/>
      <c r="R45" s="665"/>
      <c r="S45" s="660"/>
      <c r="T45" s="660"/>
      <c r="U45" s="660"/>
      <c r="V45" s="661"/>
      <c r="W45" s="665"/>
      <c r="X45" s="660"/>
      <c r="Y45" s="660"/>
      <c r="Z45" s="660"/>
      <c r="AA45" s="661"/>
      <c r="AB45" s="665"/>
      <c r="AC45" s="660"/>
      <c r="AD45" s="660"/>
      <c r="AE45" s="660"/>
      <c r="AF45" s="661"/>
    </row>
    <row r="46" spans="2:32" ht="16.5" thickBot="1" x14ac:dyDescent="0.3">
      <c r="B46" s="666" t="s">
        <v>15</v>
      </c>
      <c r="C46" s="667">
        <f>SUM(C33:C44)</f>
        <v>0</v>
      </c>
      <c r="D46" s="667">
        <f>SUM(D33:D44)</f>
        <v>0</v>
      </c>
      <c r="E46" s="667">
        <f>SUM(E33:E44)</f>
        <v>0</v>
      </c>
      <c r="F46" s="667">
        <f>SUM(F33:F44)</f>
        <v>0</v>
      </c>
      <c r="G46" s="667">
        <f>SUM(G33:G44)</f>
        <v>0</v>
      </c>
      <c r="H46" s="668">
        <f t="shared" ref="H46:AF46" si="28">SUM(H33:H44)</f>
        <v>0</v>
      </c>
      <c r="I46" s="638">
        <f t="shared" si="28"/>
        <v>0</v>
      </c>
      <c r="J46" s="639">
        <f t="shared" si="28"/>
        <v>0</v>
      </c>
      <c r="K46" s="639">
        <f t="shared" si="28"/>
        <v>0</v>
      </c>
      <c r="L46" s="640">
        <f t="shared" si="28"/>
        <v>0</v>
      </c>
      <c r="M46" s="669">
        <f t="shared" si="28"/>
        <v>0</v>
      </c>
      <c r="N46" s="667">
        <f t="shared" si="28"/>
        <v>0</v>
      </c>
      <c r="O46" s="667">
        <f t="shared" si="28"/>
        <v>0</v>
      </c>
      <c r="P46" s="667">
        <f t="shared" si="28"/>
        <v>0</v>
      </c>
      <c r="Q46" s="668">
        <f t="shared" si="28"/>
        <v>0</v>
      </c>
      <c r="R46" s="669">
        <f t="shared" si="28"/>
        <v>0</v>
      </c>
      <c r="S46" s="667">
        <f t="shared" si="28"/>
        <v>0</v>
      </c>
      <c r="T46" s="667">
        <f t="shared" si="28"/>
        <v>0</v>
      </c>
      <c r="U46" s="667">
        <f t="shared" si="28"/>
        <v>0</v>
      </c>
      <c r="V46" s="668">
        <f t="shared" si="28"/>
        <v>0</v>
      </c>
      <c r="W46" s="669">
        <f t="shared" si="28"/>
        <v>0</v>
      </c>
      <c r="X46" s="667">
        <f t="shared" si="28"/>
        <v>0</v>
      </c>
      <c r="Y46" s="667">
        <f t="shared" si="28"/>
        <v>0</v>
      </c>
      <c r="Z46" s="667">
        <f t="shared" si="28"/>
        <v>0</v>
      </c>
      <c r="AA46" s="668">
        <f t="shared" si="28"/>
        <v>0</v>
      </c>
      <c r="AB46" s="669">
        <f t="shared" si="28"/>
        <v>0</v>
      </c>
      <c r="AC46" s="667">
        <f t="shared" si="28"/>
        <v>0</v>
      </c>
      <c r="AD46" s="667">
        <f t="shared" si="28"/>
        <v>0</v>
      </c>
      <c r="AE46" s="667">
        <f t="shared" si="28"/>
        <v>0</v>
      </c>
      <c r="AF46" s="668">
        <f t="shared" si="28"/>
        <v>0</v>
      </c>
    </row>
    <row r="47" spans="2:32" x14ac:dyDescent="0.25">
      <c r="X47" s="670"/>
      <c r="Y47" s="670"/>
      <c r="Z47" s="670"/>
      <c r="AA47" s="670"/>
      <c r="AC47" s="670"/>
      <c r="AD47" s="670"/>
      <c r="AE47" s="670"/>
      <c r="AF47" s="670"/>
    </row>
    <row r="49" spans="2:22" x14ac:dyDescent="0.25">
      <c r="B49" s="1730" t="s">
        <v>1050</v>
      </c>
      <c r="C49" s="1731" t="s">
        <v>1071</v>
      </c>
      <c r="D49" s="1731"/>
      <c r="E49" s="1731"/>
      <c r="F49" s="1731"/>
      <c r="G49" s="1731"/>
      <c r="H49" s="1731"/>
      <c r="I49" s="1731"/>
      <c r="J49" s="1731"/>
      <c r="K49" s="1731"/>
      <c r="L49" s="1731"/>
      <c r="N49" s="583">
        <f>730404+1717112.54+1717112.54</f>
        <v>4164629.08</v>
      </c>
    </row>
    <row r="50" spans="2:22" x14ac:dyDescent="0.25">
      <c r="B50" s="1730"/>
      <c r="C50" s="1731" t="s">
        <v>1072</v>
      </c>
      <c r="D50" s="1731"/>
      <c r="E50" s="1731"/>
      <c r="F50" s="1731" t="s">
        <v>1073</v>
      </c>
      <c r="G50" s="1731"/>
      <c r="H50" s="1731"/>
      <c r="I50" s="1732" t="s">
        <v>1074</v>
      </c>
      <c r="J50" s="1732" t="s">
        <v>1075</v>
      </c>
      <c r="K50" s="1732" t="s">
        <v>1076</v>
      </c>
      <c r="L50" s="1732" t="s">
        <v>1077</v>
      </c>
      <c r="N50" s="587" t="s">
        <v>1445</v>
      </c>
      <c r="O50" s="587" t="s">
        <v>1450</v>
      </c>
      <c r="P50" s="587" t="s">
        <v>1044</v>
      </c>
      <c r="Q50" s="587" t="s">
        <v>1448</v>
      </c>
      <c r="R50" s="587" t="s">
        <v>1446</v>
      </c>
      <c r="S50" s="587" t="s">
        <v>1447</v>
      </c>
      <c r="T50" s="587" t="s">
        <v>1449</v>
      </c>
      <c r="U50" s="582"/>
    </row>
    <row r="51" spans="2:22" x14ac:dyDescent="0.25">
      <c r="B51" s="1730"/>
      <c r="C51" s="671" t="s">
        <v>1055</v>
      </c>
      <c r="D51" s="672" t="s">
        <v>1056</v>
      </c>
      <c r="E51" s="672" t="s">
        <v>1057</v>
      </c>
      <c r="F51" s="672" t="s">
        <v>1055</v>
      </c>
      <c r="G51" s="672" t="s">
        <v>1056</v>
      </c>
      <c r="H51" s="672" t="s">
        <v>1057</v>
      </c>
      <c r="I51" s="1733"/>
      <c r="J51" s="1733"/>
      <c r="K51" s="1733"/>
      <c r="L51" s="1733"/>
      <c r="M51" s="1179" t="s">
        <v>1451</v>
      </c>
      <c r="N51" s="720">
        <f>183993+546204+546204</f>
        <v>1276401</v>
      </c>
      <c r="O51" s="587">
        <f>488109+488109</f>
        <v>976218</v>
      </c>
      <c r="P51" s="670">
        <f>N51-O51</f>
        <v>300183</v>
      </c>
      <c r="Q51" s="582">
        <f>218096+1335066+1335066+29848</f>
        <v>2918076</v>
      </c>
      <c r="R51" s="1177">
        <f>N51+Q51</f>
        <v>4194477</v>
      </c>
      <c r="S51" s="582">
        <f>730404+1717112.54+1717112.54+29848</f>
        <v>4194477.08</v>
      </c>
      <c r="T51" s="587">
        <f>3026361.66</f>
        <v>3026361.66</v>
      </c>
      <c r="U51" s="582">
        <f>T51-N51</f>
        <v>1749960.6600000001</v>
      </c>
      <c r="V51" s="582">
        <f>S51-N51</f>
        <v>2918076.08</v>
      </c>
    </row>
    <row r="52" spans="2:22" x14ac:dyDescent="0.25">
      <c r="B52" s="602">
        <v>45017</v>
      </c>
      <c r="C52" s="673">
        <f t="shared" ref="C52:E61" si="29">E11</f>
        <v>0</v>
      </c>
      <c r="D52" s="609">
        <f t="shared" si="29"/>
        <v>2660831.17</v>
      </c>
      <c r="E52" s="609">
        <f t="shared" si="29"/>
        <v>2660831.17</v>
      </c>
      <c r="F52" s="609">
        <v>0</v>
      </c>
      <c r="G52" s="609">
        <f>170522+723008</f>
        <v>893530</v>
      </c>
      <c r="H52" s="609">
        <f>723008</f>
        <v>723008</v>
      </c>
      <c r="I52" s="609">
        <v>0</v>
      </c>
      <c r="J52" s="609">
        <v>0</v>
      </c>
      <c r="K52" s="609">
        <f>1767301+1937823</f>
        <v>3705124</v>
      </c>
      <c r="L52" s="618">
        <f>C52+D52+E52-F52-G52-H52-K52</f>
        <v>0.33999999985098839</v>
      </c>
      <c r="M52" s="1178">
        <v>45017</v>
      </c>
      <c r="N52" s="670">
        <f t="shared" ref="N52:N63" si="30">F52+G52+H52</f>
        <v>1616538</v>
      </c>
      <c r="S52" s="670">
        <f>N51</f>
        <v>1276401</v>
      </c>
      <c r="T52" s="670"/>
      <c r="U52" s="582"/>
    </row>
    <row r="53" spans="2:22" x14ac:dyDescent="0.25">
      <c r="B53" s="613">
        <v>45047</v>
      </c>
      <c r="C53" s="618">
        <f t="shared" si="29"/>
        <v>0</v>
      </c>
      <c r="D53" s="616">
        <f t="shared" si="29"/>
        <v>2368657.41</v>
      </c>
      <c r="E53" s="616">
        <f t="shared" si="29"/>
        <v>2368657.41</v>
      </c>
      <c r="F53" s="616">
        <v>0</v>
      </c>
      <c r="G53" s="616">
        <f>1088544+225728</f>
        <v>1314272</v>
      </c>
      <c r="H53" s="616">
        <f>225728</f>
        <v>225728</v>
      </c>
      <c r="I53" s="609">
        <v>0</v>
      </c>
      <c r="J53" s="609">
        <v>0</v>
      </c>
      <c r="K53" s="616">
        <f>1054385+2142929</f>
        <v>3197314</v>
      </c>
      <c r="L53" s="618">
        <f t="shared" ref="L53:L63" si="31">C53+D53+E53-F53-G53-H53-K53</f>
        <v>0.82000000029802322</v>
      </c>
      <c r="M53" s="1178">
        <v>45047</v>
      </c>
      <c r="N53" s="670">
        <f t="shared" si="30"/>
        <v>1540000</v>
      </c>
      <c r="S53" s="1177">
        <f>S51-S52</f>
        <v>2918076.08</v>
      </c>
    </row>
    <row r="54" spans="2:22" x14ac:dyDescent="0.25">
      <c r="B54" s="602">
        <v>45078</v>
      </c>
      <c r="C54" s="616">
        <f t="shared" si="29"/>
        <v>0</v>
      </c>
      <c r="D54" s="616">
        <f t="shared" si="29"/>
        <v>1054120.07</v>
      </c>
      <c r="E54" s="616">
        <f t="shared" si="29"/>
        <v>1054120.07</v>
      </c>
      <c r="F54" s="616">
        <f>467111+467111</f>
        <v>934222</v>
      </c>
      <c r="G54" s="616">
        <v>207153</v>
      </c>
      <c r="H54" s="616">
        <v>207153</v>
      </c>
      <c r="I54" s="609">
        <v>0</v>
      </c>
      <c r="J54" s="609">
        <v>0</v>
      </c>
      <c r="K54" s="616">
        <f>379859+379856</f>
        <v>759715</v>
      </c>
      <c r="L54" s="618">
        <f>C54+D54+E54-F54-G54-H54-K54</f>
        <v>-2.8599999998696148</v>
      </c>
      <c r="M54" s="1178">
        <v>45078</v>
      </c>
      <c r="N54" s="670">
        <f t="shared" si="30"/>
        <v>1348528</v>
      </c>
    </row>
    <row r="55" spans="2:22" x14ac:dyDescent="0.25">
      <c r="B55" s="613">
        <v>45108</v>
      </c>
      <c r="C55" s="618">
        <f t="shared" si="29"/>
        <v>391867.2</v>
      </c>
      <c r="D55" s="616">
        <f t="shared" si="29"/>
        <v>610140.33000000007</v>
      </c>
      <c r="E55" s="616">
        <f t="shared" si="29"/>
        <v>610140.33000000007</v>
      </c>
      <c r="F55" s="616">
        <f>107160+173198+111509</f>
        <v>391867</v>
      </c>
      <c r="G55" s="616">
        <v>610140</v>
      </c>
      <c r="H55" s="616">
        <v>610140</v>
      </c>
      <c r="I55" s="616">
        <v>0</v>
      </c>
      <c r="J55" s="609">
        <v>0</v>
      </c>
      <c r="K55" s="616">
        <v>0</v>
      </c>
      <c r="L55" s="618">
        <f>C55+D55+E55-F55-G55-H55-K55</f>
        <v>0.86000000010244548</v>
      </c>
      <c r="M55" s="1178">
        <v>45108</v>
      </c>
      <c r="N55" s="670">
        <f t="shared" si="30"/>
        <v>1612147</v>
      </c>
    </row>
    <row r="56" spans="2:22" x14ac:dyDescent="0.25">
      <c r="B56" s="602">
        <v>45139</v>
      </c>
      <c r="C56" s="618">
        <f t="shared" si="29"/>
        <v>66805.2</v>
      </c>
      <c r="D56" s="616">
        <f t="shared" si="29"/>
        <v>618395.94000000006</v>
      </c>
      <c r="E56" s="616">
        <f t="shared" si="29"/>
        <v>618395.94000000006</v>
      </c>
      <c r="F56" s="616">
        <f>66805</f>
        <v>66805</v>
      </c>
      <c r="G56" s="616">
        <f>109458+194646</f>
        <v>304104</v>
      </c>
      <c r="H56" s="616">
        <v>256335</v>
      </c>
      <c r="I56" s="616">
        <v>0</v>
      </c>
      <c r="J56" s="609">
        <v>0</v>
      </c>
      <c r="K56" s="616">
        <f>314292+362061</f>
        <v>676353</v>
      </c>
      <c r="L56" s="618">
        <f t="shared" si="31"/>
        <v>8.0000000074505806E-2</v>
      </c>
      <c r="M56" s="1178">
        <v>45139</v>
      </c>
      <c r="N56" s="670">
        <f t="shared" si="30"/>
        <v>627244</v>
      </c>
    </row>
    <row r="57" spans="2:22" x14ac:dyDescent="0.25">
      <c r="B57" s="613">
        <v>45170</v>
      </c>
      <c r="C57" s="618">
        <f t="shared" si="29"/>
        <v>0</v>
      </c>
      <c r="D57" s="616">
        <f t="shared" si="29"/>
        <v>683694.9</v>
      </c>
      <c r="E57" s="616">
        <f t="shared" si="29"/>
        <v>683694.9</v>
      </c>
      <c r="F57" s="616">
        <v>0</v>
      </c>
      <c r="G57" s="616">
        <f>325548+183718</f>
        <v>509266</v>
      </c>
      <c r="H57" s="616">
        <v>183718</v>
      </c>
      <c r="I57" s="616">
        <v>0</v>
      </c>
      <c r="J57" s="609">
        <v>0</v>
      </c>
      <c r="K57" s="616">
        <f>174429+499977</f>
        <v>674406</v>
      </c>
      <c r="L57" s="618">
        <f t="shared" si="31"/>
        <v>-0.19999999995343387</v>
      </c>
      <c r="M57" s="1178">
        <v>45170</v>
      </c>
      <c r="N57" s="670">
        <f t="shared" si="30"/>
        <v>692984</v>
      </c>
    </row>
    <row r="58" spans="2:22" x14ac:dyDescent="0.25">
      <c r="B58" s="602">
        <v>45200</v>
      </c>
      <c r="C58" s="618">
        <f t="shared" si="29"/>
        <v>136440</v>
      </c>
      <c r="D58" s="616">
        <f t="shared" si="29"/>
        <v>958748.22</v>
      </c>
      <c r="E58" s="616">
        <f t="shared" si="29"/>
        <v>958748.22</v>
      </c>
      <c r="F58" s="616">
        <v>78673</v>
      </c>
      <c r="G58" s="616">
        <f>573730</f>
        <v>573730</v>
      </c>
      <c r="H58" s="616">
        <v>573730</v>
      </c>
      <c r="I58" s="616">
        <v>0</v>
      </c>
      <c r="J58" s="609">
        <v>0</v>
      </c>
      <c r="K58" s="609">
        <f>57767+385018+385018</f>
        <v>827803</v>
      </c>
      <c r="L58" s="618">
        <f t="shared" si="31"/>
        <v>0.43999999994412065</v>
      </c>
      <c r="M58" s="1178">
        <v>45200</v>
      </c>
      <c r="N58" s="670">
        <f t="shared" si="30"/>
        <v>1226133</v>
      </c>
    </row>
    <row r="59" spans="2:22" x14ac:dyDescent="0.25">
      <c r="B59" s="613">
        <v>45231</v>
      </c>
      <c r="C59" s="618">
        <f t="shared" si="29"/>
        <v>0</v>
      </c>
      <c r="D59" s="609">
        <f t="shared" si="29"/>
        <v>806646.06</v>
      </c>
      <c r="E59" s="609">
        <f t="shared" si="29"/>
        <v>806646.06</v>
      </c>
      <c r="F59" s="616">
        <v>0</v>
      </c>
      <c r="G59" s="609">
        <f>120523+343800</f>
        <v>464323</v>
      </c>
      <c r="H59" s="609">
        <f>343800</f>
        <v>343800</v>
      </c>
      <c r="I59" s="616">
        <v>0</v>
      </c>
      <c r="J59" s="609">
        <v>0</v>
      </c>
      <c r="K59" s="609">
        <f>342323+462846</f>
        <v>805169</v>
      </c>
      <c r="L59" s="618">
        <f t="shared" si="31"/>
        <v>0.12000000011175871</v>
      </c>
      <c r="M59" s="1178">
        <v>45231</v>
      </c>
      <c r="N59" s="670">
        <f t="shared" si="30"/>
        <v>808123</v>
      </c>
    </row>
    <row r="60" spans="2:22" x14ac:dyDescent="0.25">
      <c r="B60" s="602">
        <v>45261</v>
      </c>
      <c r="C60" s="618">
        <f t="shared" si="29"/>
        <v>0</v>
      </c>
      <c r="D60" s="609">
        <f t="shared" si="29"/>
        <v>1048327.2</v>
      </c>
      <c r="E60" s="609">
        <f t="shared" si="29"/>
        <v>1048327.2</v>
      </c>
      <c r="F60" s="616">
        <v>0</v>
      </c>
      <c r="G60" s="609">
        <f>66255+982072</f>
        <v>1048327</v>
      </c>
      <c r="H60" s="609">
        <f>110819+937508</f>
        <v>1048327</v>
      </c>
      <c r="I60" s="616">
        <v>0</v>
      </c>
      <c r="J60" s="609">
        <v>0</v>
      </c>
      <c r="K60" s="609">
        <v>0</v>
      </c>
      <c r="L60" s="618">
        <f t="shared" si="31"/>
        <v>0.39999999990686774</v>
      </c>
      <c r="M60" s="1178">
        <v>45261</v>
      </c>
      <c r="N60" s="670">
        <f t="shared" si="30"/>
        <v>2096654</v>
      </c>
    </row>
    <row r="61" spans="2:22" x14ac:dyDescent="0.25">
      <c r="B61" s="613">
        <v>45292</v>
      </c>
      <c r="C61" s="618">
        <f t="shared" si="29"/>
        <v>0</v>
      </c>
      <c r="D61" s="609">
        <f t="shared" si="29"/>
        <v>1584305.01</v>
      </c>
      <c r="E61" s="609">
        <f t="shared" si="29"/>
        <v>1584305.01</v>
      </c>
      <c r="F61" s="616">
        <v>0</v>
      </c>
      <c r="G61" s="609">
        <f>426005+606428</f>
        <v>1032433</v>
      </c>
      <c r="H61" s="609">
        <f>1477681</f>
        <v>1477681</v>
      </c>
      <c r="I61" s="609">
        <v>0</v>
      </c>
      <c r="J61" s="609">
        <v>0</v>
      </c>
      <c r="K61" s="609">
        <f>551872+106624</f>
        <v>658496</v>
      </c>
      <c r="L61" s="618">
        <f t="shared" si="31"/>
        <v>2.0000000018626451E-2</v>
      </c>
      <c r="M61" s="1178">
        <v>45292</v>
      </c>
      <c r="N61" s="670">
        <f t="shared" si="30"/>
        <v>2510114</v>
      </c>
    </row>
    <row r="62" spans="2:22" x14ac:dyDescent="0.25">
      <c r="B62" s="602">
        <v>45323</v>
      </c>
      <c r="C62" s="618">
        <f>E21</f>
        <v>418118.94</v>
      </c>
      <c r="D62" s="609">
        <f>F21</f>
        <v>1337109.75</v>
      </c>
      <c r="E62" s="609">
        <f>F21</f>
        <v>1337109.75</v>
      </c>
      <c r="F62" s="616">
        <f>418119</f>
        <v>418119</v>
      </c>
      <c r="G62" s="616">
        <f>102520+468777</f>
        <v>571297</v>
      </c>
      <c r="H62" s="616">
        <f>468777</f>
        <v>468777</v>
      </c>
      <c r="I62" s="609">
        <v>0</v>
      </c>
      <c r="J62" s="609">
        <v>0</v>
      </c>
      <c r="K62" s="609">
        <f>765813+868333</f>
        <v>1634146</v>
      </c>
      <c r="L62" s="618">
        <f t="shared" si="31"/>
        <v>-0.56000000005587935</v>
      </c>
      <c r="M62" s="1178">
        <v>45323</v>
      </c>
      <c r="N62" s="670">
        <f t="shared" si="30"/>
        <v>1458193</v>
      </c>
    </row>
    <row r="63" spans="2:22" x14ac:dyDescent="0.25">
      <c r="B63" s="613">
        <v>45352</v>
      </c>
      <c r="C63" s="618">
        <f>E22</f>
        <v>309423.59999999998</v>
      </c>
      <c r="D63" s="609">
        <f>F22</f>
        <v>2267568</v>
      </c>
      <c r="E63" s="609">
        <f>G22</f>
        <v>2267568</v>
      </c>
      <c r="F63" s="609">
        <v>249119</v>
      </c>
      <c r="G63" s="609">
        <v>899993</v>
      </c>
      <c r="H63" s="609">
        <v>899993</v>
      </c>
      <c r="I63" s="609">
        <v>0</v>
      </c>
      <c r="J63" s="609">
        <v>0</v>
      </c>
      <c r="K63" s="609">
        <f>60305+1367575+1367575</f>
        <v>2795455</v>
      </c>
      <c r="L63" s="618">
        <f t="shared" si="31"/>
        <v>-0.40000000037252903</v>
      </c>
      <c r="M63" s="1178">
        <v>45352</v>
      </c>
      <c r="N63" s="670">
        <f t="shared" si="30"/>
        <v>2049105</v>
      </c>
    </row>
    <row r="64" spans="2:22" x14ac:dyDescent="0.25">
      <c r="B64" s="674"/>
      <c r="C64" s="632"/>
      <c r="D64" s="620"/>
      <c r="E64" s="620"/>
      <c r="F64" s="620"/>
      <c r="G64" s="620"/>
      <c r="H64" s="620"/>
      <c r="I64" s="620"/>
      <c r="J64" s="620"/>
      <c r="K64" s="615"/>
      <c r="L64" s="675"/>
    </row>
    <row r="65" spans="2:12" x14ac:dyDescent="0.25">
      <c r="B65" s="676" t="s">
        <v>15</v>
      </c>
      <c r="C65" s="677">
        <f>SUM(C52:C64)</f>
        <v>1322654.94</v>
      </c>
      <c r="D65" s="677">
        <f t="shared" ref="D65:L65" si="32">SUM(D52:D64)</f>
        <v>15998544.060000001</v>
      </c>
      <c r="E65" s="677">
        <f t="shared" si="32"/>
        <v>15998544.060000001</v>
      </c>
      <c r="F65" s="677">
        <f t="shared" si="32"/>
        <v>2138805</v>
      </c>
      <c r="G65" s="677">
        <f t="shared" si="32"/>
        <v>8428568</v>
      </c>
      <c r="H65" s="677">
        <f t="shared" si="32"/>
        <v>7018390</v>
      </c>
      <c r="I65" s="677">
        <f t="shared" si="32"/>
        <v>0</v>
      </c>
      <c r="J65" s="677">
        <f t="shared" si="32"/>
        <v>0</v>
      </c>
      <c r="K65" s="677">
        <f t="shared" si="32"/>
        <v>15733981</v>
      </c>
      <c r="L65" s="677">
        <f t="shared" si="32"/>
        <v>-0.93999999994412065</v>
      </c>
    </row>
    <row r="66" spans="2:12" x14ac:dyDescent="0.25">
      <c r="D66" s="582">
        <v>2104575.98</v>
      </c>
      <c r="E66" s="582">
        <v>2490719.44</v>
      </c>
    </row>
    <row r="67" spans="2:12" x14ac:dyDescent="0.25">
      <c r="D67" s="582">
        <f>D63-D66</f>
        <v>162992.02000000002</v>
      </c>
      <c r="E67" s="582">
        <f>E63-E66</f>
        <v>-223151.43999999994</v>
      </c>
    </row>
    <row r="68" spans="2:12" x14ac:dyDescent="0.25">
      <c r="B68" s="587" t="s">
        <v>1444</v>
      </c>
      <c r="C68" s="1177">
        <f>C63+D63+E63</f>
        <v>4844559.5999999996</v>
      </c>
    </row>
    <row r="69" spans="2:12" x14ac:dyDescent="0.25">
      <c r="E69" s="582">
        <f>D65+E65+C65</f>
        <v>33319743.060000002</v>
      </c>
      <c r="F69" s="582">
        <f>F65+G65+H65+K65</f>
        <v>33319744</v>
      </c>
    </row>
    <row r="70" spans="2:12" x14ac:dyDescent="0.25">
      <c r="F70" s="582">
        <f>F69-E69</f>
        <v>0.93999999761581421</v>
      </c>
    </row>
    <row r="72" spans="2:12" x14ac:dyDescent="0.25">
      <c r="B72" s="587" t="s">
        <v>677</v>
      </c>
      <c r="G72" s="587" t="s">
        <v>884</v>
      </c>
    </row>
    <row r="73" spans="2:12" x14ac:dyDescent="0.25">
      <c r="B73" s="1194" t="s">
        <v>1457</v>
      </c>
      <c r="C73" s="1194" t="s">
        <v>1455</v>
      </c>
      <c r="D73" s="1195" t="s">
        <v>1454</v>
      </c>
      <c r="E73" s="1195" t="s">
        <v>1044</v>
      </c>
      <c r="G73" s="1194" t="s">
        <v>1457</v>
      </c>
      <c r="H73" s="1194" t="s">
        <v>1455</v>
      </c>
      <c r="I73" s="1195" t="s">
        <v>1454</v>
      </c>
      <c r="J73" s="1195" t="s">
        <v>1044</v>
      </c>
    </row>
    <row r="74" spans="2:12" x14ac:dyDescent="0.25">
      <c r="B74" s="675" t="s">
        <v>1055</v>
      </c>
      <c r="C74" s="609">
        <v>662334.98</v>
      </c>
      <c r="D74" s="609">
        <v>218096</v>
      </c>
      <c r="E74" s="609">
        <f>C74-D74</f>
        <v>444238.98</v>
      </c>
      <c r="G74" s="675" t="s">
        <v>1055</v>
      </c>
      <c r="H74" s="609">
        <v>176229.92</v>
      </c>
      <c r="I74" s="609">
        <v>60305</v>
      </c>
      <c r="J74" s="609">
        <f>H74-I74</f>
        <v>115924.92000000001</v>
      </c>
    </row>
    <row r="75" spans="2:12" x14ac:dyDescent="0.25">
      <c r="B75" s="675" t="s">
        <v>1056</v>
      </c>
      <c r="C75" s="609">
        <v>1109126.56</v>
      </c>
      <c r="D75" s="609">
        <v>1335066</v>
      </c>
      <c r="E75" s="609">
        <f t="shared" ref="E75:E76" si="33">C75-D75</f>
        <v>-225939.43999999994</v>
      </c>
      <c r="G75" s="675" t="s">
        <v>1056</v>
      </c>
      <c r="H75" s="609">
        <v>1305793.6200000001</v>
      </c>
      <c r="I75" s="609">
        <v>1367575</v>
      </c>
      <c r="J75" s="609">
        <f t="shared" ref="J75:J76" si="34">H75-I75</f>
        <v>-61781.379999999888</v>
      </c>
    </row>
    <row r="76" spans="2:12" x14ac:dyDescent="0.25">
      <c r="B76" s="675" t="s">
        <v>1057</v>
      </c>
      <c r="C76" s="609">
        <v>1225050.1200000001</v>
      </c>
      <c r="D76" s="609">
        <v>1335066</v>
      </c>
      <c r="E76" s="609">
        <f t="shared" si="33"/>
        <v>-110015.87999999989</v>
      </c>
      <c r="G76" s="675" t="s">
        <v>1057</v>
      </c>
      <c r="H76" s="609">
        <v>1421717.18</v>
      </c>
      <c r="I76" s="609">
        <v>1367575</v>
      </c>
      <c r="J76" s="609">
        <f t="shared" si="34"/>
        <v>54142.179999999935</v>
      </c>
    </row>
    <row r="77" spans="2:12" x14ac:dyDescent="0.25">
      <c r="B77" s="1194" t="s">
        <v>183</v>
      </c>
      <c r="C77" s="1195">
        <f>SUM(C74:C76)</f>
        <v>2996511.66</v>
      </c>
      <c r="D77" s="1195">
        <f>SUM(D74:D76)</f>
        <v>2888228</v>
      </c>
      <c r="E77" s="1195">
        <f>SUM(E74:E76)</f>
        <v>108283.66000000015</v>
      </c>
      <c r="G77" s="1194" t="s">
        <v>183</v>
      </c>
      <c r="H77" s="1195">
        <f>SUM(H74:H76)</f>
        <v>2903740.7199999997</v>
      </c>
      <c r="I77" s="1195">
        <f>SUM(I74:I76)</f>
        <v>2795455</v>
      </c>
      <c r="J77" s="1195">
        <f>SUM(J74:J76)</f>
        <v>108285.72000000006</v>
      </c>
      <c r="K77" s="582" t="s">
        <v>1456</v>
      </c>
    </row>
    <row r="78" spans="2:12" x14ac:dyDescent="0.25">
      <c r="C78" s="720"/>
    </row>
  </sheetData>
  <mergeCells count="19">
    <mergeCell ref="B49:B51"/>
    <mergeCell ref="C49:L49"/>
    <mergeCell ref="C50:E50"/>
    <mergeCell ref="F50:H50"/>
    <mergeCell ref="I50:I51"/>
    <mergeCell ref="J50:J51"/>
    <mergeCell ref="K50:K51"/>
    <mergeCell ref="L50:L51"/>
    <mergeCell ref="W31:AA31"/>
    <mergeCell ref="AB31:AF31"/>
    <mergeCell ref="B9:B10"/>
    <mergeCell ref="C9:I9"/>
    <mergeCell ref="J9:O9"/>
    <mergeCell ref="P9:S9"/>
    <mergeCell ref="B31:B32"/>
    <mergeCell ref="C31:H31"/>
    <mergeCell ref="I31:L31"/>
    <mergeCell ref="M31:Q31"/>
    <mergeCell ref="R31:V3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3:L57"/>
  <sheetViews>
    <sheetView tabSelected="1" workbookViewId="0"/>
  </sheetViews>
  <sheetFormatPr defaultRowHeight="15" x14ac:dyDescent="0.25"/>
  <cols>
    <col min="2" max="2" width="14.5703125" bestFit="1" customWidth="1"/>
    <col min="3" max="3" width="32.85546875" bestFit="1" customWidth="1"/>
    <col min="4" max="4" width="15.85546875" bestFit="1" customWidth="1"/>
    <col min="5" max="5" width="13.42578125" bestFit="1" customWidth="1"/>
    <col min="6" max="6" width="32.5703125" bestFit="1" customWidth="1"/>
    <col min="7" max="7" width="15.85546875" bestFit="1" customWidth="1"/>
    <col min="8" max="8" width="16.42578125" bestFit="1" customWidth="1"/>
    <col min="9" max="9" width="29.42578125" bestFit="1" customWidth="1"/>
    <col min="10" max="11" width="10.5703125" bestFit="1" customWidth="1"/>
  </cols>
  <sheetData>
    <row r="3" spans="2:12" x14ac:dyDescent="0.25">
      <c r="C3" s="1205" t="s">
        <v>1480</v>
      </c>
    </row>
    <row r="5" spans="2:12" x14ac:dyDescent="0.25">
      <c r="B5" s="1734" t="s">
        <v>1482</v>
      </c>
      <c r="C5" s="1734"/>
      <c r="D5" s="306">
        <v>130000000</v>
      </c>
    </row>
    <row r="6" spans="2:12" x14ac:dyDescent="0.25">
      <c r="B6" s="1205"/>
      <c r="C6" s="1205"/>
      <c r="D6" s="306"/>
    </row>
    <row r="7" spans="2:12" x14ac:dyDescent="0.25">
      <c r="B7" s="1208">
        <v>45135</v>
      </c>
      <c r="C7" s="1206" t="s">
        <v>1483</v>
      </c>
      <c r="D7" s="306">
        <v>10000000</v>
      </c>
    </row>
    <row r="8" spans="2:12" x14ac:dyDescent="0.25">
      <c r="B8" s="1208">
        <v>45148</v>
      </c>
      <c r="C8" s="1206" t="s">
        <v>1483</v>
      </c>
      <c r="D8" s="306">
        <v>12500000</v>
      </c>
    </row>
    <row r="9" spans="2:12" x14ac:dyDescent="0.25">
      <c r="B9" s="1208">
        <v>45148</v>
      </c>
      <c r="C9" s="1206" t="s">
        <v>1483</v>
      </c>
      <c r="D9" s="306">
        <v>10000000</v>
      </c>
    </row>
    <row r="10" spans="2:12" x14ac:dyDescent="0.25">
      <c r="B10" s="1208">
        <v>45161</v>
      </c>
      <c r="C10" s="1206" t="s">
        <v>1483</v>
      </c>
      <c r="D10" s="306">
        <v>10500000</v>
      </c>
      <c r="E10" s="1212" t="s">
        <v>1485</v>
      </c>
      <c r="F10" s="1212"/>
    </row>
    <row r="11" spans="2:12" x14ac:dyDescent="0.25">
      <c r="B11" s="1208">
        <v>45167</v>
      </c>
      <c r="C11" s="1205" t="s">
        <v>1481</v>
      </c>
      <c r="D11" s="1210">
        <v>87000000</v>
      </c>
      <c r="E11" s="1211">
        <v>4431636.99</v>
      </c>
      <c r="F11" s="1216"/>
      <c r="G11" s="1218" t="s">
        <v>1502</v>
      </c>
    </row>
    <row r="12" spans="2:12" x14ac:dyDescent="0.25">
      <c r="D12" s="1209">
        <f>SUM(D7:D11)</f>
        <v>130000000</v>
      </c>
      <c r="E12" s="1209">
        <f>SUM(E11:E11)</f>
        <v>4431636.99</v>
      </c>
      <c r="F12" s="1220" t="s">
        <v>1517</v>
      </c>
      <c r="G12" s="1217">
        <f>D12+D15</f>
        <v>139881065</v>
      </c>
      <c r="H12" t="s">
        <v>1518</v>
      </c>
      <c r="I12" s="737" t="s">
        <v>1528</v>
      </c>
      <c r="J12" s="1207">
        <f>G13</f>
        <v>1300000</v>
      </c>
      <c r="K12" s="737"/>
      <c r="L12" s="737" t="s">
        <v>1530</v>
      </c>
    </row>
    <row r="13" spans="2:12" x14ac:dyDescent="0.25">
      <c r="F13" t="s">
        <v>1520</v>
      </c>
      <c r="G13" s="1101">
        <f>D14</f>
        <v>1300000</v>
      </c>
      <c r="H13" t="s">
        <v>1521</v>
      </c>
      <c r="I13" s="737" t="s">
        <v>1529</v>
      </c>
      <c r="J13" s="737"/>
      <c r="K13" s="1207">
        <f>J12</f>
        <v>1300000</v>
      </c>
    </row>
    <row r="14" spans="2:12" x14ac:dyDescent="0.25">
      <c r="B14" s="1208">
        <v>45161</v>
      </c>
      <c r="C14" t="s">
        <v>1484</v>
      </c>
      <c r="D14" s="306">
        <v>1300000</v>
      </c>
      <c r="F14" s="1220" t="s">
        <v>1519</v>
      </c>
      <c r="G14" s="1217">
        <f>E12</f>
        <v>4431636.99</v>
      </c>
      <c r="H14" t="s">
        <v>1532</v>
      </c>
    </row>
    <row r="15" spans="2:12" x14ac:dyDescent="0.25">
      <c r="B15" s="1208">
        <v>45157</v>
      </c>
      <c r="C15" t="s">
        <v>829</v>
      </c>
      <c r="D15" s="306">
        <v>9881065</v>
      </c>
      <c r="F15" t="s">
        <v>1497</v>
      </c>
      <c r="G15" s="1217">
        <f>D16</f>
        <v>288000</v>
      </c>
      <c r="H15" t="s">
        <v>1532</v>
      </c>
      <c r="I15" s="737" t="s">
        <v>1522</v>
      </c>
      <c r="J15" s="1207">
        <f>G28</f>
        <v>6521806.4000000004</v>
      </c>
      <c r="K15" s="737"/>
      <c r="L15" s="737" t="s">
        <v>1530</v>
      </c>
    </row>
    <row r="16" spans="2:12" x14ac:dyDescent="0.25">
      <c r="B16" s="1208">
        <v>45166</v>
      </c>
      <c r="C16" t="s">
        <v>1497</v>
      </c>
      <c r="D16" s="306">
        <v>288000</v>
      </c>
      <c r="F16" t="str">
        <f>C19</f>
        <v>Civil works</v>
      </c>
      <c r="G16" s="1101">
        <f>D21</f>
        <v>3599587.4</v>
      </c>
      <c r="H16" t="s">
        <v>1516</v>
      </c>
      <c r="I16" s="737" t="s">
        <v>1523</v>
      </c>
      <c r="J16" s="737"/>
      <c r="K16" s="1207">
        <f>G16</f>
        <v>3599587.4</v>
      </c>
    </row>
    <row r="17" spans="2:11" x14ac:dyDescent="0.25">
      <c r="D17" s="1209">
        <f>D14+D16</f>
        <v>1588000</v>
      </c>
      <c r="F17" t="str">
        <f>C23</f>
        <v>Repairs &amp; maintenance</v>
      </c>
      <c r="G17" s="1101">
        <f>D26</f>
        <v>1469755</v>
      </c>
      <c r="H17" t="s">
        <v>1516</v>
      </c>
      <c r="I17" s="737" t="s">
        <v>1524</v>
      </c>
      <c r="J17" s="737"/>
      <c r="K17" s="1207">
        <f>G17</f>
        <v>1469755</v>
      </c>
    </row>
    <row r="18" spans="2:11" x14ac:dyDescent="0.25">
      <c r="D18" s="1207"/>
      <c r="F18" t="str">
        <f>C28</f>
        <v>Electricity charges</v>
      </c>
      <c r="G18" s="1101">
        <f>D30</f>
        <v>315392</v>
      </c>
      <c r="H18" t="s">
        <v>1516</v>
      </c>
      <c r="I18" s="737" t="s">
        <v>1525</v>
      </c>
      <c r="J18" s="737"/>
      <c r="K18" s="1207">
        <f>G18</f>
        <v>315392</v>
      </c>
    </row>
    <row r="19" spans="2:11" x14ac:dyDescent="0.25">
      <c r="C19" s="737" t="s">
        <v>1439</v>
      </c>
      <c r="D19" s="1207"/>
      <c r="F19" t="str">
        <f>C46</f>
        <v>Electrical expenses</v>
      </c>
      <c r="G19" s="1101">
        <f>D48</f>
        <v>858703</v>
      </c>
      <c r="H19" t="s">
        <v>1516</v>
      </c>
      <c r="I19" s="737" t="s">
        <v>1526</v>
      </c>
      <c r="J19" s="737"/>
      <c r="K19" s="1207">
        <f>G19</f>
        <v>858703</v>
      </c>
    </row>
    <row r="20" spans="2:11" x14ac:dyDescent="0.25">
      <c r="B20" s="1214" t="s">
        <v>1488</v>
      </c>
      <c r="C20" t="s">
        <v>1439</v>
      </c>
      <c r="D20" s="1211">
        <v>3599587.4</v>
      </c>
      <c r="F20" t="str">
        <f>C50</f>
        <v>plumbing expenses</v>
      </c>
      <c r="G20" s="1101">
        <f>D53</f>
        <v>278369</v>
      </c>
      <c r="H20" t="s">
        <v>1516</v>
      </c>
      <c r="I20" s="737" t="s">
        <v>1527</v>
      </c>
      <c r="J20" s="737"/>
      <c r="K20" s="1207">
        <f>G20</f>
        <v>278369</v>
      </c>
    </row>
    <row r="21" spans="2:11" x14ac:dyDescent="0.25">
      <c r="D21" s="1209">
        <f>D20</f>
        <v>3599587.4</v>
      </c>
      <c r="G21" s="1213">
        <f>SUM(G12:G20)</f>
        <v>152422508.39000002</v>
      </c>
    </row>
    <row r="22" spans="2:11" x14ac:dyDescent="0.25">
      <c r="D22" s="1207"/>
      <c r="F22" t="s">
        <v>1503</v>
      </c>
      <c r="G22" s="306">
        <v>139881065</v>
      </c>
    </row>
    <row r="23" spans="2:11" x14ac:dyDescent="0.25">
      <c r="C23" s="737" t="s">
        <v>1487</v>
      </c>
      <c r="G23" s="1207">
        <f>G21-G22+G25+G26</f>
        <v>13566293.390000015</v>
      </c>
    </row>
    <row r="24" spans="2:11" x14ac:dyDescent="0.25">
      <c r="B24" s="1215">
        <v>45245</v>
      </c>
      <c r="C24" t="s">
        <v>1486</v>
      </c>
      <c r="D24" s="306">
        <v>650000</v>
      </c>
    </row>
    <row r="25" spans="2:11" x14ac:dyDescent="0.25">
      <c r="B25" s="1214" t="s">
        <v>1489</v>
      </c>
      <c r="C25" t="s">
        <v>1487</v>
      </c>
      <c r="D25" s="1211">
        <f>689896+129859</f>
        <v>819755</v>
      </c>
      <c r="F25" t="str">
        <f>C32</f>
        <v>Fire extingushiers</v>
      </c>
      <c r="G25" s="1101">
        <f>D36</f>
        <v>84850</v>
      </c>
      <c r="H25" t="s">
        <v>1533</v>
      </c>
      <c r="I25" t="s">
        <v>1515</v>
      </c>
    </row>
    <row r="26" spans="2:11" x14ac:dyDescent="0.25">
      <c r="D26" s="1209">
        <f>SUM(D24:D25)</f>
        <v>1469755</v>
      </c>
      <c r="F26" t="str">
        <f>C38</f>
        <v>Generator Purchased</v>
      </c>
      <c r="G26" s="1101">
        <f>D40</f>
        <v>940000</v>
      </c>
      <c r="H26" t="s">
        <v>1509</v>
      </c>
      <c r="I26" t="s">
        <v>1514</v>
      </c>
    </row>
    <row r="27" spans="2:11" x14ac:dyDescent="0.25">
      <c r="D27" s="1207"/>
    </row>
    <row r="28" spans="2:11" x14ac:dyDescent="0.25">
      <c r="C28" s="737" t="s">
        <v>1490</v>
      </c>
      <c r="F28" t="s">
        <v>1516</v>
      </c>
      <c r="G28" s="1207">
        <f>SUM(G16:G20)</f>
        <v>6521806.4000000004</v>
      </c>
    </row>
    <row r="29" spans="2:11" x14ac:dyDescent="0.25">
      <c r="B29" s="1215">
        <v>45314</v>
      </c>
      <c r="C29" t="s">
        <v>1491</v>
      </c>
      <c r="D29" s="306">
        <v>315392</v>
      </c>
    </row>
    <row r="30" spans="2:11" x14ac:dyDescent="0.25">
      <c r="B30" s="1204"/>
      <c r="D30" s="1213">
        <f>SUM(D29)</f>
        <v>315392</v>
      </c>
      <c r="E30" t="s">
        <v>1506</v>
      </c>
    </row>
    <row r="32" spans="2:11" x14ac:dyDescent="0.25">
      <c r="C32" s="737" t="s">
        <v>1452</v>
      </c>
    </row>
    <row r="33" spans="2:5" x14ac:dyDescent="0.25">
      <c r="B33" s="1215">
        <v>45342</v>
      </c>
      <c r="C33" t="s">
        <v>1452</v>
      </c>
      <c r="D33" s="306">
        <v>35700</v>
      </c>
    </row>
    <row r="34" spans="2:5" x14ac:dyDescent="0.25">
      <c r="B34" s="1215">
        <v>45346</v>
      </c>
      <c r="C34" t="s">
        <v>1452</v>
      </c>
      <c r="D34" s="306">
        <v>12000</v>
      </c>
    </row>
    <row r="35" spans="2:5" x14ac:dyDescent="0.25">
      <c r="B35" s="1215">
        <v>45348</v>
      </c>
      <c r="C35" t="s">
        <v>1452</v>
      </c>
      <c r="D35" s="1211">
        <v>37150</v>
      </c>
    </row>
    <row r="36" spans="2:5" x14ac:dyDescent="0.25">
      <c r="D36" s="1213">
        <f>SUM(D33:D35)</f>
        <v>84850</v>
      </c>
    </row>
    <row r="37" spans="2:5" x14ac:dyDescent="0.25">
      <c r="E37" t="s">
        <v>1508</v>
      </c>
    </row>
    <row r="38" spans="2:5" x14ac:dyDescent="0.25">
      <c r="C38" s="737" t="s">
        <v>1492</v>
      </c>
    </row>
    <row r="39" spans="2:5" x14ac:dyDescent="0.25">
      <c r="B39" s="1215">
        <v>45316</v>
      </c>
      <c r="C39" t="s">
        <v>1493</v>
      </c>
      <c r="D39" s="306">
        <v>940000</v>
      </c>
    </row>
    <row r="40" spans="2:5" x14ac:dyDescent="0.25">
      <c r="B40" s="1215"/>
      <c r="D40" s="1213">
        <f>SUM(D39)</f>
        <v>940000</v>
      </c>
    </row>
    <row r="42" spans="2:5" x14ac:dyDescent="0.25">
      <c r="C42" s="737" t="s">
        <v>1494</v>
      </c>
    </row>
    <row r="43" spans="2:5" x14ac:dyDescent="0.25">
      <c r="B43" s="1214" t="s">
        <v>1495</v>
      </c>
      <c r="C43" t="s">
        <v>1496</v>
      </c>
      <c r="D43" s="734">
        <v>580921</v>
      </c>
    </row>
    <row r="44" spans="2:5" x14ac:dyDescent="0.25">
      <c r="D44" s="1213">
        <f>SUM(D43)</f>
        <v>580921</v>
      </c>
    </row>
    <row r="46" spans="2:5" x14ac:dyDescent="0.25">
      <c r="C46" s="737" t="s">
        <v>1443</v>
      </c>
    </row>
    <row r="47" spans="2:5" x14ac:dyDescent="0.25">
      <c r="B47" s="1214" t="s">
        <v>1489</v>
      </c>
      <c r="C47" t="s">
        <v>1443</v>
      </c>
      <c r="D47" s="306">
        <v>858703</v>
      </c>
    </row>
    <row r="48" spans="2:5" x14ac:dyDescent="0.25">
      <c r="B48" s="1204"/>
      <c r="D48" s="1213">
        <f>SUM(D47)</f>
        <v>858703</v>
      </c>
      <c r="E48" t="s">
        <v>1507</v>
      </c>
    </row>
    <row r="50" spans="2:5" x14ac:dyDescent="0.25">
      <c r="C50" s="737" t="s">
        <v>1498</v>
      </c>
    </row>
    <row r="51" spans="2:5" x14ac:dyDescent="0.25">
      <c r="B51" s="1214" t="s">
        <v>1489</v>
      </c>
      <c r="C51" t="s">
        <v>1498</v>
      </c>
      <c r="D51" s="306">
        <v>170538</v>
      </c>
    </row>
    <row r="52" spans="2:5" x14ac:dyDescent="0.25">
      <c r="B52" s="1214" t="s">
        <v>1489</v>
      </c>
      <c r="C52" t="s">
        <v>1499</v>
      </c>
      <c r="D52" s="306">
        <v>107831</v>
      </c>
    </row>
    <row r="53" spans="2:5" x14ac:dyDescent="0.25">
      <c r="B53" s="1204"/>
      <c r="D53" s="1213">
        <f>SUM(D51:D52)</f>
        <v>278369</v>
      </c>
      <c r="E53" t="s">
        <v>1506</v>
      </c>
    </row>
    <row r="55" spans="2:5" x14ac:dyDescent="0.25">
      <c r="C55" s="737" t="s">
        <v>1500</v>
      </c>
    </row>
    <row r="56" spans="2:5" x14ac:dyDescent="0.25">
      <c r="B56" s="1215">
        <v>45349</v>
      </c>
      <c r="C56" t="s">
        <v>1501</v>
      </c>
      <c r="D56" s="734">
        <v>972000</v>
      </c>
    </row>
    <row r="57" spans="2:5" x14ac:dyDescent="0.25">
      <c r="B57" s="1204"/>
      <c r="D57" s="1213">
        <f>SUM(D56)</f>
        <v>972000</v>
      </c>
    </row>
  </sheetData>
  <mergeCells count="1">
    <mergeCell ref="B5:C5"/>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4:J39"/>
  <sheetViews>
    <sheetView topLeftCell="A10" workbookViewId="0">
      <selection activeCell="G15" sqref="G15"/>
    </sheetView>
  </sheetViews>
  <sheetFormatPr defaultRowHeight="15" x14ac:dyDescent="0.25"/>
  <cols>
    <col min="2" max="2" width="27.42578125" bestFit="1" customWidth="1"/>
    <col min="3" max="3" width="12.5703125" style="1198" bestFit="1" customWidth="1"/>
    <col min="4" max="5" width="11.5703125" style="1198" bestFit="1" customWidth="1"/>
    <col min="6" max="6" width="12.5703125" style="1198" bestFit="1" customWidth="1"/>
    <col min="7" max="7" width="12" bestFit="1" customWidth="1"/>
    <col min="8" max="10" width="10.42578125" bestFit="1" customWidth="1"/>
  </cols>
  <sheetData>
    <row r="4" spans="2:7" x14ac:dyDescent="0.25">
      <c r="B4" s="1196" t="s">
        <v>1458</v>
      </c>
      <c r="C4" s="1197" t="s">
        <v>1055</v>
      </c>
      <c r="D4" s="1197" t="s">
        <v>1056</v>
      </c>
      <c r="E4" s="1197" t="s">
        <v>1057</v>
      </c>
      <c r="F4" s="1197" t="s">
        <v>183</v>
      </c>
    </row>
    <row r="5" spans="2:7" x14ac:dyDescent="0.25">
      <c r="B5" t="s">
        <v>1459</v>
      </c>
      <c r="C5" s="1198">
        <v>120522.58</v>
      </c>
      <c r="D5" s="1198">
        <v>343800.15</v>
      </c>
      <c r="E5" s="1198">
        <v>343800.15</v>
      </c>
    </row>
    <row r="6" spans="2:7" x14ac:dyDescent="0.25">
      <c r="B6" t="s">
        <v>1458</v>
      </c>
      <c r="C6" s="1198">
        <v>120522.58</v>
      </c>
      <c r="D6" s="1198">
        <v>334069.59999999998</v>
      </c>
      <c r="E6" s="1198">
        <v>334069.59999999998</v>
      </c>
    </row>
    <row r="7" spans="2:7" x14ac:dyDescent="0.25">
      <c r="B7" t="s">
        <v>1460</v>
      </c>
      <c r="D7" s="1198">
        <v>7572.5199999999995</v>
      </c>
      <c r="E7" s="1198">
        <v>7572.5199999999995</v>
      </c>
    </row>
    <row r="8" spans="2:7" x14ac:dyDescent="0.25">
      <c r="B8" t="s">
        <v>1461</v>
      </c>
      <c r="C8" s="1198">
        <f>SUM(C6:C7)</f>
        <v>120522.58</v>
      </c>
      <c r="D8" s="1198">
        <f>SUM(D6:D7)</f>
        <v>341642.12</v>
      </c>
      <c r="E8" s="1198">
        <f>SUM(E6:E7)</f>
        <v>341642.12</v>
      </c>
      <c r="G8" t="s">
        <v>1462</v>
      </c>
    </row>
    <row r="9" spans="2:7" x14ac:dyDescent="0.25">
      <c r="B9" s="737" t="s">
        <v>1463</v>
      </c>
      <c r="C9" s="1198">
        <f>C5-C8</f>
        <v>0</v>
      </c>
      <c r="D9" s="1198">
        <f t="shared" ref="D9:E9" si="0">D5-D8</f>
        <v>2158.0300000000279</v>
      </c>
      <c r="E9" s="1198">
        <f t="shared" si="0"/>
        <v>2158.0300000000279</v>
      </c>
      <c r="F9" s="1197">
        <f>C9+D9+E9</f>
        <v>4316.0600000000559</v>
      </c>
      <c r="G9" t="s">
        <v>1464</v>
      </c>
    </row>
    <row r="12" spans="2:7" x14ac:dyDescent="0.25">
      <c r="B12" s="1196" t="s">
        <v>1465</v>
      </c>
      <c r="C12" s="1197" t="s">
        <v>1055</v>
      </c>
      <c r="D12" s="1197" t="s">
        <v>1056</v>
      </c>
      <c r="E12" s="1197" t="s">
        <v>1057</v>
      </c>
      <c r="F12" s="1197" t="s">
        <v>183</v>
      </c>
    </row>
    <row r="13" spans="2:7" x14ac:dyDescent="0.25">
      <c r="B13" t="s">
        <v>1459</v>
      </c>
      <c r="C13" s="1198">
        <v>1003763</v>
      </c>
      <c r="D13" s="1198">
        <v>982071.91</v>
      </c>
      <c r="E13" s="1198">
        <f>D13</f>
        <v>982071.91</v>
      </c>
    </row>
    <row r="14" spans="2:7" x14ac:dyDescent="0.25">
      <c r="B14" t="s">
        <v>1465</v>
      </c>
      <c r="C14" s="1198">
        <v>869378.95</v>
      </c>
      <c r="D14" s="1198">
        <v>678070.52</v>
      </c>
      <c r="E14" s="1198">
        <v>678070.52</v>
      </c>
    </row>
    <row r="15" spans="2:7" x14ac:dyDescent="0.25">
      <c r="B15" t="s">
        <v>1466</v>
      </c>
      <c r="C15" s="1198">
        <v>57548</v>
      </c>
    </row>
    <row r="16" spans="2:7" x14ac:dyDescent="0.25">
      <c r="B16" t="s">
        <v>1460</v>
      </c>
      <c r="C16" s="1198">
        <v>76836.06</v>
      </c>
      <c r="D16" s="1198">
        <v>297811.82</v>
      </c>
      <c r="E16" s="1198">
        <v>297811.82</v>
      </c>
    </row>
    <row r="17" spans="2:10" x14ac:dyDescent="0.25">
      <c r="B17" t="s">
        <v>1461</v>
      </c>
      <c r="C17" s="1198">
        <f>SUM(C14:C16)</f>
        <v>1003763.01</v>
      </c>
      <c r="D17" s="1198">
        <f>SUM(D14:D16)</f>
        <v>975882.34000000008</v>
      </c>
      <c r="E17" s="1198">
        <f>SUM(E14:E16)</f>
        <v>975882.34000000008</v>
      </c>
    </row>
    <row r="18" spans="2:10" x14ac:dyDescent="0.25">
      <c r="B18" s="737" t="s">
        <v>1463</v>
      </c>
      <c r="C18" s="1198">
        <f>C13-C17</f>
        <v>-1.0000000009313226E-2</v>
      </c>
      <c r="D18" s="1198">
        <f>D13-D17</f>
        <v>6189.5699999999488</v>
      </c>
      <c r="E18" s="1198">
        <f t="shared" ref="E18" si="1">E13-E17</f>
        <v>6189.5699999999488</v>
      </c>
      <c r="F18" s="1197">
        <f>C18+D18+E18</f>
        <v>12379.129999999888</v>
      </c>
      <c r="G18" t="s">
        <v>1467</v>
      </c>
    </row>
    <row r="20" spans="2:10" x14ac:dyDescent="0.25">
      <c r="B20" s="737" t="s">
        <v>1463</v>
      </c>
      <c r="F20" s="1197">
        <f>F18+F9</f>
        <v>16695.189999999944</v>
      </c>
    </row>
    <row r="22" spans="2:10" x14ac:dyDescent="0.25">
      <c r="C22" s="1197" t="s">
        <v>1056</v>
      </c>
      <c r="D22" s="1197" t="s">
        <v>1057</v>
      </c>
      <c r="F22" s="1201" t="s">
        <v>1478</v>
      </c>
      <c r="G22" s="1735" t="s">
        <v>1477</v>
      </c>
      <c r="H22" s="1735"/>
      <c r="I22" s="1736" t="s">
        <v>1454</v>
      </c>
      <c r="J22" s="1737"/>
    </row>
    <row r="23" spans="2:10" x14ac:dyDescent="0.25">
      <c r="B23" s="737" t="s">
        <v>1468</v>
      </c>
      <c r="C23" s="1198">
        <v>10832.39</v>
      </c>
      <c r="D23" s="1198">
        <f>C23</f>
        <v>10832.39</v>
      </c>
      <c r="F23" s="1199"/>
      <c r="G23" s="1200">
        <v>45017</v>
      </c>
      <c r="H23" s="1200">
        <v>45382</v>
      </c>
      <c r="I23" s="1200">
        <v>45017</v>
      </c>
      <c r="J23" s="1200">
        <v>45382</v>
      </c>
    </row>
    <row r="24" spans="2:10" x14ac:dyDescent="0.25">
      <c r="B24" s="737" t="s">
        <v>1469</v>
      </c>
      <c r="C24" s="1198">
        <v>8383</v>
      </c>
      <c r="D24" s="1198">
        <v>8383</v>
      </c>
      <c r="F24" s="1201" t="s">
        <v>1055</v>
      </c>
      <c r="G24" s="1202">
        <v>0</v>
      </c>
      <c r="H24" s="1202">
        <v>3590.25</v>
      </c>
      <c r="I24" s="380">
        <v>0</v>
      </c>
      <c r="J24" s="380">
        <v>0</v>
      </c>
    </row>
    <row r="25" spans="2:10" x14ac:dyDescent="0.25">
      <c r="B25" s="737" t="s">
        <v>1465</v>
      </c>
      <c r="C25" s="1198">
        <v>11671</v>
      </c>
      <c r="D25" s="1198">
        <f>C25</f>
        <v>11671</v>
      </c>
      <c r="F25" s="1201" t="s">
        <v>1056</v>
      </c>
      <c r="G25" s="1202">
        <v>488109</v>
      </c>
      <c r="H25" s="1202">
        <f>61218.62/2</f>
        <v>30609.31</v>
      </c>
      <c r="I25" s="380">
        <v>0</v>
      </c>
      <c r="J25" s="380">
        <v>0</v>
      </c>
    </row>
    <row r="26" spans="2:10" x14ac:dyDescent="0.25">
      <c r="B26" s="737" t="s">
        <v>1470</v>
      </c>
      <c r="C26" s="1198">
        <v>4132.59</v>
      </c>
      <c r="D26" s="1198">
        <f>C26</f>
        <v>4132.59</v>
      </c>
      <c r="F26" s="1201" t="s">
        <v>1473</v>
      </c>
      <c r="G26" s="1202">
        <v>488109</v>
      </c>
      <c r="H26" s="1202">
        <f>61218.62/2</f>
        <v>30609.31</v>
      </c>
      <c r="I26" s="380">
        <v>0</v>
      </c>
      <c r="J26" s="380">
        <v>0</v>
      </c>
    </row>
    <row r="27" spans="2:10" x14ac:dyDescent="0.25">
      <c r="B27" s="737" t="s">
        <v>1471</v>
      </c>
      <c r="C27" s="1197">
        <f>SUM(C23:C26)</f>
        <v>35018.979999999996</v>
      </c>
      <c r="D27" s="1197">
        <f>SUM(D23:D26)</f>
        <v>35018.979999999996</v>
      </c>
      <c r="F27" s="1201" t="s">
        <v>183</v>
      </c>
      <c r="G27" s="1160">
        <f>SUM(G25:G26)</f>
        <v>976218</v>
      </c>
      <c r="H27" s="1160">
        <f>SUM(H24:H26)</f>
        <v>64808.869999999995</v>
      </c>
      <c r="I27" s="380">
        <f>SUM(I24:I26)</f>
        <v>0</v>
      </c>
      <c r="J27" s="380">
        <f>SUM(J24:J26)</f>
        <v>0</v>
      </c>
    </row>
    <row r="28" spans="2:10" x14ac:dyDescent="0.25">
      <c r="B28" t="s">
        <v>1472</v>
      </c>
      <c r="C28" s="1198">
        <v>34221.39</v>
      </c>
      <c r="D28" s="1198">
        <v>34221.39</v>
      </c>
    </row>
    <row r="29" spans="2:10" x14ac:dyDescent="0.25">
      <c r="B29" t="s">
        <v>1036</v>
      </c>
      <c r="C29" s="1198">
        <v>27201.75</v>
      </c>
      <c r="D29" s="1198">
        <v>27201.75</v>
      </c>
    </row>
    <row r="30" spans="2:10" x14ac:dyDescent="0.25">
      <c r="B30" s="737" t="s">
        <v>1077</v>
      </c>
      <c r="C30" s="1197">
        <f>C28-C29</f>
        <v>7019.6399999999994</v>
      </c>
      <c r="D30" s="1197">
        <f>D28-D29</f>
        <v>7019.6399999999994</v>
      </c>
    </row>
    <row r="33" spans="2:6" ht="15" customHeight="1" x14ac:dyDescent="0.25">
      <c r="C33" s="1738" t="s">
        <v>1474</v>
      </c>
      <c r="D33" s="1738" t="s">
        <v>1479</v>
      </c>
    </row>
    <row r="34" spans="2:6" ht="42" customHeight="1" x14ac:dyDescent="0.25">
      <c r="C34" s="1738"/>
      <c r="D34" s="1738"/>
      <c r="E34" s="1203" t="s">
        <v>1475</v>
      </c>
      <c r="F34" s="1203" t="s">
        <v>1476</v>
      </c>
    </row>
    <row r="35" spans="2:6" x14ac:dyDescent="0.25">
      <c r="B35" s="737" t="s">
        <v>1468</v>
      </c>
      <c r="C35" s="1198">
        <v>474224.89</v>
      </c>
      <c r="D35" s="1198">
        <v>485057.07</v>
      </c>
      <c r="E35" s="1198">
        <f>C35-D35</f>
        <v>-10832.179999999993</v>
      </c>
      <c r="F35" s="1198">
        <f>E35</f>
        <v>-10832.179999999993</v>
      </c>
    </row>
    <row r="36" spans="2:6" x14ac:dyDescent="0.25">
      <c r="B36" s="737" t="s">
        <v>1469</v>
      </c>
      <c r="C36" s="1198">
        <v>422383.82</v>
      </c>
      <c r="D36" s="1198">
        <v>430767</v>
      </c>
      <c r="E36" s="1198">
        <f>C36-D36</f>
        <v>-8383.179999999993</v>
      </c>
      <c r="F36" s="1198">
        <f>E36</f>
        <v>-8383.179999999993</v>
      </c>
    </row>
    <row r="37" spans="2:6" x14ac:dyDescent="0.25">
      <c r="B37" s="737" t="s">
        <v>1465</v>
      </c>
      <c r="C37" s="1198">
        <v>282623.23</v>
      </c>
      <c r="D37" s="1198">
        <v>294304.7</v>
      </c>
      <c r="E37" s="1198">
        <f>C37-D37</f>
        <v>-11681.47000000003</v>
      </c>
      <c r="F37" s="1198">
        <f>E37</f>
        <v>-11681.47000000003</v>
      </c>
    </row>
    <row r="38" spans="2:6" x14ac:dyDescent="0.25">
      <c r="B38" s="737" t="s">
        <v>1470</v>
      </c>
      <c r="C38" s="1198">
        <v>2872.82</v>
      </c>
      <c r="D38" s="1198">
        <v>7005.41</v>
      </c>
      <c r="E38" s="1198">
        <f>C38-D38</f>
        <v>-4132.59</v>
      </c>
      <c r="F38" s="1198">
        <f>E38</f>
        <v>-4132.59</v>
      </c>
    </row>
    <row r="39" spans="2:6" x14ac:dyDescent="0.25">
      <c r="E39" s="1197">
        <f>SUM(E35:E38)</f>
        <v>-35029.420000000013</v>
      </c>
      <c r="F39" s="1197">
        <f>E39</f>
        <v>-35029.420000000013</v>
      </c>
    </row>
  </sheetData>
  <mergeCells count="4">
    <mergeCell ref="G22:H22"/>
    <mergeCell ref="I22:J22"/>
    <mergeCell ref="D33:D34"/>
    <mergeCell ref="C33:C34"/>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123"/>
  <sheetViews>
    <sheetView workbookViewId="0">
      <selection activeCell="D1" sqref="D1"/>
    </sheetView>
  </sheetViews>
  <sheetFormatPr defaultRowHeight="15" x14ac:dyDescent="0.25"/>
  <cols>
    <col min="1" max="1" width="38.42578125" bestFit="1" customWidth="1"/>
    <col min="2" max="2" width="12.42578125" bestFit="1" customWidth="1"/>
    <col min="3" max="3" width="15.42578125" customWidth="1"/>
    <col min="4" max="4" width="41.5703125" bestFit="1" customWidth="1"/>
    <col min="5" max="6" width="13" bestFit="1" customWidth="1"/>
    <col min="7" max="7" width="13.42578125" bestFit="1" customWidth="1"/>
  </cols>
  <sheetData>
    <row r="1" spans="1:7" ht="15.75" x14ac:dyDescent="0.25">
      <c r="A1" s="1705" t="s">
        <v>871</v>
      </c>
      <c r="B1" s="1705"/>
      <c r="C1" s="1705"/>
      <c r="D1" s="485"/>
      <c r="E1" s="485"/>
      <c r="F1" s="485"/>
    </row>
    <row r="2" spans="1:7" x14ac:dyDescent="0.25">
      <c r="A2" s="1698" t="s">
        <v>205</v>
      </c>
      <c r="B2" s="1698"/>
      <c r="C2" s="1698"/>
      <c r="D2" s="485"/>
      <c r="E2" s="485"/>
      <c r="F2" s="485"/>
    </row>
    <row r="3" spans="1:7" x14ac:dyDescent="0.25">
      <c r="A3" s="1698" t="s">
        <v>206</v>
      </c>
      <c r="B3" s="1698"/>
      <c r="C3" s="1698"/>
      <c r="D3" s="485"/>
      <c r="E3" s="485"/>
      <c r="F3" s="485"/>
    </row>
    <row r="4" spans="1:7" x14ac:dyDescent="0.25">
      <c r="A4" s="1706" t="s">
        <v>207</v>
      </c>
      <c r="B4" s="1706"/>
      <c r="C4" s="1706"/>
      <c r="D4" s="485"/>
      <c r="E4" s="485"/>
      <c r="F4" s="485"/>
    </row>
    <row r="5" spans="1:7" ht="15.75" x14ac:dyDescent="0.25">
      <c r="A5" s="1707" t="s">
        <v>408</v>
      </c>
      <c r="B5" s="1707"/>
      <c r="C5" s="1707"/>
      <c r="D5" s="485"/>
      <c r="E5" s="485"/>
      <c r="F5" s="485"/>
    </row>
    <row r="6" spans="1:7" x14ac:dyDescent="0.25">
      <c r="A6" s="1698" t="s">
        <v>870</v>
      </c>
      <c r="B6" s="1698"/>
      <c r="C6" s="1698"/>
      <c r="D6" s="485"/>
      <c r="E6" s="485"/>
      <c r="F6" s="485"/>
    </row>
    <row r="7" spans="1:7" x14ac:dyDescent="0.25">
      <c r="A7" s="248" t="s">
        <v>197</v>
      </c>
      <c r="B7" s="1700" t="s">
        <v>871</v>
      </c>
      <c r="C7" s="1739"/>
      <c r="D7" s="547" t="s">
        <v>197</v>
      </c>
      <c r="E7" s="1700" t="s">
        <v>871</v>
      </c>
      <c r="F7" s="1700"/>
    </row>
    <row r="8" spans="1:7" x14ac:dyDescent="0.25">
      <c r="A8" s="546" t="s">
        <v>0</v>
      </c>
      <c r="B8" s="1709" t="s">
        <v>870</v>
      </c>
      <c r="C8" s="1740"/>
      <c r="D8" s="290" t="s">
        <v>0</v>
      </c>
      <c r="E8" s="1709" t="s">
        <v>870</v>
      </c>
      <c r="F8" s="1709"/>
    </row>
    <row r="9" spans="1:7" x14ac:dyDescent="0.25">
      <c r="A9" s="253" t="s">
        <v>208</v>
      </c>
      <c r="B9" s="545"/>
      <c r="C9" s="544">
        <v>1013265</v>
      </c>
      <c r="D9" s="543" t="s">
        <v>623</v>
      </c>
      <c r="E9" s="497"/>
      <c r="F9" s="539">
        <v>330858462.81999999</v>
      </c>
    </row>
    <row r="10" spans="1:7" x14ac:dyDescent="0.25">
      <c r="A10" s="294" t="s">
        <v>208</v>
      </c>
      <c r="B10" s="534">
        <v>1013265</v>
      </c>
      <c r="C10" s="533"/>
      <c r="D10" s="538" t="s">
        <v>437</v>
      </c>
      <c r="E10" s="535">
        <v>145194733.59999999</v>
      </c>
      <c r="F10" s="537"/>
    </row>
    <row r="11" spans="1:7" x14ac:dyDescent="0.25">
      <c r="A11" s="253" t="s">
        <v>843</v>
      </c>
      <c r="B11" s="497"/>
      <c r="C11" s="536">
        <v>24852318.609999999</v>
      </c>
      <c r="D11" s="538" t="s">
        <v>438</v>
      </c>
      <c r="E11" s="535">
        <v>7268083</v>
      </c>
      <c r="F11" s="537"/>
    </row>
    <row r="12" spans="1:7" x14ac:dyDescent="0.25">
      <c r="A12" s="294" t="s">
        <v>842</v>
      </c>
      <c r="B12" s="535">
        <v>9500</v>
      </c>
      <c r="C12" s="533"/>
      <c r="D12" s="538" t="s">
        <v>439</v>
      </c>
      <c r="E12" s="535">
        <v>170284955.33000001</v>
      </c>
      <c r="F12" s="537"/>
      <c r="G12" s="382"/>
    </row>
    <row r="13" spans="1:7" x14ac:dyDescent="0.25">
      <c r="A13" s="294" t="s">
        <v>381</v>
      </c>
      <c r="B13" s="535">
        <v>1831650</v>
      </c>
      <c r="C13" s="533"/>
      <c r="D13" s="538" t="s">
        <v>442</v>
      </c>
      <c r="E13" s="535">
        <v>619200</v>
      </c>
      <c r="F13" s="537"/>
    </row>
    <row r="14" spans="1:7" x14ac:dyDescent="0.25">
      <c r="A14" s="294" t="s">
        <v>413</v>
      </c>
      <c r="B14" s="534">
        <v>23011168.609999999</v>
      </c>
      <c r="C14" s="533"/>
      <c r="D14" s="538" t="s">
        <v>444</v>
      </c>
      <c r="E14" s="535">
        <v>6157245</v>
      </c>
      <c r="F14" s="537"/>
    </row>
    <row r="15" spans="1:7" x14ac:dyDescent="0.25">
      <c r="A15" s="253" t="s">
        <v>629</v>
      </c>
      <c r="B15" s="497"/>
      <c r="C15" s="536">
        <v>46797123.329999998</v>
      </c>
      <c r="D15" s="538" t="s">
        <v>526</v>
      </c>
      <c r="E15" s="535">
        <v>554045.6</v>
      </c>
      <c r="F15" s="537"/>
    </row>
    <row r="16" spans="1:7" x14ac:dyDescent="0.25">
      <c r="A16" s="294" t="s">
        <v>225</v>
      </c>
      <c r="B16" s="535">
        <v>244000</v>
      </c>
      <c r="C16" s="533"/>
      <c r="D16" s="538" t="s">
        <v>527</v>
      </c>
      <c r="E16" s="535">
        <v>80000</v>
      </c>
      <c r="F16" s="537"/>
    </row>
    <row r="17" spans="1:6" x14ac:dyDescent="0.25">
      <c r="A17" s="294" t="s">
        <v>841</v>
      </c>
      <c r="B17" s="535">
        <v>2700</v>
      </c>
      <c r="C17" s="533"/>
      <c r="D17" s="538" t="s">
        <v>528</v>
      </c>
      <c r="E17" s="534">
        <v>700200.29</v>
      </c>
      <c r="F17" s="537"/>
    </row>
    <row r="18" spans="1:6" x14ac:dyDescent="0.25">
      <c r="A18" s="294" t="s">
        <v>240</v>
      </c>
      <c r="B18" s="535">
        <v>7414000</v>
      </c>
      <c r="C18" s="533"/>
      <c r="D18" s="540" t="s">
        <v>625</v>
      </c>
      <c r="E18" s="497"/>
      <c r="F18" s="537"/>
    </row>
    <row r="19" spans="1:6" x14ac:dyDescent="0.25">
      <c r="A19" s="294" t="s">
        <v>245</v>
      </c>
      <c r="B19" s="535">
        <v>820089.29</v>
      </c>
      <c r="C19" s="533"/>
      <c r="D19" s="540" t="s">
        <v>891</v>
      </c>
      <c r="E19" s="497"/>
      <c r="F19" s="539">
        <v>1013265</v>
      </c>
    </row>
    <row r="20" spans="1:6" x14ac:dyDescent="0.25">
      <c r="A20" s="294" t="s">
        <v>269</v>
      </c>
      <c r="B20" s="535">
        <v>114548</v>
      </c>
      <c r="C20" s="533"/>
      <c r="D20" s="538" t="s">
        <v>208</v>
      </c>
      <c r="E20" s="534">
        <v>1013265</v>
      </c>
      <c r="F20" s="537"/>
    </row>
    <row r="21" spans="1:6" x14ac:dyDescent="0.25">
      <c r="A21" s="294" t="s">
        <v>288</v>
      </c>
      <c r="B21" s="535">
        <v>110000</v>
      </c>
      <c r="C21" s="533"/>
      <c r="D21" s="497"/>
      <c r="E21" s="529">
        <v>331871727.81999999</v>
      </c>
      <c r="F21" s="485"/>
    </row>
    <row r="22" spans="1:6" x14ac:dyDescent="0.25">
      <c r="A22" s="294" t="s">
        <v>293</v>
      </c>
      <c r="B22" s="535">
        <v>557500</v>
      </c>
      <c r="C22" s="533"/>
      <c r="D22" s="542" t="s">
        <v>890</v>
      </c>
      <c r="E22" s="497"/>
      <c r="F22" s="541">
        <v>259209020.88</v>
      </c>
    </row>
    <row r="23" spans="1:6" x14ac:dyDescent="0.25">
      <c r="A23" s="294" t="s">
        <v>384</v>
      </c>
      <c r="B23" s="535">
        <v>2580021</v>
      </c>
      <c r="C23" s="533"/>
      <c r="D23" s="540" t="s">
        <v>634</v>
      </c>
      <c r="E23" s="497"/>
      <c r="F23" s="539">
        <v>2784718</v>
      </c>
    </row>
    <row r="24" spans="1:6" x14ac:dyDescent="0.25">
      <c r="A24" s="294" t="s">
        <v>385</v>
      </c>
      <c r="B24" s="535">
        <v>10650</v>
      </c>
      <c r="C24" s="533"/>
      <c r="D24" s="538" t="s">
        <v>346</v>
      </c>
      <c r="E24" s="535">
        <v>2516918</v>
      </c>
      <c r="F24" s="537"/>
    </row>
    <row r="25" spans="1:6" x14ac:dyDescent="0.25">
      <c r="A25" s="294" t="s">
        <v>396</v>
      </c>
      <c r="B25" s="535">
        <v>2021760</v>
      </c>
      <c r="C25" s="533"/>
      <c r="D25" s="538" t="s">
        <v>348</v>
      </c>
      <c r="E25" s="534">
        <v>267800</v>
      </c>
      <c r="F25" s="537"/>
    </row>
    <row r="26" spans="1:6" x14ac:dyDescent="0.25">
      <c r="A26" s="294" t="s">
        <v>477</v>
      </c>
      <c r="B26" s="535">
        <v>2045396.04</v>
      </c>
      <c r="C26" s="533"/>
      <c r="D26" s="485"/>
      <c r="E26" s="485"/>
      <c r="F26" s="485"/>
    </row>
    <row r="27" spans="1:6" x14ac:dyDescent="0.25">
      <c r="A27" s="294" t="s">
        <v>514</v>
      </c>
      <c r="B27" s="535">
        <v>1323766</v>
      </c>
      <c r="C27" s="533"/>
      <c r="D27" s="485"/>
      <c r="E27" s="485"/>
      <c r="F27" s="485"/>
    </row>
    <row r="28" spans="1:6" x14ac:dyDescent="0.25">
      <c r="A28" s="294" t="s">
        <v>515</v>
      </c>
      <c r="B28" s="534">
        <v>29552693</v>
      </c>
      <c r="C28" s="533"/>
      <c r="D28" s="485"/>
      <c r="E28" s="485"/>
      <c r="F28" s="485"/>
    </row>
    <row r="29" spans="1:6" x14ac:dyDescent="0.25">
      <c r="A29" s="264" t="s">
        <v>889</v>
      </c>
      <c r="B29" s="497"/>
      <c r="C29" s="532">
        <v>259209020.88</v>
      </c>
      <c r="D29" s="485"/>
      <c r="E29" s="485"/>
      <c r="F29" s="485"/>
    </row>
    <row r="30" spans="1:6" x14ac:dyDescent="0.25">
      <c r="A30" s="497"/>
      <c r="B30" s="529">
        <v>331871727.81999999</v>
      </c>
      <c r="C30" s="485"/>
      <c r="D30" s="485"/>
      <c r="E30" s="485"/>
      <c r="F30" s="485"/>
    </row>
    <row r="31" spans="1:6" x14ac:dyDescent="0.25">
      <c r="A31" s="253" t="s">
        <v>635</v>
      </c>
      <c r="B31" s="497"/>
      <c r="C31" s="536">
        <v>183060249.15000001</v>
      </c>
      <c r="D31" s="485"/>
      <c r="E31" s="485"/>
      <c r="F31" s="485"/>
    </row>
    <row r="32" spans="1:6" x14ac:dyDescent="0.25">
      <c r="A32" s="299" t="s">
        <v>840</v>
      </c>
      <c r="B32" s="535">
        <v>16275630</v>
      </c>
      <c r="C32" s="533"/>
      <c r="D32" s="485"/>
      <c r="E32" s="485"/>
      <c r="F32" s="485"/>
    </row>
    <row r="33" spans="1:6" x14ac:dyDescent="0.25">
      <c r="A33" s="299" t="s">
        <v>636</v>
      </c>
      <c r="B33" s="535">
        <v>103747</v>
      </c>
      <c r="C33" s="533"/>
      <c r="D33" s="485"/>
      <c r="E33" s="485"/>
      <c r="F33" s="485"/>
    </row>
    <row r="34" spans="1:6" x14ac:dyDescent="0.25">
      <c r="A34" s="294" t="s">
        <v>839</v>
      </c>
      <c r="B34" s="535">
        <v>33120</v>
      </c>
      <c r="C34" s="533"/>
      <c r="D34" s="485"/>
      <c r="E34" s="485"/>
      <c r="F34" s="485"/>
    </row>
    <row r="35" spans="1:6" x14ac:dyDescent="0.25">
      <c r="A35" s="294" t="s">
        <v>226</v>
      </c>
      <c r="B35" s="535">
        <v>2636798</v>
      </c>
      <c r="C35" s="533"/>
      <c r="D35" s="485"/>
      <c r="E35" s="485"/>
      <c r="F35" s="485"/>
    </row>
    <row r="36" spans="1:6" x14ac:dyDescent="0.25">
      <c r="A36" s="294" t="s">
        <v>242</v>
      </c>
      <c r="B36" s="535">
        <v>170970.38</v>
      </c>
      <c r="C36" s="533"/>
      <c r="D36" s="485"/>
      <c r="E36" s="485"/>
      <c r="F36" s="485"/>
    </row>
    <row r="37" spans="1:6" x14ac:dyDescent="0.25">
      <c r="A37" s="294" t="s">
        <v>243</v>
      </c>
      <c r="B37" s="535">
        <v>41431.53</v>
      </c>
      <c r="C37" s="533"/>
      <c r="D37" s="485"/>
      <c r="E37" s="485"/>
      <c r="F37" s="485"/>
    </row>
    <row r="38" spans="1:6" x14ac:dyDescent="0.25">
      <c r="A38" s="294" t="s">
        <v>250</v>
      </c>
      <c r="B38" s="535">
        <v>180000</v>
      </c>
      <c r="C38" s="533"/>
      <c r="D38" s="485"/>
      <c r="E38" s="485"/>
      <c r="F38" s="485"/>
    </row>
    <row r="39" spans="1:6" x14ac:dyDescent="0.25">
      <c r="A39" s="294" t="s">
        <v>254</v>
      </c>
      <c r="B39" s="535">
        <v>4821450.41</v>
      </c>
      <c r="C39" s="533"/>
      <c r="D39" s="485"/>
      <c r="E39" s="485"/>
      <c r="F39" s="485"/>
    </row>
    <row r="40" spans="1:6" x14ac:dyDescent="0.25">
      <c r="A40" s="294" t="s">
        <v>256</v>
      </c>
      <c r="B40" s="535">
        <v>199034.72</v>
      </c>
      <c r="C40" s="533"/>
      <c r="D40" s="485"/>
      <c r="E40" s="485"/>
      <c r="F40" s="485"/>
    </row>
    <row r="41" spans="1:6" x14ac:dyDescent="0.25">
      <c r="A41" s="294" t="s">
        <v>258</v>
      </c>
      <c r="B41" s="535">
        <v>57814</v>
      </c>
      <c r="C41" s="533"/>
      <c r="D41" s="485"/>
      <c r="E41" s="485"/>
      <c r="F41" s="485"/>
    </row>
    <row r="42" spans="1:6" x14ac:dyDescent="0.25">
      <c r="A42" s="294" t="s">
        <v>261</v>
      </c>
      <c r="B42" s="535">
        <v>2392000</v>
      </c>
      <c r="C42" s="533"/>
      <c r="D42" s="485"/>
      <c r="E42" s="485"/>
      <c r="F42" s="485"/>
    </row>
    <row r="43" spans="1:6" x14ac:dyDescent="0.25">
      <c r="A43" s="294" t="s">
        <v>266</v>
      </c>
      <c r="B43" s="535">
        <v>3592087.4</v>
      </c>
      <c r="C43" s="533"/>
      <c r="D43" s="485"/>
      <c r="E43" s="485"/>
      <c r="F43" s="485"/>
    </row>
    <row r="44" spans="1:6" x14ac:dyDescent="0.25">
      <c r="A44" s="294" t="s">
        <v>271</v>
      </c>
      <c r="B44" s="535">
        <v>131643.9</v>
      </c>
      <c r="C44" s="533"/>
      <c r="D44" s="485"/>
      <c r="E44" s="485"/>
      <c r="F44" s="485"/>
    </row>
    <row r="45" spans="1:6" x14ac:dyDescent="0.25">
      <c r="A45" s="294" t="s">
        <v>272</v>
      </c>
      <c r="B45" s="535">
        <v>1300000</v>
      </c>
      <c r="C45" s="533"/>
      <c r="D45" s="485"/>
      <c r="E45" s="485"/>
      <c r="F45" s="485"/>
    </row>
    <row r="46" spans="1:6" x14ac:dyDescent="0.25">
      <c r="A46" s="294" t="s">
        <v>274</v>
      </c>
      <c r="B46" s="535">
        <v>1822041</v>
      </c>
      <c r="C46" s="533"/>
      <c r="D46" s="485"/>
      <c r="E46" s="485"/>
      <c r="F46" s="485"/>
    </row>
    <row r="47" spans="1:6" x14ac:dyDescent="0.25">
      <c r="A47" s="294" t="s">
        <v>278</v>
      </c>
      <c r="B47" s="535">
        <v>11910.2</v>
      </c>
      <c r="C47" s="533"/>
      <c r="D47" s="485"/>
      <c r="E47" s="485"/>
      <c r="F47" s="485"/>
    </row>
    <row r="48" spans="1:6" x14ac:dyDescent="0.25">
      <c r="A48" s="294" t="s">
        <v>280</v>
      </c>
      <c r="B48" s="535">
        <v>2470922</v>
      </c>
      <c r="C48" s="533"/>
      <c r="D48" s="485"/>
      <c r="E48" s="485"/>
      <c r="F48" s="485"/>
    </row>
    <row r="49" spans="1:6" x14ac:dyDescent="0.25">
      <c r="A49" s="294" t="s">
        <v>281</v>
      </c>
      <c r="B49" s="535">
        <v>64124</v>
      </c>
      <c r="C49" s="533"/>
      <c r="D49" s="485"/>
      <c r="E49" s="485"/>
      <c r="F49" s="485"/>
    </row>
    <row r="50" spans="1:6" x14ac:dyDescent="0.25">
      <c r="A50" s="294" t="s">
        <v>287</v>
      </c>
      <c r="B50" s="535">
        <v>137405.57999999999</v>
      </c>
      <c r="C50" s="533"/>
      <c r="D50" s="485"/>
      <c r="E50" s="485"/>
      <c r="F50" s="485"/>
    </row>
    <row r="51" spans="1:6" x14ac:dyDescent="0.25">
      <c r="A51" s="294" t="s">
        <v>296</v>
      </c>
      <c r="B51" s="535">
        <v>1347769.21</v>
      </c>
      <c r="C51" s="533"/>
      <c r="D51" s="485"/>
      <c r="E51" s="485"/>
      <c r="F51" s="485"/>
    </row>
    <row r="52" spans="1:6" x14ac:dyDescent="0.25">
      <c r="A52" s="294" t="s">
        <v>153</v>
      </c>
      <c r="B52" s="535">
        <v>9911641.5399999991</v>
      </c>
      <c r="C52" s="533"/>
      <c r="D52" s="485"/>
      <c r="E52" s="485"/>
      <c r="F52" s="485"/>
    </row>
    <row r="53" spans="1:6" x14ac:dyDescent="0.25">
      <c r="A53" s="294" t="s">
        <v>299</v>
      </c>
      <c r="B53" s="535">
        <v>126638.7</v>
      </c>
      <c r="C53" s="533"/>
      <c r="D53" s="485"/>
      <c r="E53" s="485"/>
      <c r="F53" s="485"/>
    </row>
    <row r="54" spans="1:6" x14ac:dyDescent="0.25">
      <c r="A54" s="294" t="s">
        <v>640</v>
      </c>
      <c r="B54" s="535">
        <v>30500</v>
      </c>
      <c r="C54" s="533"/>
      <c r="D54" s="485"/>
      <c r="E54" s="485"/>
      <c r="F54" s="485"/>
    </row>
    <row r="55" spans="1:6" x14ac:dyDescent="0.25">
      <c r="A55" s="294" t="s">
        <v>307</v>
      </c>
      <c r="B55" s="535">
        <v>98050</v>
      </c>
      <c r="C55" s="533"/>
      <c r="D55" s="485"/>
      <c r="E55" s="485"/>
      <c r="F55" s="485"/>
    </row>
    <row r="56" spans="1:6" x14ac:dyDescent="0.25">
      <c r="A56" s="294" t="s">
        <v>311</v>
      </c>
      <c r="B56" s="535">
        <v>519936.1</v>
      </c>
      <c r="C56" s="533"/>
      <c r="D56" s="485"/>
      <c r="E56" s="485"/>
      <c r="F56" s="485"/>
    </row>
    <row r="57" spans="1:6" x14ac:dyDescent="0.25">
      <c r="A57" s="294" t="s">
        <v>313</v>
      </c>
      <c r="B57" s="535">
        <v>-6084356.2000000002</v>
      </c>
      <c r="C57" s="533"/>
      <c r="D57" s="485"/>
      <c r="E57" s="485"/>
      <c r="F57" s="485"/>
    </row>
    <row r="58" spans="1:6" x14ac:dyDescent="0.25">
      <c r="A58" s="294" t="s">
        <v>317</v>
      </c>
      <c r="B58" s="535">
        <v>983916.79</v>
      </c>
      <c r="C58" s="533"/>
      <c r="D58" s="485"/>
      <c r="E58" s="485"/>
      <c r="F58" s="485"/>
    </row>
    <row r="59" spans="1:6" x14ac:dyDescent="0.25">
      <c r="A59" s="294" t="s">
        <v>838</v>
      </c>
      <c r="B59" s="535">
        <v>284005</v>
      </c>
      <c r="C59" s="533"/>
      <c r="D59" s="485"/>
      <c r="E59" s="485"/>
      <c r="F59" s="485"/>
    </row>
    <row r="60" spans="1:6" x14ac:dyDescent="0.25">
      <c r="A60" s="294" t="s">
        <v>323</v>
      </c>
      <c r="B60" s="535">
        <v>519312.8</v>
      </c>
      <c r="C60" s="533"/>
      <c r="D60" s="485"/>
      <c r="E60" s="485"/>
      <c r="F60" s="485"/>
    </row>
    <row r="61" spans="1:6" x14ac:dyDescent="0.25">
      <c r="A61" s="294" t="s">
        <v>837</v>
      </c>
      <c r="B61" s="535">
        <v>28300</v>
      </c>
      <c r="C61" s="533"/>
      <c r="D61" s="485"/>
      <c r="E61" s="485"/>
      <c r="F61" s="485"/>
    </row>
    <row r="62" spans="1:6" x14ac:dyDescent="0.25">
      <c r="A62" s="294" t="s">
        <v>836</v>
      </c>
      <c r="B62" s="497"/>
      <c r="C62" s="533"/>
      <c r="D62" s="485"/>
      <c r="E62" s="485"/>
      <c r="F62" s="485"/>
    </row>
    <row r="63" spans="1:6" x14ac:dyDescent="0.25">
      <c r="A63" s="294" t="s">
        <v>329</v>
      </c>
      <c r="B63" s="535">
        <v>3361480.94</v>
      </c>
      <c r="C63" s="533"/>
      <c r="D63" s="485"/>
      <c r="E63" s="485"/>
      <c r="F63" s="485"/>
    </row>
    <row r="64" spans="1:6" x14ac:dyDescent="0.25">
      <c r="A64" s="294" t="s">
        <v>330</v>
      </c>
      <c r="B64" s="535">
        <v>63842.65</v>
      </c>
      <c r="C64" s="533"/>
      <c r="D64" s="485"/>
      <c r="E64" s="485"/>
      <c r="F64" s="485"/>
    </row>
    <row r="65" spans="1:6" x14ac:dyDescent="0.25">
      <c r="A65" s="294" t="s">
        <v>835</v>
      </c>
      <c r="B65" s="535">
        <v>1000</v>
      </c>
      <c r="C65" s="533"/>
      <c r="D65" s="485"/>
      <c r="E65" s="485"/>
      <c r="F65" s="485"/>
    </row>
    <row r="66" spans="1:6" x14ac:dyDescent="0.25">
      <c r="A66" s="294" t="s">
        <v>338</v>
      </c>
      <c r="B66" s="535">
        <v>41500</v>
      </c>
      <c r="C66" s="533"/>
      <c r="D66" s="485"/>
      <c r="E66" s="485"/>
      <c r="F66" s="485"/>
    </row>
    <row r="67" spans="1:6" x14ac:dyDescent="0.25">
      <c r="A67" s="294" t="s">
        <v>342</v>
      </c>
      <c r="B67" s="535">
        <v>14065</v>
      </c>
      <c r="C67" s="533"/>
      <c r="D67" s="485"/>
      <c r="E67" s="485"/>
      <c r="F67" s="485"/>
    </row>
    <row r="68" spans="1:6" x14ac:dyDescent="0.25">
      <c r="A68" s="294" t="s">
        <v>343</v>
      </c>
      <c r="B68" s="535">
        <v>126171.98</v>
      </c>
      <c r="C68" s="533"/>
      <c r="D68" s="485"/>
      <c r="E68" s="485"/>
      <c r="F68" s="485"/>
    </row>
    <row r="69" spans="1:6" x14ac:dyDescent="0.25">
      <c r="A69" s="294" t="s">
        <v>344</v>
      </c>
      <c r="B69" s="535">
        <v>387546.1</v>
      </c>
      <c r="C69" s="533"/>
      <c r="D69" s="485"/>
      <c r="E69" s="485"/>
      <c r="F69" s="485"/>
    </row>
    <row r="70" spans="1:6" x14ac:dyDescent="0.25">
      <c r="A70" s="294" t="s">
        <v>345</v>
      </c>
      <c r="B70" s="535">
        <v>2944721</v>
      </c>
      <c r="C70" s="533"/>
      <c r="D70" s="485"/>
      <c r="E70" s="485"/>
      <c r="F70" s="485"/>
    </row>
    <row r="71" spans="1:6" x14ac:dyDescent="0.25">
      <c r="A71" s="294" t="s">
        <v>834</v>
      </c>
      <c r="B71" s="535">
        <v>4431636.99</v>
      </c>
      <c r="C71" s="533"/>
      <c r="D71" s="485"/>
      <c r="E71" s="485"/>
      <c r="F71" s="485"/>
    </row>
    <row r="72" spans="1:6" x14ac:dyDescent="0.25">
      <c r="A72" s="294" t="s">
        <v>349</v>
      </c>
      <c r="B72" s="535">
        <v>73925</v>
      </c>
      <c r="C72" s="533"/>
      <c r="D72" s="485"/>
      <c r="E72" s="485"/>
      <c r="F72" s="485"/>
    </row>
    <row r="73" spans="1:6" x14ac:dyDescent="0.25">
      <c r="A73" s="294" t="s">
        <v>350</v>
      </c>
      <c r="B73" s="535">
        <v>2851</v>
      </c>
      <c r="C73" s="533"/>
      <c r="D73" s="485"/>
      <c r="E73" s="485"/>
      <c r="F73" s="485"/>
    </row>
    <row r="74" spans="1:6" x14ac:dyDescent="0.25">
      <c r="A74" s="294" t="s">
        <v>833</v>
      </c>
      <c r="B74" s="535">
        <v>5094</v>
      </c>
      <c r="C74" s="533"/>
      <c r="D74" s="485"/>
      <c r="E74" s="485"/>
      <c r="F74" s="485"/>
    </row>
    <row r="75" spans="1:6" x14ac:dyDescent="0.25">
      <c r="A75" s="294" t="s">
        <v>888</v>
      </c>
      <c r="B75" s="535">
        <v>636117</v>
      </c>
      <c r="C75" s="533"/>
      <c r="D75" s="485"/>
      <c r="E75" s="485"/>
      <c r="F75" s="485"/>
    </row>
    <row r="76" spans="1:6" x14ac:dyDescent="0.25">
      <c r="A76" s="294" t="s">
        <v>354</v>
      </c>
      <c r="B76" s="535">
        <v>51664.639999999999</v>
      </c>
      <c r="C76" s="533"/>
      <c r="D76" s="485"/>
      <c r="E76" s="485"/>
      <c r="F76" s="485"/>
    </row>
    <row r="77" spans="1:6" x14ac:dyDescent="0.25">
      <c r="A77" s="294" t="s">
        <v>362</v>
      </c>
      <c r="B77" s="535">
        <v>15000</v>
      </c>
      <c r="C77" s="533"/>
      <c r="D77" s="485"/>
      <c r="E77" s="485"/>
      <c r="F77" s="485"/>
    </row>
    <row r="78" spans="1:6" x14ac:dyDescent="0.25">
      <c r="A78" s="294" t="s">
        <v>363</v>
      </c>
      <c r="B78" s="535">
        <v>3501405</v>
      </c>
      <c r="C78" s="533"/>
      <c r="D78" s="485"/>
      <c r="E78" s="485"/>
      <c r="F78" s="485"/>
    </row>
    <row r="79" spans="1:6" x14ac:dyDescent="0.25">
      <c r="A79" s="294" t="s">
        <v>643</v>
      </c>
      <c r="B79" s="535">
        <v>288000</v>
      </c>
      <c r="C79" s="533"/>
      <c r="D79" s="485"/>
      <c r="E79" s="485"/>
      <c r="F79" s="485"/>
    </row>
    <row r="80" spans="1:6" x14ac:dyDescent="0.25">
      <c r="A80" s="294" t="s">
        <v>373</v>
      </c>
      <c r="B80" s="497"/>
      <c r="C80" s="533"/>
      <c r="D80" s="485"/>
      <c r="E80" s="485"/>
      <c r="F80" s="485"/>
    </row>
    <row r="81" spans="1:6" x14ac:dyDescent="0.25">
      <c r="A81" s="294" t="s">
        <v>383</v>
      </c>
      <c r="B81" s="535">
        <v>463179.47</v>
      </c>
      <c r="C81" s="533"/>
      <c r="D81" s="485"/>
      <c r="E81" s="485"/>
      <c r="F81" s="485"/>
    </row>
    <row r="82" spans="1:6" x14ac:dyDescent="0.25">
      <c r="A82" s="294" t="s">
        <v>389</v>
      </c>
      <c r="B82" s="535">
        <v>295955.36</v>
      </c>
      <c r="C82" s="533"/>
      <c r="D82" s="485"/>
      <c r="E82" s="485"/>
      <c r="F82" s="485"/>
    </row>
    <row r="83" spans="1:6" x14ac:dyDescent="0.25">
      <c r="A83" s="294" t="s">
        <v>392</v>
      </c>
      <c r="B83" s="535">
        <v>72000</v>
      </c>
      <c r="C83" s="533"/>
      <c r="D83" s="485"/>
      <c r="E83" s="485"/>
      <c r="F83" s="485"/>
    </row>
    <row r="84" spans="1:6" x14ac:dyDescent="0.25">
      <c r="A84" s="294" t="s">
        <v>398</v>
      </c>
      <c r="B84" s="535">
        <v>250566</v>
      </c>
      <c r="C84" s="533"/>
      <c r="D84" s="485"/>
      <c r="E84" s="485"/>
      <c r="F84" s="485"/>
    </row>
    <row r="85" spans="1:6" x14ac:dyDescent="0.25">
      <c r="A85" s="294" t="s">
        <v>399</v>
      </c>
      <c r="B85" s="535">
        <v>157764</v>
      </c>
      <c r="C85" s="533"/>
      <c r="D85" s="485"/>
      <c r="E85" s="485"/>
      <c r="F85" s="485"/>
    </row>
    <row r="86" spans="1:6" x14ac:dyDescent="0.25">
      <c r="A86" s="294" t="s">
        <v>405</v>
      </c>
      <c r="B86" s="535">
        <v>2388514.29</v>
      </c>
      <c r="C86" s="533"/>
      <c r="D86" s="485"/>
      <c r="E86" s="485"/>
      <c r="F86" s="485"/>
    </row>
    <row r="87" spans="1:6" x14ac:dyDescent="0.25">
      <c r="A87" s="294" t="s">
        <v>646</v>
      </c>
      <c r="B87" s="535">
        <v>1794</v>
      </c>
      <c r="C87" s="533"/>
      <c r="D87" s="485"/>
      <c r="E87" s="485"/>
      <c r="F87" s="485"/>
    </row>
    <row r="88" spans="1:6" x14ac:dyDescent="0.25">
      <c r="A88" s="294" t="s">
        <v>407</v>
      </c>
      <c r="B88" s="535">
        <v>92500</v>
      </c>
      <c r="C88" s="533"/>
      <c r="D88" s="485"/>
      <c r="E88" s="485"/>
      <c r="F88" s="485"/>
    </row>
    <row r="89" spans="1:6" x14ac:dyDescent="0.25">
      <c r="A89" s="294" t="s">
        <v>832</v>
      </c>
      <c r="B89" s="535">
        <v>100000</v>
      </c>
      <c r="C89" s="533"/>
      <c r="D89" s="485"/>
      <c r="E89" s="485"/>
      <c r="F89" s="485"/>
    </row>
    <row r="90" spans="1:6" x14ac:dyDescent="0.25">
      <c r="A90" s="294" t="s">
        <v>831</v>
      </c>
      <c r="B90" s="535">
        <v>100270</v>
      </c>
      <c r="C90" s="533"/>
      <c r="D90" s="485"/>
      <c r="E90" s="485"/>
      <c r="F90" s="485"/>
    </row>
    <row r="91" spans="1:6" x14ac:dyDescent="0.25">
      <c r="A91" s="294" t="s">
        <v>411</v>
      </c>
      <c r="B91" s="535">
        <v>905666</v>
      </c>
      <c r="C91" s="533"/>
      <c r="D91" s="485"/>
      <c r="E91" s="485"/>
      <c r="F91" s="485"/>
    </row>
    <row r="92" spans="1:6" x14ac:dyDescent="0.25">
      <c r="A92" s="294" t="s">
        <v>830</v>
      </c>
      <c r="B92" s="535">
        <v>1900</v>
      </c>
      <c r="C92" s="533"/>
      <c r="D92" s="485"/>
      <c r="E92" s="485"/>
      <c r="F92" s="485"/>
    </row>
    <row r="93" spans="1:6" x14ac:dyDescent="0.25">
      <c r="A93" s="294" t="s">
        <v>829</v>
      </c>
      <c r="B93" s="497"/>
      <c r="C93" s="533"/>
      <c r="D93" s="485"/>
      <c r="E93" s="485"/>
      <c r="F93" s="485"/>
    </row>
    <row r="94" spans="1:6" x14ac:dyDescent="0.25">
      <c r="A94" s="294" t="s">
        <v>418</v>
      </c>
      <c r="B94" s="535">
        <v>23423400</v>
      </c>
      <c r="C94" s="533"/>
      <c r="D94" s="485"/>
      <c r="E94" s="485"/>
      <c r="F94" s="485"/>
    </row>
    <row r="95" spans="1:6" x14ac:dyDescent="0.25">
      <c r="A95" s="294" t="s">
        <v>419</v>
      </c>
      <c r="B95" s="535">
        <v>20156550.98</v>
      </c>
      <c r="C95" s="533"/>
      <c r="D95" s="485"/>
      <c r="E95" s="485"/>
      <c r="F95" s="485"/>
    </row>
    <row r="96" spans="1:6" x14ac:dyDescent="0.25">
      <c r="A96" s="294" t="s">
        <v>420</v>
      </c>
      <c r="B96" s="535">
        <v>1758835.42</v>
      </c>
      <c r="C96" s="533"/>
      <c r="D96" s="485"/>
      <c r="E96" s="485"/>
      <c r="F96" s="485"/>
    </row>
    <row r="97" spans="1:6" x14ac:dyDescent="0.25">
      <c r="A97" s="294" t="s">
        <v>421</v>
      </c>
      <c r="B97" s="535">
        <v>360000</v>
      </c>
      <c r="C97" s="533"/>
      <c r="D97" s="485"/>
      <c r="E97" s="485"/>
      <c r="F97" s="485"/>
    </row>
    <row r="98" spans="1:6" x14ac:dyDescent="0.25">
      <c r="A98" s="294" t="s">
        <v>426</v>
      </c>
      <c r="B98" s="535">
        <v>21.44</v>
      </c>
      <c r="C98" s="533"/>
      <c r="D98" s="485"/>
      <c r="E98" s="485"/>
      <c r="F98" s="485"/>
    </row>
    <row r="99" spans="1:6" x14ac:dyDescent="0.25">
      <c r="A99" s="294" t="s">
        <v>429</v>
      </c>
      <c r="B99" s="535">
        <v>63394867</v>
      </c>
      <c r="C99" s="533"/>
      <c r="D99" s="485"/>
      <c r="E99" s="485"/>
      <c r="F99" s="485"/>
    </row>
    <row r="100" spans="1:6" x14ac:dyDescent="0.25">
      <c r="A100" s="294" t="s">
        <v>435</v>
      </c>
      <c r="B100" s="535">
        <v>1173753</v>
      </c>
      <c r="C100" s="533"/>
      <c r="D100" s="485"/>
      <c r="E100" s="485"/>
      <c r="F100" s="485"/>
    </row>
    <row r="101" spans="1:6" x14ac:dyDescent="0.25">
      <c r="A101" s="294" t="s">
        <v>436</v>
      </c>
      <c r="B101" s="535">
        <v>24970</v>
      </c>
      <c r="C101" s="533"/>
      <c r="D101" s="485"/>
      <c r="E101" s="485"/>
      <c r="F101" s="485"/>
    </row>
    <row r="102" spans="1:6" x14ac:dyDescent="0.25">
      <c r="A102" s="294" t="s">
        <v>828</v>
      </c>
      <c r="B102" s="535">
        <v>25000</v>
      </c>
      <c r="C102" s="533"/>
      <c r="D102" s="485"/>
      <c r="E102" s="485"/>
      <c r="F102" s="485"/>
    </row>
    <row r="103" spans="1:6" x14ac:dyDescent="0.25">
      <c r="A103" s="294" t="s">
        <v>647</v>
      </c>
      <c r="B103" s="535">
        <v>237500</v>
      </c>
      <c r="C103" s="533"/>
      <c r="D103" s="485"/>
      <c r="E103" s="485"/>
      <c r="F103" s="485"/>
    </row>
    <row r="104" spans="1:6" x14ac:dyDescent="0.25">
      <c r="A104" s="294" t="s">
        <v>463</v>
      </c>
      <c r="B104" s="535">
        <v>10800</v>
      </c>
      <c r="C104" s="533"/>
      <c r="D104" s="485"/>
      <c r="E104" s="485"/>
      <c r="F104" s="485"/>
    </row>
    <row r="105" spans="1:6" x14ac:dyDescent="0.25">
      <c r="A105" s="294" t="s">
        <v>471</v>
      </c>
      <c r="B105" s="535">
        <v>661712</v>
      </c>
      <c r="C105" s="533"/>
      <c r="D105" s="485"/>
      <c r="E105" s="485"/>
      <c r="F105" s="485"/>
    </row>
    <row r="106" spans="1:6" x14ac:dyDescent="0.25">
      <c r="A106" s="294" t="s">
        <v>472</v>
      </c>
      <c r="B106" s="535">
        <v>11594</v>
      </c>
      <c r="C106" s="533"/>
      <c r="D106" s="485"/>
      <c r="E106" s="485"/>
      <c r="F106" s="485"/>
    </row>
    <row r="107" spans="1:6" x14ac:dyDescent="0.25">
      <c r="A107" s="294" t="s">
        <v>474</v>
      </c>
      <c r="B107" s="535">
        <v>1200</v>
      </c>
      <c r="C107" s="533"/>
      <c r="D107" s="485"/>
      <c r="E107" s="485"/>
      <c r="F107" s="485"/>
    </row>
    <row r="108" spans="1:6" x14ac:dyDescent="0.25">
      <c r="A108" s="294" t="s">
        <v>827</v>
      </c>
      <c r="B108" s="535">
        <v>1500</v>
      </c>
      <c r="C108" s="533"/>
      <c r="D108" s="485"/>
      <c r="E108" s="485"/>
      <c r="F108" s="485"/>
    </row>
    <row r="109" spans="1:6" x14ac:dyDescent="0.25">
      <c r="A109" s="294" t="s">
        <v>475</v>
      </c>
      <c r="B109" s="535">
        <v>224238.38</v>
      </c>
      <c r="C109" s="533"/>
      <c r="D109" s="485"/>
      <c r="E109" s="485"/>
      <c r="F109" s="485"/>
    </row>
    <row r="110" spans="1:6" x14ac:dyDescent="0.25">
      <c r="A110" s="294" t="s">
        <v>478</v>
      </c>
      <c r="B110" s="535">
        <v>4626725</v>
      </c>
      <c r="C110" s="533"/>
      <c r="D110" s="485"/>
      <c r="E110" s="485"/>
      <c r="F110" s="485"/>
    </row>
    <row r="111" spans="1:6" x14ac:dyDescent="0.25">
      <c r="A111" s="294" t="s">
        <v>826</v>
      </c>
      <c r="B111" s="535">
        <v>10000</v>
      </c>
      <c r="C111" s="533"/>
      <c r="D111" s="485"/>
      <c r="E111" s="485"/>
      <c r="F111" s="485"/>
    </row>
    <row r="112" spans="1:6" x14ac:dyDescent="0.25">
      <c r="A112" s="294" t="s">
        <v>492</v>
      </c>
      <c r="B112" s="535">
        <v>326280.62</v>
      </c>
      <c r="C112" s="533"/>
      <c r="D112" s="485"/>
      <c r="E112" s="485"/>
      <c r="F112" s="485"/>
    </row>
    <row r="113" spans="1:6" x14ac:dyDescent="0.25">
      <c r="A113" s="294" t="s">
        <v>498</v>
      </c>
      <c r="B113" s="535">
        <v>141640</v>
      </c>
      <c r="C113" s="533"/>
      <c r="D113" s="485"/>
      <c r="E113" s="485"/>
      <c r="F113" s="485"/>
    </row>
    <row r="114" spans="1:6" x14ac:dyDescent="0.25">
      <c r="A114" s="294" t="s">
        <v>499</v>
      </c>
      <c r="B114" s="535">
        <v>351574</v>
      </c>
      <c r="C114" s="533"/>
      <c r="D114" s="485"/>
      <c r="E114" s="485"/>
      <c r="F114" s="485"/>
    </row>
    <row r="115" spans="1:6" x14ac:dyDescent="0.25">
      <c r="A115" s="294" t="s">
        <v>500</v>
      </c>
      <c r="B115" s="535">
        <v>146782.92000000001</v>
      </c>
      <c r="C115" s="533"/>
      <c r="D115" s="485"/>
      <c r="E115" s="485"/>
      <c r="F115" s="485"/>
    </row>
    <row r="116" spans="1:6" x14ac:dyDescent="0.25">
      <c r="A116" s="294" t="s">
        <v>501</v>
      </c>
      <c r="B116" s="535">
        <v>133986</v>
      </c>
      <c r="C116" s="533"/>
      <c r="D116" s="485"/>
      <c r="E116" s="485"/>
      <c r="F116" s="485"/>
    </row>
    <row r="117" spans="1:6" x14ac:dyDescent="0.25">
      <c r="A117" s="294" t="s">
        <v>516</v>
      </c>
      <c r="B117" s="535">
        <v>236388</v>
      </c>
      <c r="C117" s="533"/>
      <c r="D117" s="485"/>
      <c r="E117" s="485"/>
      <c r="F117" s="485"/>
    </row>
    <row r="118" spans="1:6" x14ac:dyDescent="0.25">
      <c r="A118" s="294" t="s">
        <v>518</v>
      </c>
      <c r="B118" s="535">
        <v>277430</v>
      </c>
      <c r="C118" s="533"/>
      <c r="D118" s="485"/>
      <c r="E118" s="485"/>
      <c r="F118" s="485"/>
    </row>
    <row r="119" spans="1:6" x14ac:dyDescent="0.25">
      <c r="A119" s="294" t="s">
        <v>519</v>
      </c>
      <c r="B119" s="535">
        <v>110795.91</v>
      </c>
      <c r="C119" s="533"/>
      <c r="D119" s="485"/>
      <c r="E119" s="485"/>
      <c r="F119" s="485"/>
    </row>
    <row r="120" spans="1:6" x14ac:dyDescent="0.25">
      <c r="A120" s="294" t="s">
        <v>525</v>
      </c>
      <c r="B120" s="535">
        <v>54490</v>
      </c>
      <c r="C120" s="533"/>
      <c r="D120" s="485"/>
      <c r="E120" s="485"/>
      <c r="F120" s="485"/>
    </row>
    <row r="121" spans="1:6" x14ac:dyDescent="0.25">
      <c r="A121" s="294" t="s">
        <v>530</v>
      </c>
      <c r="B121" s="534">
        <v>194240</v>
      </c>
      <c r="C121" s="533"/>
      <c r="D121" s="548">
        <f>C122+B32</f>
        <v>95209119.730000004</v>
      </c>
      <c r="E121" s="485"/>
      <c r="F121" s="485"/>
    </row>
    <row r="122" spans="1:6" x14ac:dyDescent="0.25">
      <c r="A122" s="264" t="s">
        <v>887</v>
      </c>
      <c r="B122" s="497"/>
      <c r="C122" s="532">
        <v>78933489.730000004</v>
      </c>
      <c r="D122" s="485"/>
      <c r="E122" s="485"/>
      <c r="F122" s="485"/>
    </row>
    <row r="123" spans="1:6" x14ac:dyDescent="0.25">
      <c r="A123" s="249" t="s">
        <v>183</v>
      </c>
      <c r="B123" s="489"/>
      <c r="C123" s="531">
        <v>261993738.88</v>
      </c>
      <c r="D123" s="530" t="s">
        <v>183</v>
      </c>
      <c r="E123" s="489"/>
      <c r="F123" s="529">
        <v>261993738.88</v>
      </c>
    </row>
  </sheetData>
  <mergeCells count="10">
    <mergeCell ref="B7:C7"/>
    <mergeCell ref="B8:C8"/>
    <mergeCell ref="E7:F7"/>
    <mergeCell ref="E8:F8"/>
    <mergeCell ref="A1:C1"/>
    <mergeCell ref="A2:C2"/>
    <mergeCell ref="A3:C3"/>
    <mergeCell ref="A4:C4"/>
    <mergeCell ref="A5:C5"/>
    <mergeCell ref="A6:C6"/>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73"/>
  <sheetViews>
    <sheetView topLeftCell="A58" workbookViewId="0">
      <selection activeCell="D79" sqref="D79"/>
    </sheetView>
  </sheetViews>
  <sheetFormatPr defaultRowHeight="15" x14ac:dyDescent="0.25"/>
  <cols>
    <col min="1" max="1" width="45.42578125" bestFit="1" customWidth="1"/>
    <col min="2" max="2" width="14.85546875" bestFit="1" customWidth="1"/>
    <col min="3" max="4" width="15.42578125" bestFit="1" customWidth="1"/>
    <col min="5" max="5" width="12.85546875" bestFit="1" customWidth="1"/>
    <col min="6" max="6" width="15.85546875" bestFit="1" customWidth="1"/>
    <col min="7" max="7" width="16.5703125" bestFit="1" customWidth="1"/>
    <col min="8" max="9" width="15.85546875" bestFit="1" customWidth="1"/>
  </cols>
  <sheetData>
    <row r="1" spans="1:5" ht="15.75" x14ac:dyDescent="0.25">
      <c r="A1" s="1705" t="s">
        <v>871</v>
      </c>
      <c r="B1" s="1705"/>
      <c r="C1" s="1705"/>
      <c r="D1" s="485"/>
    </row>
    <row r="2" spans="1:5" x14ac:dyDescent="0.25">
      <c r="A2" s="1698" t="s">
        <v>205</v>
      </c>
      <c r="B2" s="1698"/>
      <c r="C2" s="1698"/>
      <c r="D2" s="485"/>
    </row>
    <row r="3" spans="1:5" x14ac:dyDescent="0.25">
      <c r="A3" s="1698" t="s">
        <v>206</v>
      </c>
      <c r="B3" s="1698"/>
      <c r="C3" s="1698"/>
      <c r="D3" s="485"/>
    </row>
    <row r="4" spans="1:5" x14ac:dyDescent="0.25">
      <c r="A4" s="1706" t="s">
        <v>207</v>
      </c>
      <c r="B4" s="1706"/>
      <c r="C4" s="1706"/>
      <c r="D4" s="485"/>
    </row>
    <row r="5" spans="1:5" ht="15.75" x14ac:dyDescent="0.25">
      <c r="A5" s="1707" t="s">
        <v>199</v>
      </c>
      <c r="B5" s="1707"/>
      <c r="C5" s="1707"/>
      <c r="D5" s="485"/>
    </row>
    <row r="6" spans="1:5" x14ac:dyDescent="0.25">
      <c r="A6" s="1706" t="s">
        <v>870</v>
      </c>
      <c r="B6" s="1706"/>
      <c r="C6" s="1706"/>
      <c r="D6" s="485"/>
    </row>
    <row r="7" spans="1:5" x14ac:dyDescent="0.25">
      <c r="A7" s="248" t="s">
        <v>197</v>
      </c>
      <c r="B7" s="1699" t="s">
        <v>871</v>
      </c>
      <c r="C7" s="1700"/>
      <c r="D7" s="1700"/>
    </row>
    <row r="8" spans="1:5" x14ac:dyDescent="0.25">
      <c r="A8" s="505" t="s">
        <v>0</v>
      </c>
      <c r="B8" s="1741" t="s">
        <v>870</v>
      </c>
      <c r="C8" s="1709"/>
      <c r="D8" s="1709"/>
    </row>
    <row r="9" spans="1:5" x14ac:dyDescent="0.25">
      <c r="A9" s="505" t="s">
        <v>197</v>
      </c>
      <c r="B9" s="506" t="s">
        <v>869</v>
      </c>
      <c r="C9" s="368" t="s">
        <v>868</v>
      </c>
      <c r="D9" s="486" t="s">
        <v>867</v>
      </c>
    </row>
    <row r="10" spans="1:5" x14ac:dyDescent="0.25">
      <c r="A10" s="507" t="s">
        <v>197</v>
      </c>
      <c r="B10" s="508" t="s">
        <v>865</v>
      </c>
      <c r="C10" s="368" t="s">
        <v>866</v>
      </c>
      <c r="D10" s="487" t="s">
        <v>865</v>
      </c>
    </row>
    <row r="11" spans="1:5" x14ac:dyDescent="0.25">
      <c r="A11" s="253" t="s">
        <v>864</v>
      </c>
      <c r="B11" s="488">
        <v>103329129</v>
      </c>
      <c r="C11" s="489"/>
      <c r="D11" s="488">
        <v>103329129</v>
      </c>
    </row>
    <row r="12" spans="1:5" x14ac:dyDescent="0.25">
      <c r="A12" s="296" t="s">
        <v>863</v>
      </c>
      <c r="B12" s="490">
        <v>31530868</v>
      </c>
      <c r="C12" s="491"/>
      <c r="D12" s="490">
        <v>31530868</v>
      </c>
    </row>
    <row r="13" spans="1:5" x14ac:dyDescent="0.25">
      <c r="A13" s="296" t="s">
        <v>862</v>
      </c>
      <c r="B13" s="490">
        <v>54252100</v>
      </c>
      <c r="C13" s="491"/>
      <c r="D13" s="490">
        <v>54252100</v>
      </c>
    </row>
    <row r="14" spans="1:5" x14ac:dyDescent="0.25">
      <c r="A14" s="492" t="s">
        <v>454</v>
      </c>
      <c r="B14" s="493">
        <v>17546161</v>
      </c>
      <c r="C14" s="491"/>
      <c r="D14" s="493">
        <v>17546161</v>
      </c>
    </row>
    <row r="15" spans="1:5" s="724" customFormat="1" x14ac:dyDescent="0.25">
      <c r="A15" s="721" t="s">
        <v>861</v>
      </c>
      <c r="B15" s="722">
        <v>46056658</v>
      </c>
      <c r="C15" s="723">
        <v>58998233.420000002</v>
      </c>
      <c r="D15" s="722">
        <v>105054891.42</v>
      </c>
    </row>
    <row r="16" spans="1:5" x14ac:dyDescent="0.25">
      <c r="A16" s="492" t="s">
        <v>282</v>
      </c>
      <c r="B16" s="493">
        <v>5226163</v>
      </c>
      <c r="C16" s="496">
        <v>756775.9</v>
      </c>
      <c r="D16" s="493">
        <v>4469387.0999999996</v>
      </c>
      <c r="E16" s="728"/>
    </row>
    <row r="17" spans="1:5" x14ac:dyDescent="0.25">
      <c r="A17" s="492" t="s">
        <v>368</v>
      </c>
      <c r="B17" s="493">
        <v>37441940</v>
      </c>
      <c r="C17" s="496">
        <v>17642150</v>
      </c>
      <c r="D17" s="493">
        <v>19799790</v>
      </c>
      <c r="E17" s="382"/>
    </row>
    <row r="18" spans="1:5" x14ac:dyDescent="0.25">
      <c r="A18" s="492" t="s">
        <v>860</v>
      </c>
      <c r="B18" s="497"/>
      <c r="C18" s="490">
        <v>80785714.319999993</v>
      </c>
      <c r="D18" s="493">
        <v>80785714.319999993</v>
      </c>
    </row>
    <row r="19" spans="1:5" x14ac:dyDescent="0.25">
      <c r="A19" s="492" t="s">
        <v>369</v>
      </c>
      <c r="B19" s="493">
        <v>3388555</v>
      </c>
      <c r="C19" s="496">
        <v>3388555</v>
      </c>
      <c r="D19" s="497"/>
    </row>
    <row r="20" spans="1:5" x14ac:dyDescent="0.25">
      <c r="A20" s="253" t="s">
        <v>859</v>
      </c>
      <c r="B20" s="494">
        <v>102937641.56999999</v>
      </c>
      <c r="C20" s="498">
        <v>72911387.180000007</v>
      </c>
      <c r="D20" s="494">
        <v>30026254.390000001</v>
      </c>
    </row>
    <row r="21" spans="1:5" x14ac:dyDescent="0.25">
      <c r="A21" s="296" t="s">
        <v>858</v>
      </c>
      <c r="B21" s="490">
        <v>4335206.66</v>
      </c>
      <c r="C21" s="490">
        <v>4387679.5599999996</v>
      </c>
      <c r="D21" s="490">
        <v>8722886.2200000007</v>
      </c>
    </row>
    <row r="22" spans="1:5" x14ac:dyDescent="0.25">
      <c r="A22" s="296" t="s">
        <v>857</v>
      </c>
      <c r="B22" s="490">
        <v>70475430</v>
      </c>
      <c r="C22" s="496">
        <v>67861157</v>
      </c>
      <c r="D22" s="490">
        <v>2614273</v>
      </c>
    </row>
    <row r="23" spans="1:5" x14ac:dyDescent="0.25">
      <c r="A23" s="296" t="s">
        <v>856</v>
      </c>
      <c r="B23" s="490">
        <v>13889704.91</v>
      </c>
      <c r="C23" s="490">
        <v>384591.92</v>
      </c>
      <c r="D23" s="490">
        <v>14274296.83</v>
      </c>
    </row>
    <row r="24" spans="1:5" x14ac:dyDescent="0.25">
      <c r="A24" s="296" t="s">
        <v>855</v>
      </c>
      <c r="B24" s="490">
        <v>1110506</v>
      </c>
      <c r="C24" s="490">
        <v>3267476.34</v>
      </c>
      <c r="D24" s="490">
        <v>4377982.34</v>
      </c>
    </row>
    <row r="25" spans="1:5" x14ac:dyDescent="0.25">
      <c r="A25" s="492" t="s">
        <v>273</v>
      </c>
      <c r="B25" s="493">
        <v>13089978</v>
      </c>
      <c r="C25" s="496">
        <v>13089978</v>
      </c>
      <c r="D25" s="497"/>
    </row>
    <row r="26" spans="1:5" x14ac:dyDescent="0.25">
      <c r="A26" s="492" t="s">
        <v>417</v>
      </c>
      <c r="B26" s="493">
        <v>36816</v>
      </c>
      <c r="C26" s="491"/>
      <c r="D26" s="493">
        <v>36816</v>
      </c>
    </row>
    <row r="27" spans="1:5" x14ac:dyDescent="0.25">
      <c r="A27" s="253" t="s">
        <v>854</v>
      </c>
      <c r="B27" s="499">
        <v>169811345.49000001</v>
      </c>
      <c r="C27" s="498">
        <v>162724202.19</v>
      </c>
      <c r="D27" s="499">
        <v>332535547.68000001</v>
      </c>
    </row>
    <row r="28" spans="1:5" x14ac:dyDescent="0.25">
      <c r="A28" s="296" t="s">
        <v>853</v>
      </c>
      <c r="B28" s="496">
        <v>190089376.81999999</v>
      </c>
      <c r="C28" s="496">
        <v>17852001.75</v>
      </c>
      <c r="D28" s="496">
        <v>207941378.56999999</v>
      </c>
    </row>
    <row r="29" spans="1:5" x14ac:dyDescent="0.25">
      <c r="A29" s="296" t="s">
        <v>133</v>
      </c>
      <c r="B29" s="496">
        <v>32855882.079999998</v>
      </c>
      <c r="C29" s="496">
        <v>4991135.4400000004</v>
      </c>
      <c r="D29" s="496">
        <v>37847017.520000003</v>
      </c>
    </row>
    <row r="30" spans="1:5" x14ac:dyDescent="0.25">
      <c r="A30" s="492" t="s">
        <v>129</v>
      </c>
      <c r="B30" s="493">
        <v>60344362</v>
      </c>
      <c r="C30" s="491"/>
      <c r="D30" s="493">
        <v>60344362</v>
      </c>
    </row>
    <row r="31" spans="1:5" x14ac:dyDescent="0.25">
      <c r="A31" s="492" t="s">
        <v>244</v>
      </c>
      <c r="B31" s="500">
        <v>19038.12</v>
      </c>
      <c r="C31" s="491"/>
      <c r="D31" s="500">
        <v>19038.12</v>
      </c>
    </row>
    <row r="32" spans="1:5" x14ac:dyDescent="0.25">
      <c r="A32" s="492" t="s">
        <v>376</v>
      </c>
      <c r="B32" s="500">
        <v>7191410.4699999997</v>
      </c>
      <c r="C32" s="491"/>
      <c r="D32" s="500">
        <v>7191410.4699999997</v>
      </c>
    </row>
    <row r="33" spans="1:4" x14ac:dyDescent="0.25">
      <c r="A33" s="492" t="s">
        <v>852</v>
      </c>
      <c r="B33" s="497"/>
      <c r="C33" s="496">
        <v>139881065</v>
      </c>
      <c r="D33" s="500">
        <v>139881065</v>
      </c>
    </row>
    <row r="34" spans="1:4" x14ac:dyDescent="0.25">
      <c r="A34" s="253" t="s">
        <v>851</v>
      </c>
      <c r="B34" s="499">
        <v>302712149.12</v>
      </c>
      <c r="C34" s="495">
        <v>95485582.219999999</v>
      </c>
      <c r="D34" s="499">
        <v>207226566.90000001</v>
      </c>
    </row>
    <row r="35" spans="1:4" x14ac:dyDescent="0.25">
      <c r="A35" s="296" t="s">
        <v>208</v>
      </c>
      <c r="B35" s="496">
        <v>1013265</v>
      </c>
      <c r="C35" s="491"/>
      <c r="D35" s="515">
        <v>1013265</v>
      </c>
    </row>
    <row r="36" spans="1:4" x14ac:dyDescent="0.25">
      <c r="A36" s="296" t="s">
        <v>850</v>
      </c>
      <c r="B36" s="496">
        <v>62154757</v>
      </c>
      <c r="C36" s="490">
        <v>13674916</v>
      </c>
      <c r="D36" s="496">
        <v>48479841</v>
      </c>
    </row>
    <row r="37" spans="1:4" x14ac:dyDescent="0.25">
      <c r="A37" s="296" t="s">
        <v>849</v>
      </c>
      <c r="B37" s="496">
        <v>513200</v>
      </c>
      <c r="C37" s="496">
        <v>25283555</v>
      </c>
      <c r="D37" s="496">
        <v>25796755</v>
      </c>
    </row>
    <row r="38" spans="1:4" x14ac:dyDescent="0.25">
      <c r="A38" s="296" t="s">
        <v>848</v>
      </c>
      <c r="B38" s="496">
        <v>103778678.18000001</v>
      </c>
      <c r="C38" s="490">
        <v>20622614.32</v>
      </c>
      <c r="D38" s="496">
        <v>83156063.859999999</v>
      </c>
    </row>
    <row r="39" spans="1:4" x14ac:dyDescent="0.25">
      <c r="A39" s="296" t="s">
        <v>847</v>
      </c>
      <c r="B39" s="496">
        <v>387068</v>
      </c>
      <c r="C39" s="490">
        <v>18842</v>
      </c>
      <c r="D39" s="515">
        <v>368226</v>
      </c>
    </row>
    <row r="40" spans="1:4" x14ac:dyDescent="0.25">
      <c r="A40" s="296" t="s">
        <v>846</v>
      </c>
      <c r="B40" s="496">
        <v>56450901.600000001</v>
      </c>
      <c r="C40" s="490">
        <v>34901040.420000002</v>
      </c>
      <c r="D40" s="515">
        <v>21549861.18</v>
      </c>
    </row>
    <row r="41" spans="1:4" x14ac:dyDescent="0.25">
      <c r="A41" s="296" t="s">
        <v>845</v>
      </c>
      <c r="B41" s="496">
        <v>976218</v>
      </c>
      <c r="C41" s="496">
        <v>1112074.92</v>
      </c>
      <c r="D41" s="496">
        <v>2088292.92</v>
      </c>
    </row>
    <row r="42" spans="1:4" x14ac:dyDescent="0.25">
      <c r="A42" s="492" t="s">
        <v>220</v>
      </c>
      <c r="B42" s="500">
        <v>3776</v>
      </c>
      <c r="C42" s="491"/>
      <c r="D42" s="500">
        <v>3776</v>
      </c>
    </row>
    <row r="43" spans="1:4" x14ac:dyDescent="0.25">
      <c r="A43" s="492" t="s">
        <v>140</v>
      </c>
      <c r="B43" s="500">
        <v>1267096</v>
      </c>
      <c r="C43" s="496">
        <v>266835</v>
      </c>
      <c r="D43" s="500">
        <v>1533931</v>
      </c>
    </row>
    <row r="44" spans="1:4" x14ac:dyDescent="0.25">
      <c r="A44" s="492" t="s">
        <v>483</v>
      </c>
      <c r="B44" s="500">
        <v>9820</v>
      </c>
      <c r="C44" s="496">
        <v>4160.75</v>
      </c>
      <c r="D44" s="500">
        <v>13980.75</v>
      </c>
    </row>
    <row r="45" spans="1:4" x14ac:dyDescent="0.25">
      <c r="A45" s="492" t="s">
        <v>844</v>
      </c>
      <c r="B45" s="500">
        <v>36541265</v>
      </c>
      <c r="C45" s="490">
        <v>36541265</v>
      </c>
      <c r="D45" s="497"/>
    </row>
    <row r="46" spans="1:4" x14ac:dyDescent="0.25">
      <c r="A46" s="492" t="s">
        <v>484</v>
      </c>
      <c r="B46" s="500">
        <v>25130000</v>
      </c>
      <c r="C46" s="490">
        <v>13844923</v>
      </c>
      <c r="D46" s="500">
        <v>11285077</v>
      </c>
    </row>
    <row r="47" spans="1:4" x14ac:dyDescent="0.25">
      <c r="A47" s="492" t="s">
        <v>490</v>
      </c>
      <c r="B47" s="500">
        <v>14486104.34</v>
      </c>
      <c r="C47" s="490">
        <v>2548607.15</v>
      </c>
      <c r="D47" s="500">
        <v>11937497.189999999</v>
      </c>
    </row>
    <row r="48" spans="1:4" s="724" customFormat="1" x14ac:dyDescent="0.25">
      <c r="A48" s="721" t="s">
        <v>623</v>
      </c>
      <c r="B48" s="725"/>
      <c r="C48" s="723">
        <v>330858462.81999999</v>
      </c>
      <c r="D48" s="722">
        <v>330858462.81999999</v>
      </c>
    </row>
    <row r="49" spans="1:4" x14ac:dyDescent="0.25">
      <c r="A49" s="492" t="s">
        <v>437</v>
      </c>
      <c r="B49" s="497"/>
      <c r="C49" s="490">
        <v>145194733.59999999</v>
      </c>
      <c r="D49" s="518">
        <v>145194733.59999999</v>
      </c>
    </row>
    <row r="50" spans="1:4" x14ac:dyDescent="0.25">
      <c r="A50" s="492" t="s">
        <v>438</v>
      </c>
      <c r="B50" s="497"/>
      <c r="C50" s="490">
        <v>7268083</v>
      </c>
      <c r="D50" s="518">
        <v>7268083</v>
      </c>
    </row>
    <row r="51" spans="1:4" x14ac:dyDescent="0.25">
      <c r="A51" s="492" t="s">
        <v>439</v>
      </c>
      <c r="B51" s="497"/>
      <c r="C51" s="490">
        <v>170284955.33000001</v>
      </c>
      <c r="D51" s="518">
        <v>170284955.33000001</v>
      </c>
    </row>
    <row r="52" spans="1:4" x14ac:dyDescent="0.25">
      <c r="A52" s="492" t="s">
        <v>442</v>
      </c>
      <c r="B52" s="497"/>
      <c r="C52" s="490">
        <v>619200</v>
      </c>
      <c r="D52" s="518">
        <v>619200</v>
      </c>
    </row>
    <row r="53" spans="1:4" x14ac:dyDescent="0.25">
      <c r="A53" s="492" t="s">
        <v>444</v>
      </c>
      <c r="B53" s="497"/>
      <c r="C53" s="490">
        <v>6157245</v>
      </c>
      <c r="D53" s="518">
        <v>6157245</v>
      </c>
    </row>
    <row r="54" spans="1:4" x14ac:dyDescent="0.25">
      <c r="A54" s="492" t="s">
        <v>526</v>
      </c>
      <c r="B54" s="497"/>
      <c r="C54" s="490">
        <v>554045.6</v>
      </c>
      <c r="D54" s="518">
        <v>554045.6</v>
      </c>
    </row>
    <row r="55" spans="1:4" x14ac:dyDescent="0.25">
      <c r="A55" s="492" t="s">
        <v>527</v>
      </c>
      <c r="B55" s="497"/>
      <c r="C55" s="490">
        <v>80000</v>
      </c>
      <c r="D55" s="518">
        <v>80000</v>
      </c>
    </row>
    <row r="56" spans="1:4" x14ac:dyDescent="0.25">
      <c r="A56" s="492" t="s">
        <v>528</v>
      </c>
      <c r="B56" s="497"/>
      <c r="C56" s="490">
        <v>700200.29</v>
      </c>
      <c r="D56" s="518">
        <v>700200.29</v>
      </c>
    </row>
    <row r="57" spans="1:4" x14ac:dyDescent="0.25">
      <c r="A57" s="253" t="s">
        <v>843</v>
      </c>
      <c r="B57" s="501"/>
      <c r="C57" s="498">
        <v>24852318.609999999</v>
      </c>
      <c r="D57" s="499">
        <v>24852318.609999999</v>
      </c>
    </row>
    <row r="58" spans="1:4" x14ac:dyDescent="0.25">
      <c r="A58" s="492" t="s">
        <v>842</v>
      </c>
      <c r="B58" s="497"/>
      <c r="C58" s="496">
        <v>9500</v>
      </c>
      <c r="D58" s="517">
        <v>9500</v>
      </c>
    </row>
    <row r="59" spans="1:4" x14ac:dyDescent="0.25">
      <c r="A59" s="492" t="s">
        <v>381</v>
      </c>
      <c r="B59" s="497"/>
      <c r="C59" s="496">
        <v>1831650</v>
      </c>
      <c r="D59" s="517">
        <v>1831650</v>
      </c>
    </row>
    <row r="60" spans="1:4" x14ac:dyDescent="0.25">
      <c r="A60" s="492" t="s">
        <v>413</v>
      </c>
      <c r="B60" s="497"/>
      <c r="C60" s="496">
        <v>23011168.609999999</v>
      </c>
      <c r="D60" s="517">
        <v>23011168.609999999</v>
      </c>
    </row>
    <row r="61" spans="1:4" x14ac:dyDescent="0.25">
      <c r="A61" s="253" t="s">
        <v>629</v>
      </c>
      <c r="B61" s="501"/>
      <c r="C61" s="498">
        <v>46797123.329999998</v>
      </c>
      <c r="D61" s="499">
        <v>46797123.329999998</v>
      </c>
    </row>
    <row r="62" spans="1:4" x14ac:dyDescent="0.25">
      <c r="A62" s="492" t="s">
        <v>225</v>
      </c>
      <c r="B62" s="497"/>
      <c r="C62" s="496">
        <v>244000</v>
      </c>
      <c r="D62" s="517">
        <v>244000</v>
      </c>
    </row>
    <row r="63" spans="1:4" x14ac:dyDescent="0.25">
      <c r="A63" s="492" t="s">
        <v>841</v>
      </c>
      <c r="B63" s="497"/>
      <c r="C63" s="496">
        <v>2700</v>
      </c>
      <c r="D63" s="517">
        <v>2700</v>
      </c>
    </row>
    <row r="64" spans="1:4" x14ac:dyDescent="0.25">
      <c r="A64" s="492" t="s">
        <v>240</v>
      </c>
      <c r="B64" s="497"/>
      <c r="C64" s="496">
        <v>7414000</v>
      </c>
      <c r="D64" s="522">
        <v>7414000</v>
      </c>
    </row>
    <row r="65" spans="1:9" x14ac:dyDescent="0.25">
      <c r="A65" s="492" t="s">
        <v>245</v>
      </c>
      <c r="B65" s="497"/>
      <c r="C65" s="496">
        <v>820089.29</v>
      </c>
      <c r="D65" s="517">
        <v>820089.29</v>
      </c>
    </row>
    <row r="66" spans="1:9" x14ac:dyDescent="0.25">
      <c r="A66" s="492" t="s">
        <v>269</v>
      </c>
      <c r="B66" s="497"/>
      <c r="C66" s="496">
        <v>114548</v>
      </c>
      <c r="D66" s="517">
        <v>114548</v>
      </c>
    </row>
    <row r="67" spans="1:9" x14ac:dyDescent="0.25">
      <c r="A67" s="492" t="s">
        <v>288</v>
      </c>
      <c r="B67" s="497"/>
      <c r="C67" s="496">
        <v>110000</v>
      </c>
      <c r="D67" s="517">
        <v>110000</v>
      </c>
      <c r="F67" s="306">
        <v>121514356.90000002</v>
      </c>
    </row>
    <row r="68" spans="1:9" x14ac:dyDescent="0.25">
      <c r="A68" s="492" t="s">
        <v>293</v>
      </c>
      <c r="B68" s="497"/>
      <c r="C68" s="496">
        <v>557500</v>
      </c>
      <c r="D68" s="517">
        <v>557500</v>
      </c>
      <c r="F68" s="523">
        <f>D78-D79</f>
        <v>166784619.15000001</v>
      </c>
    </row>
    <row r="69" spans="1:9" x14ac:dyDescent="0.25">
      <c r="A69" s="492" t="s">
        <v>384</v>
      </c>
      <c r="B69" s="497"/>
      <c r="C69" s="496">
        <v>2580021</v>
      </c>
      <c r="D69" s="517">
        <v>2580021</v>
      </c>
    </row>
    <row r="70" spans="1:9" x14ac:dyDescent="0.25">
      <c r="A70" s="492" t="s">
        <v>385</v>
      </c>
      <c r="B70" s="497"/>
      <c r="C70" s="496">
        <v>10650</v>
      </c>
      <c r="D70" s="517">
        <v>10650</v>
      </c>
    </row>
    <row r="71" spans="1:9" x14ac:dyDescent="0.25">
      <c r="A71" s="492" t="s">
        <v>396</v>
      </c>
      <c r="B71" s="497"/>
      <c r="C71" s="496">
        <v>2021760</v>
      </c>
      <c r="D71" s="517">
        <v>2021760</v>
      </c>
    </row>
    <row r="72" spans="1:9" x14ac:dyDescent="0.25">
      <c r="A72" s="492" t="s">
        <v>477</v>
      </c>
      <c r="B72" s="497"/>
      <c r="C72" s="496">
        <v>2045396.04</v>
      </c>
      <c r="D72" s="517">
        <v>2045396.04</v>
      </c>
    </row>
    <row r="73" spans="1:9" x14ac:dyDescent="0.25">
      <c r="A73" s="492" t="s">
        <v>514</v>
      </c>
      <c r="B73" s="497"/>
      <c r="C73" s="496">
        <v>1323766</v>
      </c>
      <c r="D73" s="522">
        <v>1323766</v>
      </c>
      <c r="G73" s="278">
        <f>D61-F79</f>
        <v>8506664.3299999982</v>
      </c>
    </row>
    <row r="74" spans="1:9" x14ac:dyDescent="0.25">
      <c r="A74" s="492" t="s">
        <v>515</v>
      </c>
      <c r="B74" s="497"/>
      <c r="C74" s="496">
        <v>29552693</v>
      </c>
      <c r="D74" s="522">
        <v>29552693</v>
      </c>
      <c r="G74" s="278" t="e">
        <f>G79+G73</f>
        <v>#REF!</v>
      </c>
      <c r="H74" s="278" t="e">
        <f>G74+F80+F82</f>
        <v>#REF!</v>
      </c>
      <c r="I74" s="278">
        <f>F78+D61</f>
        <v>225750454.32999998</v>
      </c>
    </row>
    <row r="75" spans="1:9" x14ac:dyDescent="0.25">
      <c r="A75" s="253" t="s">
        <v>634</v>
      </c>
      <c r="B75" s="501"/>
      <c r="C75" s="495">
        <v>2784718</v>
      </c>
      <c r="D75" s="494">
        <v>2784718</v>
      </c>
      <c r="I75" s="278">
        <f>I74-F81</f>
        <v>231834810.52999997</v>
      </c>
    </row>
    <row r="76" spans="1:9" x14ac:dyDescent="0.25">
      <c r="A76" s="492" t="s">
        <v>346</v>
      </c>
      <c r="B76" s="497"/>
      <c r="C76" s="490">
        <v>2516918</v>
      </c>
      <c r="D76" s="493">
        <v>2516918</v>
      </c>
      <c r="F76" s="258">
        <f>D61+D78</f>
        <v>229857372.48000002</v>
      </c>
      <c r="G76" s="278">
        <f>F76-D79-F81</f>
        <v>219666098.68000001</v>
      </c>
      <c r="H76" s="278">
        <f>I78-G76</f>
        <v>0.22000002861022949</v>
      </c>
      <c r="I76" s="278"/>
    </row>
    <row r="77" spans="1:9" x14ac:dyDescent="0.25">
      <c r="A77" s="492" t="s">
        <v>348</v>
      </c>
      <c r="B77" s="497"/>
      <c r="C77" s="490">
        <v>267800</v>
      </c>
      <c r="D77" s="493">
        <v>267800</v>
      </c>
    </row>
    <row r="78" spans="1:9" x14ac:dyDescent="0.25">
      <c r="A78" s="253" t="s">
        <v>635</v>
      </c>
      <c r="B78" s="501"/>
      <c r="C78" s="498">
        <v>183060249.15000001</v>
      </c>
      <c r="D78" s="499">
        <v>183060249.15000001</v>
      </c>
      <c r="F78" s="258">
        <v>178953331</v>
      </c>
      <c r="G78" s="278">
        <f>F78+F79</f>
        <v>217243790</v>
      </c>
      <c r="I78" s="258">
        <v>219666098.90000004</v>
      </c>
    </row>
    <row r="79" spans="1:9" x14ac:dyDescent="0.25">
      <c r="A79" s="296" t="s">
        <v>840</v>
      </c>
      <c r="B79" s="491"/>
      <c r="C79" s="496">
        <v>16275630</v>
      </c>
      <c r="D79" s="517">
        <v>16275630</v>
      </c>
      <c r="E79" t="s">
        <v>886</v>
      </c>
      <c r="F79" s="258">
        <f>D74+D73+D64</f>
        <v>38290459</v>
      </c>
      <c r="G79" s="278" t="e">
        <f>G78-F80-F81-F82</f>
        <v>#REF!</v>
      </c>
      <c r="H79" s="258">
        <f>'Note 16-23'!B74</f>
        <v>115870342.57000002</v>
      </c>
      <c r="I79" s="278"/>
    </row>
    <row r="80" spans="1:9" x14ac:dyDescent="0.25">
      <c r="A80" s="296" t="s">
        <v>636</v>
      </c>
      <c r="B80" s="491"/>
      <c r="C80" s="496">
        <v>103747</v>
      </c>
      <c r="D80" s="514">
        <v>103747</v>
      </c>
      <c r="E80" t="s">
        <v>886</v>
      </c>
      <c r="F80" s="258">
        <f>'Note 16-23'!B92</f>
        <v>8194637</v>
      </c>
      <c r="H80" s="258">
        <f>'Note 16-23'!B92</f>
        <v>8194637</v>
      </c>
    </row>
    <row r="81" spans="1:8" x14ac:dyDescent="0.25">
      <c r="A81" s="492" t="s">
        <v>839</v>
      </c>
      <c r="B81" s="497"/>
      <c r="C81" s="496">
        <v>33120</v>
      </c>
      <c r="D81" s="517">
        <v>33120</v>
      </c>
      <c r="E81" t="s">
        <v>886</v>
      </c>
      <c r="F81" s="258">
        <f>D104</f>
        <v>-6084356.2000000002</v>
      </c>
      <c r="G81" s="278"/>
      <c r="H81" s="258">
        <f>'Note 16-23'!B34</f>
        <v>91537113</v>
      </c>
    </row>
    <row r="82" spans="1:8" x14ac:dyDescent="0.25">
      <c r="A82" s="492" t="s">
        <v>226</v>
      </c>
      <c r="B82" s="497"/>
      <c r="C82" s="496">
        <v>2636798</v>
      </c>
      <c r="D82" s="517">
        <v>2636798</v>
      </c>
      <c r="E82" t="s">
        <v>886</v>
      </c>
      <c r="F82" s="258" t="e">
        <f>Sechdules!C296+Sechdules!#REF!</f>
        <v>#REF!</v>
      </c>
    </row>
    <row r="83" spans="1:8" x14ac:dyDescent="0.25">
      <c r="A83" s="492" t="s">
        <v>242</v>
      </c>
      <c r="B83" s="497"/>
      <c r="C83" s="496">
        <v>170970.38</v>
      </c>
      <c r="D83" s="517">
        <v>170970.38</v>
      </c>
      <c r="F83" s="278"/>
      <c r="G83">
        <v>189144605</v>
      </c>
      <c r="H83" s="523">
        <f>D78</f>
        <v>183060249.15000001</v>
      </c>
    </row>
    <row r="84" spans="1:8" x14ac:dyDescent="0.25">
      <c r="A84" s="492" t="s">
        <v>243</v>
      </c>
      <c r="B84" s="497"/>
      <c r="C84" s="496">
        <v>41431.53</v>
      </c>
      <c r="D84" s="519">
        <v>41431.53</v>
      </c>
      <c r="E84" s="523">
        <f>+D84</f>
        <v>41431.53</v>
      </c>
      <c r="G84" s="524">
        <f>G83-H83</f>
        <v>6084355.849999994</v>
      </c>
    </row>
    <row r="85" spans="1:8" x14ac:dyDescent="0.25">
      <c r="A85" s="492" t="s">
        <v>250</v>
      </c>
      <c r="B85" s="497"/>
      <c r="C85" s="496">
        <v>180000</v>
      </c>
      <c r="D85" s="517">
        <v>180000</v>
      </c>
      <c r="F85" s="278"/>
      <c r="G85" s="278"/>
    </row>
    <row r="86" spans="1:8" x14ac:dyDescent="0.25">
      <c r="A86" s="492" t="s">
        <v>254</v>
      </c>
      <c r="B86" s="497"/>
      <c r="C86" s="496">
        <v>4821450.41</v>
      </c>
      <c r="D86" s="517">
        <v>4821450.41</v>
      </c>
    </row>
    <row r="87" spans="1:8" x14ac:dyDescent="0.25">
      <c r="A87" s="492" t="s">
        <v>256</v>
      </c>
      <c r="B87" s="497"/>
      <c r="C87" s="496">
        <v>199034.72</v>
      </c>
      <c r="D87" s="517">
        <v>199034.72</v>
      </c>
    </row>
    <row r="88" spans="1:8" x14ac:dyDescent="0.25">
      <c r="A88" s="492" t="s">
        <v>258</v>
      </c>
      <c r="B88" s="497"/>
      <c r="C88" s="496">
        <v>57814</v>
      </c>
      <c r="D88" s="517">
        <v>57814</v>
      </c>
      <c r="E88" s="523"/>
    </row>
    <row r="89" spans="1:8" x14ac:dyDescent="0.25">
      <c r="A89" s="492" t="s">
        <v>261</v>
      </c>
      <c r="B89" s="497"/>
      <c r="C89" s="496">
        <v>2392000</v>
      </c>
      <c r="D89" s="517">
        <v>2392000</v>
      </c>
    </row>
    <row r="90" spans="1:8" x14ac:dyDescent="0.25">
      <c r="A90" s="492" t="s">
        <v>266</v>
      </c>
      <c r="B90" s="497"/>
      <c r="C90" s="496">
        <v>3592087.4</v>
      </c>
      <c r="D90" s="517">
        <v>3592087.4</v>
      </c>
    </row>
    <row r="91" spans="1:8" x14ac:dyDescent="0.25">
      <c r="A91" s="492" t="s">
        <v>271</v>
      </c>
      <c r="B91" s="497"/>
      <c r="C91" s="496">
        <v>131643.9</v>
      </c>
      <c r="D91" s="517">
        <v>131643.9</v>
      </c>
    </row>
    <row r="92" spans="1:8" x14ac:dyDescent="0.25">
      <c r="A92" s="492" t="s">
        <v>272</v>
      </c>
      <c r="B92" s="497"/>
      <c r="C92" s="496">
        <v>1300000</v>
      </c>
      <c r="D92" s="517">
        <v>1300000</v>
      </c>
    </row>
    <row r="93" spans="1:8" x14ac:dyDescent="0.25">
      <c r="A93" s="492" t="s">
        <v>274</v>
      </c>
      <c r="B93" s="497"/>
      <c r="C93" s="496">
        <v>1822041</v>
      </c>
      <c r="D93" s="517">
        <v>1822041</v>
      </c>
    </row>
    <row r="94" spans="1:8" x14ac:dyDescent="0.25">
      <c r="A94" s="492" t="s">
        <v>278</v>
      </c>
      <c r="B94" s="497"/>
      <c r="C94" s="496">
        <v>11910.2</v>
      </c>
      <c r="D94" s="517">
        <v>11910.2</v>
      </c>
    </row>
    <row r="95" spans="1:8" x14ac:dyDescent="0.25">
      <c r="A95" s="520" t="s">
        <v>280</v>
      </c>
      <c r="B95" s="497"/>
      <c r="C95" s="496">
        <v>2470922</v>
      </c>
      <c r="D95" s="517">
        <v>2470922</v>
      </c>
    </row>
    <row r="96" spans="1:8" x14ac:dyDescent="0.25">
      <c r="A96" s="492" t="s">
        <v>281</v>
      </c>
      <c r="B96" s="497"/>
      <c r="C96" s="496">
        <v>64124</v>
      </c>
      <c r="D96" s="517">
        <v>64124</v>
      </c>
    </row>
    <row r="97" spans="1:5" x14ac:dyDescent="0.25">
      <c r="A97" s="492" t="s">
        <v>287</v>
      </c>
      <c r="B97" s="497"/>
      <c r="C97" s="496">
        <v>137405.57999999999</v>
      </c>
      <c r="D97" s="517">
        <v>137405.57999999999</v>
      </c>
    </row>
    <row r="98" spans="1:5" x14ac:dyDescent="0.25">
      <c r="A98" s="492" t="s">
        <v>296</v>
      </c>
      <c r="B98" s="497"/>
      <c r="C98" s="496">
        <v>1347769.21</v>
      </c>
      <c r="D98" s="517">
        <v>1347769.21</v>
      </c>
    </row>
    <row r="99" spans="1:5" x14ac:dyDescent="0.25">
      <c r="A99" s="492" t="s">
        <v>153</v>
      </c>
      <c r="B99" s="497"/>
      <c r="C99" s="496">
        <v>9911641.5399999991</v>
      </c>
      <c r="D99" s="517">
        <v>9911641.5399999991</v>
      </c>
    </row>
    <row r="100" spans="1:5" x14ac:dyDescent="0.25">
      <c r="A100" s="492" t="s">
        <v>299</v>
      </c>
      <c r="B100" s="497"/>
      <c r="C100" s="496">
        <v>126638.7</v>
      </c>
      <c r="D100" s="517">
        <v>126638.7</v>
      </c>
    </row>
    <row r="101" spans="1:5" x14ac:dyDescent="0.25">
      <c r="A101" s="492" t="s">
        <v>640</v>
      </c>
      <c r="B101" s="497"/>
      <c r="C101" s="496">
        <v>30500</v>
      </c>
      <c r="D101" s="521">
        <v>30500</v>
      </c>
      <c r="E101" s="523"/>
    </row>
    <row r="102" spans="1:5" x14ac:dyDescent="0.25">
      <c r="A102" s="492" t="s">
        <v>307</v>
      </c>
      <c r="B102" s="497"/>
      <c r="C102" s="496">
        <v>98050</v>
      </c>
      <c r="D102" s="517">
        <v>98050</v>
      </c>
    </row>
    <row r="103" spans="1:5" x14ac:dyDescent="0.25">
      <c r="A103" s="492" t="s">
        <v>311</v>
      </c>
      <c r="B103" s="497"/>
      <c r="C103" s="496">
        <v>519936.1</v>
      </c>
      <c r="D103" s="517">
        <v>519936.1</v>
      </c>
    </row>
    <row r="104" spans="1:5" x14ac:dyDescent="0.25">
      <c r="A104" s="525" t="s">
        <v>313</v>
      </c>
      <c r="B104" s="526"/>
      <c r="C104" s="527">
        <v>6084356.2000000002</v>
      </c>
      <c r="D104" s="528">
        <v>-6084356.2000000002</v>
      </c>
    </row>
    <row r="105" spans="1:5" x14ac:dyDescent="0.25">
      <c r="A105" s="492" t="s">
        <v>317</v>
      </c>
      <c r="B105" s="497"/>
      <c r="C105" s="496">
        <v>983916.79</v>
      </c>
      <c r="D105" s="517">
        <v>983916.79</v>
      </c>
    </row>
    <row r="106" spans="1:5" x14ac:dyDescent="0.25">
      <c r="A106" s="492" t="s">
        <v>838</v>
      </c>
      <c r="B106" s="497"/>
      <c r="C106" s="496">
        <v>284005</v>
      </c>
      <c r="D106" s="517">
        <v>284005</v>
      </c>
    </row>
    <row r="107" spans="1:5" x14ac:dyDescent="0.25">
      <c r="A107" s="492" t="s">
        <v>323</v>
      </c>
      <c r="B107" s="497"/>
      <c r="C107" s="496">
        <v>519312.8</v>
      </c>
      <c r="D107" s="519">
        <v>519312.8</v>
      </c>
    </row>
    <row r="108" spans="1:5" x14ac:dyDescent="0.25">
      <c r="A108" s="492" t="s">
        <v>837</v>
      </c>
      <c r="B108" s="497"/>
      <c r="C108" s="496">
        <v>28300</v>
      </c>
      <c r="D108" s="517">
        <v>28300</v>
      </c>
    </row>
    <row r="109" spans="1:5" x14ac:dyDescent="0.25">
      <c r="A109" s="492" t="s">
        <v>836</v>
      </c>
      <c r="B109" s="497"/>
      <c r="C109" s="491"/>
      <c r="D109" s="497"/>
    </row>
    <row r="110" spans="1:5" x14ac:dyDescent="0.25">
      <c r="A110" s="492" t="s">
        <v>329</v>
      </c>
      <c r="B110" s="497"/>
      <c r="C110" s="496">
        <v>3361480.94</v>
      </c>
      <c r="D110" s="517">
        <v>3361480.94</v>
      </c>
    </row>
    <row r="111" spans="1:5" x14ac:dyDescent="0.25">
      <c r="A111" s="492" t="s">
        <v>330</v>
      </c>
      <c r="B111" s="497"/>
      <c r="C111" s="496">
        <v>63842.65</v>
      </c>
      <c r="D111" s="517">
        <v>63842.65</v>
      </c>
    </row>
    <row r="112" spans="1:5" x14ac:dyDescent="0.25">
      <c r="A112" s="492" t="s">
        <v>835</v>
      </c>
      <c r="B112" s="497"/>
      <c r="C112" s="496">
        <v>1000</v>
      </c>
      <c r="D112" s="521">
        <v>1000</v>
      </c>
      <c r="E112" s="523"/>
    </row>
    <row r="113" spans="1:5" x14ac:dyDescent="0.25">
      <c r="A113" s="492" t="s">
        <v>338</v>
      </c>
      <c r="B113" s="497"/>
      <c r="C113" s="496">
        <v>41500</v>
      </c>
      <c r="D113" s="519">
        <v>41500</v>
      </c>
    </row>
    <row r="114" spans="1:5" x14ac:dyDescent="0.25">
      <c r="A114" s="492" t="s">
        <v>342</v>
      </c>
      <c r="B114" s="497"/>
      <c r="C114" s="496">
        <v>14065</v>
      </c>
      <c r="D114" s="517">
        <v>14065</v>
      </c>
      <c r="E114" s="523"/>
    </row>
    <row r="115" spans="1:5" x14ac:dyDescent="0.25">
      <c r="A115" s="492" t="s">
        <v>343</v>
      </c>
      <c r="B115" s="497"/>
      <c r="C115" s="496">
        <v>126171.98</v>
      </c>
      <c r="D115" s="517">
        <v>126171.98</v>
      </c>
      <c r="E115" s="523"/>
    </row>
    <row r="116" spans="1:5" x14ac:dyDescent="0.25">
      <c r="A116" s="492" t="s">
        <v>344</v>
      </c>
      <c r="B116" s="497"/>
      <c r="C116" s="496">
        <v>387546.1</v>
      </c>
      <c r="D116" s="519">
        <v>387546.1</v>
      </c>
      <c r="E116" s="523">
        <f>+D116</f>
        <v>387546.1</v>
      </c>
    </row>
    <row r="117" spans="1:5" x14ac:dyDescent="0.25">
      <c r="A117" s="492" t="s">
        <v>345</v>
      </c>
      <c r="B117" s="497"/>
      <c r="C117" s="496">
        <v>2944721</v>
      </c>
      <c r="D117" s="519">
        <v>2944721</v>
      </c>
      <c r="E117" s="523">
        <f>+D117</f>
        <v>2944721</v>
      </c>
    </row>
    <row r="118" spans="1:5" x14ac:dyDescent="0.25">
      <c r="A118" s="492" t="s">
        <v>834</v>
      </c>
      <c r="B118" s="497"/>
      <c r="C118" s="496">
        <v>4431636.99</v>
      </c>
      <c r="D118" s="519">
        <v>4431636.99</v>
      </c>
      <c r="E118" s="523">
        <f>+D118</f>
        <v>4431636.99</v>
      </c>
    </row>
    <row r="119" spans="1:5" x14ac:dyDescent="0.25">
      <c r="A119" s="492" t="s">
        <v>349</v>
      </c>
      <c r="B119" s="497"/>
      <c r="C119" s="496">
        <v>73925</v>
      </c>
      <c r="D119" s="519">
        <v>73925</v>
      </c>
      <c r="E119" s="523">
        <f>+D119</f>
        <v>73925</v>
      </c>
    </row>
    <row r="120" spans="1:5" x14ac:dyDescent="0.25">
      <c r="A120" s="492" t="s">
        <v>350</v>
      </c>
      <c r="B120" s="497"/>
      <c r="C120" s="496">
        <v>2851</v>
      </c>
      <c r="D120" s="517">
        <v>2851</v>
      </c>
    </row>
    <row r="121" spans="1:5" x14ac:dyDescent="0.25">
      <c r="A121" s="492" t="s">
        <v>833</v>
      </c>
      <c r="B121" s="497"/>
      <c r="C121" s="496">
        <v>5094</v>
      </c>
      <c r="D121" s="517">
        <v>5094</v>
      </c>
    </row>
    <row r="122" spans="1:5" x14ac:dyDescent="0.25">
      <c r="A122" s="492" t="s">
        <v>885</v>
      </c>
      <c r="B122" s="497"/>
      <c r="C122" s="496">
        <v>636117</v>
      </c>
      <c r="D122" s="517">
        <v>636117</v>
      </c>
    </row>
    <row r="123" spans="1:5" x14ac:dyDescent="0.25">
      <c r="A123" s="492" t="s">
        <v>354</v>
      </c>
      <c r="B123" s="497"/>
      <c r="C123" s="496">
        <v>51664.639999999999</v>
      </c>
      <c r="D123" s="517">
        <v>51664.639999999999</v>
      </c>
    </row>
    <row r="124" spans="1:5" x14ac:dyDescent="0.25">
      <c r="A124" s="492" t="s">
        <v>362</v>
      </c>
      <c r="B124" s="497"/>
      <c r="C124" s="496">
        <v>15000</v>
      </c>
      <c r="D124" s="517">
        <v>15000</v>
      </c>
      <c r="E124" s="523"/>
    </row>
    <row r="125" spans="1:5" x14ac:dyDescent="0.25">
      <c r="A125" s="492" t="s">
        <v>363</v>
      </c>
      <c r="B125" s="497"/>
      <c r="C125" s="496">
        <v>3501405</v>
      </c>
      <c r="D125" s="517">
        <v>3501405</v>
      </c>
    </row>
    <row r="126" spans="1:5" x14ac:dyDescent="0.25">
      <c r="A126" s="492" t="s">
        <v>643</v>
      </c>
      <c r="B126" s="497"/>
      <c r="C126" s="496">
        <v>288000</v>
      </c>
      <c r="D126" s="517">
        <v>288000</v>
      </c>
    </row>
    <row r="127" spans="1:5" x14ac:dyDescent="0.25">
      <c r="A127" s="492" t="s">
        <v>373</v>
      </c>
      <c r="B127" s="497"/>
      <c r="C127" s="491"/>
      <c r="D127" s="497"/>
    </row>
    <row r="128" spans="1:5" x14ac:dyDescent="0.25">
      <c r="A128" s="492" t="s">
        <v>383</v>
      </c>
      <c r="B128" s="497"/>
      <c r="C128" s="496">
        <v>463179.47</v>
      </c>
      <c r="D128" s="517">
        <v>463179.47</v>
      </c>
    </row>
    <row r="129" spans="1:5" x14ac:dyDescent="0.25">
      <c r="A129" s="492" t="s">
        <v>389</v>
      </c>
      <c r="B129" s="497"/>
      <c r="C129" s="496">
        <v>295955.36</v>
      </c>
      <c r="D129" s="519">
        <v>295955.36</v>
      </c>
    </row>
    <row r="130" spans="1:5" x14ac:dyDescent="0.25">
      <c r="A130" s="492" t="s">
        <v>392</v>
      </c>
      <c r="B130" s="497"/>
      <c r="C130" s="496">
        <v>72000</v>
      </c>
      <c r="D130" s="517">
        <v>72000</v>
      </c>
    </row>
    <row r="131" spans="1:5" x14ac:dyDescent="0.25">
      <c r="A131" s="492" t="s">
        <v>398</v>
      </c>
      <c r="B131" s="497"/>
      <c r="C131" s="496">
        <v>250566</v>
      </c>
      <c r="D131" s="517">
        <v>250566</v>
      </c>
    </row>
    <row r="132" spans="1:5" x14ac:dyDescent="0.25">
      <c r="A132" s="492" t="s">
        <v>399</v>
      </c>
      <c r="B132" s="497"/>
      <c r="C132" s="496">
        <v>157764</v>
      </c>
      <c r="D132" s="517">
        <v>157764</v>
      </c>
    </row>
    <row r="133" spans="1:5" x14ac:dyDescent="0.25">
      <c r="A133" s="492" t="s">
        <v>405</v>
      </c>
      <c r="B133" s="497"/>
      <c r="C133" s="496">
        <v>2388514.29</v>
      </c>
      <c r="D133" s="517">
        <v>2388514.29</v>
      </c>
    </row>
    <row r="134" spans="1:5" x14ac:dyDescent="0.25">
      <c r="A134" s="492" t="s">
        <v>646</v>
      </c>
      <c r="B134" s="497"/>
      <c r="C134" s="496">
        <v>1794</v>
      </c>
      <c r="D134" s="521">
        <v>1794</v>
      </c>
      <c r="E134" s="523"/>
    </row>
    <row r="135" spans="1:5" x14ac:dyDescent="0.25">
      <c r="A135" s="492" t="s">
        <v>407</v>
      </c>
      <c r="B135" s="497"/>
      <c r="C135" s="496">
        <v>92500</v>
      </c>
      <c r="D135" s="517">
        <v>92500</v>
      </c>
    </row>
    <row r="136" spans="1:5" x14ac:dyDescent="0.25">
      <c r="A136" s="492" t="s">
        <v>832</v>
      </c>
      <c r="B136" s="497"/>
      <c r="C136" s="496">
        <v>100000</v>
      </c>
      <c r="D136" s="517">
        <v>100000</v>
      </c>
    </row>
    <row r="137" spans="1:5" x14ac:dyDescent="0.25">
      <c r="A137" s="492" t="s">
        <v>831</v>
      </c>
      <c r="B137" s="497"/>
      <c r="C137" s="496">
        <v>100270</v>
      </c>
      <c r="D137" s="517">
        <v>100270</v>
      </c>
      <c r="E137" s="523"/>
    </row>
    <row r="138" spans="1:5" x14ac:dyDescent="0.25">
      <c r="A138" s="492" t="s">
        <v>411</v>
      </c>
      <c r="B138" s="497"/>
      <c r="C138" s="496">
        <v>905666</v>
      </c>
      <c r="D138" s="517">
        <v>905666</v>
      </c>
    </row>
    <row r="139" spans="1:5" x14ac:dyDescent="0.25">
      <c r="A139" s="492" t="s">
        <v>830</v>
      </c>
      <c r="B139" s="497"/>
      <c r="C139" s="496">
        <v>1900</v>
      </c>
      <c r="D139" s="517">
        <v>1900</v>
      </c>
      <c r="E139" s="523"/>
    </row>
    <row r="140" spans="1:5" x14ac:dyDescent="0.25">
      <c r="A140" s="492" t="s">
        <v>829</v>
      </c>
      <c r="B140" s="497"/>
      <c r="C140" s="491"/>
      <c r="D140" s="497"/>
    </row>
    <row r="141" spans="1:5" x14ac:dyDescent="0.25">
      <c r="A141" s="492" t="s">
        <v>418</v>
      </c>
      <c r="B141" s="497"/>
      <c r="C141" s="496">
        <v>23423400</v>
      </c>
      <c r="D141" s="519">
        <v>23423400</v>
      </c>
    </row>
    <row r="142" spans="1:5" x14ac:dyDescent="0.25">
      <c r="A142" s="492" t="s">
        <v>419</v>
      </c>
      <c r="B142" s="497"/>
      <c r="C142" s="496">
        <v>20156550.98</v>
      </c>
      <c r="D142" s="517">
        <v>20156550.98</v>
      </c>
    </row>
    <row r="143" spans="1:5" x14ac:dyDescent="0.25">
      <c r="A143" s="492" t="s">
        <v>420</v>
      </c>
      <c r="B143" s="497"/>
      <c r="C143" s="496">
        <v>1758835.42</v>
      </c>
      <c r="D143" s="517">
        <v>1758835.42</v>
      </c>
    </row>
    <row r="144" spans="1:5" x14ac:dyDescent="0.25">
      <c r="A144" s="492" t="s">
        <v>421</v>
      </c>
      <c r="B144" s="497"/>
      <c r="C144" s="496">
        <v>360000</v>
      </c>
      <c r="D144" s="517">
        <v>360000</v>
      </c>
    </row>
    <row r="145" spans="1:5" x14ac:dyDescent="0.25">
      <c r="A145" s="492" t="s">
        <v>426</v>
      </c>
      <c r="B145" s="497"/>
      <c r="C145" s="496">
        <v>21.44</v>
      </c>
      <c r="D145" s="521">
        <v>21.44</v>
      </c>
      <c r="E145" s="523"/>
    </row>
    <row r="146" spans="1:5" x14ac:dyDescent="0.25">
      <c r="A146" s="294" t="s">
        <v>429</v>
      </c>
      <c r="B146" s="497"/>
      <c r="C146" s="496">
        <v>63394867</v>
      </c>
      <c r="D146" s="519">
        <v>63394867</v>
      </c>
    </row>
    <row r="147" spans="1:5" x14ac:dyDescent="0.25">
      <c r="A147" s="492" t="s">
        <v>435</v>
      </c>
      <c r="B147" s="497"/>
      <c r="C147" s="496">
        <v>1173753</v>
      </c>
      <c r="D147" s="517">
        <v>1173753</v>
      </c>
    </row>
    <row r="148" spans="1:5" x14ac:dyDescent="0.25">
      <c r="A148" s="492" t="s">
        <v>436</v>
      </c>
      <c r="B148" s="497"/>
      <c r="C148" s="496">
        <v>24970</v>
      </c>
      <c r="D148" s="521">
        <v>24970</v>
      </c>
      <c r="E148" s="523"/>
    </row>
    <row r="149" spans="1:5" x14ac:dyDescent="0.25">
      <c r="A149" s="492" t="s">
        <v>828</v>
      </c>
      <c r="B149" s="497"/>
      <c r="C149" s="496">
        <v>25000</v>
      </c>
      <c r="D149" s="517">
        <v>25000</v>
      </c>
    </row>
    <row r="150" spans="1:5" x14ac:dyDescent="0.25">
      <c r="A150" s="492" t="s">
        <v>647</v>
      </c>
      <c r="B150" s="497"/>
      <c r="C150" s="496">
        <v>237500</v>
      </c>
      <c r="D150" s="517">
        <v>237500</v>
      </c>
    </row>
    <row r="151" spans="1:5" x14ac:dyDescent="0.25">
      <c r="A151" s="492" t="s">
        <v>463</v>
      </c>
      <c r="B151" s="497"/>
      <c r="C151" s="496">
        <v>10800</v>
      </c>
      <c r="D151" s="517">
        <v>10800</v>
      </c>
      <c r="E151" s="523"/>
    </row>
    <row r="152" spans="1:5" x14ac:dyDescent="0.25">
      <c r="A152" s="492" t="s">
        <v>471</v>
      </c>
      <c r="B152" s="497"/>
      <c r="C152" s="496">
        <v>661712</v>
      </c>
      <c r="D152" s="519">
        <v>661712</v>
      </c>
    </row>
    <row r="153" spans="1:5" x14ac:dyDescent="0.25">
      <c r="A153" s="492" t="s">
        <v>472</v>
      </c>
      <c r="B153" s="497"/>
      <c r="C153" s="496">
        <v>11594</v>
      </c>
      <c r="D153" s="517">
        <v>11594</v>
      </c>
    </row>
    <row r="154" spans="1:5" x14ac:dyDescent="0.25">
      <c r="A154" s="492" t="s">
        <v>474</v>
      </c>
      <c r="B154" s="497"/>
      <c r="C154" s="496">
        <v>1200</v>
      </c>
      <c r="D154" s="521">
        <v>1200</v>
      </c>
      <c r="E154" s="523"/>
    </row>
    <row r="155" spans="1:5" x14ac:dyDescent="0.25">
      <c r="A155" s="492" t="s">
        <v>827</v>
      </c>
      <c r="B155" s="497"/>
      <c r="C155" s="496">
        <v>1500</v>
      </c>
      <c r="D155" s="521">
        <v>1500</v>
      </c>
      <c r="E155" s="523"/>
    </row>
    <row r="156" spans="1:5" x14ac:dyDescent="0.25">
      <c r="A156" s="492" t="s">
        <v>475</v>
      </c>
      <c r="B156" s="497"/>
      <c r="C156" s="496">
        <v>224238.38</v>
      </c>
      <c r="D156" s="517">
        <v>224238.38</v>
      </c>
    </row>
    <row r="157" spans="1:5" x14ac:dyDescent="0.25">
      <c r="A157" s="492" t="s">
        <v>478</v>
      </c>
      <c r="B157" s="497"/>
      <c r="C157" s="496">
        <v>4626725</v>
      </c>
      <c r="D157" s="517">
        <v>4626725</v>
      </c>
    </row>
    <row r="158" spans="1:5" x14ac:dyDescent="0.25">
      <c r="A158" s="492" t="s">
        <v>826</v>
      </c>
      <c r="B158" s="497"/>
      <c r="C158" s="496">
        <v>10000</v>
      </c>
      <c r="D158" s="521">
        <v>10000</v>
      </c>
    </row>
    <row r="159" spans="1:5" x14ac:dyDescent="0.25">
      <c r="A159" s="492" t="s">
        <v>492</v>
      </c>
      <c r="B159" s="497"/>
      <c r="C159" s="496">
        <v>326280.62</v>
      </c>
      <c r="D159" s="517">
        <v>326280.62</v>
      </c>
    </row>
    <row r="160" spans="1:5" x14ac:dyDescent="0.25">
      <c r="A160" s="492" t="s">
        <v>498</v>
      </c>
      <c r="B160" s="497"/>
      <c r="C160" s="496">
        <v>141640</v>
      </c>
      <c r="D160" s="517">
        <v>141640</v>
      </c>
      <c r="E160" s="523"/>
    </row>
    <row r="161" spans="1:5" x14ac:dyDescent="0.25">
      <c r="A161" s="492" t="s">
        <v>499</v>
      </c>
      <c r="B161" s="497"/>
      <c r="C161" s="496">
        <v>351574</v>
      </c>
      <c r="D161" s="517">
        <v>351574</v>
      </c>
    </row>
    <row r="162" spans="1:5" x14ac:dyDescent="0.25">
      <c r="A162" s="492" t="s">
        <v>500</v>
      </c>
      <c r="B162" s="497"/>
      <c r="C162" s="496">
        <v>146782.92000000001</v>
      </c>
      <c r="D162" s="517">
        <v>146782.92000000001</v>
      </c>
    </row>
    <row r="163" spans="1:5" x14ac:dyDescent="0.25">
      <c r="A163" s="492" t="s">
        <v>501</v>
      </c>
      <c r="B163" s="497"/>
      <c r="C163" s="496">
        <v>133986</v>
      </c>
      <c r="D163" s="517">
        <v>133986</v>
      </c>
    </row>
    <row r="164" spans="1:5" x14ac:dyDescent="0.25">
      <c r="A164" s="492" t="s">
        <v>516</v>
      </c>
      <c r="B164" s="497"/>
      <c r="C164" s="496">
        <v>236388</v>
      </c>
      <c r="D164" s="519">
        <v>236388</v>
      </c>
    </row>
    <row r="165" spans="1:5" x14ac:dyDescent="0.25">
      <c r="A165" s="492" t="s">
        <v>518</v>
      </c>
      <c r="B165" s="497"/>
      <c r="C165" s="496">
        <v>277430</v>
      </c>
      <c r="D165" s="517">
        <v>277430</v>
      </c>
    </row>
    <row r="166" spans="1:5" x14ac:dyDescent="0.25">
      <c r="A166" s="492" t="s">
        <v>519</v>
      </c>
      <c r="B166" s="497"/>
      <c r="C166" s="496">
        <v>110795.91</v>
      </c>
      <c r="D166" s="517">
        <v>110795.91</v>
      </c>
    </row>
    <row r="167" spans="1:5" x14ac:dyDescent="0.25">
      <c r="A167" s="492" t="s">
        <v>525</v>
      </c>
      <c r="B167" s="497"/>
      <c r="C167" s="496">
        <v>54490</v>
      </c>
      <c r="D167" s="521">
        <v>54490</v>
      </c>
      <c r="E167" s="523">
        <f>+D167</f>
        <v>54490</v>
      </c>
    </row>
    <row r="168" spans="1:5" x14ac:dyDescent="0.25">
      <c r="A168" s="492" t="s">
        <v>530</v>
      </c>
      <c r="B168" s="497"/>
      <c r="C168" s="496">
        <v>194240</v>
      </c>
      <c r="D168" s="517">
        <v>194240</v>
      </c>
    </row>
    <row r="169" spans="1:5" x14ac:dyDescent="0.25">
      <c r="A169" s="253" t="s">
        <v>825</v>
      </c>
      <c r="B169" s="494">
        <v>4318647</v>
      </c>
      <c r="C169" s="502"/>
      <c r="D169" s="494">
        <v>4318647</v>
      </c>
    </row>
    <row r="170" spans="1:5" x14ac:dyDescent="0.25">
      <c r="A170" s="492" t="s">
        <v>283</v>
      </c>
      <c r="B170" s="493">
        <v>4318647</v>
      </c>
      <c r="C170" s="491"/>
      <c r="D170" s="493">
        <v>4318647</v>
      </c>
    </row>
    <row r="171" spans="1:5" x14ac:dyDescent="0.25">
      <c r="A171" s="252" t="s">
        <v>408</v>
      </c>
      <c r="B171" s="490">
        <v>215881386.99000001</v>
      </c>
      <c r="C171" s="500">
        <v>668866</v>
      </c>
      <c r="D171" s="490">
        <v>215212520.99000001</v>
      </c>
    </row>
    <row r="172" spans="1:5" x14ac:dyDescent="0.25">
      <c r="A172" s="264" t="s">
        <v>597</v>
      </c>
      <c r="B172" s="490">
        <v>32.049999999999997</v>
      </c>
      <c r="C172" s="493">
        <v>2887150</v>
      </c>
      <c r="D172" s="490">
        <v>2887182.05</v>
      </c>
    </row>
    <row r="173" spans="1:5" x14ac:dyDescent="0.25">
      <c r="A173" s="249" t="s">
        <v>203</v>
      </c>
      <c r="B173" s="503"/>
      <c r="C173" s="504"/>
      <c r="D173" s="503"/>
    </row>
  </sheetData>
  <mergeCells count="8">
    <mergeCell ref="B7:D7"/>
    <mergeCell ref="B8:D8"/>
    <mergeCell ref="A1:C1"/>
    <mergeCell ref="A2:C2"/>
    <mergeCell ref="A3:C3"/>
    <mergeCell ref="A4:C4"/>
    <mergeCell ref="A5:C5"/>
    <mergeCell ref="A6:C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36"/>
  <sheetViews>
    <sheetView topLeftCell="A8" zoomScaleNormal="100" workbookViewId="0">
      <selection activeCell="D18" sqref="D18"/>
    </sheetView>
  </sheetViews>
  <sheetFormatPr defaultRowHeight="15" x14ac:dyDescent="0.25"/>
  <cols>
    <col min="1" max="1" width="39.85546875" bestFit="1" customWidth="1"/>
    <col min="2" max="2" width="16.5703125" bestFit="1" customWidth="1"/>
    <col min="3" max="3" width="17.85546875" customWidth="1"/>
    <col min="4" max="4" width="14.85546875" bestFit="1" customWidth="1"/>
    <col min="5" max="5" width="12.5703125" bestFit="1" customWidth="1"/>
    <col min="7" max="7" width="25.5703125" bestFit="1" customWidth="1"/>
    <col min="10" max="10" width="14.5703125" bestFit="1" customWidth="1"/>
    <col min="11" max="11" width="11.5703125" bestFit="1" customWidth="1"/>
  </cols>
  <sheetData>
    <row r="1" spans="1:11" ht="15.75" x14ac:dyDescent="0.25">
      <c r="A1" s="1705" t="s">
        <v>871</v>
      </c>
      <c r="B1" s="1705"/>
      <c r="C1" s="1705"/>
      <c r="D1" s="485"/>
    </row>
    <row r="2" spans="1:11" x14ac:dyDescent="0.25">
      <c r="A2" s="1698" t="s">
        <v>205</v>
      </c>
      <c r="B2" s="1698"/>
      <c r="C2" s="1698"/>
      <c r="D2" s="485"/>
    </row>
    <row r="3" spans="1:11" x14ac:dyDescent="0.25">
      <c r="A3" s="1698" t="s">
        <v>206</v>
      </c>
      <c r="B3" s="1698"/>
      <c r="C3" s="1698"/>
      <c r="D3" s="485"/>
    </row>
    <row r="4" spans="1:11" x14ac:dyDescent="0.25">
      <c r="A4" s="1706" t="s">
        <v>207</v>
      </c>
      <c r="B4" s="1706"/>
      <c r="C4" s="1706"/>
      <c r="D4" s="485"/>
    </row>
    <row r="5" spans="1:11" ht="15.75" x14ac:dyDescent="0.25">
      <c r="A5" s="1707" t="s">
        <v>854</v>
      </c>
      <c r="B5" s="1707"/>
      <c r="C5" s="1707"/>
      <c r="D5" s="485"/>
    </row>
    <row r="6" spans="1:11" x14ac:dyDescent="0.25">
      <c r="A6" s="1698" t="s">
        <v>883</v>
      </c>
      <c r="B6" s="1698"/>
      <c r="C6" s="1698"/>
      <c r="D6" s="485"/>
    </row>
    <row r="7" spans="1:11" x14ac:dyDescent="0.25">
      <c r="A7" s="1706" t="s">
        <v>870</v>
      </c>
      <c r="B7" s="1706"/>
      <c r="C7" s="1706"/>
      <c r="D7" s="485"/>
    </row>
    <row r="8" spans="1:11" x14ac:dyDescent="0.25">
      <c r="A8" s="248" t="s">
        <v>197</v>
      </c>
      <c r="B8" s="1742" t="s">
        <v>854</v>
      </c>
      <c r="C8" s="1742"/>
      <c r="D8" s="1742"/>
    </row>
    <row r="9" spans="1:11" x14ac:dyDescent="0.25">
      <c r="A9" s="302" t="s">
        <v>197</v>
      </c>
      <c r="B9" s="1743" t="s">
        <v>871</v>
      </c>
      <c r="C9" s="1744"/>
      <c r="D9" s="1744"/>
    </row>
    <row r="10" spans="1:11" x14ac:dyDescent="0.25">
      <c r="A10" s="505" t="s">
        <v>0</v>
      </c>
      <c r="B10" s="1741" t="s">
        <v>870</v>
      </c>
      <c r="C10" s="1709"/>
      <c r="D10" s="1709"/>
    </row>
    <row r="11" spans="1:11" x14ac:dyDescent="0.25">
      <c r="A11" s="505" t="s">
        <v>197</v>
      </c>
      <c r="B11" s="506" t="s">
        <v>869</v>
      </c>
      <c r="C11" s="368" t="s">
        <v>868</v>
      </c>
      <c r="D11" s="486" t="s">
        <v>867</v>
      </c>
    </row>
    <row r="12" spans="1:11" x14ac:dyDescent="0.25">
      <c r="A12" s="507" t="s">
        <v>197</v>
      </c>
      <c r="B12" s="508" t="s">
        <v>865</v>
      </c>
      <c r="C12" s="368" t="s">
        <v>866</v>
      </c>
      <c r="D12" s="487" t="s">
        <v>865</v>
      </c>
      <c r="G12" s="382"/>
    </row>
    <row r="13" spans="1:11" x14ac:dyDescent="0.25">
      <c r="A13" s="253" t="s">
        <v>853</v>
      </c>
      <c r="B13" s="511">
        <v>190089376.81999999</v>
      </c>
      <c r="C13" s="512">
        <v>17852001.75</v>
      </c>
      <c r="D13" s="511">
        <v>207941378.56999999</v>
      </c>
    </row>
    <row r="14" spans="1:11" ht="16.5" x14ac:dyDescent="0.25">
      <c r="A14" s="296" t="s">
        <v>882</v>
      </c>
      <c r="B14" s="496">
        <v>4142388.32</v>
      </c>
      <c r="C14" s="496">
        <v>6078272.75</v>
      </c>
      <c r="D14" s="496">
        <v>10220661.07</v>
      </c>
      <c r="E14" s="382">
        <f t="shared" ref="E14:E20" si="0">B14+C14</f>
        <v>10220661.07</v>
      </c>
      <c r="G14" s="563"/>
      <c r="J14" s="564"/>
    </row>
    <row r="15" spans="1:11" ht="16.5" x14ac:dyDescent="0.25">
      <c r="A15" s="296" t="s">
        <v>881</v>
      </c>
      <c r="B15" s="496">
        <v>136757916.19</v>
      </c>
      <c r="C15" s="496">
        <v>9547150</v>
      </c>
      <c r="D15" s="496">
        <v>146305066.19</v>
      </c>
      <c r="E15" s="382">
        <f t="shared" si="0"/>
        <v>146305066.19</v>
      </c>
      <c r="G15" s="563"/>
      <c r="J15" s="564"/>
      <c r="K15" s="382"/>
    </row>
    <row r="16" spans="1:11" ht="16.5" x14ac:dyDescent="0.25">
      <c r="A16" s="296" t="s">
        <v>880</v>
      </c>
      <c r="B16" s="496">
        <v>9856155.3200000003</v>
      </c>
      <c r="C16" s="496">
        <v>82127</v>
      </c>
      <c r="D16" s="496">
        <v>9938282.3200000003</v>
      </c>
      <c r="E16" s="382">
        <f t="shared" si="0"/>
        <v>9938282.3200000003</v>
      </c>
      <c r="G16" s="563"/>
      <c r="J16" s="564"/>
    </row>
    <row r="17" spans="1:11" ht="16.5" x14ac:dyDescent="0.25">
      <c r="A17" s="296" t="s">
        <v>879</v>
      </c>
      <c r="B17" s="496">
        <v>7019117.9900000002</v>
      </c>
      <c r="C17" s="496">
        <v>2138210</v>
      </c>
      <c r="D17" s="496">
        <v>9157327.9900000002</v>
      </c>
      <c r="E17" s="382">
        <f t="shared" si="0"/>
        <v>9157327.9900000002</v>
      </c>
      <c r="G17" s="563"/>
      <c r="J17" s="564"/>
    </row>
    <row r="18" spans="1:11" ht="16.5" x14ac:dyDescent="0.25">
      <c r="A18" s="296" t="s">
        <v>878</v>
      </c>
      <c r="B18" s="491"/>
      <c r="C18" s="496">
        <v>2600</v>
      </c>
      <c r="D18" s="496">
        <v>2600</v>
      </c>
      <c r="E18" s="382">
        <f t="shared" si="0"/>
        <v>2600</v>
      </c>
      <c r="G18" s="563"/>
      <c r="J18" s="564"/>
    </row>
    <row r="19" spans="1:11" ht="16.5" x14ac:dyDescent="0.25">
      <c r="A19" s="296" t="s">
        <v>877</v>
      </c>
      <c r="B19" s="491"/>
      <c r="C19" s="496">
        <v>3642</v>
      </c>
      <c r="D19" s="496">
        <v>3642</v>
      </c>
      <c r="E19" s="382">
        <f t="shared" si="0"/>
        <v>3642</v>
      </c>
      <c r="G19" s="563"/>
      <c r="J19" s="564"/>
      <c r="K19" s="278"/>
    </row>
    <row r="20" spans="1:11" ht="16.5" x14ac:dyDescent="0.25">
      <c r="A20" s="492" t="s">
        <v>403</v>
      </c>
      <c r="B20" s="500">
        <v>32313799</v>
      </c>
      <c r="C20" s="491"/>
      <c r="D20" s="500">
        <v>32313799</v>
      </c>
      <c r="E20" s="382">
        <f t="shared" si="0"/>
        <v>32313799</v>
      </c>
      <c r="G20" s="563"/>
      <c r="J20" s="564"/>
    </row>
    <row r="21" spans="1:11" x14ac:dyDescent="0.25">
      <c r="A21" s="253" t="s">
        <v>133</v>
      </c>
      <c r="B21" s="499">
        <v>32855882.079999998</v>
      </c>
      <c r="C21" s="498">
        <v>4991135.4400000004</v>
      </c>
      <c r="D21" s="499">
        <v>37847017.520000003</v>
      </c>
      <c r="E21" s="382"/>
    </row>
    <row r="22" spans="1:11" x14ac:dyDescent="0.25">
      <c r="A22" s="296" t="s">
        <v>876</v>
      </c>
      <c r="B22" s="496">
        <v>28915457.760000002</v>
      </c>
      <c r="C22" s="496">
        <v>4666605.4400000004</v>
      </c>
      <c r="D22" s="496">
        <v>33582063.200000003</v>
      </c>
      <c r="E22" s="728">
        <f t="shared" ref="E22:E32" si="1">B22+C22</f>
        <v>33582063.200000003</v>
      </c>
      <c r="G22" s="382">
        <f>B21-B26</f>
        <v>31901468.079999998</v>
      </c>
    </row>
    <row r="23" spans="1:11" x14ac:dyDescent="0.25">
      <c r="A23" s="296" t="s">
        <v>875</v>
      </c>
      <c r="B23" s="496">
        <v>2282146</v>
      </c>
      <c r="C23" s="496">
        <v>72000</v>
      </c>
      <c r="D23" s="496">
        <v>2354146</v>
      </c>
      <c r="E23" s="382">
        <f t="shared" si="1"/>
        <v>2354146</v>
      </c>
    </row>
    <row r="24" spans="1:11" x14ac:dyDescent="0.25">
      <c r="A24" s="296" t="s">
        <v>874</v>
      </c>
      <c r="B24" s="496">
        <v>622534.06000000006</v>
      </c>
      <c r="C24" s="496">
        <v>11760</v>
      </c>
      <c r="D24" s="496">
        <v>634294.06000000006</v>
      </c>
      <c r="E24" s="382">
        <f t="shared" si="1"/>
        <v>634294.06000000006</v>
      </c>
    </row>
    <row r="25" spans="1:11" x14ac:dyDescent="0.25">
      <c r="A25" s="492" t="s">
        <v>306</v>
      </c>
      <c r="B25" s="500">
        <v>26980</v>
      </c>
      <c r="C25" s="496">
        <v>70980</v>
      </c>
      <c r="D25" s="500">
        <v>97960</v>
      </c>
      <c r="E25" s="382">
        <f t="shared" si="1"/>
        <v>97960</v>
      </c>
    </row>
    <row r="26" spans="1:11" x14ac:dyDescent="0.25">
      <c r="A26" s="492" t="s">
        <v>402</v>
      </c>
      <c r="B26" s="500">
        <v>954414</v>
      </c>
      <c r="C26" s="491"/>
      <c r="D26" s="500">
        <v>954414</v>
      </c>
      <c r="E26" s="382">
        <f t="shared" si="1"/>
        <v>954414</v>
      </c>
    </row>
    <row r="27" spans="1:11" x14ac:dyDescent="0.25">
      <c r="A27" s="492" t="s">
        <v>470</v>
      </c>
      <c r="B27" s="500">
        <v>3600</v>
      </c>
      <c r="C27" s="491"/>
      <c r="D27" s="500">
        <v>3600</v>
      </c>
      <c r="E27" s="382">
        <f t="shared" si="1"/>
        <v>3600</v>
      </c>
    </row>
    <row r="28" spans="1:11" x14ac:dyDescent="0.25">
      <c r="A28" s="492" t="s">
        <v>505</v>
      </c>
      <c r="B28" s="500">
        <v>50750.26</v>
      </c>
      <c r="C28" s="496">
        <v>169790</v>
      </c>
      <c r="D28" s="500">
        <v>220540.26</v>
      </c>
      <c r="E28" s="382">
        <f t="shared" si="1"/>
        <v>220540.26</v>
      </c>
    </row>
    <row r="29" spans="1:11" x14ac:dyDescent="0.25">
      <c r="A29" s="252" t="s">
        <v>129</v>
      </c>
      <c r="B29" s="490">
        <v>60344362</v>
      </c>
      <c r="C29" s="497"/>
      <c r="D29" s="490">
        <v>60344362</v>
      </c>
      <c r="E29" s="382">
        <f t="shared" si="1"/>
        <v>60344362</v>
      </c>
    </row>
    <row r="30" spans="1:11" x14ac:dyDescent="0.25">
      <c r="A30" s="252" t="s">
        <v>244</v>
      </c>
      <c r="B30" s="496">
        <v>19038.12</v>
      </c>
      <c r="C30" s="497"/>
      <c r="D30" s="496">
        <v>19038.12</v>
      </c>
      <c r="E30" s="382">
        <f t="shared" si="1"/>
        <v>19038.12</v>
      </c>
    </row>
    <row r="31" spans="1:11" x14ac:dyDescent="0.25">
      <c r="A31" s="516" t="s">
        <v>376</v>
      </c>
      <c r="B31" s="515">
        <v>7191410.4699999997</v>
      </c>
      <c r="C31" s="497"/>
      <c r="D31" s="496">
        <v>7191410.4699999997</v>
      </c>
      <c r="E31" s="382">
        <f t="shared" si="1"/>
        <v>7191410.4699999997</v>
      </c>
    </row>
    <row r="32" spans="1:11" x14ac:dyDescent="0.25">
      <c r="A32" s="252" t="s">
        <v>852</v>
      </c>
      <c r="B32" s="491"/>
      <c r="C32" s="500">
        <v>139881065</v>
      </c>
      <c r="D32" s="496">
        <v>139881065</v>
      </c>
      <c r="E32" s="382">
        <f t="shared" si="1"/>
        <v>139881065</v>
      </c>
    </row>
    <row r="33" spans="1:4" x14ac:dyDescent="0.25">
      <c r="A33" s="249" t="s">
        <v>203</v>
      </c>
      <c r="B33" s="511">
        <v>169811345.49000001</v>
      </c>
      <c r="C33" s="513">
        <v>162724202.19</v>
      </c>
      <c r="D33" s="511">
        <v>332535547.68000001</v>
      </c>
    </row>
    <row r="34" spans="1:4" x14ac:dyDescent="0.25">
      <c r="B34">
        <f>'Note 9'!C29</f>
        <v>6521806.0999999996</v>
      </c>
      <c r="C34">
        <f>Workings!F34</f>
        <v>130000000</v>
      </c>
      <c r="D34">
        <f>Workings!G34</f>
        <v>1300000</v>
      </c>
    </row>
    <row r="35" spans="1:4" x14ac:dyDescent="0.25">
      <c r="B35" s="382">
        <f>B33-B34</f>
        <v>163289539.39000002</v>
      </c>
      <c r="C35" s="306">
        <f>C32-C34</f>
        <v>9881065</v>
      </c>
    </row>
    <row r="36" spans="1:4" x14ac:dyDescent="0.25">
      <c r="B36" s="728"/>
    </row>
  </sheetData>
  <mergeCells count="10">
    <mergeCell ref="A7:C7"/>
    <mergeCell ref="B8:D8"/>
    <mergeCell ref="B9:D9"/>
    <mergeCell ref="B10:D10"/>
    <mergeCell ref="A1:C1"/>
    <mergeCell ref="A2:C2"/>
    <mergeCell ref="A3:C3"/>
    <mergeCell ref="A4:C4"/>
    <mergeCell ref="A5:C5"/>
    <mergeCell ref="A6:C6"/>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402"/>
  <sheetViews>
    <sheetView topLeftCell="A267" workbookViewId="0">
      <selection activeCell="B286" sqref="B286"/>
    </sheetView>
  </sheetViews>
  <sheetFormatPr defaultRowHeight="15" x14ac:dyDescent="0.25"/>
  <cols>
    <col min="1" max="1" width="47.5703125" bestFit="1" customWidth="1"/>
    <col min="2" max="3" width="12.42578125" bestFit="1" customWidth="1"/>
    <col min="4" max="4" width="10.5703125" bestFit="1" customWidth="1"/>
    <col min="6" max="6" width="13.42578125" style="306" bestFit="1" customWidth="1"/>
    <col min="7" max="8" width="11.5703125" bestFit="1" customWidth="1"/>
  </cols>
  <sheetData>
    <row r="1" spans="1:3" ht="15.75" x14ac:dyDescent="0.25">
      <c r="A1" s="1705" t="s">
        <v>871</v>
      </c>
      <c r="B1" s="1705"/>
      <c r="C1" s="1705"/>
    </row>
    <row r="2" spans="1:3" x14ac:dyDescent="0.25">
      <c r="A2" s="1698" t="s">
        <v>205</v>
      </c>
      <c r="B2" s="1698"/>
      <c r="C2" s="1698"/>
    </row>
    <row r="3" spans="1:3" x14ac:dyDescent="0.25">
      <c r="A3" s="1698" t="s">
        <v>206</v>
      </c>
      <c r="B3" s="1698"/>
      <c r="C3" s="1698"/>
    </row>
    <row r="4" spans="1:3" x14ac:dyDescent="0.25">
      <c r="A4" s="1706" t="s">
        <v>207</v>
      </c>
      <c r="B4" s="1706"/>
      <c r="C4" s="1706"/>
    </row>
    <row r="5" spans="1:3" ht="15.75" x14ac:dyDescent="0.25">
      <c r="A5" s="1707" t="s">
        <v>199</v>
      </c>
      <c r="B5" s="1707"/>
      <c r="C5" s="1707"/>
    </row>
    <row r="6" spans="1:3" x14ac:dyDescent="0.25">
      <c r="A6" s="1706" t="s">
        <v>870</v>
      </c>
      <c r="B6" s="1706"/>
      <c r="C6" s="1706"/>
    </row>
    <row r="7" spans="1:3" x14ac:dyDescent="0.25">
      <c r="A7" s="248" t="s">
        <v>197</v>
      </c>
      <c r="B7" s="1699" t="s">
        <v>871</v>
      </c>
      <c r="C7" s="1700"/>
    </row>
    <row r="8" spans="1:3" x14ac:dyDescent="0.25">
      <c r="A8" s="505" t="s">
        <v>0</v>
      </c>
      <c r="B8" s="1741" t="s">
        <v>870</v>
      </c>
      <c r="C8" s="1709"/>
    </row>
    <row r="9" spans="1:3" x14ac:dyDescent="0.25">
      <c r="A9" s="505" t="s">
        <v>197</v>
      </c>
      <c r="B9" s="1703" t="s">
        <v>200</v>
      </c>
      <c r="C9" s="1745"/>
    </row>
    <row r="10" spans="1:3" x14ac:dyDescent="0.25">
      <c r="A10" s="507" t="s">
        <v>197</v>
      </c>
      <c r="B10" s="366" t="s">
        <v>194</v>
      </c>
      <c r="C10" s="368" t="s">
        <v>195</v>
      </c>
    </row>
    <row r="11" spans="1:3" x14ac:dyDescent="0.25">
      <c r="A11" s="253" t="s">
        <v>208</v>
      </c>
      <c r="B11" s="529">
        <v>1013265</v>
      </c>
      <c r="C11" s="503"/>
    </row>
    <row r="12" spans="1:3" x14ac:dyDescent="0.25">
      <c r="A12" s="556" t="s">
        <v>901</v>
      </c>
      <c r="B12" s="381">
        <v>28718.400000000001</v>
      </c>
      <c r="C12" s="491"/>
    </row>
    <row r="13" spans="1:3" x14ac:dyDescent="0.25">
      <c r="A13" s="556" t="s">
        <v>542</v>
      </c>
      <c r="B13" s="381">
        <v>224001</v>
      </c>
      <c r="C13" s="491"/>
    </row>
    <row r="14" spans="1:3" x14ac:dyDescent="0.25">
      <c r="A14" s="557" t="s">
        <v>209</v>
      </c>
      <c r="B14" s="497"/>
      <c r="C14" s="381">
        <v>309423.59999999998</v>
      </c>
    </row>
    <row r="15" spans="1:3" x14ac:dyDescent="0.25">
      <c r="A15" s="253" t="s">
        <v>902</v>
      </c>
      <c r="B15" s="559">
        <v>283.54000000000002</v>
      </c>
      <c r="C15" s="502"/>
    </row>
    <row r="16" spans="1:3" x14ac:dyDescent="0.25">
      <c r="A16" s="557" t="s">
        <v>903</v>
      </c>
      <c r="B16" s="535">
        <v>283.54000000000002</v>
      </c>
      <c r="C16" s="491"/>
    </row>
    <row r="17" spans="1:3" x14ac:dyDescent="0.25">
      <c r="A17" s="557" t="s">
        <v>904</v>
      </c>
      <c r="B17" s="535">
        <v>19688.63</v>
      </c>
      <c r="C17" s="491"/>
    </row>
    <row r="18" spans="1:3" x14ac:dyDescent="0.25">
      <c r="A18" s="557" t="s">
        <v>905</v>
      </c>
      <c r="B18" s="535">
        <v>19688.63</v>
      </c>
      <c r="C18" s="491"/>
    </row>
    <row r="19" spans="1:3" x14ac:dyDescent="0.25">
      <c r="A19" s="557" t="s">
        <v>210</v>
      </c>
      <c r="B19" s="535">
        <v>897814.56</v>
      </c>
      <c r="C19" s="491"/>
    </row>
    <row r="20" spans="1:3" x14ac:dyDescent="0.25">
      <c r="A20" s="253" t="s">
        <v>211</v>
      </c>
      <c r="B20" s="501"/>
      <c r="C20" s="534">
        <v>2347721.75</v>
      </c>
    </row>
    <row r="21" spans="1:3" x14ac:dyDescent="0.25">
      <c r="A21" s="556" t="s">
        <v>212</v>
      </c>
      <c r="B21" s="381">
        <v>897814.62</v>
      </c>
      <c r="C21" s="491"/>
    </row>
    <row r="22" spans="1:3" x14ac:dyDescent="0.25">
      <c r="A22" s="556" t="s">
        <v>213</v>
      </c>
      <c r="B22" s="491"/>
      <c r="C22" s="381">
        <v>2336710.87</v>
      </c>
    </row>
    <row r="23" spans="1:3" x14ac:dyDescent="0.25">
      <c r="A23" s="556" t="s">
        <v>214</v>
      </c>
      <c r="B23" s="381">
        <v>3475000</v>
      </c>
      <c r="C23" s="491"/>
    </row>
    <row r="24" spans="1:3" x14ac:dyDescent="0.25">
      <c r="A24" s="556" t="s">
        <v>215</v>
      </c>
      <c r="B24" s="381">
        <v>480935</v>
      </c>
      <c r="C24" s="491"/>
    </row>
    <row r="25" spans="1:3" x14ac:dyDescent="0.25">
      <c r="A25" s="557" t="s">
        <v>129</v>
      </c>
      <c r="B25" s="497"/>
      <c r="C25" s="381">
        <v>60344362</v>
      </c>
    </row>
    <row r="26" spans="1:3" x14ac:dyDescent="0.25">
      <c r="A26" s="557" t="s">
        <v>216</v>
      </c>
      <c r="B26" s="535">
        <v>1020929</v>
      </c>
      <c r="C26" s="491"/>
    </row>
    <row r="27" spans="1:3" x14ac:dyDescent="0.25">
      <c r="A27" s="253" t="s">
        <v>217</v>
      </c>
      <c r="B27" s="559">
        <v>7500</v>
      </c>
      <c r="C27" s="502"/>
    </row>
    <row r="28" spans="1:3" x14ac:dyDescent="0.25">
      <c r="A28" s="556" t="s">
        <v>218</v>
      </c>
      <c r="B28" s="381">
        <v>4178.3</v>
      </c>
      <c r="C28" s="491"/>
    </row>
    <row r="29" spans="1:3" x14ac:dyDescent="0.25">
      <c r="A29" s="556" t="s">
        <v>906</v>
      </c>
      <c r="B29" s="381">
        <v>200000</v>
      </c>
      <c r="C29" s="491"/>
    </row>
    <row r="30" spans="1:3" x14ac:dyDescent="0.25">
      <c r="A30" s="557" t="s">
        <v>907</v>
      </c>
      <c r="B30" s="535">
        <v>10000</v>
      </c>
      <c r="C30" s="491"/>
    </row>
    <row r="31" spans="1:3" x14ac:dyDescent="0.25">
      <c r="A31" s="557" t="s">
        <v>908</v>
      </c>
      <c r="B31" s="535">
        <v>1794</v>
      </c>
      <c r="C31" s="491"/>
    </row>
    <row r="32" spans="1:3" x14ac:dyDescent="0.25">
      <c r="A32" s="557" t="s">
        <v>909</v>
      </c>
      <c r="B32" s="535">
        <v>90000</v>
      </c>
      <c r="C32" s="491"/>
    </row>
    <row r="33" spans="1:3" x14ac:dyDescent="0.25">
      <c r="A33" s="557" t="s">
        <v>910</v>
      </c>
      <c r="B33" s="535">
        <v>49000</v>
      </c>
      <c r="C33" s="491"/>
    </row>
    <row r="34" spans="1:3" x14ac:dyDescent="0.25">
      <c r="A34" s="253" t="s">
        <v>911</v>
      </c>
      <c r="B34" s="559">
        <v>175255</v>
      </c>
      <c r="C34" s="502"/>
    </row>
    <row r="35" spans="1:3" x14ac:dyDescent="0.25">
      <c r="A35" s="556" t="s">
        <v>912</v>
      </c>
      <c r="B35" s="381">
        <v>180000</v>
      </c>
      <c r="C35" s="491"/>
    </row>
    <row r="36" spans="1:3" x14ac:dyDescent="0.25">
      <c r="A36" s="556" t="s">
        <v>913</v>
      </c>
      <c r="B36" s="381">
        <v>5000</v>
      </c>
      <c r="C36" s="491"/>
    </row>
    <row r="37" spans="1:3" x14ac:dyDescent="0.25">
      <c r="A37" s="556" t="s">
        <v>914</v>
      </c>
      <c r="B37" s="381">
        <v>30000</v>
      </c>
      <c r="C37" s="491"/>
    </row>
    <row r="38" spans="1:3" x14ac:dyDescent="0.25">
      <c r="A38" s="556" t="s">
        <v>220</v>
      </c>
      <c r="B38" s="381">
        <v>3776</v>
      </c>
      <c r="C38" s="491"/>
    </row>
    <row r="39" spans="1:3" x14ac:dyDescent="0.25">
      <c r="A39" s="556" t="s">
        <v>915</v>
      </c>
      <c r="B39" s="381">
        <v>50000</v>
      </c>
      <c r="C39" s="491"/>
    </row>
    <row r="40" spans="1:3" x14ac:dyDescent="0.25">
      <c r="A40" s="556" t="s">
        <v>916</v>
      </c>
      <c r="B40" s="381">
        <v>25000000</v>
      </c>
      <c r="C40" s="491"/>
    </row>
    <row r="41" spans="1:3" x14ac:dyDescent="0.25">
      <c r="A41" s="556" t="s">
        <v>221</v>
      </c>
      <c r="B41" s="491"/>
      <c r="C41" s="381">
        <v>54000</v>
      </c>
    </row>
    <row r="42" spans="1:3" x14ac:dyDescent="0.25">
      <c r="A42" s="557" t="s">
        <v>222</v>
      </c>
      <c r="B42" s="535">
        <v>3664947.5</v>
      </c>
      <c r="C42" s="491"/>
    </row>
    <row r="43" spans="1:3" x14ac:dyDescent="0.25">
      <c r="A43" s="557" t="s">
        <v>839</v>
      </c>
      <c r="B43" s="535">
        <v>33120</v>
      </c>
      <c r="C43" s="491"/>
    </row>
    <row r="44" spans="1:3" x14ac:dyDescent="0.25">
      <c r="A44" s="557" t="s">
        <v>224</v>
      </c>
      <c r="B44" s="497"/>
      <c r="C44" s="381">
        <v>193740.9</v>
      </c>
    </row>
    <row r="45" spans="1:3" x14ac:dyDescent="0.25">
      <c r="A45" s="557" t="s">
        <v>917</v>
      </c>
      <c r="B45" s="497"/>
      <c r="C45" s="381">
        <v>76278</v>
      </c>
    </row>
    <row r="46" spans="1:3" x14ac:dyDescent="0.25">
      <c r="A46" s="557" t="s">
        <v>225</v>
      </c>
      <c r="B46" s="535">
        <v>244000</v>
      </c>
      <c r="C46" s="491"/>
    </row>
    <row r="47" spans="1:3" x14ac:dyDescent="0.25">
      <c r="A47" s="557" t="s">
        <v>546</v>
      </c>
      <c r="B47" s="497"/>
      <c r="C47" s="381">
        <v>63362</v>
      </c>
    </row>
    <row r="48" spans="1:3" x14ac:dyDescent="0.25">
      <c r="A48" s="253" t="s">
        <v>918</v>
      </c>
      <c r="B48" s="501"/>
      <c r="C48" s="534">
        <v>324264</v>
      </c>
    </row>
    <row r="49" spans="1:3" x14ac:dyDescent="0.25">
      <c r="A49" s="557" t="s">
        <v>226</v>
      </c>
      <c r="B49" s="535">
        <v>2636798</v>
      </c>
      <c r="C49" s="491"/>
    </row>
    <row r="50" spans="1:3" x14ac:dyDescent="0.25">
      <c r="A50" s="557" t="s">
        <v>228</v>
      </c>
      <c r="B50" s="535">
        <v>24823881.370000001</v>
      </c>
      <c r="C50" s="491"/>
    </row>
    <row r="51" spans="1:3" x14ac:dyDescent="0.25">
      <c r="A51" s="557" t="s">
        <v>229</v>
      </c>
      <c r="B51" s="535">
        <v>14014410.4</v>
      </c>
      <c r="C51" s="491"/>
    </row>
    <row r="52" spans="1:3" x14ac:dyDescent="0.25">
      <c r="A52" s="557" t="s">
        <v>841</v>
      </c>
      <c r="B52" s="535">
        <v>2700</v>
      </c>
      <c r="C52" s="491"/>
    </row>
    <row r="53" spans="1:3" x14ac:dyDescent="0.25">
      <c r="A53" s="557" t="s">
        <v>919</v>
      </c>
      <c r="B53" s="497"/>
      <c r="C53" s="381">
        <v>53396.4</v>
      </c>
    </row>
    <row r="54" spans="1:3" x14ac:dyDescent="0.25">
      <c r="A54" s="557" t="s">
        <v>230</v>
      </c>
      <c r="B54" s="497"/>
      <c r="C54" s="381">
        <v>51489</v>
      </c>
    </row>
    <row r="55" spans="1:3" x14ac:dyDescent="0.25">
      <c r="A55" s="557" t="s">
        <v>233</v>
      </c>
      <c r="B55" s="497"/>
      <c r="C55" s="381">
        <v>78271.91</v>
      </c>
    </row>
    <row r="56" spans="1:3" x14ac:dyDescent="0.25">
      <c r="A56" s="557" t="s">
        <v>235</v>
      </c>
      <c r="B56" s="535">
        <v>265530</v>
      </c>
      <c r="C56" s="491"/>
    </row>
    <row r="57" spans="1:3" x14ac:dyDescent="0.25">
      <c r="A57" s="253" t="s">
        <v>236</v>
      </c>
      <c r="B57" s="559">
        <v>115760.91</v>
      </c>
      <c r="C57" s="502"/>
    </row>
    <row r="58" spans="1:3" x14ac:dyDescent="0.25">
      <c r="A58" s="557" t="s">
        <v>237</v>
      </c>
      <c r="B58" s="535">
        <v>36558</v>
      </c>
      <c r="C58" s="491"/>
    </row>
    <row r="59" spans="1:3" x14ac:dyDescent="0.25">
      <c r="A59" s="557" t="s">
        <v>920</v>
      </c>
      <c r="B59" s="497"/>
      <c r="C59" s="381">
        <v>14160</v>
      </c>
    </row>
    <row r="60" spans="1:3" x14ac:dyDescent="0.25">
      <c r="A60" s="557" t="s">
        <v>238</v>
      </c>
      <c r="B60" s="497"/>
      <c r="C60" s="381">
        <v>20790</v>
      </c>
    </row>
    <row r="61" spans="1:3" x14ac:dyDescent="0.25">
      <c r="A61" s="253" t="s">
        <v>239</v>
      </c>
      <c r="B61" s="501"/>
      <c r="C61" s="534">
        <v>467094</v>
      </c>
    </row>
    <row r="62" spans="1:3" x14ac:dyDescent="0.25">
      <c r="A62" s="557" t="s">
        <v>240</v>
      </c>
      <c r="B62" s="535">
        <v>7414000</v>
      </c>
      <c r="C62" s="491"/>
    </row>
    <row r="63" spans="1:3" x14ac:dyDescent="0.25">
      <c r="A63" s="557" t="s">
        <v>242</v>
      </c>
      <c r="B63" s="535">
        <v>170970.38</v>
      </c>
      <c r="C63" s="491"/>
    </row>
    <row r="64" spans="1:3" x14ac:dyDescent="0.25">
      <c r="A64" s="557" t="s">
        <v>921</v>
      </c>
      <c r="B64" s="497"/>
      <c r="C64" s="381">
        <v>9000</v>
      </c>
    </row>
    <row r="65" spans="1:4" x14ac:dyDescent="0.25">
      <c r="A65" s="557" t="s">
        <v>243</v>
      </c>
      <c r="B65" s="535">
        <v>41431.53</v>
      </c>
      <c r="C65" s="491"/>
    </row>
    <row r="66" spans="1:4" x14ac:dyDescent="0.25">
      <c r="A66" s="557" t="s">
        <v>244</v>
      </c>
      <c r="B66" s="535">
        <v>19038.12</v>
      </c>
      <c r="C66" s="491"/>
    </row>
    <row r="67" spans="1:4" x14ac:dyDescent="0.25">
      <c r="A67" s="557" t="s">
        <v>245</v>
      </c>
      <c r="B67" s="535">
        <v>820089.29</v>
      </c>
      <c r="C67" s="491"/>
    </row>
    <row r="68" spans="1:4" x14ac:dyDescent="0.25">
      <c r="A68" s="557" t="s">
        <v>246</v>
      </c>
      <c r="B68" s="535">
        <v>590</v>
      </c>
      <c r="C68" s="491"/>
    </row>
    <row r="69" spans="1:4" x14ac:dyDescent="0.25">
      <c r="A69" s="557" t="s">
        <v>248</v>
      </c>
      <c r="B69" s="497"/>
      <c r="C69" s="381">
        <v>612601.11</v>
      </c>
    </row>
    <row r="70" spans="1:4" x14ac:dyDescent="0.25">
      <c r="A70" s="557" t="s">
        <v>922</v>
      </c>
      <c r="B70" s="497"/>
      <c r="C70" s="381">
        <v>26400</v>
      </c>
    </row>
    <row r="71" spans="1:4" x14ac:dyDescent="0.25">
      <c r="A71" s="557" t="s">
        <v>249</v>
      </c>
      <c r="B71" s="497"/>
      <c r="C71" s="381">
        <v>717</v>
      </c>
    </row>
    <row r="72" spans="1:4" x14ac:dyDescent="0.25">
      <c r="A72" s="557" t="s">
        <v>923</v>
      </c>
      <c r="B72" s="497"/>
      <c r="C72" s="381">
        <v>6951</v>
      </c>
    </row>
    <row r="73" spans="1:4" x14ac:dyDescent="0.25">
      <c r="A73" s="557" t="s">
        <v>924</v>
      </c>
      <c r="B73" s="535">
        <v>24624</v>
      </c>
      <c r="C73" s="491"/>
    </row>
    <row r="74" spans="1:4" x14ac:dyDescent="0.25">
      <c r="A74" s="557" t="s">
        <v>842</v>
      </c>
      <c r="B74" s="535">
        <v>9500</v>
      </c>
      <c r="C74" s="491"/>
    </row>
    <row r="75" spans="1:4" x14ac:dyDescent="0.25">
      <c r="A75" s="253" t="s">
        <v>250</v>
      </c>
      <c r="B75" s="559">
        <v>180000</v>
      </c>
      <c r="C75" s="502"/>
    </row>
    <row r="76" spans="1:4" x14ac:dyDescent="0.25">
      <c r="A76" s="557" t="s">
        <v>251</v>
      </c>
      <c r="B76" s="497"/>
      <c r="C76" s="381">
        <v>224790</v>
      </c>
    </row>
    <row r="77" spans="1:4" x14ac:dyDescent="0.25">
      <c r="A77" s="557" t="s">
        <v>252</v>
      </c>
      <c r="B77" s="535">
        <v>226000</v>
      </c>
      <c r="C77" s="491"/>
    </row>
    <row r="78" spans="1:4" x14ac:dyDescent="0.25">
      <c r="A78" s="253" t="s">
        <v>253</v>
      </c>
      <c r="B78" s="559">
        <v>285</v>
      </c>
      <c r="C78" s="502"/>
    </row>
    <row r="79" spans="1:4" x14ac:dyDescent="0.25">
      <c r="A79" s="556" t="s">
        <v>925</v>
      </c>
      <c r="B79" s="381">
        <v>1500000</v>
      </c>
      <c r="C79" s="491"/>
      <c r="D79" s="733">
        <f>+B79</f>
        <v>1500000</v>
      </c>
    </row>
    <row r="80" spans="1:4" x14ac:dyDescent="0.25">
      <c r="A80" s="556" t="s">
        <v>254</v>
      </c>
      <c r="B80" s="381">
        <v>4821450.41</v>
      </c>
      <c r="C80" s="491"/>
    </row>
    <row r="81" spans="1:3" x14ac:dyDescent="0.25">
      <c r="A81" s="557" t="s">
        <v>255</v>
      </c>
      <c r="B81" s="497"/>
      <c r="C81" s="381">
        <v>34450</v>
      </c>
    </row>
    <row r="82" spans="1:3" x14ac:dyDescent="0.25">
      <c r="A82" s="557" t="s">
        <v>256</v>
      </c>
      <c r="B82" s="535">
        <v>199034.72</v>
      </c>
      <c r="C82" s="491"/>
    </row>
    <row r="83" spans="1:3" x14ac:dyDescent="0.25">
      <c r="A83" s="557" t="s">
        <v>257</v>
      </c>
      <c r="B83" s="535">
        <v>555676.48</v>
      </c>
      <c r="C83" s="491"/>
    </row>
    <row r="84" spans="1:3" x14ac:dyDescent="0.25">
      <c r="A84" s="557" t="s">
        <v>549</v>
      </c>
      <c r="B84" s="497"/>
      <c r="C84" s="381">
        <v>2700</v>
      </c>
    </row>
    <row r="85" spans="1:3" x14ac:dyDescent="0.25">
      <c r="A85" s="557" t="s">
        <v>258</v>
      </c>
      <c r="B85" s="535">
        <v>57814</v>
      </c>
      <c r="C85" s="491"/>
    </row>
    <row r="86" spans="1:3" x14ac:dyDescent="0.25">
      <c r="A86" s="557" t="s">
        <v>259</v>
      </c>
      <c r="B86" s="535">
        <v>199836</v>
      </c>
      <c r="C86" s="491"/>
    </row>
    <row r="87" spans="1:3" x14ac:dyDescent="0.25">
      <c r="A87" s="557" t="s">
        <v>926</v>
      </c>
      <c r="B87" s="535">
        <v>168390</v>
      </c>
      <c r="C87" s="491"/>
    </row>
    <row r="88" spans="1:3" x14ac:dyDescent="0.25">
      <c r="A88" s="557" t="s">
        <v>260</v>
      </c>
      <c r="B88" s="535">
        <v>187890.52</v>
      </c>
      <c r="C88" s="491"/>
    </row>
    <row r="89" spans="1:3" x14ac:dyDescent="0.25">
      <c r="A89" s="557" t="s">
        <v>261</v>
      </c>
      <c r="B89" s="535">
        <v>2392000</v>
      </c>
      <c r="C89" s="491"/>
    </row>
    <row r="90" spans="1:3" x14ac:dyDescent="0.25">
      <c r="A90" s="557" t="s">
        <v>927</v>
      </c>
      <c r="B90" s="497"/>
      <c r="C90" s="381">
        <v>53441</v>
      </c>
    </row>
    <row r="91" spans="1:3" x14ac:dyDescent="0.25">
      <c r="A91" s="557" t="s">
        <v>264</v>
      </c>
      <c r="B91" s="497"/>
      <c r="C91" s="381">
        <v>148444</v>
      </c>
    </row>
    <row r="92" spans="1:3" x14ac:dyDescent="0.25">
      <c r="A92" s="557" t="s">
        <v>265</v>
      </c>
      <c r="B92" s="497"/>
      <c r="C92" s="381">
        <v>683435</v>
      </c>
    </row>
    <row r="93" spans="1:3" x14ac:dyDescent="0.25">
      <c r="A93" s="557" t="s">
        <v>266</v>
      </c>
      <c r="B93" s="535">
        <v>3592087.4</v>
      </c>
      <c r="C93" s="491"/>
    </row>
    <row r="94" spans="1:3" x14ac:dyDescent="0.25">
      <c r="A94" s="557" t="s">
        <v>267</v>
      </c>
      <c r="B94" s="497"/>
      <c r="C94" s="381">
        <v>107380</v>
      </c>
    </row>
    <row r="95" spans="1:3" x14ac:dyDescent="0.25">
      <c r="A95" s="557" t="s">
        <v>268</v>
      </c>
      <c r="B95" s="535">
        <v>2158726.84</v>
      </c>
      <c r="C95" s="491"/>
    </row>
    <row r="96" spans="1:3" x14ac:dyDescent="0.25">
      <c r="A96" s="557" t="s">
        <v>269</v>
      </c>
      <c r="B96" s="535">
        <v>114548</v>
      </c>
      <c r="C96" s="491"/>
    </row>
    <row r="97" spans="1:3" x14ac:dyDescent="0.25">
      <c r="A97" s="557" t="s">
        <v>270</v>
      </c>
      <c r="B97" s="497"/>
      <c r="C97" s="381">
        <v>109340</v>
      </c>
    </row>
    <row r="98" spans="1:3" x14ac:dyDescent="0.25">
      <c r="A98" s="557" t="s">
        <v>271</v>
      </c>
      <c r="B98" s="535">
        <v>131643.9</v>
      </c>
      <c r="C98" s="491"/>
    </row>
    <row r="99" spans="1:3" x14ac:dyDescent="0.25">
      <c r="A99" s="557" t="s">
        <v>272</v>
      </c>
      <c r="B99" s="535">
        <v>1300000</v>
      </c>
      <c r="C99" s="491"/>
    </row>
    <row r="100" spans="1:3" x14ac:dyDescent="0.25">
      <c r="A100" s="557" t="s">
        <v>551</v>
      </c>
      <c r="B100" s="497"/>
      <c r="C100" s="381">
        <v>200</v>
      </c>
    </row>
    <row r="101" spans="1:3" x14ac:dyDescent="0.25">
      <c r="A101" s="557" t="s">
        <v>274</v>
      </c>
      <c r="B101" s="535">
        <v>1822041</v>
      </c>
      <c r="C101" s="491"/>
    </row>
    <row r="102" spans="1:3" x14ac:dyDescent="0.25">
      <c r="A102" s="557" t="s">
        <v>275</v>
      </c>
      <c r="B102" s="535">
        <v>117760</v>
      </c>
      <c r="C102" s="491"/>
    </row>
    <row r="103" spans="1:3" x14ac:dyDescent="0.25">
      <c r="A103" s="557" t="s">
        <v>276</v>
      </c>
      <c r="B103" s="535">
        <v>3926400</v>
      </c>
      <c r="C103" s="491"/>
    </row>
    <row r="104" spans="1:3" x14ac:dyDescent="0.25">
      <c r="A104" s="557" t="s">
        <v>277</v>
      </c>
      <c r="B104" s="535">
        <v>2447200</v>
      </c>
      <c r="C104" s="491"/>
    </row>
    <row r="105" spans="1:3" x14ac:dyDescent="0.25">
      <c r="A105" s="557" t="s">
        <v>278</v>
      </c>
      <c r="B105" s="535">
        <v>11910.2</v>
      </c>
      <c r="C105" s="491"/>
    </row>
    <row r="106" spans="1:3" x14ac:dyDescent="0.25">
      <c r="A106" s="557" t="s">
        <v>928</v>
      </c>
      <c r="B106" s="497"/>
      <c r="C106" s="381">
        <v>7999</v>
      </c>
    </row>
    <row r="107" spans="1:3" x14ac:dyDescent="0.25">
      <c r="A107" s="557" t="s">
        <v>279</v>
      </c>
      <c r="B107" s="497"/>
      <c r="C107" s="381">
        <v>18703</v>
      </c>
    </row>
    <row r="108" spans="1:3" x14ac:dyDescent="0.25">
      <c r="A108" s="557" t="s">
        <v>280</v>
      </c>
      <c r="B108" s="535">
        <v>2470922</v>
      </c>
      <c r="C108" s="491"/>
    </row>
    <row r="109" spans="1:3" x14ac:dyDescent="0.25">
      <c r="A109" s="557" t="s">
        <v>281</v>
      </c>
      <c r="B109" s="535">
        <v>64124</v>
      </c>
      <c r="C109" s="491"/>
    </row>
    <row r="110" spans="1:3" x14ac:dyDescent="0.25">
      <c r="A110" s="557" t="s">
        <v>282</v>
      </c>
      <c r="B110" s="497"/>
      <c r="C110" s="381">
        <v>4469387.0999999996</v>
      </c>
    </row>
    <row r="111" spans="1:3" x14ac:dyDescent="0.25">
      <c r="A111" s="557" t="s">
        <v>929</v>
      </c>
      <c r="B111" s="497"/>
      <c r="C111" s="381">
        <v>25165</v>
      </c>
    </row>
    <row r="112" spans="1:3" x14ac:dyDescent="0.25">
      <c r="A112" s="557" t="s">
        <v>283</v>
      </c>
      <c r="B112" s="497"/>
      <c r="C112" s="381">
        <v>4318647</v>
      </c>
    </row>
    <row r="113" spans="1:4" x14ac:dyDescent="0.25">
      <c r="A113" s="557" t="s">
        <v>284</v>
      </c>
      <c r="B113" s="535">
        <v>10000</v>
      </c>
      <c r="C113" s="491"/>
      <c r="D113" s="733">
        <f>+B113</f>
        <v>10000</v>
      </c>
    </row>
    <row r="114" spans="1:4" x14ac:dyDescent="0.25">
      <c r="A114" s="557" t="s">
        <v>285</v>
      </c>
      <c r="B114" s="535">
        <v>1873880.51</v>
      </c>
      <c r="C114" s="491"/>
    </row>
    <row r="115" spans="1:4" x14ac:dyDescent="0.25">
      <c r="A115" s="557" t="s">
        <v>286</v>
      </c>
      <c r="B115" s="497"/>
      <c r="C115" s="381">
        <v>408240</v>
      </c>
    </row>
    <row r="116" spans="1:4" x14ac:dyDescent="0.25">
      <c r="A116" s="557" t="s">
        <v>287</v>
      </c>
      <c r="B116" s="535">
        <v>137405.57999999999</v>
      </c>
      <c r="C116" s="491"/>
    </row>
    <row r="117" spans="1:4" x14ac:dyDescent="0.25">
      <c r="A117" s="557" t="s">
        <v>288</v>
      </c>
      <c r="B117" s="535">
        <v>110000</v>
      </c>
      <c r="C117" s="491"/>
    </row>
    <row r="118" spans="1:4" x14ac:dyDescent="0.25">
      <c r="A118" s="557" t="s">
        <v>930</v>
      </c>
      <c r="B118" s="535">
        <v>2746134</v>
      </c>
      <c r="C118" s="491"/>
    </row>
    <row r="119" spans="1:4" x14ac:dyDescent="0.25">
      <c r="A119" s="557" t="s">
        <v>931</v>
      </c>
      <c r="B119" s="535">
        <v>610998</v>
      </c>
      <c r="C119" s="491"/>
    </row>
    <row r="120" spans="1:4" x14ac:dyDescent="0.25">
      <c r="A120" s="557" t="s">
        <v>932</v>
      </c>
      <c r="B120" s="535">
        <v>592773</v>
      </c>
      <c r="C120" s="491"/>
    </row>
    <row r="121" spans="1:4" x14ac:dyDescent="0.25">
      <c r="A121" s="557" t="s">
        <v>933</v>
      </c>
      <c r="B121" s="535">
        <v>2849550</v>
      </c>
      <c r="C121" s="491"/>
    </row>
    <row r="122" spans="1:4" x14ac:dyDescent="0.25">
      <c r="A122" s="557" t="s">
        <v>934</v>
      </c>
      <c r="B122" s="535">
        <v>936582</v>
      </c>
      <c r="C122" s="491"/>
    </row>
    <row r="123" spans="1:4" x14ac:dyDescent="0.25">
      <c r="A123" s="557" t="s">
        <v>935</v>
      </c>
      <c r="B123" s="535">
        <v>2705280</v>
      </c>
      <c r="C123" s="491"/>
    </row>
    <row r="124" spans="1:4" x14ac:dyDescent="0.25">
      <c r="A124" s="557" t="s">
        <v>936</v>
      </c>
      <c r="B124" s="535">
        <v>5684313</v>
      </c>
      <c r="C124" s="491"/>
    </row>
    <row r="125" spans="1:4" x14ac:dyDescent="0.25">
      <c r="A125" s="557" t="s">
        <v>937</v>
      </c>
      <c r="B125" s="535">
        <v>150000</v>
      </c>
      <c r="C125" s="491"/>
    </row>
    <row r="126" spans="1:4" x14ac:dyDescent="0.25">
      <c r="A126" s="557" t="s">
        <v>289</v>
      </c>
      <c r="B126" s="497"/>
      <c r="C126" s="381">
        <v>4145.34</v>
      </c>
    </row>
    <row r="127" spans="1:4" x14ac:dyDescent="0.25">
      <c r="A127" s="557" t="s">
        <v>938</v>
      </c>
      <c r="B127" s="497"/>
      <c r="C127" s="381">
        <v>26640</v>
      </c>
    </row>
    <row r="128" spans="1:4" x14ac:dyDescent="0.25">
      <c r="A128" s="557" t="s">
        <v>290</v>
      </c>
      <c r="B128" s="535">
        <v>9005635.9399999995</v>
      </c>
      <c r="C128" s="491"/>
    </row>
    <row r="129" spans="1:4" x14ac:dyDescent="0.25">
      <c r="A129" s="557" t="s">
        <v>291</v>
      </c>
      <c r="B129" s="535">
        <v>177404.64</v>
      </c>
      <c r="C129" s="491"/>
    </row>
    <row r="130" spans="1:4" x14ac:dyDescent="0.25">
      <c r="A130" s="557" t="s">
        <v>292</v>
      </c>
      <c r="B130" s="535">
        <v>314685</v>
      </c>
      <c r="C130" s="491"/>
    </row>
    <row r="131" spans="1:4" x14ac:dyDescent="0.25">
      <c r="A131" s="557" t="s">
        <v>293</v>
      </c>
      <c r="B131" s="535">
        <v>557500</v>
      </c>
      <c r="C131" s="491"/>
    </row>
    <row r="132" spans="1:4" x14ac:dyDescent="0.25">
      <c r="A132" s="557" t="s">
        <v>294</v>
      </c>
      <c r="B132" s="535">
        <v>11882985.1</v>
      </c>
      <c r="C132" s="491"/>
    </row>
    <row r="133" spans="1:4" x14ac:dyDescent="0.25">
      <c r="A133" s="557" t="s">
        <v>295</v>
      </c>
      <c r="B133" s="535">
        <v>1572550</v>
      </c>
      <c r="C133" s="491"/>
      <c r="D133" s="733">
        <f>+B133</f>
        <v>1572550</v>
      </c>
    </row>
    <row r="134" spans="1:4" x14ac:dyDescent="0.25">
      <c r="A134" s="557" t="s">
        <v>939</v>
      </c>
      <c r="B134" s="535">
        <v>2600</v>
      </c>
      <c r="C134" s="491"/>
    </row>
    <row r="135" spans="1:4" x14ac:dyDescent="0.25">
      <c r="A135" s="557" t="s">
        <v>296</v>
      </c>
      <c r="B135" s="535">
        <v>1347769.21</v>
      </c>
      <c r="C135" s="491"/>
    </row>
    <row r="136" spans="1:4" x14ac:dyDescent="0.25">
      <c r="A136" s="557" t="s">
        <v>297</v>
      </c>
      <c r="B136" s="535">
        <v>196354.06</v>
      </c>
      <c r="C136" s="491"/>
    </row>
    <row r="137" spans="1:4" x14ac:dyDescent="0.25">
      <c r="A137" s="557" t="s">
        <v>298</v>
      </c>
      <c r="B137" s="535">
        <v>4994535</v>
      </c>
      <c r="C137" s="491"/>
    </row>
    <row r="138" spans="1:4" x14ac:dyDescent="0.25">
      <c r="A138" s="557" t="s">
        <v>153</v>
      </c>
      <c r="B138" s="535">
        <v>9911641.5399999991</v>
      </c>
      <c r="C138" s="491"/>
    </row>
    <row r="139" spans="1:4" x14ac:dyDescent="0.25">
      <c r="A139" s="557" t="s">
        <v>299</v>
      </c>
      <c r="B139" s="535">
        <v>126638.7</v>
      </c>
      <c r="C139" s="491"/>
    </row>
    <row r="140" spans="1:4" x14ac:dyDescent="0.25">
      <c r="A140" s="557" t="s">
        <v>300</v>
      </c>
      <c r="B140" s="497"/>
      <c r="C140" s="381">
        <v>323568</v>
      </c>
    </row>
    <row r="141" spans="1:4" x14ac:dyDescent="0.25">
      <c r="A141" s="557" t="s">
        <v>301</v>
      </c>
      <c r="B141" s="497"/>
      <c r="C141" s="381">
        <v>467727</v>
      </c>
    </row>
    <row r="142" spans="1:4" x14ac:dyDescent="0.25">
      <c r="A142" s="557" t="s">
        <v>940</v>
      </c>
      <c r="B142" s="535">
        <v>74998</v>
      </c>
      <c r="C142" s="491"/>
    </row>
    <row r="143" spans="1:4" x14ac:dyDescent="0.25">
      <c r="A143" s="557" t="s">
        <v>302</v>
      </c>
      <c r="B143" s="497"/>
      <c r="C143" s="381">
        <v>32989</v>
      </c>
    </row>
    <row r="144" spans="1:4" x14ac:dyDescent="0.25">
      <c r="A144" s="557" t="s">
        <v>640</v>
      </c>
      <c r="B144" s="535">
        <v>30500</v>
      </c>
      <c r="C144" s="491"/>
    </row>
    <row r="145" spans="1:9" x14ac:dyDescent="0.25">
      <c r="A145" s="557" t="s">
        <v>306</v>
      </c>
      <c r="B145" s="535">
        <v>97960</v>
      </c>
      <c r="C145" s="491"/>
    </row>
    <row r="146" spans="1:9" x14ac:dyDescent="0.25">
      <c r="A146" s="557" t="s">
        <v>307</v>
      </c>
      <c r="B146" s="535">
        <v>98050</v>
      </c>
      <c r="C146" s="491"/>
      <c r="F146" s="735" t="s">
        <v>1142</v>
      </c>
    </row>
    <row r="147" spans="1:9" x14ac:dyDescent="0.25">
      <c r="A147" s="557" t="s">
        <v>941</v>
      </c>
      <c r="B147" s="561">
        <v>5000000</v>
      </c>
      <c r="C147" s="491"/>
      <c r="F147" s="306">
        <v>5000000</v>
      </c>
    </row>
    <row r="148" spans="1:9" x14ac:dyDescent="0.25">
      <c r="A148" s="557" t="s">
        <v>942</v>
      </c>
      <c r="B148" s="561">
        <v>5000000</v>
      </c>
      <c r="C148" s="491"/>
      <c r="F148" s="306">
        <v>5000000</v>
      </c>
    </row>
    <row r="149" spans="1:9" x14ac:dyDescent="0.25">
      <c r="A149" s="557" t="s">
        <v>943</v>
      </c>
      <c r="B149" s="561">
        <v>5000000</v>
      </c>
      <c r="C149" s="491"/>
      <c r="F149" s="306">
        <v>5000000</v>
      </c>
    </row>
    <row r="150" spans="1:9" x14ac:dyDescent="0.25">
      <c r="A150" s="557" t="s">
        <v>944</v>
      </c>
      <c r="B150" s="561">
        <v>5000000</v>
      </c>
      <c r="C150" s="491"/>
      <c r="F150" s="306">
        <v>5000000</v>
      </c>
    </row>
    <row r="151" spans="1:9" x14ac:dyDescent="0.25">
      <c r="A151" s="557" t="s">
        <v>945</v>
      </c>
      <c r="B151" s="561">
        <v>5000000</v>
      </c>
      <c r="C151" s="491"/>
      <c r="F151" s="306">
        <v>5000000</v>
      </c>
    </row>
    <row r="152" spans="1:9" x14ac:dyDescent="0.25">
      <c r="A152" s="557" t="s">
        <v>946</v>
      </c>
      <c r="B152" s="561">
        <v>5000000</v>
      </c>
      <c r="C152" s="491"/>
      <c r="F152" s="306">
        <v>5000000</v>
      </c>
    </row>
    <row r="153" spans="1:9" x14ac:dyDescent="0.25">
      <c r="A153" s="557" t="s">
        <v>947</v>
      </c>
      <c r="B153" s="561">
        <v>5000000</v>
      </c>
      <c r="C153" s="491"/>
      <c r="F153" s="306">
        <v>5000000</v>
      </c>
    </row>
    <row r="154" spans="1:9" x14ac:dyDescent="0.25">
      <c r="A154" s="557" t="s">
        <v>308</v>
      </c>
      <c r="B154" s="561">
        <v>2152877</v>
      </c>
      <c r="C154" s="491"/>
      <c r="F154" s="306">
        <v>2275441</v>
      </c>
    </row>
    <row r="155" spans="1:9" x14ac:dyDescent="0.25">
      <c r="A155" s="557" t="s">
        <v>310</v>
      </c>
      <c r="B155" s="561">
        <v>3044709</v>
      </c>
      <c r="C155" s="491"/>
      <c r="F155" s="306">
        <v>3241620</v>
      </c>
    </row>
    <row r="156" spans="1:9" x14ac:dyDescent="0.25">
      <c r="A156" s="557" t="s">
        <v>311</v>
      </c>
      <c r="B156" s="535">
        <v>519936.1</v>
      </c>
      <c r="C156" s="491"/>
      <c r="F156" s="734">
        <f>SUM(F147:F155)</f>
        <v>40517061</v>
      </c>
      <c r="G156" s="733">
        <f>SUM(B147:B155)</f>
        <v>40197586</v>
      </c>
      <c r="H156" s="736">
        <f>F156-G156</f>
        <v>319475</v>
      </c>
      <c r="I156" s="737" t="s">
        <v>1044</v>
      </c>
    </row>
    <row r="157" spans="1:9" x14ac:dyDescent="0.25">
      <c r="A157" s="557" t="s">
        <v>312</v>
      </c>
      <c r="B157" s="535">
        <v>2352</v>
      </c>
      <c r="C157" s="491"/>
    </row>
    <row r="158" spans="1:9" x14ac:dyDescent="0.25">
      <c r="A158" s="557" t="s">
        <v>313</v>
      </c>
      <c r="B158" s="497"/>
      <c r="C158" s="381">
        <v>6084356.2000000002</v>
      </c>
    </row>
    <row r="159" spans="1:9" x14ac:dyDescent="0.25">
      <c r="A159" s="557" t="s">
        <v>314</v>
      </c>
      <c r="B159" s="535">
        <v>3666624.98</v>
      </c>
      <c r="C159" s="491"/>
    </row>
    <row r="160" spans="1:9" x14ac:dyDescent="0.25">
      <c r="A160" s="557" t="s">
        <v>315</v>
      </c>
      <c r="B160" s="535">
        <v>294940</v>
      </c>
      <c r="C160" s="491"/>
    </row>
    <row r="161" spans="1:3" x14ac:dyDescent="0.25">
      <c r="A161" s="557" t="s">
        <v>948</v>
      </c>
      <c r="B161" s="497"/>
      <c r="C161" s="381">
        <v>42560</v>
      </c>
    </row>
    <row r="162" spans="1:3" x14ac:dyDescent="0.25">
      <c r="A162" s="557" t="s">
        <v>316</v>
      </c>
      <c r="B162" s="535">
        <v>2828316.24</v>
      </c>
      <c r="C162" s="491"/>
    </row>
    <row r="163" spans="1:3" x14ac:dyDescent="0.25">
      <c r="A163" s="557" t="s">
        <v>317</v>
      </c>
      <c r="B163" s="535">
        <v>983916.79</v>
      </c>
      <c r="C163" s="491"/>
    </row>
    <row r="164" spans="1:3" x14ac:dyDescent="0.25">
      <c r="A164" s="557" t="s">
        <v>318</v>
      </c>
      <c r="B164" s="497"/>
      <c r="C164" s="381">
        <v>16500</v>
      </c>
    </row>
    <row r="165" spans="1:3" x14ac:dyDescent="0.25">
      <c r="A165" s="557" t="s">
        <v>320</v>
      </c>
      <c r="B165" s="535">
        <v>295750</v>
      </c>
      <c r="C165" s="491"/>
    </row>
    <row r="166" spans="1:3" x14ac:dyDescent="0.25">
      <c r="A166" s="557" t="s">
        <v>566</v>
      </c>
      <c r="B166" s="535">
        <v>368138.76</v>
      </c>
      <c r="C166" s="491"/>
    </row>
    <row r="167" spans="1:3" x14ac:dyDescent="0.25">
      <c r="A167" s="557" t="s">
        <v>838</v>
      </c>
      <c r="B167" s="535">
        <v>284005</v>
      </c>
      <c r="C167" s="491"/>
    </row>
    <row r="168" spans="1:3" x14ac:dyDescent="0.25">
      <c r="A168" s="557" t="s">
        <v>321</v>
      </c>
      <c r="B168" s="535">
        <v>6029935</v>
      </c>
      <c r="C168" s="491"/>
    </row>
    <row r="169" spans="1:3" x14ac:dyDescent="0.25">
      <c r="A169" s="253" t="s">
        <v>949</v>
      </c>
      <c r="B169" s="559">
        <v>469397.75</v>
      </c>
      <c r="C169" s="502"/>
    </row>
    <row r="170" spans="1:3" x14ac:dyDescent="0.25">
      <c r="A170" s="557" t="s">
        <v>322</v>
      </c>
      <c r="B170" s="497"/>
      <c r="C170" s="381">
        <v>16976</v>
      </c>
    </row>
    <row r="171" spans="1:3" x14ac:dyDescent="0.25">
      <c r="A171" s="252" t="s">
        <v>323</v>
      </c>
      <c r="B171" s="381">
        <v>519312.8</v>
      </c>
      <c r="C171" s="497"/>
    </row>
    <row r="172" spans="1:3" x14ac:dyDescent="0.25">
      <c r="A172" s="264" t="s">
        <v>837</v>
      </c>
      <c r="B172" s="381">
        <v>28300</v>
      </c>
      <c r="C172" s="497"/>
    </row>
    <row r="173" spans="1:3" x14ac:dyDescent="0.25">
      <c r="A173" s="558" t="s">
        <v>324</v>
      </c>
      <c r="B173" s="503"/>
      <c r="C173" s="560">
        <v>50606</v>
      </c>
    </row>
    <row r="174" spans="1:3" x14ac:dyDescent="0.25">
      <c r="A174" s="252" t="s">
        <v>325</v>
      </c>
      <c r="B174" s="491"/>
      <c r="C174" s="381">
        <v>80000</v>
      </c>
    </row>
    <row r="175" spans="1:3" x14ac:dyDescent="0.25">
      <c r="A175" s="252" t="s">
        <v>327</v>
      </c>
      <c r="B175" s="491"/>
      <c r="C175" s="381">
        <v>285586</v>
      </c>
    </row>
    <row r="176" spans="1:3" x14ac:dyDescent="0.25">
      <c r="A176" s="252" t="s">
        <v>328</v>
      </c>
      <c r="B176" s="491"/>
      <c r="C176" s="381">
        <v>27150</v>
      </c>
    </row>
    <row r="177" spans="1:3" x14ac:dyDescent="0.25">
      <c r="A177" s="252" t="s">
        <v>329</v>
      </c>
      <c r="B177" s="381">
        <v>3361480.94</v>
      </c>
      <c r="C177" s="491"/>
    </row>
    <row r="178" spans="1:3" x14ac:dyDescent="0.25">
      <c r="A178" s="252" t="s">
        <v>330</v>
      </c>
      <c r="B178" s="381">
        <v>63842.65</v>
      </c>
      <c r="C178" s="491"/>
    </row>
    <row r="179" spans="1:3" x14ac:dyDescent="0.25">
      <c r="A179" s="252" t="s">
        <v>331</v>
      </c>
      <c r="B179" s="381">
        <v>785000</v>
      </c>
      <c r="C179" s="491"/>
    </row>
    <row r="180" spans="1:3" x14ac:dyDescent="0.25">
      <c r="A180" s="252" t="s">
        <v>332</v>
      </c>
      <c r="B180" s="381">
        <v>500000</v>
      </c>
      <c r="C180" s="491"/>
    </row>
    <row r="181" spans="1:3" x14ac:dyDescent="0.25">
      <c r="A181" s="252" t="s">
        <v>333</v>
      </c>
      <c r="B181" s="491"/>
      <c r="C181" s="381">
        <v>4645.5</v>
      </c>
    </row>
    <row r="182" spans="1:3" x14ac:dyDescent="0.25">
      <c r="A182" s="252" t="s">
        <v>950</v>
      </c>
      <c r="B182" s="381">
        <v>2628752</v>
      </c>
      <c r="C182" s="491"/>
    </row>
    <row r="183" spans="1:3" x14ac:dyDescent="0.25">
      <c r="A183" s="252" t="s">
        <v>334</v>
      </c>
      <c r="B183" s="381">
        <v>1971663</v>
      </c>
      <c r="C183" s="491"/>
    </row>
    <row r="184" spans="1:3" x14ac:dyDescent="0.25">
      <c r="A184" s="252" t="s">
        <v>335</v>
      </c>
      <c r="B184" s="381">
        <v>16580186.52</v>
      </c>
      <c r="C184" s="491"/>
    </row>
    <row r="185" spans="1:3" x14ac:dyDescent="0.25">
      <c r="A185" s="252" t="s">
        <v>951</v>
      </c>
      <c r="B185" s="381">
        <v>2614368.75</v>
      </c>
      <c r="C185" s="491"/>
    </row>
    <row r="186" spans="1:3" x14ac:dyDescent="0.25">
      <c r="A186" s="252" t="s">
        <v>336</v>
      </c>
      <c r="B186" s="381">
        <v>165.2</v>
      </c>
      <c r="C186" s="491"/>
    </row>
    <row r="187" spans="1:3" x14ac:dyDescent="0.25">
      <c r="A187" s="252" t="s">
        <v>337</v>
      </c>
      <c r="B187" s="381">
        <v>669818</v>
      </c>
      <c r="C187" s="491"/>
    </row>
    <row r="188" spans="1:3" x14ac:dyDescent="0.25">
      <c r="A188" s="252" t="s">
        <v>835</v>
      </c>
      <c r="B188" s="381">
        <v>1000</v>
      </c>
      <c r="C188" s="491"/>
    </row>
    <row r="189" spans="1:3" x14ac:dyDescent="0.25">
      <c r="A189" s="252" t="s">
        <v>952</v>
      </c>
      <c r="B189" s="491"/>
      <c r="C189" s="381">
        <v>41400</v>
      </c>
    </row>
    <row r="190" spans="1:3" x14ac:dyDescent="0.25">
      <c r="A190" s="252" t="s">
        <v>338</v>
      </c>
      <c r="B190" s="381">
        <v>41500</v>
      </c>
      <c r="C190" s="491"/>
    </row>
    <row r="191" spans="1:3" x14ac:dyDescent="0.25">
      <c r="A191" s="252" t="s">
        <v>953</v>
      </c>
      <c r="B191" s="491"/>
      <c r="C191" s="381">
        <v>237375</v>
      </c>
    </row>
    <row r="192" spans="1:3" x14ac:dyDescent="0.25">
      <c r="A192" s="252" t="s">
        <v>342</v>
      </c>
      <c r="B192" s="381">
        <v>14065</v>
      </c>
      <c r="C192" s="491"/>
    </row>
    <row r="193" spans="1:3" x14ac:dyDescent="0.25">
      <c r="A193" s="252" t="s">
        <v>343</v>
      </c>
      <c r="B193" s="381">
        <v>126171.98</v>
      </c>
      <c r="C193" s="491"/>
    </row>
    <row r="194" spans="1:3" x14ac:dyDescent="0.25">
      <c r="A194" s="252" t="s">
        <v>344</v>
      </c>
      <c r="B194" s="562">
        <v>387546.1</v>
      </c>
      <c r="C194" s="491"/>
    </row>
    <row r="195" spans="1:3" x14ac:dyDescent="0.25">
      <c r="A195" s="252" t="s">
        <v>345</v>
      </c>
      <c r="B195" s="562">
        <v>2944721</v>
      </c>
      <c r="C195" s="491"/>
    </row>
    <row r="196" spans="1:3" x14ac:dyDescent="0.25">
      <c r="A196" s="252" t="s">
        <v>346</v>
      </c>
      <c r="B196" s="491"/>
      <c r="C196" s="381">
        <v>2516918</v>
      </c>
    </row>
    <row r="197" spans="1:3" x14ac:dyDescent="0.25">
      <c r="A197" s="252" t="s">
        <v>347</v>
      </c>
      <c r="B197" s="381">
        <v>101368</v>
      </c>
      <c r="C197" s="491"/>
    </row>
    <row r="198" spans="1:3" x14ac:dyDescent="0.25">
      <c r="A198" s="252" t="s">
        <v>834</v>
      </c>
      <c r="B198" s="562">
        <v>4431636.99</v>
      </c>
      <c r="C198" s="491"/>
    </row>
    <row r="199" spans="1:3" x14ac:dyDescent="0.25">
      <c r="A199" s="252" t="s">
        <v>348</v>
      </c>
      <c r="B199" s="491"/>
      <c r="C199" s="381">
        <v>267800</v>
      </c>
    </row>
    <row r="200" spans="1:3" x14ac:dyDescent="0.25">
      <c r="A200" s="252" t="s">
        <v>349</v>
      </c>
      <c r="B200" s="562">
        <v>73925</v>
      </c>
      <c r="C200" s="491"/>
    </row>
    <row r="201" spans="1:3" x14ac:dyDescent="0.25">
      <c r="A201" s="252" t="s">
        <v>350</v>
      </c>
      <c r="B201" s="381">
        <v>2851</v>
      </c>
      <c r="C201" s="491"/>
    </row>
    <row r="202" spans="1:3" x14ac:dyDescent="0.25">
      <c r="A202" s="252" t="s">
        <v>833</v>
      </c>
      <c r="B202" s="381">
        <v>5094</v>
      </c>
      <c r="C202" s="491"/>
    </row>
    <row r="203" spans="1:3" x14ac:dyDescent="0.25">
      <c r="A203" s="252" t="s">
        <v>888</v>
      </c>
      <c r="B203" s="381">
        <v>636117</v>
      </c>
      <c r="C203" s="491"/>
    </row>
    <row r="204" spans="1:3" x14ac:dyDescent="0.25">
      <c r="A204" s="252" t="s">
        <v>954</v>
      </c>
      <c r="B204" s="381">
        <v>4000</v>
      </c>
      <c r="C204" s="491"/>
    </row>
    <row r="205" spans="1:3" x14ac:dyDescent="0.25">
      <c r="A205" s="252" t="s">
        <v>353</v>
      </c>
      <c r="B205" s="381">
        <v>110000</v>
      </c>
      <c r="C205" s="491"/>
    </row>
    <row r="206" spans="1:3" x14ac:dyDescent="0.25">
      <c r="A206" s="252" t="s">
        <v>354</v>
      </c>
      <c r="B206" s="381">
        <v>51664.639999999999</v>
      </c>
      <c r="C206" s="491"/>
    </row>
    <row r="207" spans="1:3" x14ac:dyDescent="0.25">
      <c r="A207" s="252" t="s">
        <v>955</v>
      </c>
      <c r="B207" s="491"/>
      <c r="C207" s="381">
        <v>1505</v>
      </c>
    </row>
    <row r="208" spans="1:3" x14ac:dyDescent="0.25">
      <c r="A208" s="252" t="s">
        <v>355</v>
      </c>
      <c r="B208" s="491"/>
      <c r="C208" s="381">
        <v>126124</v>
      </c>
    </row>
    <row r="209" spans="1:3" x14ac:dyDescent="0.25">
      <c r="A209" s="252" t="s">
        <v>956</v>
      </c>
      <c r="B209" s="491"/>
      <c r="C209" s="381">
        <v>84728</v>
      </c>
    </row>
    <row r="210" spans="1:3" x14ac:dyDescent="0.25">
      <c r="A210" s="252" t="s">
        <v>957</v>
      </c>
      <c r="B210" s="491"/>
      <c r="C210" s="381">
        <v>140675</v>
      </c>
    </row>
    <row r="211" spans="1:3" x14ac:dyDescent="0.25">
      <c r="A211" s="252" t="s">
        <v>356</v>
      </c>
      <c r="B211" s="491"/>
      <c r="C211" s="381">
        <v>66886</v>
      </c>
    </row>
    <row r="212" spans="1:3" x14ac:dyDescent="0.25">
      <c r="A212" s="252" t="s">
        <v>357</v>
      </c>
      <c r="B212" s="491"/>
      <c r="C212" s="381">
        <v>56990</v>
      </c>
    </row>
    <row r="213" spans="1:3" x14ac:dyDescent="0.25">
      <c r="A213" s="252" t="s">
        <v>958</v>
      </c>
      <c r="B213" s="491"/>
      <c r="C213" s="381">
        <v>18354</v>
      </c>
    </row>
    <row r="214" spans="1:3" x14ac:dyDescent="0.25">
      <c r="A214" s="252" t="s">
        <v>358</v>
      </c>
      <c r="B214" s="381">
        <v>17455090.5</v>
      </c>
      <c r="C214" s="491"/>
    </row>
    <row r="215" spans="1:3" x14ac:dyDescent="0.25">
      <c r="A215" s="252" t="s">
        <v>359</v>
      </c>
      <c r="B215" s="381">
        <v>1026868</v>
      </c>
      <c r="C215" s="491"/>
    </row>
    <row r="216" spans="1:3" x14ac:dyDescent="0.25">
      <c r="A216" s="252" t="s">
        <v>959</v>
      </c>
      <c r="B216" s="491"/>
      <c r="C216" s="381">
        <v>23469</v>
      </c>
    </row>
    <row r="217" spans="1:3" x14ac:dyDescent="0.25">
      <c r="A217" s="252" t="s">
        <v>360</v>
      </c>
      <c r="B217" s="381">
        <v>2354146</v>
      </c>
      <c r="C217" s="491"/>
    </row>
    <row r="218" spans="1:3" x14ac:dyDescent="0.25">
      <c r="A218" s="252" t="s">
        <v>361</v>
      </c>
      <c r="B218" s="491"/>
      <c r="C218" s="381">
        <v>291460</v>
      </c>
    </row>
    <row r="219" spans="1:3" x14ac:dyDescent="0.25">
      <c r="A219" s="252" t="s">
        <v>960</v>
      </c>
      <c r="B219" s="491"/>
      <c r="C219" s="381">
        <v>121304</v>
      </c>
    </row>
    <row r="220" spans="1:3" x14ac:dyDescent="0.25">
      <c r="A220" s="252" t="s">
        <v>362</v>
      </c>
      <c r="B220" s="381">
        <v>15000</v>
      </c>
      <c r="C220" s="491"/>
    </row>
    <row r="221" spans="1:3" x14ac:dyDescent="0.25">
      <c r="A221" s="252" t="s">
        <v>363</v>
      </c>
      <c r="B221" s="381">
        <v>3501405</v>
      </c>
      <c r="C221" s="491"/>
    </row>
    <row r="222" spans="1:3" x14ac:dyDescent="0.25">
      <c r="A222" s="252" t="s">
        <v>961</v>
      </c>
      <c r="B222" s="381">
        <v>5605</v>
      </c>
      <c r="C222" s="491"/>
    </row>
    <row r="223" spans="1:3" x14ac:dyDescent="0.25">
      <c r="A223" s="252" t="s">
        <v>364</v>
      </c>
      <c r="B223" s="381">
        <v>709287.5</v>
      </c>
      <c r="C223" s="491"/>
    </row>
    <row r="224" spans="1:3" x14ac:dyDescent="0.25">
      <c r="A224" s="252" t="s">
        <v>366</v>
      </c>
      <c r="B224" s="491"/>
      <c r="C224" s="381">
        <v>189428</v>
      </c>
    </row>
    <row r="225" spans="1:3" x14ac:dyDescent="0.25">
      <c r="A225" s="252" t="s">
        <v>367</v>
      </c>
      <c r="B225" s="381">
        <v>114269450.03</v>
      </c>
      <c r="C225" s="491"/>
    </row>
    <row r="226" spans="1:3" x14ac:dyDescent="0.25">
      <c r="A226" s="252" t="s">
        <v>574</v>
      </c>
      <c r="B226" s="491"/>
      <c r="C226" s="381">
        <v>526400</v>
      </c>
    </row>
    <row r="227" spans="1:3" x14ac:dyDescent="0.25">
      <c r="A227" s="252" t="s">
        <v>368</v>
      </c>
      <c r="B227" s="491"/>
      <c r="C227" s="381">
        <v>19799790</v>
      </c>
    </row>
    <row r="228" spans="1:3" x14ac:dyDescent="0.25">
      <c r="A228" s="252" t="s">
        <v>860</v>
      </c>
      <c r="B228" s="491"/>
      <c r="C228" s="381">
        <v>80785714.319999993</v>
      </c>
    </row>
    <row r="229" spans="1:3" x14ac:dyDescent="0.25">
      <c r="A229" s="252" t="s">
        <v>643</v>
      </c>
      <c r="B229" s="381">
        <v>288000</v>
      </c>
      <c r="C229" s="491"/>
    </row>
    <row r="230" spans="1:3" x14ac:dyDescent="0.25">
      <c r="A230" s="252" t="s">
        <v>962</v>
      </c>
      <c r="B230" s="381">
        <v>1029390</v>
      </c>
      <c r="C230" s="491"/>
    </row>
    <row r="231" spans="1:3" x14ac:dyDescent="0.25">
      <c r="A231" s="252" t="s">
        <v>963</v>
      </c>
      <c r="B231" s="491"/>
      <c r="C231" s="381">
        <v>247532.48</v>
      </c>
    </row>
    <row r="232" spans="1:3" x14ac:dyDescent="0.25">
      <c r="A232" s="252" t="s">
        <v>371</v>
      </c>
      <c r="B232" s="381">
        <v>685885</v>
      </c>
      <c r="C232" s="491"/>
    </row>
    <row r="233" spans="1:3" x14ac:dyDescent="0.25">
      <c r="A233" s="252" t="s">
        <v>372</v>
      </c>
      <c r="B233" s="491"/>
      <c r="C233" s="381">
        <v>198000</v>
      </c>
    </row>
    <row r="234" spans="1:3" x14ac:dyDescent="0.25">
      <c r="A234" s="252" t="s">
        <v>374</v>
      </c>
      <c r="B234" s="491"/>
      <c r="C234" s="381">
        <v>95768.8</v>
      </c>
    </row>
    <row r="235" spans="1:3" x14ac:dyDescent="0.25">
      <c r="A235" s="252" t="s">
        <v>376</v>
      </c>
      <c r="B235" s="381">
        <v>7191410.4699999997</v>
      </c>
      <c r="C235" s="491"/>
    </row>
    <row r="236" spans="1:3" x14ac:dyDescent="0.25">
      <c r="A236" s="252" t="s">
        <v>964</v>
      </c>
      <c r="B236" s="491"/>
      <c r="C236" s="381">
        <v>21600</v>
      </c>
    </row>
    <row r="237" spans="1:3" x14ac:dyDescent="0.25">
      <c r="A237" s="252" t="s">
        <v>379</v>
      </c>
      <c r="B237" s="491"/>
      <c r="C237" s="381">
        <v>247072</v>
      </c>
    </row>
    <row r="238" spans="1:3" x14ac:dyDescent="0.25">
      <c r="A238" s="252" t="s">
        <v>965</v>
      </c>
      <c r="B238" s="381">
        <v>191700</v>
      </c>
      <c r="C238" s="491"/>
    </row>
    <row r="239" spans="1:3" x14ac:dyDescent="0.25">
      <c r="A239" s="252" t="s">
        <v>380</v>
      </c>
      <c r="B239" s="381">
        <v>1485184.5</v>
      </c>
      <c r="C239" s="491"/>
    </row>
    <row r="240" spans="1:3" x14ac:dyDescent="0.25">
      <c r="A240" s="252" t="s">
        <v>578</v>
      </c>
      <c r="B240" s="381">
        <v>2749052</v>
      </c>
      <c r="C240" s="491"/>
    </row>
    <row r="241" spans="1:3" x14ac:dyDescent="0.25">
      <c r="A241" s="252" t="s">
        <v>381</v>
      </c>
      <c r="B241" s="381">
        <v>1831650</v>
      </c>
      <c r="C241" s="491"/>
    </row>
    <row r="242" spans="1:3" x14ac:dyDescent="0.25">
      <c r="A242" s="252" t="s">
        <v>382</v>
      </c>
      <c r="B242" s="381">
        <v>400</v>
      </c>
      <c r="C242" s="491"/>
    </row>
    <row r="243" spans="1:3" x14ac:dyDescent="0.25">
      <c r="A243" s="252" t="s">
        <v>877</v>
      </c>
      <c r="B243" s="381">
        <v>3642</v>
      </c>
      <c r="C243" s="491"/>
    </row>
    <row r="244" spans="1:3" x14ac:dyDescent="0.25">
      <c r="A244" s="252" t="s">
        <v>383</v>
      </c>
      <c r="B244" s="381">
        <v>463179.47</v>
      </c>
      <c r="C244" s="491"/>
    </row>
    <row r="245" spans="1:3" x14ac:dyDescent="0.25">
      <c r="A245" s="252" t="s">
        <v>384</v>
      </c>
      <c r="B245" s="381">
        <v>2580021</v>
      </c>
      <c r="C245" s="491"/>
    </row>
    <row r="246" spans="1:3" x14ac:dyDescent="0.25">
      <c r="A246" s="252" t="s">
        <v>385</v>
      </c>
      <c r="B246" s="381">
        <v>10650</v>
      </c>
      <c r="C246" s="491"/>
    </row>
    <row r="247" spans="1:3" x14ac:dyDescent="0.25">
      <c r="A247" s="252" t="s">
        <v>386</v>
      </c>
      <c r="B247" s="381">
        <v>1509698</v>
      </c>
      <c r="C247" s="491"/>
    </row>
    <row r="248" spans="1:3" x14ac:dyDescent="0.25">
      <c r="A248" s="252" t="s">
        <v>387</v>
      </c>
      <c r="B248" s="491"/>
      <c r="C248" s="381">
        <v>80090</v>
      </c>
    </row>
    <row r="249" spans="1:3" x14ac:dyDescent="0.25">
      <c r="A249" s="252" t="s">
        <v>966</v>
      </c>
      <c r="B249" s="491"/>
      <c r="C249" s="381">
        <v>20898</v>
      </c>
    </row>
    <row r="250" spans="1:3" x14ac:dyDescent="0.25">
      <c r="A250" s="252" t="s">
        <v>388</v>
      </c>
      <c r="B250" s="491"/>
      <c r="C250" s="381">
        <v>2087507</v>
      </c>
    </row>
    <row r="251" spans="1:3" x14ac:dyDescent="0.25">
      <c r="A251" s="252" t="s">
        <v>389</v>
      </c>
      <c r="B251" s="381">
        <v>295955.36</v>
      </c>
      <c r="C251" s="491"/>
    </row>
    <row r="252" spans="1:3" x14ac:dyDescent="0.25">
      <c r="A252" s="252" t="s">
        <v>967</v>
      </c>
      <c r="B252" s="491"/>
      <c r="C252" s="381">
        <v>68239</v>
      </c>
    </row>
    <row r="253" spans="1:3" x14ac:dyDescent="0.25">
      <c r="A253" s="252" t="s">
        <v>391</v>
      </c>
      <c r="B253" s="491"/>
      <c r="C253" s="562">
        <v>4361763</v>
      </c>
    </row>
    <row r="254" spans="1:3" x14ac:dyDescent="0.25">
      <c r="A254" s="252" t="s">
        <v>392</v>
      </c>
      <c r="B254" s="381">
        <v>72000</v>
      </c>
      <c r="C254" s="491"/>
    </row>
    <row r="255" spans="1:3" x14ac:dyDescent="0.25">
      <c r="A255" s="252" t="s">
        <v>393</v>
      </c>
      <c r="B255" s="491"/>
      <c r="C255" s="381">
        <v>17820</v>
      </c>
    </row>
    <row r="256" spans="1:3" x14ac:dyDescent="0.25">
      <c r="A256" s="252" t="s">
        <v>394</v>
      </c>
      <c r="B256" s="491"/>
      <c r="C256" s="381">
        <v>84053.17</v>
      </c>
    </row>
    <row r="257" spans="1:3" x14ac:dyDescent="0.25">
      <c r="A257" s="252" t="s">
        <v>395</v>
      </c>
      <c r="B257" s="381">
        <v>59075.06</v>
      </c>
      <c r="C257" s="491"/>
    </row>
    <row r="258" spans="1:3" x14ac:dyDescent="0.25">
      <c r="A258" s="252" t="s">
        <v>396</v>
      </c>
      <c r="B258" s="381">
        <v>2021760</v>
      </c>
      <c r="C258" s="491"/>
    </row>
    <row r="259" spans="1:3" x14ac:dyDescent="0.25">
      <c r="A259" s="252" t="s">
        <v>398</v>
      </c>
      <c r="B259" s="381">
        <v>250566</v>
      </c>
      <c r="C259" s="491"/>
    </row>
    <row r="260" spans="1:3" x14ac:dyDescent="0.25">
      <c r="A260" s="252" t="s">
        <v>399</v>
      </c>
      <c r="B260" s="381">
        <v>157764</v>
      </c>
      <c r="C260" s="491"/>
    </row>
    <row r="261" spans="1:3" x14ac:dyDescent="0.25">
      <c r="A261" s="252" t="s">
        <v>968</v>
      </c>
      <c r="B261" s="491"/>
      <c r="C261" s="381">
        <v>8552</v>
      </c>
    </row>
    <row r="262" spans="1:3" x14ac:dyDescent="0.25">
      <c r="A262" s="252" t="s">
        <v>969</v>
      </c>
      <c r="B262" s="491"/>
      <c r="C262" s="381">
        <v>8178</v>
      </c>
    </row>
    <row r="263" spans="1:3" x14ac:dyDescent="0.25">
      <c r="A263" s="252" t="s">
        <v>402</v>
      </c>
      <c r="B263" s="381">
        <v>954414</v>
      </c>
      <c r="C263" s="491"/>
    </row>
    <row r="264" spans="1:3" x14ac:dyDescent="0.25">
      <c r="A264" s="252" t="s">
        <v>403</v>
      </c>
      <c r="B264" s="381">
        <v>32313799</v>
      </c>
      <c r="C264" s="491"/>
    </row>
    <row r="265" spans="1:3" x14ac:dyDescent="0.25">
      <c r="A265" s="252" t="s">
        <v>140</v>
      </c>
      <c r="B265" s="381">
        <v>1533931</v>
      </c>
      <c r="C265" s="491"/>
    </row>
    <row r="266" spans="1:3" x14ac:dyDescent="0.25">
      <c r="A266" s="252" t="s">
        <v>404</v>
      </c>
      <c r="B266" s="381">
        <v>494265.76</v>
      </c>
      <c r="C266" s="491"/>
    </row>
    <row r="267" spans="1:3" x14ac:dyDescent="0.25">
      <c r="A267" s="252" t="s">
        <v>405</v>
      </c>
      <c r="B267" s="381">
        <v>2388514.29</v>
      </c>
      <c r="C267" s="491"/>
    </row>
    <row r="268" spans="1:3" x14ac:dyDescent="0.25">
      <c r="A268" s="252" t="s">
        <v>406</v>
      </c>
      <c r="B268" s="491"/>
      <c r="C268" s="381">
        <v>8383.9</v>
      </c>
    </row>
    <row r="269" spans="1:3" x14ac:dyDescent="0.25">
      <c r="A269" s="252" t="s">
        <v>646</v>
      </c>
      <c r="B269" s="381">
        <v>1794</v>
      </c>
      <c r="C269" s="491"/>
    </row>
    <row r="270" spans="1:3" x14ac:dyDescent="0.25">
      <c r="A270" s="252" t="s">
        <v>407</v>
      </c>
      <c r="B270" s="381">
        <v>92500</v>
      </c>
      <c r="C270" s="491"/>
    </row>
    <row r="271" spans="1:3" x14ac:dyDescent="0.25">
      <c r="A271" s="252" t="s">
        <v>832</v>
      </c>
      <c r="B271" s="381">
        <v>100000</v>
      </c>
      <c r="C271" s="491"/>
    </row>
    <row r="272" spans="1:3" x14ac:dyDescent="0.25">
      <c r="A272" s="252" t="s">
        <v>408</v>
      </c>
      <c r="B272" s="491"/>
      <c r="C272" s="381">
        <v>215212520.99000001</v>
      </c>
    </row>
    <row r="273" spans="1:3" x14ac:dyDescent="0.25">
      <c r="A273" s="252" t="s">
        <v>409</v>
      </c>
      <c r="B273" s="491"/>
      <c r="C273" s="381">
        <v>26050</v>
      </c>
    </row>
    <row r="274" spans="1:3" x14ac:dyDescent="0.25">
      <c r="A274" s="252" t="s">
        <v>410</v>
      </c>
      <c r="B274" s="381">
        <v>54999</v>
      </c>
      <c r="C274" s="491"/>
    </row>
    <row r="275" spans="1:3" x14ac:dyDescent="0.25">
      <c r="A275" s="252" t="s">
        <v>831</v>
      </c>
      <c r="B275" s="381">
        <v>100270</v>
      </c>
      <c r="C275" s="491"/>
    </row>
    <row r="276" spans="1:3" x14ac:dyDescent="0.25">
      <c r="A276" s="252" t="s">
        <v>411</v>
      </c>
      <c r="B276" s="381">
        <v>905666</v>
      </c>
      <c r="C276" s="491"/>
    </row>
    <row r="277" spans="1:3" x14ac:dyDescent="0.25">
      <c r="A277" s="252" t="s">
        <v>970</v>
      </c>
      <c r="B277" s="491"/>
      <c r="C277" s="381">
        <v>95825</v>
      </c>
    </row>
    <row r="278" spans="1:3" x14ac:dyDescent="0.25">
      <c r="A278" s="252" t="s">
        <v>413</v>
      </c>
      <c r="B278" s="381">
        <v>23011168.609999999</v>
      </c>
      <c r="C278" s="491"/>
    </row>
    <row r="279" spans="1:3" x14ac:dyDescent="0.25">
      <c r="A279" s="252" t="s">
        <v>852</v>
      </c>
      <c r="B279" s="381">
        <v>139881065</v>
      </c>
      <c r="C279" s="491"/>
    </row>
    <row r="280" spans="1:3" x14ac:dyDescent="0.25">
      <c r="A280" s="252" t="s">
        <v>414</v>
      </c>
      <c r="B280" s="491"/>
      <c r="C280" s="381">
        <v>91836</v>
      </c>
    </row>
    <row r="281" spans="1:3" x14ac:dyDescent="0.25">
      <c r="A281" s="252" t="s">
        <v>415</v>
      </c>
      <c r="B281" s="491"/>
      <c r="C281" s="381">
        <v>115279</v>
      </c>
    </row>
    <row r="282" spans="1:3" x14ac:dyDescent="0.25">
      <c r="A282" s="252" t="s">
        <v>416</v>
      </c>
      <c r="B282" s="491"/>
      <c r="C282" s="381">
        <v>108171</v>
      </c>
    </row>
    <row r="283" spans="1:3" x14ac:dyDescent="0.25">
      <c r="A283" s="252" t="s">
        <v>830</v>
      </c>
      <c r="B283" s="381">
        <v>1900</v>
      </c>
      <c r="C283" s="491"/>
    </row>
    <row r="284" spans="1:3" x14ac:dyDescent="0.25">
      <c r="A284" s="252" t="s">
        <v>971</v>
      </c>
      <c r="B284" s="491"/>
      <c r="C284" s="381">
        <v>29524</v>
      </c>
    </row>
    <row r="285" spans="1:3" x14ac:dyDescent="0.25">
      <c r="A285" s="252" t="s">
        <v>417</v>
      </c>
      <c r="B285" s="491"/>
      <c r="C285" s="381">
        <v>36816</v>
      </c>
    </row>
    <row r="286" spans="1:3" x14ac:dyDescent="0.25">
      <c r="A286" s="252" t="s">
        <v>418</v>
      </c>
      <c r="B286" s="381">
        <v>23423400</v>
      </c>
      <c r="C286" s="491"/>
    </row>
    <row r="287" spans="1:3" x14ac:dyDescent="0.25">
      <c r="A287" s="252" t="s">
        <v>419</v>
      </c>
      <c r="B287" s="381">
        <v>20156550.98</v>
      </c>
      <c r="C287" s="491"/>
    </row>
    <row r="288" spans="1:3" x14ac:dyDescent="0.25">
      <c r="A288" s="252" t="s">
        <v>420</v>
      </c>
      <c r="B288" s="381">
        <v>1758835.42</v>
      </c>
      <c r="C288" s="491"/>
    </row>
    <row r="289" spans="1:4" x14ac:dyDescent="0.25">
      <c r="A289" s="252" t="s">
        <v>201</v>
      </c>
      <c r="B289" s="491"/>
      <c r="C289" s="381">
        <v>31530868</v>
      </c>
    </row>
    <row r="290" spans="1:4" x14ac:dyDescent="0.25">
      <c r="A290" s="252" t="s">
        <v>421</v>
      </c>
      <c r="B290" s="381">
        <v>360000</v>
      </c>
      <c r="C290" s="491"/>
    </row>
    <row r="291" spans="1:4" x14ac:dyDescent="0.25">
      <c r="A291" s="252" t="s">
        <v>423</v>
      </c>
      <c r="B291" s="381">
        <v>12391644.800000001</v>
      </c>
      <c r="C291" s="491"/>
    </row>
    <row r="292" spans="1:4" x14ac:dyDescent="0.25">
      <c r="A292" s="252" t="s">
        <v>424</v>
      </c>
      <c r="B292" s="491"/>
      <c r="C292" s="381">
        <v>66358</v>
      </c>
    </row>
    <row r="293" spans="1:4" x14ac:dyDescent="0.25">
      <c r="A293" s="252" t="s">
        <v>426</v>
      </c>
      <c r="B293" s="381">
        <v>21.44</v>
      </c>
      <c r="C293" s="491"/>
    </row>
    <row r="294" spans="1:4" x14ac:dyDescent="0.25">
      <c r="A294" s="252" t="s">
        <v>427</v>
      </c>
      <c r="B294" s="491"/>
      <c r="C294" s="381">
        <v>416</v>
      </c>
    </row>
    <row r="295" spans="1:4" x14ac:dyDescent="0.25">
      <c r="A295" s="252" t="s">
        <v>428</v>
      </c>
      <c r="B295" s="491"/>
      <c r="C295" s="381">
        <v>24894</v>
      </c>
    </row>
    <row r="296" spans="1:4" x14ac:dyDescent="0.25">
      <c r="A296" s="252" t="s">
        <v>202</v>
      </c>
      <c r="B296" s="491"/>
      <c r="C296" s="381">
        <v>12074</v>
      </c>
    </row>
    <row r="297" spans="1:4" x14ac:dyDescent="0.25">
      <c r="A297" s="252" t="s">
        <v>429</v>
      </c>
      <c r="B297" s="381">
        <v>63394867</v>
      </c>
      <c r="C297" s="491"/>
    </row>
    <row r="298" spans="1:4" x14ac:dyDescent="0.25">
      <c r="A298" s="252" t="s">
        <v>972</v>
      </c>
      <c r="B298" s="381">
        <v>190000</v>
      </c>
      <c r="C298" s="491"/>
    </row>
    <row r="299" spans="1:4" x14ac:dyDescent="0.25">
      <c r="A299" s="252" t="s">
        <v>430</v>
      </c>
      <c r="B299" s="491"/>
      <c r="C299" s="381">
        <v>31510</v>
      </c>
    </row>
    <row r="300" spans="1:4" x14ac:dyDescent="0.25">
      <c r="A300" s="252" t="s">
        <v>432</v>
      </c>
      <c r="B300" s="491"/>
      <c r="C300" s="381">
        <v>21000</v>
      </c>
    </row>
    <row r="301" spans="1:4" x14ac:dyDescent="0.25">
      <c r="A301" s="252" t="s">
        <v>434</v>
      </c>
      <c r="B301" s="381">
        <v>98337</v>
      </c>
      <c r="C301" s="491"/>
      <c r="D301" s="733">
        <f>+B301</f>
        <v>98337</v>
      </c>
    </row>
    <row r="302" spans="1:4" x14ac:dyDescent="0.25">
      <c r="A302" s="252" t="s">
        <v>435</v>
      </c>
      <c r="B302" s="381">
        <v>1173753</v>
      </c>
      <c r="C302" s="491"/>
    </row>
    <row r="303" spans="1:4" x14ac:dyDescent="0.25">
      <c r="A303" s="252" t="s">
        <v>436</v>
      </c>
      <c r="B303" s="381">
        <v>24970</v>
      </c>
      <c r="C303" s="491"/>
    </row>
    <row r="304" spans="1:4" x14ac:dyDescent="0.25">
      <c r="A304" s="252" t="s">
        <v>437</v>
      </c>
      <c r="B304" s="491"/>
      <c r="C304" s="381">
        <v>145194733.59999999</v>
      </c>
    </row>
    <row r="305" spans="1:3" x14ac:dyDescent="0.25">
      <c r="A305" s="252" t="s">
        <v>438</v>
      </c>
      <c r="B305" s="491"/>
      <c r="C305" s="381">
        <v>7268083</v>
      </c>
    </row>
    <row r="306" spans="1:3" x14ac:dyDescent="0.25">
      <c r="A306" s="252" t="s">
        <v>439</v>
      </c>
      <c r="B306" s="491"/>
      <c r="C306" s="381">
        <v>170284955.33000001</v>
      </c>
    </row>
    <row r="307" spans="1:3" x14ac:dyDescent="0.25">
      <c r="A307" s="252" t="s">
        <v>442</v>
      </c>
      <c r="B307" s="491"/>
      <c r="C307" s="381">
        <v>619200</v>
      </c>
    </row>
    <row r="308" spans="1:3" x14ac:dyDescent="0.25">
      <c r="A308" s="252" t="s">
        <v>444</v>
      </c>
      <c r="B308" s="491"/>
      <c r="C308" s="381">
        <v>6157245</v>
      </c>
    </row>
    <row r="309" spans="1:3" x14ac:dyDescent="0.25">
      <c r="A309" s="252" t="s">
        <v>445</v>
      </c>
      <c r="B309" s="491"/>
      <c r="C309" s="381">
        <v>590</v>
      </c>
    </row>
    <row r="310" spans="1:3" x14ac:dyDescent="0.25">
      <c r="A310" s="252" t="s">
        <v>446</v>
      </c>
      <c r="B310" s="491"/>
      <c r="C310" s="381">
        <v>3121940</v>
      </c>
    </row>
    <row r="311" spans="1:3" x14ac:dyDescent="0.25">
      <c r="A311" s="252" t="s">
        <v>447</v>
      </c>
      <c r="B311" s="491"/>
      <c r="C311" s="381">
        <v>9153780</v>
      </c>
    </row>
    <row r="312" spans="1:3" x14ac:dyDescent="0.25">
      <c r="A312" s="252" t="s">
        <v>448</v>
      </c>
      <c r="B312" s="491"/>
      <c r="C312" s="381">
        <v>1975910</v>
      </c>
    </row>
    <row r="313" spans="1:3" x14ac:dyDescent="0.25">
      <c r="A313" s="252" t="s">
        <v>449</v>
      </c>
      <c r="B313" s="491"/>
      <c r="C313" s="381">
        <v>9498500</v>
      </c>
    </row>
    <row r="314" spans="1:3" x14ac:dyDescent="0.25">
      <c r="A314" s="252" t="s">
        <v>450</v>
      </c>
      <c r="B314" s="491"/>
      <c r="C314" s="381">
        <v>2036660</v>
      </c>
    </row>
    <row r="315" spans="1:3" x14ac:dyDescent="0.25">
      <c r="A315" s="252" t="s">
        <v>451</v>
      </c>
      <c r="B315" s="491"/>
      <c r="C315" s="381">
        <v>18947710</v>
      </c>
    </row>
    <row r="316" spans="1:3" x14ac:dyDescent="0.25">
      <c r="A316" s="252" t="s">
        <v>452</v>
      </c>
      <c r="B316" s="491"/>
      <c r="C316" s="381">
        <v>9017600</v>
      </c>
    </row>
    <row r="317" spans="1:3" x14ac:dyDescent="0.25">
      <c r="A317" s="252" t="s">
        <v>454</v>
      </c>
      <c r="B317" s="491"/>
      <c r="C317" s="381">
        <v>17546161</v>
      </c>
    </row>
    <row r="318" spans="1:3" x14ac:dyDescent="0.25">
      <c r="A318" s="252" t="s">
        <v>455</v>
      </c>
      <c r="B318" s="491"/>
      <c r="C318" s="381">
        <v>500000</v>
      </c>
    </row>
    <row r="319" spans="1:3" x14ac:dyDescent="0.25">
      <c r="A319" s="252" t="s">
        <v>973</v>
      </c>
      <c r="B319" s="381">
        <v>250000</v>
      </c>
      <c r="C319" s="491"/>
    </row>
    <row r="320" spans="1:3" x14ac:dyDescent="0.25">
      <c r="A320" s="252" t="s">
        <v>456</v>
      </c>
      <c r="B320" s="491"/>
      <c r="C320" s="381">
        <v>378971</v>
      </c>
    </row>
    <row r="321" spans="1:3" x14ac:dyDescent="0.25">
      <c r="A321" s="252" t="s">
        <v>974</v>
      </c>
      <c r="B321" s="491"/>
      <c r="C321" s="491"/>
    </row>
    <row r="322" spans="1:3" x14ac:dyDescent="0.25">
      <c r="A322" s="252" t="s">
        <v>975</v>
      </c>
      <c r="B322" s="491"/>
      <c r="C322" s="381">
        <v>92556</v>
      </c>
    </row>
    <row r="323" spans="1:3" x14ac:dyDescent="0.25">
      <c r="A323" s="252" t="s">
        <v>458</v>
      </c>
      <c r="B323" s="491"/>
      <c r="C323" s="381">
        <v>429992</v>
      </c>
    </row>
    <row r="324" spans="1:3" x14ac:dyDescent="0.25">
      <c r="A324" s="252" t="s">
        <v>828</v>
      </c>
      <c r="B324" s="381">
        <v>25000</v>
      </c>
      <c r="C324" s="491"/>
    </row>
    <row r="325" spans="1:3" x14ac:dyDescent="0.25">
      <c r="A325" s="252" t="s">
        <v>459</v>
      </c>
      <c r="B325" s="381">
        <v>212220</v>
      </c>
      <c r="C325" s="491"/>
    </row>
    <row r="326" spans="1:3" x14ac:dyDescent="0.25">
      <c r="A326" s="252" t="s">
        <v>460</v>
      </c>
      <c r="B326" s="381">
        <v>137664.54</v>
      </c>
      <c r="C326" s="491"/>
    </row>
    <row r="327" spans="1:3" x14ac:dyDescent="0.25">
      <c r="A327" s="252" t="s">
        <v>462</v>
      </c>
      <c r="B327" s="491"/>
      <c r="C327" s="381">
        <v>11640</v>
      </c>
    </row>
    <row r="328" spans="1:3" x14ac:dyDescent="0.25">
      <c r="A328" s="252" t="s">
        <v>647</v>
      </c>
      <c r="B328" s="381">
        <v>237500</v>
      </c>
      <c r="C328" s="491"/>
    </row>
    <row r="329" spans="1:3" x14ac:dyDescent="0.25">
      <c r="A329" s="252" t="s">
        <v>463</v>
      </c>
      <c r="B329" s="381">
        <v>10800</v>
      </c>
      <c r="C329" s="491"/>
    </row>
    <row r="330" spans="1:3" x14ac:dyDescent="0.25">
      <c r="A330" s="252" t="s">
        <v>465</v>
      </c>
      <c r="B330" s="381">
        <v>39499</v>
      </c>
      <c r="C330" s="491"/>
    </row>
    <row r="331" spans="1:3" x14ac:dyDescent="0.25">
      <c r="A331" s="252" t="s">
        <v>467</v>
      </c>
      <c r="B331" s="491"/>
      <c r="C331" s="381">
        <v>68151.600000000006</v>
      </c>
    </row>
    <row r="332" spans="1:3" x14ac:dyDescent="0.25">
      <c r="A332" s="252" t="s">
        <v>976</v>
      </c>
      <c r="B332" s="491"/>
      <c r="C332" s="381">
        <v>71820</v>
      </c>
    </row>
    <row r="333" spans="1:3" x14ac:dyDescent="0.25">
      <c r="A333" s="252" t="s">
        <v>468</v>
      </c>
      <c r="B333" s="381">
        <v>502</v>
      </c>
      <c r="C333" s="491"/>
    </row>
    <row r="334" spans="1:3" x14ac:dyDescent="0.25">
      <c r="A334" s="252" t="s">
        <v>470</v>
      </c>
      <c r="B334" s="381">
        <v>3600</v>
      </c>
      <c r="C334" s="491"/>
    </row>
    <row r="335" spans="1:3" x14ac:dyDescent="0.25">
      <c r="A335" s="252" t="s">
        <v>471</v>
      </c>
      <c r="B335" s="381">
        <v>661712</v>
      </c>
      <c r="C335" s="491"/>
    </row>
    <row r="336" spans="1:3" x14ac:dyDescent="0.25">
      <c r="A336" s="252" t="s">
        <v>472</v>
      </c>
      <c r="B336" s="381">
        <v>11594</v>
      </c>
      <c r="C336" s="491"/>
    </row>
    <row r="337" spans="1:5" x14ac:dyDescent="0.25">
      <c r="A337" s="252" t="s">
        <v>473</v>
      </c>
      <c r="B337" s="381">
        <v>22250</v>
      </c>
      <c r="C337" s="491"/>
    </row>
    <row r="338" spans="1:5" x14ac:dyDescent="0.25">
      <c r="A338" s="252" t="s">
        <v>198</v>
      </c>
      <c r="B338" s="381">
        <v>98473</v>
      </c>
      <c r="C338" s="491"/>
    </row>
    <row r="339" spans="1:5" x14ac:dyDescent="0.25">
      <c r="A339" s="252" t="s">
        <v>474</v>
      </c>
      <c r="B339" s="381">
        <v>1200</v>
      </c>
      <c r="C339" s="491"/>
    </row>
    <row r="340" spans="1:5" x14ac:dyDescent="0.25">
      <c r="A340" s="252" t="s">
        <v>827</v>
      </c>
      <c r="B340" s="381">
        <v>1500</v>
      </c>
      <c r="C340" s="491"/>
    </row>
    <row r="341" spans="1:5" x14ac:dyDescent="0.25">
      <c r="A341" s="252" t="s">
        <v>475</v>
      </c>
      <c r="B341" s="381">
        <v>224238.38</v>
      </c>
      <c r="C341" s="491"/>
    </row>
    <row r="342" spans="1:5" x14ac:dyDescent="0.25">
      <c r="A342" s="252" t="s">
        <v>476</v>
      </c>
      <c r="B342" s="381">
        <v>650000</v>
      </c>
      <c r="C342" s="491"/>
    </row>
    <row r="343" spans="1:5" x14ac:dyDescent="0.25">
      <c r="A343" s="252" t="s">
        <v>477</v>
      </c>
      <c r="B343" s="381">
        <v>2045396.04</v>
      </c>
      <c r="C343" s="491"/>
    </row>
    <row r="344" spans="1:5" x14ac:dyDescent="0.25">
      <c r="A344" s="252" t="s">
        <v>478</v>
      </c>
      <c r="B344" s="381">
        <v>4626725</v>
      </c>
      <c r="C344" s="491"/>
    </row>
    <row r="345" spans="1:5" x14ac:dyDescent="0.25">
      <c r="A345" s="252" t="s">
        <v>590</v>
      </c>
      <c r="B345" s="491"/>
      <c r="C345" s="381">
        <v>62835</v>
      </c>
    </row>
    <row r="346" spans="1:5" x14ac:dyDescent="0.25">
      <c r="A346" s="252" t="s">
        <v>480</v>
      </c>
      <c r="B346" s="381">
        <v>2484803</v>
      </c>
      <c r="C346" s="491"/>
    </row>
    <row r="347" spans="1:5" x14ac:dyDescent="0.25">
      <c r="A347" s="252" t="s">
        <v>481</v>
      </c>
      <c r="B347" s="381">
        <v>1821092</v>
      </c>
      <c r="C347" s="491"/>
    </row>
    <row r="348" spans="1:5" x14ac:dyDescent="0.25">
      <c r="A348" s="252" t="s">
        <v>826</v>
      </c>
      <c r="B348" s="381">
        <v>10000</v>
      </c>
      <c r="C348" s="491"/>
    </row>
    <row r="349" spans="1:5" x14ac:dyDescent="0.25">
      <c r="A349" s="252" t="s">
        <v>482</v>
      </c>
      <c r="B349" s="491"/>
      <c r="C349" s="381">
        <v>602379</v>
      </c>
    </row>
    <row r="350" spans="1:5" x14ac:dyDescent="0.25">
      <c r="A350" s="252" t="s">
        <v>483</v>
      </c>
      <c r="B350" s="381">
        <v>13980.75</v>
      </c>
      <c r="C350" s="491"/>
    </row>
    <row r="351" spans="1:5" x14ac:dyDescent="0.25">
      <c r="A351" s="252" t="s">
        <v>484</v>
      </c>
      <c r="B351" s="381">
        <v>11285077</v>
      </c>
      <c r="C351" s="491"/>
      <c r="E351" s="382"/>
    </row>
    <row r="352" spans="1:5" x14ac:dyDescent="0.25">
      <c r="A352" s="252" t="s">
        <v>485</v>
      </c>
      <c r="B352" s="491"/>
      <c r="C352" s="381">
        <v>2987</v>
      </c>
    </row>
    <row r="353" spans="1:4" x14ac:dyDescent="0.25">
      <c r="A353" s="252" t="s">
        <v>486</v>
      </c>
      <c r="B353" s="491"/>
      <c r="C353" s="381">
        <v>340082</v>
      </c>
    </row>
    <row r="354" spans="1:4" x14ac:dyDescent="0.25">
      <c r="A354" s="252" t="s">
        <v>487</v>
      </c>
      <c r="B354" s="491"/>
      <c r="C354" s="381">
        <v>164850</v>
      </c>
    </row>
    <row r="355" spans="1:4" x14ac:dyDescent="0.25">
      <c r="A355" s="252" t="s">
        <v>488</v>
      </c>
      <c r="B355" s="491"/>
      <c r="C355" s="381">
        <v>743350</v>
      </c>
    </row>
    <row r="356" spans="1:4" x14ac:dyDescent="0.25">
      <c r="A356" s="252" t="s">
        <v>489</v>
      </c>
      <c r="B356" s="491"/>
      <c r="C356" s="381">
        <v>20515</v>
      </c>
    </row>
    <row r="357" spans="1:4" x14ac:dyDescent="0.25">
      <c r="A357" s="252" t="s">
        <v>977</v>
      </c>
      <c r="B357" s="491"/>
      <c r="C357" s="381">
        <v>906196</v>
      </c>
    </row>
    <row r="358" spans="1:4" x14ac:dyDescent="0.25">
      <c r="A358" s="252" t="s">
        <v>490</v>
      </c>
      <c r="B358" s="381">
        <v>11937497.189999999</v>
      </c>
      <c r="C358" s="491"/>
    </row>
    <row r="359" spans="1:4" x14ac:dyDescent="0.25">
      <c r="A359" s="252" t="s">
        <v>491</v>
      </c>
      <c r="B359" s="491"/>
      <c r="C359" s="381">
        <v>1500444</v>
      </c>
    </row>
    <row r="360" spans="1:4" x14ac:dyDescent="0.25">
      <c r="A360" s="252" t="s">
        <v>592</v>
      </c>
      <c r="B360" s="491"/>
      <c r="C360" s="381">
        <v>787650</v>
      </c>
    </row>
    <row r="361" spans="1:4" x14ac:dyDescent="0.25">
      <c r="A361" s="252" t="s">
        <v>492</v>
      </c>
      <c r="B361" s="381">
        <v>326280.62</v>
      </c>
      <c r="C361" s="491"/>
    </row>
    <row r="362" spans="1:4" x14ac:dyDescent="0.25">
      <c r="A362" s="252" t="s">
        <v>493</v>
      </c>
      <c r="B362" s="491"/>
      <c r="C362" s="381">
        <v>602279</v>
      </c>
    </row>
    <row r="363" spans="1:4" x14ac:dyDescent="0.25">
      <c r="A363" s="252" t="s">
        <v>494</v>
      </c>
      <c r="B363" s="381">
        <v>6194750.6600000001</v>
      </c>
      <c r="C363" s="491"/>
    </row>
    <row r="364" spans="1:4" x14ac:dyDescent="0.25">
      <c r="A364" s="252" t="s">
        <v>495</v>
      </c>
      <c r="B364" s="491"/>
      <c r="C364" s="381">
        <v>602279</v>
      </c>
    </row>
    <row r="365" spans="1:4" x14ac:dyDescent="0.25">
      <c r="A365" s="252" t="s">
        <v>496</v>
      </c>
      <c r="B365" s="381">
        <v>5000000</v>
      </c>
      <c r="C365" s="491"/>
      <c r="D365" s="733">
        <f>+B365</f>
        <v>5000000</v>
      </c>
    </row>
    <row r="366" spans="1:4" x14ac:dyDescent="0.25">
      <c r="A366" s="252" t="s">
        <v>497</v>
      </c>
      <c r="B366" s="381">
        <v>1169210</v>
      </c>
      <c r="C366" s="491"/>
    </row>
    <row r="367" spans="1:4" x14ac:dyDescent="0.25">
      <c r="A367" s="252" t="s">
        <v>498</v>
      </c>
      <c r="B367" s="381">
        <v>141640</v>
      </c>
      <c r="C367" s="491"/>
    </row>
    <row r="368" spans="1:4" x14ac:dyDescent="0.25">
      <c r="A368" s="252" t="s">
        <v>499</v>
      </c>
      <c r="B368" s="381">
        <v>351574</v>
      </c>
      <c r="C368" s="491"/>
    </row>
    <row r="369" spans="1:3" x14ac:dyDescent="0.25">
      <c r="A369" s="252" t="s">
        <v>500</v>
      </c>
      <c r="B369" s="381">
        <v>146782.92000000001</v>
      </c>
      <c r="C369" s="491"/>
    </row>
    <row r="370" spans="1:3" x14ac:dyDescent="0.25">
      <c r="A370" s="252" t="s">
        <v>501</v>
      </c>
      <c r="B370" s="381">
        <v>133986</v>
      </c>
      <c r="C370" s="491"/>
    </row>
    <row r="371" spans="1:3" x14ac:dyDescent="0.25">
      <c r="A371" s="252" t="s">
        <v>502</v>
      </c>
      <c r="B371" s="381">
        <v>143000</v>
      </c>
      <c r="C371" s="491"/>
    </row>
    <row r="372" spans="1:3" x14ac:dyDescent="0.25">
      <c r="A372" s="252" t="s">
        <v>505</v>
      </c>
      <c r="B372" s="381">
        <v>220540.26</v>
      </c>
      <c r="C372" s="491"/>
    </row>
    <row r="373" spans="1:3" x14ac:dyDescent="0.25">
      <c r="A373" s="252" t="s">
        <v>506</v>
      </c>
      <c r="B373" s="491"/>
      <c r="C373" s="381">
        <v>0.9</v>
      </c>
    </row>
    <row r="374" spans="1:3" x14ac:dyDescent="0.25">
      <c r="A374" s="252" t="s">
        <v>507</v>
      </c>
      <c r="B374" s="381">
        <v>1540747.54</v>
      </c>
      <c r="C374" s="491"/>
    </row>
    <row r="375" spans="1:3" x14ac:dyDescent="0.25">
      <c r="A375" s="252" t="s">
        <v>509</v>
      </c>
      <c r="B375" s="491"/>
      <c r="C375" s="381">
        <v>148500</v>
      </c>
    </row>
    <row r="376" spans="1:3" x14ac:dyDescent="0.25">
      <c r="A376" s="252" t="s">
        <v>978</v>
      </c>
      <c r="B376" s="491"/>
      <c r="C376" s="381">
        <v>734811</v>
      </c>
    </row>
    <row r="377" spans="1:3" x14ac:dyDescent="0.25">
      <c r="A377" s="252" t="s">
        <v>595</v>
      </c>
      <c r="B377" s="381">
        <v>31860</v>
      </c>
      <c r="C377" s="491"/>
    </row>
    <row r="378" spans="1:3" x14ac:dyDescent="0.25">
      <c r="A378" s="252" t="s">
        <v>979</v>
      </c>
      <c r="B378" s="491"/>
      <c r="C378" s="381">
        <v>5074</v>
      </c>
    </row>
    <row r="379" spans="1:3" x14ac:dyDescent="0.25">
      <c r="A379" s="252" t="s">
        <v>511</v>
      </c>
      <c r="B379" s="491"/>
      <c r="C379" s="381">
        <v>118785</v>
      </c>
    </row>
    <row r="380" spans="1:3" x14ac:dyDescent="0.25">
      <c r="A380" s="252" t="s">
        <v>512</v>
      </c>
      <c r="B380" s="491"/>
      <c r="C380" s="381">
        <v>61950</v>
      </c>
    </row>
    <row r="381" spans="1:3" x14ac:dyDescent="0.25">
      <c r="A381" s="252" t="s">
        <v>980</v>
      </c>
      <c r="B381" s="491"/>
      <c r="C381" s="381">
        <v>59991.199999999997</v>
      </c>
    </row>
    <row r="382" spans="1:3" x14ac:dyDescent="0.25">
      <c r="A382" s="252" t="s">
        <v>513</v>
      </c>
      <c r="B382" s="381">
        <v>1663800</v>
      </c>
      <c r="C382" s="491"/>
    </row>
    <row r="383" spans="1:3" x14ac:dyDescent="0.25">
      <c r="A383" s="252" t="s">
        <v>514</v>
      </c>
      <c r="B383" s="381">
        <v>1323766</v>
      </c>
      <c r="C383" s="491"/>
    </row>
    <row r="384" spans="1:3" x14ac:dyDescent="0.25">
      <c r="A384" s="252" t="s">
        <v>515</v>
      </c>
      <c r="B384" s="381">
        <v>29552693</v>
      </c>
      <c r="C384" s="491"/>
    </row>
    <row r="385" spans="1:3" x14ac:dyDescent="0.25">
      <c r="A385" s="252" t="s">
        <v>516</v>
      </c>
      <c r="B385" s="381">
        <v>236388</v>
      </c>
      <c r="C385" s="491"/>
    </row>
    <row r="386" spans="1:3" x14ac:dyDescent="0.25">
      <c r="A386" s="252" t="s">
        <v>517</v>
      </c>
      <c r="B386" s="381">
        <v>6143625</v>
      </c>
      <c r="C386" s="491"/>
    </row>
    <row r="387" spans="1:3" x14ac:dyDescent="0.25">
      <c r="A387" s="252" t="s">
        <v>518</v>
      </c>
      <c r="B387" s="381">
        <v>277430</v>
      </c>
      <c r="C387" s="491"/>
    </row>
    <row r="388" spans="1:3" x14ac:dyDescent="0.25">
      <c r="A388" s="252" t="s">
        <v>519</v>
      </c>
      <c r="B388" s="381">
        <v>110795.91</v>
      </c>
      <c r="C388" s="491"/>
    </row>
    <row r="389" spans="1:3" x14ac:dyDescent="0.25">
      <c r="A389" s="252" t="s">
        <v>521</v>
      </c>
      <c r="B389" s="381">
        <v>984375</v>
      </c>
      <c r="C389" s="491"/>
    </row>
    <row r="390" spans="1:3" x14ac:dyDescent="0.25">
      <c r="A390" s="252" t="s">
        <v>522</v>
      </c>
      <c r="B390" s="381">
        <v>79758</v>
      </c>
      <c r="C390" s="491"/>
    </row>
    <row r="391" spans="1:3" x14ac:dyDescent="0.25">
      <c r="A391" s="252" t="s">
        <v>523</v>
      </c>
      <c r="B391" s="491"/>
      <c r="C391" s="381">
        <v>440</v>
      </c>
    </row>
    <row r="392" spans="1:3" x14ac:dyDescent="0.25">
      <c r="A392" s="252" t="s">
        <v>524</v>
      </c>
      <c r="B392" s="381">
        <v>3562649.62</v>
      </c>
      <c r="C392" s="491"/>
    </row>
    <row r="393" spans="1:3" x14ac:dyDescent="0.25">
      <c r="A393" s="252" t="s">
        <v>525</v>
      </c>
      <c r="B393" s="381">
        <v>54490</v>
      </c>
      <c r="C393" s="491"/>
    </row>
    <row r="394" spans="1:3" x14ac:dyDescent="0.25">
      <c r="A394" s="252" t="s">
        <v>526</v>
      </c>
      <c r="B394" s="491"/>
      <c r="C394" s="381">
        <v>554045.6</v>
      </c>
    </row>
    <row r="395" spans="1:3" x14ac:dyDescent="0.25">
      <c r="A395" s="252" t="s">
        <v>527</v>
      </c>
      <c r="B395" s="491"/>
      <c r="C395" s="381">
        <v>80000</v>
      </c>
    </row>
    <row r="396" spans="1:3" x14ac:dyDescent="0.25">
      <c r="A396" s="252" t="s">
        <v>528</v>
      </c>
      <c r="B396" s="491"/>
      <c r="C396" s="381">
        <v>700200.29</v>
      </c>
    </row>
    <row r="397" spans="1:3" x14ac:dyDescent="0.25">
      <c r="A397" s="252" t="s">
        <v>529</v>
      </c>
      <c r="B397" s="491"/>
      <c r="C397" s="381">
        <v>26353.37</v>
      </c>
    </row>
    <row r="398" spans="1:3" x14ac:dyDescent="0.25">
      <c r="A398" s="252" t="s">
        <v>530</v>
      </c>
      <c r="B398" s="381">
        <v>194240</v>
      </c>
      <c r="C398" s="491"/>
    </row>
    <row r="399" spans="1:3" x14ac:dyDescent="0.25">
      <c r="A399" s="252" t="s">
        <v>531</v>
      </c>
      <c r="B399" s="491"/>
      <c r="C399" s="381">
        <v>1201500</v>
      </c>
    </row>
    <row r="400" spans="1:3" x14ac:dyDescent="0.25">
      <c r="A400" s="252" t="s">
        <v>981</v>
      </c>
      <c r="B400" s="381">
        <v>7332306</v>
      </c>
      <c r="C400" s="491"/>
    </row>
    <row r="401" spans="1:3" x14ac:dyDescent="0.25">
      <c r="A401" s="264" t="s">
        <v>597</v>
      </c>
      <c r="B401" s="491"/>
      <c r="C401" s="381">
        <v>2887182.05</v>
      </c>
    </row>
    <row r="402" spans="1:3" x14ac:dyDescent="0.25">
      <c r="A402" s="249" t="s">
        <v>203</v>
      </c>
      <c r="B402" s="529">
        <v>861012301.27999997</v>
      </c>
      <c r="C402" s="529">
        <v>861012301.27999997</v>
      </c>
    </row>
  </sheetData>
  <mergeCells count="9">
    <mergeCell ref="B9:C9"/>
    <mergeCell ref="B7:C7"/>
    <mergeCell ref="B8:C8"/>
    <mergeCell ref="A1:C1"/>
    <mergeCell ref="A2:C2"/>
    <mergeCell ref="A3:C3"/>
    <mergeCell ref="A4:C4"/>
    <mergeCell ref="A5:C5"/>
    <mergeCell ref="A6:C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71"/>
  <sheetViews>
    <sheetView topLeftCell="A7" workbookViewId="0">
      <selection activeCell="D122" sqref="D122"/>
    </sheetView>
  </sheetViews>
  <sheetFormatPr defaultRowHeight="15" x14ac:dyDescent="0.25"/>
  <cols>
    <col min="1" max="1" width="44.42578125" bestFit="1" customWidth="1"/>
    <col min="2" max="2" width="14.85546875" bestFit="1" customWidth="1"/>
    <col min="3" max="4" width="15.42578125" bestFit="1" customWidth="1"/>
    <col min="5" max="5" width="14" bestFit="1" customWidth="1"/>
    <col min="6" max="6" width="15.85546875" bestFit="1" customWidth="1"/>
    <col min="7" max="7" width="14.85546875" bestFit="1" customWidth="1"/>
    <col min="8" max="8" width="35.42578125" bestFit="1" customWidth="1"/>
    <col min="9" max="9" width="11.5703125" bestFit="1" customWidth="1"/>
    <col min="10" max="10" width="12.42578125" bestFit="1" customWidth="1"/>
  </cols>
  <sheetData>
    <row r="1" spans="1:13" ht="15.75" x14ac:dyDescent="0.25">
      <c r="A1" s="1705" t="s">
        <v>871</v>
      </c>
      <c r="B1" s="1705"/>
      <c r="C1" s="1705"/>
      <c r="D1" s="485"/>
    </row>
    <row r="2" spans="1:13" ht="15.75" x14ac:dyDescent="0.25">
      <c r="A2" s="1705" t="s">
        <v>199</v>
      </c>
      <c r="B2" s="1705"/>
      <c r="C2" s="1705"/>
      <c r="D2" s="485"/>
    </row>
    <row r="3" spans="1:13" x14ac:dyDescent="0.25">
      <c r="A3" s="1698" t="s">
        <v>870</v>
      </c>
      <c r="B3" s="1698"/>
      <c r="C3" s="1698"/>
      <c r="D3" s="485"/>
    </row>
    <row r="4" spans="1:13" x14ac:dyDescent="0.25">
      <c r="A4" s="1082" t="s">
        <v>197</v>
      </c>
      <c r="B4" s="1699" t="s">
        <v>871</v>
      </c>
      <c r="C4" s="1700"/>
      <c r="D4" s="1700"/>
    </row>
    <row r="5" spans="1:13" x14ac:dyDescent="0.25">
      <c r="A5" s="1083" t="s">
        <v>0</v>
      </c>
      <c r="B5" s="1701" t="s">
        <v>870</v>
      </c>
      <c r="C5" s="1702"/>
      <c r="D5" s="1702"/>
    </row>
    <row r="6" spans="1:13" x14ac:dyDescent="0.25">
      <c r="A6" s="1083" t="s">
        <v>197</v>
      </c>
      <c r="B6" s="486" t="s">
        <v>869</v>
      </c>
      <c r="C6" s="1084" t="s">
        <v>868</v>
      </c>
      <c r="D6" s="486" t="s">
        <v>867</v>
      </c>
    </row>
    <row r="7" spans="1:13" x14ac:dyDescent="0.25">
      <c r="A7" s="1085" t="s">
        <v>197</v>
      </c>
      <c r="B7" s="487" t="s">
        <v>865</v>
      </c>
      <c r="C7" s="368" t="s">
        <v>866</v>
      </c>
      <c r="D7" s="487" t="s">
        <v>865</v>
      </c>
      <c r="L7" t="s">
        <v>1411</v>
      </c>
    </row>
    <row r="8" spans="1:13" ht="16.5" x14ac:dyDescent="0.3">
      <c r="A8" s="253" t="s">
        <v>864</v>
      </c>
      <c r="B8" s="488">
        <v>103329129</v>
      </c>
      <c r="C8" s="489"/>
      <c r="D8" s="488">
        <v>103329129</v>
      </c>
      <c r="H8" s="101" t="s">
        <v>125</v>
      </c>
      <c r="L8">
        <v>7</v>
      </c>
      <c r="M8">
        <v>4410653</v>
      </c>
    </row>
    <row r="9" spans="1:13" x14ac:dyDescent="0.25">
      <c r="A9" s="1086" t="s">
        <v>863</v>
      </c>
      <c r="B9" s="490">
        <v>31530868</v>
      </c>
      <c r="C9" s="491"/>
      <c r="D9" s="490">
        <v>31530868</v>
      </c>
    </row>
    <row r="10" spans="1:13" x14ac:dyDescent="0.25">
      <c r="A10" s="1086" t="s">
        <v>862</v>
      </c>
      <c r="B10" s="490">
        <v>54252100</v>
      </c>
      <c r="C10" s="491"/>
      <c r="D10" s="490">
        <v>54252100</v>
      </c>
    </row>
    <row r="11" spans="1:13" x14ac:dyDescent="0.25">
      <c r="A11" s="1088" t="s">
        <v>454</v>
      </c>
      <c r="B11" s="493">
        <v>17546161</v>
      </c>
      <c r="C11" s="491"/>
      <c r="D11" s="493">
        <v>17546161</v>
      </c>
    </row>
    <row r="12" spans="1:13" x14ac:dyDescent="0.25">
      <c r="A12" s="253" t="s">
        <v>861</v>
      </c>
      <c r="B12" s="494">
        <v>46056658</v>
      </c>
      <c r="C12" s="495">
        <v>59608595.450000003</v>
      </c>
      <c r="D12" s="494">
        <v>105665253.45</v>
      </c>
    </row>
    <row r="13" spans="1:13" x14ac:dyDescent="0.25">
      <c r="A13" s="1088" t="s">
        <v>282</v>
      </c>
      <c r="B13" s="493">
        <v>5226163</v>
      </c>
      <c r="C13" s="496">
        <v>756775.9</v>
      </c>
      <c r="D13" s="493">
        <v>4469387.0999999996</v>
      </c>
      <c r="G13" s="1100">
        <f>+D13-C13</f>
        <v>3712611.1999999997</v>
      </c>
      <c r="H13" s="523">
        <f>+C13</f>
        <v>756775.9</v>
      </c>
      <c r="I13" s="728">
        <f>+G13+H13</f>
        <v>4469387.0999999996</v>
      </c>
      <c r="J13" s="728">
        <f>+G13-H13</f>
        <v>2955835.3</v>
      </c>
    </row>
    <row r="14" spans="1:13" x14ac:dyDescent="0.25">
      <c r="A14" s="1088" t="s">
        <v>368</v>
      </c>
      <c r="B14" s="493">
        <v>37441940</v>
      </c>
      <c r="C14" s="496">
        <v>17642150</v>
      </c>
      <c r="D14" s="493">
        <v>19799790</v>
      </c>
      <c r="G14" s="1100">
        <f>+D14-C14</f>
        <v>2157640</v>
      </c>
      <c r="H14" s="523">
        <f>+C14</f>
        <v>17642150</v>
      </c>
      <c r="I14" s="728">
        <f>+G14+H14</f>
        <v>19799790</v>
      </c>
      <c r="J14" s="728">
        <f>+G14-H14</f>
        <v>-15484510</v>
      </c>
    </row>
    <row r="15" spans="1:13" x14ac:dyDescent="0.25">
      <c r="A15" s="1088" t="s">
        <v>860</v>
      </c>
      <c r="B15" s="497"/>
      <c r="C15" s="490">
        <v>81396076.349999994</v>
      </c>
      <c r="D15" s="493">
        <v>81396076.349999994</v>
      </c>
      <c r="E15" s="728">
        <f>+C13+C14+C16</f>
        <v>21787480.899999999</v>
      </c>
      <c r="G15" s="1100">
        <v>70635543.890000001</v>
      </c>
      <c r="H15" s="523">
        <v>10760532.359999999</v>
      </c>
      <c r="I15" s="728">
        <f>+G15+H15</f>
        <v>81396076.25</v>
      </c>
      <c r="J15" s="728">
        <f>+G15-H15</f>
        <v>59875011.530000001</v>
      </c>
    </row>
    <row r="16" spans="1:13" x14ac:dyDescent="0.25">
      <c r="A16" s="1088" t="s">
        <v>369</v>
      </c>
      <c r="B16" s="493">
        <v>3388555</v>
      </c>
      <c r="C16" s="496">
        <v>3388555</v>
      </c>
      <c r="D16" s="497"/>
      <c r="G16" s="1100">
        <v>0</v>
      </c>
      <c r="H16" s="523">
        <v>0</v>
      </c>
      <c r="I16" s="728">
        <f>+G16+H16</f>
        <v>0</v>
      </c>
      <c r="J16" s="728">
        <f>+G16-H16</f>
        <v>0</v>
      </c>
    </row>
    <row r="17" spans="1:10" x14ac:dyDescent="0.25">
      <c r="A17" s="253" t="s">
        <v>859</v>
      </c>
      <c r="B17" s="494">
        <v>102937641.56999999</v>
      </c>
      <c r="C17" s="498">
        <v>75701399.310000002</v>
      </c>
      <c r="D17" s="494">
        <v>27236242.260000002</v>
      </c>
      <c r="G17" s="1100">
        <f>SUM(G13:G16)</f>
        <v>76505795.090000004</v>
      </c>
      <c r="H17" s="523">
        <f>SUM(H13:H16)</f>
        <v>29159458.259999998</v>
      </c>
      <c r="I17" s="728">
        <v>0</v>
      </c>
      <c r="J17" s="728">
        <v>0</v>
      </c>
    </row>
    <row r="18" spans="1:10" x14ac:dyDescent="0.25">
      <c r="A18" s="1089" t="s">
        <v>858</v>
      </c>
      <c r="B18" s="490">
        <v>4335206.66</v>
      </c>
      <c r="C18" s="496">
        <v>45828.5</v>
      </c>
      <c r="D18" s="490">
        <v>4289378.16</v>
      </c>
      <c r="I18" s="728">
        <f>SUM(I13:I17)</f>
        <v>105665253.34999999</v>
      </c>
      <c r="J18" s="728">
        <f>SUM(J13:J17)</f>
        <v>47346336.829999998</v>
      </c>
    </row>
    <row r="19" spans="1:10" x14ac:dyDescent="0.25">
      <c r="A19" s="296" t="s">
        <v>857</v>
      </c>
      <c r="B19" s="490">
        <v>70475430</v>
      </c>
      <c r="C19" s="496">
        <v>66829475</v>
      </c>
      <c r="D19" s="490">
        <v>3645955</v>
      </c>
    </row>
    <row r="20" spans="1:10" x14ac:dyDescent="0.25">
      <c r="A20" s="1086" t="s">
        <v>856</v>
      </c>
      <c r="B20" s="490">
        <f>13537001.91</f>
        <v>13537001.91</v>
      </c>
      <c r="C20" s="490">
        <v>1164341.8500000001</v>
      </c>
      <c r="D20" s="490">
        <v>14701343.76</v>
      </c>
      <c r="E20" t="s">
        <v>1410</v>
      </c>
      <c r="G20">
        <v>87000000</v>
      </c>
      <c r="H20">
        <v>10760532.359999999</v>
      </c>
    </row>
    <row r="21" spans="1:10" x14ac:dyDescent="0.25">
      <c r="A21" s="1086" t="s">
        <v>855</v>
      </c>
      <c r="B21" s="490">
        <v>1110506</v>
      </c>
      <c r="C21" s="490">
        <v>3267476.34</v>
      </c>
      <c r="D21" s="490">
        <v>4377982.34</v>
      </c>
      <c r="H21">
        <v>92156608.609999999</v>
      </c>
    </row>
    <row r="22" spans="1:10" x14ac:dyDescent="0.25">
      <c r="A22" s="301" t="s">
        <v>273</v>
      </c>
      <c r="B22" s="493">
        <v>13089978</v>
      </c>
      <c r="C22" s="496">
        <v>13089978</v>
      </c>
      <c r="D22" s="497"/>
      <c r="H22">
        <f>+H21-H20</f>
        <v>81396076.25</v>
      </c>
    </row>
    <row r="23" spans="1:10" x14ac:dyDescent="0.25">
      <c r="A23" s="301" t="s">
        <v>351</v>
      </c>
      <c r="B23" s="493">
        <v>352703</v>
      </c>
      <c r="C23" s="496">
        <v>167936</v>
      </c>
      <c r="D23" s="493">
        <v>184767</v>
      </c>
      <c r="E23" s="382">
        <f>+B20+B23</f>
        <v>13889704.91</v>
      </c>
      <c r="F23" s="382">
        <f>+C20-C23</f>
        <v>996405.85000000009</v>
      </c>
      <c r="H23">
        <f>+H22-H20</f>
        <v>70635543.890000001</v>
      </c>
    </row>
    <row r="24" spans="1:10" x14ac:dyDescent="0.25">
      <c r="A24" s="301" t="s">
        <v>417</v>
      </c>
      <c r="B24" s="493">
        <v>36816</v>
      </c>
      <c r="C24" s="491"/>
      <c r="D24" s="493">
        <v>36816</v>
      </c>
    </row>
    <row r="25" spans="1:10" x14ac:dyDescent="0.25">
      <c r="A25" s="253" t="s">
        <v>854</v>
      </c>
      <c r="B25" s="499">
        <v>169811345.49000001</v>
      </c>
      <c r="C25" s="498">
        <v>162896064.87</v>
      </c>
      <c r="D25" s="499">
        <f>SUM(D26:D31)</f>
        <v>454696134.36000001</v>
      </c>
    </row>
    <row r="26" spans="1:10" x14ac:dyDescent="0.25">
      <c r="A26" s="1086" t="s">
        <v>853</v>
      </c>
      <c r="B26" s="496">
        <v>190089376.81999999</v>
      </c>
      <c r="C26" s="496">
        <v>17870264.23</v>
      </c>
      <c r="D26" s="496">
        <v>207959641.05000001</v>
      </c>
    </row>
    <row r="27" spans="1:10" x14ac:dyDescent="0.25">
      <c r="A27" s="1086" t="s">
        <v>133</v>
      </c>
      <c r="B27" s="496">
        <v>32855882.079999998</v>
      </c>
      <c r="C27" s="496">
        <v>5144735.6399999997</v>
      </c>
      <c r="D27" s="496">
        <v>38000617.719999999</v>
      </c>
    </row>
    <row r="28" spans="1:10" x14ac:dyDescent="0.25">
      <c r="A28" s="301" t="s">
        <v>129</v>
      </c>
      <c r="B28" s="493">
        <v>60344362</v>
      </c>
      <c r="C28" s="491"/>
      <c r="D28" s="493">
        <v>60344362</v>
      </c>
    </row>
    <row r="29" spans="1:10" x14ac:dyDescent="0.25">
      <c r="A29" s="301" t="s">
        <v>244</v>
      </c>
      <c r="B29" s="500">
        <v>19038.12</v>
      </c>
      <c r="C29" s="491"/>
      <c r="D29" s="500">
        <v>19038.12</v>
      </c>
    </row>
    <row r="30" spans="1:10" x14ac:dyDescent="0.25">
      <c r="A30" s="301" t="s">
        <v>376</v>
      </c>
      <c r="B30" s="500">
        <v>7191410.4699999997</v>
      </c>
      <c r="C30" s="491"/>
      <c r="D30" s="500">
        <v>7191410.4699999997</v>
      </c>
    </row>
    <row r="31" spans="1:10" x14ac:dyDescent="0.25">
      <c r="A31" s="301" t="s">
        <v>852</v>
      </c>
      <c r="B31" s="497"/>
      <c r="C31" s="496">
        <f>139881065+1300000</f>
        <v>141181065</v>
      </c>
      <c r="D31" s="500">
        <f>C31</f>
        <v>141181065</v>
      </c>
    </row>
    <row r="32" spans="1:10" x14ac:dyDescent="0.25">
      <c r="A32" s="253" t="s">
        <v>851</v>
      </c>
      <c r="B32" s="499">
        <v>302712149.12</v>
      </c>
      <c r="C32" s="495">
        <v>100267022.09</v>
      </c>
      <c r="D32" s="499">
        <v>202445127.03</v>
      </c>
    </row>
    <row r="33" spans="1:7" x14ac:dyDescent="0.25">
      <c r="A33" s="1086" t="s">
        <v>208</v>
      </c>
      <c r="B33" s="515">
        <v>1013265</v>
      </c>
      <c r="C33" s="491"/>
      <c r="D33" s="515">
        <v>1013265</v>
      </c>
    </row>
    <row r="34" spans="1:7" x14ac:dyDescent="0.25">
      <c r="A34" s="1086" t="s">
        <v>850</v>
      </c>
      <c r="B34" s="496">
        <v>62154757</v>
      </c>
      <c r="C34" s="490">
        <v>13674916</v>
      </c>
      <c r="D34" s="496">
        <v>48479841</v>
      </c>
      <c r="E34" s="148">
        <v>40197586</v>
      </c>
      <c r="F34" s="523">
        <f>+D34-E34</f>
        <v>8282255</v>
      </c>
      <c r="G34" t="s">
        <v>1419</v>
      </c>
    </row>
    <row r="35" spans="1:7" x14ac:dyDescent="0.25">
      <c r="A35" s="1086" t="s">
        <v>849</v>
      </c>
      <c r="B35" s="496">
        <v>513200</v>
      </c>
      <c r="C35" s="496">
        <v>25148555</v>
      </c>
      <c r="D35" s="496">
        <v>25661755</v>
      </c>
    </row>
    <row r="36" spans="1:7" x14ac:dyDescent="0.25">
      <c r="A36" s="1086" t="s">
        <v>848</v>
      </c>
      <c r="B36" s="496">
        <v>103778678.18000001</v>
      </c>
      <c r="C36" s="490">
        <v>20399771.870000001</v>
      </c>
      <c r="D36" s="496">
        <v>83378906.310000002</v>
      </c>
    </row>
    <row r="37" spans="1:7" x14ac:dyDescent="0.25">
      <c r="A37" s="1086" t="s">
        <v>847</v>
      </c>
      <c r="B37" s="496">
        <v>387068</v>
      </c>
      <c r="C37" s="490">
        <v>18842</v>
      </c>
      <c r="D37" s="515">
        <v>368226</v>
      </c>
    </row>
    <row r="38" spans="1:7" x14ac:dyDescent="0.25">
      <c r="A38" s="1086" t="s">
        <v>846</v>
      </c>
      <c r="B38" s="496">
        <v>56450901.600000001</v>
      </c>
      <c r="C38" s="490">
        <v>37607514.420000002</v>
      </c>
      <c r="D38" s="515">
        <v>18843387.18</v>
      </c>
    </row>
    <row r="39" spans="1:7" x14ac:dyDescent="0.25">
      <c r="A39" s="1086" t="s">
        <v>845</v>
      </c>
      <c r="B39" s="496">
        <v>976218</v>
      </c>
      <c r="C39" s="490">
        <v>887079.4</v>
      </c>
      <c r="D39" s="496">
        <v>89138.6</v>
      </c>
    </row>
    <row r="40" spans="1:7" x14ac:dyDescent="0.25">
      <c r="A40" s="301" t="s">
        <v>220</v>
      </c>
      <c r="B40" s="500">
        <v>3776</v>
      </c>
      <c r="C40" s="491"/>
      <c r="D40" s="500">
        <v>3776</v>
      </c>
    </row>
    <row r="41" spans="1:7" x14ac:dyDescent="0.25">
      <c r="A41" s="301" t="s">
        <v>140</v>
      </c>
      <c r="B41" s="500">
        <v>1267096</v>
      </c>
      <c r="C41" s="496">
        <v>322749</v>
      </c>
      <c r="D41" s="517">
        <v>1589845</v>
      </c>
    </row>
    <row r="42" spans="1:7" x14ac:dyDescent="0.25">
      <c r="A42" s="301" t="s">
        <v>483</v>
      </c>
      <c r="B42" s="500">
        <v>9820</v>
      </c>
      <c r="C42" s="496">
        <v>4160.75</v>
      </c>
      <c r="D42" s="500">
        <v>13980.75</v>
      </c>
    </row>
    <row r="43" spans="1:7" x14ac:dyDescent="0.25">
      <c r="A43" s="301" t="s">
        <v>844</v>
      </c>
      <c r="B43" s="500">
        <v>36541265</v>
      </c>
      <c r="C43" s="490">
        <v>36541265</v>
      </c>
      <c r="D43" s="497"/>
    </row>
    <row r="44" spans="1:7" x14ac:dyDescent="0.25">
      <c r="A44" s="301" t="s">
        <v>484</v>
      </c>
      <c r="B44" s="500">
        <v>25130000</v>
      </c>
      <c r="C44" s="490">
        <v>13844923</v>
      </c>
      <c r="D44" s="500">
        <v>11285077</v>
      </c>
    </row>
    <row r="45" spans="1:7" x14ac:dyDescent="0.25">
      <c r="A45" s="301" t="s">
        <v>490</v>
      </c>
      <c r="B45" s="500">
        <v>14486104.34</v>
      </c>
      <c r="C45" s="490">
        <v>2768175.15</v>
      </c>
      <c r="D45" s="500">
        <v>11717929.189999999</v>
      </c>
    </row>
    <row r="46" spans="1:7" x14ac:dyDescent="0.25">
      <c r="A46" s="253" t="s">
        <v>623</v>
      </c>
      <c r="B46" s="501"/>
      <c r="C46" s="495">
        <v>330858462.81999999</v>
      </c>
      <c r="D46" s="494">
        <v>330858462.81999999</v>
      </c>
    </row>
    <row r="47" spans="1:7" x14ac:dyDescent="0.25">
      <c r="A47" s="301" t="s">
        <v>437</v>
      </c>
      <c r="B47" s="497"/>
      <c r="C47" s="490">
        <v>145194733.59999999</v>
      </c>
      <c r="D47" s="518">
        <v>145194733.59999999</v>
      </c>
    </row>
    <row r="48" spans="1:7" x14ac:dyDescent="0.25">
      <c r="A48" s="301" t="s">
        <v>438</v>
      </c>
      <c r="B48" s="497"/>
      <c r="C48" s="490">
        <v>7268083</v>
      </c>
      <c r="D48" s="518">
        <v>7268083</v>
      </c>
    </row>
    <row r="49" spans="1:4" x14ac:dyDescent="0.25">
      <c r="A49" s="301" t="s">
        <v>439</v>
      </c>
      <c r="B49" s="497"/>
      <c r="C49" s="490">
        <v>170284955.33000001</v>
      </c>
      <c r="D49" s="518">
        <v>170284955.33000001</v>
      </c>
    </row>
    <row r="50" spans="1:4" x14ac:dyDescent="0.25">
      <c r="A50" s="301" t="s">
        <v>442</v>
      </c>
      <c r="B50" s="497"/>
      <c r="C50" s="490">
        <v>619200</v>
      </c>
      <c r="D50" s="518">
        <v>619200</v>
      </c>
    </row>
    <row r="51" spans="1:4" x14ac:dyDescent="0.25">
      <c r="A51" s="301" t="s">
        <v>444</v>
      </c>
      <c r="B51" s="497"/>
      <c r="C51" s="490">
        <v>6157245</v>
      </c>
      <c r="D51" s="518">
        <v>6157245</v>
      </c>
    </row>
    <row r="52" spans="1:4" x14ac:dyDescent="0.25">
      <c r="A52" s="301" t="s">
        <v>526</v>
      </c>
      <c r="B52" s="497"/>
      <c r="C52" s="490">
        <v>554045.6</v>
      </c>
      <c r="D52" s="518">
        <v>554045.6</v>
      </c>
    </row>
    <row r="53" spans="1:4" x14ac:dyDescent="0.25">
      <c r="A53" s="301" t="s">
        <v>527</v>
      </c>
      <c r="B53" s="497"/>
      <c r="C53" s="490">
        <v>80000</v>
      </c>
      <c r="D53" s="518">
        <v>80000</v>
      </c>
    </row>
    <row r="54" spans="1:4" x14ac:dyDescent="0.25">
      <c r="A54" s="301" t="s">
        <v>528</v>
      </c>
      <c r="B54" s="497"/>
      <c r="C54" s="490">
        <v>700200.29</v>
      </c>
      <c r="D54" s="518">
        <v>700200.29</v>
      </c>
    </row>
    <row r="55" spans="1:4" x14ac:dyDescent="0.25">
      <c r="A55" s="253" t="s">
        <v>843</v>
      </c>
      <c r="B55" s="501"/>
      <c r="C55" s="498">
        <v>23967614.510000002</v>
      </c>
      <c r="D55" s="499">
        <v>23967614.510000002</v>
      </c>
    </row>
    <row r="56" spans="1:4" x14ac:dyDescent="0.25">
      <c r="A56" s="301" t="s">
        <v>842</v>
      </c>
      <c r="B56" s="497"/>
      <c r="C56" s="496">
        <v>9500</v>
      </c>
      <c r="D56" s="517">
        <v>9500</v>
      </c>
    </row>
    <row r="57" spans="1:4" x14ac:dyDescent="0.25">
      <c r="A57" s="492" t="s">
        <v>381</v>
      </c>
      <c r="B57" s="497"/>
      <c r="C57" s="496">
        <v>1831650</v>
      </c>
      <c r="D57" s="517">
        <v>1831650</v>
      </c>
    </row>
    <row r="58" spans="1:4" x14ac:dyDescent="0.25">
      <c r="A58" s="301" t="s">
        <v>413</v>
      </c>
      <c r="B58" s="497"/>
      <c r="C58" s="496">
        <v>22126464.510000002</v>
      </c>
      <c r="D58" s="517">
        <v>22126464.510000002</v>
      </c>
    </row>
    <row r="59" spans="1:4" x14ac:dyDescent="0.25">
      <c r="A59" s="253" t="s">
        <v>629</v>
      </c>
      <c r="B59" s="501"/>
      <c r="C59" s="498">
        <v>46797343.329999998</v>
      </c>
      <c r="D59" s="499">
        <v>46797343.329999998</v>
      </c>
    </row>
    <row r="60" spans="1:4" x14ac:dyDescent="0.25">
      <c r="A60" s="301" t="s">
        <v>225</v>
      </c>
      <c r="B60" s="497"/>
      <c r="C60" s="496">
        <v>244000</v>
      </c>
      <c r="D60" s="517">
        <v>244000</v>
      </c>
    </row>
    <row r="61" spans="1:4" x14ac:dyDescent="0.25">
      <c r="A61" s="301" t="s">
        <v>841</v>
      </c>
      <c r="B61" s="497"/>
      <c r="C61" s="496">
        <v>2700</v>
      </c>
      <c r="D61" s="517">
        <v>2700</v>
      </c>
    </row>
    <row r="62" spans="1:4" x14ac:dyDescent="0.25">
      <c r="A62" s="301" t="s">
        <v>240</v>
      </c>
      <c r="B62" s="497"/>
      <c r="C62" s="496">
        <v>7414000</v>
      </c>
      <c r="D62" s="519">
        <v>7414000</v>
      </c>
    </row>
    <row r="63" spans="1:4" x14ac:dyDescent="0.25">
      <c r="A63" s="301" t="s">
        <v>245</v>
      </c>
      <c r="B63" s="497"/>
      <c r="C63" s="496">
        <v>820089.29</v>
      </c>
      <c r="D63" s="517">
        <v>820089.29</v>
      </c>
    </row>
    <row r="64" spans="1:4" x14ac:dyDescent="0.25">
      <c r="A64" s="301" t="s">
        <v>269</v>
      </c>
      <c r="B64" s="497"/>
      <c r="C64" s="496">
        <v>114548</v>
      </c>
      <c r="D64" s="517">
        <v>114548</v>
      </c>
    </row>
    <row r="65" spans="1:6" x14ac:dyDescent="0.25">
      <c r="A65" s="301" t="s">
        <v>288</v>
      </c>
      <c r="B65" s="497"/>
      <c r="C65" s="496">
        <v>110000</v>
      </c>
      <c r="D65" s="517">
        <v>110000</v>
      </c>
    </row>
    <row r="66" spans="1:6" x14ac:dyDescent="0.25">
      <c r="A66" s="301" t="s">
        <v>293</v>
      </c>
      <c r="B66" s="497"/>
      <c r="C66" s="496">
        <v>557500</v>
      </c>
      <c r="D66" s="517">
        <v>557500</v>
      </c>
    </row>
    <row r="67" spans="1:6" x14ac:dyDescent="0.25">
      <c r="A67" s="301" t="s">
        <v>384</v>
      </c>
      <c r="B67" s="497"/>
      <c r="C67" s="496">
        <v>2580021</v>
      </c>
      <c r="D67" s="517">
        <v>2580021</v>
      </c>
    </row>
    <row r="68" spans="1:6" x14ac:dyDescent="0.25">
      <c r="A68" s="301" t="s">
        <v>385</v>
      </c>
      <c r="B68" s="497"/>
      <c r="C68" s="496">
        <v>10650</v>
      </c>
      <c r="D68" s="517">
        <v>10650</v>
      </c>
    </row>
    <row r="69" spans="1:6" x14ac:dyDescent="0.25">
      <c r="A69" s="301" t="s">
        <v>396</v>
      </c>
      <c r="B69" s="497"/>
      <c r="C69" s="496">
        <v>2021760</v>
      </c>
      <c r="D69" s="517">
        <v>2021760</v>
      </c>
    </row>
    <row r="70" spans="1:6" x14ac:dyDescent="0.25">
      <c r="A70" s="301" t="s">
        <v>477</v>
      </c>
      <c r="B70" s="497"/>
      <c r="C70" s="496">
        <v>2045616.04</v>
      </c>
      <c r="D70" s="517">
        <v>2045616.04</v>
      </c>
    </row>
    <row r="71" spans="1:6" x14ac:dyDescent="0.25">
      <c r="A71" s="301" t="s">
        <v>514</v>
      </c>
      <c r="B71" s="497"/>
      <c r="C71" s="496">
        <v>1323766</v>
      </c>
      <c r="D71" s="519">
        <v>1323766</v>
      </c>
    </row>
    <row r="72" spans="1:6" x14ac:dyDescent="0.25">
      <c r="A72" s="301" t="s">
        <v>515</v>
      </c>
      <c r="B72" s="497"/>
      <c r="C72" s="496">
        <v>29552693</v>
      </c>
      <c r="D72" s="519">
        <v>29552693</v>
      </c>
    </row>
    <row r="73" spans="1:6" x14ac:dyDescent="0.25">
      <c r="A73" s="253" t="s">
        <v>634</v>
      </c>
      <c r="B73" s="501"/>
      <c r="C73" s="495">
        <v>2784718</v>
      </c>
      <c r="D73" s="494">
        <v>2784718</v>
      </c>
    </row>
    <row r="74" spans="1:6" x14ac:dyDescent="0.25">
      <c r="A74" s="301" t="s">
        <v>346</v>
      </c>
      <c r="B74" s="497"/>
      <c r="C74" s="490">
        <v>2516918</v>
      </c>
      <c r="D74" s="518">
        <v>2516918</v>
      </c>
    </row>
    <row r="75" spans="1:6" x14ac:dyDescent="0.25">
      <c r="A75" s="301" t="s">
        <v>348</v>
      </c>
      <c r="B75" s="497"/>
      <c r="C75" s="490">
        <v>267800</v>
      </c>
      <c r="D75" s="518">
        <v>267800</v>
      </c>
    </row>
    <row r="76" spans="1:6" x14ac:dyDescent="0.25">
      <c r="A76" s="253" t="s">
        <v>635</v>
      </c>
      <c r="B76" s="501"/>
      <c r="C76" s="498">
        <v>186005324.09</v>
      </c>
      <c r="D76" s="499">
        <v>186005324.09</v>
      </c>
      <c r="F76" s="306">
        <f>SUM(D78:D101)</f>
        <v>32166923.669999998</v>
      </c>
    </row>
    <row r="77" spans="1:6" x14ac:dyDescent="0.25">
      <c r="A77" s="1086" t="s">
        <v>840</v>
      </c>
      <c r="B77" s="491"/>
      <c r="C77" s="496">
        <v>16275630</v>
      </c>
      <c r="D77" s="515">
        <v>16275630</v>
      </c>
      <c r="F77" s="523">
        <f>SUM(D103:D166)</f>
        <v>142720111.78</v>
      </c>
    </row>
    <row r="78" spans="1:6" x14ac:dyDescent="0.25">
      <c r="A78" s="1086" t="s">
        <v>636</v>
      </c>
      <c r="B78" s="491"/>
      <c r="C78" s="496">
        <v>103747</v>
      </c>
      <c r="D78" s="515">
        <v>103747</v>
      </c>
      <c r="E78" s="523"/>
      <c r="F78" s="523">
        <f>D59</f>
        <v>46797343.329999998</v>
      </c>
    </row>
    <row r="79" spans="1:6" x14ac:dyDescent="0.25">
      <c r="A79" s="301" t="s">
        <v>839</v>
      </c>
      <c r="B79" s="497"/>
      <c r="C79" s="496">
        <v>33120</v>
      </c>
      <c r="D79" s="517">
        <v>33120</v>
      </c>
      <c r="F79" s="1101">
        <f>SUM(F76:F78)</f>
        <v>221684378.77999997</v>
      </c>
    </row>
    <row r="80" spans="1:6" x14ac:dyDescent="0.25">
      <c r="A80" s="301" t="s">
        <v>226</v>
      </c>
      <c r="B80" s="497"/>
      <c r="C80" s="496">
        <v>2636798</v>
      </c>
      <c r="D80" s="517">
        <v>2636798</v>
      </c>
    </row>
    <row r="81" spans="1:5" x14ac:dyDescent="0.25">
      <c r="A81" s="301" t="s">
        <v>242</v>
      </c>
      <c r="B81" s="497"/>
      <c r="C81" s="496">
        <v>183682.38</v>
      </c>
      <c r="D81" s="519">
        <v>183682.38</v>
      </c>
    </row>
    <row r="82" spans="1:5" x14ac:dyDescent="0.25">
      <c r="A82" s="301" t="s">
        <v>243</v>
      </c>
      <c r="B82" s="497"/>
      <c r="C82" s="496">
        <v>42167.53</v>
      </c>
      <c r="D82" s="517">
        <v>42167.53</v>
      </c>
      <c r="E82" s="523"/>
    </row>
    <row r="83" spans="1:5" x14ac:dyDescent="0.25">
      <c r="A83" s="301" t="s">
        <v>250</v>
      </c>
      <c r="B83" s="497"/>
      <c r="C83" s="496">
        <v>180000</v>
      </c>
      <c r="D83" s="517">
        <v>180000</v>
      </c>
    </row>
    <row r="84" spans="1:5" x14ac:dyDescent="0.25">
      <c r="A84" s="301" t="s">
        <v>254</v>
      </c>
      <c r="B84" s="497"/>
      <c r="C84" s="496">
        <v>4861950.41</v>
      </c>
      <c r="D84" s="517">
        <v>4861950.41</v>
      </c>
    </row>
    <row r="85" spans="1:5" x14ac:dyDescent="0.25">
      <c r="A85" s="301" t="s">
        <v>256</v>
      </c>
      <c r="B85" s="497"/>
      <c r="C85" s="496">
        <v>199034.72</v>
      </c>
      <c r="D85" s="517">
        <v>199034.72</v>
      </c>
    </row>
    <row r="86" spans="1:5" x14ac:dyDescent="0.25">
      <c r="A86" s="301" t="s">
        <v>258</v>
      </c>
      <c r="B86" s="497"/>
      <c r="C86" s="496">
        <v>1900</v>
      </c>
      <c r="D86" s="517">
        <v>1900</v>
      </c>
    </row>
    <row r="87" spans="1:5" x14ac:dyDescent="0.25">
      <c r="A87" s="301" t="s">
        <v>261</v>
      </c>
      <c r="B87" s="497"/>
      <c r="C87" s="496">
        <v>2572000</v>
      </c>
      <c r="D87" s="517">
        <v>2572000</v>
      </c>
    </row>
    <row r="88" spans="1:5" x14ac:dyDescent="0.25">
      <c r="A88" s="301" t="s">
        <v>266</v>
      </c>
      <c r="B88" s="497"/>
      <c r="C88" s="496">
        <v>3599587.4</v>
      </c>
      <c r="D88" s="517">
        <v>3599587.4</v>
      </c>
    </row>
    <row r="89" spans="1:5" x14ac:dyDescent="0.25">
      <c r="A89" s="301" t="s">
        <v>271</v>
      </c>
      <c r="B89" s="497"/>
      <c r="C89" s="496">
        <v>131643.9</v>
      </c>
      <c r="D89" s="517">
        <v>131643.9</v>
      </c>
    </row>
    <row r="90" spans="1:5" x14ac:dyDescent="0.25">
      <c r="A90" s="301" t="s">
        <v>272</v>
      </c>
      <c r="B90" s="497"/>
      <c r="C90" s="496"/>
      <c r="D90" s="517"/>
      <c r="E90" s="523"/>
    </row>
    <row r="91" spans="1:5" x14ac:dyDescent="0.25">
      <c r="A91" s="301" t="s">
        <v>274</v>
      </c>
      <c r="B91" s="497"/>
      <c r="C91" s="496">
        <v>1825541</v>
      </c>
      <c r="D91" s="517">
        <v>1825541</v>
      </c>
    </row>
    <row r="92" spans="1:5" x14ac:dyDescent="0.25">
      <c r="A92" s="301" t="s">
        <v>278</v>
      </c>
      <c r="B92" s="497"/>
      <c r="C92" s="496">
        <v>11910.2</v>
      </c>
      <c r="D92" s="517">
        <v>11910.2</v>
      </c>
    </row>
    <row r="93" spans="1:5" x14ac:dyDescent="0.25">
      <c r="A93" s="301" t="s">
        <v>280</v>
      </c>
      <c r="B93" s="497"/>
      <c r="C93" s="496">
        <v>2470922</v>
      </c>
      <c r="D93" s="517">
        <v>2470922</v>
      </c>
    </row>
    <row r="94" spans="1:5" x14ac:dyDescent="0.25">
      <c r="A94" s="301" t="s">
        <v>281</v>
      </c>
      <c r="B94" s="497"/>
      <c r="C94" s="496">
        <v>64124</v>
      </c>
      <c r="D94" s="517">
        <v>64124</v>
      </c>
    </row>
    <row r="95" spans="1:5" x14ac:dyDescent="0.25">
      <c r="A95" s="301" t="s">
        <v>287</v>
      </c>
      <c r="B95" s="497"/>
      <c r="C95" s="496">
        <v>140405.57999999999</v>
      </c>
      <c r="D95" s="517">
        <v>140405.57999999999</v>
      </c>
    </row>
    <row r="96" spans="1:5" x14ac:dyDescent="0.25">
      <c r="A96" s="301" t="s">
        <v>296</v>
      </c>
      <c r="B96" s="497"/>
      <c r="C96" s="496">
        <v>1386039.21</v>
      </c>
      <c r="D96" s="517">
        <v>1386039.21</v>
      </c>
    </row>
    <row r="97" spans="1:5" x14ac:dyDescent="0.25">
      <c r="A97" s="301" t="s">
        <v>153</v>
      </c>
      <c r="B97" s="497"/>
      <c r="C97" s="496">
        <v>10943323.539999999</v>
      </c>
      <c r="D97" s="517">
        <v>10943323.539999999</v>
      </c>
    </row>
    <row r="98" spans="1:5" x14ac:dyDescent="0.25">
      <c r="A98" s="301" t="s">
        <v>299</v>
      </c>
      <c r="B98" s="497"/>
      <c r="C98" s="496">
        <v>129316.7</v>
      </c>
      <c r="D98" s="517">
        <v>129316.7</v>
      </c>
    </row>
    <row r="99" spans="1:5" x14ac:dyDescent="0.25">
      <c r="A99" s="301" t="s">
        <v>640</v>
      </c>
      <c r="B99" s="497"/>
      <c r="C99" s="496">
        <v>30500</v>
      </c>
      <c r="D99" s="517">
        <v>30500</v>
      </c>
      <c r="E99" s="523"/>
    </row>
    <row r="100" spans="1:5" x14ac:dyDescent="0.25">
      <c r="A100" s="301" t="s">
        <v>307</v>
      </c>
      <c r="B100" s="497"/>
      <c r="C100" s="496">
        <v>98050</v>
      </c>
      <c r="D100" s="517">
        <v>98050</v>
      </c>
    </row>
    <row r="101" spans="1:5" x14ac:dyDescent="0.25">
      <c r="A101" s="301" t="s">
        <v>311</v>
      </c>
      <c r="B101" s="497"/>
      <c r="C101" s="496">
        <v>521160.1</v>
      </c>
      <c r="D101" s="517">
        <v>521160.1</v>
      </c>
    </row>
    <row r="102" spans="1:5" x14ac:dyDescent="0.25">
      <c r="A102" s="301" t="s">
        <v>313</v>
      </c>
      <c r="B102" s="497"/>
      <c r="C102" s="1090">
        <v>6457341.3600000003</v>
      </c>
      <c r="D102" s="518">
        <v>6457341.3600000003</v>
      </c>
    </row>
    <row r="103" spans="1:5" x14ac:dyDescent="0.25">
      <c r="A103" s="301" t="s">
        <v>317</v>
      </c>
      <c r="B103" s="497"/>
      <c r="C103" s="496">
        <v>983916.79</v>
      </c>
      <c r="D103" s="517">
        <v>983916.79</v>
      </c>
    </row>
    <row r="104" spans="1:5" x14ac:dyDescent="0.25">
      <c r="A104" s="301" t="s">
        <v>838</v>
      </c>
      <c r="B104" s="497"/>
      <c r="C104" s="496">
        <v>284005</v>
      </c>
      <c r="D104" s="517">
        <v>284005</v>
      </c>
      <c r="E104" s="523"/>
    </row>
    <row r="105" spans="1:5" x14ac:dyDescent="0.25">
      <c r="A105" s="301" t="s">
        <v>323</v>
      </c>
      <c r="B105" s="497"/>
      <c r="C105" s="496">
        <v>519312.8</v>
      </c>
      <c r="D105" s="517">
        <v>519312.8</v>
      </c>
      <c r="E105" s="523"/>
    </row>
    <row r="106" spans="1:5" x14ac:dyDescent="0.25">
      <c r="A106" s="301" t="s">
        <v>837</v>
      </c>
      <c r="B106" s="497"/>
      <c r="C106" s="496">
        <v>28300</v>
      </c>
      <c r="D106" s="517">
        <v>28300</v>
      </c>
    </row>
    <row r="107" spans="1:5" x14ac:dyDescent="0.25">
      <c r="A107" s="301" t="s">
        <v>836</v>
      </c>
      <c r="B107" s="497"/>
      <c r="C107" s="491"/>
      <c r="D107" s="497"/>
    </row>
    <row r="108" spans="1:5" x14ac:dyDescent="0.25">
      <c r="A108" s="301" t="s">
        <v>329</v>
      </c>
      <c r="B108" s="497"/>
      <c r="C108" s="496">
        <v>3361480.94</v>
      </c>
      <c r="D108" s="517">
        <v>3361480.94</v>
      </c>
    </row>
    <row r="109" spans="1:5" x14ac:dyDescent="0.25">
      <c r="A109" s="301" t="s">
        <v>330</v>
      </c>
      <c r="B109" s="497"/>
      <c r="C109" s="496">
        <v>63842.65</v>
      </c>
      <c r="D109" s="517">
        <v>63842.65</v>
      </c>
    </row>
    <row r="110" spans="1:5" x14ac:dyDescent="0.25">
      <c r="A110" s="301" t="s">
        <v>835</v>
      </c>
      <c r="B110" s="497"/>
      <c r="C110" s="496">
        <v>1000</v>
      </c>
      <c r="D110" s="517">
        <v>1000</v>
      </c>
      <c r="E110" s="523"/>
    </row>
    <row r="111" spans="1:5" x14ac:dyDescent="0.25">
      <c r="A111" s="301" t="s">
        <v>338</v>
      </c>
      <c r="B111" s="497"/>
      <c r="C111" s="496">
        <v>41500</v>
      </c>
      <c r="D111" s="517">
        <v>41500</v>
      </c>
      <c r="E111" s="523"/>
    </row>
    <row r="112" spans="1:5" x14ac:dyDescent="0.25">
      <c r="A112" s="301" t="s">
        <v>342</v>
      </c>
      <c r="B112" s="497"/>
      <c r="C112" s="496">
        <v>14065</v>
      </c>
      <c r="D112" s="517">
        <v>14065</v>
      </c>
    </row>
    <row r="113" spans="1:5" x14ac:dyDescent="0.25">
      <c r="A113" s="301" t="s">
        <v>343</v>
      </c>
      <c r="B113" s="497"/>
      <c r="C113" s="496">
        <v>126171.98</v>
      </c>
      <c r="D113" s="517">
        <v>126171.98</v>
      </c>
    </row>
    <row r="114" spans="1:5" x14ac:dyDescent="0.25">
      <c r="A114" s="301" t="s">
        <v>344</v>
      </c>
      <c r="B114" s="497"/>
      <c r="C114" s="496">
        <v>387546.1</v>
      </c>
      <c r="D114" s="517">
        <v>387546.1</v>
      </c>
      <c r="E114" s="523"/>
    </row>
    <row r="115" spans="1:5" x14ac:dyDescent="0.25">
      <c r="A115" s="301" t="s">
        <v>345</v>
      </c>
      <c r="B115" s="497"/>
      <c r="C115" s="496">
        <v>3129488</v>
      </c>
      <c r="D115" s="517">
        <v>3129488</v>
      </c>
      <c r="E115" s="523"/>
    </row>
    <row r="116" spans="1:5" x14ac:dyDescent="0.25">
      <c r="A116" s="301" t="s">
        <v>834</v>
      </c>
      <c r="B116" s="497"/>
      <c r="C116" s="496">
        <v>5041999.0199999996</v>
      </c>
      <c r="D116" s="517">
        <v>5041999.0199999996</v>
      </c>
      <c r="E116" s="523"/>
    </row>
    <row r="117" spans="1:5" x14ac:dyDescent="0.25">
      <c r="A117" s="301" t="s">
        <v>349</v>
      </c>
      <c r="B117" s="497"/>
      <c r="C117" s="496">
        <v>73925</v>
      </c>
      <c r="D117" s="517">
        <v>73925</v>
      </c>
      <c r="E117" s="523"/>
    </row>
    <row r="118" spans="1:5" x14ac:dyDescent="0.25">
      <c r="A118" s="301" t="s">
        <v>350</v>
      </c>
      <c r="B118" s="497"/>
      <c r="C118" s="496">
        <v>2851</v>
      </c>
      <c r="D118" s="517">
        <v>2851</v>
      </c>
    </row>
    <row r="119" spans="1:5" x14ac:dyDescent="0.25">
      <c r="A119" s="301" t="s">
        <v>833</v>
      </c>
      <c r="B119" s="497"/>
      <c r="C119" s="496">
        <v>5094</v>
      </c>
      <c r="D119" s="517">
        <v>5094</v>
      </c>
    </row>
    <row r="120" spans="1:5" x14ac:dyDescent="0.25">
      <c r="A120" s="301" t="s">
        <v>888</v>
      </c>
      <c r="B120" s="497"/>
      <c r="C120" s="496">
        <v>636117</v>
      </c>
      <c r="D120" s="517">
        <v>636117</v>
      </c>
    </row>
    <row r="121" spans="1:5" x14ac:dyDescent="0.25">
      <c r="A121" s="301" t="s">
        <v>354</v>
      </c>
      <c r="B121" s="497"/>
      <c r="C121" s="496">
        <v>59753.46</v>
      </c>
      <c r="D121" s="517">
        <v>59753.46</v>
      </c>
    </row>
    <row r="122" spans="1:5" x14ac:dyDescent="0.25">
      <c r="A122" s="301" t="s">
        <v>362</v>
      </c>
      <c r="B122" s="497"/>
      <c r="C122" s="496">
        <v>15000</v>
      </c>
      <c r="D122" s="517">
        <v>15000</v>
      </c>
    </row>
    <row r="123" spans="1:5" x14ac:dyDescent="0.25">
      <c r="A123" s="301" t="s">
        <v>363</v>
      </c>
      <c r="B123" s="497"/>
      <c r="C123" s="496">
        <v>3501405</v>
      </c>
      <c r="D123" s="517">
        <v>3501405</v>
      </c>
    </row>
    <row r="124" spans="1:5" x14ac:dyDescent="0.25">
      <c r="A124" s="301" t="s">
        <v>643</v>
      </c>
      <c r="B124" s="497"/>
      <c r="C124" s="496">
        <v>288000</v>
      </c>
      <c r="D124" s="517">
        <v>288000</v>
      </c>
    </row>
    <row r="125" spans="1:5" x14ac:dyDescent="0.25">
      <c r="A125" s="301" t="s">
        <v>373</v>
      </c>
      <c r="B125" s="497"/>
      <c r="C125" s="491"/>
      <c r="D125" s="497"/>
    </row>
    <row r="126" spans="1:5" x14ac:dyDescent="0.25">
      <c r="A126" s="301" t="s">
        <v>383</v>
      </c>
      <c r="B126" s="497"/>
      <c r="C126" s="496">
        <v>481638.07</v>
      </c>
      <c r="D126" s="517">
        <v>481638.07</v>
      </c>
    </row>
    <row r="127" spans="1:5" x14ac:dyDescent="0.25">
      <c r="A127" s="301" t="s">
        <v>389</v>
      </c>
      <c r="B127" s="497"/>
      <c r="C127" s="496">
        <v>311345.36</v>
      </c>
      <c r="D127" s="517">
        <v>311345.36</v>
      </c>
      <c r="E127" s="523"/>
    </row>
    <row r="128" spans="1:5" x14ac:dyDescent="0.25">
      <c r="A128" s="301" t="s">
        <v>392</v>
      </c>
      <c r="B128" s="497"/>
      <c r="C128" s="496">
        <v>72000</v>
      </c>
      <c r="D128" s="517">
        <v>72000</v>
      </c>
    </row>
    <row r="129" spans="1:5" x14ac:dyDescent="0.25">
      <c r="A129" s="301" t="s">
        <v>398</v>
      </c>
      <c r="B129" s="497"/>
      <c r="C129" s="496">
        <v>275056</v>
      </c>
      <c r="D129" s="517">
        <v>275056</v>
      </c>
    </row>
    <row r="130" spans="1:5" x14ac:dyDescent="0.25">
      <c r="A130" s="301" t="s">
        <v>399</v>
      </c>
      <c r="B130" s="497"/>
      <c r="C130" s="496">
        <v>157764</v>
      </c>
      <c r="D130" s="517">
        <v>157764</v>
      </c>
    </row>
    <row r="131" spans="1:5" x14ac:dyDescent="0.25">
      <c r="A131" s="301" t="s">
        <v>405</v>
      </c>
      <c r="B131" s="497"/>
      <c r="C131" s="496">
        <v>2419542.29</v>
      </c>
      <c r="D131" s="517">
        <v>2419542.29</v>
      </c>
    </row>
    <row r="132" spans="1:5" x14ac:dyDescent="0.25">
      <c r="A132" s="301" t="s">
        <v>646</v>
      </c>
      <c r="B132" s="497"/>
      <c r="C132" s="496">
        <v>1794</v>
      </c>
      <c r="D132" s="517">
        <v>1794</v>
      </c>
      <c r="E132" s="523"/>
    </row>
    <row r="133" spans="1:5" x14ac:dyDescent="0.25">
      <c r="A133" s="301" t="s">
        <v>407</v>
      </c>
      <c r="B133" s="497"/>
      <c r="C133" s="496">
        <v>92500</v>
      </c>
      <c r="D133" s="517">
        <v>92500</v>
      </c>
    </row>
    <row r="134" spans="1:5" x14ac:dyDescent="0.25">
      <c r="A134" s="301" t="s">
        <v>832</v>
      </c>
      <c r="B134" s="497"/>
      <c r="C134" s="496">
        <v>100000</v>
      </c>
      <c r="D134" s="517">
        <v>100000</v>
      </c>
    </row>
    <row r="135" spans="1:5" x14ac:dyDescent="0.25">
      <c r="A135" s="301" t="s">
        <v>831</v>
      </c>
      <c r="B135" s="497"/>
      <c r="C135" s="496">
        <v>100270</v>
      </c>
      <c r="D135" s="517">
        <v>100270</v>
      </c>
    </row>
    <row r="136" spans="1:5" x14ac:dyDescent="0.25">
      <c r="A136" s="301" t="s">
        <v>411</v>
      </c>
      <c r="B136" s="497"/>
      <c r="C136" s="496">
        <v>905666</v>
      </c>
      <c r="D136" s="517">
        <v>905666</v>
      </c>
    </row>
    <row r="137" spans="1:5" x14ac:dyDescent="0.25">
      <c r="A137" s="301" t="s">
        <v>830</v>
      </c>
      <c r="B137" s="497"/>
      <c r="C137" s="496">
        <v>1900</v>
      </c>
      <c r="D137" s="517">
        <v>1900</v>
      </c>
    </row>
    <row r="138" spans="1:5" x14ac:dyDescent="0.25">
      <c r="A138" s="301" t="s">
        <v>829</v>
      </c>
      <c r="B138" s="497"/>
      <c r="C138" s="491"/>
      <c r="D138" s="497"/>
    </row>
    <row r="139" spans="1:5" x14ac:dyDescent="0.25">
      <c r="A139" s="301" t="s">
        <v>418</v>
      </c>
      <c r="B139" s="497"/>
      <c r="C139" s="496">
        <v>23423400</v>
      </c>
      <c r="D139" s="517">
        <v>23423400</v>
      </c>
      <c r="E139" s="523"/>
    </row>
    <row r="140" spans="1:5" x14ac:dyDescent="0.25">
      <c r="A140" s="301" t="s">
        <v>419</v>
      </c>
      <c r="B140" s="497"/>
      <c r="C140" s="496">
        <v>20156550.98</v>
      </c>
      <c r="D140" s="517">
        <v>20156550.98</v>
      </c>
    </row>
    <row r="141" spans="1:5" x14ac:dyDescent="0.25">
      <c r="A141" s="301" t="s">
        <v>420</v>
      </c>
      <c r="B141" s="497"/>
      <c r="C141" s="496">
        <v>1767435.42</v>
      </c>
      <c r="D141" s="517">
        <v>1767435.42</v>
      </c>
    </row>
    <row r="142" spans="1:5" x14ac:dyDescent="0.25">
      <c r="A142" s="301" t="s">
        <v>421</v>
      </c>
      <c r="B142" s="497"/>
      <c r="C142" s="496">
        <v>360000</v>
      </c>
      <c r="D142" s="517">
        <v>360000</v>
      </c>
    </row>
    <row r="143" spans="1:5" x14ac:dyDescent="0.25">
      <c r="A143" s="492" t="s">
        <v>426</v>
      </c>
      <c r="B143" s="497"/>
      <c r="C143" s="496">
        <v>394.19</v>
      </c>
      <c r="D143" s="517">
        <v>394.19</v>
      </c>
      <c r="E143" s="523"/>
    </row>
    <row r="144" spans="1:5" x14ac:dyDescent="0.25">
      <c r="A144" s="492" t="s">
        <v>429</v>
      </c>
      <c r="B144" s="497"/>
      <c r="C144" s="496">
        <v>63394867</v>
      </c>
      <c r="D144" s="517">
        <v>63394867</v>
      </c>
      <c r="E144" s="523"/>
    </row>
    <row r="145" spans="1:5" x14ac:dyDescent="0.25">
      <c r="A145" s="301" t="s">
        <v>435</v>
      </c>
      <c r="B145" s="497"/>
      <c r="C145" s="496">
        <v>1173753</v>
      </c>
      <c r="D145" s="517">
        <v>1173753</v>
      </c>
    </row>
    <row r="146" spans="1:5" x14ac:dyDescent="0.25">
      <c r="A146" s="301" t="s">
        <v>436</v>
      </c>
      <c r="B146" s="497"/>
      <c r="C146" s="496">
        <v>24970</v>
      </c>
      <c r="D146" s="517">
        <v>24970</v>
      </c>
      <c r="E146" s="523"/>
    </row>
    <row r="147" spans="1:5" x14ac:dyDescent="0.25">
      <c r="A147" s="301" t="s">
        <v>828</v>
      </c>
      <c r="B147" s="497"/>
      <c r="C147" s="496">
        <v>25000</v>
      </c>
      <c r="D147" s="517">
        <v>25000</v>
      </c>
    </row>
    <row r="148" spans="1:5" x14ac:dyDescent="0.25">
      <c r="A148" s="301" t="s">
        <v>647</v>
      </c>
      <c r="B148" s="497"/>
      <c r="C148" s="496">
        <v>237500</v>
      </c>
      <c r="D148" s="517">
        <v>237500</v>
      </c>
    </row>
    <row r="149" spans="1:5" x14ac:dyDescent="0.25">
      <c r="A149" s="301" t="s">
        <v>463</v>
      </c>
      <c r="B149" s="497"/>
      <c r="C149" s="496">
        <v>10800</v>
      </c>
      <c r="D149" s="517">
        <v>10800</v>
      </c>
    </row>
    <row r="150" spans="1:5" x14ac:dyDescent="0.25">
      <c r="A150" s="301" t="s">
        <v>471</v>
      </c>
      <c r="B150" s="497"/>
      <c r="C150" s="496">
        <v>661712</v>
      </c>
      <c r="D150" s="517">
        <v>661712</v>
      </c>
      <c r="E150" s="523"/>
    </row>
    <row r="151" spans="1:5" x14ac:dyDescent="0.25">
      <c r="A151" s="301" t="s">
        <v>472</v>
      </c>
      <c r="B151" s="497"/>
      <c r="C151" s="496">
        <v>11594</v>
      </c>
      <c r="D151" s="517">
        <v>11594</v>
      </c>
      <c r="E151" s="523"/>
    </row>
    <row r="152" spans="1:5" x14ac:dyDescent="0.25">
      <c r="A152" s="301" t="s">
        <v>474</v>
      </c>
      <c r="B152" s="497"/>
      <c r="C152" s="496">
        <v>1200</v>
      </c>
      <c r="D152" s="517">
        <v>1200</v>
      </c>
      <c r="E152" s="523"/>
    </row>
    <row r="153" spans="1:5" x14ac:dyDescent="0.25">
      <c r="A153" s="301" t="s">
        <v>827</v>
      </c>
      <c r="B153" s="497"/>
      <c r="C153" s="496">
        <v>1500</v>
      </c>
      <c r="D153" s="517">
        <v>1500</v>
      </c>
      <c r="E153" s="523"/>
    </row>
    <row r="154" spans="1:5" x14ac:dyDescent="0.25">
      <c r="A154" s="301" t="s">
        <v>475</v>
      </c>
      <c r="B154" s="497"/>
      <c r="C154" s="496">
        <v>224238.38</v>
      </c>
      <c r="D154" s="517">
        <v>224238.38</v>
      </c>
    </row>
    <row r="155" spans="1:5" x14ac:dyDescent="0.25">
      <c r="A155" s="301" t="s">
        <v>478</v>
      </c>
      <c r="B155" s="497"/>
      <c r="C155" s="496">
        <v>4854600</v>
      </c>
      <c r="D155" s="517">
        <v>4854600</v>
      </c>
    </row>
    <row r="156" spans="1:5" x14ac:dyDescent="0.25">
      <c r="A156" s="301" t="s">
        <v>826</v>
      </c>
      <c r="B156" s="497"/>
      <c r="C156" s="496">
        <v>10000</v>
      </c>
      <c r="D156" s="517">
        <v>10000</v>
      </c>
    </row>
    <row r="157" spans="1:5" x14ac:dyDescent="0.25">
      <c r="A157" s="301" t="s">
        <v>492</v>
      </c>
      <c r="B157" s="497"/>
      <c r="C157" s="496">
        <v>335978.02</v>
      </c>
      <c r="D157" s="517">
        <v>335978.02</v>
      </c>
    </row>
    <row r="158" spans="1:5" x14ac:dyDescent="0.25">
      <c r="A158" s="301" t="s">
        <v>498</v>
      </c>
      <c r="B158" s="497"/>
      <c r="C158" s="496">
        <v>141640</v>
      </c>
      <c r="D158" s="517">
        <v>141640</v>
      </c>
    </row>
    <row r="159" spans="1:5" x14ac:dyDescent="0.25">
      <c r="A159" s="301" t="s">
        <v>499</v>
      </c>
      <c r="B159" s="497"/>
      <c r="C159" s="496">
        <v>351574</v>
      </c>
      <c r="D159" s="517">
        <v>351574</v>
      </c>
    </row>
    <row r="160" spans="1:5" x14ac:dyDescent="0.25">
      <c r="A160" s="301" t="s">
        <v>500</v>
      </c>
      <c r="B160" s="497"/>
      <c r="C160" s="496">
        <v>1046782.92</v>
      </c>
      <c r="D160" s="517">
        <v>1046782.92</v>
      </c>
    </row>
    <row r="161" spans="1:5" x14ac:dyDescent="0.25">
      <c r="A161" s="301" t="s">
        <v>501</v>
      </c>
      <c r="B161" s="497"/>
      <c r="C161" s="496">
        <v>133986</v>
      </c>
      <c r="D161" s="517">
        <v>133986</v>
      </c>
    </row>
    <row r="162" spans="1:5" x14ac:dyDescent="0.25">
      <c r="A162" s="301" t="s">
        <v>516</v>
      </c>
      <c r="B162" s="497"/>
      <c r="C162" s="496">
        <v>236388</v>
      </c>
      <c r="D162" s="517">
        <v>236388</v>
      </c>
      <c r="E162" s="523"/>
    </row>
    <row r="163" spans="1:5" x14ac:dyDescent="0.25">
      <c r="A163" s="301" t="s">
        <v>518</v>
      </c>
      <c r="B163" s="497"/>
      <c r="C163" s="496">
        <v>277430</v>
      </c>
      <c r="D163" s="517">
        <v>277430</v>
      </c>
    </row>
    <row r="164" spans="1:5" x14ac:dyDescent="0.25">
      <c r="A164" s="301" t="s">
        <v>519</v>
      </c>
      <c r="B164" s="497"/>
      <c r="C164" s="496">
        <v>123838.41</v>
      </c>
      <c r="D164" s="517">
        <v>123838.41</v>
      </c>
    </row>
    <row r="165" spans="1:5" x14ac:dyDescent="0.25">
      <c r="A165" s="301" t="s">
        <v>525</v>
      </c>
      <c r="B165" s="497"/>
      <c r="C165" s="496">
        <v>54490</v>
      </c>
      <c r="D165" s="517">
        <v>54490</v>
      </c>
      <c r="E165" s="523"/>
    </row>
    <row r="166" spans="1:5" x14ac:dyDescent="0.25">
      <c r="A166" s="301" t="s">
        <v>530</v>
      </c>
      <c r="B166" s="497"/>
      <c r="C166" s="496">
        <v>194240</v>
      </c>
      <c r="D166" s="517">
        <v>194240</v>
      </c>
    </row>
    <row r="167" spans="1:5" x14ac:dyDescent="0.25">
      <c r="A167" s="253" t="s">
        <v>825</v>
      </c>
      <c r="B167" s="494">
        <v>4318647</v>
      </c>
      <c r="C167" s="502"/>
      <c r="D167" s="494">
        <v>4318647</v>
      </c>
    </row>
    <row r="168" spans="1:5" x14ac:dyDescent="0.25">
      <c r="A168" s="301" t="s">
        <v>283</v>
      </c>
      <c r="B168" s="493">
        <v>4318647</v>
      </c>
      <c r="C168" s="491"/>
      <c r="D168" s="493">
        <v>4318647</v>
      </c>
    </row>
    <row r="169" spans="1:5" x14ac:dyDescent="0.25">
      <c r="A169" s="252" t="s">
        <v>408</v>
      </c>
      <c r="B169" s="490">
        <v>215881386.99000001</v>
      </c>
      <c r="C169" s="500">
        <v>668866</v>
      </c>
      <c r="D169" s="490">
        <v>215212520.99000001</v>
      </c>
    </row>
    <row r="170" spans="1:5" x14ac:dyDescent="0.25">
      <c r="A170" s="264" t="s">
        <v>597</v>
      </c>
      <c r="B170" s="490">
        <v>32.049999999999997</v>
      </c>
      <c r="C170" s="493">
        <v>2517813.75</v>
      </c>
      <c r="D170" s="490">
        <v>2517845.7999999998</v>
      </c>
    </row>
    <row r="171" spans="1:5" x14ac:dyDescent="0.25">
      <c r="A171" s="1087" t="s">
        <v>203</v>
      </c>
      <c r="B171" s="503"/>
      <c r="C171" s="504"/>
      <c r="D171" s="503"/>
    </row>
  </sheetData>
  <mergeCells count="5">
    <mergeCell ref="A1:C1"/>
    <mergeCell ref="A2:C2"/>
    <mergeCell ref="A3:C3"/>
    <mergeCell ref="B4:D4"/>
    <mergeCell ref="B5:D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27"/>
  <sheetViews>
    <sheetView workbookViewId="0">
      <selection activeCell="E25" sqref="E25"/>
    </sheetView>
  </sheetViews>
  <sheetFormatPr defaultRowHeight="15" x14ac:dyDescent="0.25"/>
  <cols>
    <col min="1" max="1" width="39.5703125" bestFit="1" customWidth="1"/>
    <col min="2" max="2" width="15.5703125" bestFit="1" customWidth="1"/>
    <col min="3" max="3" width="15" customWidth="1"/>
    <col min="4" max="4" width="13.42578125" customWidth="1"/>
    <col min="5" max="5" width="16.5703125" customWidth="1"/>
  </cols>
  <sheetData>
    <row r="1" spans="1:5" x14ac:dyDescent="0.25">
      <c r="A1" s="1746" t="s">
        <v>750</v>
      </c>
      <c r="B1" s="1746"/>
      <c r="C1" s="1746"/>
      <c r="D1" s="1746"/>
      <c r="E1" s="1746"/>
    </row>
    <row r="2" spans="1:5" x14ac:dyDescent="0.25">
      <c r="A2" s="366"/>
      <c r="B2" s="1747" t="s">
        <v>751</v>
      </c>
      <c r="C2" s="1747"/>
      <c r="D2" s="1747"/>
      <c r="E2" s="1747"/>
    </row>
    <row r="3" spans="1:5" x14ac:dyDescent="0.25">
      <c r="A3" s="367" t="s">
        <v>752</v>
      </c>
      <c r="B3" s="366" t="s">
        <v>753</v>
      </c>
      <c r="C3" s="366" t="s">
        <v>754</v>
      </c>
      <c r="D3" s="366" t="s">
        <v>755</v>
      </c>
      <c r="E3" s="366" t="s">
        <v>756</v>
      </c>
    </row>
    <row r="4" spans="1:5" x14ac:dyDescent="0.25">
      <c r="A4" s="367" t="s">
        <v>197</v>
      </c>
      <c r="B4" s="368"/>
      <c r="C4" s="368"/>
      <c r="D4" s="368"/>
      <c r="E4" s="368"/>
    </row>
    <row r="5" spans="1:5" x14ac:dyDescent="0.25">
      <c r="A5" s="369" t="s">
        <v>757</v>
      </c>
      <c r="B5" s="370">
        <v>703609</v>
      </c>
      <c r="C5" s="370">
        <v>703609</v>
      </c>
      <c r="D5" s="368"/>
      <c r="E5" s="368"/>
    </row>
    <row r="6" spans="1:5" x14ac:dyDescent="0.25">
      <c r="A6" s="371" t="s">
        <v>227</v>
      </c>
      <c r="B6" s="370">
        <v>41040</v>
      </c>
      <c r="C6" s="370">
        <v>41040</v>
      </c>
      <c r="D6" s="368"/>
      <c r="E6" s="368"/>
    </row>
    <row r="7" spans="1:5" x14ac:dyDescent="0.25">
      <c r="A7" s="372" t="s">
        <v>228</v>
      </c>
      <c r="B7" s="373">
        <v>4151510</v>
      </c>
      <c r="C7" s="374">
        <f>B7-D7</f>
        <v>4018405.48</v>
      </c>
      <c r="D7" s="373">
        <v>133104.51999999999</v>
      </c>
      <c r="E7" s="375"/>
    </row>
    <row r="8" spans="1:5" x14ac:dyDescent="0.25">
      <c r="A8" s="372" t="s">
        <v>229</v>
      </c>
      <c r="B8" s="373">
        <v>28667071</v>
      </c>
      <c r="C8" s="373">
        <v>4738162</v>
      </c>
      <c r="D8" s="373">
        <v>14668721.25</v>
      </c>
      <c r="E8" s="373">
        <v>9260187.75</v>
      </c>
    </row>
    <row r="9" spans="1:5" x14ac:dyDescent="0.25">
      <c r="A9" s="372" t="s">
        <v>233</v>
      </c>
      <c r="B9" s="373">
        <v>5467397</v>
      </c>
      <c r="C9" s="373">
        <v>4132792.5</v>
      </c>
      <c r="D9" s="373">
        <f>B9-C9</f>
        <v>1334604.5</v>
      </c>
      <c r="E9" s="376"/>
    </row>
    <row r="10" spans="1:5" x14ac:dyDescent="0.25">
      <c r="A10" s="372" t="s">
        <v>237</v>
      </c>
      <c r="B10" s="373">
        <v>8370841</v>
      </c>
      <c r="C10" s="374">
        <v>8370841</v>
      </c>
      <c r="D10" s="373"/>
      <c r="E10" s="374"/>
    </row>
    <row r="11" spans="1:5" x14ac:dyDescent="0.25">
      <c r="A11" s="372" t="s">
        <v>275</v>
      </c>
      <c r="B11" s="373">
        <v>5550915</v>
      </c>
      <c r="C11" s="374">
        <v>4345707.75</v>
      </c>
      <c r="D11" s="370">
        <v>0</v>
      </c>
      <c r="E11" s="374">
        <v>1205207.25</v>
      </c>
    </row>
    <row r="12" spans="1:5" x14ac:dyDescent="0.25">
      <c r="A12" s="372" t="s">
        <v>290</v>
      </c>
      <c r="B12" s="373">
        <v>8351405</v>
      </c>
      <c r="C12" s="374">
        <f>B12-D12</f>
        <v>6536750.1200000001</v>
      </c>
      <c r="D12" s="370">
        <v>1814654.88</v>
      </c>
      <c r="E12" s="375"/>
    </row>
    <row r="13" spans="1:5" x14ac:dyDescent="0.25">
      <c r="A13" s="371" t="s">
        <v>303</v>
      </c>
      <c r="B13" s="373">
        <v>1478270</v>
      </c>
      <c r="C13" s="374">
        <v>1478270</v>
      </c>
      <c r="D13" s="377"/>
      <c r="E13" s="375"/>
    </row>
    <row r="14" spans="1:5" x14ac:dyDescent="0.25">
      <c r="A14" s="372" t="s">
        <v>304</v>
      </c>
      <c r="B14" s="373">
        <v>516200</v>
      </c>
      <c r="C14" s="374">
        <v>0</v>
      </c>
      <c r="D14" s="370">
        <v>516200</v>
      </c>
      <c r="E14" s="375"/>
    </row>
    <row r="15" spans="1:5" x14ac:dyDescent="0.25">
      <c r="A15" s="372" t="s">
        <v>365</v>
      </c>
      <c r="B15" s="373">
        <v>7647048</v>
      </c>
      <c r="C15" s="374">
        <v>7647048</v>
      </c>
      <c r="D15" s="377"/>
      <c r="E15" s="375"/>
    </row>
    <row r="16" spans="1:5" x14ac:dyDescent="0.25">
      <c r="A16" s="372" t="s">
        <v>321</v>
      </c>
      <c r="B16" s="373">
        <v>2419590</v>
      </c>
      <c r="C16" s="374">
        <v>2419590</v>
      </c>
      <c r="D16" s="373"/>
      <c r="E16" s="374"/>
    </row>
    <row r="17" spans="1:6" x14ac:dyDescent="0.25">
      <c r="A17" s="371" t="s">
        <v>380</v>
      </c>
      <c r="B17" s="373">
        <v>3687120</v>
      </c>
      <c r="C17" s="374">
        <v>3687120</v>
      </c>
      <c r="D17" s="373"/>
      <c r="E17" s="374"/>
    </row>
    <row r="18" spans="1:6" x14ac:dyDescent="0.25">
      <c r="A18" s="372" t="s">
        <v>371</v>
      </c>
      <c r="B18" s="373">
        <v>9047081</v>
      </c>
      <c r="C18" s="374">
        <v>9047081</v>
      </c>
      <c r="D18" s="377"/>
      <c r="E18" s="374"/>
    </row>
    <row r="19" spans="1:6" x14ac:dyDescent="0.25">
      <c r="A19" s="372" t="s">
        <v>423</v>
      </c>
      <c r="B19" s="373">
        <v>15419974</v>
      </c>
      <c r="C19" s="376">
        <v>15419974</v>
      </c>
      <c r="D19" s="370"/>
      <c r="E19" s="375"/>
    </row>
    <row r="20" spans="1:6" x14ac:dyDescent="0.25">
      <c r="A20" s="372" t="s">
        <v>425</v>
      </c>
      <c r="B20" s="373">
        <v>1040700</v>
      </c>
      <c r="C20" s="376">
        <v>1040700</v>
      </c>
      <c r="D20" s="370"/>
      <c r="E20" s="375"/>
    </row>
    <row r="21" spans="1:6" x14ac:dyDescent="0.25">
      <c r="A21" s="372" t="s">
        <v>459</v>
      </c>
      <c r="B21" s="373">
        <v>1198735</v>
      </c>
      <c r="C21" s="374">
        <v>1198735</v>
      </c>
      <c r="D21" s="370"/>
      <c r="E21" s="375"/>
    </row>
    <row r="22" spans="1:6" x14ac:dyDescent="0.25">
      <c r="A22" s="367" t="s">
        <v>203</v>
      </c>
      <c r="B22" s="378">
        <f>SUM(B5:B21)</f>
        <v>103758506</v>
      </c>
      <c r="C22" s="378">
        <f>SUM(C5:C21)</f>
        <v>74825825.849999994</v>
      </c>
      <c r="D22" s="378">
        <f>SUM(D7:D21)</f>
        <v>18467285.149999999</v>
      </c>
      <c r="E22" s="379">
        <f>SUM(E7:E21)</f>
        <v>10465395</v>
      </c>
    </row>
    <row r="23" spans="1:6" x14ac:dyDescent="0.25">
      <c r="A23" s="372" t="s">
        <v>758</v>
      </c>
      <c r="B23" s="373">
        <v>374</v>
      </c>
      <c r="C23" s="380"/>
      <c r="D23" s="380"/>
      <c r="E23" s="380"/>
      <c r="F23" t="s">
        <v>759</v>
      </c>
    </row>
    <row r="24" spans="1:6" x14ac:dyDescent="0.25">
      <c r="B24" s="381"/>
    </row>
    <row r="25" spans="1:6" x14ac:dyDescent="0.25">
      <c r="B25">
        <v>103758880</v>
      </c>
      <c r="D25" s="382">
        <f>C22+D22</f>
        <v>93293111</v>
      </c>
      <c r="E25" s="382">
        <f>D25+E22</f>
        <v>103758506</v>
      </c>
    </row>
    <row r="26" spans="1:6" x14ac:dyDescent="0.25">
      <c r="B26" s="382"/>
    </row>
    <row r="27" spans="1:6" x14ac:dyDescent="0.25">
      <c r="A27" t="s">
        <v>760</v>
      </c>
      <c r="B27" s="383">
        <f>B25-B22</f>
        <v>374</v>
      </c>
    </row>
  </sheetData>
  <mergeCells count="2">
    <mergeCell ref="A1:E1"/>
    <mergeCell ref="B2:E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N92"/>
  <sheetViews>
    <sheetView topLeftCell="F1" workbookViewId="0">
      <selection activeCell="M15" sqref="M15"/>
    </sheetView>
  </sheetViews>
  <sheetFormatPr defaultColWidth="9" defaultRowHeight="15" x14ac:dyDescent="0.25"/>
  <cols>
    <col min="1" max="1" width="17" style="352" bestFit="1" customWidth="1"/>
    <col min="2" max="2" width="29.5703125" style="352" bestFit="1" customWidth="1"/>
    <col min="3" max="3" width="13.5703125" style="352" bestFit="1" customWidth="1"/>
    <col min="4" max="4" width="15.5703125" style="352" bestFit="1" customWidth="1"/>
    <col min="5" max="5" width="22.42578125" style="352" bestFit="1" customWidth="1"/>
    <col min="6" max="6" width="19.5703125" style="352" bestFit="1" customWidth="1"/>
    <col min="7" max="10" width="9" style="352"/>
    <col min="11" max="11" width="10.140625" style="352" bestFit="1" customWidth="1"/>
    <col min="12" max="12" width="20.5703125" style="352" bestFit="1" customWidth="1"/>
    <col min="13" max="13" width="28" style="352" bestFit="1" customWidth="1"/>
    <col min="14" max="14" width="27.140625" style="352" bestFit="1" customWidth="1"/>
    <col min="15" max="16384" width="9" style="352"/>
  </cols>
  <sheetData>
    <row r="2" spans="1:14" x14ac:dyDescent="0.25">
      <c r="A2" s="350" t="s">
        <v>733</v>
      </c>
      <c r="B2" s="350" t="s">
        <v>734</v>
      </c>
      <c r="C2" s="350" t="s">
        <v>102</v>
      </c>
      <c r="D2" s="350" t="s">
        <v>735</v>
      </c>
      <c r="E2" s="350" t="s">
        <v>736</v>
      </c>
      <c r="F2" s="351" t="s">
        <v>737</v>
      </c>
    </row>
    <row r="3" spans="1:14" x14ac:dyDescent="0.25">
      <c r="A3" s="353" t="s">
        <v>738</v>
      </c>
      <c r="B3" s="354" t="s">
        <v>224</v>
      </c>
      <c r="C3" s="355">
        <v>117817.85</v>
      </c>
      <c r="D3" s="353" t="s">
        <v>744</v>
      </c>
      <c r="E3" s="353"/>
      <c r="F3" s="356">
        <f>C3</f>
        <v>117817.85</v>
      </c>
    </row>
    <row r="4" spans="1:14" x14ac:dyDescent="0.25">
      <c r="A4" s="353" t="s">
        <v>738</v>
      </c>
      <c r="B4" s="354" t="s">
        <v>248</v>
      </c>
      <c r="C4" s="355">
        <v>670362.06000000006</v>
      </c>
      <c r="D4" s="353" t="s">
        <v>744</v>
      </c>
      <c r="E4" s="353"/>
      <c r="F4" s="356">
        <f t="shared" ref="F4:F7" si="0">C4</f>
        <v>670362.06000000006</v>
      </c>
      <c r="L4" t="s">
        <v>739</v>
      </c>
      <c r="M4" t="s">
        <v>740</v>
      </c>
      <c r="N4" t="s">
        <v>741</v>
      </c>
    </row>
    <row r="5" spans="1:14" x14ac:dyDescent="0.25">
      <c r="A5" s="353" t="s">
        <v>738</v>
      </c>
      <c r="B5" s="354" t="s">
        <v>351</v>
      </c>
      <c r="C5" s="357">
        <v>352703</v>
      </c>
      <c r="D5" s="353" t="s">
        <v>742</v>
      </c>
      <c r="E5" s="353"/>
      <c r="F5" s="358">
        <f t="shared" si="0"/>
        <v>352703</v>
      </c>
      <c r="L5" s="359" t="s">
        <v>742</v>
      </c>
      <c r="M5">
        <v>344195</v>
      </c>
      <c r="N5">
        <v>6662871.5999999987</v>
      </c>
    </row>
    <row r="6" spans="1:14" x14ac:dyDescent="0.25">
      <c r="A6" s="353" t="s">
        <v>738</v>
      </c>
      <c r="B6" s="354" t="s">
        <v>374</v>
      </c>
      <c r="C6" s="355">
        <v>95768.8</v>
      </c>
      <c r="D6" s="353" t="s">
        <v>744</v>
      </c>
      <c r="E6" s="353"/>
      <c r="F6" s="356">
        <f t="shared" si="0"/>
        <v>95768.8</v>
      </c>
      <c r="L6" s="360" t="s">
        <v>738</v>
      </c>
      <c r="M6">
        <v>287205</v>
      </c>
      <c r="N6">
        <v>436490</v>
      </c>
    </row>
    <row r="7" spans="1:14" x14ac:dyDescent="0.25">
      <c r="A7" s="353" t="s">
        <v>738</v>
      </c>
      <c r="B7" s="354" t="s">
        <v>375</v>
      </c>
      <c r="C7" s="355">
        <v>16284</v>
      </c>
      <c r="D7" s="353" t="s">
        <v>742</v>
      </c>
      <c r="E7" s="353"/>
      <c r="F7" s="356">
        <f t="shared" si="0"/>
        <v>16284</v>
      </c>
      <c r="L7" s="360" t="s">
        <v>743</v>
      </c>
      <c r="M7">
        <v>56990</v>
      </c>
      <c r="N7">
        <v>6226381.5999999987</v>
      </c>
    </row>
    <row r="8" spans="1:14" x14ac:dyDescent="0.25">
      <c r="A8" s="353" t="s">
        <v>738</v>
      </c>
      <c r="B8" s="354" t="s">
        <v>387</v>
      </c>
      <c r="C8" s="355">
        <v>80090</v>
      </c>
      <c r="D8" s="353" t="s">
        <v>742</v>
      </c>
      <c r="E8" s="353">
        <v>80090</v>
      </c>
      <c r="F8" s="353"/>
      <c r="L8" s="359" t="s">
        <v>744</v>
      </c>
      <c r="M8">
        <v>31510</v>
      </c>
      <c r="N8">
        <v>6851128.3100000005</v>
      </c>
    </row>
    <row r="9" spans="1:14" x14ac:dyDescent="0.25">
      <c r="A9" s="353" t="s">
        <v>738</v>
      </c>
      <c r="B9" s="354" t="s">
        <v>414</v>
      </c>
      <c r="C9" s="355">
        <v>91836</v>
      </c>
      <c r="D9" s="353" t="s">
        <v>742</v>
      </c>
      <c r="E9" s="353">
        <v>91836</v>
      </c>
      <c r="F9" s="353"/>
      <c r="L9" s="360" t="s">
        <v>738</v>
      </c>
      <c r="M9">
        <v>31510</v>
      </c>
      <c r="N9">
        <v>1042745.06</v>
      </c>
    </row>
    <row r="10" spans="1:14" x14ac:dyDescent="0.25">
      <c r="A10" s="353" t="s">
        <v>738</v>
      </c>
      <c r="B10" s="354" t="s">
        <v>415</v>
      </c>
      <c r="C10" s="355">
        <v>115279</v>
      </c>
      <c r="D10" s="353" t="s">
        <v>742</v>
      </c>
      <c r="E10" s="353">
        <v>115279</v>
      </c>
      <c r="F10" s="353"/>
      <c r="L10" s="360" t="s">
        <v>743</v>
      </c>
      <c r="M10"/>
      <c r="N10">
        <v>5808383.25</v>
      </c>
    </row>
    <row r="11" spans="1:14" x14ac:dyDescent="0.25">
      <c r="A11" s="353" t="s">
        <v>738</v>
      </c>
      <c r="B11" s="354" t="s">
        <v>430</v>
      </c>
      <c r="C11" s="355">
        <v>31510</v>
      </c>
      <c r="D11" s="353" t="s">
        <v>744</v>
      </c>
      <c r="E11" s="353">
        <v>31510</v>
      </c>
      <c r="F11" s="353"/>
      <c r="L11" s="359" t="s">
        <v>203</v>
      </c>
      <c r="M11">
        <v>375705</v>
      </c>
      <c r="N11">
        <v>13513999.909999998</v>
      </c>
    </row>
    <row r="12" spans="1:14" x14ac:dyDescent="0.25">
      <c r="A12" s="353" t="s">
        <v>738</v>
      </c>
      <c r="B12" s="354" t="s">
        <v>458</v>
      </c>
      <c r="C12" s="355">
        <v>147881.35</v>
      </c>
      <c r="D12" s="353" t="s">
        <v>744</v>
      </c>
      <c r="E12" s="353"/>
      <c r="F12" s="356">
        <f t="shared" ref="F12:F43" si="1">C12</f>
        <v>147881.35</v>
      </c>
    </row>
    <row r="13" spans="1:14" x14ac:dyDescent="0.25">
      <c r="A13" s="353" t="s">
        <v>738</v>
      </c>
      <c r="B13" s="354" t="s">
        <v>468</v>
      </c>
      <c r="C13" s="355">
        <v>-502</v>
      </c>
      <c r="D13" s="353" t="s">
        <v>745</v>
      </c>
      <c r="E13" s="353"/>
      <c r="F13" s="356">
        <f t="shared" si="1"/>
        <v>-502</v>
      </c>
    </row>
    <row r="14" spans="1:14" x14ac:dyDescent="0.25">
      <c r="A14" s="353" t="s">
        <v>738</v>
      </c>
      <c r="B14" s="354" t="s">
        <v>469</v>
      </c>
      <c r="C14" s="355">
        <v>10915</v>
      </c>
      <c r="D14" s="353" t="s">
        <v>744</v>
      </c>
      <c r="E14" s="353"/>
      <c r="F14" s="356">
        <f t="shared" si="1"/>
        <v>10915</v>
      </c>
      <c r="M14" s="352" t="s">
        <v>748</v>
      </c>
      <c r="N14" s="352" t="s">
        <v>749</v>
      </c>
    </row>
    <row r="15" spans="1:14" x14ac:dyDescent="0.25">
      <c r="A15" s="353" t="s">
        <v>738</v>
      </c>
      <c r="B15" s="354" t="s">
        <v>510</v>
      </c>
      <c r="C15" s="355">
        <v>67565</v>
      </c>
      <c r="D15" s="353" t="s">
        <v>742</v>
      </c>
      <c r="E15" s="353"/>
      <c r="F15" s="356">
        <f t="shared" si="1"/>
        <v>67565</v>
      </c>
      <c r="K15" s="362" t="s">
        <v>746</v>
      </c>
      <c r="L15" s="360" t="s">
        <v>738</v>
      </c>
      <c r="M15">
        <v>31510</v>
      </c>
      <c r="N15">
        <v>1042745.06</v>
      </c>
    </row>
    <row r="16" spans="1:14" x14ac:dyDescent="0.25">
      <c r="A16" s="353" t="s">
        <v>738</v>
      </c>
      <c r="B16" s="354" t="s">
        <v>523</v>
      </c>
      <c r="C16" s="355">
        <v>440</v>
      </c>
      <c r="D16" s="353" t="s">
        <v>742</v>
      </c>
      <c r="E16" s="353"/>
      <c r="F16" s="356">
        <f t="shared" si="1"/>
        <v>440</v>
      </c>
      <c r="K16" s="362" t="s">
        <v>746</v>
      </c>
      <c r="L16" s="360" t="s">
        <v>743</v>
      </c>
      <c r="M16"/>
      <c r="N16">
        <v>5808383.25</v>
      </c>
    </row>
    <row r="17" spans="1:14" x14ac:dyDescent="0.25">
      <c r="A17" s="353" t="s">
        <v>743</v>
      </c>
      <c r="B17" s="354" t="s">
        <v>218</v>
      </c>
      <c r="C17" s="355">
        <v>-4178.3</v>
      </c>
      <c r="D17" s="353" t="s">
        <v>745</v>
      </c>
      <c r="E17" s="353"/>
      <c r="F17" s="356">
        <f t="shared" si="1"/>
        <v>-4178.3</v>
      </c>
      <c r="K17" s="362" t="s">
        <v>747</v>
      </c>
      <c r="L17" s="360" t="s">
        <v>738</v>
      </c>
      <c r="M17">
        <v>287205</v>
      </c>
      <c r="N17">
        <v>436490</v>
      </c>
    </row>
    <row r="18" spans="1:14" x14ac:dyDescent="0.25">
      <c r="A18" s="353" t="s">
        <v>743</v>
      </c>
      <c r="B18" s="354" t="s">
        <v>221</v>
      </c>
      <c r="C18" s="355">
        <v>86400</v>
      </c>
      <c r="D18" s="353" t="s">
        <v>742</v>
      </c>
      <c r="E18" s="353"/>
      <c r="F18" s="356">
        <f t="shared" si="1"/>
        <v>86400</v>
      </c>
      <c r="K18" s="362" t="s">
        <v>747</v>
      </c>
      <c r="L18" s="360" t="s">
        <v>743</v>
      </c>
      <c r="M18">
        <v>56990</v>
      </c>
      <c r="N18">
        <v>6226381.5999999987</v>
      </c>
    </row>
    <row r="19" spans="1:14" x14ac:dyDescent="0.25">
      <c r="A19" s="353" t="s">
        <v>743</v>
      </c>
      <c r="B19" s="354" t="s">
        <v>223</v>
      </c>
      <c r="C19" s="355">
        <v>88500</v>
      </c>
      <c r="D19" s="353" t="s">
        <v>744</v>
      </c>
      <c r="E19" s="353"/>
      <c r="F19" s="356">
        <f t="shared" si="1"/>
        <v>88500</v>
      </c>
    </row>
    <row r="20" spans="1:14" x14ac:dyDescent="0.25">
      <c r="A20" s="353" t="s">
        <v>743</v>
      </c>
      <c r="B20" s="354" t="s">
        <v>234</v>
      </c>
      <c r="C20" s="355">
        <v>39096</v>
      </c>
      <c r="D20" s="353" t="s">
        <v>742</v>
      </c>
      <c r="E20" s="353"/>
      <c r="F20" s="356">
        <f t="shared" si="1"/>
        <v>39096</v>
      </c>
    </row>
    <row r="21" spans="1:14" x14ac:dyDescent="0.25">
      <c r="A21" s="353" t="s">
        <v>743</v>
      </c>
      <c r="B21" s="354" t="s">
        <v>238</v>
      </c>
      <c r="C21" s="355">
        <v>22770</v>
      </c>
      <c r="D21" s="353" t="s">
        <v>742</v>
      </c>
      <c r="E21" s="353"/>
      <c r="F21" s="356">
        <f t="shared" si="1"/>
        <v>22770</v>
      </c>
    </row>
    <row r="22" spans="1:14" x14ac:dyDescent="0.25">
      <c r="A22" s="353" t="s">
        <v>743</v>
      </c>
      <c r="B22" s="354" t="s">
        <v>239</v>
      </c>
      <c r="C22" s="355">
        <v>444090</v>
      </c>
      <c r="D22" s="353" t="s">
        <v>742</v>
      </c>
      <c r="E22" s="353"/>
      <c r="F22" s="356">
        <f t="shared" si="1"/>
        <v>444090</v>
      </c>
    </row>
    <row r="23" spans="1:14" x14ac:dyDescent="0.25">
      <c r="A23" s="353" t="s">
        <v>743</v>
      </c>
      <c r="B23" s="354" t="s">
        <v>241</v>
      </c>
      <c r="C23" s="355">
        <v>5000</v>
      </c>
      <c r="D23" s="353" t="s">
        <v>742</v>
      </c>
      <c r="E23" s="353"/>
      <c r="F23" s="356">
        <f t="shared" si="1"/>
        <v>5000</v>
      </c>
    </row>
    <row r="24" spans="1:14" x14ac:dyDescent="0.25">
      <c r="A24" s="353" t="s">
        <v>743</v>
      </c>
      <c r="B24" s="354" t="s">
        <v>247</v>
      </c>
      <c r="C24" s="355">
        <v>11483</v>
      </c>
      <c r="D24" s="353" t="s">
        <v>742</v>
      </c>
      <c r="E24" s="353"/>
      <c r="F24" s="356">
        <f t="shared" si="1"/>
        <v>11483</v>
      </c>
    </row>
    <row r="25" spans="1:14" x14ac:dyDescent="0.25">
      <c r="A25" s="353" t="s">
        <v>743</v>
      </c>
      <c r="B25" s="354" t="s">
        <v>249</v>
      </c>
      <c r="C25" s="355">
        <v>41110</v>
      </c>
      <c r="D25" s="353" t="s">
        <v>742</v>
      </c>
      <c r="E25" s="353"/>
      <c r="F25" s="356">
        <f t="shared" si="1"/>
        <v>41110</v>
      </c>
    </row>
    <row r="26" spans="1:14" x14ac:dyDescent="0.25">
      <c r="A26" s="353" t="s">
        <v>743</v>
      </c>
      <c r="B26" s="354" t="s">
        <v>251</v>
      </c>
      <c r="C26" s="355">
        <v>105020</v>
      </c>
      <c r="D26" s="353" t="s">
        <v>744</v>
      </c>
      <c r="E26" s="353"/>
      <c r="F26" s="356">
        <f t="shared" si="1"/>
        <v>105020</v>
      </c>
    </row>
    <row r="27" spans="1:14" x14ac:dyDescent="0.25">
      <c r="A27" s="353" t="s">
        <v>743</v>
      </c>
      <c r="B27" s="354" t="s">
        <v>253</v>
      </c>
      <c r="C27" s="355">
        <v>-285</v>
      </c>
      <c r="D27" s="353" t="s">
        <v>745</v>
      </c>
      <c r="E27" s="353"/>
      <c r="F27" s="356">
        <f t="shared" si="1"/>
        <v>-285</v>
      </c>
    </row>
    <row r="28" spans="1:14" x14ac:dyDescent="0.25">
      <c r="A28" s="353" t="s">
        <v>743</v>
      </c>
      <c r="B28" s="354" t="s">
        <v>263</v>
      </c>
      <c r="C28" s="355">
        <v>1211672.2</v>
      </c>
      <c r="D28" s="353" t="s">
        <v>742</v>
      </c>
      <c r="E28" s="353"/>
      <c r="F28" s="356">
        <f t="shared" si="1"/>
        <v>1211672.2</v>
      </c>
    </row>
    <row r="29" spans="1:14" x14ac:dyDescent="0.25">
      <c r="A29" s="353" t="s">
        <v>743</v>
      </c>
      <c r="B29" s="354" t="s">
        <v>265</v>
      </c>
      <c r="C29" s="355">
        <v>308353</v>
      </c>
      <c r="D29" s="353" t="s">
        <v>744</v>
      </c>
      <c r="E29" s="353"/>
      <c r="F29" s="356">
        <f t="shared" si="1"/>
        <v>308353</v>
      </c>
    </row>
    <row r="30" spans="1:14" x14ac:dyDescent="0.25">
      <c r="A30" s="353" t="s">
        <v>743</v>
      </c>
      <c r="B30" s="354" t="s">
        <v>267</v>
      </c>
      <c r="C30" s="355">
        <v>15045</v>
      </c>
      <c r="D30" s="353" t="s">
        <v>744</v>
      </c>
      <c r="E30" s="353"/>
      <c r="F30" s="356">
        <f t="shared" si="1"/>
        <v>15045</v>
      </c>
    </row>
    <row r="31" spans="1:14" x14ac:dyDescent="0.25">
      <c r="A31" s="353" t="s">
        <v>743</v>
      </c>
      <c r="B31" s="354" t="s">
        <v>279</v>
      </c>
      <c r="C31" s="355">
        <v>2360</v>
      </c>
      <c r="D31" s="353" t="s">
        <v>744</v>
      </c>
      <c r="E31" s="353"/>
      <c r="F31" s="356">
        <f t="shared" si="1"/>
        <v>2360</v>
      </c>
    </row>
    <row r="32" spans="1:14" x14ac:dyDescent="0.25">
      <c r="A32" s="353" t="s">
        <v>743</v>
      </c>
      <c r="B32" s="354" t="s">
        <v>300</v>
      </c>
      <c r="C32" s="355">
        <v>986040</v>
      </c>
      <c r="D32" s="353" t="s">
        <v>742</v>
      </c>
      <c r="E32" s="353"/>
      <c r="F32" s="356">
        <f t="shared" si="1"/>
        <v>986040</v>
      </c>
    </row>
    <row r="33" spans="1:6" x14ac:dyDescent="0.25">
      <c r="A33" s="353" t="s">
        <v>743</v>
      </c>
      <c r="B33" s="354" t="s">
        <v>318</v>
      </c>
      <c r="C33" s="355">
        <v>21900</v>
      </c>
      <c r="D33" s="353" t="s">
        <v>742</v>
      </c>
      <c r="E33" s="353"/>
      <c r="F33" s="356">
        <f t="shared" si="1"/>
        <v>21900</v>
      </c>
    </row>
    <row r="34" spans="1:6" x14ac:dyDescent="0.25">
      <c r="A34" s="353" t="s">
        <v>743</v>
      </c>
      <c r="B34" s="354" t="s">
        <v>319</v>
      </c>
      <c r="C34" s="355">
        <v>645408</v>
      </c>
      <c r="D34" s="353" t="s">
        <v>744</v>
      </c>
      <c r="E34" s="353"/>
      <c r="F34" s="356">
        <f t="shared" si="1"/>
        <v>645408</v>
      </c>
    </row>
    <row r="35" spans="1:6" x14ac:dyDescent="0.25">
      <c r="A35" s="353" t="s">
        <v>743</v>
      </c>
      <c r="B35" s="354" t="s">
        <v>325</v>
      </c>
      <c r="C35" s="355">
        <v>212500</v>
      </c>
      <c r="D35" s="353" t="s">
        <v>744</v>
      </c>
      <c r="E35" s="353"/>
      <c r="F35" s="356">
        <f t="shared" si="1"/>
        <v>212500</v>
      </c>
    </row>
    <row r="36" spans="1:6" x14ac:dyDescent="0.25">
      <c r="A36" s="353" t="s">
        <v>743</v>
      </c>
      <c r="B36" s="354" t="s">
        <v>326</v>
      </c>
      <c r="C36" s="355">
        <v>38040</v>
      </c>
      <c r="D36" s="353" t="s">
        <v>742</v>
      </c>
      <c r="E36" s="353"/>
      <c r="F36" s="356">
        <f t="shared" si="1"/>
        <v>38040</v>
      </c>
    </row>
    <row r="37" spans="1:6" x14ac:dyDescent="0.25">
      <c r="A37" s="353" t="s">
        <v>743</v>
      </c>
      <c r="B37" s="354" t="s">
        <v>327</v>
      </c>
      <c r="C37" s="355">
        <v>208080</v>
      </c>
      <c r="D37" s="353" t="s">
        <v>744</v>
      </c>
      <c r="E37" s="353"/>
      <c r="F37" s="356">
        <f t="shared" si="1"/>
        <v>208080</v>
      </c>
    </row>
    <row r="38" spans="1:6" x14ac:dyDescent="0.25">
      <c r="A38" s="353" t="s">
        <v>743</v>
      </c>
      <c r="B38" s="354" t="s">
        <v>328</v>
      </c>
      <c r="C38" s="355">
        <v>22620</v>
      </c>
      <c r="D38" s="353" t="s">
        <v>742</v>
      </c>
      <c r="E38" s="353"/>
      <c r="F38" s="356">
        <f t="shared" si="1"/>
        <v>22620</v>
      </c>
    </row>
    <row r="39" spans="1:6" x14ac:dyDescent="0.25">
      <c r="A39" s="353" t="s">
        <v>743</v>
      </c>
      <c r="B39" s="354" t="s">
        <v>333</v>
      </c>
      <c r="C39" s="355">
        <v>29850</v>
      </c>
      <c r="D39" s="353" t="s">
        <v>742</v>
      </c>
      <c r="E39" s="353"/>
      <c r="F39" s="356">
        <f t="shared" si="1"/>
        <v>29850</v>
      </c>
    </row>
    <row r="40" spans="1:6" x14ac:dyDescent="0.25">
      <c r="A40" s="353" t="s">
        <v>743</v>
      </c>
      <c r="B40" s="354" t="s">
        <v>336</v>
      </c>
      <c r="C40" s="355">
        <v>-6</v>
      </c>
      <c r="D40" s="353" t="s">
        <v>745</v>
      </c>
      <c r="E40" s="353"/>
      <c r="F40" s="356">
        <f t="shared" si="1"/>
        <v>-6</v>
      </c>
    </row>
    <row r="41" spans="1:6" x14ac:dyDescent="0.25">
      <c r="A41" s="353" t="s">
        <v>743</v>
      </c>
      <c r="B41" s="354" t="s">
        <v>339</v>
      </c>
      <c r="C41" s="355">
        <v>243000</v>
      </c>
      <c r="D41" s="353" t="s">
        <v>744</v>
      </c>
      <c r="E41" s="353"/>
      <c r="F41" s="356">
        <f t="shared" si="1"/>
        <v>243000</v>
      </c>
    </row>
    <row r="42" spans="1:6" x14ac:dyDescent="0.25">
      <c r="A42" s="353" t="s">
        <v>743</v>
      </c>
      <c r="B42" s="354" t="s">
        <v>341</v>
      </c>
      <c r="C42" s="355">
        <v>18860</v>
      </c>
      <c r="D42" s="353" t="s">
        <v>744</v>
      </c>
      <c r="E42" s="353"/>
      <c r="F42" s="356">
        <f t="shared" si="1"/>
        <v>18860</v>
      </c>
    </row>
    <row r="43" spans="1:6" x14ac:dyDescent="0.25">
      <c r="A43" s="353" t="s">
        <v>743</v>
      </c>
      <c r="B43" s="354" t="s">
        <v>355</v>
      </c>
      <c r="C43" s="355">
        <v>154060</v>
      </c>
      <c r="D43" s="353" t="s">
        <v>744</v>
      </c>
      <c r="E43" s="353"/>
      <c r="F43" s="356">
        <f t="shared" si="1"/>
        <v>154060</v>
      </c>
    </row>
    <row r="44" spans="1:6" x14ac:dyDescent="0.25">
      <c r="A44" s="353" t="s">
        <v>743</v>
      </c>
      <c r="B44" s="354" t="s">
        <v>357</v>
      </c>
      <c r="C44" s="355">
        <v>56990</v>
      </c>
      <c r="D44" s="353" t="s">
        <v>742</v>
      </c>
      <c r="E44" s="353">
        <v>56990</v>
      </c>
    </row>
    <row r="45" spans="1:6" x14ac:dyDescent="0.25">
      <c r="A45" s="353" t="s">
        <v>743</v>
      </c>
      <c r="B45" s="354" t="s">
        <v>370</v>
      </c>
      <c r="C45" s="355">
        <v>14715</v>
      </c>
      <c r="D45" s="353" t="s">
        <v>742</v>
      </c>
      <c r="E45" s="353"/>
      <c r="F45" s="356">
        <f t="shared" ref="F45:F91" si="2">C45</f>
        <v>14715</v>
      </c>
    </row>
    <row r="46" spans="1:6" x14ac:dyDescent="0.25">
      <c r="A46" s="353" t="s">
        <v>743</v>
      </c>
      <c r="B46" s="354" t="s">
        <v>372</v>
      </c>
      <c r="C46" s="355">
        <v>52799</v>
      </c>
      <c r="D46" s="353" t="s">
        <v>742</v>
      </c>
      <c r="E46" s="353"/>
      <c r="F46" s="356">
        <f t="shared" si="2"/>
        <v>52799</v>
      </c>
    </row>
    <row r="47" spans="1:6" x14ac:dyDescent="0.25">
      <c r="A47" s="353" t="s">
        <v>743</v>
      </c>
      <c r="B47" s="354" t="s">
        <v>377</v>
      </c>
      <c r="C47" s="355">
        <v>8637</v>
      </c>
      <c r="D47" s="353" t="s">
        <v>742</v>
      </c>
      <c r="E47" s="353"/>
      <c r="F47" s="356">
        <f t="shared" si="2"/>
        <v>8637</v>
      </c>
    </row>
    <row r="48" spans="1:6" x14ac:dyDescent="0.25">
      <c r="A48" s="353" t="s">
        <v>743</v>
      </c>
      <c r="B48" s="354" t="s">
        <v>379</v>
      </c>
      <c r="C48" s="355">
        <v>351120</v>
      </c>
      <c r="D48" s="353" t="s">
        <v>744</v>
      </c>
      <c r="E48" s="353"/>
      <c r="F48" s="356">
        <f t="shared" si="2"/>
        <v>351120</v>
      </c>
    </row>
    <row r="49" spans="1:6" x14ac:dyDescent="0.25">
      <c r="A49" s="353" t="s">
        <v>743</v>
      </c>
      <c r="B49" s="354" t="s">
        <v>390</v>
      </c>
      <c r="C49" s="355">
        <v>3150</v>
      </c>
      <c r="D49" s="353" t="s">
        <v>742</v>
      </c>
      <c r="E49" s="353"/>
      <c r="F49" s="356">
        <f t="shared" si="2"/>
        <v>3150</v>
      </c>
    </row>
    <row r="50" spans="1:6" x14ac:dyDescent="0.25">
      <c r="A50" s="353" t="s">
        <v>743</v>
      </c>
      <c r="B50" s="354" t="s">
        <v>393</v>
      </c>
      <c r="C50" s="355">
        <v>34650</v>
      </c>
      <c r="D50" s="353" t="s">
        <v>742</v>
      </c>
      <c r="E50" s="353"/>
      <c r="F50" s="356">
        <f t="shared" si="2"/>
        <v>34650</v>
      </c>
    </row>
    <row r="51" spans="1:6" x14ac:dyDescent="0.25">
      <c r="A51" s="353" t="s">
        <v>743</v>
      </c>
      <c r="B51" s="354" t="s">
        <v>394</v>
      </c>
      <c r="C51" s="355">
        <v>938084.74</v>
      </c>
      <c r="D51" s="353" t="s">
        <v>744</v>
      </c>
      <c r="E51" s="353"/>
      <c r="F51" s="356">
        <f t="shared" si="2"/>
        <v>938084.74</v>
      </c>
    </row>
    <row r="52" spans="1:6" x14ac:dyDescent="0.25">
      <c r="A52" s="353" t="s">
        <v>743</v>
      </c>
      <c r="B52" s="354" t="s">
        <v>400</v>
      </c>
      <c r="C52" s="355">
        <v>725</v>
      </c>
      <c r="D52" s="353" t="s">
        <v>742</v>
      </c>
      <c r="E52" s="353"/>
      <c r="F52" s="356">
        <f t="shared" si="2"/>
        <v>725</v>
      </c>
    </row>
    <row r="53" spans="1:6" x14ac:dyDescent="0.25">
      <c r="A53" s="353" t="s">
        <v>743</v>
      </c>
      <c r="B53" s="354" t="s">
        <v>406</v>
      </c>
      <c r="C53" s="355">
        <v>13345.8</v>
      </c>
      <c r="D53" s="353" t="s">
        <v>742</v>
      </c>
      <c r="E53" s="353"/>
      <c r="F53" s="356">
        <f t="shared" si="2"/>
        <v>13345.8</v>
      </c>
    </row>
    <row r="54" spans="1:6" x14ac:dyDescent="0.25">
      <c r="A54" s="353" t="s">
        <v>743</v>
      </c>
      <c r="B54" s="354" t="s">
        <v>428</v>
      </c>
      <c r="C54" s="355">
        <v>8208</v>
      </c>
      <c r="D54" s="353" t="s">
        <v>742</v>
      </c>
      <c r="E54" s="353"/>
      <c r="F54" s="356">
        <f t="shared" si="2"/>
        <v>8208</v>
      </c>
    </row>
    <row r="55" spans="1:6" x14ac:dyDescent="0.25">
      <c r="A55" s="353" t="s">
        <v>743</v>
      </c>
      <c r="B55" s="354" t="s">
        <v>445</v>
      </c>
      <c r="C55" s="355">
        <v>590</v>
      </c>
      <c r="D55" s="353" t="s">
        <v>742</v>
      </c>
      <c r="E55" s="353"/>
      <c r="F55" s="356">
        <f t="shared" si="2"/>
        <v>590</v>
      </c>
    </row>
    <row r="56" spans="1:6" x14ac:dyDescent="0.25">
      <c r="A56" s="353" t="s">
        <v>743</v>
      </c>
      <c r="B56" s="354" t="s">
        <v>456</v>
      </c>
      <c r="C56" s="355">
        <v>581434</v>
      </c>
      <c r="D56" s="353" t="s">
        <v>744</v>
      </c>
      <c r="E56" s="353"/>
      <c r="F56" s="356">
        <f t="shared" si="2"/>
        <v>581434</v>
      </c>
    </row>
    <row r="57" spans="1:6" x14ac:dyDescent="0.25">
      <c r="A57" s="353" t="s">
        <v>743</v>
      </c>
      <c r="B57" s="354" t="s">
        <v>457</v>
      </c>
      <c r="C57" s="355">
        <v>41472</v>
      </c>
      <c r="D57" s="353" t="s">
        <v>744</v>
      </c>
      <c r="E57" s="353"/>
      <c r="F57" s="356">
        <f t="shared" si="2"/>
        <v>41472</v>
      </c>
    </row>
    <row r="58" spans="1:6" x14ac:dyDescent="0.25">
      <c r="A58" s="353" t="s">
        <v>743</v>
      </c>
      <c r="B58" s="354" t="s">
        <v>466</v>
      </c>
      <c r="C58" s="355">
        <v>10368</v>
      </c>
      <c r="D58" s="353" t="s">
        <v>744</v>
      </c>
      <c r="E58" s="353"/>
      <c r="F58" s="356">
        <f t="shared" si="2"/>
        <v>10368</v>
      </c>
    </row>
    <row r="59" spans="1:6" x14ac:dyDescent="0.25">
      <c r="A59" s="353" t="s">
        <v>743</v>
      </c>
      <c r="B59" s="354" t="s">
        <v>467</v>
      </c>
      <c r="C59" s="355">
        <v>122279</v>
      </c>
      <c r="D59" s="353" t="s">
        <v>744</v>
      </c>
      <c r="E59" s="353"/>
      <c r="F59" s="356">
        <f t="shared" si="2"/>
        <v>122279</v>
      </c>
    </row>
    <row r="60" spans="1:6" x14ac:dyDescent="0.25">
      <c r="A60" s="353" t="s">
        <v>743</v>
      </c>
      <c r="B60" s="354" t="s">
        <v>479</v>
      </c>
      <c r="C60" s="355">
        <v>21615</v>
      </c>
      <c r="D60" s="353" t="s">
        <v>744</v>
      </c>
      <c r="E60" s="353"/>
      <c r="F60" s="356">
        <f t="shared" si="2"/>
        <v>21615</v>
      </c>
    </row>
    <row r="61" spans="1:6" x14ac:dyDescent="0.25">
      <c r="A61" s="353" t="s">
        <v>743</v>
      </c>
      <c r="B61" s="354" t="s">
        <v>482</v>
      </c>
      <c r="C61" s="355">
        <v>574199</v>
      </c>
      <c r="D61" s="353" t="s">
        <v>742</v>
      </c>
      <c r="E61" s="353"/>
      <c r="F61" s="356">
        <f t="shared" si="2"/>
        <v>574199</v>
      </c>
    </row>
    <row r="62" spans="1:6" x14ac:dyDescent="0.25">
      <c r="A62" s="353" t="s">
        <v>743</v>
      </c>
      <c r="B62" s="354" t="s">
        <v>493</v>
      </c>
      <c r="C62" s="355">
        <v>574199</v>
      </c>
      <c r="D62" s="353" t="s">
        <v>742</v>
      </c>
      <c r="E62" s="353"/>
      <c r="F62" s="356">
        <f t="shared" si="2"/>
        <v>574199</v>
      </c>
    </row>
    <row r="63" spans="1:6" x14ac:dyDescent="0.25">
      <c r="A63" s="353" t="s">
        <v>743</v>
      </c>
      <c r="B63" s="354" t="s">
        <v>495</v>
      </c>
      <c r="C63" s="355">
        <v>574199</v>
      </c>
      <c r="D63" s="353" t="s">
        <v>742</v>
      </c>
      <c r="E63" s="353"/>
      <c r="F63" s="356">
        <f t="shared" si="2"/>
        <v>574199</v>
      </c>
    </row>
    <row r="64" spans="1:6" x14ac:dyDescent="0.25">
      <c r="A64" s="353" t="s">
        <v>743</v>
      </c>
      <c r="B64" s="354" t="s">
        <v>503</v>
      </c>
      <c r="C64" s="355">
        <v>9900</v>
      </c>
      <c r="D64" s="353" t="s">
        <v>742</v>
      </c>
      <c r="E64" s="353"/>
      <c r="F64" s="356">
        <f t="shared" si="2"/>
        <v>9900</v>
      </c>
    </row>
    <row r="65" spans="1:6" x14ac:dyDescent="0.25">
      <c r="A65" s="353" t="s">
        <v>743</v>
      </c>
      <c r="B65" s="354" t="s">
        <v>508</v>
      </c>
      <c r="C65" s="355">
        <v>5850</v>
      </c>
      <c r="D65" s="353" t="s">
        <v>742</v>
      </c>
      <c r="E65" s="353"/>
      <c r="F65" s="356">
        <f t="shared" si="2"/>
        <v>5850</v>
      </c>
    </row>
    <row r="66" spans="1:6" x14ac:dyDescent="0.25">
      <c r="A66" s="353" t="s">
        <v>743</v>
      </c>
      <c r="B66" s="354" t="s">
        <v>512</v>
      </c>
      <c r="C66" s="355">
        <v>89090</v>
      </c>
      <c r="D66" s="353" t="s">
        <v>744</v>
      </c>
      <c r="E66" s="353"/>
      <c r="F66" s="356">
        <f t="shared" si="2"/>
        <v>89090</v>
      </c>
    </row>
    <row r="67" spans="1:6" x14ac:dyDescent="0.25">
      <c r="A67" s="353" t="s">
        <v>743</v>
      </c>
      <c r="B67" s="354" t="s">
        <v>529</v>
      </c>
      <c r="C67" s="355">
        <v>30521.51</v>
      </c>
      <c r="D67" s="353" t="s">
        <v>744</v>
      </c>
      <c r="E67" s="353"/>
      <c r="F67" s="356">
        <f t="shared" si="2"/>
        <v>30521.51</v>
      </c>
    </row>
    <row r="68" spans="1:6" x14ac:dyDescent="0.25">
      <c r="A68" s="353" t="s">
        <v>743</v>
      </c>
      <c r="B68" s="354" t="s">
        <v>531</v>
      </c>
      <c r="C68" s="355">
        <v>179864.2</v>
      </c>
      <c r="D68" s="353" t="s">
        <v>742</v>
      </c>
      <c r="E68" s="353"/>
      <c r="F68" s="356">
        <f t="shared" si="2"/>
        <v>179864.2</v>
      </c>
    </row>
    <row r="69" spans="1:6" x14ac:dyDescent="0.25">
      <c r="A69" s="353" t="s">
        <v>743</v>
      </c>
      <c r="B69" s="354" t="s">
        <v>230</v>
      </c>
      <c r="C69" s="355">
        <v>107628</v>
      </c>
      <c r="D69" s="353" t="s">
        <v>744</v>
      </c>
      <c r="E69" s="353"/>
      <c r="F69" s="356">
        <f t="shared" si="2"/>
        <v>107628</v>
      </c>
    </row>
    <row r="70" spans="1:6" x14ac:dyDescent="0.25">
      <c r="A70" s="353" t="s">
        <v>743</v>
      </c>
      <c r="B70" s="354" t="s">
        <v>255</v>
      </c>
      <c r="C70" s="355">
        <v>28365</v>
      </c>
      <c r="D70" s="353" t="s">
        <v>744</v>
      </c>
      <c r="E70" s="353"/>
      <c r="F70" s="356">
        <f t="shared" si="2"/>
        <v>28365</v>
      </c>
    </row>
    <row r="71" spans="1:6" x14ac:dyDescent="0.25">
      <c r="A71" s="353" t="s">
        <v>743</v>
      </c>
      <c r="B71" s="354" t="s">
        <v>264</v>
      </c>
      <c r="C71" s="355">
        <v>148208</v>
      </c>
      <c r="D71" s="353" t="s">
        <v>744</v>
      </c>
      <c r="E71" s="353"/>
      <c r="F71" s="356">
        <f t="shared" si="2"/>
        <v>148208</v>
      </c>
    </row>
    <row r="72" spans="1:6" x14ac:dyDescent="0.25">
      <c r="A72" s="353" t="s">
        <v>743</v>
      </c>
      <c r="B72" s="354" t="s">
        <v>270</v>
      </c>
      <c r="C72" s="355">
        <v>93220</v>
      </c>
      <c r="D72" s="353" t="s">
        <v>744</v>
      </c>
      <c r="E72" s="353"/>
      <c r="F72" s="356">
        <f t="shared" si="2"/>
        <v>93220</v>
      </c>
    </row>
    <row r="73" spans="1:6" x14ac:dyDescent="0.25">
      <c r="A73" s="353" t="s">
        <v>743</v>
      </c>
      <c r="B73" s="354" t="s">
        <v>286</v>
      </c>
      <c r="C73" s="355">
        <v>518400</v>
      </c>
      <c r="D73" s="353" t="s">
        <v>742</v>
      </c>
      <c r="E73" s="353"/>
      <c r="F73" s="356">
        <f t="shared" si="2"/>
        <v>518400</v>
      </c>
    </row>
    <row r="74" spans="1:6" x14ac:dyDescent="0.25">
      <c r="A74" s="353" t="s">
        <v>743</v>
      </c>
      <c r="B74" s="354" t="s">
        <v>340</v>
      </c>
      <c r="C74" s="355">
        <v>135700</v>
      </c>
      <c r="D74" s="353" t="s">
        <v>744</v>
      </c>
      <c r="E74" s="353"/>
      <c r="F74" s="356">
        <f t="shared" si="2"/>
        <v>135700</v>
      </c>
    </row>
    <row r="75" spans="1:6" x14ac:dyDescent="0.25">
      <c r="A75" s="353" t="s">
        <v>743</v>
      </c>
      <c r="B75" s="354" t="s">
        <v>356</v>
      </c>
      <c r="C75" s="355">
        <v>4972</v>
      </c>
      <c r="D75" s="353" t="s">
        <v>744</v>
      </c>
      <c r="E75" s="353"/>
      <c r="F75" s="356">
        <f t="shared" si="2"/>
        <v>4972</v>
      </c>
    </row>
    <row r="76" spans="1:6" x14ac:dyDescent="0.25">
      <c r="A76" s="353" t="s">
        <v>743</v>
      </c>
      <c r="B76" s="354" t="s">
        <v>361</v>
      </c>
      <c r="C76" s="355">
        <v>272685</v>
      </c>
      <c r="D76" s="353" t="s">
        <v>744</v>
      </c>
      <c r="E76" s="353"/>
      <c r="F76" s="356">
        <f t="shared" si="2"/>
        <v>272685</v>
      </c>
    </row>
    <row r="77" spans="1:6" x14ac:dyDescent="0.25">
      <c r="A77" s="353" t="s">
        <v>743</v>
      </c>
      <c r="B77" s="354" t="s">
        <v>366</v>
      </c>
      <c r="C77" s="355">
        <v>607679</v>
      </c>
      <c r="D77" s="353" t="s">
        <v>744</v>
      </c>
      <c r="E77" s="353"/>
      <c r="F77" s="356">
        <f t="shared" si="2"/>
        <v>607679</v>
      </c>
    </row>
    <row r="78" spans="1:6" x14ac:dyDescent="0.25">
      <c r="A78" s="353" t="s">
        <v>743</v>
      </c>
      <c r="B78" s="354" t="s">
        <v>401</v>
      </c>
      <c r="C78" s="355">
        <v>33748</v>
      </c>
      <c r="D78" s="353" t="s">
        <v>744</v>
      </c>
      <c r="E78" s="353"/>
      <c r="F78" s="356">
        <f t="shared" si="2"/>
        <v>33748</v>
      </c>
    </row>
    <row r="79" spans="1:6" x14ac:dyDescent="0.25">
      <c r="A79" s="353" t="s">
        <v>743</v>
      </c>
      <c r="B79" s="354" t="s">
        <v>416</v>
      </c>
      <c r="C79" s="355">
        <v>118387</v>
      </c>
      <c r="D79" s="353" t="s">
        <v>744</v>
      </c>
      <c r="E79" s="353"/>
      <c r="F79" s="356">
        <f t="shared" si="2"/>
        <v>118387</v>
      </c>
    </row>
    <row r="80" spans="1:6" x14ac:dyDescent="0.25">
      <c r="A80" s="353" t="s">
        <v>743</v>
      </c>
      <c r="B80" s="354" t="s">
        <v>422</v>
      </c>
      <c r="C80" s="355">
        <v>51072</v>
      </c>
      <c r="D80" s="353" t="s">
        <v>744</v>
      </c>
      <c r="E80" s="353"/>
      <c r="F80" s="356">
        <f t="shared" si="2"/>
        <v>51072</v>
      </c>
    </row>
    <row r="81" spans="1:6" x14ac:dyDescent="0.25">
      <c r="A81" s="353" t="s">
        <v>743</v>
      </c>
      <c r="B81" s="354" t="s">
        <v>424</v>
      </c>
      <c r="C81" s="355">
        <v>31594</v>
      </c>
      <c r="D81" s="353" t="s">
        <v>742</v>
      </c>
      <c r="E81" s="353"/>
      <c r="F81" s="356">
        <f t="shared" si="2"/>
        <v>31594</v>
      </c>
    </row>
    <row r="82" spans="1:6" x14ac:dyDescent="0.25">
      <c r="A82" s="353" t="s">
        <v>743</v>
      </c>
      <c r="B82" s="354" t="s">
        <v>427</v>
      </c>
      <c r="C82" s="355">
        <v>416</v>
      </c>
      <c r="D82" s="353" t="s">
        <v>742</v>
      </c>
      <c r="E82" s="353"/>
      <c r="F82" s="356">
        <f t="shared" si="2"/>
        <v>416</v>
      </c>
    </row>
    <row r="83" spans="1:6" x14ac:dyDescent="0.25">
      <c r="A83" s="353" t="s">
        <v>743</v>
      </c>
      <c r="B83" s="354" t="s">
        <v>431</v>
      </c>
      <c r="C83" s="355">
        <v>21726</v>
      </c>
      <c r="D83" s="353" t="s">
        <v>742</v>
      </c>
      <c r="E83" s="353"/>
      <c r="F83" s="356">
        <f t="shared" si="2"/>
        <v>21726</v>
      </c>
    </row>
    <row r="84" spans="1:6" x14ac:dyDescent="0.25">
      <c r="A84" s="353" t="s">
        <v>743</v>
      </c>
      <c r="B84" s="354" t="s">
        <v>432</v>
      </c>
      <c r="C84" s="355">
        <v>93200</v>
      </c>
      <c r="D84" s="353" t="s">
        <v>742</v>
      </c>
      <c r="E84" s="353"/>
      <c r="F84" s="356">
        <f t="shared" si="2"/>
        <v>93200</v>
      </c>
    </row>
    <row r="85" spans="1:6" x14ac:dyDescent="0.25">
      <c r="A85" s="353" t="s">
        <v>743</v>
      </c>
      <c r="B85" s="354" t="s">
        <v>461</v>
      </c>
      <c r="C85" s="355">
        <v>27683</v>
      </c>
      <c r="D85" s="353" t="s">
        <v>742</v>
      </c>
      <c r="E85" s="353"/>
      <c r="F85" s="356">
        <f t="shared" si="2"/>
        <v>27683</v>
      </c>
    </row>
    <row r="86" spans="1:6" x14ac:dyDescent="0.25">
      <c r="A86" s="353" t="s">
        <v>743</v>
      </c>
      <c r="B86" s="354" t="s">
        <v>462</v>
      </c>
      <c r="C86" s="355">
        <v>13885</v>
      </c>
      <c r="D86" s="353" t="s">
        <v>744</v>
      </c>
      <c r="E86" s="353"/>
      <c r="F86" s="356">
        <f t="shared" si="2"/>
        <v>13885</v>
      </c>
    </row>
    <row r="87" spans="1:6" x14ac:dyDescent="0.25">
      <c r="A87" s="353" t="s">
        <v>743</v>
      </c>
      <c r="B87" s="354" t="s">
        <v>464</v>
      </c>
      <c r="C87" s="355">
        <v>5664</v>
      </c>
      <c r="D87" s="353" t="s">
        <v>744</v>
      </c>
      <c r="E87" s="353"/>
      <c r="F87" s="356">
        <f t="shared" si="2"/>
        <v>5664</v>
      </c>
    </row>
    <row r="88" spans="1:6" x14ac:dyDescent="0.25">
      <c r="A88" s="353" t="s">
        <v>743</v>
      </c>
      <c r="B88" s="354" t="s">
        <v>506</v>
      </c>
      <c r="C88" s="355">
        <v>0.1</v>
      </c>
      <c r="D88" s="353" t="s">
        <v>745</v>
      </c>
      <c r="E88" s="353"/>
      <c r="F88" s="356">
        <f t="shared" si="2"/>
        <v>0.1</v>
      </c>
    </row>
    <row r="89" spans="1:6" x14ac:dyDescent="0.25">
      <c r="A89" s="353" t="s">
        <v>743</v>
      </c>
      <c r="B89" s="354" t="s">
        <v>509</v>
      </c>
      <c r="C89" s="355">
        <v>99000</v>
      </c>
      <c r="D89" s="353" t="s">
        <v>742</v>
      </c>
      <c r="E89" s="353"/>
      <c r="F89" s="356">
        <f t="shared" si="2"/>
        <v>99000</v>
      </c>
    </row>
    <row r="90" spans="1:6" x14ac:dyDescent="0.25">
      <c r="A90" s="353" t="s">
        <v>743</v>
      </c>
      <c r="B90" s="354" t="s">
        <v>511</v>
      </c>
      <c r="C90" s="355">
        <v>423729</v>
      </c>
      <c r="D90" s="353" t="s">
        <v>742</v>
      </c>
      <c r="E90" s="353"/>
      <c r="F90" s="356">
        <f t="shared" si="2"/>
        <v>423729</v>
      </c>
    </row>
    <row r="91" spans="1:6" x14ac:dyDescent="0.25">
      <c r="A91" s="353" t="s">
        <v>743</v>
      </c>
      <c r="B91" s="354" t="s">
        <v>532</v>
      </c>
      <c r="C91" s="355">
        <v>0.6</v>
      </c>
      <c r="D91" s="353" t="s">
        <v>745</v>
      </c>
      <c r="E91" s="353"/>
      <c r="F91" s="356">
        <f t="shared" si="2"/>
        <v>0.6</v>
      </c>
    </row>
    <row r="92" spans="1:6" x14ac:dyDescent="0.25">
      <c r="C92" s="361">
        <f>SUM(C3:C91)</f>
        <v>13889704.909999998</v>
      </c>
    </row>
  </sheetData>
  <autoFilter ref="A2:E92" xr:uid="{00000000-0009-0000-0000-000020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52"/>
  <sheetViews>
    <sheetView topLeftCell="A127" workbookViewId="0">
      <selection activeCell="A247" sqref="A247"/>
    </sheetView>
  </sheetViews>
  <sheetFormatPr defaultColWidth="9.140625" defaultRowHeight="15" x14ac:dyDescent="0.25"/>
  <cols>
    <col min="1" max="1" width="47.5703125" bestFit="1" customWidth="1"/>
    <col min="2" max="3" width="15" style="258" bestFit="1" customWidth="1"/>
    <col min="5" max="5" width="14.42578125" bestFit="1" customWidth="1"/>
  </cols>
  <sheetData>
    <row r="1" spans="1:3" ht="15.75" x14ac:dyDescent="0.25">
      <c r="A1" s="1705" t="s">
        <v>204</v>
      </c>
      <c r="B1" s="1705"/>
      <c r="C1" s="1705"/>
    </row>
    <row r="2" spans="1:3" x14ac:dyDescent="0.25">
      <c r="A2" s="1698" t="s">
        <v>205</v>
      </c>
      <c r="B2" s="1698"/>
      <c r="C2" s="1698"/>
    </row>
    <row r="3" spans="1:3" x14ac:dyDescent="0.25">
      <c r="A3" s="1698" t="s">
        <v>206</v>
      </c>
      <c r="B3" s="1698"/>
      <c r="C3" s="1698"/>
    </row>
    <row r="4" spans="1:3" x14ac:dyDescent="0.25">
      <c r="A4" s="1706" t="s">
        <v>207</v>
      </c>
      <c r="B4" s="1706"/>
      <c r="C4" s="1706"/>
    </row>
    <row r="5" spans="1:3" ht="15.75" x14ac:dyDescent="0.25">
      <c r="A5" s="1707" t="s">
        <v>199</v>
      </c>
      <c r="B5" s="1707"/>
      <c r="C5" s="1707"/>
    </row>
    <row r="6" spans="1:3" x14ac:dyDescent="0.25">
      <c r="A6" s="1698" t="s">
        <v>541</v>
      </c>
      <c r="B6" s="1698"/>
      <c r="C6" s="1698"/>
    </row>
    <row r="7" spans="1:3" x14ac:dyDescent="0.25">
      <c r="A7" s="248" t="s">
        <v>197</v>
      </c>
      <c r="B7" s="1748" t="s">
        <v>204</v>
      </c>
      <c r="C7" s="1749"/>
    </row>
    <row r="8" spans="1:3" x14ac:dyDescent="0.25">
      <c r="A8" s="250" t="s">
        <v>0</v>
      </c>
      <c r="B8" s="1750" t="s">
        <v>541</v>
      </c>
      <c r="C8" s="1751"/>
    </row>
    <row r="9" spans="1:3" x14ac:dyDescent="0.25">
      <c r="A9" s="250" t="s">
        <v>197</v>
      </c>
      <c r="B9" s="1752" t="s">
        <v>200</v>
      </c>
      <c r="C9" s="1753"/>
    </row>
    <row r="10" spans="1:3" x14ac:dyDescent="0.25">
      <c r="A10" s="251" t="s">
        <v>197</v>
      </c>
      <c r="B10" s="254" t="s">
        <v>194</v>
      </c>
      <c r="C10" s="254" t="s">
        <v>195</v>
      </c>
    </row>
    <row r="11" spans="1:3" x14ac:dyDescent="0.25">
      <c r="A11" s="253" t="s">
        <v>208</v>
      </c>
      <c r="B11" s="255">
        <v>1146160</v>
      </c>
      <c r="C11" s="255"/>
    </row>
    <row r="12" spans="1:3" x14ac:dyDescent="0.25">
      <c r="A12" s="252" t="s">
        <v>542</v>
      </c>
      <c r="B12" s="256">
        <v>38700</v>
      </c>
      <c r="C12" s="256"/>
    </row>
    <row r="13" spans="1:3" x14ac:dyDescent="0.25">
      <c r="A13" s="252" t="s">
        <v>209</v>
      </c>
      <c r="B13" s="256"/>
      <c r="C13" s="256">
        <v>142276.70000000001</v>
      </c>
    </row>
    <row r="14" spans="1:3" x14ac:dyDescent="0.25">
      <c r="A14" s="252" t="s">
        <v>210</v>
      </c>
      <c r="B14" s="256">
        <v>258435.6</v>
      </c>
      <c r="C14" s="256"/>
    </row>
    <row r="15" spans="1:3" x14ac:dyDescent="0.25">
      <c r="A15" s="252" t="s">
        <v>211</v>
      </c>
      <c r="B15" s="256"/>
      <c r="C15" s="256">
        <v>138195.75</v>
      </c>
    </row>
    <row r="16" spans="1:3" x14ac:dyDescent="0.25">
      <c r="A16" s="252" t="s">
        <v>212</v>
      </c>
      <c r="B16" s="256">
        <v>258435.6</v>
      </c>
      <c r="C16" s="256"/>
    </row>
    <row r="17" spans="1:3" x14ac:dyDescent="0.25">
      <c r="A17" s="252" t="s">
        <v>213</v>
      </c>
      <c r="B17" s="256"/>
      <c r="C17" s="256">
        <v>157848.07</v>
      </c>
    </row>
    <row r="18" spans="1:3" x14ac:dyDescent="0.25">
      <c r="A18" s="252" t="s">
        <v>214</v>
      </c>
      <c r="B18" s="256">
        <v>3475000</v>
      </c>
      <c r="C18" s="256"/>
    </row>
    <row r="19" spans="1:3" x14ac:dyDescent="0.25">
      <c r="A19" s="252" t="s">
        <v>215</v>
      </c>
      <c r="B19" s="256">
        <v>480935</v>
      </c>
      <c r="C19" s="256"/>
    </row>
    <row r="20" spans="1:3" x14ac:dyDescent="0.25">
      <c r="A20" s="252" t="s">
        <v>129</v>
      </c>
      <c r="B20" s="256"/>
      <c r="C20" s="256">
        <v>43346372</v>
      </c>
    </row>
    <row r="21" spans="1:3" x14ac:dyDescent="0.25">
      <c r="A21" s="252" t="s">
        <v>216</v>
      </c>
      <c r="B21" s="256">
        <v>842529</v>
      </c>
      <c r="C21" s="256"/>
    </row>
    <row r="22" spans="1:3" x14ac:dyDescent="0.25">
      <c r="A22" s="252" t="s">
        <v>217</v>
      </c>
      <c r="B22" s="256">
        <v>7500</v>
      </c>
      <c r="C22" s="256"/>
    </row>
    <row r="23" spans="1:3" x14ac:dyDescent="0.25">
      <c r="A23" s="252" t="s">
        <v>218</v>
      </c>
      <c r="B23" s="256">
        <v>4178.3</v>
      </c>
      <c r="C23" s="256"/>
    </row>
    <row r="24" spans="1:3" x14ac:dyDescent="0.25">
      <c r="A24" s="252" t="s">
        <v>543</v>
      </c>
      <c r="B24" s="256">
        <v>210000</v>
      </c>
      <c r="C24" s="256"/>
    </row>
    <row r="25" spans="1:3" x14ac:dyDescent="0.25">
      <c r="A25" s="252" t="s">
        <v>219</v>
      </c>
      <c r="B25" s="256">
        <v>76000</v>
      </c>
      <c r="C25" s="256"/>
    </row>
    <row r="26" spans="1:3" x14ac:dyDescent="0.25">
      <c r="A26" s="252" t="s">
        <v>220</v>
      </c>
      <c r="B26" s="256">
        <v>3776</v>
      </c>
      <c r="C26" s="256"/>
    </row>
    <row r="27" spans="1:3" x14ac:dyDescent="0.25">
      <c r="A27" s="252" t="s">
        <v>221</v>
      </c>
      <c r="B27" s="256"/>
      <c r="C27" s="256">
        <v>64800</v>
      </c>
    </row>
    <row r="28" spans="1:3" x14ac:dyDescent="0.25">
      <c r="A28" s="252" t="s">
        <v>222</v>
      </c>
      <c r="B28" s="256">
        <v>3272336.66</v>
      </c>
      <c r="C28" s="256"/>
    </row>
    <row r="29" spans="1:3" x14ac:dyDescent="0.25">
      <c r="A29" s="252" t="s">
        <v>544</v>
      </c>
      <c r="B29" s="256"/>
      <c r="C29" s="256">
        <v>211164</v>
      </c>
    </row>
    <row r="30" spans="1:3" x14ac:dyDescent="0.25">
      <c r="A30" s="252" t="s">
        <v>223</v>
      </c>
      <c r="B30" s="256"/>
      <c r="C30" s="256">
        <v>30090</v>
      </c>
    </row>
    <row r="31" spans="1:3" x14ac:dyDescent="0.25">
      <c r="A31" s="252" t="s">
        <v>224</v>
      </c>
      <c r="B31" s="256"/>
      <c r="C31" s="256">
        <v>356541.22</v>
      </c>
    </row>
    <row r="32" spans="1:3" x14ac:dyDescent="0.25">
      <c r="A32" s="252" t="s">
        <v>534</v>
      </c>
      <c r="B32" s="256"/>
      <c r="C32" s="256">
        <v>3649790</v>
      </c>
    </row>
    <row r="33" spans="1:3" x14ac:dyDescent="0.25">
      <c r="A33" s="252" t="s">
        <v>545</v>
      </c>
      <c r="B33" s="256">
        <v>1045412</v>
      </c>
      <c r="C33" s="256"/>
    </row>
    <row r="34" spans="1:3" x14ac:dyDescent="0.25">
      <c r="A34" s="252" t="s">
        <v>546</v>
      </c>
      <c r="B34" s="256">
        <v>21815</v>
      </c>
      <c r="C34" s="256"/>
    </row>
    <row r="35" spans="1:3" x14ac:dyDescent="0.25">
      <c r="A35" s="252" t="s">
        <v>228</v>
      </c>
      <c r="B35" s="256">
        <v>5678047</v>
      </c>
      <c r="C35" s="256"/>
    </row>
    <row r="36" spans="1:3" x14ac:dyDescent="0.25">
      <c r="A36" s="252" t="s">
        <v>547</v>
      </c>
      <c r="B36" s="256">
        <v>17288123.699999999</v>
      </c>
      <c r="C36" s="256"/>
    </row>
    <row r="37" spans="1:3" x14ac:dyDescent="0.25">
      <c r="A37" s="252" t="s">
        <v>232</v>
      </c>
      <c r="B37" s="256"/>
      <c r="C37" s="256">
        <v>70000</v>
      </c>
    </row>
    <row r="38" spans="1:3" x14ac:dyDescent="0.25">
      <c r="A38" s="252" t="s">
        <v>548</v>
      </c>
      <c r="B38" s="256">
        <v>1971357.6</v>
      </c>
      <c r="C38" s="256"/>
    </row>
    <row r="39" spans="1:3" x14ac:dyDescent="0.25">
      <c r="A39" s="252" t="s">
        <v>235</v>
      </c>
      <c r="B39" s="256">
        <v>366291.5</v>
      </c>
      <c r="C39" s="256"/>
    </row>
    <row r="40" spans="1:3" x14ac:dyDescent="0.25">
      <c r="A40" s="252" t="s">
        <v>236</v>
      </c>
      <c r="B40" s="256">
        <v>119300.91</v>
      </c>
      <c r="C40" s="256"/>
    </row>
    <row r="41" spans="1:3" x14ac:dyDescent="0.25">
      <c r="A41" s="252" t="s">
        <v>237</v>
      </c>
      <c r="B41" s="256">
        <v>5527201</v>
      </c>
      <c r="C41" s="256"/>
    </row>
    <row r="42" spans="1:3" x14ac:dyDescent="0.25">
      <c r="A42" s="252" t="s">
        <v>238</v>
      </c>
      <c r="B42" s="256"/>
      <c r="C42" s="256">
        <v>47520</v>
      </c>
    </row>
    <row r="43" spans="1:3" x14ac:dyDescent="0.25">
      <c r="A43" s="252" t="s">
        <v>239</v>
      </c>
      <c r="B43" s="256"/>
      <c r="C43" s="256">
        <v>390582</v>
      </c>
    </row>
    <row r="44" spans="1:3" x14ac:dyDescent="0.25">
      <c r="A44" s="252" t="s">
        <v>244</v>
      </c>
      <c r="B44" s="256">
        <v>19038.12</v>
      </c>
      <c r="C44" s="256"/>
    </row>
    <row r="45" spans="1:3" x14ac:dyDescent="0.25">
      <c r="A45" s="252" t="s">
        <v>246</v>
      </c>
      <c r="B45" s="256">
        <v>590</v>
      </c>
      <c r="C45" s="256"/>
    </row>
    <row r="46" spans="1:3" x14ac:dyDescent="0.25">
      <c r="A46" s="252" t="s">
        <v>247</v>
      </c>
      <c r="B46" s="256"/>
      <c r="C46" s="256">
        <v>11517</v>
      </c>
    </row>
    <row r="47" spans="1:3" x14ac:dyDescent="0.25">
      <c r="A47" s="252" t="s">
        <v>248</v>
      </c>
      <c r="B47" s="256"/>
      <c r="C47" s="256">
        <v>534537.99</v>
      </c>
    </row>
    <row r="48" spans="1:3" x14ac:dyDescent="0.25">
      <c r="A48" s="252" t="s">
        <v>251</v>
      </c>
      <c r="B48" s="256"/>
      <c r="C48" s="256">
        <v>546340</v>
      </c>
    </row>
    <row r="49" spans="1:3" x14ac:dyDescent="0.25">
      <c r="A49" s="252" t="s">
        <v>252</v>
      </c>
      <c r="B49" s="256">
        <v>226000</v>
      </c>
      <c r="C49" s="256"/>
    </row>
    <row r="50" spans="1:3" x14ac:dyDescent="0.25">
      <c r="A50" s="252" t="s">
        <v>253</v>
      </c>
      <c r="B50" s="256">
        <v>285</v>
      </c>
      <c r="C50" s="256"/>
    </row>
    <row r="51" spans="1:3" x14ac:dyDescent="0.25">
      <c r="A51" s="252" t="s">
        <v>255</v>
      </c>
      <c r="B51" s="256"/>
      <c r="C51" s="256">
        <v>26941</v>
      </c>
    </row>
    <row r="52" spans="1:3" x14ac:dyDescent="0.25">
      <c r="A52" s="252" t="s">
        <v>257</v>
      </c>
      <c r="B52" s="256">
        <v>471732</v>
      </c>
      <c r="C52" s="256"/>
    </row>
    <row r="53" spans="1:3" x14ac:dyDescent="0.25">
      <c r="A53" s="252" t="s">
        <v>549</v>
      </c>
      <c r="B53" s="256"/>
      <c r="C53" s="256">
        <v>5491</v>
      </c>
    </row>
    <row r="54" spans="1:3" x14ac:dyDescent="0.25">
      <c r="A54" s="252" t="s">
        <v>259</v>
      </c>
      <c r="B54" s="256">
        <v>540194</v>
      </c>
      <c r="C54" s="256"/>
    </row>
    <row r="55" spans="1:3" x14ac:dyDescent="0.25">
      <c r="A55" s="252" t="s">
        <v>260</v>
      </c>
      <c r="B55" s="256">
        <v>176788.82</v>
      </c>
      <c r="C55" s="256"/>
    </row>
    <row r="56" spans="1:3" x14ac:dyDescent="0.25">
      <c r="A56" s="252" t="s">
        <v>550</v>
      </c>
      <c r="B56" s="256"/>
      <c r="C56" s="256">
        <v>76700</v>
      </c>
    </row>
    <row r="57" spans="1:3" x14ac:dyDescent="0.25">
      <c r="A57" s="252" t="s">
        <v>265</v>
      </c>
      <c r="B57" s="256"/>
      <c r="C57" s="256">
        <v>212990</v>
      </c>
    </row>
    <row r="58" spans="1:3" x14ac:dyDescent="0.25">
      <c r="A58" s="252" t="s">
        <v>267</v>
      </c>
      <c r="B58" s="256"/>
      <c r="C58" s="256">
        <v>426688</v>
      </c>
    </row>
    <row r="59" spans="1:3" x14ac:dyDescent="0.25">
      <c r="A59" s="252" t="s">
        <v>268</v>
      </c>
      <c r="B59" s="256">
        <v>1176140.8600000001</v>
      </c>
      <c r="C59" s="256"/>
    </row>
    <row r="60" spans="1:3" x14ac:dyDescent="0.25">
      <c r="A60" s="252" t="s">
        <v>270</v>
      </c>
      <c r="B60" s="256"/>
      <c r="C60" s="256">
        <v>200200</v>
      </c>
    </row>
    <row r="61" spans="1:3" x14ac:dyDescent="0.25">
      <c r="A61" s="252" t="s">
        <v>551</v>
      </c>
      <c r="B61" s="256"/>
      <c r="C61" s="256">
        <v>244.8</v>
      </c>
    </row>
    <row r="62" spans="1:3" x14ac:dyDescent="0.25">
      <c r="A62" s="252" t="s">
        <v>552</v>
      </c>
      <c r="B62" s="256">
        <v>1204957</v>
      </c>
      <c r="C62" s="256"/>
    </row>
    <row r="63" spans="1:3" x14ac:dyDescent="0.25">
      <c r="A63" s="252" t="s">
        <v>553</v>
      </c>
      <c r="B63" s="256">
        <v>2172093.06</v>
      </c>
      <c r="C63" s="256"/>
    </row>
    <row r="64" spans="1:3" x14ac:dyDescent="0.25">
      <c r="A64" s="252" t="s">
        <v>276</v>
      </c>
      <c r="B64" s="256">
        <v>2416400</v>
      </c>
      <c r="C64" s="256"/>
    </row>
    <row r="65" spans="1:3" x14ac:dyDescent="0.25">
      <c r="A65" s="252" t="s">
        <v>277</v>
      </c>
      <c r="B65" s="256">
        <v>2447200</v>
      </c>
      <c r="C65" s="256"/>
    </row>
    <row r="66" spans="1:3" x14ac:dyDescent="0.25">
      <c r="A66" s="252" t="s">
        <v>554</v>
      </c>
      <c r="B66" s="256">
        <v>7952636.71</v>
      </c>
      <c r="C66" s="256"/>
    </row>
    <row r="67" spans="1:3" x14ac:dyDescent="0.25">
      <c r="A67" s="252" t="s">
        <v>279</v>
      </c>
      <c r="B67" s="256"/>
      <c r="C67" s="256">
        <v>31660</v>
      </c>
    </row>
    <row r="68" spans="1:3" x14ac:dyDescent="0.25">
      <c r="A68" s="252" t="s">
        <v>282</v>
      </c>
      <c r="B68" s="256"/>
      <c r="C68" s="256">
        <v>6002868</v>
      </c>
    </row>
    <row r="69" spans="1:3" x14ac:dyDescent="0.25">
      <c r="A69" s="252" t="s">
        <v>283</v>
      </c>
      <c r="B69" s="256"/>
      <c r="C69" s="256">
        <v>4324680</v>
      </c>
    </row>
    <row r="70" spans="1:3" x14ac:dyDescent="0.25">
      <c r="A70" s="252" t="s">
        <v>284</v>
      </c>
      <c r="B70" s="256">
        <v>10000</v>
      </c>
      <c r="C70" s="256"/>
    </row>
    <row r="71" spans="1:3" x14ac:dyDescent="0.25">
      <c r="A71" s="252" t="s">
        <v>285</v>
      </c>
      <c r="B71" s="256">
        <v>1240438.75</v>
      </c>
      <c r="C71" s="256"/>
    </row>
    <row r="72" spans="1:3" x14ac:dyDescent="0.25">
      <c r="A72" s="252" t="s">
        <v>286</v>
      </c>
      <c r="B72" s="256"/>
      <c r="C72" s="256">
        <v>103794.6</v>
      </c>
    </row>
    <row r="73" spans="1:3" x14ac:dyDescent="0.25">
      <c r="A73" s="252" t="s">
        <v>289</v>
      </c>
      <c r="B73" s="256"/>
      <c r="C73" s="256">
        <v>3650378</v>
      </c>
    </row>
    <row r="74" spans="1:3" x14ac:dyDescent="0.25">
      <c r="A74" s="252" t="s">
        <v>290</v>
      </c>
      <c r="B74" s="256">
        <v>4752151.34</v>
      </c>
      <c r="C74" s="256"/>
    </row>
    <row r="75" spans="1:3" x14ac:dyDescent="0.25">
      <c r="A75" s="252" t="s">
        <v>291</v>
      </c>
      <c r="B75" s="256">
        <v>104600</v>
      </c>
      <c r="C75" s="256"/>
    </row>
    <row r="76" spans="1:3" x14ac:dyDescent="0.25">
      <c r="A76" s="252" t="s">
        <v>292</v>
      </c>
      <c r="B76" s="256">
        <v>314685</v>
      </c>
      <c r="C76" s="256"/>
    </row>
    <row r="77" spans="1:3" x14ac:dyDescent="0.25">
      <c r="A77" s="252" t="s">
        <v>294</v>
      </c>
      <c r="B77" s="256">
        <v>10245299.1</v>
      </c>
      <c r="C77" s="256"/>
    </row>
    <row r="78" spans="1:3" x14ac:dyDescent="0.25">
      <c r="A78" s="252" t="s">
        <v>295</v>
      </c>
      <c r="B78" s="256">
        <v>1118115</v>
      </c>
      <c r="C78" s="256"/>
    </row>
    <row r="79" spans="1:3" x14ac:dyDescent="0.25">
      <c r="A79" s="252" t="s">
        <v>297</v>
      </c>
      <c r="B79" s="256">
        <v>184857.46</v>
      </c>
      <c r="C79" s="256"/>
    </row>
    <row r="80" spans="1:3" x14ac:dyDescent="0.25">
      <c r="A80" s="252" t="s">
        <v>298</v>
      </c>
      <c r="B80" s="256">
        <v>2066500</v>
      </c>
      <c r="C80" s="256"/>
    </row>
    <row r="81" spans="1:3" x14ac:dyDescent="0.25">
      <c r="A81" s="252" t="s">
        <v>301</v>
      </c>
      <c r="B81" s="256"/>
      <c r="C81" s="256">
        <v>335099</v>
      </c>
    </row>
    <row r="82" spans="1:3" x14ac:dyDescent="0.25">
      <c r="A82" s="252" t="s">
        <v>302</v>
      </c>
      <c r="B82" s="256"/>
      <c r="C82" s="256">
        <v>41825</v>
      </c>
    </row>
    <row r="83" spans="1:3" x14ac:dyDescent="0.25">
      <c r="A83" s="252" t="s">
        <v>555</v>
      </c>
      <c r="B83" s="256">
        <v>948199</v>
      </c>
      <c r="C83" s="256"/>
    </row>
    <row r="84" spans="1:3" x14ac:dyDescent="0.25">
      <c r="A84" s="252" t="s">
        <v>306</v>
      </c>
      <c r="B84" s="256">
        <v>26980</v>
      </c>
      <c r="C84" s="256"/>
    </row>
    <row r="85" spans="1:3" x14ac:dyDescent="0.25">
      <c r="A85" s="252" t="s">
        <v>556</v>
      </c>
      <c r="B85" s="256">
        <v>40</v>
      </c>
      <c r="C85" s="256"/>
    </row>
    <row r="86" spans="1:3" x14ac:dyDescent="0.25">
      <c r="A86" s="252" t="s">
        <v>557</v>
      </c>
      <c r="B86" s="256">
        <v>1256</v>
      </c>
      <c r="C86" s="256"/>
    </row>
    <row r="87" spans="1:3" x14ac:dyDescent="0.25">
      <c r="A87" s="252" t="s">
        <v>558</v>
      </c>
      <c r="B87" s="256">
        <v>2084</v>
      </c>
      <c r="C87" s="256"/>
    </row>
    <row r="88" spans="1:3" x14ac:dyDescent="0.25">
      <c r="A88" s="252" t="s">
        <v>559</v>
      </c>
      <c r="B88" s="256">
        <v>80</v>
      </c>
      <c r="C88" s="256"/>
    </row>
    <row r="89" spans="1:3" x14ac:dyDescent="0.25">
      <c r="A89" s="252" t="s">
        <v>560</v>
      </c>
      <c r="B89" s="256">
        <v>2500000</v>
      </c>
      <c r="C89" s="256"/>
    </row>
    <row r="90" spans="1:3" x14ac:dyDescent="0.25">
      <c r="A90" s="252" t="s">
        <v>561</v>
      </c>
      <c r="B90" s="256">
        <v>5000000</v>
      </c>
      <c r="C90" s="256"/>
    </row>
    <row r="91" spans="1:3" x14ac:dyDescent="0.25">
      <c r="A91" s="252" t="s">
        <v>562</v>
      </c>
      <c r="B91" s="256">
        <v>2500000</v>
      </c>
      <c r="C91" s="256"/>
    </row>
    <row r="92" spans="1:3" x14ac:dyDescent="0.25">
      <c r="A92" s="252" t="s">
        <v>563</v>
      </c>
      <c r="B92" s="256">
        <v>5000000</v>
      </c>
      <c r="C92" s="256"/>
    </row>
    <row r="93" spans="1:3" x14ac:dyDescent="0.25">
      <c r="A93" s="252" t="s">
        <v>564</v>
      </c>
      <c r="B93" s="256">
        <v>2500000</v>
      </c>
      <c r="C93" s="256"/>
    </row>
    <row r="94" spans="1:3" x14ac:dyDescent="0.25">
      <c r="A94" s="252" t="s">
        <v>565</v>
      </c>
      <c r="B94" s="256">
        <v>5000000</v>
      </c>
      <c r="C94" s="256"/>
    </row>
    <row r="95" spans="1:3" x14ac:dyDescent="0.25">
      <c r="A95" s="252" t="s">
        <v>308</v>
      </c>
      <c r="B95" s="256">
        <v>2000000</v>
      </c>
      <c r="C95" s="256"/>
    </row>
    <row r="96" spans="1:3" x14ac:dyDescent="0.25">
      <c r="A96" s="252" t="s">
        <v>309</v>
      </c>
      <c r="B96" s="256">
        <v>200000</v>
      </c>
      <c r="C96" s="256"/>
    </row>
    <row r="97" spans="1:3" x14ac:dyDescent="0.25">
      <c r="A97" s="252" t="s">
        <v>314</v>
      </c>
      <c r="B97" s="256">
        <v>2967775.54</v>
      </c>
      <c r="C97" s="256"/>
    </row>
    <row r="98" spans="1:3" x14ac:dyDescent="0.25">
      <c r="A98" s="252" t="s">
        <v>315</v>
      </c>
      <c r="B98" s="256">
        <v>283180</v>
      </c>
      <c r="C98" s="256"/>
    </row>
    <row r="99" spans="1:3" x14ac:dyDescent="0.25">
      <c r="A99" s="252" t="s">
        <v>316</v>
      </c>
      <c r="B99" s="256">
        <v>1255000</v>
      </c>
      <c r="C99" s="256"/>
    </row>
    <row r="100" spans="1:3" x14ac:dyDescent="0.25">
      <c r="A100" s="252" t="s">
        <v>318</v>
      </c>
      <c r="B100" s="256"/>
      <c r="C100" s="256">
        <v>4900</v>
      </c>
    </row>
    <row r="101" spans="1:3" x14ac:dyDescent="0.25">
      <c r="A101" s="252" t="s">
        <v>320</v>
      </c>
      <c r="B101" s="256">
        <v>295750</v>
      </c>
      <c r="C101" s="256"/>
    </row>
    <row r="102" spans="1:3" x14ac:dyDescent="0.25">
      <c r="A102" s="252" t="s">
        <v>566</v>
      </c>
      <c r="B102" s="256">
        <v>968074</v>
      </c>
      <c r="C102" s="256"/>
    </row>
    <row r="103" spans="1:3" x14ac:dyDescent="0.25">
      <c r="A103" s="252" t="s">
        <v>321</v>
      </c>
      <c r="B103" s="256">
        <v>3580246</v>
      </c>
      <c r="C103" s="256"/>
    </row>
    <row r="104" spans="1:3" x14ac:dyDescent="0.25">
      <c r="A104" s="252" t="s">
        <v>324</v>
      </c>
      <c r="B104" s="256"/>
      <c r="C104" s="256">
        <v>34128</v>
      </c>
    </row>
    <row r="105" spans="1:3" x14ac:dyDescent="0.25">
      <c r="A105" s="252" t="s">
        <v>325</v>
      </c>
      <c r="B105" s="256"/>
      <c r="C105" s="256">
        <v>352800</v>
      </c>
    </row>
    <row r="106" spans="1:3" x14ac:dyDescent="0.25">
      <c r="A106" s="252" t="s">
        <v>327</v>
      </c>
      <c r="B106" s="256"/>
      <c r="C106" s="256">
        <v>302560</v>
      </c>
    </row>
    <row r="107" spans="1:3" x14ac:dyDescent="0.25">
      <c r="A107" s="252" t="s">
        <v>328</v>
      </c>
      <c r="B107" s="256"/>
      <c r="C107" s="256">
        <v>21870</v>
      </c>
    </row>
    <row r="108" spans="1:3" x14ac:dyDescent="0.25">
      <c r="A108" s="252" t="s">
        <v>331</v>
      </c>
      <c r="B108" s="256">
        <v>700000</v>
      </c>
      <c r="C108" s="256"/>
    </row>
    <row r="109" spans="1:3" x14ac:dyDescent="0.25">
      <c r="A109" s="252" t="s">
        <v>332</v>
      </c>
      <c r="B109" s="256">
        <v>500000</v>
      </c>
      <c r="C109" s="256"/>
    </row>
    <row r="110" spans="1:3" x14ac:dyDescent="0.25">
      <c r="A110" s="252" t="s">
        <v>567</v>
      </c>
      <c r="B110" s="256"/>
      <c r="C110" s="256">
        <v>1080</v>
      </c>
    </row>
    <row r="111" spans="1:3" x14ac:dyDescent="0.25">
      <c r="A111" s="252" t="s">
        <v>333</v>
      </c>
      <c r="B111" s="256"/>
      <c r="C111" s="256">
        <v>4645.5</v>
      </c>
    </row>
    <row r="112" spans="1:3" x14ac:dyDescent="0.25">
      <c r="A112" s="252" t="s">
        <v>334</v>
      </c>
      <c r="B112" s="256">
        <v>3599011.72</v>
      </c>
      <c r="C112" s="256"/>
    </row>
    <row r="113" spans="1:3" x14ac:dyDescent="0.25">
      <c r="A113" s="252" t="s">
        <v>335</v>
      </c>
      <c r="B113" s="256">
        <v>24361725.989999998</v>
      </c>
      <c r="C113" s="256"/>
    </row>
    <row r="114" spans="1:3" x14ac:dyDescent="0.25">
      <c r="A114" s="252" t="s">
        <v>568</v>
      </c>
      <c r="B114" s="256">
        <v>37240</v>
      </c>
      <c r="C114" s="256"/>
    </row>
    <row r="115" spans="1:3" x14ac:dyDescent="0.25">
      <c r="A115" s="252" t="s">
        <v>569</v>
      </c>
      <c r="B115" s="256"/>
      <c r="C115" s="256">
        <v>4894.6400000000003</v>
      </c>
    </row>
    <row r="116" spans="1:3" x14ac:dyDescent="0.25">
      <c r="A116" s="252" t="s">
        <v>337</v>
      </c>
      <c r="B116" s="256">
        <v>669818</v>
      </c>
      <c r="C116" s="256"/>
    </row>
    <row r="117" spans="1:3" x14ac:dyDescent="0.25">
      <c r="A117" s="252" t="s">
        <v>570</v>
      </c>
      <c r="B117" s="256"/>
      <c r="C117" s="256">
        <v>7950750</v>
      </c>
    </row>
    <row r="118" spans="1:3" x14ac:dyDescent="0.25">
      <c r="A118" s="252" t="s">
        <v>340</v>
      </c>
      <c r="B118" s="256"/>
      <c r="C118" s="256">
        <v>10031</v>
      </c>
    </row>
    <row r="119" spans="1:3" x14ac:dyDescent="0.25">
      <c r="A119" s="252" t="s">
        <v>347</v>
      </c>
      <c r="B119" s="256">
        <v>71940</v>
      </c>
      <c r="C119" s="256"/>
    </row>
    <row r="120" spans="1:3" x14ac:dyDescent="0.25">
      <c r="A120" s="252" t="s">
        <v>351</v>
      </c>
      <c r="B120" s="256"/>
      <c r="C120" s="256">
        <v>475988</v>
      </c>
    </row>
    <row r="121" spans="1:3" x14ac:dyDescent="0.25">
      <c r="A121" s="252" t="s">
        <v>353</v>
      </c>
      <c r="B121" s="256">
        <v>110000</v>
      </c>
      <c r="C121" s="256"/>
    </row>
    <row r="122" spans="1:3" x14ac:dyDescent="0.25">
      <c r="A122" s="252" t="s">
        <v>355</v>
      </c>
      <c r="B122" s="256"/>
      <c r="C122" s="256">
        <v>96544</v>
      </c>
    </row>
    <row r="123" spans="1:3" x14ac:dyDescent="0.25">
      <c r="A123" s="252" t="s">
        <v>571</v>
      </c>
      <c r="B123" s="256"/>
      <c r="C123" s="256">
        <v>209748</v>
      </c>
    </row>
    <row r="124" spans="1:3" x14ac:dyDescent="0.25">
      <c r="A124" s="252" t="s">
        <v>357</v>
      </c>
      <c r="B124" s="256"/>
      <c r="C124" s="256">
        <v>56990</v>
      </c>
    </row>
    <row r="125" spans="1:3" x14ac:dyDescent="0.25">
      <c r="A125" s="252" t="s">
        <v>358</v>
      </c>
      <c r="B125" s="256">
        <v>15481981.5</v>
      </c>
      <c r="C125" s="256"/>
    </row>
    <row r="126" spans="1:3" x14ac:dyDescent="0.25">
      <c r="A126" s="252" t="s">
        <v>359</v>
      </c>
      <c r="B126" s="256">
        <v>974721</v>
      </c>
      <c r="C126" s="256"/>
    </row>
    <row r="127" spans="1:3" x14ac:dyDescent="0.25">
      <c r="A127" s="252" t="s">
        <v>360</v>
      </c>
      <c r="B127" s="256">
        <v>2226946</v>
      </c>
      <c r="C127" s="256"/>
    </row>
    <row r="128" spans="1:3" x14ac:dyDescent="0.25">
      <c r="A128" s="252" t="s">
        <v>572</v>
      </c>
      <c r="B128" s="256"/>
      <c r="C128" s="256">
        <v>114933</v>
      </c>
    </row>
    <row r="129" spans="1:3" x14ac:dyDescent="0.25">
      <c r="A129" s="252" t="s">
        <v>364</v>
      </c>
      <c r="B129" s="256">
        <v>709287.5</v>
      </c>
      <c r="C129" s="256"/>
    </row>
    <row r="130" spans="1:3" x14ac:dyDescent="0.25">
      <c r="A130" s="252" t="s">
        <v>573</v>
      </c>
      <c r="B130" s="256"/>
      <c r="C130" s="256">
        <v>39129</v>
      </c>
    </row>
    <row r="131" spans="1:3" x14ac:dyDescent="0.25">
      <c r="A131" s="252" t="s">
        <v>366</v>
      </c>
      <c r="B131" s="256"/>
      <c r="C131" s="256">
        <v>563216</v>
      </c>
    </row>
    <row r="132" spans="1:3" x14ac:dyDescent="0.25">
      <c r="A132" s="252" t="s">
        <v>367</v>
      </c>
      <c r="B132" s="256">
        <v>99440774.409999996</v>
      </c>
      <c r="C132" s="256"/>
    </row>
    <row r="133" spans="1:3" x14ac:dyDescent="0.25">
      <c r="A133" s="252" t="s">
        <v>574</v>
      </c>
      <c r="B133" s="256"/>
      <c r="C133" s="256">
        <v>1413494</v>
      </c>
    </row>
    <row r="134" spans="1:3" x14ac:dyDescent="0.25">
      <c r="A134" s="252" t="s">
        <v>368</v>
      </c>
      <c r="B134" s="256"/>
      <c r="C134" s="256">
        <v>48441940</v>
      </c>
    </row>
    <row r="135" spans="1:3" x14ac:dyDescent="0.25">
      <c r="A135" s="252" t="s">
        <v>369</v>
      </c>
      <c r="B135" s="256"/>
      <c r="C135" s="256">
        <v>13953029</v>
      </c>
    </row>
    <row r="136" spans="1:3" x14ac:dyDescent="0.25">
      <c r="A136" s="252" t="s">
        <v>370</v>
      </c>
      <c r="B136" s="256"/>
      <c r="C136" s="256">
        <v>10840</v>
      </c>
    </row>
    <row r="137" spans="1:3" x14ac:dyDescent="0.25">
      <c r="A137" s="252" t="s">
        <v>371</v>
      </c>
      <c r="B137" s="256">
        <v>354240</v>
      </c>
      <c r="C137" s="256"/>
    </row>
    <row r="138" spans="1:3" x14ac:dyDescent="0.25">
      <c r="A138" s="252" t="s">
        <v>372</v>
      </c>
      <c r="B138" s="256"/>
      <c r="C138" s="256">
        <v>105598</v>
      </c>
    </row>
    <row r="139" spans="1:3" x14ac:dyDescent="0.25">
      <c r="A139" s="252" t="s">
        <v>374</v>
      </c>
      <c r="B139" s="256"/>
      <c r="C139" s="256">
        <v>95768.8</v>
      </c>
    </row>
    <row r="140" spans="1:3" x14ac:dyDescent="0.25">
      <c r="A140" s="252" t="s">
        <v>375</v>
      </c>
      <c r="B140" s="256"/>
      <c r="C140" s="256">
        <v>5310</v>
      </c>
    </row>
    <row r="141" spans="1:3" x14ac:dyDescent="0.25">
      <c r="A141" s="252" t="s">
        <v>376</v>
      </c>
      <c r="B141" s="256">
        <v>5905744.4699999997</v>
      </c>
      <c r="C141" s="256"/>
    </row>
    <row r="142" spans="1:3" x14ac:dyDescent="0.25">
      <c r="A142" s="252" t="s">
        <v>378</v>
      </c>
      <c r="B142" s="256">
        <v>420000</v>
      </c>
      <c r="C142" s="256"/>
    </row>
    <row r="143" spans="1:3" x14ac:dyDescent="0.25">
      <c r="A143" s="252" t="s">
        <v>379</v>
      </c>
      <c r="B143" s="256"/>
      <c r="C143" s="256">
        <v>291256</v>
      </c>
    </row>
    <row r="144" spans="1:3" x14ac:dyDescent="0.25">
      <c r="A144" s="252" t="s">
        <v>575</v>
      </c>
      <c r="B144" s="256"/>
      <c r="C144" s="256">
        <v>47748</v>
      </c>
    </row>
    <row r="145" spans="1:3" x14ac:dyDescent="0.25">
      <c r="A145" s="252" t="s">
        <v>576</v>
      </c>
      <c r="B145" s="256"/>
      <c r="C145" s="256">
        <v>42120</v>
      </c>
    </row>
    <row r="146" spans="1:3" x14ac:dyDescent="0.25">
      <c r="A146" s="252" t="s">
        <v>577</v>
      </c>
      <c r="B146" s="256"/>
      <c r="C146" s="256">
        <v>656</v>
      </c>
    </row>
    <row r="147" spans="1:3" x14ac:dyDescent="0.25">
      <c r="A147" s="252" t="s">
        <v>578</v>
      </c>
      <c r="B147" s="256">
        <v>7968675</v>
      </c>
      <c r="C147" s="256"/>
    </row>
    <row r="148" spans="1:3" x14ac:dyDescent="0.25">
      <c r="A148" s="252" t="s">
        <v>579</v>
      </c>
      <c r="B148" s="256"/>
      <c r="C148" s="256">
        <v>265200</v>
      </c>
    </row>
    <row r="149" spans="1:3" x14ac:dyDescent="0.25">
      <c r="A149" s="252" t="s">
        <v>382</v>
      </c>
      <c r="B149" s="256">
        <v>375</v>
      </c>
      <c r="C149" s="256"/>
    </row>
    <row r="150" spans="1:3" x14ac:dyDescent="0.25">
      <c r="A150" s="252" t="s">
        <v>386</v>
      </c>
      <c r="B150" s="256">
        <v>1086698</v>
      </c>
      <c r="C150" s="256"/>
    </row>
    <row r="151" spans="1:3" x14ac:dyDescent="0.25">
      <c r="A151" s="252" t="s">
        <v>387</v>
      </c>
      <c r="B151" s="256"/>
      <c r="C151" s="256">
        <v>80090</v>
      </c>
    </row>
    <row r="152" spans="1:3" x14ac:dyDescent="0.25">
      <c r="A152" s="252" t="s">
        <v>580</v>
      </c>
      <c r="B152" s="256">
        <v>2921161</v>
      </c>
      <c r="C152" s="256"/>
    </row>
    <row r="153" spans="1:3" x14ac:dyDescent="0.25">
      <c r="A153" s="252" t="s">
        <v>388</v>
      </c>
      <c r="B153" s="256"/>
      <c r="C153" s="256">
        <v>2355</v>
      </c>
    </row>
    <row r="154" spans="1:3" x14ac:dyDescent="0.25">
      <c r="A154" s="252" t="s">
        <v>581</v>
      </c>
      <c r="B154" s="256">
        <v>42500</v>
      </c>
      <c r="C154" s="256"/>
    </row>
    <row r="155" spans="1:3" x14ac:dyDescent="0.25">
      <c r="A155" s="252" t="s">
        <v>391</v>
      </c>
      <c r="B155" s="256"/>
      <c r="C155" s="256">
        <v>3649790</v>
      </c>
    </row>
    <row r="156" spans="1:3" x14ac:dyDescent="0.25">
      <c r="A156" s="252" t="s">
        <v>394</v>
      </c>
      <c r="B156" s="256"/>
      <c r="C156" s="256">
        <v>1070511.19</v>
      </c>
    </row>
    <row r="157" spans="1:3" x14ac:dyDescent="0.25">
      <c r="A157" s="252" t="s">
        <v>395</v>
      </c>
      <c r="B157" s="256">
        <v>50601.34</v>
      </c>
      <c r="C157" s="256"/>
    </row>
    <row r="158" spans="1:3" x14ac:dyDescent="0.25">
      <c r="A158" s="252" t="s">
        <v>400</v>
      </c>
      <c r="B158" s="256"/>
      <c r="C158" s="256">
        <v>49724</v>
      </c>
    </row>
    <row r="159" spans="1:3" x14ac:dyDescent="0.25">
      <c r="A159" s="252" t="s">
        <v>401</v>
      </c>
      <c r="B159" s="256"/>
      <c r="C159" s="256">
        <v>31624</v>
      </c>
    </row>
    <row r="160" spans="1:3" x14ac:dyDescent="0.25">
      <c r="A160" s="252" t="s">
        <v>402</v>
      </c>
      <c r="B160" s="256">
        <v>954414</v>
      </c>
      <c r="C160" s="256"/>
    </row>
    <row r="161" spans="1:3" x14ac:dyDescent="0.25">
      <c r="A161" s="252" t="s">
        <v>403</v>
      </c>
      <c r="B161" s="256">
        <v>32313799</v>
      </c>
      <c r="C161" s="256"/>
    </row>
    <row r="162" spans="1:3" x14ac:dyDescent="0.25">
      <c r="A162" s="252" t="s">
        <v>140</v>
      </c>
      <c r="B162" s="256">
        <v>1874480</v>
      </c>
      <c r="C162" s="256"/>
    </row>
    <row r="163" spans="1:3" x14ac:dyDescent="0.25">
      <c r="A163" s="252" t="s">
        <v>404</v>
      </c>
      <c r="B163" s="256">
        <v>460350.76</v>
      </c>
      <c r="C163" s="256"/>
    </row>
    <row r="164" spans="1:3" x14ac:dyDescent="0.25">
      <c r="A164" s="252" t="s">
        <v>406</v>
      </c>
      <c r="B164" s="256"/>
      <c r="C164" s="256">
        <v>826</v>
      </c>
    </row>
    <row r="165" spans="1:3" x14ac:dyDescent="0.25">
      <c r="A165" s="252" t="s">
        <v>408</v>
      </c>
      <c r="B165" s="256"/>
      <c r="C165" s="256">
        <v>112525314.98999999</v>
      </c>
    </row>
    <row r="166" spans="1:3" x14ac:dyDescent="0.25">
      <c r="A166" s="252" t="s">
        <v>409</v>
      </c>
      <c r="B166" s="256"/>
      <c r="C166" s="256">
        <v>17800</v>
      </c>
    </row>
    <row r="167" spans="1:3" x14ac:dyDescent="0.25">
      <c r="A167" s="252" t="s">
        <v>410</v>
      </c>
      <c r="B167" s="256">
        <v>54999</v>
      </c>
      <c r="C167" s="256"/>
    </row>
    <row r="168" spans="1:3" x14ac:dyDescent="0.25">
      <c r="A168" s="252" t="s">
        <v>412</v>
      </c>
      <c r="B168" s="256"/>
      <c r="C168" s="256">
        <v>35586386</v>
      </c>
    </row>
    <row r="169" spans="1:3" x14ac:dyDescent="0.25">
      <c r="A169" s="252" t="s">
        <v>414</v>
      </c>
      <c r="B169" s="256"/>
      <c r="C169" s="256">
        <v>91836</v>
      </c>
    </row>
    <row r="170" spans="1:3" x14ac:dyDescent="0.25">
      <c r="A170" s="252" t="s">
        <v>582</v>
      </c>
      <c r="B170" s="256"/>
      <c r="C170" s="256">
        <v>543188</v>
      </c>
    </row>
    <row r="171" spans="1:3" x14ac:dyDescent="0.25">
      <c r="A171" s="252" t="s">
        <v>415</v>
      </c>
      <c r="B171" s="256"/>
      <c r="C171" s="256">
        <v>115279</v>
      </c>
    </row>
    <row r="172" spans="1:3" x14ac:dyDescent="0.25">
      <c r="A172" s="252" t="s">
        <v>417</v>
      </c>
      <c r="B172" s="256"/>
      <c r="C172" s="256">
        <v>36816</v>
      </c>
    </row>
    <row r="173" spans="1:3" x14ac:dyDescent="0.25">
      <c r="A173" s="252" t="s">
        <v>201</v>
      </c>
      <c r="B173" s="256"/>
      <c r="C173" s="256">
        <v>31530868</v>
      </c>
    </row>
    <row r="174" spans="1:3" x14ac:dyDescent="0.25">
      <c r="A174" s="252" t="s">
        <v>428</v>
      </c>
      <c r="B174" s="256"/>
      <c r="C174" s="256">
        <v>18651</v>
      </c>
    </row>
    <row r="175" spans="1:3" x14ac:dyDescent="0.25">
      <c r="A175" s="252" t="s">
        <v>583</v>
      </c>
      <c r="B175" s="256">
        <v>10625233.300000001</v>
      </c>
      <c r="C175" s="256"/>
    </row>
    <row r="176" spans="1:3" x14ac:dyDescent="0.25">
      <c r="A176" s="252" t="s">
        <v>584</v>
      </c>
      <c r="B176" s="256"/>
      <c r="C176" s="256">
        <v>33102</v>
      </c>
    </row>
    <row r="177" spans="1:3" x14ac:dyDescent="0.25">
      <c r="A177" s="252" t="s">
        <v>202</v>
      </c>
      <c r="B177" s="256"/>
      <c r="C177" s="256">
        <v>72383</v>
      </c>
    </row>
    <row r="178" spans="1:3" x14ac:dyDescent="0.25">
      <c r="A178" s="252" t="s">
        <v>430</v>
      </c>
      <c r="B178" s="256"/>
      <c r="C178" s="256">
        <v>31510</v>
      </c>
    </row>
    <row r="179" spans="1:3" x14ac:dyDescent="0.25">
      <c r="A179" s="252" t="s">
        <v>585</v>
      </c>
      <c r="B179" s="256">
        <v>1857929.6</v>
      </c>
      <c r="C179" s="256"/>
    </row>
    <row r="180" spans="1:3" x14ac:dyDescent="0.25">
      <c r="A180" s="252" t="s">
        <v>433</v>
      </c>
      <c r="B180" s="256">
        <v>152820.82999999999</v>
      </c>
      <c r="C180" s="256"/>
    </row>
    <row r="181" spans="1:3" x14ac:dyDescent="0.25">
      <c r="A181" s="252" t="s">
        <v>434</v>
      </c>
      <c r="B181" s="256">
        <v>98337</v>
      </c>
      <c r="C181" s="256"/>
    </row>
    <row r="182" spans="1:3" x14ac:dyDescent="0.25">
      <c r="A182" s="252" t="s">
        <v>446</v>
      </c>
      <c r="B182" s="256"/>
      <c r="C182" s="256">
        <v>3121940</v>
      </c>
    </row>
    <row r="183" spans="1:3" x14ac:dyDescent="0.25">
      <c r="A183" s="252" t="s">
        <v>447</v>
      </c>
      <c r="B183" s="256"/>
      <c r="C183" s="256">
        <v>9153770</v>
      </c>
    </row>
    <row r="184" spans="1:3" x14ac:dyDescent="0.25">
      <c r="A184" s="252" t="s">
        <v>448</v>
      </c>
      <c r="B184" s="256"/>
      <c r="C184" s="256">
        <v>1975910</v>
      </c>
    </row>
    <row r="185" spans="1:3" x14ac:dyDescent="0.25">
      <c r="A185" s="252" t="s">
        <v>449</v>
      </c>
      <c r="B185" s="256"/>
      <c r="C185" s="256">
        <v>9498500</v>
      </c>
    </row>
    <row r="186" spans="1:3" x14ac:dyDescent="0.25">
      <c r="A186" s="252" t="s">
        <v>450</v>
      </c>
      <c r="B186" s="256"/>
      <c r="C186" s="256">
        <v>2036660</v>
      </c>
    </row>
    <row r="187" spans="1:3" x14ac:dyDescent="0.25">
      <c r="A187" s="252" t="s">
        <v>451</v>
      </c>
      <c r="B187" s="256"/>
      <c r="C187" s="256">
        <v>18947710</v>
      </c>
    </row>
    <row r="188" spans="1:3" x14ac:dyDescent="0.25">
      <c r="A188" s="252" t="s">
        <v>452</v>
      </c>
      <c r="B188" s="256"/>
      <c r="C188" s="256">
        <v>9017600</v>
      </c>
    </row>
    <row r="189" spans="1:3" x14ac:dyDescent="0.25">
      <c r="A189" s="252" t="s">
        <v>453</v>
      </c>
      <c r="B189" s="256"/>
      <c r="C189" s="256">
        <v>10</v>
      </c>
    </row>
    <row r="190" spans="1:3" x14ac:dyDescent="0.25">
      <c r="A190" s="252" t="s">
        <v>454</v>
      </c>
      <c r="B190" s="256"/>
      <c r="C190" s="256">
        <v>17546161</v>
      </c>
    </row>
    <row r="191" spans="1:3" x14ac:dyDescent="0.25">
      <c r="A191" s="252" t="s">
        <v>455</v>
      </c>
      <c r="B191" s="256"/>
      <c r="C191" s="256">
        <v>500000</v>
      </c>
    </row>
    <row r="192" spans="1:3" x14ac:dyDescent="0.25">
      <c r="A192" s="252" t="s">
        <v>456</v>
      </c>
      <c r="B192" s="256"/>
      <c r="C192" s="256">
        <v>341633</v>
      </c>
    </row>
    <row r="193" spans="1:3" x14ac:dyDescent="0.25">
      <c r="A193" s="252" t="s">
        <v>457</v>
      </c>
      <c r="B193" s="256"/>
      <c r="C193" s="256">
        <v>22950</v>
      </c>
    </row>
    <row r="194" spans="1:3" x14ac:dyDescent="0.25">
      <c r="A194" s="252" t="s">
        <v>458</v>
      </c>
      <c r="B194" s="256"/>
      <c r="C194" s="256">
        <v>547284.01</v>
      </c>
    </row>
    <row r="195" spans="1:3" x14ac:dyDescent="0.25">
      <c r="A195" s="252" t="s">
        <v>459</v>
      </c>
      <c r="B195" s="256">
        <v>4078742.8</v>
      </c>
      <c r="C195" s="256"/>
    </row>
    <row r="196" spans="1:3" x14ac:dyDescent="0.25">
      <c r="A196" s="252" t="s">
        <v>460</v>
      </c>
      <c r="B196" s="256">
        <v>70000</v>
      </c>
      <c r="C196" s="256"/>
    </row>
    <row r="197" spans="1:3" x14ac:dyDescent="0.25">
      <c r="A197" s="252" t="s">
        <v>462</v>
      </c>
      <c r="B197" s="256"/>
      <c r="C197" s="256">
        <v>13658</v>
      </c>
    </row>
    <row r="198" spans="1:3" x14ac:dyDescent="0.25">
      <c r="A198" s="252" t="s">
        <v>465</v>
      </c>
      <c r="B198" s="256">
        <v>34800</v>
      </c>
      <c r="C198" s="256"/>
    </row>
    <row r="199" spans="1:3" x14ac:dyDescent="0.25">
      <c r="A199" s="252" t="s">
        <v>586</v>
      </c>
      <c r="B199" s="256"/>
      <c r="C199" s="256">
        <v>178197</v>
      </c>
    </row>
    <row r="200" spans="1:3" x14ac:dyDescent="0.25">
      <c r="A200" s="252" t="s">
        <v>587</v>
      </c>
      <c r="B200" s="256"/>
      <c r="C200" s="256">
        <v>2160</v>
      </c>
    </row>
    <row r="201" spans="1:3" x14ac:dyDescent="0.25">
      <c r="A201" s="252" t="s">
        <v>466</v>
      </c>
      <c r="B201" s="256"/>
      <c r="C201" s="256">
        <v>6264</v>
      </c>
    </row>
    <row r="202" spans="1:3" x14ac:dyDescent="0.25">
      <c r="A202" s="252" t="s">
        <v>467</v>
      </c>
      <c r="B202" s="256"/>
      <c r="C202" s="256">
        <v>68908</v>
      </c>
    </row>
    <row r="203" spans="1:3" x14ac:dyDescent="0.25">
      <c r="A203" s="252" t="s">
        <v>468</v>
      </c>
      <c r="B203" s="256">
        <v>502</v>
      </c>
      <c r="C203" s="256"/>
    </row>
    <row r="204" spans="1:3" x14ac:dyDescent="0.25">
      <c r="A204" s="252" t="s">
        <v>469</v>
      </c>
      <c r="B204" s="256"/>
      <c r="C204" s="256">
        <v>10915</v>
      </c>
    </row>
    <row r="205" spans="1:3" x14ac:dyDescent="0.25">
      <c r="A205" s="252" t="s">
        <v>470</v>
      </c>
      <c r="B205" s="256">
        <v>3600</v>
      </c>
      <c r="C205" s="256"/>
    </row>
    <row r="206" spans="1:3" x14ac:dyDescent="0.25">
      <c r="A206" s="252" t="s">
        <v>476</v>
      </c>
      <c r="B206" s="256">
        <v>475000</v>
      </c>
      <c r="C206" s="256"/>
    </row>
    <row r="207" spans="1:3" x14ac:dyDescent="0.25">
      <c r="A207" s="252" t="s">
        <v>588</v>
      </c>
      <c r="B207" s="256">
        <v>393240</v>
      </c>
      <c r="C207" s="256"/>
    </row>
    <row r="208" spans="1:3" x14ac:dyDescent="0.25">
      <c r="A208" s="252" t="s">
        <v>589</v>
      </c>
      <c r="B208" s="256"/>
      <c r="C208" s="256">
        <v>18454.8</v>
      </c>
    </row>
    <row r="209" spans="1:5" x14ac:dyDescent="0.25">
      <c r="A209" s="252" t="s">
        <v>590</v>
      </c>
      <c r="B209" s="256"/>
      <c r="C209" s="256">
        <v>5000</v>
      </c>
    </row>
    <row r="210" spans="1:5" x14ac:dyDescent="0.25">
      <c r="A210" s="252" t="s">
        <v>591</v>
      </c>
      <c r="B210" s="256"/>
      <c r="C210" s="256">
        <v>42480</v>
      </c>
    </row>
    <row r="211" spans="1:5" x14ac:dyDescent="0.25">
      <c r="A211" s="252" t="s">
        <v>480</v>
      </c>
      <c r="B211" s="256">
        <v>899000</v>
      </c>
      <c r="C211" s="256"/>
    </row>
    <row r="212" spans="1:5" x14ac:dyDescent="0.25">
      <c r="A212" s="252" t="s">
        <v>481</v>
      </c>
      <c r="B212" s="256">
        <v>1763078</v>
      </c>
      <c r="C212" s="256"/>
    </row>
    <row r="213" spans="1:5" x14ac:dyDescent="0.25">
      <c r="A213" s="252" t="s">
        <v>482</v>
      </c>
      <c r="B213" s="256"/>
      <c r="C213" s="256">
        <v>320305</v>
      </c>
    </row>
    <row r="214" spans="1:5" x14ac:dyDescent="0.25">
      <c r="A214" s="252" t="s">
        <v>483</v>
      </c>
      <c r="B214" s="256">
        <f>73224.08-13724.55</f>
        <v>59499.53</v>
      </c>
      <c r="C214" s="256"/>
    </row>
    <row r="215" spans="1:5" x14ac:dyDescent="0.25">
      <c r="A215" s="252" t="s">
        <v>484</v>
      </c>
      <c r="B215" s="256">
        <v>23139000</v>
      </c>
      <c r="C215" s="256"/>
    </row>
    <row r="216" spans="1:5" x14ac:dyDescent="0.25">
      <c r="A216" s="252" t="s">
        <v>485</v>
      </c>
      <c r="B216" s="256"/>
      <c r="C216" s="256">
        <v>5879</v>
      </c>
    </row>
    <row r="217" spans="1:5" x14ac:dyDescent="0.25">
      <c r="A217" s="252" t="s">
        <v>486</v>
      </c>
      <c r="B217" s="256"/>
      <c r="C217" s="256">
        <v>1481662</v>
      </c>
    </row>
    <row r="218" spans="1:5" x14ac:dyDescent="0.25">
      <c r="A218" s="252" t="s">
        <v>487</v>
      </c>
      <c r="B218" s="256"/>
      <c r="C218" s="256">
        <v>95976</v>
      </c>
    </row>
    <row r="219" spans="1:5" x14ac:dyDescent="0.25">
      <c r="A219" s="252" t="s">
        <v>488</v>
      </c>
      <c r="B219" s="256"/>
      <c r="C219" s="256">
        <v>371250</v>
      </c>
    </row>
    <row r="220" spans="1:5" x14ac:dyDescent="0.25">
      <c r="A220" s="252" t="s">
        <v>489</v>
      </c>
      <c r="B220" s="256"/>
      <c r="C220" s="256">
        <v>23716</v>
      </c>
    </row>
    <row r="221" spans="1:5" x14ac:dyDescent="0.25">
      <c r="A221" s="252" t="s">
        <v>490</v>
      </c>
      <c r="B221" s="256">
        <f>22603253.24+13724.55</f>
        <v>22616977.789999999</v>
      </c>
      <c r="C221" s="256"/>
      <c r="E221" s="278"/>
    </row>
    <row r="222" spans="1:5" x14ac:dyDescent="0.25">
      <c r="A222" s="252" t="s">
        <v>491</v>
      </c>
      <c r="B222" s="256"/>
      <c r="C222" s="256">
        <v>105248</v>
      </c>
    </row>
    <row r="223" spans="1:5" x14ac:dyDescent="0.25">
      <c r="A223" s="252" t="s">
        <v>592</v>
      </c>
      <c r="B223" s="256"/>
      <c r="C223" s="256">
        <v>547070.4</v>
      </c>
    </row>
    <row r="224" spans="1:5" x14ac:dyDescent="0.25">
      <c r="A224" s="252" t="s">
        <v>593</v>
      </c>
      <c r="B224" s="256"/>
      <c r="C224" s="256">
        <v>20060</v>
      </c>
    </row>
    <row r="225" spans="1:3" x14ac:dyDescent="0.25">
      <c r="A225" s="252" t="s">
        <v>493</v>
      </c>
      <c r="B225" s="256"/>
      <c r="C225" s="256">
        <v>320305</v>
      </c>
    </row>
    <row r="226" spans="1:3" x14ac:dyDescent="0.25">
      <c r="A226" s="252" t="s">
        <v>494</v>
      </c>
      <c r="B226" s="256">
        <v>1744750.66</v>
      </c>
      <c r="C226" s="256"/>
    </row>
    <row r="227" spans="1:3" x14ac:dyDescent="0.25">
      <c r="A227" s="252" t="s">
        <v>594</v>
      </c>
      <c r="B227" s="256">
        <v>8000</v>
      </c>
      <c r="C227" s="256"/>
    </row>
    <row r="228" spans="1:3" x14ac:dyDescent="0.25">
      <c r="A228" s="252" t="s">
        <v>495</v>
      </c>
      <c r="B228" s="256"/>
      <c r="C228" s="256">
        <v>320305</v>
      </c>
    </row>
    <row r="229" spans="1:3" x14ac:dyDescent="0.25">
      <c r="A229" s="252" t="s">
        <v>496</v>
      </c>
      <c r="B229" s="256">
        <v>5000000</v>
      </c>
      <c r="C229" s="256"/>
    </row>
    <row r="230" spans="1:3" x14ac:dyDescent="0.25">
      <c r="A230" s="252" t="s">
        <v>497</v>
      </c>
      <c r="B230" s="256">
        <v>603900</v>
      </c>
      <c r="C230" s="256"/>
    </row>
    <row r="231" spans="1:3" x14ac:dyDescent="0.25">
      <c r="A231" s="252" t="s">
        <v>502</v>
      </c>
      <c r="B231" s="256">
        <v>143000</v>
      </c>
      <c r="C231" s="256"/>
    </row>
    <row r="232" spans="1:3" x14ac:dyDescent="0.25">
      <c r="A232" s="252" t="s">
        <v>504</v>
      </c>
      <c r="B232" s="256"/>
      <c r="C232" s="256">
        <v>622251</v>
      </c>
    </row>
    <row r="233" spans="1:3" x14ac:dyDescent="0.25">
      <c r="A233" s="252" t="s">
        <v>505</v>
      </c>
      <c r="B233" s="256">
        <v>43760.26</v>
      </c>
      <c r="C233" s="256"/>
    </row>
    <row r="234" spans="1:3" x14ac:dyDescent="0.25">
      <c r="A234" s="252" t="s">
        <v>506</v>
      </c>
      <c r="B234" s="256"/>
      <c r="C234" s="256">
        <v>227892</v>
      </c>
    </row>
    <row r="235" spans="1:3" x14ac:dyDescent="0.25">
      <c r="A235" s="252" t="s">
        <v>507</v>
      </c>
      <c r="B235" s="256">
        <v>722847.54</v>
      </c>
      <c r="C235" s="256"/>
    </row>
    <row r="236" spans="1:3" x14ac:dyDescent="0.25">
      <c r="A236" s="252" t="s">
        <v>508</v>
      </c>
      <c r="B236" s="256"/>
      <c r="C236" s="256">
        <v>5850</v>
      </c>
    </row>
    <row r="237" spans="1:3" x14ac:dyDescent="0.25">
      <c r="A237" s="252" t="s">
        <v>509</v>
      </c>
      <c r="B237" s="256"/>
      <c r="C237" s="256">
        <v>105000</v>
      </c>
    </row>
    <row r="238" spans="1:3" x14ac:dyDescent="0.25">
      <c r="A238" s="252" t="s">
        <v>595</v>
      </c>
      <c r="B238" s="256"/>
      <c r="C238" s="256">
        <v>2</v>
      </c>
    </row>
    <row r="239" spans="1:3" x14ac:dyDescent="0.25">
      <c r="A239" s="252" t="s">
        <v>511</v>
      </c>
      <c r="B239" s="256"/>
      <c r="C239" s="256">
        <v>409379</v>
      </c>
    </row>
    <row r="240" spans="1:3" x14ac:dyDescent="0.25">
      <c r="A240" s="252" t="s">
        <v>512</v>
      </c>
      <c r="B240" s="256"/>
      <c r="C240" s="256">
        <v>122680.67</v>
      </c>
    </row>
    <row r="241" spans="1:3" x14ac:dyDescent="0.25">
      <c r="A241" s="252" t="s">
        <v>513</v>
      </c>
      <c r="B241" s="256">
        <v>1603500</v>
      </c>
      <c r="C241" s="256"/>
    </row>
    <row r="242" spans="1:3" x14ac:dyDescent="0.25">
      <c r="A242" s="252" t="s">
        <v>517</v>
      </c>
      <c r="B242" s="256">
        <v>5553379</v>
      </c>
      <c r="C242" s="256"/>
    </row>
    <row r="243" spans="1:3" x14ac:dyDescent="0.25">
      <c r="A243" s="252" t="s">
        <v>521</v>
      </c>
      <c r="B243" s="256">
        <v>972000</v>
      </c>
      <c r="C243" s="256"/>
    </row>
    <row r="244" spans="1:3" x14ac:dyDescent="0.25">
      <c r="A244" s="252" t="s">
        <v>522</v>
      </c>
      <c r="B244" s="256">
        <v>79758</v>
      </c>
      <c r="C244" s="256"/>
    </row>
    <row r="245" spans="1:3" x14ac:dyDescent="0.25">
      <c r="A245" s="252" t="s">
        <v>523</v>
      </c>
      <c r="B245" s="256"/>
      <c r="C245" s="256">
        <v>440</v>
      </c>
    </row>
    <row r="246" spans="1:3" x14ac:dyDescent="0.25">
      <c r="A246" s="252" t="s">
        <v>524</v>
      </c>
      <c r="B246" s="256">
        <v>2163649.62</v>
      </c>
      <c r="C246" s="256"/>
    </row>
    <row r="247" spans="1:3" x14ac:dyDescent="0.25">
      <c r="A247" s="252" t="s">
        <v>529</v>
      </c>
      <c r="B247" s="256"/>
      <c r="C247" s="256">
        <v>13413.52</v>
      </c>
    </row>
    <row r="248" spans="1:3" x14ac:dyDescent="0.25">
      <c r="A248" s="252" t="s">
        <v>596</v>
      </c>
      <c r="B248" s="256"/>
      <c r="C248" s="256">
        <v>9466.6</v>
      </c>
    </row>
    <row r="249" spans="1:3" x14ac:dyDescent="0.25">
      <c r="A249" s="252" t="s">
        <v>531</v>
      </c>
      <c r="B249" s="256"/>
      <c r="C249" s="256">
        <v>432000</v>
      </c>
    </row>
    <row r="250" spans="1:3" x14ac:dyDescent="0.25">
      <c r="A250" s="264" t="s">
        <v>597</v>
      </c>
      <c r="B250" s="256"/>
      <c r="C250" s="256">
        <v>20</v>
      </c>
    </row>
    <row r="251" spans="1:3" x14ac:dyDescent="0.25">
      <c r="A251" s="249" t="s">
        <v>203</v>
      </c>
      <c r="B251" s="257">
        <f>SUM(B11:B250)</f>
        <v>404158691.25000006</v>
      </c>
      <c r="C251" s="257">
        <f>SUM(C11:C250)</f>
        <v>404158691.25</v>
      </c>
    </row>
    <row r="252" spans="1:3" x14ac:dyDescent="0.25">
      <c r="C252" s="258">
        <f>+B251-C251</f>
        <v>0</v>
      </c>
    </row>
  </sheetData>
  <mergeCells count="9">
    <mergeCell ref="B7:C7"/>
    <mergeCell ref="B8:C8"/>
    <mergeCell ref="B9:C9"/>
    <mergeCell ref="A1:C1"/>
    <mergeCell ref="A2:C2"/>
    <mergeCell ref="A3:C3"/>
    <mergeCell ref="A4:C4"/>
    <mergeCell ref="A5:C5"/>
    <mergeCell ref="A6:C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136"/>
  <sheetViews>
    <sheetView topLeftCell="A62" workbookViewId="0">
      <selection activeCell="E84" sqref="E84"/>
    </sheetView>
  </sheetViews>
  <sheetFormatPr defaultColWidth="9.140625" defaultRowHeight="15" x14ac:dyDescent="0.25"/>
  <cols>
    <col min="1" max="1" width="50" bestFit="1" customWidth="1"/>
    <col min="2" max="2" width="14.5703125" style="286" bestFit="1" customWidth="1"/>
    <col min="3" max="3" width="15" style="286" bestFit="1" customWidth="1"/>
  </cols>
  <sheetData>
    <row r="1" spans="1:3" ht="15.75" x14ac:dyDescent="0.25">
      <c r="A1" s="1705" t="s">
        <v>621</v>
      </c>
      <c r="B1" s="1705"/>
      <c r="C1" s="1705"/>
    </row>
    <row r="2" spans="1:3" x14ac:dyDescent="0.25">
      <c r="A2" s="1698" t="s">
        <v>205</v>
      </c>
      <c r="B2" s="1698"/>
      <c r="C2" s="1698"/>
    </row>
    <row r="3" spans="1:3" x14ac:dyDescent="0.25">
      <c r="A3" s="1698" t="s">
        <v>206</v>
      </c>
      <c r="B3" s="1698"/>
      <c r="C3" s="1698"/>
    </row>
    <row r="4" spans="1:3" x14ac:dyDescent="0.25">
      <c r="A4" s="1706" t="s">
        <v>207</v>
      </c>
      <c r="B4" s="1706"/>
      <c r="C4" s="1706"/>
    </row>
    <row r="5" spans="1:3" ht="15.75" x14ac:dyDescent="0.25">
      <c r="A5" s="1707" t="s">
        <v>408</v>
      </c>
      <c r="B5" s="1707"/>
      <c r="C5" s="1707"/>
    </row>
    <row r="6" spans="1:3" x14ac:dyDescent="0.25">
      <c r="A6" s="1698" t="s">
        <v>541</v>
      </c>
      <c r="B6" s="1698"/>
      <c r="C6" s="1698"/>
    </row>
    <row r="7" spans="1:3" x14ac:dyDescent="0.25">
      <c r="A7" s="248" t="s">
        <v>197</v>
      </c>
      <c r="B7" s="1754" t="s">
        <v>621</v>
      </c>
      <c r="C7" s="1755"/>
    </row>
    <row r="8" spans="1:3" x14ac:dyDescent="0.25">
      <c r="A8" s="290" t="s">
        <v>0</v>
      </c>
      <c r="B8" s="1756" t="s">
        <v>541</v>
      </c>
      <c r="C8" s="1757"/>
    </row>
    <row r="9" spans="1:3" x14ac:dyDescent="0.25">
      <c r="A9" s="291" t="s">
        <v>622</v>
      </c>
      <c r="B9" s="284" t="s">
        <v>197</v>
      </c>
      <c r="C9" s="292"/>
    </row>
    <row r="10" spans="1:3" x14ac:dyDescent="0.25">
      <c r="A10" s="253" t="s">
        <v>623</v>
      </c>
      <c r="B10" s="293"/>
      <c r="C10" s="283">
        <v>372674896.87</v>
      </c>
    </row>
    <row r="11" spans="1:3" x14ac:dyDescent="0.25">
      <c r="A11" s="294" t="s">
        <v>437</v>
      </c>
      <c r="B11" s="293">
        <v>24439062.649999999</v>
      </c>
      <c r="C11" s="283"/>
    </row>
    <row r="12" spans="1:3" x14ac:dyDescent="0.25">
      <c r="A12" s="294" t="s">
        <v>438</v>
      </c>
      <c r="B12" s="293">
        <v>20674740.539999999</v>
      </c>
      <c r="C12" s="283"/>
    </row>
    <row r="13" spans="1:3" x14ac:dyDescent="0.25">
      <c r="A13" s="294" t="s">
        <v>439</v>
      </c>
      <c r="B13" s="293">
        <v>53253269</v>
      </c>
      <c r="C13" s="283"/>
    </row>
    <row r="14" spans="1:3" x14ac:dyDescent="0.25">
      <c r="A14" s="294" t="s">
        <v>440</v>
      </c>
      <c r="B14" s="293">
        <v>18103015.550000001</v>
      </c>
      <c r="C14" s="283"/>
    </row>
    <row r="15" spans="1:3" x14ac:dyDescent="0.25">
      <c r="A15" s="294" t="s">
        <v>441</v>
      </c>
      <c r="B15" s="293">
        <v>10314794.300000001</v>
      </c>
      <c r="C15" s="283"/>
    </row>
    <row r="16" spans="1:3" x14ac:dyDescent="0.25">
      <c r="A16" s="294" t="s">
        <v>442</v>
      </c>
      <c r="B16" s="293">
        <v>82461575.730000004</v>
      </c>
      <c r="C16" s="283"/>
    </row>
    <row r="17" spans="1:3" x14ac:dyDescent="0.25">
      <c r="A17" s="294" t="s">
        <v>624</v>
      </c>
      <c r="B17" s="293">
        <v>50074813.969999999</v>
      </c>
      <c r="C17" s="283"/>
    </row>
    <row r="18" spans="1:3" x14ac:dyDescent="0.25">
      <c r="A18" s="294" t="s">
        <v>443</v>
      </c>
      <c r="B18" s="293">
        <v>10145813.9</v>
      </c>
      <c r="C18" s="283"/>
    </row>
    <row r="19" spans="1:3" x14ac:dyDescent="0.25">
      <c r="A19" s="294" t="s">
        <v>444</v>
      </c>
      <c r="B19" s="293">
        <v>99396845</v>
      </c>
      <c r="C19" s="283"/>
    </row>
    <row r="20" spans="1:3" x14ac:dyDescent="0.25">
      <c r="A20" s="294" t="s">
        <v>526</v>
      </c>
      <c r="B20" s="293">
        <v>589135.73</v>
      </c>
      <c r="C20" s="283"/>
    </row>
    <row r="21" spans="1:3" x14ac:dyDescent="0.25">
      <c r="A21" s="294" t="s">
        <v>527</v>
      </c>
      <c r="B21" s="293">
        <v>249298.97</v>
      </c>
      <c r="C21" s="283"/>
    </row>
    <row r="22" spans="1:3" x14ac:dyDescent="0.25">
      <c r="A22" s="294" t="s">
        <v>528</v>
      </c>
      <c r="B22" s="295">
        <v>2972531.53</v>
      </c>
      <c r="C22" s="283"/>
    </row>
    <row r="23" spans="1:3" x14ac:dyDescent="0.25">
      <c r="A23" s="253" t="s">
        <v>625</v>
      </c>
      <c r="B23" s="293"/>
      <c r="C23" s="283"/>
    </row>
    <row r="24" spans="1:3" x14ac:dyDescent="0.25">
      <c r="A24" s="296" t="s">
        <v>197</v>
      </c>
      <c r="B24" s="297"/>
      <c r="C24" s="298">
        <v>372674896.87</v>
      </c>
    </row>
    <row r="25" spans="1:3" x14ac:dyDescent="0.25">
      <c r="A25" s="253" t="s">
        <v>626</v>
      </c>
      <c r="B25" s="293"/>
      <c r="C25" s="283">
        <v>87272164.040000007</v>
      </c>
    </row>
    <row r="26" spans="1:3" x14ac:dyDescent="0.25">
      <c r="A26" s="299" t="s">
        <v>208</v>
      </c>
      <c r="B26" s="293">
        <v>1410529</v>
      </c>
      <c r="C26" s="283"/>
    </row>
    <row r="27" spans="1:3" x14ac:dyDescent="0.25">
      <c r="A27" s="296" t="s">
        <v>627</v>
      </c>
      <c r="B27" s="293">
        <v>30923024.079999998</v>
      </c>
      <c r="C27" s="283"/>
    </row>
    <row r="28" spans="1:3" x14ac:dyDescent="0.25">
      <c r="A28" s="299" t="s">
        <v>628</v>
      </c>
      <c r="B28" s="293">
        <v>1146160</v>
      </c>
      <c r="C28" s="283"/>
    </row>
    <row r="29" spans="1:3" x14ac:dyDescent="0.25">
      <c r="A29" s="296" t="s">
        <v>197</v>
      </c>
      <c r="B29" s="297">
        <v>31187393.079999998</v>
      </c>
      <c r="C29" s="283"/>
    </row>
    <row r="30" spans="1:3" x14ac:dyDescent="0.25">
      <c r="A30" s="300" t="s">
        <v>629</v>
      </c>
      <c r="B30" s="295">
        <v>56084770.960000001</v>
      </c>
      <c r="C30" s="283"/>
    </row>
    <row r="31" spans="1:3" x14ac:dyDescent="0.25">
      <c r="A31" s="301" t="s">
        <v>225</v>
      </c>
      <c r="B31" s="293">
        <v>464000</v>
      </c>
      <c r="C31" s="283"/>
    </row>
    <row r="32" spans="1:3" x14ac:dyDescent="0.25">
      <c r="A32" s="301" t="s">
        <v>240</v>
      </c>
      <c r="B32" s="293">
        <v>4950000</v>
      </c>
      <c r="C32" s="283"/>
    </row>
    <row r="33" spans="1:3" x14ac:dyDescent="0.25">
      <c r="A33" s="301" t="s">
        <v>269</v>
      </c>
      <c r="B33" s="293">
        <v>120000</v>
      </c>
      <c r="C33" s="283"/>
    </row>
    <row r="34" spans="1:3" x14ac:dyDescent="0.25">
      <c r="A34" s="301" t="s">
        <v>288</v>
      </c>
      <c r="B34" s="293">
        <v>37113</v>
      </c>
      <c r="C34" s="283"/>
    </row>
    <row r="35" spans="1:3" x14ac:dyDescent="0.25">
      <c r="A35" s="301" t="s">
        <v>630</v>
      </c>
      <c r="B35" s="293">
        <v>6360</v>
      </c>
      <c r="C35" s="283"/>
    </row>
    <row r="36" spans="1:3" x14ac:dyDescent="0.25">
      <c r="A36" s="301" t="s">
        <v>293</v>
      </c>
      <c r="B36" s="293">
        <v>327880</v>
      </c>
      <c r="C36" s="283"/>
    </row>
    <row r="37" spans="1:3" x14ac:dyDescent="0.25">
      <c r="A37" s="301" t="s">
        <v>384</v>
      </c>
      <c r="B37" s="293">
        <v>4086302</v>
      </c>
      <c r="C37" s="283"/>
    </row>
    <row r="38" spans="1:3" x14ac:dyDescent="0.25">
      <c r="A38" s="301" t="s">
        <v>385</v>
      </c>
      <c r="B38" s="293">
        <v>920950</v>
      </c>
      <c r="C38" s="283"/>
    </row>
    <row r="39" spans="1:3" x14ac:dyDescent="0.25">
      <c r="A39" s="301" t="s">
        <v>396</v>
      </c>
      <c r="B39" s="293">
        <v>1500000</v>
      </c>
      <c r="C39" s="283"/>
    </row>
    <row r="40" spans="1:3" x14ac:dyDescent="0.25">
      <c r="A40" s="301" t="s">
        <v>397</v>
      </c>
      <c r="B40" s="293">
        <v>15750</v>
      </c>
      <c r="C40" s="283"/>
    </row>
    <row r="41" spans="1:3" x14ac:dyDescent="0.25">
      <c r="A41" s="301" t="s">
        <v>631</v>
      </c>
      <c r="B41" s="293">
        <v>976871.06</v>
      </c>
      <c r="C41" s="283"/>
    </row>
    <row r="42" spans="1:3" x14ac:dyDescent="0.25">
      <c r="A42" s="301" t="s">
        <v>477</v>
      </c>
      <c r="B42" s="293">
        <v>1232315.8999999999</v>
      </c>
      <c r="C42" s="283"/>
    </row>
    <row r="43" spans="1:3" x14ac:dyDescent="0.25">
      <c r="A43" s="301" t="s">
        <v>514</v>
      </c>
      <c r="B43" s="293">
        <v>1324570</v>
      </c>
      <c r="C43" s="283"/>
    </row>
    <row r="44" spans="1:3" x14ac:dyDescent="0.25">
      <c r="A44" s="301" t="s">
        <v>515</v>
      </c>
      <c r="B44" s="293">
        <v>40116659</v>
      </c>
      <c r="C44" s="283"/>
    </row>
    <row r="45" spans="1:3" x14ac:dyDescent="0.25">
      <c r="A45" s="301" t="s">
        <v>520</v>
      </c>
      <c r="B45" s="293">
        <v>6000</v>
      </c>
      <c r="C45" s="283"/>
    </row>
    <row r="46" spans="1:3" x14ac:dyDescent="0.25">
      <c r="A46" s="302" t="s">
        <v>632</v>
      </c>
      <c r="B46" s="297"/>
      <c r="C46" s="303">
        <v>285402732.82999998</v>
      </c>
    </row>
    <row r="47" spans="1:3" x14ac:dyDescent="0.25">
      <c r="A47" s="304" t="s">
        <v>633</v>
      </c>
      <c r="B47" s="284" t="s">
        <v>197</v>
      </c>
      <c r="C47" s="292"/>
    </row>
    <row r="48" spans="1:3" x14ac:dyDescent="0.25">
      <c r="A48" s="253" t="s">
        <v>634</v>
      </c>
      <c r="B48" s="293"/>
      <c r="C48" s="283">
        <v>682166</v>
      </c>
    </row>
    <row r="49" spans="1:3" x14ac:dyDescent="0.25">
      <c r="A49" s="294" t="s">
        <v>346</v>
      </c>
      <c r="B49" s="293">
        <v>682166</v>
      </c>
      <c r="C49" s="283"/>
    </row>
    <row r="50" spans="1:3" x14ac:dyDescent="0.25">
      <c r="A50" s="296" t="s">
        <v>197</v>
      </c>
      <c r="B50" s="297"/>
      <c r="C50" s="298">
        <v>286084898.82999998</v>
      </c>
    </row>
    <row r="51" spans="1:3" x14ac:dyDescent="0.25">
      <c r="A51" s="253" t="s">
        <v>635</v>
      </c>
      <c r="B51" s="293"/>
      <c r="C51" s="283">
        <v>135611004.03999999</v>
      </c>
    </row>
    <row r="52" spans="1:3" x14ac:dyDescent="0.25">
      <c r="A52" s="299" t="s">
        <v>636</v>
      </c>
      <c r="B52" s="293">
        <v>634901</v>
      </c>
      <c r="C52" s="283"/>
    </row>
    <row r="53" spans="1:3" x14ac:dyDescent="0.25">
      <c r="A53" s="294" t="s">
        <v>226</v>
      </c>
      <c r="B53" s="293">
        <v>1132650</v>
      </c>
      <c r="C53" s="283"/>
    </row>
    <row r="54" spans="1:3" x14ac:dyDescent="0.25">
      <c r="A54" s="294" t="s">
        <v>231</v>
      </c>
      <c r="B54" s="293">
        <v>35000</v>
      </c>
      <c r="C54" s="283"/>
    </row>
    <row r="55" spans="1:3" x14ac:dyDescent="0.25">
      <c r="A55" s="294" t="s">
        <v>159</v>
      </c>
      <c r="B55" s="293">
        <v>583000</v>
      </c>
      <c r="C55" s="283"/>
    </row>
    <row r="56" spans="1:3" x14ac:dyDescent="0.25">
      <c r="A56" s="294" t="s">
        <v>242</v>
      </c>
      <c r="B56" s="293">
        <v>26769.14</v>
      </c>
      <c r="C56" s="283"/>
    </row>
    <row r="57" spans="1:3" x14ac:dyDescent="0.25">
      <c r="A57" s="294" t="s">
        <v>243</v>
      </c>
      <c r="B57" s="293">
        <v>316788.45</v>
      </c>
      <c r="C57" s="283"/>
    </row>
    <row r="58" spans="1:3" x14ac:dyDescent="0.25">
      <c r="A58" s="294" t="s">
        <v>250</v>
      </c>
      <c r="B58" s="293">
        <v>64925</v>
      </c>
      <c r="C58" s="283"/>
    </row>
    <row r="59" spans="1:3" x14ac:dyDescent="0.25">
      <c r="A59" s="294" t="s">
        <v>254</v>
      </c>
      <c r="B59" s="293">
        <v>2320909.11</v>
      </c>
      <c r="C59" s="283"/>
    </row>
    <row r="60" spans="1:3" x14ac:dyDescent="0.25">
      <c r="A60" s="294" t="s">
        <v>256</v>
      </c>
      <c r="B60" s="293">
        <v>114120.76</v>
      </c>
      <c r="C60" s="283"/>
    </row>
    <row r="61" spans="1:3" x14ac:dyDescent="0.25">
      <c r="A61" s="294" t="s">
        <v>261</v>
      </c>
      <c r="B61" s="293">
        <v>3087348</v>
      </c>
      <c r="C61" s="283"/>
    </row>
    <row r="62" spans="1:3" x14ac:dyDescent="0.25">
      <c r="A62" s="294" t="s">
        <v>262</v>
      </c>
      <c r="B62" s="293">
        <v>122970</v>
      </c>
      <c r="C62" s="283"/>
    </row>
    <row r="63" spans="1:3" x14ac:dyDescent="0.25">
      <c r="A63" s="294" t="s">
        <v>266</v>
      </c>
      <c r="B63" s="293">
        <v>6500</v>
      </c>
      <c r="C63" s="283"/>
    </row>
    <row r="64" spans="1:3" x14ac:dyDescent="0.25">
      <c r="A64" s="294" t="s">
        <v>637</v>
      </c>
      <c r="B64" s="293">
        <v>26804.83</v>
      </c>
      <c r="C64" s="283"/>
    </row>
    <row r="65" spans="1:3" x14ac:dyDescent="0.25">
      <c r="A65" s="294" t="s">
        <v>271</v>
      </c>
      <c r="B65" s="293">
        <v>118522</v>
      </c>
      <c r="C65" s="283"/>
    </row>
    <row r="66" spans="1:3" x14ac:dyDescent="0.25">
      <c r="A66" s="294" t="s">
        <v>272</v>
      </c>
      <c r="B66" s="293">
        <v>12165966</v>
      </c>
      <c r="C66" s="283"/>
    </row>
    <row r="67" spans="1:3" x14ac:dyDescent="0.25">
      <c r="A67" s="294" t="s">
        <v>638</v>
      </c>
      <c r="B67" s="293">
        <v>198500</v>
      </c>
      <c r="C67" s="283"/>
    </row>
    <row r="68" spans="1:3" x14ac:dyDescent="0.25">
      <c r="A68" s="294" t="s">
        <v>274</v>
      </c>
      <c r="B68" s="293">
        <v>1320498</v>
      </c>
      <c r="C68" s="283"/>
    </row>
    <row r="69" spans="1:3" x14ac:dyDescent="0.25">
      <c r="A69" s="294" t="s">
        <v>278</v>
      </c>
      <c r="B69" s="293">
        <v>9709</v>
      </c>
      <c r="C69" s="283"/>
    </row>
    <row r="70" spans="1:3" x14ac:dyDescent="0.25">
      <c r="A70" s="294" t="s">
        <v>280</v>
      </c>
      <c r="B70" s="293">
        <v>211164</v>
      </c>
      <c r="C70" s="283"/>
    </row>
    <row r="71" spans="1:3" x14ac:dyDescent="0.25">
      <c r="A71" s="294" t="s">
        <v>281</v>
      </c>
      <c r="B71" s="293">
        <v>93992</v>
      </c>
      <c r="C71" s="283"/>
    </row>
    <row r="72" spans="1:3" x14ac:dyDescent="0.25">
      <c r="A72" s="294" t="s">
        <v>1</v>
      </c>
      <c r="B72" s="293">
        <v>14606831</v>
      </c>
      <c r="C72" s="283"/>
    </row>
    <row r="73" spans="1:3" x14ac:dyDescent="0.25">
      <c r="A73" s="294" t="s">
        <v>287</v>
      </c>
      <c r="B73" s="293">
        <v>119882.14</v>
      </c>
      <c r="C73" s="283"/>
    </row>
    <row r="74" spans="1:3" x14ac:dyDescent="0.25">
      <c r="A74" s="294" t="s">
        <v>639</v>
      </c>
      <c r="B74" s="293">
        <v>21500</v>
      </c>
      <c r="C74" s="283"/>
    </row>
    <row r="75" spans="1:3" x14ac:dyDescent="0.25">
      <c r="A75" s="294" t="s">
        <v>296</v>
      </c>
      <c r="B75" s="293">
        <v>486677.74</v>
      </c>
      <c r="C75" s="283"/>
    </row>
    <row r="76" spans="1:3" x14ac:dyDescent="0.25">
      <c r="A76" s="294" t="s">
        <v>153</v>
      </c>
      <c r="B76" s="293">
        <v>8280933</v>
      </c>
      <c r="C76" s="283"/>
    </row>
    <row r="77" spans="1:3" x14ac:dyDescent="0.25">
      <c r="A77" s="294" t="s">
        <v>299</v>
      </c>
      <c r="B77" s="293">
        <v>197059.49</v>
      </c>
      <c r="C77" s="283"/>
    </row>
    <row r="78" spans="1:3" x14ac:dyDescent="0.25">
      <c r="A78" s="294" t="s">
        <v>305</v>
      </c>
      <c r="B78" s="293">
        <v>500</v>
      </c>
      <c r="C78" s="283"/>
    </row>
    <row r="79" spans="1:3" x14ac:dyDescent="0.25">
      <c r="A79" s="294" t="s">
        <v>640</v>
      </c>
      <c r="B79" s="293">
        <v>30000</v>
      </c>
      <c r="C79" s="283"/>
    </row>
    <row r="80" spans="1:3" x14ac:dyDescent="0.25">
      <c r="A80" s="294" t="s">
        <v>307</v>
      </c>
      <c r="B80" s="293">
        <v>22900</v>
      </c>
      <c r="C80" s="283"/>
    </row>
    <row r="81" spans="1:3" x14ac:dyDescent="0.25">
      <c r="A81" s="294" t="s">
        <v>311</v>
      </c>
      <c r="B81" s="293">
        <v>20054</v>
      </c>
      <c r="C81" s="283"/>
    </row>
    <row r="82" spans="1:3" x14ac:dyDescent="0.25">
      <c r="A82" s="294" t="s">
        <v>313</v>
      </c>
      <c r="B82" s="293">
        <v>-2899011.42</v>
      </c>
      <c r="C82" s="283"/>
    </row>
    <row r="83" spans="1:3" x14ac:dyDescent="0.25">
      <c r="A83" s="294" t="s">
        <v>317</v>
      </c>
      <c r="B83" s="293">
        <v>177272.43</v>
      </c>
      <c r="C83" s="283"/>
    </row>
    <row r="84" spans="1:3" x14ac:dyDescent="0.25">
      <c r="A84" s="294" t="s">
        <v>329</v>
      </c>
      <c r="B84" s="293">
        <v>2663455.17</v>
      </c>
      <c r="C84" s="283"/>
    </row>
    <row r="85" spans="1:3" x14ac:dyDescent="0.25">
      <c r="A85" s="294" t="s">
        <v>330</v>
      </c>
      <c r="B85" s="293">
        <v>47182.6</v>
      </c>
      <c r="C85" s="283"/>
    </row>
    <row r="86" spans="1:3" x14ac:dyDescent="0.25">
      <c r="A86" s="294" t="s">
        <v>338</v>
      </c>
      <c r="B86" s="293">
        <v>551500</v>
      </c>
      <c r="C86" s="283"/>
    </row>
    <row r="87" spans="1:3" x14ac:dyDescent="0.25">
      <c r="A87" s="294" t="s">
        <v>342</v>
      </c>
      <c r="B87" s="293">
        <v>16949.18</v>
      </c>
      <c r="C87" s="283"/>
    </row>
    <row r="88" spans="1:3" x14ac:dyDescent="0.25">
      <c r="A88" s="294" t="s">
        <v>343</v>
      </c>
      <c r="B88" s="293">
        <v>192600</v>
      </c>
      <c r="C88" s="283"/>
    </row>
    <row r="89" spans="1:3" x14ac:dyDescent="0.25">
      <c r="A89" s="294" t="s">
        <v>641</v>
      </c>
      <c r="B89" s="293">
        <v>24358</v>
      </c>
      <c r="C89" s="283"/>
    </row>
    <row r="90" spans="1:3" x14ac:dyDescent="0.25">
      <c r="A90" s="294" t="s">
        <v>344</v>
      </c>
      <c r="B90" s="293">
        <v>58793</v>
      </c>
      <c r="C90" s="283"/>
    </row>
    <row r="91" spans="1:3" x14ac:dyDescent="0.25">
      <c r="A91" s="294" t="s">
        <v>345</v>
      </c>
      <c r="B91" s="293">
        <v>6039591</v>
      </c>
      <c r="C91" s="283"/>
    </row>
    <row r="92" spans="1:3" x14ac:dyDescent="0.25">
      <c r="A92" s="294" t="s">
        <v>349</v>
      </c>
      <c r="B92" s="293">
        <v>764574</v>
      </c>
      <c r="C92" s="283"/>
    </row>
    <row r="93" spans="1:3" x14ac:dyDescent="0.25">
      <c r="A93" s="294" t="s">
        <v>350</v>
      </c>
      <c r="B93" s="293">
        <v>2629</v>
      </c>
      <c r="C93" s="283"/>
    </row>
    <row r="94" spans="1:3" x14ac:dyDescent="0.25">
      <c r="A94" s="294" t="s">
        <v>352</v>
      </c>
      <c r="B94" s="293">
        <v>3520</v>
      </c>
      <c r="C94" s="283"/>
    </row>
    <row r="95" spans="1:3" x14ac:dyDescent="0.25">
      <c r="A95" s="294" t="s">
        <v>642</v>
      </c>
      <c r="B95" s="293">
        <v>2500</v>
      </c>
      <c r="C95" s="283"/>
    </row>
    <row r="96" spans="1:3" x14ac:dyDescent="0.25">
      <c r="A96" s="294" t="s">
        <v>354</v>
      </c>
      <c r="B96" s="293">
        <v>187448.06</v>
      </c>
      <c r="C96" s="283"/>
    </row>
    <row r="97" spans="1:3" x14ac:dyDescent="0.25">
      <c r="A97" s="294" t="s">
        <v>363</v>
      </c>
      <c r="B97" s="293">
        <v>3458900</v>
      </c>
      <c r="C97" s="283"/>
    </row>
    <row r="98" spans="1:3" x14ac:dyDescent="0.25">
      <c r="A98" s="294" t="s">
        <v>643</v>
      </c>
      <c r="B98" s="293">
        <v>464768</v>
      </c>
      <c r="C98" s="283"/>
    </row>
    <row r="99" spans="1:3" x14ac:dyDescent="0.25">
      <c r="A99" s="294" t="s">
        <v>373</v>
      </c>
      <c r="B99" s="293"/>
      <c r="C99" s="283"/>
    </row>
    <row r="100" spans="1:3" x14ac:dyDescent="0.25">
      <c r="A100" s="294" t="s">
        <v>644</v>
      </c>
      <c r="B100" s="293">
        <v>77500</v>
      </c>
      <c r="C100" s="283"/>
    </row>
    <row r="101" spans="1:3" x14ac:dyDescent="0.25">
      <c r="A101" s="294" t="s">
        <v>383</v>
      </c>
      <c r="B101" s="293">
        <v>379867.78</v>
      </c>
      <c r="C101" s="283"/>
    </row>
    <row r="102" spans="1:3" x14ac:dyDescent="0.25">
      <c r="A102" s="294" t="s">
        <v>645</v>
      </c>
      <c r="B102" s="293">
        <v>17165.16</v>
      </c>
      <c r="C102" s="283"/>
    </row>
    <row r="103" spans="1:3" x14ac:dyDescent="0.25">
      <c r="A103" s="294" t="s">
        <v>389</v>
      </c>
      <c r="B103" s="293">
        <v>211121.5</v>
      </c>
      <c r="C103" s="283"/>
    </row>
    <row r="104" spans="1:3" x14ac:dyDescent="0.25">
      <c r="A104" s="294" t="s">
        <v>392</v>
      </c>
      <c r="B104" s="293">
        <v>45000</v>
      </c>
      <c r="C104" s="283"/>
    </row>
    <row r="105" spans="1:3" x14ac:dyDescent="0.25">
      <c r="A105" s="294" t="s">
        <v>398</v>
      </c>
      <c r="B105" s="293">
        <v>335467.5</v>
      </c>
      <c r="C105" s="283"/>
    </row>
    <row r="106" spans="1:3" x14ac:dyDescent="0.25">
      <c r="A106" s="294" t="s">
        <v>399</v>
      </c>
      <c r="B106" s="293">
        <v>30176</v>
      </c>
      <c r="C106" s="283"/>
    </row>
    <row r="107" spans="1:3" x14ac:dyDescent="0.25">
      <c r="A107" s="294" t="s">
        <v>405</v>
      </c>
      <c r="B107" s="293">
        <v>2594578.1</v>
      </c>
      <c r="C107" s="283"/>
    </row>
    <row r="108" spans="1:3" x14ac:dyDescent="0.25">
      <c r="A108" s="294" t="s">
        <v>646</v>
      </c>
      <c r="B108" s="293">
        <v>15450</v>
      </c>
      <c r="C108" s="283"/>
    </row>
    <row r="109" spans="1:3" x14ac:dyDescent="0.25">
      <c r="A109" s="294" t="s">
        <v>407</v>
      </c>
      <c r="B109" s="293">
        <v>75000</v>
      </c>
      <c r="C109" s="283"/>
    </row>
    <row r="110" spans="1:3" x14ac:dyDescent="0.25">
      <c r="A110" s="294" t="s">
        <v>411</v>
      </c>
      <c r="B110" s="293">
        <v>1273325</v>
      </c>
      <c r="C110" s="283"/>
    </row>
    <row r="111" spans="1:3" x14ac:dyDescent="0.25">
      <c r="A111" s="294" t="s">
        <v>418</v>
      </c>
      <c r="B111" s="293">
        <v>12029286</v>
      </c>
      <c r="C111" s="283"/>
    </row>
    <row r="112" spans="1:3" x14ac:dyDescent="0.25">
      <c r="A112" s="294" t="s">
        <v>419</v>
      </c>
      <c r="B112" s="293">
        <v>10456296</v>
      </c>
      <c r="C112" s="283"/>
    </row>
    <row r="113" spans="1:3" x14ac:dyDescent="0.25">
      <c r="A113" s="294" t="s">
        <v>420</v>
      </c>
      <c r="B113" s="293">
        <v>233608</v>
      </c>
      <c r="C113" s="283"/>
    </row>
    <row r="114" spans="1:3" x14ac:dyDescent="0.25">
      <c r="A114" s="294" t="s">
        <v>421</v>
      </c>
      <c r="B114" s="293">
        <v>350000</v>
      </c>
      <c r="C114" s="283"/>
    </row>
    <row r="115" spans="1:3" x14ac:dyDescent="0.25">
      <c r="A115" s="294" t="s">
        <v>426</v>
      </c>
      <c r="B115" s="293">
        <v>38.04</v>
      </c>
      <c r="C115" s="283"/>
    </row>
    <row r="116" spans="1:3" x14ac:dyDescent="0.25">
      <c r="A116" s="294" t="s">
        <v>429</v>
      </c>
      <c r="B116" s="293">
        <v>37722818</v>
      </c>
      <c r="C116" s="283"/>
    </row>
    <row r="117" spans="1:3" x14ac:dyDescent="0.25">
      <c r="A117" s="294" t="s">
        <v>435</v>
      </c>
      <c r="B117" s="293">
        <v>1046113</v>
      </c>
      <c r="C117" s="283"/>
    </row>
    <row r="118" spans="1:3" x14ac:dyDescent="0.25">
      <c r="A118" s="294" t="s">
        <v>436</v>
      </c>
      <c r="B118" s="293">
        <v>3500</v>
      </c>
      <c r="C118" s="283"/>
    </row>
    <row r="119" spans="1:3" x14ac:dyDescent="0.25">
      <c r="A119" s="294" t="s">
        <v>647</v>
      </c>
      <c r="B119" s="293">
        <v>5416.68</v>
      </c>
      <c r="C119" s="283"/>
    </row>
    <row r="120" spans="1:3" x14ac:dyDescent="0.25">
      <c r="A120" s="294" t="s">
        <v>463</v>
      </c>
      <c r="B120" s="293">
        <v>142464.4</v>
      </c>
      <c r="C120" s="283"/>
    </row>
    <row r="121" spans="1:3" x14ac:dyDescent="0.25">
      <c r="A121" s="294" t="s">
        <v>471</v>
      </c>
      <c r="B121" s="293">
        <v>1159643</v>
      </c>
      <c r="C121" s="283"/>
    </row>
    <row r="122" spans="1:3" x14ac:dyDescent="0.25">
      <c r="A122" s="294" t="s">
        <v>472</v>
      </c>
      <c r="B122" s="293">
        <v>18581</v>
      </c>
      <c r="C122" s="283"/>
    </row>
    <row r="123" spans="1:3" x14ac:dyDescent="0.25">
      <c r="A123" s="294" t="s">
        <v>475</v>
      </c>
      <c r="B123" s="293">
        <v>120235</v>
      </c>
      <c r="C123" s="283"/>
    </row>
    <row r="124" spans="1:3" x14ac:dyDescent="0.25">
      <c r="A124" s="294" t="s">
        <v>478</v>
      </c>
      <c r="B124" s="293">
        <v>6461532</v>
      </c>
      <c r="C124" s="283"/>
    </row>
    <row r="125" spans="1:3" x14ac:dyDescent="0.25">
      <c r="A125" s="294" t="s">
        <v>492</v>
      </c>
      <c r="B125" s="293">
        <v>224728.9</v>
      </c>
      <c r="C125" s="283"/>
    </row>
    <row r="126" spans="1:3" x14ac:dyDescent="0.25">
      <c r="A126" s="294" t="s">
        <v>498</v>
      </c>
      <c r="B126" s="293">
        <v>140640</v>
      </c>
      <c r="C126" s="283"/>
    </row>
    <row r="127" spans="1:3" x14ac:dyDescent="0.25">
      <c r="A127" s="294" t="s">
        <v>499</v>
      </c>
      <c r="B127" s="293">
        <v>681900</v>
      </c>
      <c r="C127" s="283"/>
    </row>
    <row r="128" spans="1:3" x14ac:dyDescent="0.25">
      <c r="A128" s="294" t="s">
        <v>500</v>
      </c>
      <c r="B128" s="293">
        <v>125864.02</v>
      </c>
      <c r="C128" s="283"/>
    </row>
    <row r="129" spans="1:3" x14ac:dyDescent="0.25">
      <c r="A129" s="294" t="s">
        <v>501</v>
      </c>
      <c r="B129" s="293">
        <v>18971</v>
      </c>
      <c r="C129" s="283"/>
    </row>
    <row r="130" spans="1:3" x14ac:dyDescent="0.25">
      <c r="A130" s="294" t="s">
        <v>648</v>
      </c>
      <c r="B130" s="293">
        <v>132515</v>
      </c>
      <c r="C130" s="283"/>
    </row>
    <row r="131" spans="1:3" x14ac:dyDescent="0.25">
      <c r="A131" s="294" t="s">
        <v>516</v>
      </c>
      <c r="B131" s="293">
        <v>677666</v>
      </c>
      <c r="C131" s="283"/>
    </row>
    <row r="132" spans="1:3" x14ac:dyDescent="0.25">
      <c r="A132" s="294" t="s">
        <v>518</v>
      </c>
      <c r="B132" s="293">
        <v>212370</v>
      </c>
      <c r="C132" s="283"/>
    </row>
    <row r="133" spans="1:3" x14ac:dyDescent="0.25">
      <c r="A133" s="294" t="s">
        <v>519</v>
      </c>
      <c r="B133" s="293">
        <v>56489.279999999999</v>
      </c>
      <c r="C133" s="283"/>
    </row>
    <row r="134" spans="1:3" x14ac:dyDescent="0.25">
      <c r="A134" s="294" t="s">
        <v>525</v>
      </c>
      <c r="B134" s="293">
        <v>130800</v>
      </c>
      <c r="C134" s="283"/>
    </row>
    <row r="135" spans="1:3" x14ac:dyDescent="0.25">
      <c r="A135" s="294" t="s">
        <v>530</v>
      </c>
      <c r="B135" s="293">
        <v>270474</v>
      </c>
      <c r="C135" s="283"/>
    </row>
    <row r="136" spans="1:3" x14ac:dyDescent="0.25">
      <c r="A136" s="302" t="s">
        <v>649</v>
      </c>
      <c r="B136" s="305"/>
      <c r="C136" s="285">
        <v>150473894.78999999</v>
      </c>
    </row>
  </sheetData>
  <mergeCells count="8">
    <mergeCell ref="B7:C7"/>
    <mergeCell ref="B8:C8"/>
    <mergeCell ref="A1:C1"/>
    <mergeCell ref="A2:C2"/>
    <mergeCell ref="A3:C3"/>
    <mergeCell ref="A4:C4"/>
    <mergeCell ref="A5:C5"/>
    <mergeCell ref="A6:C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15</vt:i4>
      </vt:variant>
    </vt:vector>
  </HeadingPairs>
  <TitlesOfParts>
    <vt:vector size="52" baseType="lpstr">
      <vt:lpstr>Computation</vt:lpstr>
      <vt:lpstr>BS</vt:lpstr>
      <vt:lpstr>P&amp;L</vt:lpstr>
      <vt:lpstr>CFS</vt:lpstr>
      <vt:lpstr>Note 1</vt:lpstr>
      <vt:lpstr>Note 2 - 8</vt:lpstr>
      <vt:lpstr>Note 9</vt:lpstr>
      <vt:lpstr>Sheet1</vt:lpstr>
      <vt:lpstr>Note 10-15</vt:lpstr>
      <vt:lpstr>Note 16-23</vt:lpstr>
      <vt:lpstr>Note 24-30</vt:lpstr>
      <vt:lpstr>Sechdules</vt:lpstr>
      <vt:lpstr>IT dep 24-25</vt:lpstr>
      <vt:lpstr>FA Register FY 24-25</vt:lpstr>
      <vt:lpstr>Creditor's ageing</vt:lpstr>
      <vt:lpstr>Debtor's ageing</vt:lpstr>
      <vt:lpstr>FA Register Companies Act</vt:lpstr>
      <vt:lpstr>TB 24-25</vt:lpstr>
      <vt:lpstr>Deferred Tax</vt:lpstr>
      <vt:lpstr>Key financial ratios</vt:lpstr>
      <vt:lpstr>Trial Balance CB</vt:lpstr>
      <vt:lpstr>Creditors</vt:lpstr>
      <vt:lpstr>MAT</vt:lpstr>
      <vt:lpstr>Tally Balance Sheet</vt:lpstr>
      <vt:lpstr>Workings</vt:lpstr>
      <vt:lpstr>GST</vt:lpstr>
      <vt:lpstr>New Building</vt:lpstr>
      <vt:lpstr>GST INPUT</vt:lpstr>
      <vt:lpstr>Tally P &amp; L Old</vt:lpstr>
      <vt:lpstr>TB 23-24Old</vt:lpstr>
      <vt:lpstr>FA Summary</vt:lpstr>
      <vt:lpstr>TB closing Bal Old</vt:lpstr>
      <vt:lpstr>Trial Balance</vt:lpstr>
      <vt:lpstr>age wise Debtors 31-03-23</vt:lpstr>
      <vt:lpstr>Creditors MSME Classification</vt:lpstr>
      <vt:lpstr>TB_BS 2021-22</vt:lpstr>
      <vt:lpstr>TB_PL 2021-22</vt:lpstr>
      <vt:lpstr>BS!Print_Area</vt:lpstr>
      <vt:lpstr>CFS!Print_Area</vt:lpstr>
      <vt:lpstr>'Deferred Tax'!Print_Area</vt:lpstr>
      <vt:lpstr>'Note 1'!Print_Area</vt:lpstr>
      <vt:lpstr>'Note 10-15'!Print_Area</vt:lpstr>
      <vt:lpstr>'Note 16-23'!Print_Area</vt:lpstr>
      <vt:lpstr>'Note 2 - 8'!Print_Area</vt:lpstr>
      <vt:lpstr>'Note 24-30'!Print_Area</vt:lpstr>
      <vt:lpstr>'Note 9'!Print_Area</vt:lpstr>
      <vt:lpstr>'P&amp;L'!Print_Area</vt:lpstr>
      <vt:lpstr>'Note 1'!Print_Titles</vt:lpstr>
      <vt:lpstr>'Note 10-15'!Print_Titles</vt:lpstr>
      <vt:lpstr>'Note 16-23'!Print_Titles</vt:lpstr>
      <vt:lpstr>'Note 2 - 8'!Print_Titles</vt:lpstr>
      <vt:lpstr>'Note 24-30'!Print_Titles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Bhavana M</dc:creator>
  <cp:lastModifiedBy>Admin</cp:lastModifiedBy>
  <cp:lastPrinted>2025-07-08T07:35:23Z</cp:lastPrinted>
  <dcterms:created xsi:type="dcterms:W3CDTF">2022-09-30T10:19:45Z</dcterms:created>
  <dcterms:modified xsi:type="dcterms:W3CDTF">2025-07-11T05:16:24Z</dcterms:modified>
</cp:coreProperties>
</file>